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rain_amazon_es_to_translate_20" sheetId="1" r:id="rId3"/>
  </sheets>
  <definedNames/>
  <calcPr/>
</workbook>
</file>

<file path=xl/sharedStrings.xml><?xml version="1.0" encoding="utf-8"?>
<sst xmlns="http://schemas.openxmlformats.org/spreadsheetml/2006/main" count="20003" uniqueCount="19807">
  <si>
    <t>labels</t>
  </si>
  <si>
    <t>text</t>
  </si>
  <si>
    <t>translation</t>
  </si>
  <si>
    <t>Tendré que ir yo al otorrino?......o ustedes, señores criticos...... Que malas son las expectativas de algun producto, cuando antes de comprarlo, buscas referencias y opiniones y estas son muy buenas. Es lo que me ha pasado con estos Sony. Habia leido cosas tan buenas de ellos, queeeee.........en fin. Entiendo que la gente se compre unos auriculares por primera vez y estos les parezcan fantasticos, lo entiendo (de hecho opino que el 90% de los comentarios en amazon se basan en eso y en los gustos personales), pero la verdadera critica de un producto viene cuando uno a podido comparar in situ con otros productos. No entiendo como las reviews en internet sobre este producto son tan buenas (bueno igual si.....¿porque tiran de talonario? 😁). Este auricular es mediocre cuando comparas. El principal lastre son los horrorosos bajos profundos y carentes de pegada que tienen, solo consiguen ensuciar (en toda la extension de la palabra) las "decentes" frecuencias medias y agudas. No se como pueden estar tan mal calibrados de fabrica, porque si, se puede "solucionar" con ecualizacion, pero me parece un fallo tremendo por parte de Sony. Su sonido es desinflado, sin punch (pegada), no emocionan. Te das cuenta cuando los enchufas a un amplificiador de auriculares con su respectivo cable y le metes volumen. Los bajos colapsan las demas frecuencias enseguida y el apelmazamiento del sonido es para salir corriendo 😁. Tengo unos V-MODA Crossfade 2 Wireless (tambien sin cables), que aun sin llegar a la excelencia sonora, son mucho mejores, se nota que tienen potencia. No me voy adentrar en otros detalles, pues para mi priva el sonido por encima de todo. Solo comentare que la construccion me ha parecido endeble para el precio, (el giro de las copas tiene una pinta de partirseeee....), y que el microfono es muy mediocre. Algo positivo? Si, el sistema de control tactil de ellos me parece que tendria que ser un referente en las demas marcas, los gestos van muy bien. Tambien la cancelacion de ruido, realmente impactante, te absorve las orejas directamente, muy muy bueno. Resumiendo: Creo que el mercado de los auriculares sin cable necesita mas variedad de modelos, porque si estos son los referentes cuando nos movemos en los 300 euroooos.......🙄</t>
  </si>
  <si>
    <t>Buena Un tejido un poco trasparente, fresquera y buena para el verano</t>
  </si>
  <si>
    <t>Mala experiencia Un engaño, no es de plata, soy alérgica y solo puedo usar plata o oro, he confiado en este provedor de amazon y ahora tengo la oreja inflamada..mucha rabia.</t>
  </si>
  <si>
    <t>Bastante bien Me gustan mucho, y son de buen material, buena hechura, cómodos (lo que pueden apretándome de más) aunque no sé si originales. Lo malo es que tallan muy pequeño (luego me dijeron que Nike es así). En fin, estoy ancheándolos un poco con el uso, y con calcetín más bien fino, ya van bien. Si no fuese por ser pequeños para el número les pondría 5 estrellas.</t>
  </si>
  <si>
    <t>Perfecto Justo lo que esperaba, de calidad y precio aceptable.</t>
  </si>
  <si>
    <t>colgante en flor Precioso</t>
  </si>
  <si>
    <t>Rápido y correcto Rápido y correcto</t>
  </si>
  <si>
    <t>Gran calidad a un reducido precio Es un reloj digital muy completo, sigue manteniendo sus características que lo han hecho tan célebre sin renunciar a una calidad excelsa. Cumple su función con creces. No se puede pedir más por menos a un reloj de éstas características.</t>
  </si>
  <si>
    <t>Estoy encantado Las he comprado para utilizarlas para ordenar los cables de casa y alguna otra chapuza y estoy muy contento, cumplen su función. Incluso las he usado para mantener de forma suspendida a un router y unos enchufes detrás de un armario, genial</t>
  </si>
  <si>
    <t>Genial Recomendable</t>
  </si>
  <si>
    <t>Recomendables 100% Carpetas de plastico perfectas para organizar tus papeles en casa, ademas se notan que son de buena calidad y no como otras que he visto. Recomendables 100%.</t>
  </si>
  <si>
    <t>Buen producto Probado y muy buena relación calidad precio, producto recomendado. Calidad de sonido buena y cumple con las especificaciones, bien, medida según especificaciones</t>
  </si>
  <si>
    <t>Precioso El collar es tal y como aparece en la foto, es muy bonito, de plata, y la medida es ideal se quedan los dos corazones bien posicionado en el cuello. Totalmente recomendable.</t>
  </si>
  <si>
    <t>Excelente compra. Geniales, yo creo que son originales. Sientan bien y son comodas. Mis primeras new balance. Contento con la compra y el precio en oferta.</t>
  </si>
  <si>
    <t>Recomendado Súper cómodas</t>
  </si>
  <si>
    <t>Buen producto! Este bolso se lo he regalado a mi padre que necesitaba cambiar el suyo, esta encantado dice que es muy bonito y que la calidad esta estupendamente bien, he esperado tiempo para valorar el producto y la verdad que con el paso del tiempo no se deteriora mucho, y eso que mi padre le da mucho uso, casi a diario. En cuanto al precio me parece justo.</t>
  </si>
  <si>
    <t>Como me esperaba. Me ha gustado.</t>
  </si>
  <si>
    <t>Durará más años que yo. Y eso me inquieta ;D Te lo pones y si quieres ya no te lo quitas nunca más. Se pone solo a hora con precisión milimétrica cada noche, es resistente a todo y se carga con la luz solar solamente de llevarlo puesto. Tenia un smartwatch y desde que tengo éste lo he guardado en la mesita de noche y solo me lo pongo para correr. Encima es precioso y atemporal.</t>
  </si>
  <si>
    <t>Calentador de agua fantástico La mejor compra que he realizado!</t>
  </si>
  <si>
    <t>Pendientes preciosos Me han encantado</t>
  </si>
  <si>
    <t>Bonitos Muy bonitos y no se ponen feos, le han encantado.</t>
  </si>
  <si>
    <t>Genial Todo perfecto</t>
  </si>
  <si>
    <t>Muy bien Los compré para un regalo y le encantó. Para el precio que tiene la calidad no parece  mala. Asique una buena compra.</t>
  </si>
  <si>
    <t>Que no me los pondre los regalare Parecen de buena calidad pero aprietan mucho en la parte del empeine...</t>
  </si>
  <si>
    <t>Un buen micro para los pocos exigentes Es un bueno micro, pero al probarlo veo que no es lo que busco, quizás un modelo superior para mi gusto estaría mejor.  Si quieres grabar vídeos domésticos está perfecto, pero en mi caso para Youtube no cumple las espectativas.</t>
  </si>
  <si>
    <t>Son bonitas Son lijeras pero no las puedo usar cuando andas hacen mucho ruido y molestan</t>
  </si>
  <si>
    <t>Buena calidad de producto. Muy buena sujeción y calidad. La he usado para pegar una pizarra magnética de una tamaño algo superior a un A4 y ha aguantado sin problema. Muy recomendable.</t>
  </si>
  <si>
    <t>genial buena relación calidad precio</t>
  </si>
  <si>
    <t>Bonito Colgante de plata con cadena fina de largo medio. Sencillo y muy combinable. De momento no se ha ennegrecido ni han aparecido otros defectos. ¡Magnífico precio con la super-rebaja!</t>
  </si>
  <si>
    <t>Recomendable Un reloj recomendable, de tamaño y correa muy similares al conocido f 91 de toda la vida. Un poco más gordito lo que viene siendo el reloj pero de dimensiones casi iguales. Me gusta porque muestra el día y el mes, su precio es excelente para lo que ofrece un reloj de la calidad Casio, las correas aprox. a los dos años se rompen y no merece la pena comprar una por el precio por lo que decidí probar con este modelo.</t>
  </si>
  <si>
    <t>Fenomenal Fenomenales</t>
  </si>
  <si>
    <t>Rosaio Muy bueno mejor de lo que esperaba y muy bonito el precio exelente mucho más bonito cuando lo tienes delante que en la foto</t>
  </si>
  <si>
    <t>Muy bonito Este despertador es precioso,tiene muchos tonos de color y además lleva radio y también sonido para relajarte y dormirte ,la alarma tiene muchos sonidos y se enciende La Luz cuando suena</t>
  </si>
  <si>
    <t>Tamaño Tamaño, espacio</t>
  </si>
  <si>
    <t>Buen sonido Fácil de conectar, buen sonido. Son perfectos para el día a día quizás no sean los mejores pero calidad precio son muy buenos los recomiendo.</t>
  </si>
  <si>
    <t>Botas hi-tec Comodas, calientes y muy ligeras. Mejor de lo que esperaba aún teniendo otras anteriores de la misma marca</t>
  </si>
  <si>
    <t>Practico Llego rápido tiene buen precio es lo que esperaba. Lo recomiendo</t>
  </si>
  <si>
    <t>Util Un poco lento, pero calienta bien</t>
  </si>
  <si>
    <t>Entrega muy rapida Es lo que esperaba</t>
  </si>
  <si>
    <t>Bien Bien</t>
  </si>
  <si>
    <t>preciosa y muy practica Es preciosa, muy elegante, sencilla, pequeña y muy rápida. Perfecta para calentar agua, hasta un litro, yo la utilizo hasta para hervir el agua para cocinar. Muy recomendable</t>
  </si>
  <si>
    <t>Muy buen biberon Se lo compre a mi bebe y fue el que mas utilizó, lo compré porque me habian regalado el calentador de phillips que va con estos biberones. Lo unico que me parece que son un poco caros</t>
  </si>
  <si>
    <t>Muy comodo Estoy super-encandado, suelo salir a correr y lo que más valoro es la comodidad del producto y sobre todo los bolsillos laterales y el trasero.</t>
  </si>
  <si>
    <t>Top deportivo Una pasada. En todos los sentidos. Calidad precio todo. Son súper cómodos suaves. Me encantan.</t>
  </si>
  <si>
    <t>Buenos zapatillas de seguridad De las mas comodas que he tenido ,muy ligeras y resisten muy bien</t>
  </si>
  <si>
    <t>Muy bueno Muy buena</t>
  </si>
  <si>
    <t>Lo amo Todo él es precioso...sus rectas, sus curvas, el tamaño contenido, el marco que envuelve esa pantalla que parece un misterio...lo sedoso de su tacto... ooohhh siiiii!!!!, lo amo!</t>
  </si>
  <si>
    <t>Buen disco facil de instalar, y de momento, excelente rendimiento. Buen producto. Lo recibí rápido y lo instalé más rápido. Hasta ahora funciona muy bien.</t>
  </si>
  <si>
    <t>Garantía de calidad Bosch Excelente picadora con una relación calidad-precio muy buena. La he utilizado para picar galletas y alguna fruta, y estoy muy contenta con el resultado. También he utilizado el disco batidor para montar nata y se monta en segundos con muy buena consistencia. La marca Bosch es de excelente calidad.</t>
  </si>
  <si>
    <t>Izquierda Recibido Derecha anunciado en web Producto que difiere bastante del original Fabricado en China lo pone en el exterior del paquete Cuero barato y mate sin tratar Trabajado burdamente. Gracias</t>
  </si>
  <si>
    <t>Menta o anisado?... Huele bien, pero no es la menta que yo quiero. Más bien es un olor anisado, dulzón, puede que estuviera yo confundida con el concepto...</t>
  </si>
  <si>
    <t>Aun no ha llegado No se que tal viene</t>
  </si>
  <si>
    <t>reloj mitico de casio todo un clasico de los años 80 los botones estan mu duros..para ver los numeros se necesita LUPA el diseño muy bueno y comodo creia que la iluminacion seria en azul y es blanca como los casio antiguos buen percio diseño caldad----ES UN CASIO</t>
  </si>
  <si>
    <t>Buena bonita y barata Es muy cómoda de usar ya que es bastante ligera. Se desmonta y se limpia fácil. No es la más potente pero para purés y picar algo de verdura que es lo que solemos usar va perfectamente.</t>
  </si>
  <si>
    <t>Genial de precio He comparado precios en diferentes tiendas y aquí en Amazon me salía mucho mejor de precio. La uso para la cámara de fotos y va perfecta. Recomiendo mucho la marca Kigston.  El paquete incluye: 1 x tarjeta micro de memoria 1 x adaptador</t>
  </si>
  <si>
    <t>Muy bien Me ha gustado mucho este cortavientos,el color es bonito, tal como se ve en la imagen. Lleva bolsillos, un gorro guardado en el cuello, forro...en definitiva, buen producto.</t>
  </si>
  <si>
    <t>succion es bueno</t>
  </si>
  <si>
    <t>BOLSO BANDOLERA HOMBRE El bolso le encantó a mi chico xq le vino muy bien con todos los bolsillos q lleva y el precio muy bueno .</t>
  </si>
  <si>
    <t>Buena relación calidad precio Hace lo que muestra la descripción del producto si más. Es rápido, barato y como siempre envío excelente, no obstante creo que por el precio y con los tiempos que corren es mejor optar por memorias de 32 g en adelante</t>
  </si>
  <si>
    <t>Muy confortables. Cómodas y útiles para el ejercicio. Muy confortables.</t>
  </si>
  <si>
    <t>La capacidad y calidad Me ha gustado en general</t>
  </si>
  <si>
    <t>Buena batidora Todo ok. 700 watios a buen precio</t>
  </si>
  <si>
    <t>Perfectos Calidad-Precio, probablemente, lo mejor del mercado. Cómodos, de una calidad excepcional y muy buen acabado. A pesar de ser un armatoste, porque no son para salir a la calle con ellos, se nota que tienen un acabado muy bueno y que son de buenos materiales. Perfectos si te gusta escuchar música en casa como deberías de oirla a un precio fantástico.</t>
  </si>
  <si>
    <t>Calidad precio perfecto Hacen su funcion perfectamente Buena calidad</t>
  </si>
  <si>
    <t>Recomendable Recomendable! Estoy muy contento con este producto, Muy cómoda para verano, queda muy bien, aunque se destiñe un poco después de varios lavados, aún así me comprado varios colores.</t>
  </si>
  <si>
    <t>Diseño, discretos y cómodos Auriculares inalámbricos con un diseño muy atractivos y bastante discretos. Se adaptan perfectos a la oreja y viene con varios adaptadores para diferentes tamaños de conducto auditivo. No te aíslan totalmente del ruido pero si que se nota. La calidad del sonido es bastante buena y lo más importante es que no se caen a la hora de hacer deporte.  Calidad precio espectacular. No llevan botón como tal, son táctiles y sincronizan fácilmente. El único pero es que las instrucciones no están en castellano pero si en ingles, ademas hay un montón de vídeos para ver cómo funcionan. Compra recomendada.</t>
  </si>
  <si>
    <t>muy bonita Son muy chulas.. y buenas .. Pero yo recomendaría para un número 42 de pié un 43/44 número de Brasil.. Porque queda muy justas y cuando se sale un poquito el pié..llegan hacer daño..</t>
  </si>
  <si>
    <t>Relajante La he estado usando un mes y va de fábula. Me resulta muy relajante y me quita las agujetas después de entrenar. Un acierto.</t>
  </si>
  <si>
    <t>La misma función que otros más caros! Me dejaron uno parecido pero más caro y enseguida pensé que me compraría el mío propio,este es más barato y hace la misma función. Va muy bien,sus rodillos parecen las manos de un masajista,una maravilla cuando cambia de sentido y tiene la opción de ponerlo con calor me va bien y he pedido otro para regalar</t>
  </si>
  <si>
    <t>Muy bien Lo que se espera</t>
  </si>
  <si>
    <t>Masajea muy bien los pies Muy Buen producto , después de un largo día de trabajo, llego a mi muy cansado, enciendo el masajeador de pies y es como estar en las nubes, estoy muy contento con esta compra la verdad, recomiendo 100%.</t>
  </si>
  <si>
    <t>Calidad precio imbatible Para el precio, comparados con otros auriculares mas caros, nada q envidiarles.... El secreto aparte d que tienen buen sonido es, q insonorizan bien.</t>
  </si>
  <si>
    <t>Excelentes Me han durado todo un año. Me las he puesto casi todos los días. La lavé en la lavadora y la cargué. Se me corrió el color por la banda blanca</t>
  </si>
  <si>
    <t>Ideales para caminar mucho. Elegid siempre un numero menos y acertareis. Muy muy cómodas y faciles de limpiar. Me recorri toda Roma con ellas y los pies... mejor que nunca. Las recomiendo. El envio rapidisimo.</t>
  </si>
  <si>
    <t>Las más fiables Primero decir que soy fotógrafo profesional y mis principales trabajos son bodas en las que gasto muchos gigas en fotos.  Compré la tarjeta de 128 GB CF para no tener que cambiar entre tarjetas, por lo que más bien fue por comodidad. Trabajo con un SD de 128 y ahora ésta de 128 en grabación simultánea, por lo que estoy grabando las fotos en dos tarjetas a la vez (por temas de seguridad).  Uso la MKIII por lo que como muchos sabréis, al usar SD baja el nivel de velocidad directamente del protocolo para CF por lo que la velocidad no era un factor fundamental. Yo siempre he usado Extreme Pro aunque tienen muchos años y son UDMA 6, mientras que éste modelo al ser UDMA 7 y aún sin ser de la gama PRO, da una mayor velocidad que la anterior.  Siempre uso Sandisk pues en casi 10 años de profesión nunca he tenido problemas de que la tarjeta se estropee (cruzo los dedos).  Hoy voy a darle caña a esta nueva CF y a ver como se comporta trabajando con miles de fotos en pocas horas.  La compré en una oferta Flash por 75€, no la he visto más barata por ahora.</t>
  </si>
  <si>
    <t>Un acierto Perfectas. Tenía otras en otro color, y estas me han salido mucho más baratas y están muy bien.</t>
  </si>
  <si>
    <t>Recambio No lo recomiendo si es para tarima ya que no se exprime lo debido Si está bien para abusar de espalda a la hora de exprimir pero para duelo no delicado frente al agua</t>
  </si>
  <si>
    <t>Aceptable Como perforadora está muy bien, lo único que el indicador de donde poner el papel se rompió al cabo de un año. Me duró 3 años de uso diario, que no está mal, pero podría ser mejor. Se me rompió por el desgaste de los muelles.</t>
  </si>
  <si>
    <t>Talla NO se corresponde Normalmente uso una 38 y la goma de este pantalón me aprieta muchísimo! Sin embargo subiéndomelo+arriba de la cintura midiendo 1,69 me queda bien de largo🤷🏻‍♀️</t>
  </si>
  <si>
    <t>Mala experiencia La vidal útil de esta plancha es (con suerte) de una semana. Rápidamente comienza a perder agua y la placa se oxida.</t>
  </si>
  <si>
    <t>Todo perfecto, un poco suelto por las tiras delanteras anudadas, tengo otro dio un nudo y sujeta más Queda un poco suelto el pie en la parte de delante por las tiras anudadas, pero por el resto perfecto</t>
  </si>
  <si>
    <t>Marcas de las costuras Tienen algunas costuras que dejan marcas de circulación mejor pedir una talla más de lo normal por lo demás todo bien</t>
  </si>
  <si>
    <t>Bien Pero Con algun pero La tarjeta funciona bastante bien. Le tengo puesto una micro sd de 64 en el slot 1 y una de 32 en el slot 2. Juntas me dan 87gb y la reconoce perfectamente la psp, la verdad q es una gozada tener todo lo que quieras metido en la tarjeta. El pero viene en que alguna vez la psp al encender se queda colgada con la pantalla en negro con la lucecita de la ms parpadeando. La reinicias y a mi a la segunda me enciende bien. También pasa alguna vez cargando los juegos. En general stoy bastante contento con ella</t>
  </si>
  <si>
    <t>Cumplen su función Creo que no son originales, tengo los originales que venían con el Note 3 y hay diferencias aunque están muy conseguidos. El original viene con un cable plano y mas robusto, estos tienen el cable redondo y fino. Se oyen bastante bien y como la forma del auricular y la goma es igual que la de Samsung se acoplan perfectamente, creo que por el precio que tiene no se puede pedir mas. En general, bastante contento de momento. Lo de la duración es otro cantar que el tiempo dirá.</t>
  </si>
  <si>
    <t>Todo bien. Buen producto</t>
  </si>
  <si>
    <t>Converse Llevo años llevando estás zapatillas</t>
  </si>
  <si>
    <t>Bien, pero sin cordones Sin cordones</t>
  </si>
  <si>
    <t>De calidad y barato Buenisima calidad! Ha llegado puntual.</t>
  </si>
  <si>
    <t>Buen producto Muy comadas, perfectas frescas y ventiladas</t>
  </si>
  <si>
    <t>Fantásticas zapatillas Comodidad y estética unidas en una. La rapidez y eficacia de Amazon de 10.</t>
  </si>
  <si>
    <t>Perfecto Descripción del producto correcta</t>
  </si>
  <si>
    <t>Cascos Bluetooth La compra de este artículo fue por que necesitaba unos cascos para ir a correr y quitarme del lío de los cables, me llegaron hace un par de días y la verdad es que desde que abrí el paquete me sorprendieron tanto por la presentación en la caja como por supuesto la sonoridad y comodidad al llevarlos. Conectan con el Bluetooth del móvil solo al encerdenderlos por lo que veo un producto perfecto en relación calidad-precio con lo que se oferta en el mercado. Muy buena compra.</t>
  </si>
  <si>
    <t>Muy bueno &lt;div id="video-block-R1KAT4SYKWFAQ2"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src="https://images-eu.ssl-images-amazon.com/images/I/91rSXqzoMNS.mp4" style="position: absolute; left: 0px; top: 0px; overflow: hidden; height: 1px; width: 1px;"&gt;&lt;/video&gt;&lt;/div&gt;&lt;div id="airy-slate-preload" style="background-color: rgb(0, 0, 0); background-image: url(&amp;quot;https://images-eu.ssl-images-amazon.com/images/I/71ddvnnysqS.png&amp;quot;);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value="https://images-eu.ssl-images-amazon.com/images/I/91rSXqzoMNS.mp4" class="video-url"&gt;&lt;input type="hidden" name="" value="https://images-eu.ssl-images-amazon.com/images/I/71ddvnnysqS.png" class="video-slate-img-url"&gt;&amp;nbsp;El peso de mano es perfecto, no será pesado, es muy poderoso, es muy fácil, es fácil batimos los huevos. Lo más importante es que el precio es muy asequible. Vale la pena</t>
  </si>
  <si>
    <t>Buen producto Los compre para ocultar los cables en la parte baja de la mesa y la verdad que para el peso de los cables va perfecta la cinta de pegar que trae, si le saco alguna pega seria que puse dos para sujetar una regleta grande y al final se acabo despegando, pero eso ya se veía venir ya que pesa lo suyo lo bueno las piezas estas tienen un agujero en el centro para poner un tornillo así que todo perfecto.</t>
  </si>
  <si>
    <t>Calidad fabricada por Seagate Estaba dudando entre éste HDD y otro Seagate (un poco más caro). Al recibirlo, veo que las instrucciones, garantía y firmware del producto indican que realmente es de Seagate. Así que contento con la compra. Ya tenía de antes otro disco igual pero de 500Gb. Lo tengo desde hace varios años y cero problemas.</t>
  </si>
  <si>
    <t>Calidad-precio perfecto Relacion calidad peso perfecta. Tiene peso por lo que no se mueve al cortar el celo. Muy recomendable su uso.</t>
  </si>
  <si>
    <t>Muy contento, buen producto. Es bastante efectivo, ha quitado hasta el pegamento que se queda cuando despegas una cinta adhesiva.Lo hemos usado en un obrador de pan y para mi sorpresa es apto para uso alimentario con lo cual es un producto permitido por sanidad para limpieza de establecimientos alimenticios.Lo hemos usado sin rebajar y lo usaremos rebajandolo con agua.</t>
  </si>
  <si>
    <t>Ideal para trail. De calidad, buen tacto y buen ajuste para el trail.</t>
  </si>
  <si>
    <t>pefectos se ajustan aguantan los lavados y no salen pelotillas, quedan muy chulos y no huelen despues de sudarlos mucho los volvere a comprar</t>
  </si>
  <si>
    <t>Perfectos ! Bonitos</t>
  </si>
  <si>
    <t>Gran compra. Gran calidad en los materiales, no se estropea con el sudor. Buena compra!</t>
  </si>
  <si>
    <t>Ordenador nuevo Si quieres un ordenador nuevo, no hace falta que cambies todas las piezas, con que le pongas este SSD notaras que tienes un ordenador nuevo.  Te arranca el PC en 5 segundos, y todas las aplicaciones cargan 10 veces mas rápido. Si instalas los juegos en este disco duro, los tiempos de carga se reducen mil veces.  Compra no recomendable, NECESARIA!</t>
  </si>
  <si>
    <t>Muy Cómodo</t>
  </si>
  <si>
    <t>Masajes? Cumple bajo mínimos su función. Me he quedado algo desilusionado, me esperaba un producto mejor. Si mejoran su producto lo probaría</t>
  </si>
  <si>
    <t>Para aquellos que busquen un pen drive para diario Es un buen pen drive, lo compré porque quería actualizar mi viejo data traveler G1 de 2GB. Cumple correctamente con lo que se espera de un pen drive con el añadido de ser usb 3.0 aunque con las tasas de transferencia mas bajas que puede ofrecer. Si buscais velocidad, este no es el indicado. Si buscais fiabilidad y durabilidad 100% recomendado</t>
  </si>
  <si>
    <t>Suspenso. Eje vaso grande roto. En menos de 6 meses se ha roto el eje del vaso grande, así que ya no sirve para casi nada, solo puedo utilizar el vaso pequeño. Si no fuese por eso, estaría contento, peroooo... SUSPENSO.</t>
  </si>
  <si>
    <t>Para mi una imitación En la mano se ve penoso de terminaciones y aspecto general</t>
  </si>
  <si>
    <t>Muy mala decisión Plásticos de muy mala calidad. Gastas mucho más dinero en una batidora "PRO" y te encuentras con mejores rendimientos en las de 30€. Pésima atención al cliente, saben que usan plásticos de pésima calidad y los excluyen de la garantía. Muy mala elección te prometen una batidora profesional y te encuentras con una batidora del montón a precio de oro. Nunca más.</t>
  </si>
  <si>
    <t>Reloj Casio Buena calidad y muy buen precio, la marca Casio por regla general es un buen acierto, lo único desconocía el embalaje mini caja de cartón y queda un poco pobre cuando se trata de un regalo ;D</t>
  </si>
  <si>
    <t>MUY CONTENTA CON LA COMPRA SON TAL Y COMO ESPERABA, Y LLEGARON A TIEMPO SCKECHER DA UNA TALLA MENOS DE ZAPATILLAS QUE OTRAS MARCAS SON PERFECTAS PARA OTOÑO Y PRIMAVERA, NO SON TAN FRESCAS COMO OTROS MODELOS, Y LA TELA APARENTEMENTE REPELE EL AGUA</t>
  </si>
  <si>
    <t>Bueno pero.. Todo bien,es un relog bonito y resistente pero tiene una pega q no se puede ver bien la parte digital por que es demasiado clara y aveces las agujas lo tapan y no puedes ver la fecha o lo q sea q quieras ver</t>
  </si>
  <si>
    <t>Bien y precio Va bien</t>
  </si>
  <si>
    <t>Joaquin La he usado para rebajar 8 grandes vigas de madera que estaban muy negras, y se ha comportado bien, es perfecta para un bricolaje ocasional.</t>
  </si>
  <si>
    <t>Genial Buen regalo</t>
  </si>
  <si>
    <t>Aspiradora Buenísima, la verdad buena calidad.</t>
  </si>
  <si>
    <t>Todo perfecto Todo perfecto llegando antes de tiempo</t>
  </si>
  <si>
    <t>Genial Excelete, superó mis espectativas.</t>
  </si>
  <si>
    <t>Buen precio Funciona perfectamente, es rápida al pasar fotos al ordenador. La uso con una cámara réflex y de momento sin problemas. Producto muy recomendable</t>
  </si>
  <si>
    <t>Mac pr 2013 ( Cilindro ) No lo detecta, ni con High Sierra ni Mojave,  Un saludo.</t>
  </si>
  <si>
    <t>ATH-M50X Vs V-Moda M100 (Incomparables) Compra los dos!! Excelentes. Cascos de referencia para estudio. Si los vas a usar para producir música adelante. Sonido plano, preciso, poco excitante pero realista y con un nivel de detalle realmente sorprendente. Tienen cierto énfasis en subgraves que se agradece si se usan con música electrónica pero que no emborrona ni perjudica el resto de frecuencias. Para música acústica son increíbles y están a un precio excelente. Causan cierta fatiga tras largos periodos de escucha debido a que aprietan bastante (hay gente que los deja descansar abiertos puestos en una caja para ablandarlos un poco) Por contra no son los más adecuados fuera del ámbito de un estudio. Si lo que quieres es usarlos para pinchar o sobre todo escuchar música electrónica entonces la mejor opción son los V-Moda M100 los cuales tienen un sonido mas excitante con más "punch" y sonido más en V pero con un nivel de calidad sin precedentes y se les puede sacar todo su potencial incluso con dispositivos móviles además de con hardware profesional. (Ni Beats ni historias, están a otro nivel) Igualmente pienso que la gente que compara estos Audio Technica con los M100 no ha debido escuchar los dos juntos en las mismas condiciones por que son sonidos incomparables destinados a cosas diferentes. Hay que tenerlo claro. Por lo que estos cascos cuestan son una maravilla.</t>
  </si>
  <si>
    <t>tarjeta de sonido externa o interface de audio el envio me llegó hace tres días y después de probar esta Beringher UMC204 HD estoy más que satisfecho porque ofrece para un estudio casero muy buenas prestaciones más que aceptables de audio para grabar tus propias maquetas ,lo puedes usar tanto para grabar tu música, como para escuchar sonido en tu pc con unos altavoces de estudio o si quieres puedes enchufarle unos cascos para no molestar ,cuenta con 2 entradas mono para enchufar guitarra bajo o un instrumento de cuerda ,2 entras xlr o canonpara micrófono y por detrás tiene 2 salidas xlr  4 salidas plug estéreo y RCA ,además del conector phatasma de 48 voltios para micros de condensador</t>
  </si>
  <si>
    <t>Complemento positivo. Es un complemento perfecto para el micrófono, sobre todo para reducir en gran medida los ruidos de la calle, centrándose en el sonido principal de la voz.</t>
  </si>
  <si>
    <t>Ok Ok</t>
  </si>
  <si>
    <t>Muy cómodo. Lo recomiendo El envío el día previsto. Es para mi madre (83 años) con mucha artrosis en las manos. Dice q es muy comodo. Está encantada con el cierre delantero. Va a comprar más</t>
  </si>
  <si>
    <t>Funcionalidad Perfecto acabado y muy bien compartimentada Te lacio calidad precio de diez</t>
  </si>
  <si>
    <t>So autonomos en modo radio. Auriculares bluetooth, con ranura para micro SD, manos libres para el tlf y radio FM sin necesidas de conexión al móvil...la verdad es que ofrece un montón de cosas a un precio mas que razonable. Los compré para regalarselos a mi padre aunque los he usado yo unos dias antes para ver como iban y genial. Mi padre muy contento..los compre porque llevan radio y a el le gusta escuchar la radio cuando sale a pintar y no queria unos que le apretasen mucho o de los que se introducen en el oído, dice que le molestan...estos se acoplan muy bien y quedan sujetos por encima de la oreja y por la parte trasera de la cabeza/cuello. A mi se me acolan bien y mi padre que tiene la cabeza un poco más grande también..así que supongo que se acoplaran bien a cualquier persona. Apenas aprietan la oreja con lo que son comodos. En cuanto a calidad de sonido, sobra mucho, se oyen como cuanquier auricular decente. Y la radio no pierde la señal, al menos en la ciudad donde vivo. El regalo le ha gustado mucho, con lo que contento con la compra.</t>
  </si>
  <si>
    <t>Súper rápido el pedido y tal como esperaba Me ha gustado la rapidez y la calidad de las deportivas</t>
  </si>
  <si>
    <t>Muy practico y de calidad. Ya he tenido este mismo modelo en otra casa donde compartia habitación. Al mudarme a la mia propia no dudé en comprarme uno. Es bastante grande y con materiales de calidad.</t>
  </si>
  <si>
    <t>Buen mando Buscaba un mando así para las presentaciones de la universidad y puedo decir que estoy contento, al menos para el uso que voy a darle cumple sobradamente, en un minuto estaba conectado y funcionando. El puntero se ve bien de día en la pantalla del proyector, el resto de funciones imagino que irá bien además se agradece el detalle de la pila incluida.</t>
  </si>
  <si>
    <t>Estupendo Desde q nació es el q utilizamos, y jamás Le ha dado un cólico ni ha tenido gases. Es genial!!</t>
  </si>
  <si>
    <t>Disco duro del año Muy contentos con este disco duro, de hecho hemos comprado varios como este,muy rápidos tanto en escritura como lectura, teniendo en cuenta que es un disco duro líquido.La durabilidad por el momento bien ya veremos dentro de unos años. Si tienes que comprar un disco duro de almacenamiento no busques otro , este es perfecto.</t>
  </si>
  <si>
    <t>Regular, baja velocidad Es una tarjeta que dependiendo para lo que la uses te servirá. Su velocidad de grabación y lectura es lenta para los dispositivos actuales, el mismo móvil lo avisa, ídem con la grabación desde ordenador, por lo que si necesitas servicio rápido, no es tu tarjeta. Si solo quieres almacenamiento sin importar la velocidad, entonces ok, buen precio para el almacenamiento que ofrece.</t>
  </si>
  <si>
    <t>Ideal Lo compré para probar con mi peque que no cogia ningún biberon y este le va fenomenal.</t>
  </si>
  <si>
    <t>Tal y como se ve en la imagen Esta bien</t>
  </si>
  <si>
    <t>no vale para nada. solo se oyen interferencias, he probado todos los canales y a diferentes niveles de sonido. lo voy a devolver.</t>
  </si>
  <si>
    <t>Buena calidad Me gusta que tiene muchos departamentos y varios con cremallera,  no me gusta especialmente el color. El uso pensado es para guardar lo de valor que llevamos a la playa, para los paseos...</t>
  </si>
  <si>
    <t>Ok Jabón escaso pero bien</t>
  </si>
  <si>
    <t>Esta bien! Es cómodo, aunque hubiese pedido una talla más.</t>
  </si>
  <si>
    <t>Ligeras y cómodas Ja tenía unas de la misma marca pero con cordones, así que me atreví con comprar éstas sin. Són muy ligeras y cómodas y tiene un efecto un poco brillante que le dan elegancia y hasta un toque de zapado de vestir.  Muy contenta con ellas...</t>
  </si>
  <si>
    <t>Práctico y cómodo Sencillo y cómodo, para no tener que llevar peso en los bolsillos. Muy práctico para verano, incluso se puede lavar..</t>
  </si>
  <si>
    <t>Gran calidad y muy buen sonido Auriculares de muy buena calidad y sonido. Vienen con una funda dura para protegerlos y se conectan muy fácilmente por bluetooth. Yo los utilizo para el trabajo durante muchas horas y la batería aguanta muy bien. Un acierto haber comprado este producto</t>
  </si>
  <si>
    <t>Clase 10 en todo... Nos encontramos con una Tarjeta SD + Adaptador de "clase 10" en todos sus aspectos. Tasas de lectura y escritura altas que eliminan cualquier demora al hacer uso de ella. El precio sin duda acompaña puesto que nos llevamos una compra maestra a un precio difícil de encontrar en los comercios habituales.  Tras meses de uso en un Xiaomi Redmi Note 2, su rendimiento sigue al nivel del primer día, pudiendo disfrutar de cualquier contenido multimedia sin ningún tipo de problema o demora.  Recomendadisima compra para cualquier equipo electrónico que necesite de estas pequeñas tarjetas de memoria.</t>
  </si>
  <si>
    <t>Tal y como esperaba Muy bien el producto</t>
  </si>
  <si>
    <t>Genial para batidos Me encanta, yo la uso para batidos de fruta y pica el hielo sin problema. Fá il de usar y limpiar. No es silenciosa.</t>
  </si>
  <si>
    <t>Todo perfecto Todo perfecto</t>
  </si>
  <si>
    <t>Satisfecha con mi compra Queda como esperaba. Me gusta como queda. Es cierto que al principio suena, pero a medida que se va ulitizando deja de hacer ese ruido. A mi me gusto bastante.</t>
  </si>
  <si>
    <t>Producto y atención al cliente Me compré estos auriculares el pasado Amazon Prime Day y los estuve usando por unos dos meses, muy contento con ellos, aguantaban muy bien al hacer deporte y al masticar (los puse muy a prueba). Se me cayeron un par de veces por no colocarlos bien del todo, pero sin problemas y todo perfecto. La calidad del sonido es buena gracias a una cancelación de ruido que hace involuntariamente. El micrófono lo he testeado y suena bastante bien, por ese precio merece mucho la pena. Tienen controles táctiles con muchas funciones: Parar y reproducir música, pasar y volver música/vídeo, asistente de voz, responder llamadas, colgar llamadas y no se si me dejo algo más. (No puede subir y bajar volumen). La caja base da para bastantes horas, no tendrás que preocuparte mucho por la batería. El auricular derecho puede funcionar por independiente, pero el izquierdo depende del derecho. Y en cuanto a diseño son bonitos y no ocupan mucho espacio, caben en un bolsillo de sobra. Esta caja de carga está inmantada, aunque probablemente más de una vez tendrás que darle con el dedo para que pille bien la carga.  Yo tuve un problema con ellos, a los dos meses de estarlos usando el soundpeat izquierdo dejó de sonar (sólo el sonido), y al tiempo me pasó lo mismo con el derecho. Por suerte leí en uno de los papeles de la caja que tiene 21 meses de garantía y contacté con el servicio al cliente, que entendió mi probablema y me ofrecieron reembolso o el envío de otros auriculares. A pesar de que haya tenido algún problema con los auriculares quedo bastante satisfecho con el producto, (a pesar de que dejaran de funcionar), y sobretodo con el trato recibido por la empresa, que se mostró bastante comprensiva. Saludos</t>
  </si>
  <si>
    <t>Exclente Reloj Estaba buscando un reloj de una marca que tenga prestigio y cual mejor de casio, el reloj cumple con mis espectativas un bonito diseño, sobrío, no es muy pesado, recomendable</t>
  </si>
  <si>
    <t>Buen Reloj. Buen Reloj. Buena Calidad Materiales si acaso hecho en falta que la hebilla de la correa sea metálica por lo demás bien. No es un reloj pesado ni muy aparatoso.</t>
  </si>
  <si>
    <t>Muy satisfecha Bonita y potente. De momento estoy contenta con todo lo que hago. Textura perfecta.</t>
  </si>
  <si>
    <t>Bueno, bonito y barato. Muy bonito</t>
  </si>
  <si>
    <t>Talla y calidad perfecta El tallaje es perfecto yo uso l y no hay que pedir ni mas grande ni mas pequeña simplemente tu talla la tela es de gran calidad y mos colores se corresponden totalmenten encantado con la marca</t>
  </si>
  <si>
    <t>Lo más importante es que no hace ningún ruido.A mí me encanta los colores y además funciona muy bien Para espacios reducidos , pequeños es perfecto,no hace nada de ruido y las luces son tenías todas.Osea que en dos palabras, es perfecta</t>
  </si>
  <si>
    <t>Muy buena Venía de otra Bapi, La de 850W que se estropeó después de mucho trote. Elegí la misma marca y no me equivoqué. Además la han hecho más potente y algo más compacta. La única pega es que la conexión de algunos accesorios (el brazo o el adaptador para la picadora o las barillas) ha cambiado y no he podido reutilizar todos</t>
  </si>
  <si>
    <t>Volvería a comprarlo Es fácil de utilizar , no ruidoso y bonito para decorar y regalar. Un regalo practico. Encantada</t>
  </si>
  <si>
    <t>Envío correcto y buen precio Para mi talla, el mejor precio del mercado con diferencia. Son los náuticos más resistentes de todos los que he probado. La calidad y acabdo de los materiales es muy buena</t>
  </si>
  <si>
    <t>Preciosas me encantan Muy cómodas me encantan igual un pelín justa de talla</t>
  </si>
  <si>
    <t>Buen cable Lo uso a diario junto con una focusrite scarlett 2i4 y un micrófono akg p120 y la verdad que perfecto, sin interferencias y buen anclaje, no baila nada. la construcción tiene muy buena pinta para su precio.  Totalmente recomendado.</t>
  </si>
  <si>
    <t>Siente el poder en tus manos Que para ser una aspiradora de batería aspira como una con cable. Es verdad que la duración de la batería de  "hasta 60min" es con la velocidad 1 de aspiración pero por ahora no me he visto en la necesidad de subir a 2 o al turbo. La recomiendo</t>
  </si>
  <si>
    <t>Mar Muy fina. Su aspecto no es agradable. No me gusta. Es muy fina y parece una cuerda transparente. No lo recomiendo.</t>
  </si>
  <si>
    <t>No es cuero..., aunque quedan bien No son de cuero como indica, y no parecen demás resistentes...,eso si son muy cómodas de poner y quitar y al no ser cuero se adaptan mas rápido.</t>
  </si>
  <si>
    <t>Alberto Descontento, biene en un estuche que no corresponde, estando este roto para que puedan entrar la escuadra y el cartabon y este ultimo esta dañado en una punta, cosa que tampoco es de extrañar al venir sueltos en un plastico roto.</t>
  </si>
  <si>
    <t>No para de bloquearse El pen drive es de muy mala calidad, no es capaz de pasar 200 mb sin bloquearse o interrumpirse, muy bajo</t>
  </si>
  <si>
    <t>Javier engañado Ni para pisa papeles, no se me ocurrió mojar lo tras leer comentarios de los demás compradores, pero al segundo día se apago, Le cambie la pila que vale más que el reloj, y no anda Que lo disfruten y se lo gasten en antiacido</t>
  </si>
  <si>
    <t>Batidora siempre a mano, muy ultil y de fácil limpieza. Me gusta por la comodidad en su uso, por ocupar poco espacio y fácil limpieza. Los smoothies salen geniales.</t>
  </si>
  <si>
    <t>Buena grapadora Buena relación calidad precio</t>
  </si>
  <si>
    <t>Les encanta _El Fabricante nos envía un Carrito, un cubo, una escoba, una fregona y un recogedor.  _Conclusiones: Es un Kit de limpieza que lógicamente es un jugete, pero a primera vista da el pego. A partir de aquí ya todo son críticas. El recogedor no se aguanta de pié, la fregona tiene seis colgajos (literalmente), el cepillo/escoba es de cerdas duras que dentro de lo que cabe algo arrastrarán/barreran :-) y el cubo con escurridor incorporado es lo único que veo "bien". El carro es de plástico, así que no espereis nada del otro mundo, son todo utensilios de plástico, que no dejan de ser de juguete. Podían haberse esmerado un poco mas en las terminaciones del producto.  _Pros: Nada que destacar.  _Contras: La fregona podía "mejorar". Todo plástico.  Saludos By Flype</t>
  </si>
  <si>
    <t>Bien Ha llegado antes de lo que se esperaba. Bastante acorde con la foto</t>
  </si>
  <si>
    <t>Cómodas, pero sin cordones En general bien. Es quizás la marca más cómoda de zapatillas. No le doy las 5 estrellas porque no tiene cordones. Los que se ven en la foto son de adorno, pero no se pueden abrochar, por lo que el pie queda algo suelto</t>
  </si>
  <si>
    <t>Perfecto Perfecto! Super bonito y diseño muy retro. la verdad es q me encanta y suelo usarlo siempre. Lo unico malo q le encuentro es q no tenga luz</t>
  </si>
  <si>
    <t>Buena compra Se queda la cal en la parte de bajo, pero es normal al calentar el agua a esa temperatura. Muy buen precio.</t>
  </si>
  <si>
    <t>cómodo y suave material muy suave y cómodo. bonito diseño. se ajusta perfectamente.</t>
  </si>
  <si>
    <t>El clásico tapón de plástico pero metalizado Elegí estos tapones para que hiciesen juego con las llantas cromadas y estoy satisfecho con la elección. Se ajustan perfectamente y se asemejan a los clásicos tapones de plástico, pero en metal cromado. Tienen un precio ajustado y llegaron en apenas 11 días.</t>
  </si>
  <si>
    <t>beyer te da lo que buscas tras tiempo buscando unos auriculares que fueran buenos y no se dispararan de mi presupuesto, sin duda estos han sido una muy buena opción y realmente se escuchan de maravilla.Se lo aconsejo a cualquiera porque no le van a defraudar, en calidad de material y sobretodo de sonido.</t>
  </si>
  <si>
    <t>Muy satisfecho con la compra Lo usamos a diario y varias veces ... somos muy fan de las infusiones. Nos parece un producto totalmente recomendable !!!</t>
  </si>
  <si>
    <t>Batidora normal a precio increíble Pensé que por el precio se trataría de una batidora para muy poco uso, pero funciona muy bien, no se calienta mucho más que cualquier otra, y la utilizo para todo tipo de comidas. Lástima que no se pueda desmontar el brazo, aunque el motor no se estropea por que le entre un poco de agua al fregarla.</t>
  </si>
  <si>
    <t>Elegante ycomodo Reloj muy comodo, la correa ajusta perfeca y tiene buen tacto. los botones funcionan muy bien. En persona se ve un reloj muy elegante con el negro y rojo.Recomiendo</t>
  </si>
  <si>
    <t>Auriculares inalámbricos Auriculares super cómodos y ligeros. La batería dura bastante y la carcasa da como para 3 cargas. Calidad del sonido muy buena. Los uso en el gimnasio, corriendo para los ratos muertos de camino al trabajo....muy contento con la compra.</t>
  </si>
  <si>
    <t>bonito bonito y elegante, llego muy rapido,</t>
  </si>
  <si>
    <t>Producto de calidad estandar sin problemas Bien</t>
  </si>
  <si>
    <t>Inna És perfecta la he tenido puesto Todó el invierno,coje toda la cama . Temperatura perfecta . La recomiendo 100% .</t>
  </si>
  <si>
    <t>Tal cual la descripción Zapatillas cómodas y robustas a pesar de ser zapatillas bajas. Interior de piel a tener en cuenta para las temperaturas del verano.</t>
  </si>
  <si>
    <t>Sujeta y es comodo una vez puesto. El color es diferente y llamativo. Se coloca por la cabeza, y al tener pecho, no es lo mas comodo para ponerselo, añadiendo que tambien estan los aros con lo que resulta un poco dificil pero para mi no resulta tan engorroso como para no aconsejarlo o no darle una buena puntuación.  Y la talla coincide con la que normalmente utilizo.</t>
  </si>
  <si>
    <t>Limpia bien. Buscaba uno más grande, pero este limpia perfectamente y la ducha queda sin manchas de cal.</t>
  </si>
  <si>
    <t>Excelente calzado Las compre para mi marido que tiene dificultat para calzarse...son súper comodas,de horma ancha y faciles de poner.Llegaron antes de la fecha prevista,las recomiendo 100%</t>
  </si>
  <si>
    <t>Cómodos Muy cómodos. No son pesados por lo que resulta un calzado ideal para diario.</t>
  </si>
  <si>
    <t>Presentacion impecable El articulo corresponde con la fotografia del vendedor, buena presencia y buen material. Cumple con su cometido de bolsa para llevar en el pecho con bastante espacio para guardar articulos. Entrega en fecha tal como prometieron.</t>
  </si>
  <si>
    <t>Mucho ruido La batidora hace muchísimo ruido. Lo de 0 decibelios como que no.</t>
  </si>
  <si>
    <t>Está bien pero el brazo... Está bien, pero el brazo es "de los chinos", al final me he comprado un micrófono con condensador que viene todo montado en un pack y este lo voy a dejar para que mi familia me haga los coros xD.</t>
  </si>
  <si>
    <t>Tamaño escaso, se queda corto. Es demasiado pequeño de tamaño. Hay que forzar mucho las gomas que trae de sujeción y además el conector puede llegar a molestar.  Deberían hacerlo para acercarse al tamaño de una cama estandard que suele  ser de 0.90 x 1.90. Por lo demás bien.</t>
  </si>
  <si>
    <t>Malos Mal calzado .le doy una estrella porque no puedo darle cero.no los puedo poner ya que se va el pie para todos lados.la suela es de goma mala se va para todos lados.no recomiendo.dinero tirado.no los devuelvo por q ir los use.sino irían de vuelta.me siento estafada con este calzado.</t>
  </si>
  <si>
    <t>No funciona, caja abierta Será muy buena batidora pero llegó la caja abierta y los productos dentro de la caja estaban como si ya se hubieran usado. Y lo más importante que la batidora directamente ni funciona, no se enciende ni hace nada. La tuve que devolver y pedir otra. Esta vez llegó la caja bien, pero tampoco funciona.</t>
  </si>
  <si>
    <t>Realmente funciona Lo compré un poco desconfiada, porque estos aparatos prometen mucho y luego no son tan eficaces, pero realmente es relajante y masajea muy bien, parecen dedos dándote masaje, tiene bastante fuerza en sus tres posiciones y la única pega, es que es un poco pesado y los botones de encendido y marcha, deberían estar más a mano, pero como masajeador merece la pena.</t>
  </si>
  <si>
    <t>Gran micro, mejor precio Por ese precio es el mejor micro que he tenido, y eso que he tenido micro de todos los precios y calidades, pero como esté en cuanto a materiales de construcción y funciones es el mejor</t>
  </si>
  <si>
    <t>Pidan su talla habitual No son muy cómodas</t>
  </si>
  <si>
    <t>Buen producto Soy de valencia y por la proximidad al mar hace una humedad increíble, quizá no tanto como en ciudades de por ejemplo Andalucía pero raro es el día en que no se llega a un 85% de humedad en el ambiente. Además, tengo el pelo especialmente fino por lo que el encrespamiento del mismo ha sido siempre inevitable. Un mes después de recibir el aceite de argan en el que lo he usado unas 4 veces puedo decir que el efecto en el cabello es notable, se ve más brillante, con más cuerpo y más sano sobretodo en las puntas además de combatir eficazmente el mencionado efecto frizz/encrespado. En definitiva es un producto fiable y recomendable, también lo uso como after save tras el afeitado y se nota bastante esa hidratación extra que da a la piel.</t>
  </si>
  <si>
    <t>Perfecta Parece bastante gordita y calentita. Mido 1.75 y peso 75 kilos y me he cogido la M y es la talla perfecta. Ni ancha ni estrecha. Por si le sirve a alguien de referencia.</t>
  </si>
  <si>
    <t>Muy buenas Siempre ando necesitando alguna de estás, así que viendo el precio decidí ir a lo grande.  Son bastante gruesas y se nota la calidad. Nada que ver con otras que parecen de papel.</t>
  </si>
  <si>
    <t>Estupendo Buena calidad del producto. Muy cómodo.</t>
  </si>
  <si>
    <t>Muy práctica Se pliega fácilmente y cabe en cualquier rincón de la casa, como pega decir que el fondo resbala un poco, por lo que hay que tener cuidado cuando bañas al niño.</t>
  </si>
  <si>
    <t>Comodidad, calidad y precio. Unos zapatos de seguridad fuertes y cómodos, Relación calidad/precio una maravilla. Llegaron el día previsto bien empaquetados. Estoy muy contento con esta compra, los recomiendo!</t>
  </si>
  <si>
    <t>Muy bueno! Muy bueno, simple y cumple con su objetivo!</t>
  </si>
  <si>
    <t>Bonitas y buena calidad Ya las había comprado antes. Son bonitas y de muy buena calidad. El servicio de entrega en tiempo, con lo cual todo perfecto.</t>
  </si>
  <si>
    <t>perfecto Perfecto, lo que esperaba</t>
  </si>
  <si>
    <t>Imbatible calidad-precio Perfecto</t>
  </si>
  <si>
    <t>Más que satisfecho Siempre había utilizado para mis "ratos de bricolaje" el calzado viejo que va quedando por ahí y como consecuencia de ello, ya he tenido varios sustos por caídas o golpes por no hacer caso a las recomendaciones de los expertos... "utilizar calzado apropiado". Compré estas botas y estoy encantado. Son bastante robustas, tienen buena protección en la puntera y en los talones y son muy cómodas. Las recomiendo absolutamente. La entrega, como siempre en Amazon... un 10!!</t>
  </si>
  <si>
    <t>Bueno pero grande Buen producto pero grande</t>
  </si>
  <si>
    <t>reloj ok</t>
  </si>
  <si>
    <t>Zapatilla Son muy comodas y muy ligeras muy buena compra</t>
  </si>
  <si>
    <t>Muy satisfecho Gran compra, muy bonita, se ve muy resistente y si no waterproof almenos bastante resistente al agua, capacidad media-pequeña, es lo que buscaba. Capacidad para tabletas grandes y libretas din-A4. Posibilidad de asa a una u otra banda y regulable, y esta tratada con algún producto para repeler el agua, que la deja con una textura dura pero que a mi no me desagrada y supongo k con el tiempo va suavizándose. El concepto de anti-robó yo no lo usaria, pk si quieres pueden abrirte la cremallera si problema, lo que te la puede colocar por delante para evitar riesgos y es bien cómoda.</t>
  </si>
  <si>
    <t>Precioso Precioso y muy bien empaquetado.</t>
  </si>
  <si>
    <t>Buen producto A pesar de ser una simple tarjeta, va como la seda el móvil desde que le he incorporado la tarjeta. Además el servicio de entrega ha sido óptimo, recibiendo el producto muy pronto.</t>
  </si>
  <si>
    <t>Forro polar ajustado y cómodo Forro polar ajustado  para moverte por el barco cómodamente en navegación, liviano y cómodo.</t>
  </si>
  <si>
    <t>Muy útiles. Anteriormente compré otra marca y se oxidaron el primer dia... Éstas si son de acero inoxidable y van muy bien. Totalmente recomendables.</t>
  </si>
  <si>
    <t>Muy buenas Muy buenas estás vitaminas. Utilice las de embarazo y ahora estás que son de lactancia.</t>
  </si>
  <si>
    <t>No es lo q esperaba No funciona bien mi humificador además deja todo alrededor mojado.  El vapor sale y no se dispersa se hace agua alrededor del aparato y moja todo.</t>
  </si>
  <si>
    <t>Mal tallado Mal tallado una S es como una L</t>
  </si>
  <si>
    <t>Olor demasiado fuerte Ha sido un regalo. Trae variedad de aceites, no he tenido oportunidad de probarlos dado que al tener asma me afectan demasiado los olores fuertes.</t>
  </si>
  <si>
    <t>Me ha durado entera un año Tras un año de uso, sus accesorios se van rompiendo poco a poco. De primeras se sale el tubo y se cae con fuerza al suelo con lo que cuidado con los parquets que los marca. Luego la rueda y su filtro se sale y tengo que sujetarlo con cinta americana y ni con esas. Es una pena porque creo que lo que es el motor funciona genial pero los acabado son penosos. Estaba mirando para comprarme un robot aspirador y los que tiene esa marca parecen geniales peor por culpa de este aspirador me compraré otra marca seguro.  saludos.</t>
  </si>
  <si>
    <t>Sorpresa inesperada He comprado el biberón a través de esta plataforma porque ya tenía uno igual (comprado en un hipermercado). Mi sorpresa ha llegado cuando se lo voy a dar a la niña y la tetina no venía agujereada. He intentado hacérselo con una aguja pero ha sido imposible que hiciese la misma función que el que ya tenía. Estoy bastante insatisfecha, al final no he ahorrado tiempo comprando por internet, tengo que ir al hipermercado para adquirir las tetinas u otro biberón.</t>
  </si>
  <si>
    <t>Solo es para quitar dolores, no para fortalecer ni ejercitar Lo compré porque decia el anuncio que valia tanto para quitar dolores como para hacer ejercicio pero solo es para lo primero, ya que en las instrucciones no hay ningun modo para fortalecer ni nada parecido. Lo devolví</t>
  </si>
  <si>
    <t>Gran producto Unas zapatillas muy cómodas y bonitas. Ojo, se usa una talla 38 y se compró una talla 37 a propósito. No se lleva las 5 estrellas por el lío de las tallas (con un devolución de por medio) y por los cordones elásticos, no acabo de verlos.</t>
  </si>
  <si>
    <t>reloj estoy muy contento con el reloj me gusta y lo llevo bien solo una pega, y es que la pulsera hay que ir al relojero para ajustar</t>
  </si>
  <si>
    <t>Relajante! Al principio es incomodo, pero después de 5 minutos resulta relajante! No me arrepiento de haberlo comprado y la verdad lo he aconsejando a un amigo que de momento esta contento!</t>
  </si>
  <si>
    <t>Buena calidad Calidad a buen precio. Muy cómodas.</t>
  </si>
  <si>
    <t>Muy bonitos Muy bonitos y vienen en su caja.</t>
  </si>
  <si>
    <t>todo ok todo ok</t>
  </si>
  <si>
    <t>Espectacular Muy bueno el tamaño y el funcionamiento. Espectacular el dual. Sandisk es marca recomendada y el precio está acorde. Ok</t>
  </si>
  <si>
    <t>Totalmente recomendable Buen producto en relación calidad-precio, no hace apenas ruido y tiene mucha capacidad, además del plus del mando a distancia.</t>
  </si>
  <si>
    <t>Diseño, calidad y rapidez de servicio Diseños</t>
  </si>
  <si>
    <t>Una buena alternativa a las old skool Van muy finas! Tallan bien y se lavan sin problema, que las grises la verdad que se ensucian fácil</t>
  </si>
  <si>
    <t>Crema masaje con arnica Esta muy bien, la crema se extiende bien, calma bastante los dolores, ya que son muy fuertes y difíciles de quitar. Sale muy bien de precio en relación de calidad y cantidad de producto. Recomiendo comprador.</t>
  </si>
  <si>
    <t>Zapatillas súper cómodas. Me encanta!!! Trabajo de camarera al menos 8h al dia y son realmente cómodas. Recomendadas al 100%</t>
  </si>
  <si>
    <t>Perfec Es perfecto, según las indicaciones y descripción del producto. Todo bien tanto embalaje, presentación. Ok</t>
  </si>
  <si>
    <t>Muy bueno Excelente compra</t>
  </si>
  <si>
    <t>Perfecto Perfecto</t>
  </si>
  <si>
    <t>Buena relación calidad precio Muy bonitos y de buena calidad. Un regalo perfecto para los niños ya que les hace mucha ilusión y se entretienen mucho pintandolo. Lo regalé a los niños en el cumple de mi hija en vez de la bolsa de chuches y triunfó.</t>
  </si>
  <si>
    <t>Buena compra. No esperaba tanta calidad y comodidad, buena compra. El servicio de envío correcto.</t>
  </si>
  <si>
    <t>FUNDAS PARA PLASTIFICAR Me encantan, yo las utilizo mucho y ya son las sextas que pido, siempre perfectas y geniales</t>
  </si>
  <si>
    <t>Q la tlv estaba rota jaja Y no me sirvio</t>
  </si>
  <si>
    <t>Muy buena elección. Totalmente recomendable. Yo lo utilizo para mezclar la leche en polvo de mi hijo y la papilla de cereales y queda perfecto. El hecho de que tenga distintas varillas hace que sea mucho mejor compra que cualquier otro producto del mercado.</t>
  </si>
  <si>
    <t>Muy bien Muy bien. Ideal el que vayan unidas con argolla</t>
  </si>
  <si>
    <t>Super comodas Quedan excelentes y súper cómodas</t>
  </si>
  <si>
    <t>Efectivo! Sudas muchísmo y muy higiénico, porque se enjuaga posteriormente con agua y no queda ningún olor a sudor. Buenos materiales y me llega casi debajo del pecho. Fenomenal para quemar de muslos, culo y cintura....eso sí....tienes que hacer deporte!!!</t>
  </si>
  <si>
    <t>Auriculares de precio increible, pero bateria a minimos. Tenia mis dudas ante unos auriculares de tan buen precio, y sabia que no podrian ser muy buenos...pero la impresión es muy buena ya que el sonido me ha impresionado, los he asociado a un emisor que envia la señal de audio de un viejo televisor y la potencia es buena. El diseño es muy sencillo y limpio y materiales sencillos pero suena muy bien la musica que envia el móvil y para ver la television sin molestar son muy buena opción. El único pero es que, lógicamente por este precio la batería dura poco mas que una hora, la primera vez que los prove me parecio durar poco, pero repito la prueba y dura una hora de batería. Chatarra.</t>
  </si>
  <si>
    <t>Artículo defectuoso. Me fui a probarlo y una sujeción para cordones no estaba bien sujeta y se soltó. La repararé, no más.</t>
  </si>
  <si>
    <t>Tenía que haber cogido una talla menos Las zapatillas son bonitas, tal cual la foto. Sin embargo no puedo decir nada en cuanto a comodidad, porque me quedan grandes. Tendría que haber cogido una talla menos.</t>
  </si>
  <si>
    <t>Fake No lo compreis se estropean enseguida</t>
  </si>
  <si>
    <t>Son como en la foto Cómo lo esperaba</t>
  </si>
  <si>
    <t>Tal y como lo esperaba Tiene muchísima potencia. De momento estoy muy contenta</t>
  </si>
  <si>
    <t>Recomendable Llego a tiempo fácil de usar unos cuantos cacharros de limpiar pero bueno lo normal pero funciona muy bien</t>
  </si>
  <si>
    <t>Elegante Es muy bonito y veraniego</t>
  </si>
  <si>
    <t>Queda bien Se pega muy bien, pero se corta mal. Son láminas finas que sirven para revestir una pared y pinchar con chinchetas, aunque es finito y no entran los pinchos del todo, pero queda bastante bien.</t>
  </si>
  <si>
    <t>ABSOLUTA COMODIDAD PARA LIMPIAR LA CASA EN POCOS MINUTOS Por ahora muy contentos con el producto. Se maneja con mucha facilidad. Succiona sin dificultad todo tipo de suciedad en cualquier superficie, incluidas alfombras.  Muy práctica la base para depositarla sin dificultad alguna y tenerla lista para un nuevo uso en pocas horas. Relación calidad precio muy buena.</t>
  </si>
  <si>
    <t>Excelente aceite Me ha encantado, y estoy súper contenta con esta compra por :la calidad del producto, presentacion en envase d cristal oscuro y por supuesto por el precio tan competitivo, cuando se me acaben lo vuelvo a comprar, sin duda un acierto</t>
  </si>
  <si>
    <t>Genial para la oficina Me a gustado todo, trae 6 unidades,  es muy bonito y de colores muy vivos. Justo como esperaba. Las uso para llevar colgada la identificación en el trabajo y es cómodo y cumple su función. Muy contenta.</t>
  </si>
  <si>
    <t>Se notan los resultados Con tres aplicaciones se notan los resultados, un contorno mucho más iluminado y suave. Fácil aplicación y no se mueven del contorno del ojo. Son perfectas para antes del maquillaje y si quieres mayores resultados antibolsas se pueden meter en el frigorífico. Recomendado para pieles sensibles. Mi mujer encantada con el producto 👍</t>
  </si>
  <si>
    <t>EXCELENTE CREMA. A LOS TRES MINUTOS LA PIEL ABSORBE LA CREMA,LA USO A DIARIO PARA LA ESPALDA Y VA FENOMENAL.</t>
  </si>
  <si>
    <t>Ligero y potente De calidad y súper ligero. Antes tenia el Athlete de Bosch y este pesa la mitad con muchísima mas potencia. Lo recomiendo!</t>
  </si>
  <si>
    <t>Precioso. Fue un regalo para mi madre y le encantó Es precioso, de tamaño perfecto. Acabado luminoso cuidado. Perfectamente empaquetado en cajita de joyería acolchada. Lo compré para regalo y fue un acierto total!</t>
  </si>
  <si>
    <t>Calidad precio ok Están bien</t>
  </si>
  <si>
    <t>Enamorado Después de muchísimo tiempo sigo usando estas zapatillas y están como nuevas. Las uso a diario y he ido a bastantes conciertos y festivales con lo que acarrean de fatiga y suciedad para las zapatillas.  Cien por cien recomendables</t>
  </si>
  <si>
    <t>Acierto Fue un regalo y tallaje bien, calidad muy bien.</t>
  </si>
  <si>
    <t>Perfectos Son como dice la descripción y de muy buena calidad</t>
  </si>
  <si>
    <t>Incondicional de Braun La segunda que uso en 20 años, he probado otras marcas y vuelto a mi braun. Es rápida, deja todo triturado y lo salpica. Una maravilla</t>
  </si>
  <si>
    <t>Mejor de lo esperado Es la primera vez que uso unas Asics y me ha sorprendido lo poco que pesan, utilizo un 46’5, y luego el llevarlas puestas son muy comodas. Se pueden utilizar todo el dia y no se nota el agotamiento en los pies. Compra muy recomendable</t>
  </si>
  <si>
    <t>Buenos Los calcetines son como esperaba. Calzo un 40 y me van perfectos y todavía dan de si. Buena relación calidad / precio.</t>
  </si>
  <si>
    <t>Muy cómodas ¡Me encantaron!</t>
  </si>
  <si>
    <t>Super chulas y comodas Muy buenas</t>
  </si>
  <si>
    <t>Bonitas y brillantes Muy bonitas y brillantes. Tienen el tamaño de una moneda de 20 céntimos más o menos.</t>
  </si>
  <si>
    <t>Auriculares muy correctos bluetooth He comprado estos auriculares para un regalo y me ha gustado mucho que tienen un diseño muy sobrio, son elegantes, bonitos y super prácticos, sin cable. A pesar de no tener cable la persona a la que se los he regalado dice que se quedan super bien puestos y no se caen aunque te muevas o hagas deporte.  El paquete viene muy correcto, muy bien presentado.  La calidad del sonido, muy buena, tiene bastante volumen.  No nos ha costado nada sincronizarlo.  Trae instrucciones en español, muy útil.  Me ha gustado la relación calidad precio.  Increíble lo que les dura la batería y la caja (que se carga) da para cargar los auriculares muchísimas veces, unas 8, he tenido otros auriculares y solo me los cargaba 4 veces.  De momento no hay nada que no nos haya gustado.</t>
  </si>
  <si>
    <t>Suela muy resbaladiza La zapatilla es preciosa, el tejido se ve muy resistente y fácil de limpiar pero cuidado como llueva un poco o pises un suelo un poco resbaladizo, te vas al suelo. No sé si es un fallo de fabricación en mis zapatillas, pero ya me he caído dos veces.</t>
  </si>
  <si>
    <t>Se ajusta al anuncio. Me gusta que funcione.</t>
  </si>
  <si>
    <t>Experimento fallido Compré el primero y lo devolví porque funcionaba solamente marcha atrás y no podía encontrar la base de carga para acoplar. Me lo repusieron y me enviaron un segundo robot que tampoco funcionaba bien. Puestos en contacto con el servicio técnico de irobot, me dijeron que era un producto nuevo y que estaba dando problemas. He devuelto finalmente al segundo no voy a comprar irobot más.</t>
  </si>
  <si>
    <t>Mala calidad Me han durado exactamente 6 meses. NO entiendo como una marca como Assics puede permitirse eso. Sospecho que en realidad eran una imitación, lo cual diría muy poco a favor de Amazon.</t>
  </si>
  <si>
    <t>Viene en malas condiciones o m ha tocado la chiná? Me gusta mucho el tamaño xq lo puedo poner en el llavero del trabajo y no perderlo. Pero cuando lo he usado en distintos dispositivos o bien no lo reconocen o reinicia los equipos. Además se calienta un montón cuando está conectado a cualquier sistema. Una pena xq me gusta mucho.</t>
  </si>
  <si>
    <t>Un 7'5 de 10. Lo esperado y a buen precio. Para pasar desapercibido entre otros libros.</t>
  </si>
  <si>
    <t>Está bien. Con el precio que tiene, no es el más rápido. Hay otros que le superan en lectura, escritura o las dos. Pero cuando lo metes y lo haces funcionar, lo aprecias mucho más. Da un cambio a tu viejo portátil. Arrancar windows en menos de 30 segundos, linux en 8 segundos... con el mecánico era 4 ó 5 veces más tiempo.</t>
  </si>
  <si>
    <t>RFR Reloj sencillo, de poco espesor, discreto y funcional. Excelente relación precio calidad. Lo utilizo a diario para llevarlo al trabajo.</t>
  </si>
  <si>
    <t>Perfectas Es tal y como se muestra</t>
  </si>
  <si>
    <t>Proteje de caidas Encaja bien en el disco duro, parece bastante seguro para evitar daños en caidas. Cierra con cremallera, tiene un bolsillo para el cable y la documentación. Tambien tiene una conta para enganchar a la muñeca cuando lo transportas y un mosqueton</t>
  </si>
  <si>
    <t>Recomendable. &lt;div id="video-block-R2WRAI0CDY71RE"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src="https://images-eu.ssl-images-amazon.com/images/I/910jts3v2OS.mp4" style="position: absolute; left: 0px; top: 0px; overflow: hidden; height: 1px; width: 1px;"&gt;&lt;/video&gt;&lt;/div&gt;&lt;div id="airy-slate-preload" style="background-color: rgb(0, 0, 0); background-image: url(&amp;quot;https://images-eu.ssl-images-amazon.com/images/I/A1tP9pX8NFS.png&amp;quot;);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value="https://images-eu.ssl-images-amazon.com/images/I/910jts3v2OS.mp4" class="video-url"&gt;&lt;input type="hidden" name="" value="https://images-eu.ssl-images-amazon.com/images/I/A1tP9pX8NFS.png" class="video-slate-img-url"&gt;&amp;nbsp;Muy bonito y fino, se ve de buena calidad, ideal para vestir. Muy contento con la compra, espero que me dure mucho tiempo. Lo recomiendo.</t>
  </si>
  <si>
    <t>Colgante mapamundi El colgante está bien de tamaño, igual que en la imagen,viene con una caja ideal para regalar.</t>
  </si>
  <si>
    <t>Muy contenta El tamaño es el normal. Muy cómodas. Todo perfecto</t>
  </si>
  <si>
    <t>Conectividad rápida y sencilla con teléfono Se conecta rápidamente y fácilmente con el bluetooth del teléfono móvil. El sonido es fuerte y se escucha muy bien. Puedes pasar las canciones desde los botones del micro, bajar o subir volumen... Los acabados son buenos y viene con el cable para cargar la batería. Se lo compré a mi hija y es un regalo genial.</t>
  </si>
  <si>
    <t>Muy buenos Los tenía en blanco,buena calidad y perfectos en calidad de sonido. Son los únicos auriculares que me gustan ya que los que tapan completamente mi audición externa me provocan sensación de vacío en mis oidos.</t>
  </si>
  <si>
    <t>Antideslizantes Quedan maravillosamente bien, y además son verdaderamente antideslizantes, pues he tenido otros que se deslizaban a pesar de ser antideslizantes. Cómodos, bonitos y prácticos.</t>
  </si>
  <si>
    <t>El ssd mas rápido del mercado Lo compre para el iMac, lo vengo utilizando para hacer un backup del ordenador a traves del time machine, es el segundo que tengo, el primero lo utilizo de arranque con el sistema operativo, calidad samsung y rapidez, el ssd se nota la rapidez.</t>
  </si>
  <si>
    <t>Son maravillosos y mejor pedir un número menos Soy fiel a esta marca con pequeñas excepciones. Como siempre hay que pedir un número menos y ajustan divinamente el pié, además son maravillosamente flexibles. Ideales para pies anchos. Muy comodos. Volveria a comprarlos in dudarlo y los recomiendo tambien</t>
  </si>
  <si>
    <t>Vaya sorpresa!!! Mejor de lo que pensaba, creía que iba a ser plástico puro pero resulta que es un reloj muy compacto y que da el pego</t>
  </si>
  <si>
    <t>Relog no muy bueno El relog se ve bonito y grande, todo bien, pero sumergible a 50m no es cierto, yo me duche con el y ya le entró agua . En fin de una cosa barata no se puede esperar todo.</t>
  </si>
  <si>
    <t>Perfecto Cumple su función</t>
  </si>
  <si>
    <t>Un 10 y muy nonito Perfecto mejor de lo que esperaba... lo recomiendo..</t>
  </si>
  <si>
    <t>Práctico Escurre muy bien por lo que ayuda a la hora de fregar suelos</t>
  </si>
  <si>
    <t>Función y almacenamiento correctos Lo compré para hacer una copia de seguridad de mi macbook pro y mis impresiones con él han sido muy buenas. Lo que a simple vista me sorprendió fue su tamaño y peso, es muy delgado, muy ligero, de la caja lo que menos abultaba y sin embargo 500.08 GB reales de espacio libre que he comprobado y son los correctos que pedí. La compatibilidad ha sido máxima, lo conecté a mi Mac y enseguida me lo reconoció y me salió el mensaje de si quería realizar copia de seguridad. Lo bueno del disco duro así es que por poco precio he conseguido tener gran capacidad de almacenamiento. Dudaba si usar mi antiguo disco duro pero solo la carcasa que necesitaba para reciclarlo ya era en proporción mas cara. Además, otro aspecto que me gustó y me gusta fue la velocidad de transferencia, esto se nota con diferencia y más cuando son tantos archivos las característica 3.0. En definitiva, con el he conseguido triplicar la capacidad de mi portátil, me he quitado problemas de espacio, también he ahorrado tiempo y lo puedo llevar a todas partes porque es muy ligero, esto es muy importante para mí. Realmente estoy satisfecho con mi compra.</t>
  </si>
  <si>
    <t>Versatil Se lo compre a mi hijo que está estudiando hostelería. Y está encantado. Sobretodo con los zumos que hace y se los lleva con el vaso portatil. Muy bien!</t>
  </si>
  <si>
    <t>Muy bonito y a muy buen precio Precioso broche, no pensé que fuera tan bonito, para  su precio, es fantástico.</t>
  </si>
  <si>
    <t>por lo que vale, y como le queda, impresionante muy recomendable, aunque su aspecto es muy de plástico chino, eso no se nota a cierta distancia o al tacto. hace una forma muy muy buena, como la foto. lo recomiendo</t>
  </si>
  <si>
    <t>Buena calidad de graves Me ha sorprendido la buena calidad de los graves/bajos para el precio que tienen. Se ajustan muy bien al oído. La textura del cable es gomosa y tiene buen tacto. Viene ademas con 2 pares de almohadillas de repuesto, unas grandes y otras pequeñas. Por poner pega es que me hubiera gustado que el conector fuera en forma de "L" en lugar de ser en forma de "I", pero es un detalle sin importancia.</t>
  </si>
  <si>
    <t>Funciona Me gusta</t>
  </si>
  <si>
    <t>Inservible Mala calidad delaterial y los pelos del cepillito torcidos. Luego es demasiado ancho respecto al grosos de la ranura de la ventana.... Por lo tanto no puedo insertar la paletilla</t>
  </si>
  <si>
    <t>Grande,incluso mirando tabla de tallas de Joma Son tallas grandes.Tuve que devolver la S.Mido 92 de pecho,63 kgs,1,70 de altura Si te pareces a Falete(es muy socorrido compararlo todo con el),la M es tu talla</t>
  </si>
  <si>
    <t>Se escurren un poco Me gustan porque son largas hasta los tobillos y los bolsillos son muy útiles.  Lo que no me gusta es que, aún siendo de mi talla, se escurren un poco de la cadera, por lo que no las recomiendo para gente que corra.</t>
  </si>
  <si>
    <t>Correctas Correctas en lo que se le puede pedir a unas grapas. El envío fue satisfactorio, cuando necesite grapas de nuevo probablemente compre estas mismas.</t>
  </si>
  <si>
    <t>Falsas Totalmente de acuerdo con los comentarios anteriores, un par de usos y empieza a verse lo originales que son, me encantaron y vaya desilusión, hice caso omiso a los comentarios y me salio caro, no recomiendo para nada esta compra</t>
  </si>
  <si>
    <t>Falla desde el primer dia No va nada bien, metes un billete de 100 y detecta de 200. Devolucion en curso</t>
  </si>
  <si>
    <t>PRODUCTIVO Suena muy bien. Habría que probarlo con un dispositivo inalámbrico para ver la caída que tiene, pero en estudio e incluso en exterior tiene una capacidad de recoger sonido muy limpia.</t>
  </si>
  <si>
    <t>Auriculares básicos Se oyen un poco bajo para mí gusto. La duración está siendo correcta</t>
  </si>
  <si>
    <t>Precio No se queja</t>
  </si>
  <si>
    <t>Reloj LIGE El reloj llego en el tiempo previsto y perfectamente embalado. Muy cómodo para su uso diario.</t>
  </si>
  <si>
    <t>Buena compra con oferta! Genial, igual que un EVO pero con menos garantía, para los que solemos cambiar cada menos y ahorrarnos un dinerillo :)</t>
  </si>
  <si>
    <t>Muy útil, hasta ahora funciona perfecto y la tengo alrededor de 3 meses. Perfecta para hervir agua en tiempo razonable mientras haces algo más, necesitaba algo para hervir agua y disminuir el tiempo de calentamiento de la cocina y funciona perfecto.</t>
  </si>
  <si>
    <t>MARAVILLOSO Genial, llevo 1 mes con el y no me arrepiento de haberlo comprado, para un canal de youtube la calidad la intensidad, la ganancia es maravillosa, no tiene perdida, si estas dudando en comprarlo, no lo dudes mas y cómpralo, por que no te vas a arrepentir, me encanta.</t>
  </si>
  <si>
    <t>Pequeños y compactos. Sonido de calidad! Que maravilla.. Tengo varios auriculares inalámbricos y son los primeros que se adaptan como ninguno, se te olvida que los llevas puestos. Sueñañ que es un lujo. Se conectan automáticamente por el Bluetooth al móvil, cuando los sacas de la base. Estupendos para el dia a día. Escuchando música y hacer deporte. Eliminan el todo ruido Exterior, que te ayudara a concentrarte. Le veo comodisumos, que se cargan en su propia caja. Buena  sensación desde el primer momento en el que los sacado de la Caja. Me los recomiendo!! Gracias Amazon!!</t>
  </si>
  <si>
    <t>Perfecto producto muy buenony buena calidad  rápido en llegar Perfecto producto muy buenony buena calidad  rápido en llegar</t>
  </si>
  <si>
    <t>Puntero práctico Deseando poder usarlo en una presentación con más personas. Sorprendida con la utilidad de un aparato tan pequeño. Es muy sencillo y simple. Tiene un USB que lo conecta con el PC y con un par de botones puedes cambiar de dispositivas e incluso cambiar de una ventana a otra del navegador o de programa. El láser se ve con claridad incluso con iluminación intensa.</t>
  </si>
  <si>
    <t>Reloj hombre Este reloj me lo he comprado porque nunca he tenido un reloj así que se vea la mecánica y sea automático, aparte porque el color dorado de dentro es guapo y brilla por la noche Bueno supongo que como todos contento porque con camisa queda muy bien.</t>
  </si>
  <si>
    <t>Geniales Salomón Geniales zapatillas Salomón estoy pensando comprar otras son muy cómodas y ligeras perfectas para senderismo o el running de montaña gracias a su tremendo agarre de su firme suelo</t>
  </si>
  <si>
    <t>Complemento ideal para Powerpoint y por menos de 10€ No te compliques la vida comprando el puntero original de Microsoft a un precio cinco veces superior, o usando el laser inductor de algunos teclados portatiles. Este es perfecto y va muy bien. PAra lanzar el laser, no tienes que apretar fuerte, solo poner el dedo encima del interruptor del puntero y funciona. Va perfecto para PowerPoint y hasta permite pasar las slides, me gusto bastante y sobretodo por el precio.</t>
  </si>
  <si>
    <t>Artículo de primera calidad Tal como se describe en la descripción.</t>
  </si>
  <si>
    <t>Bonito, resistente y rápido Tengo bastantes pendrive USB como este y este es de los mejores que me han salido. De este modelo, tengo también la versión de 32GB USB 3.0 y otra de 16GB USB 2.0.  A primera vista es bonito y elegante, tiene un tacto levemente rugoso que facilita el ponerlo y quitarlo de donde se ponga. Tiene un buen tamaño, ni enorme y plasticoso, ni tamaño pulga (que cuesta de sacarlos y se pierden con una facilidad pasmosa).  No tiene tapa, así que no hay problema de que se pierda (a mi me pasa bastante). La desventaja de no tener tapa es que si lo llevas con las llaves en la chaqueta, puede que alguna pelusa de algodón se meta dentro, así pues atentos a esto (me pasó también y el ordenador no lo detectaba). Aguanta bastante bien los golpes y aparentemente, no se ve rayado por el contacto con otros objetos y el ajetreo (atado a las llaves por ejemplo). Al tener un aro de sujeción de 1cm aprox., no se atasca en el llavero con las llaves y es muy facil de sacar y volver a poner.  En velocidades de lectura y escritura en puerto USB 3.0, está en los márgenes aceptables: Lectura 127.8 MB/s y Escritura 41.2 MB/s. Puede que a tí te vaya algo más rápido o más lento, todo dependerá de a qué ordenador lo conectes. Evidentemente, si lo conectas a un puerto USB 2.0, estos valores caen drásticamente, pero es perfectamente compatible.  Obviamente, se puede usar para lo que quieras: guardar datos, música mp3, películas, fotos, grabar de la TV o incluso como USB-boot para arrancar un Sistema Operativo por USB. Viene sin software adicional, pero en mi caso, no lo echo de menos, pues no suelen ser muy funcionales a la hora de la verdad.  Con 5 años de Garantía proporcionados por el fabricante Kingston (de las mejores marcas del mercado) y un precio que en Amazon ronda los 11€ para la versión de 64GB, es una muy buena opción a tener en cuenta.  Espero haya sido de utilidad.</t>
  </si>
  <si>
    <t>Buenas Tuve que descambiarlo por medio numero mas, la pagina deberia aclarar el tallaje, ya que lleva a error si lo comparas con el de la web oficial</t>
  </si>
  <si>
    <t>Versátil y gran capacidad de almacenaje Muy versátil. Ideal para poder descargar fotos y videos del mobil y que no pete y luego poder pasarlo directamente al portatil. Gran capacidad de almacenaje.</t>
  </si>
  <si>
    <t>Buena zapatilla Es una zapatilla caliente y resistente, con suela confortable. Muy recomendable, sobretodo para casas con jardín, ya que puedes salir fuera sin ningún problema. Sobre la talla. Me cogí el número que mas alto que suelo calzar y sin problema.</t>
  </si>
  <si>
    <t>Como en la foto La verdad que muy bien. Exactamente como la foto.</t>
  </si>
  <si>
    <t>Precioso y de muy buena calidad. Como digo ,conozco la serie esta de Casio,y me parece fenomenales todo los modelos.En cuanto lo vi ,lo compre. Como punto negativo,que llegaron  a su precio normal para estos modelos pero el vendedor los ha subido de precio bastante y ha dejado de ser atractivo.Por esos precios casio los tiene mejores.</t>
  </si>
  <si>
    <t>lolo Encantado con los casio g-shock, grande, botones robustos, el color blanco le da un buen atractivo.la unica pega la hora de la pantalla al ser en inverso el color segun como lo mires no se aprecia bien la lectura, por lo demas sobra, soy un fan de esta marca en relojes</t>
  </si>
  <si>
    <t>De momento muy buena. Solo llevo unos dias usandola, pero de momento no me ha dado ningún problema, la transferencia de archivos es muy rápida y cumple su función perfectamente. Compra muy recomendada.</t>
  </si>
  <si>
    <t>se dan la vuelta Si quieres llevarlos como en la foto o los llevas super-apretados con las orejas moradas o se dan la vuelta por el peso, una pena porque no son malos y son bonitos pero me los tendre que poner al revés, con la estrellita pequeña para abajo</t>
  </si>
  <si>
    <t>Necesidad de palo de repuesto. El sistema de cubo y fregona giratorios es genial para no tener que hacer esfuerzos a la hora de escurrirlo (sobretodo para personas mayores con problemas de espalda) y limpia bien.  Le pongo sólo 3 estrellas porque se me rompió el palo de la anterior que tenía y no hay repuesto del palo, he tenido que volver a comprar el kit entero sólo porque necesitaba el palo...  Me parece muy mal que Vileda no venda el palo por separado en Amazon ni siquiera en su propia web.</t>
  </si>
  <si>
    <t>Error en descripción Compramos estos biberones por el tamaño y porque la tetina era la X (la mejor para la leche con cereales) y finalmente la tetina que incluían era la  2. Por lo que leo, otros compradores no tuvieron problema... A favor diré que el envío fue rápido y la devolución también.</t>
  </si>
  <si>
    <t>Ninguna garantia de que sean originales La descripcion del producto pone que son zapatillas adidas pero cuando recibimos el producto no tiene ningun logo de que de verdad sean originales de adidas, ni en las zapatillas, etiquetas ni la caja. Las devolvimos.</t>
  </si>
  <si>
    <t>Buena calidad Muy buena como la imágen solo que da mucha calor pero la suela es muy comoda</t>
  </si>
  <si>
    <t>Me  encantan Buenos días,   No hago yoga, los compré porque me gustó su diseño pero me están un poco grandes. Aún así, estoy encantada    Un saludo    Anabel</t>
  </si>
  <si>
    <t>Acabados de calidad Me encantan los acabados Converse y parecen de calidad.  Lo malo que el forro en la parte del talón se ha desgastado con poco uso y hacen algo de ruido cuando caminas. Las suelas no se despegan</t>
  </si>
  <si>
    <t>Buenos cables Magníficos cables para altavoz. OFC. Longitud 2 x 5m. Diámetro del cable 4.6 mm. Diámetro del cobre 2.6 mm. Cable "pesado" por la gran cantidad de hilos de cobre pero muy manejable.</t>
  </si>
  <si>
    <t>Buena compra y aspecto genial Ojala la gente supiera la importancia de usar calzado de este tipo y huir de camaras de aire o suelas acolchadas y alzas... para quien quiera de verdad reliazar un trabajo efectivo con sus pies y por tanto con su cuerpo esta zapatilla cumple. En unos meses si veo necesario editar esto lo hare, ya que vi que la durabilidad es baja en muchos comentarios y espero que no me ocurra. Mi mujer tiene estas, yo tengo otras y nos llegaron a la vez en distinto color pero mismo modelo</t>
  </si>
  <si>
    <t>la familia me encanto, y deseo que también la guste a ..........</t>
  </si>
  <si>
    <t>Los mejores Son los mejores biberones, especialmente si se quiere optar por una lactancia mixta o para pasar del pecho al biberón sin traumas. La tetina es la más parecida al seno materno, tanto en forma como en tacto y a la hora de mamar se moldea como el pecho.</t>
  </si>
  <si>
    <t>Super Fenomenal</t>
  </si>
  <si>
    <t>Muy practica y cómoda, bañera ideal para espacio reducidos Fácil de plegar y ocupa poco espacio. Ideal para hogares o baños con espacios reducidos. Muy contentos con la calidad del producto.</t>
  </si>
  <si>
    <t>Justo lo esperado Muy bonito y ponible. Es justo lo que andaba buscando. El tamaño para mi gusto es perfecto así como la cadena, hace honor a las fotos no te llevas ninguna sorpresa desagradable como ocurre a veces que te defrauda porque es muy pequeña o demasiado finita.</t>
  </si>
  <si>
    <t>Auriculares  bluetooth Auriculares bluetooth perfectos ir entrenar, calidad de sonido muy buena y larga duración de la batería.</t>
  </si>
  <si>
    <t>Todo correcto hace su función El bolso es Grande, cabe todo. No es del tipo bandolera, que son más pequeños para llevar sobre el pecho o espalda. Este es para llevar a la espalda u hombro, pero te cabe todo lo que necesites para una salida diaria.  Móvil, agua, paraguas, Tablet, Cargador, Kindle, Libro, etc. Muy útil.</t>
  </si>
  <si>
    <t>Exacto. Hago una carrera técnica y sin duda busco exactitud y limpieza. He tenido otro compás, el cual comprara por bueno y triplicaba el precio de este, y al final un desastre. Este compás cumple con toda expectativa y por un precio muy asequible.</t>
  </si>
  <si>
    <t>Micrófono Tiene una calidad excelente. Me ha sorprendido muchísimo la nitidez de sonido que tiene, es mejor que otros de mayor precio que he probado. De verdad que lo recomiendo totalmente ! Además es super fácil de montar y con solo meterlo al ordenador puedes tenerlo todo listo en menos de 5 minutos.</t>
  </si>
  <si>
    <t>Muy ligeras Tallas muy pequeñas. He tenido que comprar una talla más. Zapatillas muy ligeras y confortables. He comprado tres por poco más de 20 euros cada una, regalos para todos!. Muy buen diseño y variedad de colores</t>
  </si>
  <si>
    <t>Buen sonido a poco precio Antes no esperaba una calidad de sonido muy bueno a este auricular muy economico. Mis auriculares antes eran AKG  y JBL que costaban 2 o 3 veces mayor que este pero no lo noto mucho la differencia de sonido.</t>
  </si>
  <si>
    <t>Muy bonitas Son muy bonitas. A mi hija le han gustado mucho. Respecto a la talla, tallan grandes, mi hija usa normalmente un 38 pero el 38 en esta zapatilla le venía enorme, la tuve que devolver y cogerle un 37 1/3 y esa le viene perfecta.</t>
  </si>
  <si>
    <t>Posiblemente el mejor despertador Parece una tontería, pero llevo 25 años comprando estos despertadores y no he encontrado nunca ninguno que me parezca mejor.</t>
  </si>
  <si>
    <t>Calidad Buenísimo</t>
  </si>
  <si>
    <t>Un 10 Son preciosas! Y son verdaderas! Me encantan! Al principio duelen (como todos los zapatos nuevos) espero que se vayan ablandando</t>
  </si>
  <si>
    <t>Como esperaba Calentita y comoda</t>
  </si>
  <si>
    <t>Ideal para la montaña. Ya tuve uno igual o parecido hace 15 años. Lo deje olvidado en un río de  montaña. Si se calibran bien los hPa, la información es muy precisa.</t>
  </si>
  <si>
    <t>Perfecto Perfecto todo.</t>
  </si>
  <si>
    <t>La transferencia de datos es lenta Lo primero, y lo que me sorprendió por ser de la marca Kingston, fue la lentitud de transferencia de datos. Dice en la descripción que es un USB 3.0 y ya os digo que no es así. He pasado ya varias cosas desde mi PC al pendrive, y en todas las ocasiones la transferencia ha sido lenta. No tengo queja del almacenaje porque su capacidad es la que es, y no he tenido problema a la hora de lectura de los archivos almacenados. Si buscas velocidad, este no es tu pendrive.</t>
  </si>
  <si>
    <t>Simplemente funciona La calidad es regular, claro, acorde con el precio.</t>
  </si>
  <si>
    <t>Cuello demasiado ajustado La talla queda tal como me esperaba, las mangas tienen un largo correcto. En cuanto a la calidad del tejido, son de algodon pero un poco finas para mi gusto, sin llegar a transparentar. El cuello muy ajustado, quedas un poco "ahogado", detalle que no se puede observar en la foto del modelo el producto. Me queda muy ajustado comparado con todas las camisetas que tengo y he tenido de otras marcas, aunque como todo es una cuestion de gusto.</t>
  </si>
  <si>
    <t>Engorroso y pegajoso dónde no debe... De momento bastante decepcionante. Me ha dado error ya en un par de ocasiones sin razón aparente. Es muy engorroso, los adhesivos se pegan a todo y se quedan en la piel cuando te los quitas... Restos pegajosos por las piernas. A la hora de guardarlo muy problemático ya que él adhesivo se pega al pantalón... Empecé él primer día al nivel 88, llevo usándolo 5 días y ya voy por él 92... No sé si merece la pena tanto dinero. Le doy otra semana de prueba pero no me termina de convencer..</t>
  </si>
  <si>
    <t>Cascos malo El conector se ha roto al tercer día. Me gustaría que me mandarais otros ,soy cliente habitual de Amazon</t>
  </si>
  <si>
    <t>SI PERO... En la caja viene el colgante, dos pendientes y un trapo para limpiar las piezas.  Es un detalle original para regalar, ya que en el interior del corazón viene grabada la palabra "te amo" en infinidad de idiomas. Esto puede verse a través de la linterna del móvil o bien haciendo una foto en el centro del corazón.  La calidad del producto es media, para mi gusto un poco floja, pero en general es bonito y elegante.  Espero que les sirva, un saludo.</t>
  </si>
  <si>
    <t>Buena relación calidad-precio Es la crema que usa mi fisio a diario. Decidí comprarla aquí por su precio competitivo. Resbala muy bien y deja un olor a menta muy agradable. En cuanto se me acabe la volveré a comprar. Perfecta para dar masajes.  Envío dentro del tiempo estimado.</t>
  </si>
  <si>
    <t>Comodidad Calidad/precio está muy bien. Lógicamente, los materiales son corrientes. No esperaba otra cosa, tampoco.</t>
  </si>
  <si>
    <t>todo En líneas generales bien.</t>
  </si>
  <si>
    <t>mejor calidad precio si quereis empezar con un canal de twich o yt esta es la mejor opcion por un precio ajustado recibimos el pack completo y de mucha calidad lo recomiendo 100%</t>
  </si>
  <si>
    <t>Muy útil para viajar Muy practica</t>
  </si>
  <si>
    <t>Perfecto Funciona perfectamente</t>
  </si>
  <si>
    <t>Súper mono Es súper bonito, tal cual en la foto.</t>
  </si>
  <si>
    <t>Recomendable Es muy práctico y manejable, a mis enanitas les encanta y han aprendido a cogerlo ellas solas con tres meses.  Fácil de limpiar y transportar.</t>
  </si>
  <si>
    <t>Genial Estuve mucho tiempo meditando si comprarlo o no. Tengo bastante pecho y no me va cualquier sujetador, me he gastado mucho dinero en sujetadores y este no tiene nada que envidiarle a los otros. Uso una talla 100 E , y me va bien para mi spinning, recoge el pecho bastante bien pero no tanto como a todas las que tenemos tanto pecho nos gustaría que nos recogiera todos los sujetadores. lo recomiendo 100 % . No tiene nada que envidiarle a otras marcas carísimas . volveré a repetir.</t>
  </si>
  <si>
    <t>Bonito y recomendable Funciona todo perfectanente y la luz azul en toda la pantalla. Buen producto y original. Lo recomiendo.</t>
  </si>
  <si>
    <t>muy comodos auriculares muy cómodos, tenia unos iguales pero con cable y para ir con la bici llevando solo uno era un poco engorro por el cable y con estos es ideal, se conectan muy rápido al abrir la tapa de la funda, y se escuchan muy bien, y el enganche de la oreja es ideal para que no se caiga, se ajustan muy bien y traen recambios tanto del enganche de la oreja como de diferentes medidas del que va dentro del oído, tienen diferentes funciones, para subir el volumen, pasar de canción o abrir el asistente de voz del móvil, según pulsas una vez, una vez prolongada o tres veces. muy contento con ellos. la batería le dura bastante y la funda también lleva batería que los vuelve a cargar cuando los guardas dentro. tiene conexión tipo c para la carga.</t>
  </si>
  <si>
    <t>Estupendo Es genial, me ha encantado, el sonido muy bueno, he tenido que comprar otro que me lo cogía mi hija.</t>
  </si>
  <si>
    <t>Muy suave En el pack vienen un juego de tres bolas (una simple y dos dobles), una de ellas tiene batería y se controla con un pequeño mando a distancia muy práctico porque puedes variar la intensidad y frecuencia de la vibración. Las otras llevan un contrapeso dentro que las hace vibrar con tu propio movimiento mientras las llevas puestas para uso normal a diario. Lo que mas me ha sorprendido es la textura que es muy suave, apenas necesita lubricación y se lavan y secan muy facilmente. En definitiva un buén y variado juguete.</t>
  </si>
  <si>
    <t>Muy comodas Muy buena calidad</t>
  </si>
  <si>
    <t>Sin palabras Sin palabras</t>
  </si>
  <si>
    <t>Buena fragancia Me a gustado el producto bastante ,deja un olor de limpio y no muy fuerte !( creo que podrian mandar muestras pequeńas de las otras fragancias) ya que no es un producto muy barato.</t>
  </si>
  <si>
    <t>está muy bien es muy práctico, bonito y tiene gran capacidad</t>
  </si>
  <si>
    <t>Cómodas Ideales. Tal y como se muestras. Son más cómodas que otros modelos que había tenido</t>
  </si>
  <si>
    <t>Calidad Casio, subida de tono (rosa). Reloj con el diseño clásico de Casio, se entiende que con la misma calidad de siempre. Lo hace diferente el color, muy muy rosa y llamativo.</t>
  </si>
  <si>
    <t>Un pelin grande El tamaño del micro se me hace un pelin grande, pero yo lo uso camuflado por lo que necesito que sea casi imperceptible. Por lo demas muy contento, sonido muy limpio y la lungitud del cable es maravillosa. Muy contento con el producto.</t>
  </si>
  <si>
    <t>Kit micrófono condensador para streaming &lt;div id="video-block-R3N9QJVIVRQIZY" class="a-section a-spacing-small a-spacing-top-mini video-block"&gt;&lt;/div&gt;&lt;input type="hidden" name="" value="https://images-eu.ssl-images-amazon.com/images/I/A1DH8L0hosS.mp4" class="video-url"&gt;&lt;input type="hidden" name="" value="https://images-eu.ssl-images-amazon.com/images/I/A1X4bSc664S.png" class="video-slate-img-url"&gt;&amp;nbsp;Ya me estoy equipando poco a poco para mejorar mis streaming, en este paso e pillado este kit de micrófono de condensador. En un principio lo compre por su precio tan económico y para el paso, cuando me llego no esperaba de que fueran de tanta calidad para el precio que tiene. Todos sus componentes so de primera calidad y muy robustos, su instalación fue muy ligera y fácil fue enchufar al usb del ordenador y funcionando a la primera. El sonido es bastante bueno y con mucho cuerpo y gracias a la esponja antiviento y al filtro antipop evita que se cuele el ruido de fondo tan molesto que tenia en mis anteriores streaming. Definitivamente a pasado de quererlos para el paso hasta que ahorrara a unos de gama profesional a quedarse como definitivos.</t>
  </si>
  <si>
    <t>Muy buena relación calidad precio Buenos acabados, buena calidad, lo he recibido hoy. Lo someteré a un intensivo uso diario a ver como nos va. En un par de meses actualizaré la opinión.</t>
  </si>
  <si>
    <t>Me encantan!!!! Envío rápido, son comodisimas y encajan a la perfección! Producto recomendado!</t>
  </si>
  <si>
    <t>pesa poco,suela muy mala Es mas feo que en la foto,es muy cómodo y pesa muy poco,parece que vas descalzo pero su talon de aquiles es la suela,no agarra nada,es lisa y en mojado es imposible ir por la calle sin tener algún susto. una pena pues por lo demás muy bien.</t>
  </si>
  <si>
    <t>Muy bonitas pero acaban rompiendo Me gustaron mucho, pero se acaban rompiendo por un lado</t>
  </si>
  <si>
    <t>Fatal No favorecen nada, no ajustan como otras mayas, son demasiado altas para mi gusto y ademas son de calidad baja</t>
  </si>
  <si>
    <t>Muchos cortes y sonido distorsionado Me he llevado una decepción con estos cascos. Con el bluetooth se cortaba de vez en cuando y con el cable se escucha mucho ruido de fondo como si fuera agüilla. Menos mal que los puedo devolver y es lo que voy a hacer. Recomiendo gastar un poco más si quieres tener un producto de calidad. Este no estaría mal si no diera los problemas que da. Me he comprado los EUASOO que están más baratos y van mucho mejor que estos. Los materiasles y la terminación están muchisimo mejores que estos cascos.</t>
  </si>
  <si>
    <t>Cuidado que mancha Pésima compra, es un auténtico peligro. Mancha muchísimo y no se quita.</t>
  </si>
  <si>
    <t>Buena compra Le dio muy buen uso mientras le dio pecho a su hija</t>
  </si>
  <si>
    <t>Lo último en punteros; Recomendado El tamaño mínimo del punto de color es excesivamente grande.</t>
  </si>
  <si>
    <t>Mariluz Precioso, a mi hija le ha encantado. Es sencillo y elegante, con cadena corta y un brillo muy muy natural</t>
  </si>
  <si>
    <t>Practico Ideal para llaves, gafas, tabaco, etc. Es poliester.</t>
  </si>
  <si>
    <t>El producto es muy correcto El micrófono se comporta perfectamente y el precio es muy bueno. El método de sujección es a traves de una prensilla a una mesa o soporte de trabajo. Hecho de menos la posibilidad de poder atornillar el soporte a una pared. En general el producto es muy satisfactorio.</t>
  </si>
  <si>
    <t>Buena calidad Una precintadora de muy buena calidad.</t>
  </si>
  <si>
    <t>Buena compra Muy bonito. Lo esperado.</t>
  </si>
  <si>
    <t>Perfectas salvo por una cosilla Buena construcción, buen material, lentes cristalinas y muy variadas. Trae una goma opcional de patilla a patilla por si quieres fijar las gafas a tu cabeza. Todo es perfecto salvo por un pequeño detalle: cuando metes las pilas para el led que van a alojadas en el frontal, las gafas comienzan a pesar mucho y hacen daño en el puente de la nariz. Salvo por ese pequeño detalle, todo perfecto. Las recomiendo. Además traen una bolsa de transporte. Un plus para deshacerte de la caja.</t>
  </si>
  <si>
    <t>Confort maximo! Siempre compro esta marca para calzado que voy a usar a diario. Ninguna queja, la calidad es muy buena y el precio lo merece aunque si fuera algo mas barato seria la leche! Antes de comprarlo me las probe en una tienda que sino es dificil acertar. Las recomiendo.</t>
  </si>
  <si>
    <t>Bueno por el precio Pequeño pero bueno. Exactamente como se describe. Gran pequeño masajeador para mi dolor de espalda. Solo unos minutos ayudan mucho. Generalmente lo uso en la noche.</t>
  </si>
  <si>
    <t>estupenda pedido rápido. Funciona muy bien, a diferencia de otras que he tenido. Calidad precio muy recomendada, para uso diario de batidos, cremas, purés...</t>
  </si>
  <si>
    <t>Muy útil por sus dos conectores En mi caso me viene genial para poder pasar archivos multimedia de la tablet  al ordenador, así como para almacenar archivos y no tener que estar con cables. Por su precio está muy bien.</t>
  </si>
  <si>
    <t>me han gustado mucho Quedan muy bonitos puestos, ya me han preguntado un par de veces donde me los he comprado, me alegro de haberlos comprado</t>
  </si>
  <si>
    <t>Bonita y fresca. Camiseta muy bonita. Material muy cómodo y fresco.  La talla en mi caso es la S y coincide, me queda bien. Esta de moda el modelo porque he visto varias.  La recomiendo.</t>
  </si>
  <si>
    <t>Zapatos cómodos Buenos zapatos, materiales y acabados de calidad y más cómodos que otros zapatos que he tenido de este estilo. No los he probado para un uso intensivo, pero parecen también duraderos.</t>
  </si>
  <si>
    <t>Buen producto, de gran calidad Excelente producto. Muy buena relación calidad precio. Aroma intenso y duradero. El dosificado funciona perfectamente. Con un par de gotas mantiene el olor durante horas. Lo adquirí para un humidificador y le da un toque y aroma perfecto a la casa. Gran producto de muy buena calidad. También se puede Utilizar con varillas de bambú untándolas con ella.</t>
  </si>
  <si>
    <t>Perfectos Simplemente perfectos, cumplen su funcion a la perfección, se ajustan a la cabeza comodamente y tras varias horas de uso continuado no se resienten las orejas. Por contra: simplemente por poner algo, la bolsa para meterlos es un poco pequeña, creo que por el precio que tienen podrían imcluir un estuche de viaje.</t>
  </si>
  <si>
    <t>Buenos cascos a buen precio! Necesitaba unos cascos inalámbricos para usar en mi pc y no tener la molestia de tener el cable en medio siempre. Al principio la búsqueda fue complicada, pues todos eran o muy caros o se veían de mala calidad.  Finalmente encontré estos cascos, que estaban en un punto medio. No son carísimos como otros que valen 200 euros, ni se veían de mala calidad.  En primer lugar, vienen en una carcasa de viaje de tela dura muy resistente, perfecta para viajar o llevarlos en la mochila mientras no los vas a usar. Dentro de la carcasa están los cascos y varios cables/adaptadores.  Los auriculares en sí soy también muy cómodos. Son del tipo de los que te cubren la oreja entera sin aplastarla, por lo que no te acabarán doliendo las orejas tras un uso prolongado.  El sonido, por otro lado, también lo encuentro muy decente. Tiene un potente bajo, y no se aprecia ningún ruido en el sonido.  La batería dura bastante también. Siempre los dejo cargando cuando no los estoy usando, pero durante las sesiones de uso de 3-4 horas que le doy, no he tenido problemas con la batería de momento.  En definitiva, si buscas unos cascos inalámbricos de gama media-alta, estos son perfectos.</t>
  </si>
  <si>
    <t>Gran calidad de sonido y autonomía Se trata de unos auriculares bluetooth de gran calidad, el acabado de materiales le da un aspecto premium. La calidad del sonido es realmente buena, especialmente los bajos. Tiene un alcance de unos 10 metros desde tu teléfono conectado, lo que te da una gran libertad de movimientos. La base de carga se percibe pesada pero es que lleva una batería de 6000mAh, suficiente para cargar docenas de veces los auriculares, o un par de veces el propio móvil, pero la base no es necesario llevarla encima porque su cometido es cargar los auriculares, no son necesarios para su funcionamiento. Además tiene un marcador que te indica la carga restante de la batería, lo que lo hace realmente útil. Recomendable.</t>
  </si>
  <si>
    <t>Muy bien Muy bien. Mejor que en la foto. Yo pedí el mismo número que llevo siempre y me va bien.</t>
  </si>
  <si>
    <t>Muy buen producto Muy rápido y a un precio muy bueno</t>
  </si>
  <si>
    <t>muy elegantes unos bonitos zapatos para un día de fiesta, muy cómodos y elegantes, estoy contento con ellos, recomendables al 100 x 100</t>
  </si>
  <si>
    <t>Buena comida Lo he comprado para ir cómoda , es muy suave y se adapta muy bien, esta marca me gusta mucho , buena calidad precio y rápido envío , siempre repito</t>
  </si>
  <si>
    <t>Premia la Calidad Muy buena calidad a excelente precio</t>
  </si>
  <si>
    <t>Deberia estar prohibido vender segun que cosas Algo de ruido, aunque se puede compensar con los mandos, pero dejo de funcionar al cabo de un mes..Hasta ese momento, era una maravilla..</t>
  </si>
  <si>
    <t>Aceptable relación calidad-precio Aceptable relación calidad-precio, recomiendo comprar de 4 en 4 porque no duran mucho. Pero al precio que están, un producto decente.</t>
  </si>
  <si>
    <t>Todo un Casio El reloj como todos los Casio es perfecto, muy buena calidad y prestaciones, la pila es lo que ha fallado, en 3 meses se empiezan a clarear mucho los digitos, ya no se si es fallo de Casio o del distribuidor.</t>
  </si>
  <si>
    <t>Para sacar de un apaño Para mi gusto ni aguanta el calor ni el frio. es simple, para tapar el biberón y poco mas, es bonito pero esperaba que aguantara la temperatura</t>
  </si>
  <si>
    <t>Mal Las zapatillas están defectuosas. La goma lateral despegada</t>
  </si>
  <si>
    <t>Decepción Está bien y los primeros días funcionó de maravilla, hasta que llegó una ola de calor y al hacer más de 25 grados en casa la máquina no para de cargar y no enfría.</t>
  </si>
  <si>
    <t>Mantiene buenas tasas de velocidad Hoy en día lo que marca la diferencia en una tarjeta es la lectura y escritura de datos, sobre todo a la hora de grabar video de alta calidad y ráfagas en fotografía.  La marca Arcanite era hasta el día de hoy desconocida para mi, aunque lleva unos años distribuyéndose en los principales países del mundo, a través de su sede en Tokyo.  Es una tarjeta micro SD de clase 10 versión XC. Esto la verdad es un poco locura, pues cada fabricante las llama de una forma para referirse a lo mismo. Yo me suelo basar simplemente en los MB/s. Aunque con el tiempo salen nuevos modelos que mejoran las tasas de transferencia, sobre todo a la hora de ser más constantes y también muy importante, ofrecer una fiabilidad, cosa que todavía Arcanite debe demostrar.  El test de velocidad es satisfactorio, ofreciendo las velocidades indicadas por el fabricante, resultando 92,02 MB/s de lectura y 75,04 MB/s de escritura.  Incluye adaptador SD para poder usarse en otros equipos.</t>
  </si>
  <si>
    <t>Zapatillas de calidad. Normalmente uso la 41 porque la 40 me queda muy justa. Estas zapatillas, siendo una talla 41 me sientan casi como una 40. Así que ya sabéis, tallan un poco por lo pequeño. Por lo demás, buena calidad y plantilla interior muy cómoda.</t>
  </si>
  <si>
    <t>Perfectas para correr por pista y terreno pedregoso Son zapas ligeras y sobre todo perfectas para correr por pistas. La lámina de carbono mejora la pisada sobre piedras impidiendo que se te claven. Los tacos deberian durar más, en un año desaparecen y se quedan lisas y perfectas para jugar al baloncesto. Sin duda hay que coger un numero más si no quieres quedarte sin uñas. Son impermeables y perfectas para el campo.</t>
  </si>
  <si>
    <t>Me gusta Tiempo de entrega largo,por lo demas ,tiene gran potencia y da buen resultado,veremos su durabilidad.A esperar el tiempo dira si vale la pena el precio pagado.</t>
  </si>
  <si>
    <t>estupendo De momento, perfecto. Cómodo y práctico, no muy grande y ligero. No es como otros que he visto, demasiado grandes para mi gusto (y mi muñeca). Hasta ahora, contento con él</t>
  </si>
  <si>
    <t>Muy bonito El colgante es muy bonito. Tiene un tamaño que no es ni muy grande ni muy pequeño. La piedra azul es una preciosidad y tiene un brillo que hace que destaque. Además al ser de plata no hay problema con que pueda provocar alergias ni nada parecido y la combinación es preciosa. Lo compre para regalo y ha sido un exito.</t>
  </si>
  <si>
    <t>La use por dos años y sin ningún fallo La use durante 2 años tanto en smartphone como en cámara réflex y sin ningún problema. A favor la confiabilidad de la propia marca y Amazon, así como su coherente precio. Satisfecho con la compra.</t>
  </si>
  <si>
    <t>Fantastico Era lo que necesitaba, pues con largas horas de juegos, los brazos empezaban a doler, con estas almohadillas he encontrado un grato alivio, una gran recomendación para la gente que acaba con dolor en las articulaciones, de las manos.</t>
  </si>
  <si>
    <t>Deportivas Perfectas. Y muy bonitas y cómodas. Muy buena calidad precio.</t>
  </si>
  <si>
    <t>Su comodidad no hay otro igual Precio calidad</t>
  </si>
  <si>
    <t>Aspira muy bien Muy buena compra. No hace mucho ruido.tiene mucha potencia. Es comodo de manipular, vaciar, desmontar...quizas pesa un poco. Pero vale la pena. muy contenta con la compra</t>
  </si>
  <si>
    <t>Excelente lo recomiendo Excelente, cumple con las expectativas</t>
  </si>
  <si>
    <t>Lo recomiendo Los utilice para pegar fotos instantáneas en un álbum y el resultado es excelente.</t>
  </si>
  <si>
    <t>Contento con la compra Cómo la esperaba, por delante pone "Be Happy" también en blanco y negro y es abrigada. eso si, recomiendo pedir una talla más de la que tengáis. Satisfecho con la compra me gusta mucho!</t>
  </si>
  <si>
    <t>Bueno Se siente el olor con unas cuantas gotas.</t>
  </si>
  <si>
    <t>Calidad y comodidad Es cómodo y calidad Nike a buen precio</t>
  </si>
  <si>
    <t>Cumple perfectamente Buscaba una funda que no abultara mucho. Tambien que funcionase el sitema de supenso automatico. Tengo que decir que me ha sorprendido agradablemente. Se acopla perfectamente al lector, protegiendo tanto la pantalla como la parte posterior. La tapa tiene un fieltro suave que protege de arañazos el frontal, siendo lo suficiente rigida para proteger el lector. Deja accesible las conectores para el Usb, pudiendo manipularse sin problemas. La suspensión se activa y se desactiva al cerrar la tapa, funciona sin problemas. Compra muy recomendable, por precio calidad</t>
  </si>
  <si>
    <t>calidad-precio estupendo La verdad es que es lo que buscaba, una batidora sencilla sin accesorios, y va estupenda. Si se pudiera quitar la parte inferior para lavarla mejor, sería perfecto. Ah! y si viene con vaso batidor que no esta puesto en la web</t>
  </si>
  <si>
    <t>elultimokzierre Bandolera de muy buen material,compacta y con gran cantidad de compartimentos que resultan muy utilizables. La volvería a comprar sin duda</t>
  </si>
  <si>
    <t>perfectas Elegí la valoración por el precio y por el numero de opiniones del suministrador y la verdad es que todo perfecto</t>
  </si>
  <si>
    <t>ok muy buena y cómoda zapatilla, le faltaría un poquito de grip, pero son increibles</t>
  </si>
  <si>
    <t>Funciona en zapateros! Lo uso para Zapateros y el Resultado espectacular! Apenas tiene un Mes de uso y los olores han desaparecido.</t>
  </si>
  <si>
    <t>Mala calidad Plumero y alargador tienen una rosca diferente.</t>
  </si>
  <si>
    <t>Hay que pedir un número más del que uno usa. Yo calzo un 42 de pie y en la zapatillas es pequeño. El artículo es el que es.</t>
  </si>
  <si>
    <t>Da el pego Da el pego</t>
  </si>
  <si>
    <t>No incluye destornillador El envío no incluye destornillador para el montaje, por lo que es inútil pedirlo. Es un destornillador especial para estos relojes. no recomiendo pedirlo si no te aseguras antes de tener la herramienta.</t>
  </si>
  <si>
    <t>Tirada de dinero Me parece una tirada de dinero brutal!!!! Tengo problemas d espaldas y me duele y encima no escurre nada!!!! Deja el suelo tan empapado q tarda la vida en secarse</t>
  </si>
  <si>
    <t>Dos velocidades, 3 accesorios y una potencia (600W) bien aprovechada Esta BATIDORA sólo tiene dos velocidades, “normal” y “turbo”,  que se seleccionan simplemente pulsando un botón. No es una batidora de gran potencia (a la velocidad turbo son 600W) pero es eficaz para triturar de forma homogénea verduras y casi cualquier tipo de alimento (si trituras carne  ya cocinada, dependiendo de qué tipo de carne puede que no quede muy fina y no sirve para picar hielo porque haría falta mucho rato a riesgo de quemar el motor). La textura de los alimentos una vez triturados es bastante fina aunque en ocasiones es necesario usar el chino para quitar las pieles o los hilos de las verduras que no han quedado triturados adecuadamente como es el caso de algunos tipos de tomate que tienen la piel gruesa o algunas verduras como los puerros. No es excesivamente ruidosa (85dB), y el mango es ergonómico lo que la hace fácil de manejar. El brazo de la batidora es desmontable y se puede lavar en el lavavajillas, aunque yo prefiero lavarlo a mano inmediatamente después de usarlo, secarlo y guardarlo.  Mi batidora venía con varios 3 ACCESORIOS: Un VASO GRADUADO de 600 ml muy manejable que tiene un tamaño adecuado para triturar alimentos y hacer mezclas aunque en ocasiones se queda un poco corto, dependiendo de lo que cocines y para cuántos cocines.  Por ejemplo, lo uso para hacer cremas para dos personas o batir claras a punto de nieve pero si hago crema para toda la familia, trituro las verduras directamente en la olla. El modelo “sin accesorios” lleva también el vaso graduado. Un BRAZO DE VARILLAS para levantar claras a punto de nieve (lo hace muy rápido), batir mezclas para pasteles, etc.  que funciona muy bien. Una PICADORA que tiene unas cuchillas muy afiladas y pica rápido y bien. En casa la utilizamos para preparar salsas (pesto por ejemplo), hacer pan rallado cuando tenemos pan duro, hacer “picadas” para las sopas y cremas, etc. pero también se puede utilizar para picar carne con resultados bastante satisfactorios (en relación a su potencia, claro). Además tiene una tapa por si queremos guardar los alimentos que hemos picado y va muy bien cuando lo que picamos no lo vamos a consumir de inmediato.  Si eres una persona que no se complica la vida cuando cocina y prepara recetas sencillas, esta batidora te irá bien. Pero si eres “cocinillas” y te gusta preparar recetas complejas, quizá se te quede un poco corta.</t>
  </si>
  <si>
    <t>Lo que buscaba Ya que el tipo de agua de mi ciudad es muy dura, necesito usarlas en cada lavado y por cantidad y precio no encontré ningún sitio mejor</t>
  </si>
  <si>
    <t>Ajustado. Bien aunque talla pequeño</t>
  </si>
  <si>
    <t>No es de 2,5" En la descripción de dice que es un disco de 2'5" y no lo es. Es un disco de 3.5 más estrecho pero obviamente no me vale. Le doy las estrellas pq creo que es un buen producto,pero no lo descrito.</t>
  </si>
  <si>
    <t>Mochila bandolera Bien calidad precio, un poco basto.</t>
  </si>
  <si>
    <t>Calienta, es suave y cubre los hombros muy bien Es suave, tiene 3 posiciones de temperatura , cubre la espalda, cuello y hombros , la compré por problemas d cervicales d mi mujer y le ha gustado mucho, precio calidad está bastante bien, referente al envío y transporte de amazon muy bien como siempre.</t>
  </si>
  <si>
    <t>bien !recomento &lt;div id="video-block-R10JGUJ9CO5TDO"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src="https://images-eu.ssl-images-amazon.com/images/I/B1izqZwp-6S.mp4" style="position: absolute; left: 0px; top: 0px; overflow: hidden; height: 1px; width: 1px;"&gt;&lt;/video&gt;&lt;/div&gt;&lt;div id="airy-slate-preload" style="background-color: rgb(0, 0, 0); background-image: url(&amp;quot;https://images-eu.ssl-images-amazon.com/images/I/81HD7yPZM2S.png&amp;quot;);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value="https://images-eu.ssl-images-amazon.com/images/I/B1izqZwp-6S.mp4" class="video-url"&gt;&lt;input type="hidden" name="" value="https://images-eu.ssl-images-amazon.com/images/I/81HD7yPZM2S.png" class="video-slate-img-url"&gt;&amp;nbsp;es una mini mochila muy guapa,que me gusta mucho con mucho bolsillo cabe muchas cosas</t>
  </si>
  <si>
    <t>Mejor de lo esperado Producto de calidad. Viene presentando en estuche con manual de instrucciones y garantía. Buenos acabados, y hasta ahora funciona perfectamente sin atrasar ni adelantar la hora</t>
  </si>
  <si>
    <t>MUY BUENA ES FUNDAMENTAL HOY DIA LLEVAR CON TIGO LA CAMARA DE FOTOS DIGITAL Y UNA TARJETA DE MEMORIA COMO ESTA DE DOS EN DOS PARA PODER LLEVARTE CON TIGO TODO AQUELLO QUE TUS OJOS DECIDAN QUE ES INTERESANTE PARA TÍ Y PARA TU RED DE AMIGOS CON LOS QUE COMPARTES TU VIDA .TARJETA DE MEMORIA DE 64 G.B. "CUANTAS HORAS DE BUENOS RECUERDOS , DE LUGARES MARAVILLOSOS UNIDOS A MI VIDA PARA SIEMPRE.-".- G R A C I A S</t>
  </si>
  <si>
    <t>Todo funciona genial. Buena calidad. Lo he usado un par de veces y va estupendo. No tienes más que enchufarlo al portátil y ponerte a pasar diapositivas. La instalación la hace Windows en cuestión de segundos. Es muy útil que lleve la pestaña para sujetarlo al bolsillo y que a resulte como un boli. Puedes magrearlo en la conferencia como si de tal se tratara. El puntero perfecto, no deslumbra como otros más potentes que, si la sala está un poco oscura, brillan mucho más que las dispositivas resultando molesto y contraproducente. Y los materiales parecen de buena calidad, por lo que genial.</t>
  </si>
  <si>
    <t>Bateria larga duración Me compré estos auriculares para utilizarlos en el trabajo. La verdad que de momento muy contenta con su rendimiento. La duración de la batería me da para todo el turno (8 horas) y son muy cómodos de llevar puestos. Traen diferentes tamaños de almohadillas para adaptarlas al oído, según cada persona. La calidad de sonido muy muy buena, muy buenos graves. En resumen muy contenta</t>
  </si>
  <si>
    <t>Bien Perfectos</t>
  </si>
  <si>
    <t>Excelente Excelente</t>
  </si>
  <si>
    <t>Aromas agradables He comprado esta caja con 8 botes de aceites esenciales, cada una de un aroma diferente y como yo los uso habitualmente en un humificador los voy cambiando para no cansarme del mismo aroma todos los días. Pongo unas gotas en el agua y al encenderlo sale el vapor aromatizado.</t>
  </si>
  <si>
    <t>Recomendables Están genial! La sujeción es buena para deporte de bajo impacto, por las opiniones leí que daban mucha talla y pedí una menos de la que soy y siguen estando grandes, así que recomiendo pedir 2 tallas menos de la que usas habitualmente</t>
  </si>
  <si>
    <t>Bien Es justo lo que se espera de un cable midi.</t>
  </si>
  <si>
    <t>perfecto todo ok</t>
  </si>
  <si>
    <t>Los clásicos no fallan. Un casio de manijas, sencillo, clásico y útil. Se me adelantó 20 minutos la primera semana, pero sospecho que tuve que hacer algo accidentalmente, porque desde que lo volví a poner en hora funciona perfecto.</t>
  </si>
  <si>
    <t>Correcto Ok</t>
  </si>
  <si>
    <t>Práctico y buen material Tiene bastante peso para dispensar el celo sin tener que hacer malabarismos con las dos manos, aunque hay que sujetar ligeramente el soporte.</t>
  </si>
  <si>
    <t>Una absoluta gozada Solo decir que son las mejores y más cómodas zapatillas que he tenido nunca. Se adaptan a mi pie ancho perfectamente. Tengo problemas en el talón de Aquiles de cuando jugaba al fútbol y me van genial porque tienen el talón alto y son muy mullidas. Recomendadas al 100%.</t>
  </si>
  <si>
    <t>Tal cuál como en las fotos Me ha gustado la tela de la camisa, algo negativo es que es un poco larga, pero queda genial metida dentro del pantalón!</t>
  </si>
  <si>
    <t>muy buenas todo correcto, los he utilizado con dos niños y duran mucho, son de buena calidad y cumple las expectativas. vale la pena el dinero que he pagado.</t>
  </si>
  <si>
    <t>Muy grande He comprado la talla XS, y es enorme</t>
  </si>
  <si>
    <t>Bonitisimos Mas grandes de lo esperado, son pesados</t>
  </si>
  <si>
    <t>No son originales No son originales. No se adaptan del todo bien, con algún movimiento se desengancha de la clavija y el terminal no deja de enviarte mensajes que conectes unos originales.</t>
  </si>
  <si>
    <t>Malísimo Desde el primer día funcionaba muy lento. Un mes después habiendolo usado 3 veces para copiar unos archivos multimedia, ya no funciona y no lo reconocen los dispositivos.</t>
  </si>
  <si>
    <t>Buena compra. Muy sencilla de programar, sin complicaciones, parece robusta y viene con tornillería y agujeros para anclar. Relación calidad y precio, buena.</t>
  </si>
  <si>
    <t>Bonitos Bastante bonitos y no pesan mucho.</t>
  </si>
  <si>
    <t>En mi caso tallan más de lo normal Las zapatillas están bien en cuanto a diseño y calidad pero a mí me quedaban bastante grandes un 37, suelo utilizar este número.</t>
  </si>
  <si>
    <t>Esta molt bé M'ha agradat que també es pogui fer servir al cotxe</t>
  </si>
  <si>
    <t>DECEPCIONADO BUENAS TARDES.    He comprado dos unidades de este modelo, en general contento , pero esperando que tuviera actualizaciones que mejoraran sus funcionalidades, que " evolucionara", como vemos que en otras marcas  sucede cada pocos meses.    A dia de hoy no ha habido ninguna, ni la tan prometida del mapeo para mas de una planta y tampoco  ninguna que añadiera alguna de las multiples posibilidades que vemos que tienen estas maquinas en otras marcas, en modos  de limpieza , etc.  UN SALUDO A TODOS</t>
  </si>
  <si>
    <t>Justo lo que necesitaba Es justo que que estaba buscando</t>
  </si>
  <si>
    <t>👍👍👍 perfecto!! Es genial, a mi hija de 8 años le encanta. Buena compra. 👍👍👍</t>
  </si>
  <si>
    <t>Muy buenas Botas de gran calidad en su fabricación y materiales. Quedan muy bien con unos vaqueros. Yo las encontré a mitad de precio que en tienda así que encantado. No son tan para invierno como pensaba pero para entretiempo van perfectas</t>
  </si>
  <si>
    <t>Buenissimo Yo no estaba convencido de comprarlo ya que habia la pelicula muchas veces y creia que ya no seria emocinante la historia. Sin duda, me equivoqué. Lo termine en 3 dias. Ha sido como volver ha meterse en la historia de la pelicula pero con mas escenas y todo mas detallado. En la pelicula se saltan algunas cosas.</t>
  </si>
  <si>
    <t>Los mejores calidad precio. Relación calidad precio los mejores. He probado los xiaomi y los Enacfire future plus y Enacfire e-18, estos dos últimos los mejores valorados en Amazon, y los xiaomi los más parecidos, de todos me quedo con estos, sobre todo por el tamaño, muy pequeños, los future plus también funcionan muy bien pero son grandes.</t>
  </si>
  <si>
    <t>Cadenita y Colgante Copo de Nieve en Plata de ley Fabricada en Plata de ley 925 con una longitud de la cadena: 45-50 cm Tiene un acabado de rodio que no oxida. El colgante es un Copo de Nieve, con 5A circonita. Tiene un tamaño de 14,48 * 12,59 mm y un peso: 3,6 g. Pensaba que era más grande por las fotos, pero realmente la cadenita es finita y el copo bastante pequeñito. Estoy encantado. Lo compré como regalo para mi compañera y le ha parecido fantástico, se ha quedado prendada con ella y esa era mi intención. Con lo que solo puedo decir OBJETIVO CONSEGUIDO. Ha sido una maravillosa lección y estoy repitiendo, en cuanto tenga alguna justificación para realizar otro regalo. Estoy muy contento con el fabricante y el vendedor que me motivaron para realizar la compra. Os adjunto unas fotos para que apreciéis: El perfecto embalaje. Cajita encantadora para regalo. Y delicadeza en el buen hacer, de todos los que han tratado mi pedido y el producto. Evidentemente REPETIRÉ y repito cada poco tiempo.</t>
  </si>
  <si>
    <t>Necesarios en el hogar Cumple su función</t>
  </si>
  <si>
    <t>Bien Funciona y la oferta vale la pena</t>
  </si>
  <si>
    <t>CASIO =CALIDAD Me llegó un día mas tarde, raro en Amazon. Venía bien enpaquetado y protegido dentro de un estuche de aluminio, fue sacarlo y dar el dia, mes, hora correcto en cuanto le dio la luz. Batería a tope y sin ningún rasguño. El libro de las instrucciones viene también en Español y eso es de agradecer. Es muy fácil de manejar y 2 veces al dia se actualiza la hora por lo menos 2 veces en el Sur. Como es normal en los Casio las alarmas suenan bajo eso se lo podían haber currado en un reloj moderno como es este. Como ya han dicho en varias ocasiones el manejo de los botones es dificultoso porque no sobresale aunque tiene su lado positivo es mas difícil de dañarlos y no se está todo el dia manejandolos osea es un mal menor. La luz del reloj es potente y dura un par de segundos cada vez que se le da al botón , suficiente para ver la hora. El reloj se ve que es  robusto a pesar de las medidas mas bien normal /pequeño. Es ligero y mas si estas acostumbrado a relojes de manecillas como es mi caso. Te puedes duchar, ir a la piscina tranquilamente ya que es resistente al agua y doy fe. En difinitiva si buscas un reloj duro, solar, y que no sea grande es este sin duda.</t>
  </si>
  <si>
    <t>Comodos y de facil limpieza Me encantan, son muy cómodos y fáciles de limpiar. El envío como siempre perfecto. Importante fijarse en los números medios, yo calzo un 42.5, anteriormente había pedido el 43 pero los pude cambiar sin problema y comodamente te los recogen en casa.</t>
  </si>
  <si>
    <t>Genial Es mucho mejor cuando llega! Sorprendida para bien!</t>
  </si>
  <si>
    <t>Olor duradero Los probé ayer por primera vez y me encantan, olor duradero con unas 5 gotas es suficiente, bienen en caja .</t>
  </si>
  <si>
    <t>Elegante Me gustó mucho pero tuve que devolverlo porque el pantalón me iba bien, pero la chaqueta de la talla M es muy ajustada y me iba muy pequeña.</t>
  </si>
  <si>
    <t>Buen SSD para cualquier portátil Se nota el cambio de velocidad de respuesta y ejecución en mi portátil, un MacBook pro del 2012, da gusto trabajar con el ahora. A ver cuánto dura así.</t>
  </si>
  <si>
    <t>Es suficientemente grande y de buena calidad Alfombrilla suficientemente grande como para cubrir la zona en la que utilizo el ratón y el teclado.</t>
  </si>
  <si>
    <t>Lingfeng ye Me encanta, lo he encendido para comprobar que funcionaba correctamente y me he quedado enganchada a él, no podía parar de cantar.asi mi hija quiere cantar cada día.</t>
  </si>
  <si>
    <t>Me han encantado. Me encanta la selección que viene. Al abrirlos estaban todos bien cerrados y precintados y me encanta la cajita donde vienen todos para tenerlo bien guardado y ordenado. Lo he usado para poner en un humidificador y con pocas gotitas huele mucho. Es un olor suave que no se te mete en la nariz que a veces molesta, este es el perfecto. También viene un papel donde salen las utilidades de los aceites. Es un acierto comprarlo, recomendadosimo.</t>
  </si>
  <si>
    <t>Lo wue esperaba Bien</t>
  </si>
  <si>
    <t>Mala calidad Las botas no están mal pero se han roto los enganches de los cordones el primer dia</t>
  </si>
  <si>
    <t>Bien pero las tuve que descambiar Las zapatillas son muy chulas pero da poca talla 2 numeros de diferencia</t>
  </si>
  <si>
    <t>Más económico que la esencia en frasco pequeño No resulta fácil su uso porque no trae cuenta gotas.</t>
  </si>
  <si>
    <t>Decepcionado Poca calidad, duran poco, en un mes o menos ya se me estropeó el auricular izquierdo, y eso que no tienen un mal uso</t>
  </si>
  <si>
    <t>No funciona .... No Funciona , nada mas poner la tarjeta junto a un tecnico salio el mensaje... tarjeta SD dañada,el telefono ni la reconocia,y solo hacia que reiniciarse,el tecnico la puso con el adaptador que trae a un pc y ni la reconocio y encima desconfiguro todos los puertos Usb y lectores , la puso en otro PC y le paso lo mismo , sospecho de que fuera una falsificacion y le hizo unas pruebas con el resultado POSITIVO "Falsificacion",menos mal que no la instale en en mi tablet de gama media / alta ni en mi telefono , si no , no se que que hubiera pasado,poeque si desconfuguro 2 PC no digo nada lo que le podria haber hecho a mis dispositivos. A sido de devuelta por estos motivos.</t>
  </si>
  <si>
    <t>No consigo que funcione,sin cable de red en menos de una hora lo mando a devolución de amazon por 2 motivos. El primer motivo es que no tiene cable de red (pensaba que ponía conectarlo con red). El segundo motivo es no consigo que el Mac reconozca el disco duro ,desconozco si hago algo mal pero como no hay un solo Led que te indique en que estado está el disco no se que tenía que hacer para que funcionara. Probare con otra marca,ya que no doy con la forma de hacerlo funcionar.</t>
  </si>
  <si>
    <t>Bien, para mi niño Buen producto, como la foto</t>
  </si>
  <si>
    <t>Esta bien Soy muy bonitas, lo único que no son del todo redondas, tiene una forma un poco chafada pero el brillo es bonito.</t>
  </si>
  <si>
    <t>cinta de embalaje buenas cintas de embalaje a un precio muy económico</t>
  </si>
  <si>
    <t>Bien Están muy bien para el precio que tienen. Secan rápido. La cintura aprieta un poco y deja marca, que es lo único que no me ha gustado mucho.</t>
  </si>
  <si>
    <t>Buen producto Super calentitas. Las mias son rosas y son monisimas</t>
  </si>
  <si>
    <t>Buena relación calidad-precio Ha sido un regalo. Funciona perfectamente. Lo único que me equivoqué y compré este en vez del que viene con el soporte de mesa. El envío muy rápido y producto de calidad en relación con el precio. Para  comenzar a grabar está estupendo. Lo recomiendo</t>
  </si>
  <si>
    <t>Buenas Vienen dos paquetes en uno, no lo sabia. El material es bueno y duradero, volvere a comprarlas van genial con mi plastificadora</t>
  </si>
  <si>
    <t>Buena relación calidad/precio Estoy super contenta con la compra. Una sudadera de buena calidad a buen precio.</t>
  </si>
  <si>
    <t>Best in town Para mi los mejores biberones</t>
  </si>
  <si>
    <t>Muy buen producto Muy buen producto. Cumple perfectamente lo que promete y ciertamente los cólicos se reducen notablemente Recomiendo totalmente este producto. Gracias</t>
  </si>
  <si>
    <t>Recomendables 100 por 100, por sonido y cumplen función para ejercicio. Mejor de lo q esperaba. Evita mucho el ruido externo, evitando esos que hay q ponerse encima de los oídos q se ven tanto y a mí me molestan.</t>
  </si>
  <si>
    <t>Ok Funciona bien, 100% recomendado</t>
  </si>
  <si>
    <t>ESTA VASTANTE BIEN bueno y barato cumple + que suficiente lo uso a nivel profesional  para entrevistas sin mucha importacia</t>
  </si>
  <si>
    <t>Zuecos de calidad, servicio de paquetería lamentable Los zuecos son muy bonitos y se ven de muy buena calidad y muy cómodos. En cuanto al servicio de entrega de paquetería lamentable, mucho retraso y barias reclamaciones, un horror...</t>
  </si>
  <si>
    <t>Quedan perfectos Me ha sorprendido el material y la calidad del zapato en general</t>
  </si>
  <si>
    <t>Aromas terapéuticos Nos ha encantado... el aroma terapéutico da un olor estupendo a nuestro hogar. Recomendable 100x100</t>
  </si>
  <si>
    <t>Comodidad Muy bien todo</t>
  </si>
  <si>
    <t>Perfectas. El tamaño perfecto la calidad perfecta todo perfecto todo perfecto todo perfecto eso es lo que dice mi novio.</t>
  </si>
  <si>
    <t>Gran compra. Buen precio, calidad y capacidad, ligero, aunque es mas grueso que otros modelos, por su capacidad vale la pena, todo en un bolsillo.</t>
  </si>
  <si>
    <t>Genial Genial</t>
  </si>
  <si>
    <t>perfecto para mi madre la ha gustado mucho. Es perfecto. Gracias</t>
  </si>
  <si>
    <t>XV Queda perfectamente encajado el disco externo. Por el precio q tiene no se puede pedir más. Buena apariencia y lo recomiendo.</t>
  </si>
  <si>
    <t>Parecia una ganga pero al final 30€ tirados a la basura No creo que me los ponga... además no se podrque el marron no es marron, es un marron grisaceo :( toda una pena porque pintaban bastante bien. Me los he probado y la puntera al ser estrecha queda bastante mal. Se me ha pasado el periodo de devolución y al final me los tengo que quedar :( Respecto a la calidad, es algo recia el material y no es comodo para ir descalzo. Además tenía un saliente en la arandela de las coordoneras y me ha arañado todo el pie :( bueno, ya he puesto correctamente la arandela en su sitio pero lo dicho... el color es una decepción y las fotos no hacen justicia para nada.</t>
  </si>
  <si>
    <t>sospechosamente pequeño y mal embalado No llegue a probar el producto porque me quedaba muy pequeño. La etiqueta que venia cogida a la zapatilla parecia original, y no puedo decir que me parecieran copias, pero el embalaje tenia muy mala pinta. Era una bolsa sin ningun tipo de identificacion. Me pareció raro que no viniera en su caja.</t>
  </si>
  <si>
    <t>ES MUY LIGERO Y MUY PRACTICO CALIDAD Y PRECIO SON CORRECTOS</t>
  </si>
  <si>
    <t>Que no lo volveré a pedir mas &lt;div id="video-block-RREXNMAMW1XYD"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src="https://images-eu.ssl-images-amazon.com/images/I/A1f-JTSIl5S.mp4" style="position: absolute; left: 0px; top: 0px; overflow: hidden; height: 1px; width: 1px;"&gt;&lt;/video&gt;&lt;/div&gt;&lt;div id="airy-slate-preload" style="background-color: rgb(0, 0, 0); background-image: url(&amp;quot;https://images-eu.ssl-images-amazon.com/images/I/71lofTzhJAS.png&amp;quot;);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value="https://images-eu.ssl-images-amazon.com/images/I/A1f-JTSIl5S.mp4" class="video-url"&gt;&lt;input type="hidden" name="" value="https://images-eu.ssl-images-amazon.com/images/I/71lofTzhJAS.png" class="video-slate-img-url"&gt;&amp;nbsp;Ha venido sin caja y sin papeles</t>
  </si>
  <si>
    <t>Huele mal ... y mala calidad a mas no poder Llego bien muy rápido , la sorpresa .. hay que hervir antes de usar dos veces pues en esas dos veces el culo se puso negro y huele mal ... muy barato pero muy malo</t>
  </si>
  <si>
    <t>producto original, cumple con las expectativas La tarjeta de 128gb realmente deja 116Gb de uso una vez formateada. Las pruebas de velocidad ronzan los 100Mb/s que índica el fabricante, y creo que se en las pruebas no llega al máximo debido a la interfaz que estoy utilizando para hacer las mediciones. En el uso real con el teléfono funciona perfectamente incluso grabando vídeo a 4k, por lo que cumple con lo esperado, no hay retardos ni fallos de lectura. También lo he utilizado temporalmente con la cámara de fotos y no tengo problemas de latencia, por lo que el funcionamiento es correcto, al menos de momento. La tarjeta llega precintada junto con un logotipo de seguridad de Hp y un número de serie de autenticidad, se agradece que incluye ademas una tarjeta adaptador Sd-MMC. Cumple con las expectativas</t>
  </si>
  <si>
    <t>Reloj resistente y duro pero con una iluminación mejorable No he podido probar todas sus funciones pero de momento muy bien, se ve resistente y duro (en YouTube podéis ver videos de las guarradas que le hacen y el peluco ni se inmuta). Sólo tiene un pequeño defecto... en la oscuridad la luz no es muy efectiva, las pantallas digitales prácticamente no se ven (aunque tampoco es muy importante para mi) y las manecillas del reloj se ven mejor pero tampoco para hechar cohetes. Si a media noche te despiertas y quieres saber la hora te costará un poco.</t>
  </si>
  <si>
    <t>Encaja Copia de seguridad</t>
  </si>
  <si>
    <t>algo pequeño pone para una talla 95 pero es algo pequeño para esa talla, el dibujo se correspondia con el producto anunciado</t>
  </si>
  <si>
    <t>Recomendada para vídeos 4K Este tipo de memoria microSDXC es de tipo U3, lo que significa que está especialmente indicada para transferencias de lectura y escritura a muy alta velocidad, algo necesario si queremos grabar vídeos en 4K. Debido a que muchos móviles ya incorporan la posibilidad de grabación a esta resolución, creo que la inversión es más que razonable, ya que tiene una capacidad elevada y es algo necesario para los tamaños de los vídeos en 4K. Yo recomiendo grabar siempre a la máxima resolución, ya que dentro de nada será un estándar y así seguirá un tiempo, por lo que si ahora estás grabando en HD o FULLHD, error, dentro de un tiempo te parecerá borroso. El ojo se acostumbra pronto a lo bueno.  La tarjeta es microSD pero viene con adaptador SD, perfecto para conectar a los portátiles, por ejemplo, si quieres usarla como SD o hacer backups.  He hecho una prueba de velocidad de escritura y supera los 30 Mb/s, que está muy bien, aunque debería ser algo más según las especificaciones, aunque es cierto que mi portátil tiene ya más de 5 años.  El funcionamiento en el corto plazo ha sido correcto.  Además promete que es waterproof, aunque no he querido comprobarlo. Entiendo que sí al no llevar partes mecánicas, pero no le encuentro mucho sentido, porque si lo llevas dentro de una cámara que no es waterproof, no sé qué utilidad tiene eso. Que resista la temperatura me parece más lógico, porque los dispositivos muchas veces se calientan mucho.  En definitiva, una opción muy correcta con buena relación calidad/precio.  No le pongo todas las estrellas ya que no ha sido una prueba a largo plazo y eso habrá que valorarlo más detenidamente después de un tiempo continuado de uso.</t>
  </si>
  <si>
    <t>Eva Está genial este pantalón y de precio mucho más barato q en tiendas. Se ve de calidad y es muy cómodo. Cogí la talla M ya q suelo gastar 38/40 y me va perfecta. Lo recomiendo</t>
  </si>
  <si>
    <t>Me encanta!! Dude, pero ahora estoy super contenta, me gusta mucho la tela, es fresquita, caida, fina, ideal para verano, los colores son exacto al de la imagen, queda chulisimo, estoy pensando en comprarme otro.</t>
  </si>
  <si>
    <t>Buena calidad de sonido Me encantan, son muy cómodos de llevar y se escuchan genial. La batería dura mucho ya que la propia funda actua de cargador, además es muy bonita y elegante, por fuera es como de cuero, para un regalo están geniales.</t>
  </si>
  <si>
    <t>Cómo esperaba Me llegaron  pronto y quedan super chulas</t>
  </si>
  <si>
    <t>Más vale maña que fuerza Es una cortadora versátil y muy útil. Fácil de usar y practica. Corta hasta doce hojas de papel. El brazo que tiene es una buena idea y el servicio del vendedor excelente. La recomiendo.</t>
  </si>
  <si>
    <t>Buena compra Me ha impresionado.  Muy cómoda y con muchos casos para lo q gustes</t>
  </si>
  <si>
    <t>Muy buena relación calidad precio. Compra totalmente recomendable Acabo de recibirlos y es super fácil enlazarlos con el móvil (yo tengo un Xiaomi Redmi Note 7). Ojo hay que retirarles un plastiquito muy pequeño color azul en las conexiones que haran contacto con la caja se vuelve a poner en la caja asegurarse que los puntos de conexión con la caja hacen contacto. Se iluminarán en rojo. Se vuelven a sacar y en los ajustes del móvil seleccionamos Bluetooth y ya nos tienen q aparecer los Airdots incluso su nivel de batería ( a mi me vinieron con el 100% ) y nada más, no tuve q hacer nada más como leì algun@ q los tenía que emparejar o algo así. Tienen mucho volumen y la calidad del sonido no es q sea espectacular pero tampoco se le puede pedir mas por el precio q tienen (según q canciones y de donde las hayas bajado). Para recibir llamadas sólo hay q pulsar uno de ellos para oir y contestar la llamada ( yo los probé dentro de casa y se oye perfectamente, no sé en la calle). Lo malo q no se pueda cambiar de canción y haya q ir al movil a cambiarla pero por el precio (yo los compré en Amazon por 21,80 € gastos de envío incluidos) son un chollo. Compra totalmente recomendable.</t>
  </si>
  <si>
    <t>Cumple con las espectativas Funciona bien.</t>
  </si>
  <si>
    <t>A llegado perfectamente 😊 Me a encantado  quede encantadicima ami chico le encantará 🤩😍gracias  Amazon,😊</t>
  </si>
  <si>
    <t>todo correcto envio rapido y todo correcto, buena compra</t>
  </si>
  <si>
    <t>Hacer te Me gusta es practico</t>
  </si>
  <si>
    <t>Riñonera muy practica Perfecta</t>
  </si>
  <si>
    <t>Perfectas. Llevaba mucho tiempo detrás de unas botas Timberland, después de que Amazon me avisara de una oferta, me arriesgué a pagar un buen dinero, muy rebajadas, pero aún asi una cantidad importante.  No han defraudado, completamente originales, huelen a piel, son calentitas, completamente impermeables y con solo pedir medio numero menos, quedan como un autentico guante. A todo aquel que esté pensando en adquirir unas botas de invierno, que no escatime en gastos, este tipo de botas te acompañaran durante años y años.</t>
  </si>
  <si>
    <t>Super relajante para masajes Le he dado una sorpresa a mi mujer, le he dado un masaje y le ha encantado, le gusta mucho el olor y dice que es muy relajante, vamos que se ha puesto cachonda como una perra.</t>
  </si>
  <si>
    <t>Calienta rapido Calienta a 50-55 grados 20 litros en aproximadamrbte 5 minutoa</t>
  </si>
  <si>
    <t>Estupendas! Número perfecto, mi número 40 y es el q he pedido. Comidas , impermeables y muy abrigadas. Las uso a diario en Londres y encantada.</t>
  </si>
  <si>
    <t>Producte adequat És tal com reflexa la foto, mesura 40mm. i és força prim. Destaca la bellesa de la seva simplicitat. El vaig comprar per la meva dona i va estar contentíssima.</t>
  </si>
  <si>
    <t>Fabuloso para hablar Llevo 3 días con él y es lo mejor que he podido comprar, se oye a la perfección y la batería le dura muchísimo. Además son muy cómodos de llevar. Muy contento con los auriculares</t>
  </si>
  <si>
    <t>Pequeños y potentes Correcto, lo que esperaba</t>
  </si>
  <si>
    <t>No comprar para leche de fórmula Tenia muchas esperanzas en las tetinas calma porque me habían dicho era lo mejor para mezclar pecho y biberón. Estas tetinas no sirven para formula solo para leche de lactancia. Con formula se tapona constantemente lo que hace que los niños se desesperen. He probado a desacr la fórmula a mayor temperatura pero igual se atasca. Solo psea leche materna es bueno.</t>
  </si>
  <si>
    <t>Cumple su función Lo he probado enchufandolo directo al móvil y a una interfaz usb focusrite y funciona correctamente. He comprado un mini pie (de los de poner encima de la mesa) y por el peso a veces se cae; recomiendo usarlo con un pie de micro normal.</t>
  </si>
  <si>
    <t>Calidad mejorable Calidad normalita acorde al precio. El funcionamiento es correcto aunque el cable es demasiado rigido comparado con otros que tengo.</t>
  </si>
  <si>
    <t>Gran decepcion Soy informatico,tenia un solido(marac Crucial) en mi portatil de 240gb que me daba un velocidad de lectura de 540Mgb,he comprado dos iguales y los dos no llegan de la misma capacidad,siendo la misma marca y el mismo modelo y los dos de 960gb segun el fabricante,uno viene con 920gb y el otro 890gb.....muy raro y sospechoso.    Lo peor es que en el mismo portatil solo me dan 300Mbs de velocidad de lectura,un poco mas de la mitad que mi antiguo ssd de 240gb. Aconsejo gastarse un poco mas de dinero y comprar otra marca/modelo.   Una gran decepcion</t>
  </si>
  <si>
    <t>Es falso, imitacion china El reloj en principio parecia bueno pero ya vi la tarjeta de garantia en la que tu debes rellenar num de serie etc etc y eso no es asi en los relojes sieko (tengo otro). Ademas en la esfera en la parte de abajo se ven defectos tiene puntos blancos por que no se ha realizado bien el cortado de la misma. En fin no lo recomiendo mejor comprar uno de verdad aunque valga un 35% mas caro que este.</t>
  </si>
  <si>
    <t>Magnifico Rascador Lo mas importante no araña, otros modelos arañan y al final es molesto a la par que doloroso, esta esta muy bien y al ser telesopico es muy largo. Lo recomiendo</t>
  </si>
  <si>
    <t>eficaz lo recomiendo por relacion calidad precio,va rapido, y pesa poco. los portes buenos precios como siempre. lo recomiendo al igual que el kimstom data traveller 100 g2, los tengo los 2 y van genial.</t>
  </si>
  <si>
    <t>Es Rode, algo caro pero excelente calidad. La suspensión reduce muchísimo el ruido y las vibraciones al manipular la pértiga o si accidentalmente la golpeas. Lo uso principalmente junto con un NTG4 y un Boompole tambien de Rode. Después de medio año ha soportado muchos rodajes y sigue como el primer día excepto por las almohadillas grises, que se han ensuciado tanto que ya no hay quien las limpie, hubiese estado bien que Rode las fabricara en negro directamente. Si buscas material de sonido de primera calidad Rode es una gran marca y sus productos siempre son de la mejor calidad. Todo mi equipo de sonido es de Rode a excepción de la grabadora que es de Tascam (ya que es lo único que no fabrica Rode) y la verdad es que producto que compro de ellos producto que dura años.</t>
  </si>
  <si>
    <t>Calor muy duradero Lo uso para la camita de mis chihuahuas y dura caliente toda la noche. Lo único malo es que no es desenfundable pero le pones tu una funda y listo</t>
  </si>
  <si>
    <t>Color original y muy bonitas Muy bonitas y cómodas.  El color es original y poco visto</t>
  </si>
  <si>
    <t>Me encantan. Buenas bambas. Muy confortables y eso q tengo los pies delicados. Las uso para fitness y para la calle con tejanos. Sobre la calidad de las zapatillas, si no la maltratas mucho (lluvia, barro...) seguirán como el primer dia. Muy recomendable.</t>
  </si>
  <si>
    <t>Gran batidora de vaso Ideal para batidos de frutas y verduras. Lo deja bien triturado y es facilísima de limpiar.</t>
  </si>
  <si>
    <t>Excelente reloj Súper contento con esta compra , muy buen reloj a excelente precio y lo más importante 100% original , después de varios meses usándole le doy un 10 .</t>
  </si>
  <si>
    <t>Sorprendente Un reloj con carcasa y cadena metálicas y unos acabados bastante interesantes a un precio risible.</t>
  </si>
  <si>
    <t>Cómodas y trendy Me gusta su diseño. Son cómodas no muy altas y era lo que buscaba  Yo me compre un talle más. Así las puedo usar con medias grandes</t>
  </si>
  <si>
    <t>calidad precio estupendo Lo volveré a comprar cuando se me estropeé, va muy bien, la cinta recoge bien, no se para ni baja super rápido que haya que vigilar. El tamaño es correcto, la carcasa tiene parte de goma dura para los golpes.</t>
  </si>
  <si>
    <t>Muy contento con la compra Creo que tiene una relación calidad-precio adecuada. Da la hora, es cómodo, aguanta la presión acuática (al menos dos duchas desde que ayer lo recibí, y no tengo queja). Ligerito de peso, quizá influenciado por el cristal fino (o plástico) que tiene de cobertura. A ver como responde de aquí en adelante. De momento, cumple la expectativa.</t>
  </si>
  <si>
    <t>Muy bonita Igual que la foto</t>
  </si>
  <si>
    <t>Cumple con lo ofrecido La jarra es muy bonita y calienta rápido es agua. Estoy muy contenta con la compra.</t>
  </si>
  <si>
    <t>Pantalla digital Buenos auriculares tactiles y con caja que le Aporta bateria. Ademas la caja cuenta con una pantalla led que indica el porcentaje de bateria de cada auricular.  Tambien incorporan varias adaptadores de silicona para cada tipo de oreja. No olvidemos que incorpora tambien una bolsilla de tela un poco regular pero muy practica</t>
  </si>
  <si>
    <t>Sudadera Muy bonita y de buena calidad</t>
  </si>
  <si>
    <t>Gran capacidad, muy fácil de usar El diseño es bonito, el funcionamiento muy simple, de momento funciona correctamente y expande bien el aroma. La ventaja principal es su gran capacidad, que hace que no haya que estar rellenando el depósito continuamente.</t>
  </si>
  <si>
    <t>Cómodas Me han encantado la textura y lo blanditas que son. Se adaptan al pie perfectamento, de momento no veo nada negativo</t>
  </si>
  <si>
    <t>Práctica y bien rematada Buena mochila de pecho para llevar lo indispensable a tu alcance y controlado sobre todo para ciertos eventos y viajes en moto. Sorprende la calidad, los múltiples departamentos y que sea impermeable. Buena compra.</t>
  </si>
  <si>
    <t>Compra perfecta :) Están muy bien de precio y apenas gastas unas gotitas en cada uso. Huelen muy bien todas las esencias :)</t>
  </si>
  <si>
    <t>Barato y con buen funcionamiento Suena bien y es fácil de usar. Estoy muy contenta con el producto, lo malo que es que tiene solo un metro de largo y he tenido que comprar un alargador, pero en general bien.</t>
  </si>
  <si>
    <t>Perfecto Una compra perfecta, el agua aguanta 24h, va perdiendo temperatura pero no del todo. Super practico</t>
  </si>
  <si>
    <t>Feas No es lo que  parecía en la foto</t>
  </si>
  <si>
    <t>NO ME PARECE QUE FUNCIONARA CORRECTAMENTE Compré este lápiz de memoria y otro similar en todo: prestaciones y precio. Este iba mucho más lento y enseguida me empezó a dar problemas. El otro siempre funcionó de maravilla.</t>
  </si>
  <si>
    <t>Útil y económico Práctica y económico</t>
  </si>
  <si>
    <t>Lucia Las he devuelto. Eran demasiado anchas y no me gustaba el material eran como muy de plástico. No son lo q esperaba.</t>
  </si>
  <si>
    <t>Fallo de conexión Tiene un problema importante para ser reconocido en ordenadores y televisores. Finalmente he optado por devolverlo porque en mi TV Samsung nuevo, en medio de la reproducción de contenido, se desconecta; a veces tarda más, a veces menos, pero termina desconectándose.</t>
  </si>
  <si>
    <t>Lo esperado, bien El producto lo esperado , funciona perfectamente y mi ordenador con un ssd va muchísimo más fluido y demás, le doy bastante caña y con el calor que hace el pc llega a bastante temperatura y demás , por el momento perfecto, no le doy las 5 estrellas por que a mi parecer el metodo de envío (por parte del fabricante no de Amazon) no lo vi muy correcto simplemente una caja de cartón normal fino con el ssd, los drivers y las instrucciones, podían ponerle un embalaje exterior o una espuma para que llegue bien protegido , luego también (esto ya cosa mía) , podían añadir el cable sata o almenos los tornillos de la caja , que sin 4 tornillos y no led cuesta nada que fuera un producto perfecto.</t>
  </si>
  <si>
    <t>De buena calidad Son pantalones de chandal  buenos y baratos, con interior polar, no pasas frío con ellos, un poco grandes de talla , yo me quede con una M, pero como uso secadora se encogen un poco y quedan perfectos.</t>
  </si>
  <si>
    <t>Capacidad / rapidez. Buena capacidad añadida a dispositivos móviles. Está respondiendo muy bien a las necesidades de del teléfono y tableta.</t>
  </si>
  <si>
    <t>Funcionamiento correcto Funcionan bien, el adhesivo no es el mejor del mundo y se puede terminar soltando (cables, etc) pero en general están bien por el precio que tienen.</t>
  </si>
  <si>
    <t>Gran capacidad al mejor precio Es una tarjeta de memoria de 128 gigas. De la marca  Arcanite.  He de decir que no había oído hablar de esta marca, y en temas de informática y electrónica soy más partidaria de ir a lo seguro, pero aún así decidí probarla por su buen precio.  Tengo que decir que la lectura por el dispositivo fue instantánea, rápida y a la primera. Tiene una capacidad elevada, por lo que te aseguras almacenamiento de sobra.  Es una tipo SD y trae adaptador. En general, cumple bien su función y es económica. Una buena compra.</t>
  </si>
  <si>
    <t>Buen producto para cuidar nuestro cuerpo Este masajeador tiene varias velocidades lo cuál te permite ajustarlo a tus necesidades. Junto al calor permite reducir las contracturas del cuello y de la espalda, ayudándome a reducir el dolor que se me produce en el cuello al trabajar. No es ligero, pero es cómodo de usar y los beneficios que produce contrarrestan este inconveniente. El cable de alimentación podría ser un poco más largo, ya que tienes que tener muy cerca un enchufe donde alimentarlo. Muy recomendable si tienes problemas de cervicales y de contracturas.</t>
  </si>
  <si>
    <t>Gran calidad y sonido La verdad es que está muy muy bien, se siente robusto y de calidad tanto visual cómo al tacto, todos los complementos que puedes pedirle, soporte, brazo, antipop, esponja...  Y la calidad de sonido es excepcional, claro, nítido, sin ruidos ni extraños.  Merece la pena sin duda.</t>
  </si>
  <si>
    <t>Comodísimas! Pedir un número más que de zapato Segundo par que compro. Tenía miedo de que me quedaran pequeñas pero como en todas las deportivas un número más que de zapato es perfecto. Combinan bien con todo, chándal , vaqueros, chinos... Además, son las más cómodas que he probado.</t>
  </si>
  <si>
    <t>ESPECTACULAR Hay pomadas y aceites que funcionan muy bien, pero si quieres algo que sea inmediato y que valga para todos los dolores musculares y articulares este es tu remedio- Mis lumbalgias duran un par de días cuando antes duraban una semana. Mi padre la usa para la artrosis de las manos y mi madre para la rodilla. Éxito total!! Cunde muchísimo, y totalmente natural. Ya no faltará en casa. Gracias!!</t>
  </si>
  <si>
    <t>Muy buena relación calidad-precio Recomiendo la compra de estos auriculares para aquellos que no quieran pagar mucho dinero. El sonido es muy bueno y se adaptan muy bien a las orejas (vienen 3 tamaños de adaptador para el oído). Se pueden contestar las llamadas al smartphone simplemente presionando un boto que tienen los auriculares y que viene quedar junto al cuello. No tiene control de volumen (la única pega) a menos que descargues un determinado software de Sony en el Smartphone. Además viene con una funda muy útil para cuando no los usas y no quieres que se enrolle el cable. Yo estoy muy contento con la compra.</t>
  </si>
  <si>
    <t>zapatilla mujer Son super bonitas y prácticas, muy cómodas y se adapta muy bien a la forma del pie. Son realmente como me esperaba que fuesen.</t>
  </si>
  <si>
    <t>Muy buena relación calidad-precio He utilizado estas cintas para fabricar casas para gatos de colonias, callejeros. Estas casas se colocan en exterior y tienen que soportar lluvias, vientos, fríos helados. Por ahora el resultado está siendo fantástico, aguantan sin problemas.</t>
  </si>
  <si>
    <t>LO MEJOR Compré estas memorias RAM para sustitutirlas en mi PC ASUS de sobremesa, don un i7 y 6gb de RAM Kingston. Cambiar la memoria RAM es lo más sencillo del mundo. Busca en google. Con estas carácterísticas, me resulta de lo mejor del mercado ahora mismo. Excelente disipación de calor, velocidad a raudales y compatibilidad plena. Consulta tu placa madre para saber si es compatible con sus características. Mi pc arrancaba rápido, pero ahora es una bestia parda en todo. Lo próximo será comprar un SSD para el sistema operativo. Si antes era rápido, ahora un tiro. Otra recomendación es un SSD a vuestro PC.</t>
  </si>
  <si>
    <t>Me gusta porque soy fan La parte de abajo no queda muy bien enganchada y en el Mac no funciona pero me encanta</t>
  </si>
  <si>
    <t>Correcto Tal como se describe; la esfera y las horas se ven con mucha  claridad. Quizás como único inconveniente hay que ajustar la correa al tamaño de la muñeca.</t>
  </si>
  <si>
    <t>Ana El reloj vino en perfecto estado. Embalado perfectamente por Amazon. Era para mi novio y el tamaño es ideal. Parece que tiene un acabado mejor que otros modelos de casio más tradicionales. Lo recomiendo bastante para hombre.</t>
  </si>
  <si>
    <t>Muy suave El tamaño es muy bueno, la suavidad que tiene hace que prácticamente parezca una manta normal y corriente. Había tenido mantas eléctricas y siempre eran más tiesas y cableadas, esta destaca por la flexibilidad y suavidad, a demás de que el calor que da es fuerte y reconfortante, lo cual es lo más que se le puede pedir a este producto. Para mí ha cumplido su cometido totalmente.</t>
  </si>
  <si>
    <t>Cómodos, pequeños, bien aislados y con un audio bueno por el precio por el que están. Un chollo. La caja donde se guardan y que sirve para cargarlos está muy bien, es más pequeña de lo que me esperaba (aprox. unos 6 cm de diametro). Tiene un botón para abrir la taba y acceder a los auriculares. Los auriculares son super sencillos de emparejar con el móvil. En cuanto a comodidad están muy bien, pues no pesan prácticamente nada y no son muy grandes (no sobresalen de la oreja como otros). Para salir a correr, ir al gimnasio y alguna actividad deportiva más son totalmente validos, pues no se mueven y el peligro de que se caigan es prácticamente nulo. La calidad del audio es buena para el precio que tienen: los bajos están bien, las frecuencias medias balanceadas y las altas no chirrian en el oído como otros. El aislamiento también es un punto a favor de estos auriculares. Por otro lado lo que no me termina, es que si que tiene algo de ruido de fondo al estar sin reproducir nada. Otro aspecto es el tema del "touch control", no es demasiado intuitivo, está bien, pero no es intuitivo.</t>
  </si>
  <si>
    <t>Tal cual la descripción Estupendo ,buen embalaje y en perfecto estado un regalo genial .</t>
  </si>
  <si>
    <t>Luck Perfecto. No se puede pedir mejor servicio posventa. Se me dormía el pie derecho por qué lo tengo ancho, me puse en contacto con Luck y me mandaron las zapatillas a medida. Gracias Luck España.</t>
  </si>
  <si>
    <t>Los amo Son Superga originales. Me han encantado. Tenía tiempo queriéndolos, y el precio está demasiado bien. Su único problema es que se ensucian fácilmente pero al ser blancos, es normal. De resto, en calidad, color, lavaods, comodidad, a todo le doy 10/10. Súper recomendados.</t>
  </si>
  <si>
    <t>Diseño maravilloso Es una maravilla de auriculares diseño espectacular buen tamaño se puede poner el estuche en el bolsillo sin notarlo la compré para mi hermana y me ha encantado a mi también muy chulos el sonido de muy buena calidad y para hacer llamadas lo que habla contigo se escucha perfectamente muy cómodos se conectan rápido y en la oreja se encajan bien se puede hacer ejercicio sin miedo de que caigan estuche viene con una pantalla que indica el nivel de carga La batería aguanta muchísimo  no se puede pedir mas recomendable 100%</t>
  </si>
  <si>
    <t>Todo, No la uso yo, se la envié a mi hija.</t>
  </si>
  <si>
    <t>No me Valle Ay comprado para llevar una camiseta y una pantalón pero no me cabe muy pequeño !!! Sirve más para una carteira !!!</t>
  </si>
  <si>
    <t>Demasiado bajos Son muy elasticos, pero los encuentro muy bajos, quedarian mejor si llegasen a los tobillos.</t>
  </si>
  <si>
    <t>Aceptable Esperaba que fuera de mejor calidad pero despues de dos meses de uso,los picos del archivador estan muy deteriorados. Creo que es muy recomendable que tuvieran un refuerzo de metal en las esquinas. Por lo demas esta bien ya que la goma es muy practica y las anillas de momento no han tenido ningun problema</t>
  </si>
  <si>
    <t>Malísima calidad Me parece impresionante que después de un mes de uso se hayan hecho un agujero en la puntera de la zapatilla. La calidad es nefasta. Estoy muy descontento con la compra. Intentaré ponerme en contacto con el vendedor.</t>
  </si>
  <si>
    <t>Parecen unas Puma falsas que puedas comprar en cualquier mercadillo. Son de malísima calidad, parecen unas Puma falsas que puedas comprar en cualquier mercadillo, las suelas son de broma.</t>
  </si>
  <si>
    <t>Mala compra Lo compre para un regalo y la verdad que viene muy bien empaquetado pero no solo vale la presentación. A pesar de echar muchas gotas del aceite no huele a nada por lo tanto no lo recomiendo para nada</t>
  </si>
  <si>
    <t>Perfecto para llevar encima Buen USB para incorporar a un llavero y llevarlo siempre encima. Ahora ya está un poco desfasado puesto que no es 3.0. pero hace su función perfectamente. Recomendable</t>
  </si>
  <si>
    <t>una buena compra una buena compra. no me equivoque con la compra, la entrega buena y de el producto también es muy bueno</t>
  </si>
  <si>
    <t>calidad precio bien</t>
  </si>
  <si>
    <t>tal y como viene en la foto Wonderful nunca defrauda</t>
  </si>
  <si>
    <t>Bueno, son Converse. Nunca me han gustado por su diseño, materiales, falta de resistencia... Pero mi hija quería esa marca porqué "mola" ;-D</t>
  </si>
  <si>
    <t>¡¡¡ES UN TABLERO DE CORCHO!!!!! HOMBRE, ME ENCANTA,  A FIN DE CUENTAS ES SOLO UN TABLERO DE CORCHO, PERO .......ES LO QUE TENIA QUE SER.</t>
  </si>
  <si>
    <t>Pega muy fuerte. Es muy fuerte. La mejor que he probado</t>
  </si>
  <si>
    <t>Calidad indiscutible Magnifica presentacion. Incluso viene acompañdo de una herramienta e instrucciones para acortar la cadena de acero inoxidable. Muy recomendable como recambio para las correas de silicona.</t>
  </si>
  <si>
    <t>Muy ligeras Ligerísimas, bonitas y modernas. Se ajustan perfectamente al pie y parece que vuelas con ellas. El color gris pega perfectamente con todo</t>
  </si>
  <si>
    <t>Regalo Bueno bonito barato. De buena calidad y perfecto para regalar</t>
  </si>
  <si>
    <t>Todo correcto. Todo correcto,  tal y como esperaba , me han gustado mucho , muy contenta con la compra , muchas gracias.</t>
  </si>
  <si>
    <t>Zapatillas sin cordones skechers. Era lo que buscaba y a buen precio.Muchas gracias.</t>
  </si>
  <si>
    <t>Impresionante Para el precio que tiene no se puede pedir más. Fue sacarlo de la caja y las manecillas ponerse a girar para señalar la hora, luego sólo tuve que seleccionar la zona horaria para que fuese la correcta. De aparciencia está muy bien, más grande de lo que esperaba.</t>
  </si>
  <si>
    <t>Veracidad y profesionalidad Es tal cual lo muestran me sorprendió que tardara tan poco en llegar</t>
  </si>
  <si>
    <t>Auriculares originales LLegaron en plazo y funcionan correctamente</t>
  </si>
  <si>
    <t>Genial Genial como siempre Casio es estupendo está perfecto de tamaño y es bonito al estilo antiguo y con la calidad habitual quedó encantado con la compra. La caja también es de acero inoxidable.</t>
  </si>
  <si>
    <t>Cumple! La tarjeta es preciosa aunque cualquier otra tarjeta vale para la switch, el extra de precio es solo por el diseño.</t>
  </si>
  <si>
    <t>Muy buena opción Muy barato y con bastante calidad, le he dado múltiples usos: móvil, cámara de video, proyector y ordenador, y en todos los casos el resultado es óptimo.</t>
  </si>
  <si>
    <t>Brazalete precioso El brazalete lo recibí antes de lo que esperaba, así que me fué genial para llevármelo de vacaciones este verano. Se adapta perfectamente ya que es elástico, hasta una noche me lo puse en el brazo. El vendedor muy amable resolviendo las dudas que tenía, seguro que le vuelvo a comprar</t>
  </si>
  <si>
    <t>Surface Pro 4 Cumple su función en una Surface Pro 4. Por la salida HDMI también sale el audio ala TV (hay que seleccionarlo en los dispositivos de reproducción de Windows). Diseño compacto y muy versátil con tantas salidas.</t>
  </si>
  <si>
    <t>Espectaculares Tenía el modelo inferior y di el salto a estos que además son una edición limitada en color gris oscuro. El sonido como siempre en Audio Technica más que aceptable. Yo los uso para grabar podcast y van de lujo. Aislan bastante del ruido también y no son agobiantes, se pueden tener varias horas puestos que no te cansan. Estos en gris traen, a diferencia de los negros, una caja rígida para guardarlos cuando no los usas. Compra recomendable.</t>
  </si>
  <si>
    <t>Cumplen Todo okey. No se rompen a los dos días como otros.</t>
  </si>
  <si>
    <t>Producto con materiales de buena calidad. Gran calidad de sonido. Buscaba unos buenos auriculares para hacer running y la necesidad está cubierta. Fácil configuración y funcionamiento muy intuitivo. Es fácil cambiar de canción o descolgar una llamada sin tener el móvil a mano. El ajuste de los auriculares a la oreja es perfecto no se mueven ni se salen mientras corres y son muy cómodos. La calidad del sonido es muy buena, los bajos son impresionantes. Y por último la caja de carga es una maravilla, la función de carga mientras no les estás usando es perfecta. Recomendables sin duda.</t>
  </si>
  <si>
    <t>No sé corresponde con las imágenes y anuncio. El producto no se corresponde con lo anunciado ni con la fotografía que aparece con forro interior y otro color en la correa. En la realidad no trae forro y la correa es blanca como el resto del zapato.</t>
  </si>
  <si>
    <t>Grandes con buen sonido Son muy grandes y al cabo de unos minutos duele la oreja. Sonido muy bueno</t>
  </si>
  <si>
    <t>No está mal pero algo plasticosa El color es más brillante que en la foto. Eso junto con el tacto me da la impresión de ser una correa de plástico (aunque no he hecho la prueba de fuego). Por el precio está bien y cumple su función para el día a día pero no me la pondría para una ocasión más formal.</t>
  </si>
  <si>
    <t>Calidad bien a un precio genial. Funciona a la perfección, la única pega es la calidad y que es muy sensible a los golpes y roces, pero por ese precio está muy bien y encima es muy cómodo. Bastante contento</t>
  </si>
  <si>
    <t>Huele a lo que vale.... Los olores no se parecen en nada a lo que anuncian, huelen a ambientador barato o mata mosquitos, comparado con esencia naturales, solo huelen a química. Directos a la basura. La verdad, huelen según valen.</t>
  </si>
  <si>
    <t>No son NIKE Pensé que eram NIKE, la foto me engañó.</t>
  </si>
  <si>
    <t>Pizarra bastante util Es un pizarra con gran utilidad para cualquier lugar con una superficie lisa, como un armario, una puerta, una pared.  He estado buscando una pizarra para poner en la pared y poder hacer anotaciones de los objetivos que me voy proponiendo y progresos de diferentes cosas. Es de gran utilidad tener una pizarra de estas si se realizan proyectos de diversos tipos para ir marcando los pasos que se van consiguiendo.  Incluye los tres rotuladores para este tipo de pizarra con sus respectivos borradores, aunque recomiendo un trapo o cualquier otra cosa para borrar puesto que no se queda demasiado limpio si se utilizan estos borradores.  Por ahora no he tenido ningun problema.</t>
  </si>
  <si>
    <t>Economicos Son igual que la descripcion pero deberian de poner que pinchan de verdad. Son incomodos para dormir y se clavan en los dedos al ponerlos. Material bueno y buen precio.</t>
  </si>
  <si>
    <t>Bien Relación calidad precio</t>
  </si>
  <si>
    <t>Vale la pena Buena calidad. Cómodas y calidad precio bastante bien</t>
  </si>
  <si>
    <t>Dios me han mandado un gato muerto! Me han mandado un gato muerto!!! Dios!!!  Bromas a parte, no está mal como filtro de viento pero si hace viento, ni gato ni niño muerto que valga.</t>
  </si>
  <si>
    <t>Nostalgia Que puedo decir de las zapatillas que llevaba de pequeño, me trae recuerdos y las puedes conjunta con una gran variedad ropa.</t>
  </si>
  <si>
    <t>Muy buena para el móvil Una de las marcas de confianza en memorias de todo tipo, fiable y perfecta. La recomiendo para expandir la capacidad de cualquier móvil. Esta lleva un adaptador para poder usarla como una tarjeta SD normal.</t>
  </si>
  <si>
    <t>Muy buena batidora!!! Llevo 1 mes con esta batidora, y de momento solo puedo decir cosas buenas...ESTOY ENCANTADA!!!la uso todos los días y va genial!!!!Totalmente recomendable 100%.Sin duda la volvería a comprar.</t>
  </si>
  <si>
    <t>Esta genial Muy bueno</t>
  </si>
  <si>
    <t>Recomendable Potente, la volveria a comprar</t>
  </si>
  <si>
    <t>Perfecto Queria un reloj igual que el tenia, funcinal, pequeño y con todos los componentes que no yo necesitaba. Muy bueno para mi</t>
  </si>
  <si>
    <t>me encantan me gustan un momtom el envio  correcto y el precio mas</t>
  </si>
  <si>
    <t>Igual que la foto No utiliza pilas, va con el movimiento. Es muy chulo y por ahora no ha cambiado de color</t>
  </si>
  <si>
    <t>Buena Buena calidad como siempre con esta marca</t>
  </si>
  <si>
    <t>Buena compra Me ha impresionado lo bien que funciona y lo firme que es, he pegado a paredes de concreto tanto en interior como en exterior sin duda lo compraría de nuevo</t>
  </si>
  <si>
    <t>Me encanta ME ENCANTA. Tal y como se muestra en la foto. Sienta de maravilla. La talla perfecta en mi caso. Tejido fuerte. Repetiré de esta marca sin duda. Muy buena relación calidad - precio.</t>
  </si>
  <si>
    <t>Útiles y económicas Las bridas de velcro son la mejor forma de organizar y recoger cableado. Al llevar diferentes tamaños se puede organizar el puesto de trabajo de una manera más eficiente, tanto para el empleado como para el técnico de mantenimiento. Son fáciles de abrir y cerrar, para añadir o quitar cables del cierre. Las bridas de plástico suelen ser de un sólo uso y contaminan muchos más.</t>
  </si>
  <si>
    <t>Perfectos Son las zapatillas más cómodas que he tenido. Además, no pesan nada y son muy calentitas. Muy satisfecha con la compra.</t>
  </si>
  <si>
    <t>Queda perfecto Tal y como indica, quedan muy bien y son comodos</t>
  </si>
  <si>
    <t>Teresa Son las mejores bambas que he comprado, comodas y geniales. En un principio pedi medio numero mas de mi talla por los comentarios pero no tuve que pedir mi numero real.</t>
  </si>
  <si>
    <t>Muy recomendable Perfecto articulo. Gran calidad de sonido a un precio muy razonable. Ademas son bastante cómodos y parecen resistentes. La diadema aprieta un poco si los tienes mas de horas puestos, es lo unico. La entrega, rapidisima. Muy recomendable todo.</t>
  </si>
  <si>
    <t>Marina Estoy super feliz😍 una zapatilla increible tengo el empeine ancho y son ideales no me apretan por ningun lado super comodas, un gran diseño y agarre! Son las segundas lasportiva que tengo y la mejor zapatilla que he llevado en mi vida</t>
  </si>
  <si>
    <t>Es muy bonita Compré la chaqueta en negro de Talla E 38 (europea) pues es la que suelo usar, sin embargo me queda algo larga de mangas y ancha. Por tanto si quieres que te quede justa o entallada compra una talla menos; y si no te importa que quede desahogada pues compra la talla que normalmente llevas. Es de algodón, muy cómoda.</t>
  </si>
  <si>
    <t>Empresa seria, producto muy recomendable calidad precio e rápido en el envío lo recomiendo 100%. Empresa seria, producto muy recomendable calidad precio e rápido en el envío lo recomiendo 100%.</t>
  </si>
  <si>
    <t>Carmen No valen absolutamente para nada (mejor un cepillo dental duro). Según la publicidad, quita lo difícil. No es verdad. Nunca mas.</t>
  </si>
  <si>
    <t>No vale para nada No se nota mucho el olor del aceite asi que como difusor de aromas no es muy eficiente y como humudificador se queda excaso. No recomiendo su compra</t>
  </si>
  <si>
    <t>se rompe facilmente la compre y me la puse dos veces y ya se me han soltado los eslabones y no puedo volver a conectarlos... osea que la pulsera ya ni me sirve...para lo que vale, ya podría sujetar mejor...</t>
  </si>
  <si>
    <t>Demasiado pequeño El producto era como tres tallas menos de lo que figura en la etiqueta.no pude ni introducir el pié ahi</t>
  </si>
  <si>
    <t>Nueva vida para el PC Es mi primera experiencia con discos SSD y la verdad es que ha mejorado mi pc del 2011 de manera importante. Lo tengo instalado para el S.O. junto a un HDD y sobre todo el inicio es fulgurante y el rendimiento general a mejorado tambien. He tenido que actualizar algunas cosas más, como las conexiones SATA, etc. Porque 4*?, Porque SRS. De SANDISK su aplicación se ha actualizado y ahora ya no detecta el SSD. Y tampoco puedes ir hacia una versión anterior, muy mal.</t>
  </si>
  <si>
    <t>Bien Todo correcto, aunque los cordones ya se han roto:(</t>
  </si>
  <si>
    <t>Parece verde Pone gris pero es casi verde ... es bonita pero un fallo lo del color , hay que ser más preciso</t>
  </si>
  <si>
    <t>Herramientas que facilitan trabajo Herramientas prácticas y útiles que permiten realizar trabajos con la calidad del profesional a un precio justo</t>
  </si>
  <si>
    <t>Estaba genial cuando lo compré. la principal razón que lo compré es porque estaba más barato, ahora lo he vuelto a mirar y está un poco más caro.... cambios raros la verdad.  En sí el producto es bueno, pero he analizado porque lo compré por aquí anteriormente.</t>
  </si>
  <si>
    <t>Buen relojes Buen reloj, era lo que describía, de buena calidad y muy resistente, la iluminación es alucinante, se ve muy bien de noche.</t>
  </si>
  <si>
    <t>Bueno Bueno</t>
  </si>
  <si>
    <t>Es perfecto Me decidí, por el modelo más pequeño y la verdad es que va Fenomenal, buena calidad y muy amplio</t>
  </si>
  <si>
    <t>Todo ok Cumple con lo descrito, compacto y cómodo</t>
  </si>
  <si>
    <t>Perfectas Le número es perfecto y son muy bonitas, ya las tenía en granate asique no había problema con la numeración.</t>
  </si>
  <si>
    <t>Todo bien Tardo un dia mas, pero no es la direccion habitual, por lo demás todo muybien</t>
  </si>
  <si>
    <t>Perfecto Tenenemos en casa varios biberones de Dr. Browns y sin problemas. El crio lo coge bien, se limpia con faciliad, en resumen, producto recomendable.</t>
  </si>
  <si>
    <t>Comodo Cómodo y bueno para trabajar</t>
  </si>
  <si>
    <t>Perfecta por ahora va perfecta, tritura muy bien y lo deja todo súper suave, cremas, purés, salmorejo, etc. Recomendable 100%</t>
  </si>
  <si>
    <t>Muy recomendable Ha llegado rápido y en perfecto estado. Estoy muy satisfecho con esta compra. El producto parece de buena calidad. Es posible que compre algún cable más.</t>
  </si>
  <si>
    <t>Superó las expectativas Genial! Es más bonito y elegante que en las fotos! Sin duda lo volvería a comprar!</t>
  </si>
  <si>
    <t>Estupenda calidad La compré de esta marca por que otra de taurus no me duró ni 8 meses (y con poco uso). Se nota muy sólida y el resultado por ahora estupendo.</t>
  </si>
  <si>
    <t>Perfecto Cumple perfectamente con lo establecido, el Casio de toda la vida pero con unos colores muy renovados y estilo sport.</t>
  </si>
  <si>
    <t>LO MEJOR Solo voy a decir dos cosas .... SON FANTÁSTICOS .... cómodos , preciosos , calidad estupenda ... yo trabajo de camarera y los llevo cada día ... pq no sé ir zapatillas planas ....los amo ... lo único que tarda más o menos un mes ... los recomiendo de pleno .... a todos les gustan hasta me preguntan por la calle</t>
  </si>
  <si>
    <t>Aíslan bastante bien, buena reproducción de graves. Compré un micro de esta misma marca y me sorprendió gratamente descubrir que esta firma cuenta también con buenos auriculares en relación calidad-precio, por unos 50€ puedes acceder a estos auriculares que aíslan bastante bien del sonido y tienen buena respuesta en reproducción de graves, lo que los convierte en una herramienta de trabajo imprescindible en cualquier estudio de grabación.</t>
  </si>
  <si>
    <t>Comodo Es comodo y suena bien</t>
  </si>
  <si>
    <t>Muy duro Todo ok</t>
  </si>
  <si>
    <t>Muy bien Muy bien</t>
  </si>
  <si>
    <t>Lucía La verdad es que me lo esperaba más grande por los comentarios positivos, dando entender que es.grande y que cabe muchas cosas, si q cabe, pero es para meter como mucho una tablet.folios no caben. Osea que es como un bolso o bandolera normal.</t>
  </si>
  <si>
    <t>Esta bien, pero hay otras mejores y mas baratas Necesitaba una fregona mas avanzadas que las normales... y estuve dudando entre las normalitas sin marca y esta. Me decante por la marca Vileda, aun siendo mas cara y la verdad que me decepciono un poco. Va bien, hace lo que promete, peor no tiene nada que envidiar a una de las sin marca que estan por Amazon. Pero vamos, que no las desrecomiendo, que es buena, pero a mi en lo personal, me decepciono un poco. Recuerda #HazleCasoAlFriki y saldras ganando.</t>
  </si>
  <si>
    <t>Buenas Muy comodas</t>
  </si>
  <si>
    <t>la foto engaña este pendiente pesa tanto que no se coloca nunca en su sitio sino que se cae. No lo compreis porque solo vale para tirarlo</t>
  </si>
  <si>
    <t>Artículo defectuoso y ruidoso Artículo defectuoso, hace demasiado ruido para tenerlo en cualquier estancia, es como tener un frigorífico encima de la encimera, la luz que indica que ha llegado a la temperatura correcta nunca cambió a color verde.</t>
  </si>
  <si>
    <t>Relación calidad precio perfecta Me ha encantado el material y la calidad. Queda perfectamente ajustado, sin apretar ni quedarse con efecto 'colgante'. Uso una 40/42 y esta talla es genial</t>
  </si>
  <si>
    <t>Discreta y elegante Bien acabada, algo más fina de lo esperado pero elegante igualmente. Un regalo acertado. Diseño muy original.</t>
  </si>
  <si>
    <t>Revitalizará un ordenador desfasado Este disco duro SSD es idóneo para revitalizar un ordenador desfasado, donde notaremos notablemente más agilidad tanto al cargar el sistema operativo como al movernos ya dentro del propio sistema, y las operaciones con archivos en el propio disco ya directamente volarán, en comparación con los discos mecánicos de toda la vida.</t>
  </si>
  <si>
    <t>Recomendable El bolso es lo que esperaba. La calidad es correcta. Llegó en tiempo y hora Solo espero que sea duradero</t>
  </si>
  <si>
    <t>perfecto segun lo esperado y segun descripcion</t>
  </si>
  <si>
    <t>Llegó antes de lo.esperado El color varía un poco pero es bonito</t>
  </si>
  <si>
    <t>Entrega rapida Rapido y precio muy bajo, ideal para ponerle a todos los ordenadores viejos k tengas</t>
  </si>
  <si>
    <t>Muy cómodos Son muy cómodos y de talla me los pedí al número que me correspondia.</t>
  </si>
  <si>
    <t>Volveré a comprar Super comodos</t>
  </si>
  <si>
    <t>Botas Me ha encantado y son supercomodas</t>
  </si>
  <si>
    <t>Comodísimo. Es muy comodo, a mi novio le encanta.</t>
  </si>
  <si>
    <t>Buena adquisición :) Lo tengo instalado en un Lenovo B590 (in 8 Gb de ram) y se ha agilizado muchísimo. Ya no se queda minutos bloqueado recuperando información del disco duro para ejecutar los programas. Por ejemplo en 5 segundos se carga el Sketch Up y puede manejar modelos muy complejos sin demasiados problemas y el arranque de Windows 10 ha pasado de varios minutos a 20 segundos. No puedo opinar en la durabilidad. Esperaría un año para poder valorarlo.</t>
  </si>
  <si>
    <t>Calidad precio muy buenl Muy cómodos y los colores como los quería. La talla escogí la 46 y me va perfecto. Ahora a utilizarlas y a ver cuanto duran... Pero estoy muy contento con la compra. Calidad precio muy recomanable</t>
  </si>
  <si>
    <t>Vans skeight. Perfectas. Las zapatillas mas clasicas de Vams nunca defraudan. Aun siendo altas siguen siendo comodas. Muy  recomdablles si buscas una zapatilla con personalidad.</t>
  </si>
  <si>
    <t>Genial Está súper bien me encanta.</t>
  </si>
  <si>
    <t>Encantada Buenos, llegaron antes de tiempo son tal como se anuncian y fácil de poner y sacar</t>
  </si>
  <si>
    <t>Buena pasta térmica Perfecto cumple su función perfectamente, pasta termica de calidad, con la jeringuilla se aplica muy facilmente. Ha bajado la temperatura del procesador unos cuantos grados.</t>
  </si>
  <si>
    <t>Su calidad. Perfecto. Todo fenomenal.</t>
  </si>
  <si>
    <t>Bien Como en la foto , muy prácticos.</t>
  </si>
  <si>
    <t>Timberland, zapatos para toda la vida. Excelente regalo para mi esposo, quedó encantado. El material es buenísimo.</t>
  </si>
  <si>
    <t>Su operatividad y fácil majejo. El Kingston DataTraveler de 32 GB lo he empleado para guardar  almacenadas fotografías familiares actuales y de los abuelos. Tenerlas en un mismo sitio supone un ahorro de tiempo y de espacio. Realmente estoy muy satisfecho con la compra.  Juan Manuel.</t>
  </si>
  <si>
    <t>Cumple con lo que se busca en unos cascos Son el tamaño perfecto, no se caen fácilmente, se ajustan perfectamente a la oreja, el emparejamiento es súper fácil y rápido, la batería dura bastante, viene súper bien presentado con su caja de cuero y trae su cable para cargarlo, el envío fue rápido y sin problema, estamos súper contentos con el producto y mi hijo que es el que lo utiliza también, lo volvería a comprar</t>
  </si>
  <si>
    <t>Geniales No les doy uso profesional, pero otras reviews se encargan de este aspecto. Para uso diverso con música, películas y videojuegos son fantásticos, resistentes y muy cómodos. Los compré tras tener problemas con los Bose Soundtrue over-ear y nada que ver, no sólo en la calidad de sonido, también en la de fabricación que además sigue siendo europea.</t>
  </si>
  <si>
    <t>Producto correcto El producto no está mal para lo que vale y la calidad del audio es bastante buena, sin embargo de vez en cuando y cuando el cable se mueve se escucha un chisporroteo molesto.  Por cierto, si eres de llevarte el cable a la boca, ten cuidado que este te va a dejar un regusto a plástico radioactivo brutal.</t>
  </si>
  <si>
    <t>BUENA VALORACION Tiena buena calidad con relación al precio aunque el color varia al de la foto y no resulta ser el mismo</t>
  </si>
  <si>
    <t>Engaño Es un engaño al consumidor</t>
  </si>
  <si>
    <t>No lo recomiendo La Valvula anti cólicos no vale para nada</t>
  </si>
  <si>
    <t>Tetillas perfectas. No hay mucho que decir las tortillas de philips son las más recomendables, yo he usado siempre estas y can genial.</t>
  </si>
  <si>
    <t>La calidad Es bastante útil al ser largo te permite más liberdad de movimiento</t>
  </si>
  <si>
    <t>Un sonido decente, materiales acorde con el precio No es un producto de xiaomi pero esta muy bien para el precio, el sonido sorprende no son unos cascos de estudio pero para el mortal medio van perfentos, para gente algo descuidada mejor romper unos cascos de 11 euros que unos de 60-200 euros</t>
  </si>
  <si>
    <t>Muy buen producto a muy buen precio En nuestra casa se ha convertido en un artículo de uso diario, quizá algo más grande de lo que esperaba, pero muy satisfecho.</t>
  </si>
  <si>
    <t>Muy comodas Son muy ligeras, transpirables y muy cómodas.</t>
  </si>
  <si>
    <t>Son super comodas Me las volveria a comprar de nuevo por su comodidad ,pedir el numero de siempre yo las compre un pelin mas grande porque no habia medios pero aun asi son perfectas y sobre todo para los que tengan los pies cansados o delicados,las recomiendo 100%</t>
  </si>
  <si>
    <t>Elegante aromatizador Compré previamente a este dos aromatizadores más básicos y pequeños de “iniciación”, pero vi que se me quedaban cortos para estancias más grandes como pueda ser el salón. Estéticamente me parece muy elegante el efecto madera que tiene (aunque es plástico, eso sí, libre de BPA). Es de tamaño mediano con una capacidad de 250 ml. Permite emplearlo de dos formas en cuanto a la expulsión del vapor: de forma continua o de forma intermitente (cada 30 segundos). Yo particularmente prefiero emplearlo de forma intermitente. Con este aromatizador, rápidamente se llena la estancia de un aroma agradable y duradero (si bien es cierto que esto depende más de la esencia que emplees que del propio aromatizador). Por otro lado, dispone casi en la base de 7 colores led para crear ambiente o para dar una mínima iluminación. Esta iluminación se puede dejar fija en un solo color o bien alternar los siete. A mi esto sinceramente me sobra y lo tengo siempre sin luz. Finalmente decir que no es 100% silencioso, pero tampoco ruidoso. De dia ni te enteras que hace ruido, pero si lo pones en la habitación en la que vayas a dormir en el silencio de la noche si se oye (a mi llega a molestarme, pero mi pareja por ejemplo considera ese ruidito relajante)</t>
  </si>
  <si>
    <t>Rápido y fiable Desde que lo instalé en un portátil lo he usado poco, pero es impresionante como ha mejorado la velocidad. Lo he puesto en un portátil muy viejo, un hp compaq con 11 años que tardaba muchos minutos en arrancar y otros tantos en apagarse, además de la lentitud en la apertura de programas o internet. Un portátil desesperante que estaba infrautilizado porque nadie lo usaba. Ahora arranca totalmente en unos 2`20", se apaga en menos de 1 minuto, los programas se abren inmediatamente, los videos van fluidos y se puede navegar por internet o por YouTube sin problemas. Después de intentar usar otros programas sin éxito para clonar los datos del disco viejo al ssd, terminé usando el software que recomienda la marca y que se puede bajar de forma gratuita. Muy contento porque el portátil está totalmente operativo.</t>
  </si>
  <si>
    <t>Cómodas y bonitas Tal y como las describían, estoy encantasima con ellas, calzo un 41 y pedí un número más por si venian algo chicas, pero la verdad que calzan bien, pero vaya q me gusta que me esté desahogadas</t>
  </si>
  <si>
    <t>eva m todo muy bien me llegaron rapido son muy bonitos suaves y lo del bosillo trasero perfecto el tejido es mas bien fino de verano pero para deportes muy bin</t>
  </si>
  <si>
    <t>Buena relacion calidad precio. Muy buena relación calidad precio. Muy bonitos y coloridos. Dibujos bien definidos.</t>
  </si>
  <si>
    <t>Muy buena compra. Perfectas y súper económico.  Son las auténticas.</t>
  </si>
  <si>
    <t>Duración y olor Soy una fan total de cualquier cosa que sirva para dar buen olor en casa, ya sean velas, ambientadores tradicionales, mikados... asique cuando me regalaron el humidificador con difusor de esencias me volví loca. Me lo regalaron con un par de esencias de diferentes marcas para que probase, y una de ellas (la de naranja) me encantó y no la encontraba por ninguna tienda física, hasta que vi este pack aquí y no dude en comprarlo.  El pack viene genial tanto para uso propio como para regalar a alguien ya sea por primera vez para que pueda probar varias esencias cómo para alguien que ya las use habitualmente, seguro que le va a encantar. Viene en una cajita con flores en tonos morados muy mona, y los botecitos dentro puestos en línea en un blister de plástico.  Traen unos 10ml de líquido, lo que es bastante ya que no es necesario utilizar mucho para que notemos el olor (como pasa con otros tipos de aceites que son más líquidos y diluidos) la cantidad a usar va en función de cada uno, de la intensidad que queramos conseguir y de la capacidad de nuestro difusor, yo suelo ponerle unas 10 gotitas.  Los botes vienen perfectamente cerrados, con cierre de seguridad, y una vez abiertos vuelven a cerrar estupendamente sin ningún tipo de fuga. Además en el tapón tiene una muesca para que encaje en él la boca del gotero, por lo que nos evita sí o sí el tener fugas.  Los olores son todos muy buenos y reales, ya sabemos que sobre gustos no hay nada escrito y cada uno tiene sus preferencias, pero realmente huelen todos muy bien, y sobretodo duran y se notan en el ambiente.  Los olores del pack son: Árbol de té (quizás el que menos me guste) , Lavanda, Lemom grass (muy rico), Naranja dulce (me encanta), Peppermint y Eucalipto, geniales estos dos últimos cuando tenemos catarro o constipado, que ayuda a respirar mejor y abrir las fosas nasales.  Se pueden mezclar entre ellos o con otros para conseguir otras mezclas y olores, aunqie personalmente prefiero ir usando cada uno sólo. Pero la posibilidad de mezclarlos la tenemos al ser 100% puros.</t>
  </si>
  <si>
    <t>Muy bueno Muy bien, no hay olor en la habitación.</t>
  </si>
  <si>
    <t>Sudadera Esta bien El emblema no es cosido</t>
  </si>
  <si>
    <t>Producto adecuado para tarjeta de empresa La funda es de plastico duro y protege bastante bien a la tarjeta, que ademas encaja perfectamente. La cinta se desliza muy bien, mucho mejor que otras que he tenido, y esta muy bien la posibilidad de engancharla al pantalon porque tiene varias maneras, a gusto del consumidor.</t>
  </si>
  <si>
    <t>perfecto perfecto</t>
  </si>
  <si>
    <t>Buen funcionamiento El precio adaptado al producto, 3 modos de temperatura, y controles independientes del lado derecho/izquierdo de la cama, es un gran punto a favor, por otro lado, como inconveniente es que no llega a los pies en una cama de 1.50  podía haber sido un poco más grande :(</t>
  </si>
  <si>
    <t>Económicas Zapatillas económicas y muy cómodas. Inicialmente parecía que me quedaban algo justas en el ancho, pero una vez puestas se me han adaptado (tengo el pié un poco ancho). Por poner una pega, que no son de piel, pero estéticamente son muy bonitas.</t>
  </si>
  <si>
    <t>Perfecto Genial</t>
  </si>
  <si>
    <t>Muy bonito Se lo regalé a mi mujer y quedó encantada</t>
  </si>
  <si>
    <t>Regular De contorno bien y grande de copa</t>
  </si>
  <si>
    <t>Perfecto Es perfecto, facil de ajustar a la muñeca que sea sin necesidad de ir a una relojeria, comodo, practico y fácil de poner todo en orden, muy contenta con la compra</t>
  </si>
  <si>
    <t>Tarjeta memoria SD Clase 10 La he comprado por recomendación de la página donde compré una camara para el coche donde además tambien decia que fuera de 32 Gb.Es una tarjeta de calidad, y es especial para dispositivos, que se requiere un alto nivel de seguridad y eficiencia. La recomiendo 100%. (Acordarse de formatearla antes de introducirla en el dispositivo.)</t>
  </si>
  <si>
    <t>Mal diseño Calienta super rápido. No es nada pracrico porque el cable es muy corto y no se saca. Para lavarlo aún es peor...por el cable y porque es complicadísimo limpiar leche quemada.</t>
  </si>
  <si>
    <t>No es igual Compre esta mochila para un regalo a mi chico porque hace unos días había adquirido la misma mochila en gris y al el le gustaba pero en negro. Al recibirla comprobamos que no es igual. La gris tiene compartimentos y enganches que esta no tiene. 😞😞😞</t>
  </si>
  <si>
    <t>Zapatillas casi perfectas. Son las segunda del mismo modelo. Las primeras fueron perfectas. Estas segundas, mismo número, mismo modelo... y me van un pelin más justas de lo que me gustaría. En plano bien pero a la que fuerzas un poco en ruta, se nota la punta. Al haberlas usado ya no las puedo cambiar. Fallo importante para ser Salamon y tener el precio que tienen.</t>
  </si>
  <si>
    <t>No bate Metí los ingredientes para batir y se quedaron todos arriba, no hubo forma de batir nada. Inmediatamente la devolví.</t>
  </si>
  <si>
    <t>Insatisfecha No era lo que me esperaba</t>
  </si>
  <si>
    <t>Horrible Ha durado menos de un mes y el vendedor no tramita garantía. Ya me parecía bastante mala en cuanto a velocidad de transferencia y el programa para android. Muchas veces no se detectaba la señal. Pero ahora para más inri ha dejado de funcionar y ni siquiera deja formatear, con menos de un mes de uso...</t>
  </si>
  <si>
    <t>Buen precio y calidad Muy bien, buen precio y calidad.</t>
  </si>
  <si>
    <t>ok Buena calidad pero no encajaba</t>
  </si>
  <si>
    <t>Tarjeta de Memoria Cumple al 100% con lo esperado tanto en fotografía con la Nikon D5200,  tanto en fotografía como en tomas de vídeo... Buena tasa de transferencia y muy buen rendimiento y capacidad. Nada que objetar sobre el producto. Recomendaría su compra sin dudarlo</t>
  </si>
  <si>
    <t>Encantada con el regalo Le ha encantado a mi sobrina, ha llegado un poquito tarde para su cumple pero se lo ha puesto nada más verlo</t>
  </si>
  <si>
    <t>Muy útil Imprescindible para los iniciados en cocina. Sin tener mucha experiencia, es muy sencillo de usar.</t>
  </si>
  <si>
    <t>muy util Es muy practico para sujetar toda clase de libros o folios sueltos, las pinzas sujetan los libros a la perfección y el soporte tiene varias posiciones. El material es de buena calidad</t>
  </si>
  <si>
    <t>Como el de los profesionales Masajeador muy logrado. Comparado con el que usan los fisios no tiene mucho que envidiarles, la verdad es que no esperaba que fuera tan potente. Tiene dos modos, uno normal y otro fuerte. También tiene la opción de que las almohadillas se calienten, nunca había visto esta opción y es muy agradable. Incluye tres juegos de almohadillas, las normales, unas mas puntiagudas para masajes más fuertes y otras que se calientan mejor que las demás. Para darle caña a las contracturas le pones las puntiagudas y va genial. La comparación calidad-precio con el que usan los profesionales gana este de calle. Muy buena compra.</t>
  </si>
  <si>
    <t>Genial Es un paquete muy completo y perfecto para organizar el escritorio</t>
  </si>
  <si>
    <t>Buena compra Después de unos meses funciona muy bien. Café bueno y servicio rápido. El depósito de agua, generoso y la recogida también. Se limpia fácilmente. Estoy contento.</t>
  </si>
  <si>
    <t>Bonito y resultón El "cristal" es de plástico pero para el precio que tiene es bonito y merece la pena. Merece la pena.</t>
  </si>
  <si>
    <t>Tallan grandes La talla tira un poco a grande.  Normalmente utilizo un 40 en deportivas y de este modelo tengo el 39. Muy cómodas y ligeras.</t>
  </si>
  <si>
    <t>Muy buena compra Buscaba un reloj de diario, que fuera duro y protegido y este cumple con este cometido. La función del bluetooth es interesante para ajustar hora, aunque no determinante, usandola solo de vez en cuando. La pantalla oscura pensaba que me daria algún problema, peró todo lo contrario, con luz solar se ve perfectamente solo cuando hay oscuridad total hace falta pulsar la iluminación o bien activar la luz automática con el giro de la muñeca. Queda la duda de la duración de baterias, espero que cumpla con lo indicado en el manual del usuario.</t>
  </si>
  <si>
    <t>Cumple las espectativas... Estupendas, tal y como lo anuncian... Muy bien la verdad. Lo unico que son muy duras quando son nuevas.</t>
  </si>
  <si>
    <t>Impresionante calidad &lt;div id="video-block-R1DXVPZTA33AM2"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src="https://images-eu.ssl-images-amazon.com/images/I/91XtyCyQpuS.mp4" style="position: absolute; left: 0px; top: 0px; overflow: hidden; height: 1px; width: 1px;"&gt;&lt;/video&gt;&lt;/div&gt;&lt;div id="airy-slate-preload" style="background-color: rgb(0, 0, 0); background-image: url(&amp;quot;https://images-eu.ssl-images-amazon.com/images/I/81wdVIaJC6S.png&amp;quot;);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center;"&gt;0:11&lt;/div&gt;&lt;div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60.1185%;"&gt;&lt;/div&gt;&lt;div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value="https://images-eu.ssl-images-amazon.com/images/I/91XtyCyQpuS.mp4" class="video-url"&gt;&lt;input type="hidden" name="" value="https://images-eu.ssl-images-amazon.com/images/I/81wdVIaJC6S.png" class="video-slate-img-url"&gt;&amp;nbsp;En mi opinión es un micro de muchísima calidad, yo lo utilizo para grabar vídeos y hacer streams y se nota muchísimo el cambio de calidad del micro al de los cascos, el brazo que trae se nota que esta fabricado de muy buenos materiales, la fijación que tiene para la mesa es impresionante ya que lo fija a la perfección y ademas no estropea la superficie de la mesa. El micro también te viene con dos antipop uno que se coloca en el micro y otro que es externo, ademas lo puedes dejar recogido y no ocupa nada como se puede apreciar en las imágenes. Otro punto a favor es su instalación, el micro te viene con un cable USB bastante largo lo que te permite mucho juego, ademas el PC detecta el micro a la primera. Lo recomiendo</t>
  </si>
  <si>
    <t>Impresionante Me ha llegado bien y sin ninguna, problema a jugar toda la noche!</t>
  </si>
  <si>
    <t>Exceletente compra Exceletente compra, además con la oferta Flash de Amazon me han salido muy bien de precio. Es para uso casi exclusivo en un TV Samsung. Necesitaba que tuviera conexión por Bluetooth y para un uso esporadico el poder conectarlo mediante cable, en este apartado cumple con creces. Necesitaba que la batería durara el máximo de horas posible, con un uso médio diario de 2 a 3 horas, me llegó el 7 de Octubre, lo cargué y no lo he vuelto a cargar hasta el 19 octubre, casí dos semanas sin cargarlo, ha durado la batería entre 24 a 36 horas, con un volumen bajo. Creo es una buena duración de batería para el uso le voy a dar. El sonido, en una TV, es bastante bueno, teniendo en cuenta que mucha parte del sonido es voz, o tonos medios, cuando hay efectos especiales suena muy bien, y cuando se escucha musica en la Serie o Pelicula de turno, creo que es bastante aceptable, tirando a buen sonido. Creo ha sido una muy buena compra, si no queremos unos auriculares con sonido HIFI de super alta calidad.</t>
  </si>
  <si>
    <t>Buena correa Mejora las expectativas que tenía sobre esta correa, incluso superando a originales, tanto de la marca Garmin como Polar</t>
  </si>
  <si>
    <t>Recomendable Las botas son muy cómodas.. Ligera.. Las recomiendo.. Aparte duran mucho.. Recomiendo la marca es de calidad y buen precio</t>
  </si>
  <si>
    <t>Grande y de muy buena calidad!! ⌚️ La verdad es que está realmente bien por las siguientes razones:  Pros: 😉 ✔️ El material es muy bueno, se nota que es de calidad. ✔️ Parece robusto y tiene un peso moderado de 132 gramos. ✔️ Viene en una caja pequeña muy bien presentado para protegerlo en el envío. ✔️ Es analógico y digital al mismo tiempo. Por lo que podremos ver la hora y la información de la manera que más nos guste. ✔️ Es resistente al agua, pero no recomendaría bañarse con él, ya que los botones pueden ir perdiendo efectividad. ✔️ Puede realizar las siguientes acciones: marcar hora y fecha, luz led en el botón superior izquierdo, alarma y cronómetro. ✔️ La correa es de buena calidad, resistente y cómoda. ✔️ Es un reloj que podemos utilizar para realizar actividad deportiva y para llevar en la vida cotidiana. Pega con todo. ✔️ Es realmente barato para un reloj de este tamaño y calidad aparente. ✔️ Tiene garantía de un año y 90 días para devolverlo, así que si se nos estropea o lo que sea, no nos pondrán pegas. ✔️ Al ser la esfera tan grande se puede ver todo con mucha claridad. ✔️ Tiene un uso bastante intuitivo y viene con un pequeño manual de instrucciones. ✔️ Trae un pequeño colgante con forma de corazón.  Contras: 🤔 ❌ Es demasiado grande para mí, en las fotos no lo parece tanto. ❌ Al hacer deporte, sí es uno donde hay contacto, puede resultar muy aparatoso y dificultar bastante el movimiento. Lo más recomendable es para salir a correr.  Conclusión: 😋 Si lo que estás buscando es un reloj grande, vistoso, de buena calidad y además de ello barato, esta es una excelente opción. A mí personalmente no me gusta que sea tan grande, pero la verdad que no puedo decir nada malo acerca de los materiales, son de primerísima calidad. Lo recomiendo al 100%.  ╔════════════════════╗ ║ Espero haber sido de ayuda ✌️ ║ ╚════════════════════╝  &lt;a data-hook="product-link-linked" class="a-link-normal" href="/Reloj-Relojes-Hombre-Reloj-analógico-digital-Moda-deportiva-multifunción-a-prueba-de-agua-fecha-de-la-alarma-de-goma-negro-reloj-de-pulsera/dp/B06Y2BVR2K/ref=cm_cr_arp_d_rvw_txt?ie=UTF8"&gt;Reloj,Relojes Hombre, Reloj analógico digital Moda deportiva multifunción a prueba de agua fecha de la alarma de goma negro reloj de pulsera&lt;/a&gt;</t>
  </si>
  <si>
    <t>Perfecto de precio Producto con precio por debajo de mercado, estupendo</t>
  </si>
  <si>
    <t>Compra TOP, Casio nunca defrauda. Nada que objetar respecto al reloj, funcionamiento correcto y funcional como es de esperar en un Casio. De aspecto es muy bonito. El envío 1 día fenomenal. Este modelo no viene en caja, trae un estuche tipo terciopelo de color azul turquesa que le queda que ni pintado. Una compra TOP!</t>
  </si>
  <si>
    <t>Genial, lo que buscaba Exprime con muy poco esfuerzo y rapido. Muy facil de limpiar. Comparada con mi antigua exprimidora es muy silenciosa.</t>
  </si>
  <si>
    <t>Genial Genial, en casa solo estamos deportistas y nos salva de muchas sobrecargas, nos ayuda a reducir molestias y tan solo en unos minutos. Muy fácil de usar y muy cómodo. Sin duda una herramienta que hay que tener en casa para cuidar de nuestro cuerpo.</t>
  </si>
  <si>
    <t>Fruitof the Loom sweater The product is not as described . It is a specific summer weight . Delivery took three weeks as opposed to 3/4 days of  another one ordered at the same time . One came one supplier , this one from a different one.</t>
  </si>
  <si>
    <t>Ni bien ni mal. El producto en sí está bien. Pero se sale bastante la leche.</t>
  </si>
  <si>
    <t>Botas un poco pesadas Es una bota muy pesada, deberia ser mas lijera para poder practicar senderismo de montaña sin ninfunn tipo de problema</t>
  </si>
  <si>
    <t>Pedí una talla 39'5 y me trajeron una 38. Tres veces. Tal y como dice en el título, encargué una talla 39'5 y me trajeron una 38. Pero lo realmente alucinante es que tras devolverlo y pedir un reemplazo me volvieron a traer una 38. ¡Y tras devolverlo, el reemplazo del reemplazo era otra 38! Al final he tenido que desistir y devolver el producto.</t>
  </si>
  <si>
    <t>Saber utilizarlo No lo uso, no se como funciona, las instrucciones no sirven para nada.</t>
  </si>
  <si>
    <t>regalo un regalo para mi hija y muy satisfecho</t>
  </si>
  <si>
    <t>Agradable y práctico Sorprende la fuerza con la que da los masajes. De hecho, si no se tiene un poco de cuidado, resulta hasta doloroso en función de cómo se tengan las contracturas. Pero en definitiva es un masaje similar al de unas manos potentes y descansa considerablemente el cuello.</t>
  </si>
  <si>
    <t>Bastante bueno Me ha sorprendido bastante la calidad que tiene y los acabados,  eso si, tiene un olor que para mi es desagradable y he tardado semanas en quitarlo.</t>
  </si>
  <si>
    <t>Buen apaño para ver peliculas sin pasar por itunes. Me ha valido para lo q quería q es ver peliculas sin necesidad de itunes. El reproductor de la app de omars es bastante malucho así q copio las peliculas al ipad rapidamente desde el "pincho" omars y lo muevo a la carpeta del vlc y listo.</t>
  </si>
  <si>
    <t>de momento buen producto. de momento y hasta que no pase un tiempo para ver su durabilidad el producto parece bueno. Buena calidad de sonido; a un volumen medio alto, falla un poco los bajos, pero muy aceptable. La batería no la he agotado nunca pero su carga dura por encima de las 4 horas que es el tiempo máximo que los he tenido funcionando. en fin, contento.</t>
  </si>
  <si>
    <t>Bonitas , cómodas a un precio fantástico Muy cómodas. Yo pedí mi número y me va a la perfección. Tb es verdad qie tengo un pie finito y no me suele dar problemas a la hora de escoger. Estoy contenta y el precio fue genial ya que fueron 44'46€.</t>
  </si>
  <si>
    <t>Cepillo pelos mascotas Mi perra suele tirar mucho pelo y con los cepillos normales no se quita ni la mitad que con este. La verdad que estoy muy contento, además que se puede quitar los pinchos para limpiarlo con mayor facilidad.</t>
  </si>
  <si>
    <t>Muy bonitos Son de buena calidad y por lo que valen son perfectos para un detalle de compromiso!!</t>
  </si>
  <si>
    <t>Practico Fácil de usar, llego a tiempo indicado</t>
  </si>
  <si>
    <t>Bien de precio Es tal como en la foto</t>
  </si>
  <si>
    <t>Justo lo que esperaba Buen producto</t>
  </si>
  <si>
    <t>Perfectas Me quedan como un guante desde el primer día. Comodísimas e impermeables. La mejores botas que he tenído hasta el momento. Encima son de fabricación española...</t>
  </si>
  <si>
    <t>Perfecto para regalar Perfecto para regalar</t>
  </si>
  <si>
    <t>Perfecta Es comodísima y fresquísima. A parte éste tipo de tegido cuando lo lavas prácticamente no hay que plancharlo</t>
  </si>
  <si>
    <t>Cliente Amazon Muy buen despertador funciona a la perfeccion, mi madre tiene uno desde hace muchos años y nunca la ha fallado por eso me decidí por este y la verdad que hasta ahora no tengo ninguna pega, tiene un funcionamiento muy sencillo y ya te viene con dos pilas,lo recomiendo sin duda</t>
  </si>
  <si>
    <t>No los cambio Muy buen biberón. Cómodo y de tamaño justo. Lo uso desde que nació mi hija y es perfecto</t>
  </si>
  <si>
    <t>Perfectas, buena calidad. Son una deportivas muy buenas para el día a día, de gran calidad y perfectas para la ciudad. Bonitas y cómodas, muy ponibles.</t>
  </si>
  <si>
    <t>Alegria Me comieron dos cachorros que tengo el cable y pensé que no lo iba a encontrar igual,y como un guante</t>
  </si>
  <si>
    <t>Perfectas Tal y como las esperaba. Muy cómodas al no llevar cordones, perfectas para el verano, muy básicas y elegantes al ser completamente negras.</t>
  </si>
  <si>
    <t>auriculares inalambricos Me han gustado mucho, la batería dura bastante y se escucha con buena calidad, el bluetooth da bastante distancia. Yo los uso para correr y me van bien. Además vienen con el cargador, repuestos y un estuchito para guardarlos</t>
  </si>
  <si>
    <t>Talla pequeña respecto a otras marcas. Las he tenido que devolver a pesar de ser una buena oferta. Esta marca talla pequeño respecto a otras marcas como pueden ser Reebok o Nike. Hay una diferencia aproximada de medio centímetro. El modelo en concreto también es más estrecho que unas Reebok Classic por ejemplo así que hay que tenerlo en cuenta antes de lanzarse a la compra.</t>
  </si>
  <si>
    <t>Muy, muy satisfecho Será por el calor que hace estos días, pero la única pega que le encuentro es la humedad en los pads en contacto con la oreja al cabo de un rato de uso. El resto, muy buen sonido, excelente cancelación de ruido (probado en un avión, elimina el zumbido de los motores) y muy buena duración de la batería.  Para entendernos, tiene tres modos de uso:  -Con cable y apagados: funcionan sin gastar batería, con un sonido ligeramente apagado y no funciona ninguno de los controles táctiles. -Con cable y encendidos: gastan batería y el sonido es el esperado, claro y preciso. Funciona el modo escucha rápida tapándolo el auricular pero no los controles táctiles. Se puede usar con y sin cancelación. -Sin cable: igual que el anterior pero con los controles táctiles funcionando. No hay diferencia apreciable entre las dos últimas opciones a nivel de sonido.  También tiene tres modos de escucha en cuanto a la cancelación:  -Cancelación apagada. Como unos auriculares tradicionales. -Cancelacion encendida. Elimina gran parte de los sonidos graves constantes como motores, zumbidos y demás, pero no los agudos, por lo que pueden escucharse las voces más agudas. -Modo sonido ambiente. Mezcla el sonido de ambiente con la música, simulando unos auriculares abiertos.  En definitiva, muy satisfecho con la compra.</t>
  </si>
  <si>
    <t>A mi no me gusta Calidad precio, yo no la recomiendo. Se que no es una plancha cara, pero no es comoda y se tiene que hacer bastante presión.</t>
  </si>
  <si>
    <t>Esta bien para proteger de rotura Si se usa para l biberón de cristal es buena proteccion para golpes y caídas ( sin esta funda, el otro biberón al caerse se me rompió). No mantiene el calor de los alimentos, aunque el biberón de cristal los aguanta mas tiempo que el de plástico. El velcro se abre fácilmente.</t>
  </si>
  <si>
    <t>MATERIAL UN POCO FINO El vendedor excelente pero el producto es muy fino. Tengo esta marca desde hace años pero cada vez que la compro se nota que la calidad baja. SOn prendas economicas pero de la ultima vez hace pocos años a hoy, la calidad ha bajadado mucho mucho, prenda muy fina.</t>
  </si>
  <si>
    <t>Deja de funcionar al año. Al año de la utilización ha dejado de funcionar correctamente, casi ni se oye, encima no me han dado ningún tipo de solución.</t>
  </si>
  <si>
    <t>CALIDAD MALA Compré unos zapatos de seguridad iguales pero en color gris y al cabo de 2 meses se rompieron por la mala calidad de la zapatilla. Adjunto imagen.</t>
  </si>
  <si>
    <t>Me gustan Un poco grandes pero muy bonitos</t>
  </si>
  <si>
    <t>Se oyen bien Buen aspecto, cable largo pero muy fino, no creo que sean muy duraderos, con las almohadillas entran en mi oreja un poco apretados</t>
  </si>
  <si>
    <t>Buena nota para nieve buena impermeabilización Mantiene pies secos y calientes en la nieve</t>
  </si>
  <si>
    <t>Parece de calidad Es algo gordo el cable y cuesta doblarlo en comparación con otros que tengo, por eso da sensación de robustez.</t>
  </si>
  <si>
    <t>Bien para la limpieza diaria &lt;div id="video-block-R1GCBZ3X1Q62QT"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src="https://images-eu.ssl-images-amazon.com/images/I/C1t46gYgL3S.mp4" style="position: absolute; left: 0px; top: 0px; overflow: hidden; height: 1px; width: 1px;"&gt;&lt;/video&gt;&lt;/div&gt;&lt;div id="airy-slate-preload" style="background-color: rgb(0, 0, 0); background-image: url(&amp;quot;https://images-eu.ssl-images-amazon.com/images/I/91fz+TWDdBS.png&amp;quot;);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center;"&gt;1:24&lt;/div&gt;&lt;div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25.4032%;"&gt;&lt;/div&gt;&lt;div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value="https://images-eu.ssl-images-amazon.com/images/I/C1t46gYgL3S.mp4" class="video-url"&gt;&lt;input type="hidden" name="" value="https://images-eu.ssl-images-amazon.com/images/I/91fz+TWDdBS.png" class="video-slate-img-url"&gt;&amp;nbsp;La compramos porque tenemos mascotas y se hace fundamental la limpieza diaria, incluido el fregado del suelo. Compramos esta marca porque tenemos una roomba, estabamos contentos con ella y elegimos a su hermana para completar la limpieza diaria. Las conclusiones son que falla en lo mismo que la roomba, aunque tiene el cubo para "guiarla por gps" es erratica y encuentra los obataculos a base de golpes. Las ruedas estan revestidas de una goma que constantemente se despega y solo hay dos opciones, o las pegas (cono en nuestro caso) o compras unas nuevas, porque sino va dando saltitos y no puede fregar. El nivel de ruido es minimo. La limpieza es correcta pero no en profundidad. Es muy facil de limpiar. Al final es una limpieza con mopa. Como conclusion, al igual que cualquier otra maquina automatica de limpieza el fregado de esquinas y recovecos deberas hacerlo a la vieja usanza. Pero esta bien para mantener la limpieza diaria y poder dedicar todo ese tiempo a otras labores. El tiempo de fregado es largo... Para 45 metros necesita 1 hora. Quizas tiene un precio elevado para las prestaciones que ofrece.</t>
  </si>
  <si>
    <t>Buen producto Es exactamente la tarjeta de memoria que andaba buscando para mi Canon 750D. Me admite mas de 5000 fotos a máxima resolución, es rápida con lo que los Vídeos HD así como las fotografías en ráfaga funcionan a placer y no presenta ninguna limitación. Relación calidad-precio muy adecuada. Ha sido una fantástica compra.</t>
  </si>
  <si>
    <t>muy comoda La tengo desde hace una semana, y el resultado es el esperado, el vaso es super comodo para transportarlo no pesa mucho y cierra de manera hermética, permitiendo transportar mis batidos de fruta con total normalidad. Su uso es super sencillo, solo apretar un botón. Es super limpia solo necesitas fregar el vaso que uses, la batidora queda aislada y no se mancha. Se la recomiendo a todas las personas que quieran aprovechar su tiempo al máximo.</t>
  </si>
  <si>
    <t>Tal cual se anuncian... Perfecto, son preciosos los calcetines, se adapta la talla, buena adherencia al suelo (madera)... Encantada con él producto...</t>
  </si>
  <si>
    <t>Cumplen con su función Tras unas semanas usándolo en mis zapatillas del gimnasio, puedo decir que cumplen con su función. Las zapatillas ya no huelen</t>
  </si>
  <si>
    <t>Muy Cómodos Sin perfectos para anda mucho en lugares con asfalto</t>
  </si>
  <si>
    <t>Sin trampa, ni cartón Llegó muy rápido con transporte amazon. Descripción tal y con se indicaba. Pesa poco, al contrato de lo que leí, la correa es larga. Todo  parece funcionar bien, es bonito. Y la relación calidad precio es muy buena.</t>
  </si>
  <si>
    <t>Es muy duradero Calidad precio perfecto</t>
  </si>
  <si>
    <t>Capacidad, comodidad y acabados Perfecto para lo que yo necesitaba</t>
  </si>
  <si>
    <t>Imprescindible para el trabajo con grupos de gente Fácil montaje, perfecta sincronización a través del jack. Funciona en cualquier equipo, y con gran calidad de sonido. Te permite alejarte bastante del amplificador, y la facilidad de no tener que estar sujetando el micro. Lo usamos con casi 300 personas y se escuchaba perfectamente</t>
  </si>
  <si>
    <t>Muy contento con la licuadora. La compré para sustituir a las batidoras de mano comunes y ha superado mis expectativas. A parte de la facilidad y comodidad tanto para usarla y para limpiarla, ya que se puede desmontar y quitar las cuchillas, tiene mucha potencia, probé a echarla hielos uno a uno por miedo y nada, los aguanta perfectamente.  Por ponerle alguna pega, diría que el olor a almacén tarda en irse, aunque al menos no deja ningún sabor extraño.  De momento para preparados fríos no tengo ninguna queja, pero para alimentos calientes no puedo opinar porque no creo usarla, aunque el cristal tanto del vaso principal como de los apliques se ven muy muy resistentes.  En definitiva, una buena compra que complace mis expectativas.</t>
  </si>
  <si>
    <t>Perfecto Hay que pedir minimo una talla mas o talla y media, pero por lo demas perfectos muy buen, buen agarre, parece que estas volando por su amortiguacion  Un buen producto</t>
  </si>
  <si>
    <t>Excelente calidad Necesitaba unos auriculares bluetooth, así que decidí tenerlo todo en uno. El peso es bastante bueno, la batería es perfecta para un par de cargas. Carga rápido y tiene un indicador con el porcentaje de batería. No le falta un detalle: también trae una funda para guardarlo y recambio de las gomillas de los auriculares.</t>
  </si>
  <si>
    <t>Un reloj clásico renovado a lo hipster Para todos los amantes de los relojes clásicos el F91W es un ícono de todos los tiempos. Pues bien, Casio ha decidido renovar toda su línea retro de relojes con colores dorados. El turno del F91W ha llegado y casi ha decidido cambiar la carátula negra por una dorada. Una decisión que a mi parecer le da un toque diferente.  Si bien el reloj sigue siendo de plástico el contraste del dorado con la correa negra hace ver al reloj muy guay. Que no cambia nada en funcionalidad solo en aspecto.  El único punto que le veo en contra es que el empaque en el que venía era una vergüenza y demerita mucho. Un sobre con el manual y una especie de funda de tela cutre.</t>
  </si>
  <si>
    <t>Excelente! Excelentes para el invierno! Mantienen el calor el tiempo suficiente para aliviar el frío. Son fáciles de usar, súper suaves y muy cómodas.</t>
  </si>
  <si>
    <t>Parece zapatos de gimnasio Muy cómodo Io le tengo todo el día... el pie no me duele están perfecto</t>
  </si>
  <si>
    <t>Muy ligeras y cómodas Son muy ligeras ya que no pesan nada,me encanta su plantilla que se adapta perfectamente a mi pie. Viene con una tiras a los laterales las cual hace que el pie esté bien sujeto. Tienen un estilo muy moderno y bonito.</t>
  </si>
  <si>
    <t>Cómodos y ligeros Es el segundo par que le regalo a mi marido,que , por su trabajo ,está muchas horas de pie, y le encantan.</t>
  </si>
  <si>
    <t>Guay ¡Perfectas! Son exactamente lo que esperaba, son cómodas y no he tenido ningún problema con la talla. Estoy muy contenta.</t>
  </si>
  <si>
    <t>Calidad Precio Perfecto para organizar los cables</t>
  </si>
  <si>
    <t>Mas o menos Producto tal cual lo describe la pagina muy buena calidad. Una pena que amazon o rebook no esten sincronizados con los pedidos y llegentarde de y no cumplan con lo de Prime.</t>
  </si>
  <si>
    <t>Bueno no es muy allá pierde pelo en cuanto lo metes</t>
  </si>
  <si>
    <t>BUEN PRODUCTO LO HE TENIDO QUE DEVOLVER POR QUE CON MI EQUIPO EN EL EXTERIOR SE ESCUCHABA FATAL Y JUSTO LO NECESITABA PARA ESO. PUDE PROVARLO EN OTRO EQUIPO QUE ME DEJARON Y MUCHO MEJOR. SUPONGO QUE EL FALLO LO TENDRIA MI EQUIPO</t>
  </si>
  <si>
    <t>Lo probé 2 veces y no iba. No funciona.</t>
  </si>
  <si>
    <t>Descontento absoluto. Lo devuelvo Es para regalar y en las fotos Del producto viene con una cajita blanca.  Este formato es muy feo y se ve muy cutre</t>
  </si>
  <si>
    <t>Botas Dr. Martins Llegaron antes de lo esperado , son tal y como quería .</t>
  </si>
  <si>
    <t>Funciona Es muy pequeño y discreto, y funciona muy bien</t>
  </si>
  <si>
    <t>Muy cómodos Es el segundo par de zapatillas Merrell que compro y perfecto.Estoy deseando ponerlas a prueba en su hábitat que es el campo.Seguro que repito.</t>
  </si>
  <si>
    <t>Bonitos pero delicados. Bien hace justo ya un año que los compré para mi chica y después de un año solo tengo que decir que son preciosos pero las perlas se terminan despegando. Así que espero que cambien de pegamento señores, porque estas opiniones no creo que ayuden.</t>
  </si>
  <si>
    <t>Un clásico moderno Andaba detrás de un G Shock que no fuese gigante, y me encotré con este modelo que es un clásico, pero actualizado en su interior (solar, radiocontrolado...) a un precio imbatible. Defectos...los botones son difíciles para apretar, la alarma apenas se oye, y lo de la sincronización depende mucho de la ubicación. Por lo demás es un gran reloj.</t>
  </si>
  <si>
    <t>Perfecto El articulo perfecto para organizar tu mesa gaming, los cables quedan super bien recogido y es muy barato lo recomiendo.</t>
  </si>
  <si>
    <t>Reloj casio Entrega en la fecha indicada y buen funcionamiento del reloj.</t>
  </si>
  <si>
    <t>👍 👍</t>
  </si>
  <si>
    <t>Muy útil! Cumple perfectamente su función y cuando quieres cambiar de bolso nada más tienes que sacarlo y lo llevas todo ahí ordenado! Calidad precio perfecta!</t>
  </si>
  <si>
    <t>Muy cómodas Muy cómodas y frescas</t>
  </si>
  <si>
    <t>Perfecta Perfecta , súper bonita y bien acabada , fue para un regalo y gusto mucho</t>
  </si>
  <si>
    <t>facil de usar me a gustado la calidad sobretodo, muy bueno</t>
  </si>
  <si>
    <t>Muy cómodo y fácil de usar Utilizo este tipo de productos desde hace tiempo para ayudar a la musculatura a recuperarse de los entrenamientos. Es un complemento que me recomendaron mucho los entrenadores y que finalmente me decidí a comprar, ya que hasta ahora utiliba los que me proporcionaba el club.  Me decidí por este electrestimulador por los tipos de "masaje" que permite y por la cantidad de electrodos que trae (6). Me sorprendió el tamaño reducido que tiene todo el conjunto y sobretodo lo ligero que es el aparato, lo que hace que resulte muy cómodo llevármelo a mi lugar de entrenamiento. Todos los componentes vienen bien separados y ordenados, por lo que no tiene pérdida ponerlo en funcionamiento. Además una parte de las instrucciones viene español, cosa a favor que no me esperaba la verdad.  Lo he utilizado ya unos cuantos de días en sesiones de 15 minutos (pre-entreno) y 30 minutos (post-entreno) y la verdad es que estoy bastante contento. Lo que más me gusta quizás sean los propios electrodos y el adhesivo que tienen, que funcionan realmente bien.  La calidad del producto va acorde al precio del mismo, no es de calidad profesional obviamente, pero para nivel usuario que es el uso que le doy yo es más que suficiente.</t>
  </si>
  <si>
    <t>Mejor de lo que esperaba! Cómodas y, aunque no parezca, más duradera de lo que pensaba. Son un par de meses que las usos casi a diario sin ningún problema. Son ya 5 años que uso zapatods barefoot. Estaba enamorada de los primereros 'merrell pace glove' pero ya que con cada nuevo modelo han ido empeorando he elegido probar una marca nueva e incluso más barata y estoy encantada de haberlo hecho!</t>
  </si>
  <si>
    <t>Buen precio | Calidad óptima | Nombre del producto erróneo. Ojo! El nombre del producto es erróneo. No son 2 paquetes de 125 hojas, sino un paquete de 100 láminas, cada lámina tiene 250 micras y es compuesta por dos hojas de plástico de 125 micras, cosa que pueden ver en la descripción y en las fotos del producto. Cualquiera podría darse cuenta que es un error lo de "2 paquetes de 125". He probado el producto y el resultado fue satisfactorio.</t>
  </si>
  <si>
    <t>Magnífico Gran diseño, calidad precio excelente.</t>
  </si>
  <si>
    <t>Perfectas Llegaron muy bien como lo esperaba Le encantaron a mi hijo Gracias</t>
  </si>
  <si>
    <t>Fran Cabello Parece de buena calidad... ya os lo dire que tal mas adelante pero pinta bien calidad precio. materiales buena calidad</t>
  </si>
  <si>
    <t>Justo lo que buscaba Buscaba un reloj algo mejor que el típico F91w y me decidí por este debido a ciertos comentarios , sin duda estoy encantada con mi elección ya que mi gran duda era el tamaño de la pulsera y es lo suficientemente grande para cualquier muñeca , por lo demás es un reloj fácil de usar y como de llevar</t>
  </si>
  <si>
    <t>Aspiradora de muy buenas prestaciones, buen precio , totalmente recomendable. Aspiradora con buenas prestaciones, calidad y precio, totalmente recomendable, he adquirido otra para un familiar que la probó y le encantó su maniobrabilidad, botón de encendido y apagado muy cómodo, no hace falta tenerlo pulsado para su funcionamiento como en otros modelos, recambios económicos y de fácil adquisición, muy contento con la marca,</t>
  </si>
  <si>
    <t>Rápido y buen producto Perfecto muy bien todo</t>
  </si>
  <si>
    <t>Calidad precio 👍🏼 Es finito pero resulta muy cómodo y está bastante bien</t>
  </si>
  <si>
    <t>Muy buena opción Es tal y como se describe. Muy pequeño y ligero. Eso si, al ser tan pequeño (no como otros discos duros más aparatosos) da la impresión de que no es muy resistente, así que mejor protegerlo con una funda o algo similar. A favor que no necesita alimentación aparte del cable USB.</t>
  </si>
  <si>
    <t>compra regular practico reloj,aunque pequeña esfera,tipico para regalo de comunion</t>
  </si>
  <si>
    <t>Es pequeño, excelente atención al cliente Lo devolví porque era muy pequeño, no sirve para un adolescente en el colegio, aunque puedo confirmar que el servicio de atención al cliente, fue muy diligente y siempre estuvo presente para resolver y atender en tiempo récord el cambio. Así que los recomiendo.</t>
  </si>
  <si>
    <t>AC Excesivamente caro. Me parece q este producto no vale el precio q cuesta, esta de moda x eso el precio</t>
  </si>
  <si>
    <t>Nada recomendable y peligroso Compré una a principios de enero y me gustaba, pero a la semana dejó de funcionar. Decidí dar una segunda oportunidad y pedí el cambio. Me llegó una de reemplazo y ha funcionado genial hasta ahora, que volvió a dejar de funcionar el cable de conexión y como sorpresa, al enchufarla salto una chispa del enchufe y saltaron los plomos. Por falta de tiempo, se me pasó el plazo de devolución de la primera, por lo que contaré en una segunda opinión como me ha ido con el servicio técnico al que me remiten, que está a 600km de mi domicilio, por lo que supongo que tendré que enviarla y correr con los gastos. Lo dicho: nada recomendable. Durante los meses que funcionó, una maravilla, pero no ha durado ni un año, teniendo en cuenta que en los meses de verano no la he usado a penas. Ya contaré como me ha ido con el servicio oficial en la segunda opinión que tengo derecho a dejar, ya que son dos productos iguales los que adquirí.</t>
  </si>
  <si>
    <t>La camilla mejor que los accesorios La camilla es bastante firme y cumple perfectamente su función.Por ese precio no se puede pedir más. Después de meses de uso estoy muy contento y la volvería a comprar. El hueco para colocar la cara es un poco estrecho y el material del tapizado tiene unas costuras muy marcadas en ese hueco que poniendo un paño suave evitan que se marquen en los pómulos. Para un uso no profesional va genial.</t>
  </si>
  <si>
    <t>Buena calidad y diseño La calidad del producto es muy buena. El tejido es muy suave y cálido. Quizás es un poco larga para mi gusto pero es una opinión personal.  Lo que no me gustó es que dejaran el paquete a un vecino sin yo pedirlo.</t>
  </si>
  <si>
    <t>CASIO Collection MTD-1053D Un buen reloj de cuarzo aunque algo clasico, water resist 200m,corona roscada,caja y correa de acero inoxidable,la correa es de 20mm. Si tuviera un poco más de lumen en agujas y dial, y unas agujas más modernas con más contraste tipo (plongeur), me gustaría todavía más. Buena compra desde mi punto de vista.</t>
  </si>
  <si>
    <t>Compacto Si, era lo que estaba buscando hace tiempo y me va perfecto,con buena capacidad,,apdactavilidad. Contento.gracias</t>
  </si>
  <si>
    <t>Muy contento Trás una semana de uso, puedo recalcar lo siguiente: -Calidad muy buena para su precio -Bateria que me ha sorprendido. Me ha durado 3-4 dias usandolo unas 4-5 horas. -Materiales muy logrados. -Conectividad muy rápida -Muy cómodos y adaptable -Quizás algo decepcionado con la cancelación de sonido. -Microfono se escucha flojo En resumen, si buscas unos cascos bluetooth baratos solamente para escuchar música o jugar a videojuegos son perfectos, pero si buscas unos para comunicarte o por el aislamiento del sonido quizás tengas que optar por otra opción. En mi caso, muy contento.</t>
  </si>
  <si>
    <t>Un artículo 5 estrellas Después de mucho tiempo algo incómodo pero perfecto de batería y sonido. Un artículo cinco estrellas</t>
  </si>
  <si>
    <t>Cómodas desde el primer uso Caja original. Recibido antes de lo previsto. La talla corresponde perfectamente. Super cómodas desde el primer uso ♡</t>
  </si>
  <si>
    <t>Buena compra Me encantan y me resultan comodisimas</t>
  </si>
  <si>
    <t>Sudadera savage Perfecto</t>
  </si>
  <si>
    <t>Muy buenos Su presentación es mu buena, viene en un estuche redondo con cremallera pequeñito muy mono, de buena calidad y presencia,  Los auriculares en sí lo más importante que reseñar es que tienen una gran calidad de sonido, por lo menos para mis oidos van excelentes, además me quita mucho ruido de fondo y eso que tengo a mis hijos siempre armando ruido, me van muy bien y se ajustan estupendamente con sus almohadillas extras que traen, puedes poner los que mejor ase adapten a tus oidos.  La conexión bluetooth es excelente, de gran calidad y los conecté en pocos segundo, por lo que quede satisfecha, ya que los que tenía hasta ahora tardaban una eternidad en conectar y poder volver a usarlos.  Otra cosa que me gusta que sus adaptaroes que van por detrás de las orejas no se caen, la verdad esta sujeción es muy recomendable ya que los otros están siempre cayendo como no se te ajusten perfectamente. Totalmente recomendable la compra.</t>
  </si>
  <si>
    <t>Contento Todo como se describe</t>
  </si>
  <si>
    <t>Muy muy bien. Son cómodos al tacto, no presionan con exceso las orejas (otros que he tenido sí lo hacían y resultaban molestos después de un rato). El sonido es nítido. El cable es fuerte y robusto. Los uso para la tablet bq edison 3 que saca el sonido en dolby digital. Es espectacular y aún más, si cabe, por menos de 11€. Altamente recomendable. El servicio Amazon, como siempre, estupendo.</t>
  </si>
  <si>
    <t>Perfecto Tal cual lo publicitan Me ha ido genial.</t>
  </si>
  <si>
    <t>Una gran artesania. Son perfectas y de una gran calidad.</t>
  </si>
  <si>
    <t>Escelente Muy bueno</t>
  </si>
  <si>
    <t>Barato y fácil Enchufé el IN al OUT de mi  edrum y el usb al PC. Lo reconoció al instante. Luego me bajé el dtxmania y a drumear ;)</t>
  </si>
  <si>
    <t>Muy útil y original Para motivar a los niños es perfecta les encanta</t>
  </si>
  <si>
    <t>De lo mejor Posiblemente la mejor camiseta tecnica que he comprado. Ceñida al cuerpo cumple perfectamente con lo que se espera de ella. No produce rozaduras y elimina el sudor completamente de la parte interior de la camiseta.</t>
  </si>
  <si>
    <t>Compra satisfactoria Con la tetina puesta correctamente, es perfecto, no coge aire, no atragantamientos, la succión parecida al pecho. Apto para microondas. Calidad excelente. Los mejores que he tenido.</t>
  </si>
  <si>
    <t>Perfecto! Es perfecto y está bien aislado del suelo.</t>
  </si>
  <si>
    <t>BUENA TOSTADORA Tuesta muy bien, al ser de una sola ranura larga, es más ancha y cabe todo tipo de pan. No tuesta uniforme del todo, pero creo que es por el tipo de pan que he estado tostando. la estética es bonita. Cumple su función correctamente</t>
  </si>
  <si>
    <t>Perfect! It looks smart and works well. After four months of use it still looks like new. I love the magnetic function of it too! Highly recommended! 5/5 stars!</t>
  </si>
  <si>
    <t>todo perfecto son ideales para trabajar, cómodos y práticos. Me encantan.</t>
  </si>
  <si>
    <t>Llego 2 semanas tarde No esperaba mucho por su precio, pero realmente la pulsera me sorprendió, es muy bonita, pero ha llegado dos semanas más tarde de lo que estaba previsto.</t>
  </si>
  <si>
    <t>Consume hasta la última gota de la pasta de dientes Muy útil. Gasta hasta la última gota de pasta de dientes.  Lo único en contra es que es muy incomodo por la forma que tiene, si fuera plana sería mucho mejor</t>
  </si>
  <si>
    <t>Me gusta En un comentario anterior ya expuse que me llegó con una pequeña rayadura en el cristal y ahora con el uso, me doy cuenta que su funcionamiento deja mucho que desear, se atrasa una barbaridad. En suma diré que vistos los resultados , en mis compras futuras me lo pensaré dos veces ántes de realizarlas por este medio.</t>
  </si>
  <si>
    <t>Especificaciones y características erróneas Pone 60w y tiene 50w. Pone lavable y en la etiqueta pone no lavar ni en seco ni en mojado. La he enchufado 30 minutos al máximo y calienta muy poco. La he devuelto</t>
  </si>
  <si>
    <t>Sin su caja original y sin etiqueta, parecían copias no originales... Hay que pedir un número menos por que vienen grandes, quedan geniales! y son muy cómodas...La manera que me llegaron no me guato nada, casi las devuelvo...me llegaron en una caja Blanca, no en su embalaje original, sin etiquetas y sin los cordones negros que se que trae este modelo. Por parte de Amazon muy mal...me pensaré para la próxima hacer un pedido.</t>
  </si>
  <si>
    <t>Casio Edifice Lo mejor de este reloj para mi es la relación calidad precio.Creo que hice una buena compra.Es mejor que en la foto.</t>
  </si>
  <si>
    <t>Mi mas honesta rewiev Tengo ya varios micrófonos de la misma gama de precios prácticamente. Vi muchas otros análisis en Internet y decidí en aventurarme a probar este micrófono. Mi objetivo principal es la creación de pequeños proyectos, maquetas y vídeos relacionados con la música. No os voy a engañar el micrófono en sí no es profesional es decir la calidad de audio no se asemeja a una producción de alta calidad o profesional ahora también digo que en relación de calidad preció por lo que estamos pagando por el diría que si le podría dar un 10. Respecto a la comparación con otros micrófonos este Neewer en sí está bien construido de aspecto atractivo aun que para mi gusto pequeño . Respecto al audio resaltan un poco más los agudos teniendo algo más de brillantez  y nitidez que los otros micrófonos que tengo del mismo rango de precios aun que esta diferencia diría que es muy discreta sin llegar a destacar por todo lo alto aun que si es verdad que lo he notado con algo más de calidad (tampoco le vamos a pedir peras al olmo y con eso me refiero al precio y lo que compramos por ese precio), Sobre los graves casi que brillan por su ausencia y si le ponemos algo más de ganancia que sobre pase del 45 % aproximadamente empezará a distorsionar en algo los sonidos los otros micrófonos en torno al 35 % de ganancia ya me comenzaban a distorsionar (por eso digo que hay diferencia pero muy discreta referente a otros micrófonos del mismo rango de precios). Sobre la calidad de audio en general para grabaciones musicales con algún programa de mejora y edición de audio se pueden hacer bastantes mejoras aun que nunca equiparable a una producción profesional aun que sí grabaciones con un sonido algo decente. Respecto al resto de componentes simples pero cumplen salvo el anti pop  pienso que es mejor el que se coloca con una especie de brazo y va suelto en vez de este que trae. Mi conclusión final es que esperaba algo más de calidad o quizás que fuera algo más grande aun que por lo que cuesta sigue siendo una opción a valorar para muchos que no queremos invertir demasiado en aficiones o en cosas que por el momento hablando directamente no nos dejan dinero es decir para hobbies y aficiones. Si tienes otros micrófonos del mismo rango piensa que este tiene algo más de brillantez y nitidez con poca respuesta o ninguna a grabes aun que esta diferencia es muy pequeña aun que se nota. Si por el contrario no tienes micrófono y te planteas tener uno para aficiones y producir algunas cosas sin invertir demasiada pasta este puede ser tu micrófono si por el contrario buscas la profesionalidad el sonido la buena respuesta de grabes, agudos, nitidez con ganancia etc. Entonces descartaría automáticamente este micrófono y probablemente todo el que este por debajo de 70-80€(tirando le corto) más bien empezaría a mirar a partir de 100€ en adelante para micrófonos más profesionales. La última cosa es que este micrófono requiere alimentación 48v si no tampoco me plantearía de comprarlo.  Saludos a la comunidad y espero que os sirva. Yo por el momento me quedaré con este hasta el día en que quiera invertir en algo mucho más gordo.</t>
  </si>
  <si>
    <t>Bonito estampado pero color mas oscuro que en foto El estampado es muy bonito y esta bien hecho. El color es mas oscuro siendo piedra gris en lugar de blanco pero digue gustandome. La calidad supera lo esperado y son calientes y de licra bastante gruesa. Se retrasaron mucho en la entrega y respondieron inmediatamente ofreciendome otros nuevos. No fue necesario porque llegaron dos dias mas tarde de la reclamacion. Buena compra por ese precio</t>
  </si>
  <si>
    <t>Chusa Fantásticas zapatillas para caminar y el día a día. Comodísimas y de muy buena calidad a precio de ganga. La única pega es que vienen grandes. Yo uso una 38 y me queda un poco grande. El próximo par lo pediré de una talla menos. De resto, todo fenomenal.</t>
  </si>
  <si>
    <t>Extraordinaria Rigidez. Son más grandes de lo común para un número 47. Las tiras ajustables quedan algo cortas al abrocharlas.</t>
  </si>
  <si>
    <t>Correctas para uso infantil Se trata de unas tijeras escolares de la marca APLI. Son pequeñitas, de 13 centímetros de largo.  Están fabricadas en acero inoxidable y los aros para los dedos son de plástico en colores rojo anaranjado y amarillo. Tienen forma ergonómica, por lo que resultan bastante cómodas de utilizar sin que a lis niños les moleste en los dedos.  Obviamente como son tijeras escolares las puntas son redondeadas, para evitar o minimizar posibles accidentes.  La verdad es que para el precio que tienen están más que correctas.</t>
  </si>
  <si>
    <t>comodos y con buen sonido La verdad es que me a sorprendido su calidad ya que ademas de tener un gran sonido aislan bien del exterior y asi poedes disfrutar mucho mas de la musica Tambien son muy comodos por que ademas de estirarse las orejeras se pueden mover adaptandose mucho mejor a tu cabeza</t>
  </si>
  <si>
    <t>Muy fina pero parece resistente. Entrega puntual Buena relación calidad precio, no resulta facil encontrar cadenas de plata largas. Han entregado puntualmente, llega en una caja con buena presentación</t>
  </si>
  <si>
    <t>Práctica Es muy practica y haces el mínimo esfuerzo con las manos</t>
  </si>
  <si>
    <t>Perfecto y sobre todo la ayuda del vendedor Todo perfecto la verdad, vino estopeado el enganche de 1 de los microfonos, funcionaban perfectamente, aun asi se lo comunique al vendedor y el me envio otro totalmente gratis y rapido, la verdad impresionante muy agradecido y recomendados al 100% no son unos grandes microfonos pero solucionan la papelete de tener 2 en 1, y se escuchan bien en calidad/precio.</t>
  </si>
  <si>
    <t>Perfecta De momento funciona de maravilla y es muy fácil de limpiar. No puedo pedir más por lo que pagué. Buena compra.</t>
  </si>
  <si>
    <t>Elegante, discreto y económico Excelente calidad a muy bien precio. Casio no defrauda nunca</t>
  </si>
  <si>
    <t>Un precio muy económico para un accesorio que creo que vale la pena tener por casa Es un buen accesorio para tener en la cocina y aunque no lo utilizo cada día estoy satisfecho con los resultados hay que decir que tampoco soy un profesional sino que se le da un uso más de andar por casa</t>
  </si>
  <si>
    <t>Botas Hunter Comodidad</t>
  </si>
  <si>
    <t>me encanta estoy feliz con mis reebok, son cómodas, y el diseño freestyle noventero me recuerda a mi adolescencia, llegue a tener unas blanas, y deseaba tener unas negras.</t>
  </si>
  <si>
    <t>Muy prácticos Suenan muy bien. Lo que más me gusta es que dura mucho la batería y se puede usar el estuche de transporte como cargador para el móvil...</t>
  </si>
  <si>
    <t>Cómodos y claridad en sonido Compré estos auriculares porque estoy cansado de que se me enrolle el cable de los auriculares que no son inalámbricos. Es muy cómodo llevarlos, se adaptan bien a la oreja y como ya he dicho , el hecho de que no haya cables es genial.Se escuchan bastante bien. El diseño es muy bonito En general estoy contento con todo así que los recomiendo totalmente, por el precio que tienen merecen la pena.</t>
  </si>
  <si>
    <t>Relacion calidad precio insuperable. Las tenia ya echado el ojo en otras webs y este es sin duda el mejor precio , envio incluido. La marca en si ya es garantia de calidad.</t>
  </si>
  <si>
    <t>Genial para estancia pequeñas Se trata de un producto ideal para ayudarnos a mantener el buen olor en nuestras estancias eliminando los malos olores. Presenta un diseño muy bonito, hecho en madera, por lo que además de funcional nos sirve para dar un toque decorativo en nuestro hogar. Una vez encendido, el difusor emite en luces de distintos colores, siendo la transición entre ellos tranquila y relajada y creando un efecto visual muy bonito.  A la hora de rellenarlo, hemos de fijarnos en las marcas que hay dentro del difusor que nos indican la cantidad de líquido que podemos introducir. Una vez rellenado (nunca debemos de superar la línea del máximo) basta con echar unas 4-5 gotas de nuestra fragancia favorita para que esté listo para funcionar. Durante su funcionamiento, es bastante silencioso, escuchándose solo en el momento en que se evaporiza el perfume, por lo que podemos tenerlo en nuestras estancias sin temor a que sea demasiado ruidoso.  En general, creo que se trata de un elegante y bonito difusor aromático, que nos será de gran ayuda para mantener a raya los malos olores en nuestro hogar. Estéticamente, es muy bonito ya que por su diseño podría pasar perfectamente por un jarrón.</t>
  </si>
  <si>
    <t>Buena relación calidad precio Totalmente recomendable, ya que que se adaptó perfectamente a mis necesidades</t>
  </si>
  <si>
    <t>Ajustable a cada tamaño Es igual que en la imagen. Los mismos colores. Me encanta que se pueda ajustar al tamaño de mi muñeca. Pensaba que eran piedrecitas, creo que es de plástico, pero aún así por el precio que tienen súper contenta.</t>
  </si>
  <si>
    <t>Muy buena Esta crema es una pasada cuando tienes los musculos hechos polvo. Es decir despues de haberte metido una buena paliza de deporte o bien un día de esos de estar todo el día de pié, te hechas esta crema y te deja como nuevo.</t>
  </si>
  <si>
    <t>optimo Nos encantó: es potente, de muy buena calidad, tiene todas las opciones necesarias, se lava bien, muy resistente y optimo precio.</t>
  </si>
  <si>
    <t>buen calzado Es un zapato clasico muy bonito y de buena calidad, es una buena compra, a mi me gustan cada día más y además son muy duraderos, te durarán muchos años.</t>
  </si>
  <si>
    <t>¿es original? Tras poco tiempo de uso se está borrando el logotipo de la marca (Moulinex). Me parece un poco extraño y me hace dudar de la originalidad del producto. ¿Hay algún certificado que garantice la procedencia del producto? Si lo hubiera le daría 5 estrellas, pues el funcionamiento es aceptable.</t>
  </si>
  <si>
    <t>Marca la hora. La misma marca hace relojes mejores por un precio igual</t>
  </si>
  <si>
    <t>Pedro Bien</t>
  </si>
  <si>
    <t>Vaso roto en menos de 6 meses Producto de mala calidad, mientras el motor sí sigue funcionando. El vaso se ha rajado de punta a punta haciendo un uso normal de la batidora. No lo recomiendo en absoluto</t>
  </si>
  <si>
    <t>NO DURAN NI UN MES Duran 1 mes como mucho, en un principio funcionaban bien pero pasado un mes empiezan a fallar, en mi caso los botones de controlar el volumen, pausar, o pasar a la siguiente canción, han empezado a funcionar por si solos. Es decir no les toco pero de repente salta de canción, o se pausa y asi repetidamente sin parar, y eso acaba molestando.</t>
  </si>
  <si>
    <t>Mal funcionamiento El cabezal se puede girar y tiene una pestaña que se desliza para mantenerlo en una posición determinda. Esa pestaña se baja sola y, por tanto, el cabezal se queda suelto cuando se está empleando en posición vertical de arriba abajo (casi siempre). Para fijarlo, hay que hacer algún apaño como meter un alambre para que no se deslice la pestaña. El precio es muy alto para las prestaciones que da. Lo compré para poder usarlo con el mango telescópico Leifheit, ya que el sistema de anclaje sólo sirve para los productos de esta marca. Pero no lo recomiendo.</t>
  </si>
  <si>
    <t>La recomiendo totalmente Aspira genial. Muy recomendable para casas grandes y con mascotas. El inconveniente, que para mi no lo es, es que pesa un poquito mas de lo normal.</t>
  </si>
  <si>
    <t>Pulsera Cumple las expectativas,, ahora a comprar adornitos de esos q so q son para mi opinión algo caros para lo q es</t>
  </si>
  <si>
    <t>Cumple Cumple su uso</t>
  </si>
  <si>
    <t>Es perfecto Es un producto de calidad; la única pega que le veo, es que la correa es larga, larga, como para el puño de Hulk. A una persona normal le queda la punta por encima de la muñeca.</t>
  </si>
  <si>
    <t>Todo correcto Todo correcto</t>
  </si>
  <si>
    <t>Calidad y precio muy bueno Rapidez en la entrega y muy buena calidad a un buen precio</t>
  </si>
  <si>
    <t>Perfecto para animar tus fiestas incluye 2 microfonos, el amplificador y todos los cables necesarios para conectarlo a tu equipo de sonido y a una pantalla. suena bien</t>
  </si>
  <si>
    <t>Muy bien Correcto lo del agua no lo sé no lo intento</t>
  </si>
  <si>
    <t>buena compra Llego rapido y cumple sobradamente mis espectativas, muy conteno y satisfecho con esta batidora, la utilizo varias veces al dia y perfecto, por eso le doy cinco esrellas.</t>
  </si>
  <si>
    <t>Perfecta Mucha potencia,pica muy rapido y sencilla de limpiar, sin más. Montar nata no lo he hecho, pero supongo que pasara igual, aunque yo la compre par picar y estoy encantanda. nota sobre diez, un diez.</t>
  </si>
  <si>
    <t>Todo perfecto. Los tuve antes y me gustaron.</t>
  </si>
  <si>
    <t>Perfectos Súper bonitos y prácticos, ideales y comodísimos, me han sorprendido. Los compré para mi hija y después le regalé otros a mi sobrina</t>
  </si>
  <si>
    <t>Son Timberland originales No hagáis ni caso a los que dicen que son falsas. No hay ninguna duda. Son originales y de mucha calidad. Muy cómodas y bonitas.</t>
  </si>
  <si>
    <t>Buena tarjeta e memoria Esta marca no defrauda nunca, buen empaquetada, la tarjeta sd tiene una lectura y escritura muy rapida, capacidad mas que suficienta para el uso  en una camara compacta, compra recomendable y buen precio</t>
  </si>
  <si>
    <t>Excelente producto Envío y entrega impecable, producto bastante recomendable para principiantes en el mundo del sonido/producción. Sin problemas, fácil uso/instalación y de muy buena calidad.</t>
  </si>
  <si>
    <t>Buena calidad Buenos rollos esta vez acerte</t>
  </si>
  <si>
    <t>Comodidad y diseño Ha llegado como se había solicitado. Queda súper!! Te puedes hacer una idea sabiendo que el elástico de la cintura ayuda bastante a las mujeres con caderas pero en forma, es decir cuerpo fitness, se amolda a la silueta y son muy cómodos!!! Un 1o!!! La calidad no es de Louis Vuitton pero calidad precio está bastante bien.</t>
  </si>
  <si>
    <t>Justito de numero Lo he devuelto porque me apretaba mucho en el empeine. No lo iba a llevar cómodo aún siendo mi número, de largo me quedaba bien</t>
  </si>
  <si>
    <t>Sensación agradable! &lt;div id="video-block-R13SYKUT7MOSZA"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id="39" preload="auto" src="https://images-eu.ssl-images-amazon.com/images/I/A1OruJrv6RS.mp4" style="position: absolute; left: 0px; top: 0px; overflow: hidden; height: 1px; width: 1px;"&gt;&lt;/video&gt;&lt;/div&gt;&lt;div id="airy-slate-preload" style="background-color: rgb(0, 0, 0); background-image: url(&amp;quot;https://images-eu.ssl-images-amazon.com/images/I/C1ciyiEKJMS.png&amp;quot;);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value="https://images-eu.ssl-images-amazon.com/images/I/A1OruJrv6RS.mp4" class="video-url"&gt;&lt;input type="hidden" name="" value="https://images-eu.ssl-images-amazon.com/images/I/C1ciyiEKJMS.png" class="video-slate-img-url"&gt;&amp;nbsp;Llevo una semana utilizando una media hora al día porque no se recomienda mucho más su uso diario, pero a veces hay momentos en los que me paso de tiempo. Lo compré para el uso de toda la familia y no lo vamos turnando a la hora de estar sentados en el sofá. Es una sensación agradable y placentera, lo suelo usar a la altura del cuello y hombros pero también en los lumbares y la sensación de cosquilleo es agradable.</t>
  </si>
  <si>
    <t>Lo que queria. Guapo</t>
  </si>
  <si>
    <t>Buena calidad Tela de buena calidad, me encanta</t>
  </si>
  <si>
    <t>Perfectas. Calidad/precio ideales. Cumplen.</t>
  </si>
  <si>
    <t>Correcto Un producto correcto</t>
  </si>
  <si>
    <t>Existiendo otras opciones en el mercado, no los recomendamos. Los compramos por recomendación y la verdad q nos arrepentimos, los avent de philips desde nuestra experiencia le dan mil vueltas a este, boca ancha, rosca hermética en media vuelta, mucho más sencillo a la hora de limpiarlos, y las tetinas que esto si q es muy personal le gustan más a nuestro bebe. Además la escala de medida por ejemplo no tiene los 30 ml ni los 60 ml que son los que hemos de darle a nuestro recién nacido, así que aunque sea una tontería me cuesta más tiempo realizar las tomas con estos biberones.</t>
  </si>
  <si>
    <t>cumple su función Pensaba que al llevar dos entradas para tarjeta minisd se comportaría como una doble unidad, pero no es así. Coge por defecto la que esté enganchada, y si lo están dos, la que está en la parte inferior. He probado con 64GB en una psp antigua y aunque tarda unos segundos en reconocer la tarjeta, la maneja con soltura.</t>
  </si>
  <si>
    <t>Son muy rígidos Los zapatos son hermosos. Sin embargo son súper duros. Me lastimaron la parte de atrás del pie, por lo menos las primeras tres veces que me los puse. Tuve que usar banditas y de verdad no fue agradable, incluso molestaban con medias gruesas. He coincidido con varias personas sobre que son muy duros recién comprados.</t>
  </si>
  <si>
    <t>Engaño No funciona la cerradura...un completo engaño</t>
  </si>
  <si>
    <t>No funcionaba, lo devolví El ordenador lo reconocía pero no captaba sonido</t>
  </si>
  <si>
    <t>Muy comodas Son muy comodas, eso si, hay que pedir un numero menos La unica pega es que se cala un poco el agua</t>
  </si>
  <si>
    <t>Buen regalo Buen regalo y de buena calidad, pero por su sistema de cierre, se necesita la ayuda de otra persona.</t>
  </si>
  <si>
    <t>Economico y muy bueno Estupendo disco SSD de Kingston de 240GB. Estupenda calidad y muy rapido. Una compra totalmente recomendada y mas a este precio</t>
  </si>
  <si>
    <t>Tamaño ideal si dispones de poco espacio Destaco el tamaño, ya que ocupa muy poco espacio en la cocina, parece que tarda un pelin mas en calentar el agua pero apenas se aprecia la diferencia, así que genial porque asi ahorramos energía.</t>
  </si>
  <si>
    <t>Buena compra Lo esperado, buen producto calidad/precio Me ha sorprendido lo bien que suenan, y eso que estaba acostumbrado a unos sennheiser.  Lo único que no me gusta es la unión del cable con el jack, tiene pinta que se romperá por ahi. Eso si, espero que sea dentro de mucho.</t>
  </si>
  <si>
    <t>Casio forever! Reloj en perfecto estado, tal como aparece en la descripción. Muy comodo i facil de usar, un clásico. La correa metálica se ajusta fácilmente con un destornillador, aunque yo tuve que mirarme un tutorial en youtube, se ajusta enseguida. Tiene varios modos de alarma que no uso para nada, cronometro y doble uso horario. Parece que va a durar mucho, muy contento conla compra.</t>
  </si>
  <si>
    <t>Justo lo que buscaba Excelente pack de aceites con los aromas que más me gustan. Los uso en el quemador de aceites de porcelana porque me gusta más que usar un humidificador y el salón queda con aroma por varias horas.</t>
  </si>
  <si>
    <t>Buen tejido. Tiene buen tejido,un algodón fuerte y suave al mismo tiempo,es muy cómodo,yo mido 1.70 y de largo me viene más bien justo pero me gusta así,</t>
  </si>
  <si>
    <t>Calidad. Perfecto.</t>
  </si>
  <si>
    <t>Muy bien Buen producto</t>
  </si>
  <si>
    <t>Estupendo Por fin botellitas con USB en pack y a buen precio. Venía muy bien embalado y precintado.</t>
  </si>
  <si>
    <t>Calgon 75 pastillas Después de 6 usos se nota que olor de la lavadora a empezado a desaparecer La foto corresponde con lo descrito por el fabricante</t>
  </si>
  <si>
    <t>Estan bien Fue un regalo para mi madre y ha quedado muy contenta.</t>
  </si>
  <si>
    <t>Óptimo para los bebés que le guste este tipo de tetina Biberón de buena calidad. No se amarillea con el tiempo y esta fabricado con materiales no peligrosos para los peques. La tetina le gusta mucho a mi hija. Se limpia fácilmente con un cepillo.</t>
  </si>
  <si>
    <t>Justo lo que necesitaba Necesitaba una tarjeta nueva para mi nuevo cámara. De momento genial. Es muy rápido copiando las fotos al ordenador (en RAW) y por lo que me costó (21,99) no he visto uno mejor.</t>
  </si>
  <si>
    <t>Muy bueno Muy buena calidad. No se despega. Exacto a la descripción</t>
  </si>
  <si>
    <t>Calidad insuperable Poco que decir de la calidad de Timberland, magníficas, cómodas, y gran calidad en todos los aspectos.Repetiré compra con esta marca.</t>
  </si>
  <si>
    <t>genial, gran audio el disño esta genial se puede mover y colocar como quieras y que puedas ajustar el nivel de la voz desde el mismo microfono me encanta, y con un precio increible.</t>
  </si>
  <si>
    <t>Muy útil Lo compré,y me ha llegado hoy sobre las,envío muy rapido! Y va perfecto.Además el bol,gira a la vez que gira giran las varillas,  y eso va perfecto ya que se mezcla todo fenomenal</t>
  </si>
  <si>
    <t>Almacenamiento y portabilidad Perfecto sin ningún fallo</t>
  </si>
  <si>
    <t>Perfecto!!!! Es idéntico a la descripción, muy bien , cómo inconveniente .....al ser la carcasa brillante se quedan todas las huellas</t>
  </si>
  <si>
    <t>Mejores Creo que con el tiempo de ablandaran... Porque son muy duros.. Pero eso sí mantienen al pie en su sitio... Muy buenos la verdad</t>
  </si>
  <si>
    <t>Diseño y calidad. Muy contenta con la pulsera...es plata..y queda genial...es la segunda que os compro  y muy satisfecha .</t>
  </si>
  <si>
    <t>No tiene potencia ni para una remolacha!! La compré porque la vi muy recomendada en blogs y tal, por la marca que me daba confianza y porque decía que pica hielo, lo cual indicaría potencia suficiente para picar vegetales... pues no! Ni una remolacha puede picar. Una vergüenza, la verdad. Especialmente considerando el precio, vamos, un timo.</t>
  </si>
  <si>
    <t>Buen acabado del producto pero se queda corto en algunos detalles El bolso en líneas generales está bien, me gusta su estética y sus acabados. El material del que está hecho da  la impresión (subjetivamente)  y, leyendo algunos comentarios, de no ser bastante resistente. Otra pega que lo pongo es la longitud de la correa. Es demasiado corta para personas como yo que tenemos una estatura normal. Por lo demás está bien, tiene bastantes apartados y es cómodo de llevar.</t>
  </si>
  <si>
    <t>Top para cuerpos más grandes En sí la tela y los acabados está muy bien lo único que son un poco anchos y parecen mini camisetas más que tops</t>
  </si>
  <si>
    <t>Buena manera de perder el tiempo Lo compré para la oficina y ya de por sí me daba algo de "miedo". Al sacarlo de la caja todo pintaba bien, pero al abrirle la tapa ya salía un olor extraño. Lo probé a calentar un café y se pego parte de él en la base metálica. Se quedó ahí desde entonces con nada salía. La junta de dicha base es de plástico dándole un sabor único a tus cafés. Lo devolví al día siguiente y Amazon se portó devolviendome el dinero integro del producto.</t>
  </si>
  <si>
    <t>Buen reloj. Malos eslabones de correa. Los eslabones de la correa son de presión y son tan malos que no salen lo suficiente para poder sacarlos para acortar la correa</t>
  </si>
  <si>
    <t>Funciona Lo uso para emulsionar cremas, aceites cosméticos, etc... funciona muy bien a pesar de su calidad (baja), q más se le puede pedir por el precio q tiene.</t>
  </si>
  <si>
    <t>Lectura y escritura Va muy bien tanto al escribir como al leer cualquier archivo</t>
  </si>
  <si>
    <t>Disco duro  SSD M.2 Perfecto para mi nuevo portátil e instalar en él el SO w10  y  los programas que uso. Ha llegado en buenas condiciones y la relación calidad precio es lo mejor.</t>
  </si>
  <si>
    <t>Cómoda y durabilidad Cómoda y gran duración</t>
  </si>
  <si>
    <t>Perfecto El reloj llegó perfectamente envuelto para que no llega estropeado. Además el reloj es de muy buena calidad, ha pasado el tiempo y sigue como nuevo.</t>
  </si>
  <si>
    <t>Relación calidad precio. Muy cómodas, transpirables y con camara de aire. La calidad es bastante buena, el precio no esta nada mal. Recomendadas 100%.</t>
  </si>
  <si>
    <t>Todo perfecto Perfecto</t>
  </si>
  <si>
    <t>Buena calidad precio Buena calidad precio.</t>
  </si>
  <si>
    <t>Cascos Perfectos para estrenar en el gym , correr ok</t>
  </si>
  <si>
    <t>Muy bien de precio Tardaron en llegar pero están muy bien. Hay de todos los colores y están bastante bien. Si tejes a menudo estos marcadores vienen perfectos.</t>
  </si>
  <si>
    <t>Cómodos Cómodos y a buen precio</t>
  </si>
  <si>
    <t>perfecto El envío fué como acostumbra Amazon perfecto y el producto cumple las espectativas a un precio razonable. A ver ahora si dura unos cuantos años porque ya sabemos todos los electrodomésticos están hecho para durar lo justito para la garantía. El anterior de la misma marca nos duró cerca de 4 años.</t>
  </si>
  <si>
    <t>Buen reloj Un must-have de la relojería. Ya de pequeño tenía el primer modelo y ahora tengo la actualización. Por ponerle una pega, quizás los botones son algo duros. Por lo demás, súper chulo</t>
  </si>
  <si>
    <t>Lo esperado Me ha gustado mucho el sonido que hace aunque debes acercartelo bastante para oírlo, como debe ser claro, no es un cencerro. Por lo demás todo como en la descripción del anuncio</t>
  </si>
  <si>
    <t>muy bien esta batidora es muy bien...Es muy útil y fácil para hacer postre...y sólo con precio tan barato, me gusta mucho.</t>
  </si>
  <si>
    <t>Calidad superior y tállele lo esperado Calidad superior y tallaje lo esperado</t>
  </si>
  <si>
    <t>Perfecto para ambientes amplios. Buena recepcion a larga distancia Kit de 2 emisores a los quales se les puede adaptar el microfono, el kit viebe con 2 juegos de microfonos para cada emisor, uno de diadema y otro con pinza. Volumen ajustable de cada canal recibido.</t>
  </si>
  <si>
    <t>Calidad-precio excepcional Lo que buscaba! Ni mas ni menos que etiquetas de carton. Muy buena calidad!</t>
  </si>
  <si>
    <t>Sonido perfecto Son perfectos. Se oyen genial. Volveria a comprarlos. Los recomiendo</t>
  </si>
  <si>
    <t>Funciona bien sin ser un experto El caso es que yo andaba buscando un disparador de flash Elinchrom series 500/600 de los años 90 ya que una vez me vino un comercial con uno con la forma de éste y no requería del otro aparato de los canales, lo probé sin el aparato y no funcionaba, con él puesto en el cable de sincronización, sí. El aparato de la zapata usa dos pilas AAA, no os puedo hablar usando flashes cobra pues ni lo he probado y no creo que vaya a hacer, pero si tienes una cámara que no tiene para enchufar un cable sincro, como la Canon EOS 600D o la 6D, por citar algún ejemplo, pues aquí tienes este aparatejo de precio ridículo que funciona bien.</t>
  </si>
  <si>
    <t>Cazadora mujer Es muy cómoda aunque más clara de lo que parece en la foto</t>
  </si>
  <si>
    <t>Rapidez de entrega y comodidad Todo perfecto</t>
  </si>
  <si>
    <t>Very Happy Muy buena compra. Me encanta lo bien que coge este biberón mí bebe. Y la entrega rapidísima. lo recomiendo a todo el mundo.</t>
  </si>
  <si>
    <t>El interior es de plastico El interior es de plastico , mejor si fuera de inoxidable en la foto no se visualiza bien el interior, no se detalla el tipo de plastico utilizado si está libre de bpa</t>
  </si>
  <si>
    <t>Resultados aceptables La batidora en sí cumple lo prometido, no está mal, lo bate todo bastante bien y sin problemas. Varios problemas importantes que debéis tener en cuenta antes de comprar este producto: 1: las cuchillas salen hacia arriba y están muy expuestas, desaconsejo este tipo de productos si tenéis algún peke suelto por casa. puede que se lleve algún corte en el proceso. (miren las fotos de algunos de los clientes y lo entenderán)  2: hace bastante ruido, así que no hagáis batidos por la noche si tenéis vecinos.  3: a experiencia personal, al tercer uso se me bloqueó la cuchilla y no pude sacarlo, tuve que cambiarlo y hasta ahora lleva 6 usos sin dar problemas. Si es os engancha no intentéis sacarlo y devolverlo u os llevaréis unos cuantos cortes  por el camino (experiencia propia)</t>
  </si>
  <si>
    <t>no funciona ni un poco tardé tiempo en probar el micrófono y no funciona.</t>
  </si>
  <si>
    <t>Izzycasta8 Muy malo . Hace unos das que lo compre y ya produce ruidos y falla. No lo recomiendo ya que lo venden como artículo de alta calidad y anti enredos y por mi experiencia no es cierto. Se enreda más que los de goma y es difícil de guardar. Lo venden como cable profesional pero deja mucho que desear .</t>
  </si>
  <si>
    <t>a gusto con la compra La calidad es importante. sin problemas se puede hacer pasteles y cupckake.  excelente.  puedes disfrutar haciendo pasteles rapudo y sin complicaciones</t>
  </si>
  <si>
    <t>que funcione falta probarla espero que no me de problemas</t>
  </si>
  <si>
    <t>Buena compra Es una marca conocida, eso da seguridad, uso este tipo de tarjetas para la Raspberry, uso otras marcas como Samsung y SanDisk. Al usar esta me he dado cuenta que de todas es con diferencia la que menos espacio tiene, unos 62Gb por lo que al intentar pasar la imagen de la SanDisk, que de las dos anteriores es la que menos tiene (un poco menos que Samsung Evo) no me ha dejado. El problema es que faltan 2gb y es mucho espacio para gitarlo de la imagen, para el uso que le doy prefiero las otras. Ahora bien, si vas a partir de cero o la quieres para el móvil por ejemplo, es una gran compra, yo la pille por 7€ y algo así que muy bien.</t>
  </si>
  <si>
    <t>Son como la foto Son muy bonitos</t>
  </si>
  <si>
    <t>Tetinas del número 4 No pone que las tetinas son del 4. Más de 6 meses. Hola tenido que comprar tetinas del 3. Por lo demás, come muy bien con ellos.</t>
  </si>
  <si>
    <t>Práctico y compatible con lactancia materna Empecé a darle refuerzo de leche de fórmula a mi hijo usando otros biberones y de pronto él dejó de engancharse al pecho. Al cambiar a este biberón él ha vuelto a engancharse al pecho sin problemas. Además este pack nos permite almacenar biberones. Llevamos más de 1 mes usándolo y están nuevos como el primer día. Creo que al sólo venir una tetina podría ser un poco más barato.</t>
  </si>
  <si>
    <t>son muy practicas hola, para guardar cosas de valor  pequeñas que tengas en casa, añillos, relojes dinero, algun documento, etc. recomiendo su compra por ser muy practica</t>
  </si>
  <si>
    <t>El mejor loctite Para mi es el mejor Loctite dentro de sus pegamentos y formatos, a parte del producto en sí que lo pega todo sin mayor problema, el envase es rápido, limpio y no se seca en el interior como pasa en la gran mayoría de formatos. Lo recomiendo.</t>
  </si>
  <si>
    <t>limpieza fácil y varias botellas Ya conocía este tipo de productos, pero nunca me decidía a comprar  uno hasta que vi éste que traía dos botellas.  Potente, de momento no hya fruta o verdura con la que no haya podido. Encaja perfectamente con un simple click y en unos de 30 segundos tienes un batido de lo que quieras bien cremoso y rico. Fresas con plátano, arándanos y frambuesas con yogur...Cierre totalmente hermético, para mí esto es fundamental. Puedes meter las botellas con total tranquilidad en la bolsa del gimnasio o en una mochila, y llevarlo donde quieras.  Los botes son libres de BPA por lo que no  coge olor ni sabor y no son tóxicos. Muy fácil de limpiar, como pero estaría bien que trajeran unas cuchillas de recambio, pero entiendo que quizá es pedir demasiado por el precio que tiene la máquina.  En cuanto al ruido es más o menos igual que el molinillo del café, pero al ser poco tiempo no resulta molesto. Es perfecto también para hacer una macedonia de fruta cremosa para los más peques de la casa.  Yo estoy muy satisfecha con la compra. LLegó a casa en un día y desde entonces he dado salida a toda la fruts de la nevera.</t>
  </si>
  <si>
    <t>La comodidad Todo perfecto son super cómodas y ligueras me tiro 8 horas haciendo picking y parece que lleve unas zapatillas de deporte muy recomendables</t>
  </si>
  <si>
    <t>Lo mejor para el cólico, buen precio Los biberones nos ayudaron muchísimo con los cólicos. ésta versión es mucho mejor que la más nueva "options", no pierde líquido. Ojalá hubiera comprado el kit de 5 desde el principio, me hubiera ahorrado levantarme por la noche a lavar algún biberón.</t>
  </si>
  <si>
    <t>Carmen Simplemente geniales y comodísimas. Versátiles. Caminas muy cómodo.  Talla siempre algo más de lo esperado pero no me las quito en todo el verano</t>
  </si>
  <si>
    <t>Julian Son unas mallas fantásticas, con una excelente relacion calidad y precio. Las utilizo para correr y el gimnasio, son muy flexibles y el ancho elastico evita que se escurran hacia abajo.</t>
  </si>
  <si>
    <t>Botas perfectas. Tallan grande Las botas preciosas y a un precio inmejorable. Las recomiendo 100%. Estas botas son un cambio de talla, antes había comprado un 39 que es mi número habitual y me iban muy grandes. por lo que puedo afirmar que estas botas tallan grande.</t>
  </si>
  <si>
    <t>Perfectos Lo que esperábamos.</t>
  </si>
  <si>
    <t>Encantado con esta compra Dada mi afición a tomar infusiones mientras estoy trabajando, tenía ganas de hacerme con una kettle al estilo de las que sueles encontrar en las habitaciones de los hoteles cuando viajas al extranjero. Dada mi confianza en la marca Aicok, pedí este modelo que además de buenos comentarios de compradores, estaba con un precio muy atractivo y un buen descuento.  Una vez probada unos cuantos días, no puedo decir más que cosas buenas de esta Kettle con control de temperatura. Tiene una potencia bestial de 2.200W, bastante mayor que las de otras que he visto de marcas más conocidas en centros comerciales.  Lo primero que llama la atención es su aspecto sólido y de calidad, se ve que estamos ante un artículo bueno, en el que se ha cuidado la calidad. Es de acero inoxidable, y pesa en la mano, no es ni mucho menos un producto endeble. De hecho, está fabricado en&amp;nbsp;una moderna capa interior y exterior de acero inoxidable 304 cepillada. Fácil de servir con un mango cómodo plástico y mecanismo de palanca anti-derrame.  Gracias a su doble pared de vacío aislada con tapa a prueba se puede usar también a modo de termo, ya que mantiene el agua caliente por encima de 60℃ durante 6 horas sin gastar nada de energía eléctrica. Tiene una construcción de doble pared, por lo que la capa exterior y las asas de plástico se mantienen fresca al tacto, incluso cuando el agua hierve dentro.  El funcionamiento es muy sencillo. Simplemente se llevan de agua, por encima de la señal de mínimo y por debajo de la de máximo, se cierra la tapa, se presiona el botón de ON y en 2 minutos tienes hasta 1,7 litros de agua hirviendo.  Con el selector de temperatura puedes calentar el agua a menor temperatura, pudiéndose seleccionar 40, 50, 60, 70, 80, 90 y 100 grados. Por ejemplo, 70°C es lo recomendado para tés delicados, 80°C para té verde e té blanco, 90°C para té corriente o café y 100°C para té negro e infusiones.&amp;nbsp;</t>
  </si>
  <si>
    <t>Como esperado Para IPhone 8 perfectos</t>
  </si>
  <si>
    <t>Calidad precio buena Pesa poco y abriga bastante.</t>
  </si>
  <si>
    <t>Genial Esta genial, justo lo que buscaba, barato y de buena calidad.</t>
  </si>
  <si>
    <t>No se seca Llevo meses con el mismo envase y a diferencia de otras marcas no se seca y limpia muy bien la suciedad de las manos</t>
  </si>
  <si>
    <t>Zapatillas muy cálidas. Se tratan de unas zapatillas tipo botines para ir por casa ideales para los meses de frío. Disponen de un recubrimiento interior que las hacen muy cálidas e impiden que traspase el frío. En mi caso, se me adaptan perfectamente a los pies y son muy cómodas de utilizar. Hasta la fecha estoy muy satisfecho con ellas y no pasó nada de frío.</t>
  </si>
  <si>
    <t>su poco peso. El producto es lo que esperaba, muy satisfecho.</t>
  </si>
  <si>
    <t>Me ha resultado inútil No sé si es que estoy haciendo algo mal o qué, pero no le saco ningún provecho.  Me considero un usuario bastante avanzado de la tecnología, y no he conseguido que suene bien ni en un Galaxy S6 con distintas apps ni en un PC de especificaciones top con distintos programas incluyendo Amplitube. El retardo es insufrible.  Aunque no es mucho, he desperdiciado mi dinero. No os equivoquéis, comprad una interfaz con salida digital.</t>
  </si>
  <si>
    <t>Producto normalito La calidad es justa, son acolchadas por dentro y calientan algo, de tamaño un poco anchas. El envío un desastre, tardaron dos días más de lo establecido</t>
  </si>
  <si>
    <t>disco duro ruidoso Es un disco USB 3.0, pero la velocidad máxima de lectura a la que llega es de unos 90 mb/seg y 70 en escritura.  cuando lo desenchufas ( aun habiendolo quitado con seguridad) se oye como se apaga de golpe el disco, da la sensación de que es algo brusco.  de momento no me ha dado ningún problema.  Lo recomendaría para todo aquel que quiera tener un disco duro a un buen precio, pero teniendo en cuenta que no se van a conseguir grandes velocidades de transferencia.</t>
  </si>
  <si>
    <t>Defectuosos Son enormes, encima me vinieron defectuosos y tuve que devolverlos, porque encima no te los descambiaban por otros....  Una marca muy chapucera</t>
  </si>
  <si>
    <t>Decepcionante Me esperaba otra cosa. Cogen mucha porquería y el relleno, se aplasta fácilmente y ya no se recupera. Me han durado muy poco y al final, he comprado otras distintas</t>
  </si>
  <si>
    <t>Incompleto Muy bonito pero no lo he podido probar. Venía sin cable y no lo he podido cargar. Lo he devuelto a pesar de que me gustaba mucho. Una pena. Deberían comprobar que los pedidos vengan completos.</t>
  </si>
  <si>
    <t>Buena relacion calidad precio Es necesario coger una talla mas de la talla habitual. (Cogi mi talla habitual y tuve que devolverla porque me quedaba pequeña) Adecuada relacion calidad-precio</t>
  </si>
  <si>
    <t>Coger un número más Aunque luego con el tiempo seguro que se adaptan a tu pie, creo que es aconsejable coger un número más</t>
  </si>
  <si>
    <t>Buena elección Lo escogí después de leer las opiniones y no me ha decepcionado en absoluto. Tiene todo lo que deseaba,  tamaño grande, bonito, ligero, la hora se ve bien, tiene alarmas y es de buen programar. Para poner un pero, que ya sabía por otro parecido que tuve, la luz no sirve para nada y la alarma suena poco. Llegó según lo previsto, como siempre Amazon muy bien.</t>
  </si>
  <si>
    <t>Bastante bueno  y barato Lo único malo sería que la parte exterior de la zapatilla viene con algunas arrugas blancas pero obviamente solo se notan cuando te acercas.</t>
  </si>
  <si>
    <t>Bonito, ligero y resistente Sé que hay muchos discos duros externos con mucha más capacidad pero yo quería uno pequeño y ligero así que este cumple perfectamente su función. Eso sí el cable que tiene no es universal, o sea que sólo funciona con el que trae.</t>
  </si>
  <si>
    <t>👍🏼 Esta muy bien</t>
  </si>
  <si>
    <t>Perfecto Me ha encantado</t>
  </si>
  <si>
    <t>Genial Lo compre un poco pequeño aun asi es lo q necesitaba</t>
  </si>
  <si>
    <t>Maravilloso Ha superado mis expectativas.</t>
  </si>
  <si>
    <t>Buen producto Cumple su objetivo y calidad aceptable</t>
  </si>
  <si>
    <t>Sólida, funcional y excelentes acabados Versátil, potente y funcional. Puede con todo. Sólo hay que respetar los máximos que te indican en las instrucciones. Gran capacidad, potencia y ratio de giro. La consistencia final es lo más homogénea que se pueda concebir y tritura tan fino, que en el caso de batidos con semillas, ni un colador fino puede recoger el poso resultante, siendo necesaria una estameña o un chino de tela.  Se limpia en un periquete y no podría ser más sencillo usarla.  Como todas, algo ruidosa.</t>
  </si>
  <si>
    <t>Genial Súper ligeras!!!y cómodas!!!</t>
  </si>
  <si>
    <t>Que no defrauda Magnifica compra¡¡¡. Se limpia de maravilla, aspira a plena potencia y la duración de la batería es mas que suficiente para un piso de mas de 100 metros. Ligera, versátil, manejable, silenciosa. La recomiendo, compre una mas barata y fue un chasco. La tengo desde hace mas de seis meses, creo que mi opinión tiene algún fundamento.</t>
  </si>
  <si>
    <t>Excelente!! Tengo una réflex antigua y quería una tarjeta del mayor tamaño posible... Justo este modelo cumple con mis preferencias, es rápida en lectura y escritura, una gran capacidad, viene cada una con su estuche protector y, encima, el precio es imbatible.</t>
  </si>
  <si>
    <t>Practico,pequeño y comodo Bolso super como pequeño confortable y con la medida justa para todo, ideal para viaje y con varios compartimientos super apropiados para meter todo tipo de cosas.</t>
  </si>
  <si>
    <t>Perfecto &lt;div id="video-block-RGGNL7RJ7BJCU"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src="https://images-eu.ssl-images-amazon.com/images/I/A1wgdSQaTxS.mp4" style="position: absolute; left: 0px; top: 0px; overflow: hidden; height: 1px; width: 1px;"&gt;&lt;/video&gt;&lt;/div&gt;&lt;div id="airy-slate-preload" style="background-color: rgb(0, 0, 0); background-image: url(&amp;quot;https://images-eu.ssl-images-amazon.com/images/I/91YqCFkn43S.png&amp;quot;);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value="https://images-eu.ssl-images-amazon.com/images/I/A1wgdSQaTxS.mp4" class="video-url"&gt;&lt;input type="hidden" name="" value="https://images-eu.ssl-images-amazon.com/images/I/91YqCFkn43S.png" class="video-slate-img-url"&gt;&amp;nbsp;Llego exactamente el dia previsto y la pulsera es una pasada,estoy encantada con ella,superomis espectativas gratamente.</t>
  </si>
  <si>
    <t>Cómodos Me han resultado muy cómodos estos auriculares, no esperaba mucho por el precio pero me gustó el diseño y los pedí.  Los he usado durante unas 4 horas y no me han molestado al tenerlos puestos, esto con otro tipo de almohadillas hubiese sido imposible pero con estos los he notado muy cómodos.  La conectividad es buena y el sonido es decente, nada del otro mundo, pero aceptable. La batería dura lo suficiente como para escuchar un día entero de forma intermitente.</t>
  </si>
  <si>
    <t>Duran bastante Huelen fenomenal, hay que echar varias gotas si te gusta el olor un poco más intenso. Yo lo he usado con un humidificador y el olor dura varias horas, incluso si lo apagas y lo enciendes al día siguiente sigue oliendo.</t>
  </si>
  <si>
    <t>Recbot Amplificador de Voz portátil Diadema Es justo lo que esperaba y cumple perfectamente la función de ayuda a que se oiga a las personas que lo utilizan. El vendedor cumplió con el tiempo de entrega y en perfecto estado.</t>
  </si>
  <si>
    <t>BUEN PRODUCTO TODO OK</t>
  </si>
  <si>
    <t>Auriculares buenos Encantado con el producto, el envío ha sido correcto y los auriculares son cómodos y tienen un sonido bastante aceptable</t>
  </si>
  <si>
    <t>perfecto para ipad Puedes ver las películas o documentos directamente desde la memoria, únicamente hay que descargarse un programa gratuito. Las instrucciones vienen dentro del mismo pen en varios idiomas. Totalmente recomendable.</t>
  </si>
  <si>
    <t>Muy buen pendrive Es un muy buen pendrive a un precio económico, la marca es muy conocida. Además a mi me gusta que se pueda dejar el capuchón en la parte de atrás del pendrive mientras lo estás usando.</t>
  </si>
  <si>
    <t>Muy bien Buena calidad</t>
  </si>
  <si>
    <t>estrechos El zapato en sí, está bien. El problema para mí, es que, al tener el empeine ancho, la horma es muy estrecha y lo tuve que devolver.</t>
  </si>
  <si>
    <t>No salen las Islas Canarias EL producto está bien en si, calidad precio, pero no se adhiere muy bien a la mesa, mas bien es un cubremesa que una alfombrilla para pc, igualmente funciona, por 9 euros no está mal.</t>
  </si>
  <si>
    <t>Demasiado pequeño Bonito pero muy pequeño</t>
  </si>
  <si>
    <t>Ni pega ni sujeta ni nada Lo compré para pegar una tira led detrás del monitor del pc. Creo que con un par de mocos se sujetaría mejor. Hace exactamente lo mismo que una tira de papel, no hace falta que sea extrafuerte, con que hubiera sido adhesivo me hubiera conformado.</t>
  </si>
  <si>
    <t>Una lastima... al final devuelto por demasiados fallos...😓 Correcion: al final, la he devuelto... pensaba que con las actualizaciones se habia arreglado todo, pero sigue yendo a lo loco a veces... demasiadas... y de repente se para sin motivo aparente (y no por falta de bateria) una pena.... pero al final he devuelto y mirare otras opciones de similar precio, que las hay muy buenas, pero era por darle oportunidad a un producto español..... una pena....  La verdad, sorprendidos por su funcionamiento.... conexión al wifi sin problemas (tiene q ser una red de 2,4 ghz) y control total desde el movil (aunque trae un mando para los nostálgicos jeje) la primera vez, quitar todo lo que no tenga que estar por medio (una bolsa, una caja, una silla,... ) de manera habitual y dejar que el robot haga un mapeo completo se la casa (recomiendo ponerlo en modo eco, aguanta más la bateria y la mayoria de las veces en una sola pasada te mapea toda la casa) en mi caso, una casa de unos 74 m2, ha tardado 50 minutos en mapear sobre 39 m2 (quitando muebles, armarios, electrodomesticos,...) una vez hecho el mapa, lo guarda en memoria y a partir se ahi, a usar los diferentes modos..... cada pasada te guarda un registro y te dice lo que ha pasado y no sobre el mapa base (si en ese momento habia una puerta cerrada, un objeto en medio,...) lo hace todo de manera ordenada, sin pasar dos veces por el mismo sitio (salvo que le pongas una de las opciones x2 que tiene), sin chocarse contra los muebles (la roomba que teniamos se daba golpes con todo)...... y luego ya, ir mirando las diferentes opciones que tiene unas cuantas, la verdad..... de momento encantados..... para mi, una de la más completas del mercado... si es verdad que no hemos probado lo del fregado, más que nada porque tienes que andar recogiendo las alfombras (porque si no pasa por encima y las deja mojadas).... pero lo demás, va a lo que va y no se queda dando vueltas en un sitio como hacia la roomba......</t>
  </si>
  <si>
    <t>Muy útil Es muy practica, viene con su maletin y se monta en segundos! Sin duda, una buena mesa para alguien que esta empezando.</t>
  </si>
  <si>
    <t>Buen producto Van genial. Por poberle slguna oega deberian tener algun respiro pars que cuando sndo el bebe succiona no se retraiga la tetina. Con mi bebe teníamos k estar sacandole el bibe de la boca cada poco por q se emcogia la tetina al quedarse el bibe sin aire. Por lo demas estupendos.</t>
  </si>
  <si>
    <t>Suenan bien y no se mueven nada. Muy buen sonido, rápida reacción a la interacción con los botones. NO se mueven nada, ni al saltar, estar de lado ni nada. Eso sí, los aritos que sujetan son un poco duros y molestan un poco al principio. Por lo demás muy satisfecha con el producto.</t>
  </si>
  <si>
    <t>Muy práctico Como esperaba, tiene multitud de bolsillos para guardar de todo. Su tamaño permite guardar las cosas básicas que suelen llevar los hombres hoy en día (cartera, móvil, llaves de casa y coche, pañuelos, ...) cómodamente.</t>
  </si>
  <si>
    <t>Regalo perfecto para cualquier ARMY La calidad y precio del producto están muy bien, la tela y calidad del estampado son correctas y las tallas se adecuan muy bien. Recibí el envío antes de lo que se esperaba.</t>
  </si>
  <si>
    <t>Precioso Me encanta</t>
  </si>
  <si>
    <t>Varios modo y buena sensación de prueba He usado con mi mujer y estamos muy contento con esta máquina te deja los pies muy a gusto tiene varios modo de masaje no pesa mucho puedes llevar cualquier sitio.</t>
  </si>
  <si>
    <t>Adidas falcon Quedan perfectas</t>
  </si>
  <si>
    <t>buena compra Necesitaba una batidora y esta estaba de oferta express. Buen precio, tiene muchas velocidades de potencia y parece más que de sobra la potencia... Un par de toques al turbo en velocidad 12 te dejan la cebolla casi líquida. Importante dice no lavar al lavavajillas las piezas que hacen de acople de los utensilios con la batidora.</t>
  </si>
  <si>
    <t>Muy comodas Como todas las Merrell, muy comodas. Pesan poco y la suela es bastante elastica. En cuanto al numero, como esperaba.</t>
  </si>
  <si>
    <t>Buena calidad Compre una talla menos por los comentarios y resulta que en mi caso necesitaba la talla normal.</t>
  </si>
  <si>
    <t>Perfecto La talla es la correcta , son muy cómodos ,todo el día andando con ellas y genial , el producto esta bien.</t>
  </si>
  <si>
    <t>Buen sonido, nitido y claro. Sonido bastante bueno,comodos una vez q te acostumbrad, de los mejores en relación calidad precio.</t>
  </si>
  <si>
    <t>Buen producto Buena calidad. Pega perfectamente.</t>
  </si>
  <si>
    <t>Cómodas y bonitas Me encantan, y quedan muy bien hasta para ir a la oficina con una americana. En mi trabajo se lo han comprado ya dos personas.</t>
  </si>
  <si>
    <t>Excelente articulo! A mis niñas les ha encantado, pasamos muy buenos ratos haciendo de karaoke! Es muy sencillo y merece la pena para las peques, lo cogí de oferta y eso también ayuda!</t>
  </si>
  <si>
    <t>El tamaño, su poco peso y el diseño...me gusta. No he tenido tiempo suficiente para probar y poder contestar ciertas preguntas, como la precisión o la resistencia al agua. En general me ha sorprendido gratamente, relación calidad precio perfecta. Lo volvería a comprar.</t>
  </si>
  <si>
    <t>Mejor de lo que esperaba Buscaba un USB pequeño, muy rápido y de al menos, 32GB. Finalmente compré este de 64GB. Tras comparar con otros similares, compré este al ver en los comentarios la velocidad real de escritura y lectura. Tras una primera prueba, solo puedo confirmar lo rápido que es. El mejor en relación calidad-precio. Por sacarle un pero, pediría que fuera todo metal, incluyendo la anilla para poder llevarlo portable... pero por el precio que tiene, tampoco se le puede pedir más.  Totalmente recomendado. Actualizaré solo en caso de que me falle en el tiempo.</t>
  </si>
  <si>
    <t>Gracias Bonito producto...la señora muy contenta..calidad muy buena</t>
  </si>
  <si>
    <t>Me encantan Perfectas! Y muy bonitas</t>
  </si>
  <si>
    <t>Inmejorable recomiendo</t>
  </si>
  <si>
    <t>Satisfecho Todo perfecto</t>
  </si>
  <si>
    <t>la calidad del tejido regular- por el precio que vale no se puede pedir mas la calidad del tejido regular- por el precio que vale no se puede pedir mas</t>
  </si>
  <si>
    <t>Esperaba más... El material de este pantalón es correcto, aunque he de decir que es fino. Es parecido a unas mallas aunque no llega a tener tanta elasticidad como estas. Las tallas son grandes así que como consejo, compren una talla inferior a la que uséis.</t>
  </si>
  <si>
    <t>Pequeña decepción. Es más bonito en las fotos,en la realidad no luce tanto,aunque funciona bien y el precio no está mal. Esperaba algo más.</t>
  </si>
  <si>
    <t>pésima calidad No lo compreis, es de pésima calidad. No pega bien en la superficie deseada, no hay manera de limpiarla bien, ni con alcohol... es un auténtico fraude, una pérdida de dinero.</t>
  </si>
  <si>
    <t>Mala calidad Muy mala calidad. En una unica puesta se lleno de pelotillas. No lo compreis. Amazon, como siempre acepto la devolución sin problemas.</t>
  </si>
  <si>
    <t>Funcionamiento correcto De momento funciona correctamente, no lo he usado mucho, pero la guía del papel no ofrece mucha seguridad. También echo de menos una marca de centrado.</t>
  </si>
  <si>
    <t>Virgi Bonitos y elegantes tal y como en la foto</t>
  </si>
  <si>
    <t>Bonito Muy bonito, la única pega es que me gustaría que estuviera fijo en la cadena, el corazón se da vueltas y luego cuesta volver a centrarlo.</t>
  </si>
  <si>
    <t>Una escusa para parar un poco La utilizo para la espalda y cuello, cuando llegó del trabajo. Son unos minutos de relax,se aguanta bastante bien.</t>
  </si>
  <si>
    <t>Calidad precio para un uso moderado En mi caso tengo dos archivadores de este estilo (aunque de diferentes colores) y en mi caso estoy contento. En mi caso no les doy un uso muy frecuentes por lo que hasta ahora el mecanismo de palanca me ha funcionado genial, al igual que el sistema de retención para evitar que se muevan las hojas.  Por otro lado los materiales están bien, parece solido y con el uso que le doy, en mi caso espero que sea duradero. En comparación con otros archivadores, a mi me resulta grande así que no lo usaría para llevarlo en una mochila. Ademas tiene un par de detalles que me ha gustado y que no esperaba: el canto de abajo esta parcialmente cubierto de una tira metalica, supongo que para evitar el desgaste al colocarlo en vertical. Y por otro lado, la etiqueta que tiene en el lomo y que puedes personalizar para saber qué hay en él.  Bajo mi punto de vista y hasta la fecha, yo lo recomiendo.</t>
  </si>
  <si>
    <t>Felix terra Un reloj de prestaciones básicas pero que satisface plenamente mis necesidades. Lo he probado en piscina y mar una decena de veces y me funciona perfectamente. Muy visible y fácil de poner en marcha. Buena relación calidad y precio.</t>
  </si>
  <si>
    <t>Color original &lt;div id="video-block-R1AWFYVYHBU9W2"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src="https://images-eu.ssl-images-amazon.com/images/I/91KG93MV2JS.mp4" style="position: absolute; left: 0px; top: 0px; overflow: hidden; height: 1px; width: 1px;"&gt;&lt;/video&gt;&lt;/div&gt;&lt;div id="airy-slate-preload" style="background-color: rgb(0, 0, 0); background-image: url(&amp;quot;https://images-eu.ssl-images-amazon.com/images/I/910XaLS4SAS.png&amp;quot;);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value="https://images-eu.ssl-images-amazon.com/images/I/91KG93MV2JS.mp4" class="video-url"&gt;&lt;input type="hidden" name="" value="https://images-eu.ssl-images-amazon.com/images/I/910XaLS4SAS.png" class="video-slate-img-url"&gt;&amp;nbsp;Me encanta el color de esta pulsera, sus funciones son muy similares a otras pero me parece mas precisa a la hora de tocar el botón táctil, a través de la App del móvil puedes configurar todas las funciones del reloj y llevar un seguimiento detallado de tus actividades, no pesa nada así que no molesta llevarla.</t>
  </si>
  <si>
    <t>Comodisimos Me ha gustado todo, lo uso para trabajar, estoy casi todo el día de pie, cuidando de una persona mayor y tengo que hacer mucho esfuerzo.</t>
  </si>
  <si>
    <t>Set de 6 aceites esenciales de aromaterapia a buen precio como para difusor de calor o ultrasonido Este es un buen set de 6 aceites esenciales de aromaterapia de 10ml cada uno a un buen precio. Yo los utilizo para todos los difusores de casa: entre ellos, difusores de calor y de ultrasonido, y en ambos tipos funciona igual de bien. Vienen 6 aromas muy adecuados para estas fechas invernales y la verdad que tienen una intensidad muy buena, lo suficiente para llenar de olor mi apartamento de unos 80m2.  Sin embargo, lo que me convenció respecto de este set de aceites es que son 100% naturales, sin químicos, "adecuado[s] para vegetarianos y veganos". Ahora, yo no soy ni vegetariano ni vegano pero tengo un amigo nutricionista que me comentó que los aceites que yo compraba en el bazar de productos chinos de barrio están llenos de sustancias estrogénicas que, al parecer, al difuminarse en el ambiente, uno los incorpora y, en la mujer, esto contribuye a tener más apetito y retener líquidos e hincharse y, en el hombre, causa cansancio y pérdida de fuerza física. Desde que me dijo que —además de ciertos alimentos— casi todas las cosas que usamos en casa tienen esto: los jabones, los champús, las velas aromáticas y, sobre todo, los aceites aromáticos que no sean naturales, intento limitar el uso de estas cosas en lo posible. Sin embargo,  a veces es todo un presupuesto comprar aceites aromáticos con buenos olores y, lo que es peor, hay un aceite de naranja en los bazares de productos chinos que es muy rico! Pues bien, con alegría compruebo que este set cumple con estas dos necesidades.  Primero, me llamó la atención el aroma de Naranja Dulce. Y la verdad es que me ha gustado mucho. En general, me llamó la atención que todos los aromas incluidos son de tipo navideños, cosa que siempre busco alrededor de estas fechas. El de Menta y Eucalipto está muy buenos! Los estamos mezclando y la verdad que la casa está oliendo muy de fiestas estas fechas! El único aroma que nunca me gusta mucho es el de Limoncillo —que yo soy fanático de los cítricos y, sobre todo del limón, y el limoncillo siempre me ha parecido un limón chapucero! (Imagínense la amargura cuando como comida tailandesa, donde le ponen limoncillo hasta en la sopa... literalmente!) Pero debo decir que, a pesar de ello, el olor de este limoncillo no me molesta. Me han sorprendido los olores del Árbol de Té, pues nunca le he dado mucha bola y, sin embargo, está bastante agradable; y el de Lavanda, que suele olerme a líquido para limpiar y, sin embargo, este no huele así. De modo que quedo satisfecho con los olores que tiene este set. Muy navideños, como digo: mezclando los 6 juntos se logra un olor muy interesante.  Luego, el hecho de que cueste 15€ es excelente. Hay algunos que suben hasta precios ya irrisorios, y a menudo incluso por un aceite uno puede pagar eso! (Hay uno de naranja de una marca extranjera que aparentemente ya no está haciéndolo tampoco, que yo me hacía traer cuando alguien viajaba, y que me salía unos 30€ por 15ml; ese me duraba 6 meses usándolo con mucha moderación pero, igual, el precio es muy alto.) Pues bien, en casi de este set cada frasco de 10ml cuesta 2,5€, que es más o menos lo que pago yo por un frasco de 50ml en los bazares de productos chinos, solo que ese se tienen que poner más gotas para que huela fuerte y el olor suele irse pronto, mientras que con los de este set una o dos gotas en el difusor llena de olor la habitación entera y dura lo que uno espera que duren buenos aceites.  De modo que ha sido una muy buena inversión de 15€. Uno suele pensar que está gastando más por menos cantidad pero, al final, como con estos aceites super concentrados uno solo necesita usar una o dos gotas, si hace el cálculo, le termina saliendo a cuenta, pues a menudo duran incluso más que los más baratos. Y, lo que es mejor, uno no está respirando cualquier químico que puede estarle haciendo daño a su sistema.</t>
  </si>
  <si>
    <t>Bien Muy bien</t>
  </si>
  <si>
    <t>Buenas bambas Me quedan perfectas y son comodisimas,la única pega los cordones demasiado finos ,pero bien</t>
  </si>
  <si>
    <t>Perfecto Va muy bien y el tamano es perfecto. Es importante leer bien las instrucciones, ya q para poner la hora digital, no es facil y sino accedes a ella correctamente, parece q no funciona correctamente.</t>
  </si>
  <si>
    <t>Buena compra Producto de muy buena calidad. Está bien el sistema de apagado a las 3 horas para evitar consumo innecesario por olvido pero si se desea dejarlo encendido más tiempo estás obligado a desenchufar y volver a enchufar la manta. Lo mejor, el sistema dúo en el que cada uno regula la intensidad o sólo uno puede usarla.</t>
  </si>
  <si>
    <t>Perfectas Me encantan</t>
  </si>
  <si>
    <t>Perfecto Va mui bien</t>
  </si>
  <si>
    <t>Comodo 100% Llego super rápido, es muy cómodo y útil de usar tanto para escuchar música como para atender el teléfono mientras estás trabajando. Recomendable</t>
  </si>
  <si>
    <t>buen material es un producto muy bueno, para su precio está muy bien y quedan muy bonitas, la verdad que han tenido éxito y me las han pedido para saber dónde obtenerlas.</t>
  </si>
  <si>
    <t>Tal y como se ven!! Rapidez y calidad. Son lo q se ve. Número perfecto. Entrega ipsofacta. Cálida a buen precio. Genial! Muy muy bien!! Resistes al agua.</t>
  </si>
  <si>
    <t>Muy bueno Ya era hora de encontrar unos auriculares buenos y a buen precio que no me dierra problema la conexion, tanto con el PC como con el alagador, que siempre tenia que estar metiendolo un poc o sacandolo, me quedaba sin sonido o olo se ecuchaba uno. con estos hasta ahoa sin ningun problema, acierto con la compra</t>
  </si>
  <si>
    <t>Bien Son lo que se muestra en el anuncio, perfecto para recoger cables y dejarlos enrollados</t>
  </si>
  <si>
    <t>me gusta cantar con mi agmigos Tengo que cantar en casa con mis amigos el fin de semana, lo compré, es muy divertido, Bluetooth se puede conectar, es muy facil. Este precio es muy rentable.</t>
  </si>
  <si>
    <t>Bolso bonito y con muchos apartados Bolso bonito y con muchos apartados, tacto suave y elegante.Tamaño medio. De momento solo hace un mes que lo tengo veremos lo que dura aunque parace fuerte</t>
  </si>
  <si>
    <t>Me encanta el material Es de muy buena calidad, y muy limpio por el material que tiene, muy completa la verdad... Y el precio me parece barata para todo lo que tiene... La recomiendo sin dudarlo</t>
  </si>
  <si>
    <t>Empieza escrbiendo a 70 MB/s y se atasca quedando a 13 MG/s o menos Empieza bien escribiendo a unos 70 MB/s con un archivo grande, pero pronto baja de velocidad a unos 13 MB/s de mínima, oscilando entre 30 y 13. Esto lo he comprobado varias veces con discos de lectura distintos. Cuando lleva un tiempo escribiendo, se embarulla, cosa que no hacen otros pendrives. Además se calienta cuando trabaja y esto no es bueno Al final he terminado devolviendo los dos que compré de 128.</t>
  </si>
  <si>
    <t>Necesitan súper glu Son muy cómodas y quedan chulas pero se despegan rápidamente. No duran nada</t>
  </si>
  <si>
    <t>Mejorables Son muy cómodas pero resbalan mucho con el suelo mojado y las partes que son de tela se destrozan muy rapido</t>
  </si>
  <si>
    <t>Chatarra Ni me los he puesto de lo feos que son</t>
  </si>
  <si>
    <t>No vale para nada El día que lo recibí la expectativa de durabilidad era buena. El material no se ve malo, los compartimentos son correctos para un HD de 2.5" pero cuando intentas meter dos, la cosa ya cambia, va muy justo, así que la solución es meter uno por mucho espacio libre que quede. La funda es semirígida, está bien acolchada, pero la cremallera es lamentable. Quizá para guardar un HD de por vida sin abrir la funda es una opción muy buena pero en mi caso, en menos de una semana de uso, la cremallera se rompió y ahora tengo que llevar la funda cerrada con un par de gomas. No recomiendo este producto. Por poco más, hay otros mejores.</t>
  </si>
  <si>
    <t>Para invierno la mejor opcion.. Muy chulos</t>
  </si>
  <si>
    <t>Muy buena calidad/precio Es genial, se oye bien por el precio y son muy cómodos. Lo unico que no me gusta es que carga lento. Pero lo demás está genial.</t>
  </si>
  <si>
    <t>justo lo que esperas Al comprar zapatillas deportivas corres el riesgo de que tu talla no sea la misma que en otro producto parecido de otra marca. CONSEJO, probaos siempre unas zapatillas de esa marca que vais a pedir (si podeis) para estar seguros del tamaño, un familiar, un amigo e incluso la tienda de la esquina, que os los probeis no os obliga a comprar.</t>
  </si>
  <si>
    <t>Calienta rápido y gran capacidad, fácil de lavar. Me gustó el modelo, que tiene gran capacidad y que la jarra sea cristal. Calienta rápido y tiene para casi 2 litros. Tiene un peso normal para el tipo de producto que es. Siendo cristal suelen pesar más. Me gusta la integración de la base conectora también, queda muy uniforme. Es fácil de limpiar pero si es cierto que los hervidores de agua siempre retienen la cal del agua y es un poco tedioso. Pero en general buena adquisición.</t>
  </si>
  <si>
    <t>Vale lo que cuesta Muy buen micrófono para el precio que tiene, evidentemente no es profesional, para eso hay que gastarse mas pasta, pero se consigue unos resultados muy buenos. Yo lo quería para grabar unas demos vocales y alguna guitarra acústica y cumple de sobra, además su sistema de USB facilita mucho la conexión directa al pc. La presentación es genial, viene con un maletín donde viene todo guardado  y se hace muy cómodo llevarlo de un lado a otro o simplemente guardarlo cuando no se usa.</t>
  </si>
  <si>
    <t>Ok Queda perfecto</t>
  </si>
  <si>
    <t>Te hace sudar aunque estés sentado viendo la tele!!! Llevo poco más de una semana utilizándolo y es pronto para ver resultados pero sí que noto qué te hace sudar como jamás me ha hecho nunca antes ningún leggings.. al principio empezó a ponérmelo para ir al gimnasio.. y terminé por ponerme la pasta hasta por casa porque es cómoda y te hace sudar.. espero que con ayuda de una dieta gimnasio y estos leggins pueda perder el Michelín jaja.. lo que si os digo que hace sudar aunque estés sentado viendo la tele es genial!!!</t>
  </si>
  <si>
    <t>Muy buena calidad Excelente opcion para los que tocamos instrumentos eléctricos como guitarra o bajo. El cable viene revestido en tela lo que le da una protección extra que evita roturas al pisarlo en el escenario, los jack de 6,3mm son de muy buena calidad, son de metal duro y resistente. El cable lo uso con varias guitarras y en ningún momento tiene ruido parasito. Recomendable</t>
  </si>
  <si>
    <t>😍😍 Súper encantada me encanta 😍😍😍</t>
  </si>
  <si>
    <t>Me encanta Preciosa y tal cual se ve en la foto. Tiene su tapa dura. Compré primero una y luego volví a pedir otra para regalarsela a una amiga</t>
  </si>
  <si>
    <t>Lo bien que esta de precio y la Potencia que tiene La batidora viene bien empaquetada trae un basó medidor una varilla para batir con su adaptador, una cuchilla para picar y el basó para picar. Todo es perfectamente desmontable y muy fácil de limpiar la única pega es que tenía orar batidora Bosc y no es nada compatible con esta.</t>
  </si>
  <si>
    <t>Justo lo que esperaba Están muy muy muy bien ! Las aconsejo!! Tienen bastante succión</t>
  </si>
  <si>
    <t>Perfecto. Buena, calidad precio, en un mes, ni adelantos ni atrasos.</t>
  </si>
  <si>
    <t>A los peques les encanta y es genial para las fiestas. Muy divertido</t>
  </si>
  <si>
    <t>Buena calidad y muy cómodas Unas zapatillas versátiles además de muy cómodas y calentitas para el invierno. La talla es la que se espera. El borreguito se quita y pone fácilmente para poderlo lavar.</t>
  </si>
  <si>
    <t>Encantada Fueron para regalar. Buenísima compra</t>
  </si>
  <si>
    <t>Olor intenso a Lavanda Hace poco me compré un difusor de aromas e iba detrás de un aceite esencial de Lavanda, que es uno de mis aromas favoritos. Me decidí por este por el precio y el tamaño. Y ha sido una grata sorpresa, porque huele increíble. Lavanda puro. De hecho, en los ingredientes solo pone Lavanda y aceite 100% natural. Y me lo creo. Gracias.</t>
  </si>
  <si>
    <t>Normal Producto que se ajusta a su cometido</t>
  </si>
  <si>
    <t>Soporte muy apto para gaming Estupendo, es el primero que tengo y la verdad es que me parece súper cómodo y largo se me adapta perfectamente para usarlo cuando grabo las partidas online o cuando estoy jugando. En general muy cómodo, muy versátil y económico. Cosas a destacar: De fácil montaje, de amplia movilida.</t>
  </si>
  <si>
    <t>BBB Muy buen acabado y calidad</t>
  </si>
  <si>
    <t>Cómodos. Me encantan, los uso para trabajar, son muy cómodos.</t>
  </si>
  <si>
    <t>Útil Me ha servido a la perfección</t>
  </si>
  <si>
    <t>Buen suéter de entretiempo Talla correcta para mi. Queda muy bien puesto y está todo donde debería. Es de entretiempo y los colores y dibujos son muy chulos.  Volvería a comprarlo en otros colores.</t>
  </si>
  <si>
    <t>Bonita y hace buen café. Reloj analógico que le da un toque increíble Buena cafetera, diseño retro, con mezcla de acabados metálicos, plásticos y cromados, además del metal pintado, que hacen que sea muy atractiva visualmente en cocina.  El sistema de esta cafetera, saca un café bastante bueno y lo mantiene durante 40 minutos, y de todo ello, muestra el proceso en una aguja analógica que va a ser la envídia de quien la vea. Es realmente bonita.  Creo que es el atractivo mayor de la cafetera. La marca, ha incorporado los reloges analógicos en varios de sus productos para medir el tiempo que tardan cada uno en sus funciones, (o grados centígrados, según), y me parece precioso, particularmente a mí y a mi familia. Todo el que lo ve, se flipa un poco.  El resto de la cafetera, pues un buen vaso antigoteo fabricado en cristal de 1.2 litros, con bastante capacidad con mango de toque frío, que se mantiene en la bandeja hasta 35-40 minutos caliente.  Me parece una excelente cafetera si se busca algo que salga de los estándares digitales que tenemos a día de hoy, centrada principalmente en diseño, con la funcionalidad y calidad de los productos de hobbs.</t>
  </si>
  <si>
    <t>Muy decepcionante No sabría explicaros cuanto calor alcanza, pero para mí esto sería el nivel medio de un calientapiés ideal, por lo que siempre tengo que tenerlo al máximo...y solo estamos en octubre!. La funda donde metes los pies y que puedes extraer para lavar no está sujeta con absolutamente nada, por lo que se mueve constantemente, se retuerce y resulta muy incómoda. No estoy nada satisfecha y me arrepiento mucho de no haberla estrenado cuando la compré porque la hubiera devuelto. Aprended de mis errores 😉</t>
  </si>
  <si>
    <t>Bien Bien, me gusta.. Aunque podría ser más ligero</t>
  </si>
  <si>
    <t>Demasiados fallos. Completamente de acuerdo con las quejas de algunos usuarios: estas tarrinas de Verbatim fabricadas en China son de menor calidad y fiabilidad que las fabricadas en Taiwan o Singapur, y suelen contener un mayor número de discos defectuosos que provocan problemas de grabación y lectura.</t>
  </si>
  <si>
    <t>Sumiller Pésima calidad se desintegra sola con sólo tocarla parece de plastilina e tenido que reclamar la devolución. No la recomiendo</t>
  </si>
  <si>
    <t>Porquería. Se estropeó en 1 mes En menos de un mes han dejado de funcionar dos de los interruptores individuales por lo tanto, la utilidad de poder apagar solo algunos conectores no sirve. Es una porquería. No lo compres.</t>
  </si>
  <si>
    <t>🙂 Para los hombres el tamaño es correcto para las mujeres es grande pero.... Por el precio que tiene no puedes pedir mucho</t>
  </si>
  <si>
    <t>buena compra Tal y como le esperaba, estan como se ve en la foto.</t>
  </si>
  <si>
    <t>Barato Me ha gustado el diseño y el material, de aluminio. La base no muy estable pero contenta</t>
  </si>
  <si>
    <t>Son super comoda Son comodisimas</t>
  </si>
  <si>
    <t>Buen producto. Es rápido para ser la versión de 250GB y fácil de instalar con el software de la casa. Pero por un poco más, compra la de 500GB.</t>
  </si>
  <si>
    <t>Buenas, bonitas y baratas filo perfecto, muy comodas de empuñar y manejar.</t>
  </si>
  <si>
    <t>vuelvo a ver. Gracias a estas lentes vuelvo a poder reparar relojes, cuando lo compre pense que de algo serviría pero es mucho más de lo que imagine asi que no tengo que decir si lo recomiendo. CLARO QUE SI.</t>
  </si>
  <si>
    <t>Geniales. Calidad y precio lo mejor. Calcetines súper cómodos. La calidad es buenísima y el precio es muy bueno también. Los uso para entreno y son muy resistentes.</t>
  </si>
  <si>
    <t>Buena Sólo me la he dado una vez pero me queda la piel super limpia y suave. Viene, muy bien envasada y en un formato como en la foto. Aver que tal cuando la lleve un tiempo  usándolo.</t>
  </si>
  <si>
    <t>Piano musical Está muy bien cumple con las espectatibas funciona de maravilla ideal para los niños con bastantes canciones conocidas y divertida</t>
  </si>
  <si>
    <t>Genial. Son superligeros y se adaptan muy bien. Cuando no los llevas quedan plegadis en un espacio muy pequeño. El Bluetooth funciona perfectamente con mi movil android. Lo cargué a tope desde 0 y tardó unas 2 horas.</t>
  </si>
  <si>
    <t>Muy buena compra. Excelente bota para senderismo y excursionismo. Calidad extrema de materiales como la suela Vibram y la membrana de GoreTex. Totalmente recomendable con una relación calidad-precio excepcional.</t>
  </si>
  <si>
    <t>Lo recomiendo altamente. Lo he usado por más de una semana, que es el tamaño perfecto para mí. Cuando no use el humidificador, encenderé las luces para obtener una hermosa puesta de sol. Solo uso agua destilada en el humidificador, lo cual es bueno para mejorar la humedad en la habitación donde se encuentra. El botón funciona bien La cúpula completa de la luz, ya sea de un solo color o de un ciclo de todos los colores, emitirá un ambiente amplio y se verá más bella cuando se humedezca. Lo recomiendo altamente.</t>
  </si>
  <si>
    <t>Cómoda memória Aparte de la rapidez (15 horas) en la entrega, comprobando en otros lugares es casi igual de económico. Funciona a la perfección en mi Xiaomi A1, y se guarda en cualquier sitio. Comodísimo desde luego</t>
  </si>
  <si>
    <t>Rápido y supersilencioso Compré el producto como regalo para unos familiares y fue un acierto total. Es cómodo y fácil de usar. Supersilencioso. Además, como es de acero inoxidable, combina muy bien con el resto de la cocina.</t>
  </si>
  <si>
    <t>Vans u Sk8-hi LAS ZAPATILLAS!!!! con mayúsculas! La talla es la esperada, son las zapatillas perfectas, muy cómodas, ha sido un acierto de compra.</t>
  </si>
  <si>
    <t>Buena cafetera a buen precio La verdad es que el envío fue rapidísimo, la cafetera tiene muy buena calidad, el tanque de agua es muy fácil de llenar y el diseño es precioso (adjunto foto). El café que hace es rápido y tiene muy buena presión de vapor. ¡Estamos encantados! Lo malo que le puedo poner es que hace algo de ruido al principio pero luego está bien. Por el precio  que tiene, es una maravilla, de verdad</t>
  </si>
  <si>
    <t>Buen producto Producto que se ajusta a la descripción dada, fácil de usar, con el almacenamiento indicado en contraposición con otros, que por lo que se ve, son una estafa en cuanto al almacenamiento. En fin, un buen producto con una relación calidad/precio muy bueno.</t>
  </si>
  <si>
    <t>Me encantan!!!! Muy buen producto! Excelente producto relación calidad precio. He seguido la tabla de tallas y me queda como un guante. Son comodisimos y muy bonitos. Ya los he estrenado bailando 4 horas seguidas ajajaja Estoy muy contenta y de hecho me gustaría ver más zapatos del mismo vendedor. Me encantan!!!!</t>
  </si>
  <si>
    <t>MCarmen Las compre para regalar y he quedado.genial, son mas bonitas que en la foto, comodas y originales, yo cogi la talla 45,5 para un pié de talla 44 y le estan estupendamente</t>
  </si>
  <si>
    <t>Nacho Es un producto bastante robusto y aunque pese un poco, es muy bueno para tener a mano las monedas y ordenadas. Las monedas entran y salen perfectamente cada una en su sitio correspondiente. Para dar el cambio rapido a los clientes es muy recomendable y practico.</t>
  </si>
  <si>
    <t>Me hubiese gustado que me dieran la opción de cambiar de talla Muy liviano pero hay que pedir que na talla más de la que eres, y no me gusto que no me dieron la opción de cambiar de talla, solo la devolución</t>
  </si>
  <si>
    <t>Rapidez y el perfecto estado en que llegó Los uso a diario, porque tengo la espalda fatal y te da autonomía de movimientos</t>
  </si>
  <si>
    <t>. Se escucha muy bien, pero le falta algunas cosillas como más filtros.</t>
  </si>
  <si>
    <t>No es estable Parece útil, pero no mantiene la estabilidad con el micrófono rhode que tenemos.</t>
  </si>
  <si>
    <t>EL OLOR ES MEJORABLE OLOR NO ES DEMASIADO AGRADABLE PERO LIMPIA BIEN</t>
  </si>
  <si>
    <t>Hace muchas "bolas" El pantalón está bien, pero el tejido del que está hecho va dejando muchas pelusas por la casa. Igual algún día deja de hacerlo...</t>
  </si>
  <si>
    <t>Muy, muy bonitas Son muuuuy chulas pero he tenido que devolverlas porque me quedaban pequeñas. Cogí una 38 aunque mi talla es 37; me gusta llevar el pie suelto (o con dos pares de calcetines). Mi hija tiene la 38 y debía encoge los dedos para ponérselas. Pero bueno, esta ha sido mi experiencia.</t>
  </si>
  <si>
    <t>Poca potencia de succion y calidad baja Decepcionante la potencia de succión, y más después de leer otros comentarios. El aspirador a primera vista parece que pudiera ir bien, pero una vez lo pones en marcha  falta potencia de succión, calidad de los acabados muy justa y los accesorios lo mismo, una "imitación" de Dyson. Dependerá del precio, que la compra sea más o menos agradable, desde luego a mí por 300 euros me parece caro, porque si no tiene fuerza, prefiero un aspirador de cable y el dinero en el bolsillo. A mí no me ha gustado nada. La he reemplazado por una Dyson y nada que ver, como el día y la noche. La Dyson tiene más potencia que la antigua que tenía de cable, y la Roidmi solo tenía más potencia si la ponías al máximo, que parecía que iba a despegar un avión y encima duraba 5 minutos. La conexión bluetooth no llegué a usar, así que no puedo opinar sobre su funcionamiento. El único punto positivo de la Roidmi es la luz frontal en el cepillo del aspirador. Desde luego, para mi gusto no merece la pena cambiar un aspirador que ya se tenga en casa (aunque sea de cable) para comprar este, porque te gastas el dinero y encima pierdes efectividad, poco poder de succión y una batería muy justita</t>
  </si>
  <si>
    <t>Decepción. Las zapatillas se estrechan de forma excesiva a la altura del nacimiento de los dedos. Cuidado. Recomiendo si se compra probárselas meticulosamente y en caso de duda devolverlas, pues si quedan muy justas, provocarán dolor.</t>
  </si>
  <si>
    <t>Sencillo, rápido y bonito Nos encontramos ante un hervidor de agua, de estilo retro y color crema de la marca Russell Hobbs Os voy a contar mis impresiones y opiniones sobre este producto:  ►Qué me gusta Θ Muy rápido a la hora de hervir, una taza en menos de un minuto y, si llenamos el hervidor, no llega a 4 minutos. Θ Buena capacidad de 1.7 litros Θ Uso fácil y sencillo, no tardaremos ni un minuto en saber cómo se usa. Meter el agua, enchufar y esperar. Θ Dispone de ventana, con indicadores de nivel, que nos permite conocer el nivel de agua que hay en el hervidor Θ Incorpora un indicador de temperatura, muy útil si queremos asegurarnos de servir el liquido dentro de unos rangos determinados de temperatura Θ El color crema con estilo retro queda bien en cualquier cocina Θ Mango con buen agarre Θ La boquilla no gotea al servir Θ Muy rápido a la hora de hervir, una taza en menos de un minuto y, si llenamos el hervidor, no llega a 5 minutos.  ►Neutro Θ El hervidor es metálico, esto se traduce en que tenemos que ir con cuidado al poner la mano sobre cualquier parte que no sea el mango, ya que podríamos llevarnos un susto por el calor  ►Qué no me gusta Θ La limpieza no es algo trivial, ya que los indicadores dificultan su limpieza Θ Cable corto  ►Opinión final Un hervidor sencillo, con estilo retro y buenas prestaciones</t>
  </si>
  <si>
    <t>Tallaje grande El tallaje es grande. Las zapatillas son bonitas y cómodas.relación calidad precio correcta. A la próxima compraré una talla menos.</t>
  </si>
  <si>
    <t>Cómodos. Mal fabricados. Son muy cómodos. Las rayitas del diseño se despegaron el primer día.</t>
  </si>
  <si>
    <t>. Es muy bonita si y ideal para el frio. Habia leido que se quedaba pequena pero no es verdad. Mi novio tiene 1.83 y 85 kilos y la L le queda un poquito grande pero eso es al gusto de cada uno, a el le gusta más apertado.</t>
  </si>
  <si>
    <t>Fácil de limpiar En casa somos unos amantes de los smoothies y muchas veces ka pereza de limpiar la thermomix nos hacía no disfrutarlos tantas veces como nos apetecía.  Compramos la batidora con la idea de hacer 1 o 2 batidos y no tener tanto trasto para limpiar y el resultado no tiene nada que enviar a los de la thx.  En el vaso caben 2-3 piezas de fruta, basta con cerrar la tapa de la cuchilla y pulsar el vaso para que la cuchilla haga su función.  Tiene fuerza suficiente para dejarlo muy fino y no dejar trozos.  La limpieza es muy sencilla porque son solo 2 piezas (vaso y tapa de cuchillas) y como la boca es grande se limpia muy facilmente con un cepillo de biberones.  Nos ha encantado porque hasta los peques pueden usarlos sin ningún tipo de riesgo a cortarse o tirar el vaso.</t>
  </si>
  <si>
    <t>Buenos auriculares Muy buena presentación del producto. La caja donde vienen los auriculares está genial, mostrando en todo momento el nivel de batería de cada auricular. El sonido es muy bueno y son cómodos de llevar.</t>
  </si>
  <si>
    <t>Excelente Perfecto , excelente calidad , ajustado a la calidad precio , embalaje y entrega perfecto como siempre lo hace Amazon</t>
  </si>
  <si>
    <t>Muy elegante Es muy elegante viene bien presentada en una caja. Ideal para un detalle económico.</t>
  </si>
  <si>
    <t>Cómodas y calentitas La verdad es que son comodísimas y lo mejor es lo calentitas que son. Si eres de pies fríos, estas son tus zapatillas. Muy contento con ellas.</t>
  </si>
  <si>
    <t>Muy satisfecho con los cascos y la atención del vendedor Tenía mis dudas con estos cascos (las comparaciones son odiosas), pero estoy gratamente sorprendido. Desde el que abres la caja hasta el trato recibido por la tienda son excepcionales.  El sonido es francamente bueno, si bien en el tema de los graves tiene  margen de mejora, pero a las cosas hay que exigirles teniendo en cuenta también el precio. La comodidad y la facilidad de emparejamiento es perfecta.  Vienen perfectamente embalados con la caja de carga, un cable para cargar, unas fundas por si quieres ponerles un cordón  para colgartelos del cuello y un libro de instrucciones en varios idiomas (incluido el español). Traen además una tarjeta por si tienes algún problema te puedas poner en contacto con el vendedor.  Muy satisfecho con la compra.</t>
  </si>
  <si>
    <t>Fila leopardo Son preciosas y originales,cogí mi talla habitual y me están perfectas</t>
  </si>
  <si>
    <t>Ligera, de calidad y muy comoda Pantalon de deporte con el que yo en particular juego al padel. Cómodo, ligero y de buena calidad en los acabados.</t>
  </si>
  <si>
    <t>Tarjeta Drivers difícil de encontrar en internet mi pc no tiene lectura de cd</t>
  </si>
  <si>
    <t>XX SE AJUSTA  A LA DESCRIPCIÓN.</t>
  </si>
  <si>
    <t>Buen precio y buena calidad Calidad o que me lo esperaba más grueso pero no importa al ser yo caluroso a mí me va bien hasta para el invierno</t>
  </si>
  <si>
    <t>29 GB OTG muy práctico 29 gb reales, tamaño perfecto para llevarlo siempre en las llaves o similar. La única pega es que no se protege muy bien, ya que la carcasa de protección es hueca y le puede entrar tierra, pelusa, agua, etc. También decir que cuando vas a introducirlo en los dispositivos tienes que aguantar la carcasa con la otra mano, debido a que no se queda fija y tiende a retroceder. Por todo lo demas, está genial.</t>
  </si>
  <si>
    <t>Aceites Me lo regalo mi marido con un difusor aromático para el coche, lo que más me gusta es el olor natural que tienen los aceites, los he probado todos y  me encantan. Con unas cuantas gotas tienes por lo menos para una semana y me deja el coche con un olor natural y super agradable.</t>
  </si>
  <si>
    <t>Auriculares Bluetooth Los llevo usando toda la mañana y van a la perfección, son comodisimos y se sujetan bien a la oreja. Los usé tambiéb haciebdo deporte y no se caen como otros. Vienen con varios recambios de almohadillas, usb y el estuche para guardarlos muy práctico.</t>
  </si>
  <si>
    <t>Bisel original Lo compre con un poco de temor ya que tengo un iPhone. Y la verdad la mejor compra que he hecho nunca con respecto a Smartwatches. Vengo de un Apple watch de primera generación el cual la batería ya no le duraba nada y encima no lo actualizaban. Y la verdad q perfecto. Me encanta el rollito que le da el bisel y el menú del reloj. He conseguido contestar a las llamadas desde el reloj con su altavoz emparejandolo con el bluetooth y la única pega el tema de poder contestar a los WhatsApp pero por todo lo demás le doy un 10.</t>
  </si>
  <si>
    <t>buenos calcetines buenos calcetines adidas y autenticos son como me esperaba comodos, y de buena calidad repetire sin duda alguna gran producto</t>
  </si>
  <si>
    <t>bien compre la grapadora con estas grapas y perfecto, unas grapas a muy buen precio</t>
  </si>
  <si>
    <t>Me encanta Trabajo 8 horas caminando sin poder sentarme. Al llegar a casa solo pienso en los masajes que me alivian el dolor de piernas y pies sin necesidad de tomar pastillas</t>
  </si>
  <si>
    <t>Colgante Para mí parecer es muy muy pequeño nada que ver como vienen las fotos para regalárselo a una niña pequeña está bien pero no para una mujer</t>
  </si>
  <si>
    <t>PROFICOOK SM 1094 Es correcto. Para mi gusto, pesa demasiado y vibra bastante, imagino por su potencia. He probado batir fruta y solo ha quedado algo de naranja adherido en los orificios de la boquilla que se han ido al lavar. Según mi pareja, pesa porque es semi-profesional y durará toda la vida. Habrá que verlo.</t>
  </si>
  <si>
    <t>El sonido de la música con distorsiones y ruidos. Cuando suena la música no se oye la voz de los micrófonos. Este karaoke funciona muy mal. No sé si es por avería o por que es así de malo. No se la aconsejaría a nadie. Por supuesto no ha cumplido mis expectativas lo mas mínimo.</t>
  </si>
  <si>
    <t>No aguanta No engancha bien</t>
  </si>
  <si>
    <t>Colgante discreto El corazón es muy pequeño y se gira bastantes veces.</t>
  </si>
  <si>
    <t>Contentos Los biberones están bien, siguen la línea de los MAM que usamos con el peque cuando era más pequeño. Por ponerles un pero, estos no se desmontan por la parte de abajo y son más complicados de limpiar.</t>
  </si>
  <si>
    <t>Buen comportamiento Bien la relación calidad precio</t>
  </si>
  <si>
    <t>Buena chaqueta, no para excesivo frío. La parka es muy bonita, sienta bien y se notan buenos materiales.  Como defectos señalaría la ausencia de alguna cremallera de cierre en más bolsillos y creo que vendria bien algo más de acolchado en la propia chaqueta, no parece ser apropiada para temperaturas realmente bajas.</t>
  </si>
  <si>
    <t>Todo correcto menos una cosa Una de las plantas es algo más dura que la otra. Sí, es algo raro. Pero bueno, son cómodas y están en buen estado.</t>
  </si>
  <si>
    <t>Muy muy bueno Me encanta , es ideal</t>
  </si>
  <si>
    <t>Tan sencillo como útil Una idea sencilla y barata pero tremendamente efectiva para tener bien recogidos los cables cuando no se usan. Muy útil.</t>
  </si>
  <si>
    <t>Lo mejor para los cólicos Con estos biberones tomaba mucho menos aire. Con un agua la válvula del centro se limpia bien. Cuando se use cereal ya mejor no usar esta</t>
  </si>
  <si>
    <t>MUY BUENA COMPRA La calidad del acabado y la resistencia parecen muy buenos. Es sencilla y al mismo tiempo útil. Muy buen tamaño, con dos lentes y luces led. Viene con todo lo necesario para su limpieza y para poderla guardar sin que se estropee. La compre para poder leer la letra ínfima de las normas de utilización de productos de bricolaje. Encantada de haberla comprado.</t>
  </si>
  <si>
    <t>Perfecto para su precio El reloj es perfecto para el precio que lo compramos. Se adapta perfectamente a la muñeca de quien sea sin tener que llevarlo a la tienda. Perfecto</t>
  </si>
  <si>
    <t>Buena calidad Muy muy cómodas, ligueras.... la única pega que no son impermeables y si trabajas con líquidos abrasivos puedes correr riesgo de que llegue a la piel</t>
  </si>
  <si>
    <t>Perfecta Cumple con lo que promete, una subcarpeta de cartón robusta, justo lo que andaba buscando.</t>
  </si>
  <si>
    <t>Comodo Suficiente para mi uso</t>
  </si>
  <si>
    <t>Estupendos auriculares para niños Mis hijos usan el Ipad en el colegio a diario y estos son los auriculares que les compré. Van en la mochila del cole, los despliegan y pliegan tropecientas veces y ahí siguen. Cuando se estropeen los que tienen, les compro otros iguales!!</t>
  </si>
  <si>
    <t>Recomendado 100% Están súper bien, son cómodas, abrigan un montón al tener el pelito por dentro, no te resbala, llegaron súper rápido, bien empaquetadas. Son fácil de limpiar, y de tamaño vinieron perfectas, todo perfecto!! Recomendado 100% sin duda alguna.</t>
  </si>
  <si>
    <t>Han cumplido las expectativas. Eran para regalárselas a mi marido y le encantaron. Son muy cómodas y la talla corresponde con su talla habitual.</t>
  </si>
  <si>
    <t>Lo recomiendo! Fue un regalo para mi hija y ha cumplido todas las expectativas. Buena calidad y original. Le está dando mucho uso y está a la altura.</t>
  </si>
  <si>
    <t>Rápida de utilizar La compré porque me encantan los smoothies para desayunar y me resulta super práctica y fácil de utilizar-limpiar.  Los materiales se notan resistentes y de buena calidad, la he utilizado tanto con fruta natural y congelada en los zumos,  como para preparar alguna salsa.</t>
  </si>
  <si>
    <t>Pantalón deportivo Muy cómodos para hacer deporte porque se adaptan perfectamente al movimiento, tiene dos bolsillos que vienen bien para guardar llaves o el teléfono El tejido es de gran calidad</t>
  </si>
  <si>
    <t>Buneas Buen precio ,creo que hay q.pedir un número más .yo así hice.</t>
  </si>
  <si>
    <t>Buena calidad y precio Me gusta su calidad y estéticamente. La bandejita para tostar que se puede poner encima es una buena idea para recalentar pan o descongelar. En general una buena compra</t>
  </si>
  <si>
    <t>Muy buena compra Le doy 5 estrellas sin ninguna duda, la compré porque era de las que mejor valoración tenían y he de decir que no me ha defraudado. La estoy usando para hacer gazpachos y deja la piel del tomate totalmente triturada, no se nota, así que me ahorra bastante tiempo el no tener que pelar los tomates. También va genial para hacer cremas de verduras, ya que las deja muy finitas, y para mis hijos es genial y también les he hecho batidos de fruta y están encantados. Además el accesorio que lleva para llevar tus batidos también va muy bien y le estoy dando mucho uso. Recomiendo su compra sin ninguan duda.</t>
  </si>
  <si>
    <t>Un clásico a un precio inmejorable poco hay que decir de estas zapatillas, todo un clásico que nunca pasa de moda! Pero además a un precio fantástico por la oferta...muy contento!</t>
  </si>
  <si>
    <t>Ideal Producto igual que la foto, el material es resistente</t>
  </si>
  <si>
    <t>No lo volvería a comprar Para colgar cosas que no pesen tácticamente nada funciona correctamente pero para poner cuadros grandes no una decepción una pena.</t>
  </si>
  <si>
    <t>muy chulo pero se rompió al día siguiente les ha encantado a mi hija y su miga. pero se rompió en 1 día</t>
  </si>
  <si>
    <t>Bambas No tan cómodas como esperaba para ser unas clarks</t>
  </si>
  <si>
    <t>Muy mala calidad Lo compré por ser el único que encontré compatible con el palo de Ballerina. Encaja genial pero es de malísima calidad y el estropajo duró menos de un mes, la parte verde se levantó en pocas semanas.</t>
  </si>
  <si>
    <t>Mala calidad No es muy bueno</t>
  </si>
  <si>
    <t>Buena compra La verdad es que son muy cómodas. Estoy contenta con la compra realizada. Las recomiendo. El tallaje es un poco lioso....</t>
  </si>
  <si>
    <t>Por ahora bien Se me rompio una batidora y me pille esta. Tiene 20 velocidades y un boton que da toda la potencia, yo pense que iba a usar eso siempre pero al contrario suelo ponerla a niveles bajos y alguna vez pulso el boton "turbo". Para mi una compra 10, ademas trae el tipico vaso de batidora y el triturador.</t>
  </si>
  <si>
    <t>Buen precio y cómodo para usar con proyectores Es muy cómodo de usar y de sujetar en la mano mientras haces presentaciones. Lo que no me ha gustado es que el puntero no funciona en las pantallas digitales; hice consulta por Amazon y un usuario me aseguró que sí y por eso me decidí por este modelo, pero no es cierto. no me funciona con presentaciones de Google, solo con Power Point. El USB es muy pequeño, lo cual no me resulta cómodo a la hora de ponerlo en la pantalla digital pegada a una pared. Cuando lo he empleado con un proyector ha resultado mucho más cómodo.</t>
  </si>
  <si>
    <t>Funciona correctamente He probado solo VGA y HDMI en un MacBookPro y funciona bien. No sabría decir la resolución a la que trabaja ya que siempre lo enchufo en un monitor pequeño de no mucha resolución</t>
  </si>
  <si>
    <t>muy buena relación calidad precio se oyen muy bien y el parear con el móvil súper rápido, no le pongo 5 estrellas porque al correr se me salen de los oídos.   pero muy buenos para estatico o andar</t>
  </si>
  <si>
    <t>Perfectas! Me encanta!! Como en la foto</t>
  </si>
  <si>
    <t>Me encantan Me costaron 8 euros (la talla 38). No creo que vuelva a encontrarlas a ese precio. Ojalá hubiera estado a ese precio la 36</t>
  </si>
  <si>
    <t>Me encanta! Definitivamente creo que ha sido el mejor mic que he probado, mejor que el blue jeti incluso. Recomendadisimo!</t>
  </si>
  <si>
    <t>excelente Excelente reloj, es muy cómodo y da la sensación de que no lo llevas puesto, es ligero y no molesta.</t>
  </si>
  <si>
    <t>me gusta mucho me gusta el diseño y calidad</t>
  </si>
  <si>
    <t>Comodísimos Son algo grandes y tuve que cambiar el número. Son comodísimos, es como caminar en una nube.</t>
  </si>
  <si>
    <t>Genial Se lo he regalado a mi novio y le ha encantado!! Muy buen reloj!!</t>
  </si>
  <si>
    <t>Muy cómodo,contenta con el producto. Son súper cómodo,se sujetan muy bien al pie ,con la silicona que trae en el talón .Los recomiendo.</t>
  </si>
  <si>
    <t>Muy comodas Las compré para mi madre que necesitaba salir a andar por temas de salud y no puede estar más contenta, dice que es como caminar sobre una nube.</t>
  </si>
  <si>
    <t>Buena compra Comparando con nuestra batidora anterior es una maravilla, tritura sin problema y algo sorprendente, no salpica a la hora de batir. De momento no le encuentro ninguna pega.</t>
  </si>
  <si>
    <t>Muy bien Sirve perfectamente para la máquina DYMO, muy buena opción, buen resultado y precio económico</t>
  </si>
  <si>
    <t>perfectas. Unas zapatillas para uso diario, muy comodas</t>
  </si>
  <si>
    <t>Súper cómodas!!! Me han encantado, las recomiendo. Igual que en la foto y comodísimas!!</t>
  </si>
  <si>
    <t>Suela muy comoda Buenas bambas se nota que son de marca recomiendo este producto, las suelas parecen ser de gel muy comoda me quedan perfectas</t>
  </si>
  <si>
    <t>Ideal para guitarras He empezado a tocar minguitarra eléctrica de nuevo y estaba cansado de llevar el cable del amplificador siempre molestando en la guitarra. Me he decidido por este por sus buenas valoraciones y estoy contento de haberlo comprado. Tiene una latencia super baja y se escucha muy bien. Además, el alcance es más que suficiente para cualquier escenario, a no ser que toques en un súper escenariobwue no es mi caso. Y además, el precio está genial. Lo recomiendo.</t>
  </si>
  <si>
    <t>Ideal para regalar Mucho mejor que en las fotos. Recomendado como regalo</t>
  </si>
  <si>
    <t>Perfecto y recomendable. Es justo lo que esperaba. Nudos resistentes y adaptables. He recibido la pulsera con mucho tiempo de antelación y eso me ha sorprendido. Volvería a comprarla sin dudar para regalo.</t>
  </si>
  <si>
    <t>Todo perfecto Todo perfecto super comodos y no resbalan en el trabajo me siento superbien una maravilla recomendable al cien por cien</t>
  </si>
  <si>
    <t>Converse all star Llegó antes de la fecha de entrega. Tallan grande, medio numero mas. Son un clasico y nunca pasan de moda. Perfectas y a un buen precio.</t>
  </si>
  <si>
    <t>Jarra con poca duración. se ha quebrado la jarra de cristal con muy poco uso. Decepcionado.</t>
  </si>
  <si>
    <t>La única pega: el precio, lo demás genial! Le daría 5 estrellas si no fuese por el altísimo precio que le ha puesto Apple, lo han subido 50€ respecto a los de 1ª Generación que costaban 179€ y todo por no asumir el estuche de carga inalámbrica universal Qi como novedad y evolución lógica al mismo precio que el modelo anterior.  El producto eso sí, es muy bueno y tiene las 4 siguientes mejoras respecto a la generación anterior: 1- Estuche de carga inalámbrica universal Qi. 2- Bluetooth 5 con el que destacaría que tendrás más distancia de funcionamiento, por ejemplo si dejas el dispositivo emisor (iPhone por ejemplo) en una habitación distinta a la que te encuentras y tú te mueves por toda la casa con los AirPods no se cortará el sonido como pasaba con los de 1ª Generación al llevar Bluetooth 4.0 donde nada más salir por el pasillo ya se entrecortaba la conexión... 3- Oye Siri por voz sin necesidad de toque en el auricular. 4- Chip H1 más rápido al conectar con los dispositivos de Apple, sobretodo si cambias de iPhone a Watch y viceversa...  Eso sí, para quien ya tenga los AirPods de 1ª Generación no recomiendo su compra, sería un gasto tonto ya que en esencia son los mismos auriculares y no va a aportar nada salvo hacer más rica la cuenta corriente de Apple y sigan subiendo precios... Yo sólo recomendaría su compra para los que no tengan aún AirPods, ya puestos a comprar unos mejor comprar los de 2ª Generación.</t>
  </si>
  <si>
    <t>Funciona perfectamente, lo único que el cable se enrosca con demasiada facilidad Funciona perfectamente, lo único que el cable se enrosca con demasiada facilidad, y es molesto a la hora de trabajar</t>
  </si>
  <si>
    <t>Cuidado,no es el de la foto. Cuidado,no es mismo reloj de la foto "No gira ariba" y no es negra esa parte,desilusionado.</t>
  </si>
  <si>
    <t>Ni un año Ni un año me ha durado. Lo pedí el 28 de julio e iba perfecta y llegó un día, hace cosa de un mes que ya no la leía ni movil, ni camara deportiva, ni siquiera el pc. Terrible.</t>
  </si>
  <si>
    <t>Carolina Me ha llegado otro modelo diferente al que pedí, pero las necesito ya y no puedo cambiarlas. El 36/37 es un poco grande.</t>
  </si>
  <si>
    <t>Buena compra Cómodo, fácil de limpiar y usar, potente, recomendable 100%</t>
  </si>
  <si>
    <t>Miren Cruz. Vitoria - Gasteiz. Estéticamente es bonito y la fotografía es fiel al color. Cómodo y lucido. Buena relación calidad - precio. Calza pequeño.</t>
  </si>
  <si>
    <t>Mucho brillo Demasiado grandes y brillantes. Para ir discretos, como que no valen</t>
  </si>
  <si>
    <t>Bien, pero... Muy completa la gama de complementos que viene incluida. Es bastante silenciosa y efectiva pero para mi gusto tiene una pega: el sistema de acople del mastil y varillas es de calidad dudosa, construida en plástico y no en metal... tengo serias dudas de que resista adecuadamente al uso cotidiano. La tengo desde hace unas semanas y por ahora bien. A ver como aguata!!!</t>
  </si>
  <si>
    <t>Perfecto Es un reloj muy cómodo, con buena calidad precio. Tiene para establecer dos horas diferentes en formato digital, alarma, y cronómetro. Muy cómodo y se adapta a la perfección a la muñeca, no es un reloj aparatoso como hay por ahí.</t>
  </si>
  <si>
    <t>👏👏👏👏👏 Ya han pasado 2 años de mi compra y los he cambiado pero x el uso diario pero muy buenos sin duda !</t>
  </si>
  <si>
    <t>Muy bonitas y de calidad Las pulseras son muy bonitas y de calidad, aunque quizás demasiado grandes ya que miden 24 cm.  Llegaron tres días antes de lo previsto y bien empaquetadas. Ya os contaré cuando se usen de continuo. De momento muy satisfecha con la compra.</t>
  </si>
  <si>
    <t>Esther perez Maravillosos cómodos y extraordinarios precio inmejorable y buena calidad y rapidez colores muy logrados compraré más seguro</t>
  </si>
  <si>
    <t>Como si estuvieran hechos en mi pie. Me queda perfecto y es muy estable, tenía algo de miedo a que vinieran muy anchos en el empeine como otros que he comprado en Amazon  pero no es asi, recoge muy bien el talón cosa que otros zapatos que tengo mucho más caros no hacen. Por su precio no esperaba que fueran de piel pero están bien acabados y comodísimos.</t>
  </si>
  <si>
    <t>Muy buenos Buenas bambas y las compre el dia prime, es decir, el 15 de Julio a unos 23€ o asi, genial !</t>
  </si>
  <si>
    <t>Muy recomendable Genial, he tenido dos masajeadores, ni punto de comparación con este, he pedido otro para regalar, en princio funciona perfectamente y es lo más parecido que hay a un masaje real.</t>
  </si>
  <si>
    <t>Parece que no pero si Cuando ves el artículo te parece mentira que eso recoja u organice cables , pero si es lo que hace y lo hace bien, con eso si, un poco de paciencia. Puede bien con tres o cuatro cables, con mas ...</t>
  </si>
  <si>
    <t>Un icono con encanto pero algo anticuado Llevo siguiendo este reloj desde hace meses en Amazon esperando que baje de los 300 euros, sin éxito. Finalmente lo he adquirido de segunda mano a un precio razonable. Realmente el precio ha fluctuado mucho (ver gráfico desde 2014) aunque se ha vuelto a disparar desde que se rumorea que se ha dejado de fabricar el modelo. Esto no se ha confirmado y los vendedores serios lo han desmentido pero no evita que el precio está por encima de los 250€ que es lo que venía siendo habitual.  EDITO: confirmado, se deja de fabricar desde julio de 2019.  Durante este tiempo he ido leyendo bastante sobre el modelo por lo que me gustaría compartir mi opinión una vez ya lo tengo en las manos.  + Diseño clàsico de los Diver de Seiko. Los SKX007 se fabrican desde 1996 y se han ganado un lugar en cualquier colección que se precie. Si estás leyendo esto es que te gusta el modelo… + Automático, movimiento seiko 7S26. No se le puede dar cuerda ni parar la manecilla de los segundos. Por otro lado es muy fiable y tiene fama de necesitar poco mantenimiento (¿cada 10 años?). Mi unidad es bastante precisa y no adelanta ni atrasa más de 5 segundos al dia. + Sumergible a 200M con certificación ISO. Por lo que cumple estándares rigurosos para poder asegurar esos valores + Dimensiones: es grandote (42 mm de 9h a 3h) y pesado, lo normal para un reloj de buceo. Sin embargo por el diseño de la caja, la distancia entre los extremos (44 mm de las 12h a las 6h) y la curvatura que tiene queda muy bien el muñecas no muy grandes. + Brazalete: para mi el punto más débil del reloj. No me gusta nada. Muy flexible los links quedan muy sueltos dando sensación de barato. También me he pillado algún pelito… Va a ser lo primero que cambie. + Materiales: - Cristal hardlex: mi reloj es de 2015 y tiene un pequeño arañazo, igual que otros relojes que tengo con cristal mineral con similar edad. Por lo que no le veo valor añadido. Se puede cambiar por cristal de zafiro. - Bisel de aluminio: el mío está prístino pero tienen fama de rayarse con solo mirarlos. Aunque también se pueden encontrar ceràmicos irrayables. - Lumen: Pintura propietaria de Seiko LumiBrite aplicada al dial, agujas y un pequeño punto en el bisel. Es impresionante la intensidad (hay que cargar un poco al sol o con luz UV) y la duración que tiene. No he visto nada igual.  En resumen, es un clásico que se ha quedado anticuado en prestaciones, però tiene un encanto que lo hace muy atractivo. Pero ¿300€?, si lo piensas fríamente hay otras opciones más modernas como el Orient Ray II con un movimiento mejor en prestaciones por 170€.</t>
  </si>
  <si>
    <t>Perfectas Perfecto, tal y como se ven. Volvería a comprarlas, tela de gran calidad y llegaron en tan sólo un día.</t>
  </si>
  <si>
    <t>Pequeño y MUY rápido COMPRA recomendable Muy compacto y agradable de usar y RÁPIDO: alcanza velocidades sobre USB3 sobre el GIGABIT/s o lo que es lo mismo unos 100 MEGABYTES/S para archivos grandes. Si es igual de confiable que mis otras dos unidades usb3 de toshiba que tengo desde hace unos años... pues es una compra redonda. Muy bien por toshiba no haberse precipitado en lanzar esta unidad al mercado hasta ofrecer una unidad precisa y fiable. Otros fabricantes como MAXTOR/SEAGATE ya tienen en el mercado sus unidades de 4tb desde hace tiempo...  Con el tiempo veremos si se puede decir que esta unidad es digna de la fiabilidad que siempre ha representado toshiba en informática o han hecho basura-a-ver-si-guanta-hasta-findegarantía como marcas tan aborrecibles como MAXTOR/SEAGATE en este tipo de dispositivos externos. Nota. Maxtor es una marca que en el pasado era sinónimo de buena calidad. Despues de haber sido comprada por seagate hace algunos años seagate se dedica a vender basura de pésima calidad bajo esta marca... y si no mirar los comentarios en las unidades externas de 2.5 de 4TB de la marca maxtor en este propio amazon.es...  Lo único negativo de este aparato es que el fabricante no ha puesto unas patitas de goma para apoyar la unidad como llevan todas las unidades de disco externo anteriores de toshiba ¡No me lo explico! He tenido que comprar unas gomitas adhesivas para ponerlas bajo la unidad ¿¿¿Que has hecho toshiba???  Nota final.: Nunca mover una unidad de disco duro mecánica despues de haberla conenctado al ordenador/tv/aparato, ya que es la causa de la mayoría de fallos y roturas en este tipo de unidades.</t>
  </si>
  <si>
    <t>Muy cómodas Son unas zapatillas muy cómodas quizá sean las zapatillas más cómodas que haya tenido nunca. La talla es la correcta. Muy ligeras apenas pesan.  se pueden lavar en la lavadora y se secan enseguida y quedan como nuevas. Eso sí, si eres propenso a tener electricidad estática y que te den calambres las cosas al tocarlas con estas zapatillas irás dando chispazos a todo el mundo!!!</t>
  </si>
  <si>
    <t>Buena calidad Resistentes.</t>
  </si>
  <si>
    <t>Cumple de sobras las espectativas Por poco menos de 20€ tienes un reloj sumergible, con los números muy claros, día y hora, y al no ser muy grande es discreto. Muy recomendable.</t>
  </si>
  <si>
    <t>Corazón Es muy bonita y comoda.Megusta mucho.</t>
  </si>
  <si>
    <t>Robusto y perfeto de funcionamiento Muy buen funcionamiento, silencioso, potente y por tanto eficaz. Recepción con total puntualidad. Lo sorprendente, es compatible con otros accesorios de Boch.</t>
  </si>
  <si>
    <t>Pésimo servicio técnico Llevo casi un año con él y empecé enamorada de lo eficaz y silencioso que era pero hace un par de meses le noto que la autonomía no es lo que era, ya no limpia una estancia como antes. Decidí mandarlo a reparar porque se apagaba al empezar y tras revisarlo con un mes de tiempo, me lo devuelven con las ruedas cambiadas. Intrigada lo pruebo por si realmente era eso y se apaga según ha empezado... Lo he vuelto a mandar a reparar, esta vez con coste claro, pero es que no es normal ni el funcionamiento ni el servicio técnico.</t>
  </si>
  <si>
    <t>BUEN PRODUCTO Son muy bonitas y cómodas. Recomiendo su compra 100 %. Son más bonitas de lo que sale en la foto.</t>
  </si>
  <si>
    <t>Sencillo Es justo lo que esperaba y funciona perfectamente, no hace ruido, y fácil de usar</t>
  </si>
  <si>
    <t>Regular Na mas llego lo estreno y se la escobilla se a estropeao jajajajaj bueno,sera d ahi su precio</t>
  </si>
  <si>
    <t>No es el color de la foto El pantalón es un pantalon normal de chándal, cómodo y transpirable. El problema es que en las fotos el color negro se aprecia como un negro mate y enrealidad es un color negro brillante.</t>
  </si>
  <si>
    <t>Talla exacta Elegí la talla exacta de mi pie por lo que me quedaron bien. Me gusta mucho el color blanco para las zapatillas pero la verdad es que se ensucian super rápido y más si son de tela.  Sin duda las recomiendo por que son cómodas y combinan con cualquier tipo de ropa.... pero hay que tener cuidado con ellas.</t>
  </si>
  <si>
    <t>Se ha roto una varilla. El espumador está bien, es potente y se ve robusto. Las varillas metálicas también están bien, pero trae una con una hélice de plástico que utilizo para mezclar té matcha... hasta que se ha roto con menos de un mes de uso. Ya no no me sirve para lo que lo compré. Una lástima.</t>
  </si>
  <si>
    <t>El sonido y la comodidad Los auriculares están muy bien, cómodos y con muy buen sonido, no he tenido tiempo para poder valorar la durabilidad, espero que sea buena..</t>
  </si>
  <si>
    <t>Muy buena compra Pràctic y fàcil de usar, con una buena potencia y calidad de sonido.</t>
  </si>
  <si>
    <t>Gran aspiradora Un producto formidable</t>
  </si>
  <si>
    <t>Muy buen micro para podcast Estuve muy indeciso entre varios modelos más económicos de otras marcas, finalmente me decidí por el Rode, bastante más caro de lo que iba a invertir, y estoy encantado. Para podcast se obtiene una nitidez muy buena, aunque es cierto que el pie puede ser bastante inestable, no está pensando para ajustar mucho el ángulo. También es verdad que a veces se obtienen muchos sonidos del ambiente y hay que filtrarlo con software, o bien adecuando la habitación.</t>
  </si>
  <si>
    <t>luces al despertar Bastante simpático, emite una luz gradual al saltar la alarma o radio según lo que hayas programado, muy satisfecho.</t>
  </si>
  <si>
    <t>Completo Ideal, completo y versátil.</t>
  </si>
  <si>
    <t>100% recomendable, capacidad, velocidad y garantia. Simplemente perfecta, altisima velocidad tanto en escritura como en lectura y la fiabilidad de Sandisk con su estupenda garantia. Tanto en aplicaciones que requieren guardar un flujo importante de datos (por ejemplo grabacion a 4k), como en lecturas continuas rinde sin inmutarse. perfecta para camaras de accion, drones, etc y sobrada en smartphones.</t>
  </si>
  <si>
    <t>¡Muy cómodas y bonitas! Muy útiles como "chanclas de vestir"cuando, ante todo, buscas comodidad sin renunciar a estilo. Sí es cierto que talla grande. En caso que utilices una 38, compra la 39/40.</t>
  </si>
  <si>
    <t>Buena compra Excelente calidad-precio. La bolsa y los imanes para evitar que se enreden, muy prácticos. Repetiría compra</t>
  </si>
  <si>
    <t>Buena compra Es el segundo que tenemos.El primero era de otra marca conocida ,pero os puedo asegurar que nada que ver con el Bosch El funcionamiento de este es espectacular ,gran poder de aspiracion y autonomia . producto recomendable.</t>
  </si>
  <si>
    <t>Buena calidad. Muy buena calidad a buen precio. Nunca he tenido problemas con tarjetas de samsung, son muy rápidas y funcionan siempre a la perfección.</t>
  </si>
  <si>
    <t>Son muy buenos A acoplan al móvil rápido y se escuchan estupendamente</t>
  </si>
  <si>
    <t>Buen producto Estoy contenta la unica pega esq es bastante anchita y mi hijo muy delgado por lo demas todo estupendo es lavar y guardar no se arruga nada y e repetido la compra en otro color</t>
  </si>
  <si>
    <t>Correa Genial!!! Se lo hemos comprado a mi padre y queda muy bien y elegante!!!</t>
  </si>
  <si>
    <t>Muy bonito Diseño muy bonito, aparenta ser de madera. Es compacto, por lo que queda bien en cualquier sitio. Trae unos cuantos botes de aceites aromáticos, un gran detalle ya que no tienes que gastar dinero extra en comprarlos. Tiene varios tiempo para escoger. Todo un acierto la compra.</t>
  </si>
  <si>
    <t>El ajuste y la maquina Ajusta perfecta. Y la maquina para quitar los pasadores de los eslabones es genial. Por lo demás , perfecto como siempre Amazon</t>
  </si>
  <si>
    <t>Bonito y ligero Bonito y ligero</t>
  </si>
  <si>
    <t>Lo mas Que puedo decir de casio??!!sea quen sea el que lo venda si es casio y original lo tienes para parte de la vida, llego a tiempo super empaquetado con todas sus libritos, como anedota  el otro dia entando en el garage so no uno roto que tenia,ya os digo este reloj es para la vida</t>
  </si>
  <si>
    <t>Compardos por su durabilidad Siempre se han portado bien, los grabo a 16x y los compruebo y todo perfecto. Algunos tienen mucho uso y generalmente duran bastante. Me he decantado por estos por la superficie resistente a arañazos.</t>
  </si>
  <si>
    <t>suficiente Para escuchar pequeños aparatos de musica es suficiente........... no espereis gran sonido. Es practico</t>
  </si>
  <si>
    <t>Muy satisfecho por la utilidad y, de momento la relación calidad/precio es excelente. Lo he comprado para mi madre que perdió mucha vista de repente y, claro, los relojes para "mirar" no le sirven de nada. Y en los poquitos meses que lo tiene está encantada y hasta le hace sonreír cada vez que le dice la hora. Cada hora en punto si así lo configuras y, por supuesto, cada vez que lo pides.</t>
  </si>
  <si>
    <t>Alfombrilla ergonómica Me llegó en tiempo y forma. Era lo que estaba buscando. Aunque el primer día me dolía la muñeca del cambio de posición, a lo largo de la semana me fui acostumbrando y espero que me sea útil. Se ajusta a la descripción del producto.</t>
  </si>
  <si>
    <t>Buen bolso El bolso está bien construido, buenos materiales y buen acabado. El tamaño es lo que yo buscaba  ... Pero lo devolví por que el bolsillo delantero, el de la solapa, tiene una abertura demasiado pequeña para mi mano, no llego bien al fondo. La devolución de amazon perfecta.</t>
  </si>
  <si>
    <t>DHL HIZO LA ENTREGA .TE LO TRAEN FUERA DE TI.AVISANPERO NO TE DICEN HORA , NI DIA El producto  es  muy FRÁGIL, MALO Y DÉBIL.</t>
  </si>
  <si>
    <t>Está  bien Está bien</t>
  </si>
  <si>
    <t>Cable de juguete. Si buscas un buen cable, de calidad profesional, que no pierda sonido y sin ruidos de fondo, amigo este NO es tu cable.</t>
  </si>
  <si>
    <t>Buen sonido pero pésima calidad de acabados. Estaba contento porque, por el precio que tienen, el sonido es muy bueno, pero al año se me ha roto el cable y ya no se oye de un lado. Lo barato, al final, sale caro.</t>
  </si>
  <si>
    <t>No cumple su funcion Lo compre por el sistema anticolicos que ofrece este biberon y la verdad que mi niño sigue igual, el biberon no le ha hecho mejorar nada. Por lo tanto no merece la pena el engorro que supone limpiarlo.</t>
  </si>
  <si>
    <t>Una buena opcion en su rango de precio. No son unos malos cascos para el uso diario y si no eres muy exigente o vas a escuchar música desde el móvil.  Maquillan mucho el sonido exagerando bastante los bajos y en ocasiones provocando un leve ruido de niebla con según que tipo de música.  Aun así en el rango de 20 a 40€ son una opción a tener en cuenta.</t>
  </si>
  <si>
    <t>Recomendado Precio más que bueno por la calidad del disco teniendo presente la implantación de los nuevos SSD. Velocidades altas y ruido inapreciable. Materiales robustos comparado con otras marcas. Cabe destacar y agradecer como se recibe. Muy bien protegido de cualquier golpe y humedad. Dando mucha mas confianza sobre otras marcas y experiencias.</t>
  </si>
  <si>
    <t>SIN PROBLEMAS La utilizamos para cocinar para un centenar de personas y no dio ningún problema. Se calentaba un poco pero dentro de lo normal</t>
  </si>
  <si>
    <t>Justo para las fotos Es para lo que es. Nada más. Y como tal, está muy bien. Es verdad que cuesta algo al principio porque desconoces cómo va para que sea todo más fácil</t>
  </si>
  <si>
    <t>Muy buen sonido, pero... Fantástica calidad del sonido. La aplicación de Sony te deja personalizarlos a tu gusto. El único pero que les he encontrado es que no tengan resistencia al agua y sudor, está claro que no son unos auriculares para hacer deporte, pero con ese precio, que los días de lluvia de miedo ponérselos...</t>
  </si>
  <si>
    <t>Tal cual la foto Muy bonitos y muy bien entregados, con la cajita del cascabel, la bolsa e incluso una cinta de celo con los ositos para cerrar la bolsa.</t>
  </si>
  <si>
    <t>Buena Muy chula</t>
  </si>
  <si>
    <t>muy bien elaboradas 100% cuero, recomendable al 100% se pueden ajustar con mucho cuidado.</t>
  </si>
  <si>
    <t>George Esta muy bien en verdad sólo que la talla me es un poco larga pero fue por no mirar bien las medidas error mío ,el producto fenomenal</t>
  </si>
  <si>
    <t>Versatilidad Es la primera vez que pruebo este tipo de auriculares, la verdad que me han sorprendido. Aunque le faltan un poco de graves, es bastante útil sobre todo pensando en que se van cargando mientras están guardados en su caja.</t>
  </si>
  <si>
    <t>Me encanta. Calidad precio estupenda. A llegado súper pronto. Nada más abrir el paquete e visto que estaba genial las cremalleras fuertes todo de buena calidad, muy contenta.</t>
  </si>
  <si>
    <t>RECOMENDABLE Te ayuda sobre todo a la circulación. No hace daño y si es verdad que los primeros días te deja moretones. Recomendable para aquellas personas que quieran mejorar el retorno venoso, la circulación y relajar las piernas.</t>
  </si>
  <si>
    <t>Geniales auriculares Muy buenos auriculares inalambricos, tienen una autonomía fantástica, una sujeción excelente a la oreja para realizar cualquier actividad deportiva. Tiene una excelente calidad precio. No siendo tan caro como auriculares de su misma gama. Recomiendo su compra ya que se ajusta perfectamente a la descripción que ofrece el fabricante.</t>
  </si>
  <si>
    <t>me encanta es exactamente lo que buscaba, era para hacerle  un regalo a mi hija y le ha encantado y además tiene la muñeca muy pequeña y se puede regular perfectamente</t>
  </si>
  <si>
    <t>Estupenda calidad He comprado varios de estos cables, y los uso para señal mono balanceada. Fantásticos para este uso.</t>
  </si>
  <si>
    <t>Supercontento..... Son comodísimas y estupendas.Ha sido una buena compra recomendable Las recomiendo.Estamos muy ContentosEl modelo es estupendo, cómodo y ligero.Aún no lo he usado, pero el producto es tal y como es muestra en la foto.</t>
  </si>
  <si>
    <t>Auriculares Bluetooth Producto muy práctico para tu vida diaria. Estos auriculares los tengo en el trabajo porque me permiten usarlos sin ser visto ya que mi pelo me tapa muy pequeños y cómodos. Precio recomendable por la calidad</t>
  </si>
  <si>
    <t>Práctico y cómodos Son tal cual se ven en la foto, el tejido muy cómodo y me parece que el precio y la calidad que ofrecen es estupenda. Yo los quería para la playa y son muy recomendables tanto para evitar la arena caliente como para meterse con ellos en el agua.</t>
  </si>
  <si>
    <t>wonderful I liked the product. the shipping was fast. Good quality and according to the announcement. all great. I recommend  thank you very much</t>
  </si>
  <si>
    <t>Buena compra Muy finos y elegantes, y mas comodos de lo que me esperaba</t>
  </si>
  <si>
    <t>Buena Calidad. Lo he utilizado para mis vídeos de YouTube. La verdad que está muy bien utilizando ciertos programas para mejorar la grabación, queda muy profesional. Le echo a extrañar un brazo para su comodidad, ya que si usas la almohadilla o el filtro, al tenerlo algo lejos de la cara no suena muy alto ( debes alzar la voz). Por lo que es molesto tener que acercar el micrófono y ver ese armatoste de metal (la base, que es grande) plantado frente al teclado y ratón, consumiendo todo el espacio de la mesa, afectando a mi comodidad. Lo utilizo para narrar, por lo que con un brazo me quitaría de este único fallo que le encuentro.</t>
  </si>
  <si>
    <t>CORRECTO EL PRODUCTO TODO PERFECTO</t>
  </si>
  <si>
    <t>😁 😁😁</t>
  </si>
  <si>
    <t>Auriculares de alta calidad y muy prácticos Se trata de unos auriculares de buena calidad, muy prácticos para uso cotidiano y muy cómodos. En las fotos podréis apreciar los buenos acabados que presenta. Son muy ligeros y fáciles de transportar dado que se pueden plegar fácilmente. El sonido es nítido y agradable. Dispone de un suave tejido a nivel de la diadema para adaptarse bien y con delicadeza a la cabeza y al pabellón auricular. Se pueden conectar mediante bluetooth a la fuente emisora del audio, dispone de puerto USB para cargar los auriculares y poderlos utilizar de forma inalámbrica y dispone de una vida media de autonomía bastante larga. También se pueden conectar mediante cable al dispositivo emisor del audio. Se los compré a mi pareja porque necesitaba unos auriculares para poder estudiar muchas horas seguidas y ver clases en casa y esta muy contenta con lo cómodos que son. Recomiendo el producto sin duda.</t>
  </si>
  <si>
    <t>Sospechosa calidad Al minuto de estar cargando se estropeó la luz led. No sé si devolverla o quedarmela, porque luego funcionó muy bien y la luz no creo que sea importante. El tacto es muy agradable.</t>
  </si>
  <si>
    <t>Mejorable Funciona perfectamente. Para coger la targeta es correcto, però para volverla a guardar es mas costoso; y en la entrada se esta a riendo el plastico con apenas 1 més de uso</t>
  </si>
  <si>
    <t>Muy bonita Se corresponde con la foto. Queda muy bonita</t>
  </si>
  <si>
    <t>no son 2.5mm los compre de 2.5mm y los que me llegaron no son de ese calibre,en el envoltorio si ponia que eran de 2.5mm pero comparandolo con cables que tengo de ese grosor son bastante mas finos no recomiendo su compra</t>
  </si>
  <si>
    <t>DEFECTUOSO EL VASO DE CRISTAL, SE RAJA AL LAVARLO Al lavar es vaso de cristal con agua templada se ha rajado, comprado en julio pasado, he llamado al Servicio técnico de Amazon y no contestan, ESTA EN GARANTIA. Lo uso muy poco, es la segunda unidad que me pasa. Adjunto fotos de las dos unidades, la primera unidad comprada en comercio exterior, como puede reclamar garantia por no encontrar tiquet compra. Ambos se usan pocas veces y  periodicamente</t>
  </si>
  <si>
    <t>Buenos auriculares Muy cómodos, cable muy largo. Se puede usar con los jack de 3'5mm de micro y auricular con sonido estéreo o con el USB donde conseguiremos sonido envolvente. No funciona el USB con la Nintendo Switch ni con Xbox 360. No puedo hablar de otras consolas.</t>
  </si>
  <si>
    <t>Muy bonito Aún no he podido comprobar la calidad del producto porque sólo me lo he puesto una vez, pero me parece precioso. He puesto 4 estrellas porque se soltó la cadena, pero la pude arreglar de nuevo.</t>
  </si>
  <si>
    <t>Buena compra Está muy bien para una estudiante de bachillerato, es un bolso de lona con una tela resistente y poco manchadizo por su color café. Tiene varios bolsillos para poner de todo y una separación con una tela acolchada para proteger un portátil.</t>
  </si>
  <si>
    <t>Excelente reloj para todo trote. Es un reloj que funciona muy bien, cumple las expectativas de un reloj que no tiene que envidiar a los mas caros con las mismas prestaciones. Quizás el único inconveniente, es que al tener un iPhone , por las mañanas, después de tenerlo en carga, tengo que abrir de nuevo la aplicación para que se produzca el enlace. Pero en lo demás muy buen, no pesa casi, y es de muy buen precio.</t>
  </si>
  <si>
    <t>Buena camiseta Buena camiseta aunque la compré grande, para 183cm 85kg talla M viene perfecta</t>
  </si>
  <si>
    <t>Buena relación calidad-precio. Gran pen drive, bastante rápido, tacto de calidad y a muy buen precio</t>
  </si>
  <si>
    <t>Gran compra Precioso diseño, grandes dimensiones y robusto. Pita super alto cuando el agua está caliente.</t>
  </si>
  <si>
    <t>Perfect buy Lovely product that got here on time and it was in great conditions. I would definitely buy here again, and it was a great offer.</t>
  </si>
  <si>
    <t>Correcto Se realiza test de velocidad solo abrir el envoltorio. Por el precio que tiene, es correcto (96 MB/s en lectura cuando aseguran 95 MB/s).</t>
  </si>
  <si>
    <t>Salomon es eapectacular Comodísimas. Estoy encantado. Preciosas</t>
  </si>
  <si>
    <t>Muy contenta Buena calidad</t>
  </si>
  <si>
    <t>Excelentes auriculares deportivos Unos auriculares geniales, se escucha con una calidad de audio mucho más alta de mis espectativas. Tienen un acabado muy profesional, además de una envoltura de plástico que los hacen impermeables. Además tiene los botones en los oídos que aunque podrían estar en otro sitió que facilite su pulsado, tienes opción de pasar atras o adelante las canciones , play y mute y subir y bajar el volumen. Se acoplan muy bien y lo cual hace que mientras haces deporte no se muevan nada. 👌🏻 Además tiene imantada la estación de carga y es muy cómodo y práctico 🙌🏻</t>
  </si>
  <si>
    <t>Bien Nada del otro mundo, un cable que sustituye a otro que ya pedía la jubilación, al igual que yo, pero al contrario que el cable, deberé de esperar un tiempo más.</t>
  </si>
  <si>
    <t>Limpieza rápida y segura No raya, se desliza fácilmente sobre el disco de vinilo, y además, con el cepillo auxiliar para la aguja es el complemento perfecto para mantener limpios tus vinilos. Ocupa muy poco espacio y es muy funcional. Muy satisfecho con la compra.</t>
  </si>
  <si>
    <t>Calidad/precio GENIAL Me ha gustado mucho, rapidez del servicio, calidad/precio no se puede pedir mas, se limpia genial y queda muy molon! Seguramente compraré alguno mas.</t>
  </si>
  <si>
    <t>PENDIENTES AROS NOS HA GUSTADO ESTAN EN PERFECTO ESTADO</t>
  </si>
  <si>
    <t>Perfecto Todo perfecto, funciona perfectamente, cumple todas las expectativas, envío rápido.</t>
  </si>
  <si>
    <t>Muy fluido Lo tengo puesto en un ordenador para multimedia, sólo lleva carga del sistema operativo, por eso me decidí por el de 60gb, ya que tengo un NAS con las pelis y demás, el disco es SSD por lo que no es mecánico y va muy fluido</t>
  </si>
  <si>
    <t>Recomendable Fenomenal</t>
  </si>
  <si>
    <t>RFID - ANTI FRAUDE Tiempo de entrega es muy bueno. El producto es lo que dice ser. La funda es flexible y parece resistente. Tiene los bordes anchos, imagino para que no se rompa con facilidad. En las billeteras estrechas probablemente quepa muy justo</t>
  </si>
  <si>
    <t>Calidad/Precio El día que lo compré (4 de sept. 2017), era sin duda el mejor SSD en cuanto a calidad/precio. No sólo por la velocidad de lectura y escritura, si no también por la capacidad. Funciona a la perfección y da un gran impulso de velocidad a cualquier ordenador que se le instale.  Pros: Velocidad, instalación fácil y capacidad  Contras: Ninguna  Recomendado a cualquier persona que quiera darle un cambio de velocidad a su ordenador o portátil</t>
  </si>
  <si>
    <t>Buen acabado y muy comodo. Por ahora muy bien, cumple con lo especificado en la venta del articulo. Bien acabado, funciona correctamente y correas muy cómoda. No se le puede pedir por 15€.</t>
  </si>
  <si>
    <t>Merece la pena comprarlo, incluso 2 unidades!! Simplemente es genial! El mecanismo es super básico, pero realmente muy útil. Cumple con su función! Lo compramos para limpiar los radiadores por dentro en húmedo y es una gozada!! Han quedado impecables, en unos minutos! Lo único que si el radiador tiene los segmentos con las ranuras más estrechitas cuesta algo más. UNA GOZADA!! normalmente los aspiramos y en esta época solemos limpiarlo con los tipicos rodillos de pelos de plastico del  chino... y acaban para tirar.... NADA QUE VER!!! está impecable. a la lavadora y hasta la próxima. 3 años de garantía además!</t>
  </si>
  <si>
    <t>BONITA Y COMODA Es más bonita en la mano que lo que se ve en las fotos y en las fotos ya se ve bonita, para mí tiene el tamaño perfecto para llevar las cosas más necesarias en el mínimo espacio y de forma muy cómoda ya que se adapta perfectamente al cuerpo. El tejido es de muy buena calidad, la verdad es que es muy elegante, y tiene muchos detalles y compartimentos que la hacen perfecta. Me gusta mucho</t>
  </si>
  <si>
    <t>Ceden mucho Ceden un montón . Te compras tu talla y al final le valen a tu novio.</t>
  </si>
  <si>
    <t>Fundas termofusibles Gran variedad de colores y tamaños cumplen su cometido , nada que objetar</t>
  </si>
  <si>
    <t>Pasable Aceptable, pero no sirve para picar el hielo, que es para lo que la queria... asi que poco mas que decir...</t>
  </si>
  <si>
    <t>no recoge bien el polvo cómodo de utilizar, no es nada eficaz</t>
  </si>
  <si>
    <t>Mala calidad Mala calidad. Venía defectuoso, el regulador de temperatura no funcionaba.</t>
  </si>
  <si>
    <t>Descontento, viene en una bolsita, sin su caja original Compré este producto tras la devolución de otro Casio que era claramente de imitación, sin instrucciones y con el cristal rayado... Busqué otra opción de compra en la que estuviese seguro que venía con su caja e instrucciones de Casio originales y vi por las fotos de los usuarios que este lo traía. Para mi sorpresa, de nuevo, he recibido el artículo de la misma forma (con instrucciones, cristal protegido y parece original, eso si). Descontento por recibir de nuevo asi el porque es para un regalo, y entregar a una niña de 12 años un producto me parece muy triste...</t>
  </si>
  <si>
    <t>Muy útil Justo lo que buscaba , coloso amplio abriga pero no agobia para cuando el tiempo es fresquito en verano . La gran pega.. los ojales grandes o botones peqeños</t>
  </si>
  <si>
    <t>Fiabilidad Buena tarjeta de memoria, la marca es garantía de seguridad y fiabilidad. Buena velocidad de escritura, muy buena de lectura. Perfecta para video Full HD. Precio insuperable, compra recomendada 100%</t>
  </si>
  <si>
    <t>Normal Bien, me gustan mas los celos que salen con mas soltura, no se como explicarlo. Los de apli, son mas gorditos y cuando tiras de el no sale como q trompicones sino que sale fruido. Estos para ser d scotch son finitos</t>
  </si>
  <si>
    <t>Guapos, cómodos y buena calidad. Son muy guapos, comodos y de buena calidad, lo esperado de una marca como Vans. Los pille a buen precio reacondicionados porque nuevos me parecen muy caros para un modelo simple como este.</t>
  </si>
  <si>
    <t>La mejor pomada dentro de las de su categoria. Envío y recepción de producto dentro de los tiempos establecidos. Practico deporte de desgaste de articulaciones (rodillas etc.) y de todas las marcas y modalidades de pomada que he probado esta es la mejor. Se nota el efecto calor. Ideal para aplicar media hora antes del deporte.</t>
  </si>
  <si>
    <t>New balance Simplemente perfectas</t>
  </si>
  <si>
    <t>Perfecto Buen diseño, calidad. Es muy cómodo, la talla perfecta (yo tengo una 42) y la talla L es clavada.  Ya lo he lavado y seca ultrasonido. Totalmente recomendable por su precio y su calidad. Repetire</t>
  </si>
  <si>
    <t>Excelente calidad/precio Este producto es realmente bueno a un precio genial, he utilizado antes diversas marcas y este ha gustado tanto o incluso más que sus competidores</t>
  </si>
  <si>
    <t>masaje intensivo el producto tiene una gran ventaja es que pesa muy poco ,para cualquier talla de pie puede queda homologado y su 5 modelo de masaje son muy muy comodo , cuando esten  masaje puede aumentar mas tiempo si os gusta y diferente modo de potencia.</t>
  </si>
  <si>
    <t>Muy bien Tal y como esperaba</t>
  </si>
  <si>
    <t>Calidad 10 Me encantan, son tal cual se ven en las imágenes y me llegó antes de tiempo. Volvería a comprar de nuevo!! 😊</t>
  </si>
  <si>
    <t>Nueva vida para viejos equipos! Tenía por aquí un viejo equipo que ya le costaba arrancar y hacer cualquier cosa,  pero dado que sólo lo queremos para tareas básicas (navegar por internet, ver alguna peli, oir música y algunas tareas de ofimatica)... no queríamos invertir demasiado en ampliarlo o en cambiarlo por uno más potente.  Así que opté por ponerle un disco SSD.. y vaya cambio!  Por unos 23€ y tenemos un equipo que no tiene nada que ver con el de antes.  Arranca en cuestion de pocos segundos... 20-30!  y ahora todo es mucho más fluido...  Si queréis revivir algún viejo equipo (sobremesa o portátil)  estos discos son una excelente opción y los de este fabricante tienen una relación calidad/precio FANTASTICA!  No lo dudéis!  a por uno de ellos.  Saludos!</t>
  </si>
  <si>
    <t>Espectaculares. Que más decir de un producto de calidad a un precio que da risa. Envío en tiempo. Todo perfecto, en una zapatilla clásica.</t>
  </si>
  <si>
    <t>Firmes Para mí grata sorpresa son buenas robustas y la suela es firme</t>
  </si>
  <si>
    <t>Resistentes y cómodos He usado unos como estos durante unos 6 años de forma constante para correr y hasta hace un mes no dejó de funcionar uno de los dos. He comprado otros iguales sin dudarlo, 6 años de estos auriculares a este precio me parece muy buena inversión. Son cómodos y se oyen bien.</t>
  </si>
  <si>
    <t>Talla correcta Muy bien</t>
  </si>
  <si>
    <t>Muy cómodos La calidad va en linea con el resto de productos de la marca. Son muy cómodos una vez puestos. Lo único más incómodo es a la hora de ponértelos y quitártelos, ya que los cordones tienen mucho recorrido.</t>
  </si>
  <si>
    <t>Un acierto El producto es perfecto,tal cual lo indican, en el plazo de entrega y sin ningún problema ni fallo. Recomendable 100%</t>
  </si>
  <si>
    <t>Bastante buen producto Me ha gustado</t>
  </si>
  <si>
    <t>muy buena es muy buena para hacer ali oli mayonesa salsas triturar a mi me va muy bien. i es muy facil de usar</t>
  </si>
  <si>
    <t>Buena mopa Funciona bien teniendo en cuenta lo que es: una mopa. Recoge pelusas y polvo. No detecta escaleras, se cae por ellas. Cada gamuza se puede usar dos veces limpiandola.</t>
  </si>
  <si>
    <t>El envio Perfecto</t>
  </si>
  <si>
    <t>No recomendable Son de papel. Nada resistente</t>
  </si>
  <si>
    <t>Reloj bonito pero no es perfecto Es un reloj muy bonito, las únicas pegas es que viene con la pantalla encendida, por lo tanto la batería no durará 10 años, el reloj se raya muy fácilmente, tanto la esfera como la pulsera y por último es made in China, nada que ver con la calidad de los made in Japón. Es un reloj que dado su precio está muy bien. Ojalá tuviera un revestimiento especial la esfera.</t>
  </si>
  <si>
    <t>Normalilla No es muy eficaz pero bien para bricolaje</t>
  </si>
  <si>
    <t>No comprar No aconsejo estos auriculares porque al mes de usarlos no me funciona un auricular y por ningún lado te contestan ara la garantía 😠😠😠</t>
  </si>
  <si>
    <t>Zapatillas adidas Buena calidad y me quedan clavadas, recomendable. Despues de muchos usos siguen estando en muy buena calidad, en resumen, la recomiendo</t>
  </si>
  <si>
    <t>Perfecto Comprado el viernes y recogido hoy lunes a primera hora de la mañana, así da gusto Las cremalleras funcionan perfectamente, veía en otros comentarios que daban problemas Perfecta para llevar en la moto no abulta pero entra no necesario</t>
  </si>
  <si>
    <t>Bien . Perfecto . Pulsera un poco estrecha para mi gusto . Por la fotografía , parecía más ancha . Tamaño discreto para ser reloj  digital. Resistente . Original . Como los buenos casio : Buenos , bonitos (  unos cuantos al menos ) , baratos . Muy atento el vendedor que respondió a las dudas . Gracias .</t>
  </si>
  <si>
    <t>Recomendado Perfecto</t>
  </si>
  <si>
    <t>No se corresponde con las tallas. Pedí un 39, que es mi talla, pero las tallas de Converse son engañosas, ya que una 39 de Converse equivale a una 41 Europea, por mucho que en la solapa de la zapatilla ponga 39 Euro.</t>
  </si>
  <si>
    <t>efectivo para el pelo mezclo 6 gotas con gel de aloe vera y lo dejo en el cuero cabelludo actuar toda la noche. Por supuesto no hace milagros pero me ha revertido los micropelos que tenía a pelos normales en pocos meses. El secreto está en que fomenta mucho la circulación.</t>
  </si>
  <si>
    <t>Buena solución para compaginar pecho y biberón Ya había usado este biberón con mi hijo mayor, y fue una gran solución para dejarlo en alguna toma ya que hacíamos lactancia materna exclusiva. Con mi segundo hijo no funcionó, ya que me sacaba leche con el sacaleches y me era más fácil otro tipo de tetina. Así que si lo compras para compaginar con el pecho es perfecto. Buen embalaje, y el biberón fácil de limpiar y montar y desmontar una vez le pillas el truco</t>
  </si>
  <si>
    <t>Buen producto Un reloj muy bonito,  fue un regalo y al niño le encantó, tamaño perfecto para un niño que en este caso fue de 9 años.</t>
  </si>
  <si>
    <t>Perfectas!! Buena calidad, tamaño idóneo y llegada en buenas condiciones. Lo único que le puse una nueva cuerda porque es poca y demasiado gruesa. Pero las etiquetas son perfectas!!</t>
  </si>
  <si>
    <t>Forma muy cómoda Tiene un tamaño muy bueno y es muy cómodo. Cabe perfectamente la calculadora en la parte inferior y el resto de boligrafos....</t>
  </si>
  <si>
    <t>Buena batidora Es capaz de picar hielos gordos rapidamente, hacer cremas jugosas y dejar cualquier batido sin grumos. Se limpia muy fácilmente y el mecanismo de seguridad por si no la has encajado bien es magnifico</t>
  </si>
  <si>
    <t>Muy bien Muy bien, de número algo grande, ya se sabe que en esta marca por lo menos un número menos y en este tipo mejor 2. Hace mucho que las tengo, aguantan bien la lavadora. No perdido nada de color.</t>
  </si>
  <si>
    <t>Bonito y elegante Lo compre para regalo y está encantado. Funciona bien. La correa es marrón, no granate como se ve en la imagen. Y la esfera es de color azul marino, no azul eléctrico como en la imagen. Realmente es mas bonito en la mano que en la imagen. Lo recomiendo cien por cien.</t>
  </si>
  <si>
    <t>Un producto 10 El producto es genial cumple todas mis expectativas era lo que quería y funciona genial al principio parece incómodo pero conforme lo vas usando se ve que funciona viene muy bien para regalo. Lo recomiendo :)</t>
  </si>
  <si>
    <t>Perfectas Muy bonitas</t>
  </si>
  <si>
    <t>Se ve fantastica! Temia que al ser barata fuera pequeña o de mala calidad. Pero esta muy bien. Cabe una agua de1,5litros una libreta... y se ve bastante reforzada y casual pero muy elegante. Recomiendo su compra.</t>
  </si>
  <si>
    <t>Fantástica relación calidad-precio He flipado, por escasos 2€ una alfombrilla con base de plástico para evitar el deslizamiento. Cómoda y funcional, con la medida justa para el ratón y algo más. Recomendable 100%</t>
  </si>
  <si>
    <t>Cómodos y buen sonido He estado usando los auriculares varios días y sobretodo los uso para conectarlos al móvil, aunque también los uso con el MP4 para ir a correr. Son bastante cómodos y no se salen de las orejas al hacer ejercicio. Además la música se escucha con bastante calidad y sonido elevado.</t>
  </si>
  <si>
    <t>Perfectas Perfectas</t>
  </si>
  <si>
    <t>El producto, calidad y el tiempo de entrega. Perfecto.</t>
  </si>
  <si>
    <t>Rapidez Perfectas. Originales con todos los logos. Rapidos</t>
  </si>
  <si>
    <t>Las mejores Converse del mercado Un modelo perfecto tanto estético como cómodo, si eres un fan de las zapatillas Converse, este modelo es quizás, el más discreto ya que no se puede leer la marca en ningún sitio, te tienes que fijar mucho para poder hacerlo, y quizás es por ese detalle que tienen tanto encanto. Eso sin hablar del color negro tan genial que han creado. Compra MUY MUY RECOMENDADA</t>
  </si>
  <si>
    <t>Ideal Me encanta</t>
  </si>
  <si>
    <t>Bota Lo devolvi. No le gustó.</t>
  </si>
  <si>
    <t>Grabadora espía Solo me graba 6 notas de voz , cada una de 2 horas, no se activa con la voz, graba seguido haya que la pares</t>
  </si>
  <si>
    <t>Seriedad Cumple si función, aunque para mi gusto es demasiado endeble. Envío nada puntual llegó súper tarde.</t>
  </si>
  <si>
    <t>Falso! Parece falsa. Lo he probado y nunca me ha funcionado. Es seguramente algo no original, no lo recomendo y digo que estes productos no deberían estar aquí.</t>
  </si>
  <si>
    <t>Producto que no cumple las expectativas Producto algo diferente a la foto La capucha es muy floja y todo el material es muy fino</t>
  </si>
  <si>
    <t>Es más un Pen Drive que un Disco Duro Es más un Pen Drive que un Disco Duro SSD.  Debido a mi profesion tengo otros discos duros SSD y puedo decir que este, a pesar de la marca, que en principio se supone buena, es de una calidad malísima.  Cuando lo tienes en la mano parece que sea mas bien un juguete, o algo comprado en esas tiendas de “Todo a  1€”.  El exterior es de un material malo, y por dentro también deja mucho que desear. Ya se sabe que el mayor enemigo de estos, y otros,  dispositivos informáticos, es el calor; pues bien, este en concreto se calienta nada más ver al ordenador. Si tenéis que pasar archivos grandes o copias de seguridad que lleven un tiempo, tened cuidado, porque se calienta enseguida, y mucho, y en consecuencia se deteriora y acorta su vida útil. En realidad es mas bien una memoria USB, un Pen Drive, de mayor capacidad y conectado por cable, eso sí, pero de Disco Duro nada.  Conclusión: no lo recomiendo, a no ser que lo queráis para utilizarlo como Pen Drive y para usos esporádicos; pero para eso, esta misma  marca tiene otros dispositivos Pen Drive mucho mas económicos y de buena calidad, aunque con menos capacidad, eso sí.  Ahora bien, como disco duro, los hay mucho mejores, que apenas se calientan, con un rendimiento mejor y que tambien podéis encontrar en Amazon  Viene con formato de archivos ExFat, lo que le hace compatible con Mac y PC, pero también reduce la capacidad de almacenamiento: El SanDisk de 1 Tb, en un Mac, unos 100 Gigas menos respecto de si lo formateamos al sistema de archivos propio de Apple.  También trae una aplicación (Para windows) por si queremos encriptar archivos dentro y mantenerlos seguros. Para Mac hay que descargarla en su web. Es bastante antigua y pobre en el funcionamiento, con una interfaz que recuerda a los primeros ordenadores de los años 90 o así, aunque cumple su función de mantener los archivos relativamente seguros. Nos da la opción (de pago) de aumentar el nivel de encriptacion y seguridad.  Por su parte, y como siempre, Amazon un 10 en el envio, la entrega y los plazos.</t>
  </si>
  <si>
    <t>Adecuados Adecuados. Me parecían más pequeños en la foto pero aún así quedan bastante bien</t>
  </si>
  <si>
    <t>Mila Recomiendo 2 tallas más gasto un 38 pedí un 39 y me estaban pequeñas el servicio post venta bien.... Aceptable</t>
  </si>
  <si>
    <t>estupendo articulo estoy contenta con este producto me va muy bien</t>
  </si>
  <si>
    <t>opinion no me ha gustado lo rápido que se ensucia el filtro., pero todo lo demás cumple sus expectativas. Muy versátil  y ligero. recomendable para todo tipo de limpiezas.</t>
  </si>
  <si>
    <t>Polivalentes y equilibradas. Cómodas pero no desde el primer día. Necesitan rodaje. Elegí un número mas y con calcetines técnicos grueso medio me quedan algo holgadas. Con gruesos aún no he probado pero imagino que quedarán bien pero es que ya con los medios saco el pié mojadito por condensación en temperaturas de 5-10°C que viene a ser su temperatura de uso estandard, y no suelo transpirar por los pies. Para ese uso medio número sería es suficiente en mi caso. En asfalto duras. En senda van mucho mejor. Espero no tener problemas con desprendimientos de suela o filtraciones de agua. De momento bien pero sin prueba exhaustiva.</t>
  </si>
  <si>
    <t>Seriedad Super buena calidad , y buen precio.</t>
  </si>
  <si>
    <t>Muy bonitos Muy chulos, los pendientes son realmente bonitos, discretos con tamaño perfecto y vienen perfectos con si caja prastificada. Muy contenta con los pendientes de perla.</t>
  </si>
  <si>
    <t>Una zapatilla increíbles Es una deportiva increíble queda perfecta , y la verdad q los remates de la zapatilla y los terminados están muy bien acabados como las de anteaño , la talla perfecta yo uso un 38 y pedí un 38 y me queda de lujo. Menos mal q no hice caso a los comentarios de pedir medio número o un número  más xq me hubiera quedado grande . Compra 100% recomendable.  Gracias</t>
  </si>
  <si>
    <t>Perfectos Son preciosos, la almohadilla muy blandita y funcionan perfectamente. A mi hijo de 2 años le queda algo grande en la versión más cerrada pero era algo que ya esperaba</t>
  </si>
  <si>
    <t>Buena calidad-precio muy recomendables Son una maravilla, he comprado varios aceites esenciales y tienen olor muy débil o apenas huelen en el humidificador pero estos tienen  un aroma intenso sin ser desagradable ni muy fuerte y dejan un agradable y duradero olor. Vienen seis botecitos y todos huelen genial</t>
  </si>
  <si>
    <t>Calidad y precio El producto tiene buena paciencia aún no he podido usarlo veremos a ver con el uso el resultado y la calidad</t>
  </si>
  <si>
    <t>Todo ok Cable bueno y cumple con la descripción del anuncio materiales de calidad por un precio mínimo vendedor 100x100 recomendable el primer envío se perdió en el camino pero el vendedor solucionó el problema rápidamente enviando otro</t>
  </si>
  <si>
    <t>Cada vez más en desuso pero buena marca y producto Es una de las marcas más conocidas en el mercado y no decepciona, el problema es que los móviles no te permiten pasar todas las apps a la microSD</t>
  </si>
  <si>
    <t>Masajeador cuello, hombro, espalda. Producto muy bueno, lo recomiendo, lo usa toda la familia, lo puedes acoplar a cualquier silla a la altura que desees.</t>
  </si>
  <si>
    <t>Muy bonito Muy bonito, igual que la descripción, un tamaño ideal y queda muy fino. Llega muy bien presentado, en una caja de joyería y con gamuza. Tanto para ti como para regalar es perfecto!</t>
  </si>
  <si>
    <t>todo está bien</t>
  </si>
  <si>
    <t>Llegó muy rápido, y sin problemas de conexión bluetooth ni duración de batería Llegó muy rápido, y sin problemas de conexión bluetooth ni por ahora queja sobre la duración de batería. A ver si tiene una buena vida útil. Lo digo poque tuve otra marca antes que me funcionó muy bien hasta que se rompió uno de los cables de audio por una debilidad, en mi opinión, estructural de los aurculares que al final fue efectivamente su final.</t>
  </si>
  <si>
    <t>Calidad Buena compra. Suficientemente grande para lo que necesitaba sin ser aparatosa. Muy buena calidad</t>
  </si>
  <si>
    <t>ya hace 2 años ya hace 2 años y van perfecta aun, pensando que se las pones dos niñas y estan encantadas, muchas gracias , ,</t>
  </si>
  <si>
    <t>Espectacular Tengo varias botellas de cristal dónde pongo gazpacho...leches vegetales y otras bebidas. Con limpiaplatos y lejía es con lo que solía limpiarlas y no quedaban bien. Ahora pongo una gota de friegaplatos...un pelín de agua y las bolitas...remuevo unos segundos y el cristal queda brillante e impoluto.</t>
  </si>
  <si>
    <t>Muy cómodo Es fino de entretiempo lo compré para mi hija y le encanta muy cómodo y buen genero</t>
  </si>
  <si>
    <t>fantastico hola he comprado esos maravillosos skechers y me vienen de maravilla comodos y facil de usar lo recomando,la talla es exactamente lo que pone....saludos</t>
  </si>
  <si>
    <t>Impecable. Llego dos días antes. Perfecto. Ya no me la puedo quitar. Es bastante espaciosa aunque parezca que no. La verdad que calidad precio imposible pedir más.</t>
  </si>
  <si>
    <t>Tallaje grande, buen producto El tallaje es algo grande, he tenido que cambiarlas y pedir un número menos. Son muy cómodas, ya son mis favoritas.</t>
  </si>
  <si>
    <t>Pantalón de chándal normal. Un pantalón de chándal normal y corriente, grosor medio, no abriga mucho, para primavera perfecto. El color es idéntico a la foto, pero da mucha talla, pedí una S y me queda muy grande. Uso una 36/38 de pantalón normalmente.</t>
  </si>
  <si>
    <t>No son practicos Me encuentro con problemas de ruidos mecanicos. El boton es demasiadl aparente y se pulsa demasiado facilmente. Por ejemplo cuando pones la cabeza en la almohada.</t>
  </si>
  <si>
    <t>Se me han arrugado las plantillas en una semana de uso Muy cómodas,pero en una semana de uso se están arrugando las plantillas en la parte del talón,lo que no sé si seguirán arrugándose o se queda así,el uso que le doy es un uso totalmente normal o más bien poco... Esperemos que nó sigan deteriorándose...</t>
  </si>
  <si>
    <t>Laura Las zapatillas estan bien, tallan correcto pero los cordones se rompieron una semana despues de estrenar los, tube que comprar otros.</t>
  </si>
  <si>
    <t>si mueves el jack deja de funcionar el microfono en el adaptador el producto funciona correctamente siempre y cuando encuentres la posición del jack macho que metes, si no, no detecta el micrófono, normalmente compro ugreen por la calidad pero esta parece ser una mala unidad, devolución y a la espera de una nueva unidad</t>
  </si>
  <si>
    <t>No estoy contento con la compra Soy comprador habitual de Adidas, tengo cerca de 10 pares de zapatillas de la marca y éstas han sido las únicas que me hacen daño en los talones. Tengo el mismo modelo en otro color y la misma talla y nunca me ha hecho daño. Pero llevo con estas 3 semanas y siguen haciendo el mismo daño que el primer día...........a mi me da qué pensar si realmente son verdaderas o el producto tiene un fallo.  Además, ya se ha despegado un poco la goma del talón cuando se une a la piel de la parte posterior, vuelve a darme qué pensar.</t>
  </si>
  <si>
    <t>Los antiguos funcionan mejor Use esta marca en mi anterior hijo y como sistema anticolico es genial. Pero el sistema nuevo de la válvula va mal. Se sale muchas veces la leche por la boquilla de la rosca. Los viejos funcionaban mejor</t>
  </si>
  <si>
    <t>Bueno,bonito y barato Lo compré para guardarlas documentos de una asociación y eso es lo que hace.No es un Ferrari de rápido,pero tampoco es muy lento.</t>
  </si>
  <si>
    <t>Práctica solución para mi cocina Escogí este producto por lo que me pareció un equilibrio entre calidad y precio y creo que no me equivoqué: - Se cuelga con facilidad en la pared (en mi caso con cuelgafácil) - Los rollos se instalan sin complicación. - El corte del papel film es perfecto pero en mi caso el del papel de aluminio tengo que presionar un poco o no corta y por ese motivo no le doy las 5 estrellas (no es gran molestia). - El diseño es discreto y queda bien en la cocina</t>
  </si>
  <si>
    <t>Buena compra Rápida entrega. El reloj es bonito, la correa tiene dos tonos, brillante y mate. El único pero es que al recibir el reloj,este ya venía funcionando. Por lo demás buena compra</t>
  </si>
  <si>
    <t>Buena opción Buena opción si coges la bici ocasionalmente y quieres disfrutar de las ventajas de los pedales automáticos</t>
  </si>
  <si>
    <t>Compra perfecta El primer G-Shock que compro y NO será el último.  PROS: - Es grande, robusto y no pesa. Se adapta perfectamente a mi muñeca. - Funciones: justo lo que necesitaba. Alarmas (4 normales y 1 despertador) con sonido y luz o con vibración, aviso de hora en punto, cuenta atrás (lo mejor de esto es que puedes iniciarla con la pantalla de la hora sin tener que ir al menú) y cronómetro. También hora mundial. - La pantalla en negativo lo hace original. - Los segunderos de arriba y el indicador de funciones en plan radar la le dan un toque.  CONTRAS: - La única "pega" que le pongo es que me da la sensación que la alarma es un poco baja.</t>
  </si>
  <si>
    <t>Genial Justo lo que estaba buscado</t>
  </si>
  <si>
    <t>Increíble Llegó pronto, está construido en metal, con una calidad impensable para ser un producto de un precio tan asombrosamente reducido. Bastante sorprendido con la calidad del producto y del sonido que puede grabar. ¡Muy recomendable!</t>
  </si>
  <si>
    <t>Funciona bien Muy bien la calidad Podría mejorar el controlador de volumen. Tiene muy poco recorrido</t>
  </si>
  <si>
    <t>Buena compra, un regalo perfecto Es un regalo que le he comprado a mi sobrina y no se lo quita nunca,, tiene 13 años está encantado con él ajustar brillo y tiene unos colores muy bonitos, la cadena no es de plata pero ni pierde el brillo ni coge manchas ni se oscurecen ni nada por el estilo</t>
  </si>
  <si>
    <t>Tal como aparece Tal como aparece en la descripción. Funciona correctamente. Parece fuerte.</t>
  </si>
  <si>
    <t>Súper eco Buenos para toda la limpieza</t>
  </si>
  <si>
    <t>Rápido y como esperaba Pedí las zapatillas que utilizo a menudo pero media talla más. Me quedaron grandes y las cambié. Al día siguiente tenía las nuevas en casa.  Las zapatillas son las Vans clásicas de toda la vida, cómodas una vez las has trabajado. Para verano, perfectas.</t>
  </si>
  <si>
    <t>Se me queda enganchado en la marcadora Una de las cintas se me quedo y encganchada y tuve que acabar tirando de ella con muhca fuerza. Esto no me ha pasado con las originales. Por lo demas son cintas que cumplen su funcion y que merecen la pena. Además de la comunicación con él proveedor ha sido buena e incluso me querían devolver el importe del pedido o mandarme otra vez las cintas</t>
  </si>
  <si>
    <t>Esta muy bien de precio La verdad es que me llegó un elefante en vez de el gato, pero es igual de bonito.</t>
  </si>
  <si>
    <t>Parecen manos &lt;div id="video-block-R1WUQVMA1HOQOX"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id="47" preload="auto" src="https://images-eu.ssl-images-amazon.com/images/I/91uK+SdTrKS.mp4" style="position: absolute; left: 0px; top: 0px; overflow: hidden; height: 1px; width: 1px;"&gt;&lt;/video&gt;&lt;/div&gt;&lt;div id="airy-slate-preload" style="background-color: rgb(0, 0, 0); background-image: url(&amp;quot;https://images-eu.ssl-images-amazon.com/images/I/91fNxMTGbUS.png&amp;quot;);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value="https://images-eu.ssl-images-amazon.com/images/I/91uK+SdTrKS.mp4" class="video-url"&gt;&lt;input type="hidden" name="" value="https://images-eu.ssl-images-amazon.com/images/I/91fNxMTGbUS.png" class="video-slate-img-url"&gt;&amp;nbsp;Hola, este cojín masajeador ha sido una buena compra, tan buena que siempre está ocupado, o lo tiene mi mujer o lo tienen los niños, la verdad es que está muy bien, parecen unas manos las que te hacen el masaje, si pulsas dos veces se activa la función calor, lo recomiendo</t>
  </si>
  <si>
    <t>Un gran micrófono. Sin duda un gran micrófono a muy buen precio (también he de decir que yo lo compré durante el Black Friday a 99.99€). Tenía pensado comprar el snowball (el que se puede poner en omnidireccional ya que es un patrón que necesito) cuando me encontré este por un poco más por lo que decidí compralo y no me arrepiento. Pero he de decir que a su precio normal (entre 150€ y 160€) si no necesitas los diferentes modos de grabación y te sirve solo con cardioide, el snowball es una opción mucho más barata a tener en cuenta, eso si con una calidad de audio un poco inferior (muy poco inferior).</t>
  </si>
  <si>
    <t>Excelentes Buenisimos</t>
  </si>
  <si>
    <t>Buen sonido. Tienen un diseño bonito, son pequeños, comodísimos y se ajustan genial a los oídos. El sonido es de muy buena calidad y nitidez. La batería es de gran duración, indicando lo que queda de batería en el estuche de carga, a través de una pantalla. El conector para cargar el estuche, es de tipo C, cable incluido. Se emparejan fácil y rápidamente con el dispositivo. Responden al tacto, con un suave toque, permitiendo controlar la música y las llamadas. En el manual biene incluido el español.</t>
  </si>
  <si>
    <t>Ideal Estupendo producto para el invierno, fácil de usar, calentar agua y añadir dentro. Muy suave, diseño precioso. Yo la pongo dentro de la cama 1h antes de dormir y me va genial.</t>
  </si>
  <si>
    <t>Bons per a lactancia mixta Fem lactancia mixta i ens funcionen a la perfecció</t>
  </si>
  <si>
    <t>Medidas perfectas espacios reducidos Perfecto para espacios estrechos</t>
  </si>
  <si>
    <t>Baja calidad Se rompieron por la punta a los pocos meses. Puma está bajando la calidad de sus productos.</t>
  </si>
  <si>
    <t>pequeños de talla compré una 43  y mi hijo utiliza una 41, y le quedan muy justos, por lo que recomiendo compra dos tallas mas grandes de la normal. están bien, son de calidad y mullidos, pero tampoco son nada especial, los he lavado y ya han salido algunas bolitas pequeñas, pero conservan el tipo.....</t>
  </si>
  <si>
    <t>No es lo que esperaba Lo he devuelto porque viene sin pila y sin la garantía sellada.</t>
  </si>
  <si>
    <t>Ni fu ni fa La tela deja mucho que desear.</t>
  </si>
  <si>
    <t>Miguel Ángel No sirven porque no encajan bien en el oído. No sé caerán de la oreja, pero al no encajar bien en el oído, deja pasar demasiado ruido exterior, por lo que hay que subir demasiado el volumen para escucharlos (probados en el gimnasio). Además son incómodos sobre el oído porque no tienen almohadillas. Quería probar estos porque tengo unos auriculares in-ear baratos que se me sueltan al correr. Solución: compraré otros in-ear de mejor calidad y con almohadillas de varios tamaños.</t>
  </si>
  <si>
    <t>Como esperaba Calidad-precio aceptable, si lo quieres con pasta dura hay que gastar mas dinero</t>
  </si>
  <si>
    <t>Calidad Excelente calidad, permite colocar de forma organizada todos los cables de casa.  Muy satisfecho</t>
  </si>
  <si>
    <t>Microfono todoterreno Pues después de casi un año con el, decir que es indestructible, y que si bien no es un shure sm58, también cuesta 5 veces menos, cumple su papel a la perfección en el local.</t>
  </si>
  <si>
    <t>Bandolera de hombre Cuidado con las cremallera son algo fragiles.  Pero por lo demás cumple</t>
  </si>
  <si>
    <t>Anillo recomendable. Fenomenal para su precio.Igual que el original.Recomendable.Llegó antes del tiempo estimado,llegó en muy buenas condiciones,bien protegido y es de muy buena calidad.</t>
  </si>
  <si>
    <t>Estupendos! Hemos probado varios biberones de distintas marcas y losTommee Tippee son con diferencia los que más nos gustan a nosotros y a nuestro bebé.</t>
  </si>
  <si>
    <t>Muy buen articulo para la temporada de invierno. Muy confortables. Producto original que cumplen mis expectativas al 100%</t>
  </si>
  <si>
    <t>Justo como lo imaginaba. Gran compra. Bonito, duro y grande sin resultar exagerado incluso en muñecas estrechas. Me ha sorprendido lo ligero que es. La combinación de colores me encanta. Calidad Casio, está todo dicho. Recomendado.</t>
  </si>
  <si>
    <t>Sin quejas Muy bonito mouse pad negro. Puede lavarlo si se ensucia y no se deshace ni nada.</t>
  </si>
  <si>
    <t>Ceremonia de te japones Un kit con muy buen precio.</t>
  </si>
  <si>
    <t>Buen micro Le falta un led que indique estado de la pila</t>
  </si>
  <si>
    <t>Estupenda tarjeta de memoria de fabricante reconocido. Estupenda tarjeta de memoria de fabricante reconocido. Con ella puedes ampliar la capacidad de tu dispositivo movil o tablet y no preocuparte por la cantidad de fotos o música que vayas metiendo dentro, 32 gb dan para mucho. Además es de categoria 10 y eso da unas tasas de lectura y escritura sobre la tarjeta muy buenas y por supuesto muy superiores a las de las tarjetas iguales en capacidad pero de categoría 4. A mi juicio vale la pena comprar las de categoría 10 frente a las de categoría 4. El fabricante es un reconocido proveedor de dispositivos de memoria ram, discos ssd, tarjetas de memoria, etc. Para mi una opción muy acertada.</t>
  </si>
  <si>
    <t>Genial Han llegado antes de lo previsto. Muy contenta porque era para un regalo. Son muy originales y la calidad es bastante buena para el precio que tiene.</t>
  </si>
  <si>
    <t>Good product All good</t>
  </si>
  <si>
    <t>Son auténticos, de piel. Deportivos auténticos. Son los originales. De piel. Mi hija usa un 37,pedí 37,5 y le quedan perfectos. Ella tiene el pie estrecho por lo que con medio número más le es suficiente. Calzan algo pequeños por lo que tendréis que pedir medio o un número más. Encantada con la compra. Llegó antes de lo esperado.</t>
  </si>
  <si>
    <t>Se ajusta a la descripción Producto de buena calidad.</t>
  </si>
  <si>
    <t>Precioso regalo Me ha encantado tanto a mí como a mi mujer. Tiene un buen tamaño, ni muy grande ni pequeño. Los acabados son buenos y bonitos, cuando le refleja la luz a los cristales, brilla muy chulo. Todo parece de buena calidad estoy muy contento por comprarlo y mi mujer por el regalo.</t>
  </si>
  <si>
    <t>Todo perfecto! Super bonitas. Algo mas grueso el tejido que las converse clásicas. Me cogí mi número y tuve que cambiar por uno menos. Llegó antes de lo previsto. Muy contenta!</t>
  </si>
  <si>
    <t>Calidad Muy buena, gran adhesividad</t>
  </si>
  <si>
    <t>Muy bueno. Buen producto me limpia bien las pantallas y deja buen olor. Se seca enseguida rápido y eficaz. La única pega es que venía algo abierto y la bolsa venia un poco mojada.</t>
  </si>
  <si>
    <t>Perfecto Un producto genial y con mucha calidad a un buen precio.</t>
  </si>
  <si>
    <t>MUY BONITOS MUY BONITTOS SUGIERO PIDAIS UNA TALLA MENOS PARA QUE QUEDEN JUSTOS Y NO SE SALGAN EN EL AGUA.</t>
  </si>
  <si>
    <t>Justo tamaño Para lo que yo necesitaba está muy bien. Tamaño ni Mu grande ni pequeño. Lo justo</t>
  </si>
  <si>
    <t>Deja mucho que desear He devuelto el aparato porque la batería empieza a fallar en su segunda semana. Apenas limpia una habitación y ya le cuesta limpiar la siguiente por lo que los metros de limpieza que prometia en mi caso no se han cumplido. Respecto al fregado en si mismo deja mucho que desear al igual que otro aparato que tengo de origen chino mucho mas barato porque a ambos les falta intensidad de fregado, no es suficiente con pasar un paño húmedo para desincrustar la suciedad me temo que aún falta para poder contar con un buen fregasuelos automático a nivel residencial.</t>
  </si>
  <si>
    <t>Práctico, sin ser excepcional Buena relación calidad precio</t>
  </si>
  <si>
    <t>Comodo Muy calentitos</t>
  </si>
  <si>
    <t>No noto mejoria Esperaba más  del producto, llevo una semana y no he notado mucha mejoría,yo usaba flogoprofen y notaba más alivio del dolor cervical</t>
  </si>
  <si>
    <t>Fallo de disco Me ha durado ocho meses, ha empezado a dar errores de disco y ni formateándolo de nuevo ha vuelvo a arreglarse. Un desastre vamos.</t>
  </si>
  <si>
    <t>Buen disco duro. Me ha gustado bastante este disco duro, es de mi madre y funciona bien, ella lo utiliza para guardar fotos, documentos, etcétera para un uso no muy profesional va bien, la transferencia de datos podría ser algo mejor pero en general bastante bien.</t>
  </si>
  <si>
    <t>Me ha gustado mucho la sudadera pedida Se tal y como esperaba y lo mejor es que ha llegado antes</t>
  </si>
  <si>
    <t>Bonito reloj Debo reconocer que en la foto se ve mejor. Aún así el reloj es muy bonito, se nota su buena calidad. Lo recomiendo.</t>
  </si>
  <si>
    <t>Facil de montar Muy práctica</t>
  </si>
  <si>
    <t>Bibis Los vemos muy bien fue para un regalo</t>
  </si>
  <si>
    <t>Comodidad Supercomoda, estoy encantada</t>
  </si>
  <si>
    <t>Muy recomendable. Por los comentarios, no tuve duda en comprarlo. Se lo compre a mi novia para hacerle un regalo exporadico, y me encantó. Nada más ver la caja sabes perfectamente que es un muy buen producto.</t>
  </si>
  <si>
    <t>Fantastica Cumple mis expectativas. Caliente en diferentes niveles y caliente muy bien. el tamaño es el adecuado y el tacto es super agradable, además lleva una funda. La recomiendo</t>
  </si>
  <si>
    <t>ESTUPENDO!!! EL SONIDO ES ESPECTACULAR, Y ES MUY COMPLETO. ME ENCANTA!!</t>
  </si>
  <si>
    <t>Precio inmejorable Por este precio no puedes pedir más. Auriculares básicos de Sony a un precio muy recomendable. Muy bien lo de plegarse ya que así no ocupan apenas espacio. Las almohadillas no ocupan totalmente los oídos, pero para un rato que es para lo que los utilizo, me bastan.</t>
  </si>
  <si>
    <t>Simple, cómodo y duradero Son las segundas que compro porque las primeras fueron sencillamente perfectas, dentro de unos años comprare un tercer par. Perfect</t>
  </si>
  <si>
    <t>Está muy bien Era un regalo, acerté de pleno. Es muy buen producto</t>
  </si>
  <si>
    <t>Perfecto Vaya descubrimiento! Mi hijo no quería ningún Bibi y este si lo coge ...tiene 5 meses</t>
  </si>
  <si>
    <t>Mi hija está encantada Producto original, envío antes de lo esperado, número elegido correctamente (aconsejo ver las tablas de tallas y guiarse por la longitud del pie en centímetros: es la única manera fiable de saber las equivalencias entre diferentes marcas de calzado). Muy bonitas.</t>
  </si>
  <si>
    <t>TODO PERFECTO, UN 10! PERFECTO TODO. La calidad, el trato del vendedor, el detalle de la cajita con Púas además de darle un bonito toque estético 1ue nunca está de más.  Un 10!</t>
  </si>
  <si>
    <t>jersey fino para entretiempo jersey de algodón fino, para verano o entretiempo, de momento muy contento con su compra</t>
  </si>
  <si>
    <t>La comodidad Me a gustado mucho .. Es como lo esperaba buena calidad y super comodos</t>
  </si>
  <si>
    <t>Bandolera Pepe Jeans color negro Elegante y cómoda para caballero. Tiene muchos bolsillos de ordenación. Muy recomendable para llevar todo organizado.</t>
  </si>
  <si>
    <t>Vanessa Muy buena calidad y muy bien el tallaje. Personalmente el producto es mejor que en la foto y los colores muy bonitos</t>
  </si>
  <si>
    <t>La relacion calidad precio Lo unico mas problematico con respecto a los originales es la mayor dificultad en quitar los papeles protectores de la goma adhesiva, pero por el precio vale la pena ese pequeño esfuerzo y la calidad del plastico es buena y con un blanco muy bueno, la adhesividad es perfecta. Tan solo falta comprobar que no se oscurezcan con el tiempo. Espero que no y no tengo motivos para pensarlo.</t>
  </si>
  <si>
    <t>La calidad precio Todo perfecto</t>
  </si>
  <si>
    <t>Anillos Artículo exacto, muy bonito</t>
  </si>
  <si>
    <t>Super comodas, y sorprendentemente ligeras Super comodas, y sorprendentemente ligeras</t>
  </si>
  <si>
    <t>Lo esperado Funciona muy bien, sin problemas</t>
  </si>
  <si>
    <t>Faltaban partes. Pensaba que siendo gestionado por Amazon y habiéndose quejado ya varias personas de que les faltaban pendientes en el set, habrían sido más cuidadosos y haber mirado que no faltase nada, pero me ha faltado un par de pendientes. Una pena. Los he devuelto sin problema.</t>
  </si>
  <si>
    <t>No valen lo que cuestan Parecen bisuteria son muy pequeños y los cierres flojos me los quedo por que si no me quedo sin regalo de reyes pero son caros para lo que son.</t>
  </si>
  <si>
    <t>producto defectuoso No la detectaba el ordenador ni la camara y eso que probe en varios equipos , la operadora de Amazon me dijo que lo mas seguro es que era defectuoso</t>
  </si>
  <si>
    <t>CONTRASEÑA NO FUNCIONA Buenas tardes, hemos estado probando para poder cerrarlo y abrirlo con la contraseña que viene en el manual y no funciona, necesito saber si hay alguna posibilidad de solucionarlo o bien pediría la devolución del producto. quedo a la espera.</t>
  </si>
  <si>
    <t>Después de 8 meses ha dejado de funcionar Pues la verdad que iba bien, pero llevaba un mes que se escuchaba peor, y ya ha dejado de funcionar, solo escucho un zumbido contínuo. Pero en Amazon no veo como solucionarlo.</t>
  </si>
  <si>
    <t>Muy buen precio Un aceite esencial muy práctico para numerosas afecciones, el tamaño es bastante grande 120 ml, tenerlo en cuenta por que es de lo más barato que podéis encontrar. Además dispone de un práctico dosificador de gotas.</t>
  </si>
  <si>
    <t>Bonitas Muy bonitas, me encantan. Aunque a pesar de coger una talla más grande a la habitual, al principio, hasta que se hacen al pie, aprietan un poco. Luego ya bastante bien, con plantilla muy cómoda.</t>
  </si>
  <si>
    <t>Buena ayuda para dormir Muy contento con el producto, a mi me ayuda más en los momentos que me despierto en mitad de la noche que en el momento de acostarme. El concentrarte en la respiración y seguir su ritmo evita que te pongas a darle vueltas a la cabeza ... de momento estoy usando más veces los ciclos de 8 minutos que los de 20, pero alguna vez he tardado algo más de la cuenta en dormirme y he tenido que extender el tiempo.  No hace ningún ruido, ocupa poco espacio y la luminosidad es adecuada como para no molestar a tu pareja</t>
  </si>
  <si>
    <t>Buen regalo para mujer El producto llegó rápido y está bien, es bonito. Buen regalo para pareja o familia.</t>
  </si>
  <si>
    <t>Buen reloj relación calidad-precio Buena relación calidad precio. Como siempre Casio no defrauda.  Reloj tipo diver de tamaño comedido, aspecto robusto. La correa tiene buena pinta también. Los números disponen de lumen suficiente para verlo en la oscuridad. El indicador del día del día del mes cumple.  Como negativo tal vez que lo veo un pelín pequeño, la falta de luz al estilo timex y el no tener indicador del día de la semana.</t>
  </si>
  <si>
    <t>Muy cómodas y de buena calidad Los materiales son de muy buena calidad, me guatan mucho los colores. Aunque me quedan un poco justas son muy cómodas.</t>
  </si>
  <si>
    <t>Z Top tudo perfeito</t>
  </si>
  <si>
    <t>Rápido Lo compré para sustituir la unidad HDD de un portátil con 10 años (procesador celeron) y la verdad es que ha mejorado mucho, parece otro. Evidentemente no se convierte en un i7, pero para ofimática e internet da un resultado muy aceptable.</t>
  </si>
  <si>
    <t>Mejor compas que he tenido Yo normalmente usaba los standler de toda la vida pero que cambio por dios al usar este. Primero la punta cuando la clavas no se va a mover ni con un seismo de magnitud 9 y segundo el sistema para hacer el circulo mas grande es muy preciso</t>
  </si>
  <si>
    <t>Buen producto Me ha gustado mucho... me sirve para vaciar mi iPhone y que no esté siempre lleno.... tb como disco duro portátil para documentos etc.....</t>
  </si>
  <si>
    <t>Barato Comodas</t>
  </si>
  <si>
    <t>Muy logrado Pasa por uno original perfectamente,  no nota la diferencia de los otros.</t>
  </si>
  <si>
    <t>Un bolso estupendo Estoy contento con la compra,el bolso es de piel auténtica muy suave y con muchos departamentos muy aprovechable. Recomiendo su compra.</t>
  </si>
  <si>
    <t>excelente bota liviana, con buen agarre, muy abrigada, tiene una muy buena calidad y no tiene un aspecto muy de montaña asi que para un dia de lluvia y andar por la ciudad queda bien, es bastante fina y liviana lo cual a primera impresion me dio una mala impresion acostumbrado a botas pesadas y gruesas, por ahora llevo desde que la compre probandolas constantemente en el otoño ingles y el polaco y hasta ahora resisten perfectamente.</t>
  </si>
  <si>
    <t>No te defraudarán Los he estado usando casi diariamente durante meses en el trabajo y no puedo recomendarlos más. Son cómodos, no resbalan, se ajustan perfectamente al pie y siguen prácticamente como el primer día. Una compra perfecta</t>
  </si>
  <si>
    <t>Tal y como esperaba. Para mi gusto relación calidad precio es una gran compra. Un reloj versátil, bonito y con muchas funciones. La única pega que le puedes encontrar es la luz (La pantalla digital no es retro-iluminada), cosa que personalmente no me molesta.</t>
  </si>
  <si>
    <t>Buena conexión y velocidad de transmisión. Memòria muy versátil, ideal para pasar archivos entre el móvil y el ordenador. Tanto el móvil como el pc la reconocen sin problema y a la primera. La velocidad de transmisión es buena. Yo personalmente lo uso para descargar vídeos de YouTube para mi hijo y poder verlos en la tele sin problemas.</t>
  </si>
  <si>
    <t>Facil instalación Tan fácil la instalación que fue poner las pilas, dar al botón de encendido y oír perfectamente la televisión sin conexión de ninguna clase. Además, tiene bastante calidad de audución</t>
  </si>
  <si>
    <t>Buen biberon y bonito Muy bonita y duradera , la verdad que nos gusta, siempre hemos usado biberones de cristal y plástico, pero este nos gusta más, mi peque le gusta, el tamaño esta bien aunque si mejorarían con varios tamaños sería perfecto, la botella es de 180ml , no sale ni una gota de líquido al tumbarlo, sin duda volveria a comprar.</t>
  </si>
  <si>
    <t>Agua hirviendo en tan solo unos minutos &lt;div id="video-block-R3NL85M06KDYKI" class="a-section a-spacing-small a-spacing-top-mini video-block"&gt;&lt;/div&gt;&lt;input type="hidden" name="" value="https://images-eu.ssl-images-amazon.com/images/I/B1oJQy2+e0S.mp4" class="video-url"&gt;&lt;input type="hidden" name="" value="https://images-eu.ssl-images-amazon.com/images/I/716m71steWS.png" class="video-slate-img-url"&gt;&amp;nbsp;He comprado este hervidor principalmente para calentar el agua para tomar el mate. Tiene una gran capacidad (poco más de 1 litro y medio), y está hecha de acero inoxidable. Se puede apreciar claramente que es de muy buena calidad. La utilizo diariamente para el agua del mate, que no tiene que llegar al punto de ebullición. Pero también he preparado infusiones y lo bueno es que el agua hierve en tan solo unos minutos. Es de fácil mantenimiento y además se puede extender su garantía a tres años.</t>
  </si>
  <si>
    <t>David Funciona perfecto y los distintos niveles de calor están bien escalonados. Poder lavar la funda interior es un plus de higiene. Quizás la única pega (por buscar algo) es que el cable es algo corto para mi gusto teniendo en cuenta que a los pies del sillón no suele haber un enchufe cerca.</t>
  </si>
  <si>
    <t>Precioso reloj. Estéticamente es precioso, queda muy bien con ropa deportiva e incluso con algunas camisas,es un reloj bastante llamativo. Siguiendo las instrucciones no es difícil de poner en hora. Lo recomiendo totalmente y ya estoy en busca de otro g-schock en color blanco.</t>
  </si>
  <si>
    <t>buen producto lo pedí por limpiar ventanas y mampara de la ducha, la verdad es que estoy contento con el pero no creo que tenga mucha diferencia a otros mas económico, también destacar que lo encontré mas económico en una tienda de barrio de la misma marca, aunque solo unos céntimos por lo que no me valía la pena realizar devolución o pedir reembolso.</t>
  </si>
  <si>
    <t>Dura poco Mientras dura sin romperse, perfecto y cómodo. Como todos los de este estilo, buen funcionamiento pero malísimo material, que dura un mes. Se rompe el plástico del aro por las juntas con los auriculares y ya no hay quien lo use. Más de lo mismo.</t>
  </si>
  <si>
    <t>Demasiado grande la tuve que devolver, y no tune ningún problema con el vendedor</t>
  </si>
  <si>
    <t>Poco que añadir La verdad ya sabía lo que compraba por todas vuestras opiniones, todos los USB OTG que llevo probádo les pasa lo mismo, leen bien y escriben fatal.. tanto da el formato que se use fat32, nfst,  exfat.. tanto en el PC como en el smartphone al pobre no le gusta nada escribir. En el CrystalDiskMark no saca malos números pero a la hora de la verdad..</t>
  </si>
  <si>
    <t>Muy disgustado con la compra Después de un año de uso el reloj extrañamente dejó de funcionar</t>
  </si>
  <si>
    <t>Pequeño Demasiado pequeño</t>
  </si>
  <si>
    <t>Calidad precio muy buena Envío rápido y el limpiacristales hace su función, contento con la compra.</t>
  </si>
  <si>
    <t>opnion calidad precio, perfecto</t>
  </si>
  <si>
    <t>Silencioso Me ha gustado su funcionamiento tan silencioso que parece que está apagado. De momento estoy copiando mis antiguos discos en el nuevo y no puedo valorar su funcionamiento normal. Parece que va a responder bien. Su calentamiento no es excesivo y lo digo despues de estar casi 72 horas encendido continuamente, mientras hago la clonación. Todo me hace pensar que funcionará bien y estaré contento con la compra.  Al ser un comentario prematuro es por lo que no le doy las 5 estrellas. El vendedor lo envió rapidísimamente y Amazón de 10 como siempre.</t>
  </si>
  <si>
    <t>Muy bonito Este collar venía muy bien presentado pero pese a ser muy muy bonito me lo esperaba un poco más grande. A mi amiga le encantó</t>
  </si>
  <si>
    <t>Muy buena compra para estudiantes. Capacidad máximo 20hojas A4 90gr/m². Buena calidad y buen precio, relación inmejorable y un aparato muy util. La única desventaja es el espacio que ocupa. En unos 3 paquetes de 500 folios es una herramienta amortizada, si se utiliza como sustituto a los recambios de archivador, que son carisimos.</t>
  </si>
  <si>
    <t>PRÁCTICO Y AGRADABLE El tamaño es ideal para su uso y para que se adapte a cualquier parte del cuerpo. Muy importante: el tejido es agradable y confortable. Además incorpora una funda muy práctica para guardar. Estoy contenta con la compra, es un producto de calidad buena. Lo recomiendo.</t>
  </si>
  <si>
    <t>Exactas a la oferta Las zapatillas perfectas y el tiempo de entrega también. Hay que tener cuidado y coger una talla más de lo habitual</t>
  </si>
  <si>
    <t>Vans Zapatillas Vans Old Skool negras. Uno de los zapatos más resistentes que conozco y con una suela durísima. Muy recomendados para la gente que le gusta andar con Skate por el agarre de la suela. Atención y envío de Amazon como siempre de 10.</t>
  </si>
  <si>
    <t>Elix pi Relación calidad precio estupenda! Tamaño perfecto. Esta claro que no se puede exigir que tras hervir no queme la parte exterior pero por lo demás genial</t>
  </si>
  <si>
    <t>Precio y calidad ok Buenas zapatillas de montaña. Abrigan, cómodas y buena calidad. Cómo siempre en calzado de montaña se pide una talla más de la usada normalmente.</t>
  </si>
  <si>
    <t>auriculares in-ear buena calidad Estos auriculares in-ear tienen buena calidad de sonido,vienen con unas almohadillas de varias medidas para poder adaptarlo perfectamente a la medida de cada oreja. El cable se ve de buena calidad, y también tienen su bolsa para poder llevar o guardar. Para mi opinión unos buenos auriculares a un precio muy bueno, nada que envidiar a otros mucho mas caros</t>
  </si>
  <si>
    <t>La rápida Me gusta todo: es potente, rápida y tritura absolutamente todo</t>
  </si>
  <si>
    <t>Muy buena relación calidad/precio Soy operador de cámara y realizador, recomiendo este micro para entrevistas, tengo micros de otras marcas y de gamas muy superiores y quedé impresionado de la calidad de audio que genera por su precio. Recomiendo comprar la app de Rode Rec ya que te permite configurar muchas opciones y optimizar el sonido de este micrófono, lo acabo de utilizar junto a un AKG de casi 200€ en una entrevista y la verdad es que no tengo ninguna queja, voz clara y con buena ganancia, sin apenas ruido.</t>
  </si>
  <si>
    <t>Lavanda en casa Buenísimo y encima mucha cantidad! Huele a lavanda pura! Nada que envidiar a la de los herbolarios y ojo... soy lavanda addict! ;)</t>
  </si>
  <si>
    <t>Muy eficaz Hace perfectamente su función</t>
  </si>
  <si>
    <t>Calidad a bajo precio Muy satisfecho. Relacion calidad precio excelente. Entrega rapida y muy buen sonido.</t>
  </si>
  <si>
    <t>Según lo esperado Todo según lo esperado. Bien y con cadena finita.</t>
  </si>
  <si>
    <t>Calidad-precio excelente Lo compré como regalo para mi padre para ir en bici. Está muy contento porque es ligero y resistente. Diseño simple pero bonito.</t>
  </si>
  <si>
    <t>Calidad Tardó mucho en llegar</t>
  </si>
  <si>
    <t>Calidad-precio OK Lo he cogido para hacer un album casero y es perfecto. Es como un adhesivo de doble cara, pero ya esta cortado, así que es muy comodo de utilizar. Facilita mucho el trabajo. Recomendable 100%</t>
  </si>
  <si>
    <t>Práctica y muy cómoda La ha comprado mi mujer para salir a patinar y ha sido un gran acierto. Es mejor de lo que se esperaba, tiene dos compartimientos donde entran perfectamente el móvil y las llaves, un espacio para poner una pequeña botella de agua y un orificio para pasar los auriculares que van al móvil, un gran detalle. Es muy bonita, super cómoda y la tela parece de buena calidad así que cumple ampliamente las expectativas.</t>
  </si>
  <si>
    <t>Bonita y fina gargantilla Es muy elegante. Quizas un poquitín más larga de lo deseable. Le sobra 1 cm.</t>
  </si>
  <si>
    <t>Bonitos y calentitos Bonitos y calentitos. Si buscas un modelo distinto a la típica zapatilla es tu zapatilla. Son de horma más bien estrecha.</t>
  </si>
  <si>
    <t>javi lo e provado y no e quedado mui contento con el resultado quita rallitas, pero si tienes rayones mas profundos no hace nada por lo menos ami.</t>
  </si>
  <si>
    <t>Algo caro para lo que es Es algo caro para ser una caja de plástico pero cumple su función y oculta los cables</t>
  </si>
  <si>
    <t>ETIQUETAS Vienen con poca cuerda, pero están bien, buen tamaño...</t>
  </si>
  <si>
    <t>Hacen daño y no se pueden devolver. Las zapatillas me hacen daño, vinieron en una caja rota que tire cuando las recibí, no me dejan devolverlas ya que la caja en la que me las enviaron (que estaba rota) no la tenía. Hacen daño, son duras, y parecen que no sean verdaderas, y sean de imitación.  Dinero tirado a la basura, ya que no me las puedo poner.</t>
  </si>
  <si>
    <t>No me ha convencido ! No me ha convencido !!</t>
  </si>
  <si>
    <t>Bien de precio Es chula, al lavarla no ha quedado perfecta, pero por precio vale la pena.</t>
  </si>
  <si>
    <t>Di adiós a los ruidos de tus vecinos Compré estos auriculares sobre todo para librarme de la tortura de música que pone mi vecino a todas horas y los alaridos que pega, y en este sentido, cumplen a la perfección, por fin puedo vivir tranquilo en mi casa. La cancelación de ruido de Bose funciona a las mil maravillas, muchísimo mejor que la de otros auriculares baratos con cancelación de ruido que había probado.  Por otro lado, la calidad de los materiales me parece muy buena, pero no me acaban de resultar cómodos de todo, especialmente la almohadilla superior, que es un poco rígida de más, mucho más cómoda la de los Sennheiser HDR 110 que tengo. En cuanto a la calidad de sonido, está bien, pero me esperaba algo mejor por el precio que tienen, ya que la de los Sennheiser HDR 110, que me habían costado hace años unos 70 €, es bastante mejor para mi gusto, especialmente a poco volumen.  Lo que menos me gusta es el alcance del bluetooth, a más de 3 metros ya se pierde la señal, e incluso a veces al llevarlos por la calle con el móvil en el bolsillo, se corta bastante. No me esperaba algo así por este precio, la verdad, tengo otros auriculares bluetooth baratos que tienen más alcance y con ellos no se corta nunca el sonido en condiciones normales. Por suerte para el uso que le doy, no me molesta demasiado. Es una pena que no se fabriquen auriculares con cancelación de ruido y radiofrecuencia en lugar de bluetooth, sería la solución perfecta, pero en fin, es lo que hay.  En resumen, tienen varios problemas relativamente importantes, pero de todas formas estoy bastante contento con ellos, la cancelación de ruido es de muy buena calidad.</t>
  </si>
  <si>
    <t>tan solo un inconveniente Las espumas son buenas, el tamaño y el corte son perfectos, el único problema que le veo es que me han provocado una ''alergia'' al manipularlas porque tienen partículas de fibra de vidrio, no se si a todos les pase igual pero yo aviso igualmente por si a caso, pero quitando eso no tengo ninguna queja :D</t>
  </si>
  <si>
    <t>Talla pequeño. Buen producto, pero talla pequeño y hay mucha diferencia de una talla a otra. Hice cambio de talla y rapidísimo y sin problema</t>
  </si>
  <si>
    <t>Comodos y funcionales pero cuidado con la talla Muy comodos y practicos validos para vestir o casual. De las dos hormas disponibles por Clarks estos son  horma estrecha (G) y en este modelo especialmente hay que pedir media talla o una talla mas de la que habitualmente usas en Clarks. Eso en otros modelos no me ha pasado.</t>
  </si>
  <si>
    <t>Volveré a comorarlas Muy chulas, me encantan a un precio estupendo. No sabría decir si son o no imitación, son muy cómodas.</t>
  </si>
  <si>
    <t>Se escuchan genial Compré estos cascos para mi madre ya que para su trabajo los cascos con cable se le enredaban seguido y eran un incordio, con estos está súper contenta ya que no se preocupa de que se le enreden ni nada, solo de que se le puedan caer. Lleva ya más de una semana utilizándolos y está muy contenta, al principio le resultaban un poco incómodos ya que se le caían todo el rato, pero ahora que les cogió el truqillo está encantada.  Yo también los he probado y muy bien, suenan genial y tienen mucha potencia. Para cargarlos es súper fácil, los pones en la cajita que trae y listo. A mi madre le dura la batería entre 2 y 3 días, pero claro, no sé cuánto tiempo los utiliza ni nada, así que no es muy orientativo…  La cajita en donde vienen tiene como un imán, por lo que los cascos si los guardas siempre ahí no se van a perder nunca. Trae el cable para cargarlos y también dos recambios de las almohadillas que utiliza.</t>
  </si>
  <si>
    <t>Buena calidad y funcional Se corresponde con la descripción y las fotos. Buena calidad y practico</t>
  </si>
  <si>
    <t>Va muy bien y muy cómodo de usar Es mejor que el pincel porque con este formato solo gastas una mano y con el otro formato las dos manos.</t>
  </si>
  <si>
    <t>Bueno Ten en cuenta que el micrófono se alimenta también de la batería de la cámara, y por eso dura menos. Recomiendo tener baterías adicionales de la cámara. La razón por la que compré este y no el Videomic Pro es por el precio, además que prefiero despreocuparme de tener que cargar también el micrófono o de usar pilas. Está muy bien si tu cámara tiene ajustes manuales del micrófono, así es como realmente se consigue buena calidad.</t>
  </si>
  <si>
    <t>Perfecto para el macbook pro Es perfecto para el macbook pro, puedes enganchar cualquier tipo de pantalla externa. !00% recomendable por el precio que tiene con respecto al producto de apple. Como punto negativo, no puedes enganchar un iMac como pantalla externa del portátil</t>
  </si>
  <si>
    <t>Genial Va perfecta. Parece que le cuesta si le metes 10 hojas pero con 4 o 5 genial aunque tengas mucho que encuadernar, una vez que pillas el rollo enseguida acabas (yo encuaderné un montón de apuntes, leyes...).</t>
  </si>
  <si>
    <t>Excelentes, no encuentro otro mejor! Es el quinto álbum que compramos ya que recientemente nos casamos, y tanto para las fotos de la barra libre, las no oficiales o las del viaje de novios, hemos escogido álbum de Hama para presentarlas. Es un álbum muy completo, las hojas se deslizan muy bien y además tiene la hojita blanca protectora para que no se peguen unas fotos con otras y se deterioren. Y como el fondo es negro, se puede firmar, decorar, escribir o hacer lo que quieras en el fondo, ya que con rotuladores finos y de color metalizados, queda un álbum muy original y divertido. También hemos usado de la misma marca su pegatinas para que las fotos queden bien pegadas en sus hojas. Muy recomendable.</t>
  </si>
  <si>
    <t>Biberón con chupete Le utilizo para agua. También hay botellas en vidrio. Me gusta más para la leche cristal que plástico</t>
  </si>
  <si>
    <t>MUY BUENO Identifica atributos específicos (por ejemplo, comodidad o ajuste de una camiseta, o duración de la batería de una cámara) e indica si ha cumplido tus expectativas. No describas al vendedor o la experiencia de envío (podrás hacer eso en</t>
  </si>
  <si>
    <t>Buen producto Tállaje perfecto. 175 y 80 kg. Talla M. Parece buen material y muy caliente. Aunque no es tan barata como parece, Joma es buena marca. Y española. Repetiré</t>
  </si>
  <si>
    <t>Velocidad de registro Perfecta</t>
  </si>
  <si>
    <t>Justo lo que buscaba Buscaba unos soportes que fueran duraderos, estéticamente bonitos y económicos para utilizarlos en cursos y talleres. Ya los hemos estrenados y son justo lo que buscaba.</t>
  </si>
  <si>
    <t>perfecto llego perfecto eh de decir que es un microfono de condensador de lo mejor por su precio super contento con el y lo recomiendo al 100</t>
  </si>
  <si>
    <t>Auriculares de muy buena calidad auriculares de muy buena calidad se escucha perfectamente tanto con llamadas o musica y tiene mucha duracion es ideal para correr es compatible para mis dos moviles que son iphone 7 y huawei p20 pro tambien te marca el nivel de bateria que eso es muy buena ventaja para no quedarte sin bateria,son muy comodos y apenas notas que los tienes puesto porq se ajustan perfectamente a la oreja.lo recomiendo van muy muy bien estoy encantado</t>
  </si>
  <si>
    <t>muy bonito buscaba un reloj para un evento que no fuera muy caro, y la verdad que para lo que cuesta está muy bien. No soy un entendido en relojes, pero el material parece robusto y no se ve para nada frágil, así que lo recomiendo</t>
  </si>
  <si>
    <t>Es cómoda El tejido de la camiseta muy Bueno y muy cómoda</t>
  </si>
  <si>
    <t>Muy cómodas Nunca había probado las medias de compresión,y me han venido genial. Se ajustan perfectamente y  encima ahora mismo son muy baratas</t>
  </si>
  <si>
    <t>Llegó antes de tiempo y en buen estado Está muy bien tal cual en la foto recomendado</t>
  </si>
  <si>
    <t>Mala calidad Me guié por las buenas valoraciones que tenía este producto y decidí cogerlo, he de decir que el artículo es barato y claro eso se nota bastante en la calidad, han querido imitar a una famosa marca en esterillas, pero se quedaron en intento, es una gomaespuma muy fina con unos círculos de pinchos de plásticos, que obviamente pinchan, solo la he utilizado una vez y la experiencia no ha sido buena.</t>
  </si>
  <si>
    <t>PARECÍA MAS GRANDE Y NO LO ES BUENO LO PEDÍ POR QUE CREÍA QUE ERA MAS GRANDE Y COMO LOS OTROS QUE TENGO SON MAS GRANDES NO LO ES LA VERDAD QUE LO IBA A DEVOLVER Y SE LO HE REGALADO A MI HIJO Y AL FINAL ME LO HA DEVUELTO POR QUE PARA EL ES MUY GRANDE Y AHORA ME LO HE QUEDADO YO AL FINAL ESTA BIEN NO ME GUSTA QUE SE VEA TAN PEQUEÑOS LOS NÚMEROS POR LO DEMÁS HAY ESTA</t>
  </si>
  <si>
    <t>No poder más zapatos en amazon Se despegó la suela al segundo uso</t>
  </si>
  <si>
    <t>Mala Mala tela y pequeña</t>
  </si>
  <si>
    <t>Buen producto Tal cual especifica el vendedor, es muy suave y fácil de poner. Calienta rápido.</t>
  </si>
  <si>
    <t>Era tal y como esperaba Era tal y como esperaba mi esposa y si ella esta contenta (que es el caso) pues eso¡ todos contentos.</t>
  </si>
  <si>
    <t>Contento con la compra. Después de 6 años, mi anterior barracuda 2 tb pasó a mejor vida, me fue también con él que vuelvo a repetir, espero que me de tan buen resultado como el anterior. Lo tengo como esclavo, como maestro tengo un SSD Kingston. Silencioso y con buen rendimiento. Embalado en su bolsa antiestática y envuelto en burbujas, bien ajustado dentro del cartón. De momento muy contento con la compra.</t>
  </si>
  <si>
    <t>calidad precio excelente. Abalorio que le gusto mucho a mi madre.</t>
  </si>
  <si>
    <t>Buena calidad-precio Lo he usado para pegar varias cosas en mi casa que no había conseguido con otros tipos de adhesivos ya sea por el peso de lo que quería pegar o por la humedad en la zona y por fin quedan bien pegadas y fija. Es bastante fácil de poner y en caso de que pierda adherencia la recupera al lavarla. No la esperaba tan gruesa pero lo importante es cumple la función de su descripción.</t>
  </si>
  <si>
    <t>Buen producto Me ha gustado me parece más ligero y cómodo que los tradicionales.</t>
  </si>
  <si>
    <t>cumple con su cometido Para el precio que tiene, cumple más que de sobra con su cometido. Lo único malo es que es un poquito pequeño para mi muñeca... pero bueno, eso no quiere decir que sea pequeño... es que mi mano mide 25 cm, así que supongo que es normal...  Si tienes una anatomía corriente y un bolsillo a la par, éste es tu reloj.</t>
  </si>
  <si>
    <t>10/10 Todo correcto, entrega en el día esperado, con este es el segundo par de Classic Leather que compro y son muy muy recomendables.</t>
  </si>
  <si>
    <t>Estética y funciona bien Un amigo tiene un difusor de aromaterapia similar y me gustó, así que decidí comprar uno similar. Es realmente agradable, parece estética y hace que la casa huela bien si agrega algunos aceites esenciales. Por supuesto, también es posible usarlo sin ningún olor con agua. Funciona mediante la evaporación del agua mediante ultrasonidos. Funciona en silencio, no me molesta. Hay un control remoto, pero no lo uso mucho, solo lo enciendo o apago, eso es suficiente para mí.</t>
  </si>
  <si>
    <t>Excelente Excelente, muy cómodas y calientes.</t>
  </si>
  <si>
    <t>Bien Normalito</t>
  </si>
  <si>
    <t>😁 😁</t>
  </si>
  <si>
    <t>Utilidades Son perfectas para las labores de precisión pequeñas</t>
  </si>
  <si>
    <t>Preciosa! Vaya pasada de alfombrilla para el ratón. Color idéntico al de mi ordenador. Material : aluminio. El ratón se desliza de forma genial y suave, y detecta el movimiento preciso. Tamaño circular perfecto. Le recomiendo!!!</t>
  </si>
  <si>
    <t>Good Económico.</t>
  </si>
  <si>
    <t>Justo lo que necesitaba Si buscas un álbum de tamaño medio, este te va a venir bien. Las páginas negras son cartulinas y una de ellas tiene el papel seda. Caben dos fotos por página de tamaño estándar (10x15)</t>
  </si>
  <si>
    <t>Muy buenas Muy comodas para andar y ligeras echo demenos unas leguetas mas duras y ojales con mas refuerzo para las trencillas</t>
  </si>
  <si>
    <t>Precioso Me ha gustado mucho es ideal puesto queda monísimo</t>
  </si>
  <si>
    <t>Diseño blanco muy bonito Se escuchan muy bien. La batería dura bastante en tiempo de uso, en 4 horas no me ha dado ningun problema. El modelo blanco es muy bonito. Se emparejan con facilidad y se escuchan bien incluso a distancia del teléfono móvil.</t>
  </si>
  <si>
    <t>el mejor y más barato Es el mejor calentador de agua que he tenido y el más barato. Lo que más me gusta es que tiene una parte semitransparente por lo que se puede ver la cantidad de agua que tiene.</t>
  </si>
  <si>
    <t>Ideal para llevar puesta en el sofá Se la regalé a mi abuela y está encantada. Es algo pequeña, pero está pensada para ponerla debajo de la ropa. Es blandita y no quema. Se apaga sola a los 90 minutos, por si te quedas frito en el sofá.</t>
  </si>
  <si>
    <t>Fenomenal El producto es muy bueno, calienta rapidisimo y linpio. y esta genta de amazón trabajan muy bien. Deberian se subirles a todos el sueldo.</t>
  </si>
  <si>
    <t>Bien Por el estuche esta bien, además vienen las cosas de adentro que son de buena calidad</t>
  </si>
  <si>
    <t>Bien hasta que se paró Casi 3 años bien, pero se ha parado. Y al poco de tenerlo se le aflojaba el tornillo del contrapeso que da cuerda. Lo tuve que pegar. Estaba contento con el reloj hasta ahora.</t>
  </si>
  <si>
    <t>Problema con auricular derecho El producto ha llegado en una buena caja y bien precintado para evitar golpes. El problema que he tenido es que el auricular derecho se para de vez en cuando y deja de escucharse. Es muy incomodo y he procedido a la devolución. Se escucha bastante bien pero he probado los de Xiaomi y creo que funcionan mejor además de que el estuche es mas pequeño para llevarlo encima. De la carga de la bateria tampoco he podido provar su duración por el poco tiempo que los he tenido pero no he tenido problema durante 2 horas</t>
  </si>
  <si>
    <t>Relación calidad/precio media. - Pese a que estos productos suelen venir sin la capacidad que anuncian, compre uno de 64GB de los cuales solo 55 fueron reales, creo que perder 9GB por el camino es abusivo. - Respecto a la velocidad, no llega a la anunciada, pero se nota el cambio con respecto al 2.0 - Compré el producto durante una oferta, por lo que para lo que he pagado me encuentro satisfecho.  Lo recomiendo en caso de encontrar otra oferta que rebaje unos €.</t>
  </si>
  <si>
    <t>MALA CALIDAD Las zapatillas me las he puesto dos veces y le han salido pelotillas por dentro, 54 euros que cuestan, para la mala calidad del producto. Indignante.</t>
  </si>
  <si>
    <t>Nefasta compra!!! Una castaña!!! Compré 2 tarjetas y las 2 se han roto y he perdido todo lo que tenía grabado. No recomiendo el producto en absoluto. No entiendo como una marca como Samsung puede fabricar cosas tan malas.</t>
  </si>
  <si>
    <t>Mucho ruido Hace Mucho ruido aun bajando el nivel de entrada, lo uso muy poco y terminare metiendolo en un cajon, o vendiendolo</t>
  </si>
  <si>
    <t>Buen sonido Rompí los que traía mi note 8 y los volví a comprar, se escuchan bastante bien</t>
  </si>
  <si>
    <t>Bueno en calidad y precio En principio, el material es bueno,  el cableado también  lo es por el reforzado que tiene. El sonido es bueno y de calidad. Además he tenido la suerte al azar de q me van a mandar 6 pares de almohadillas viscoescolásticas. Espero q sea verdad</t>
  </si>
  <si>
    <t>Muy cómodo y dura mucho la batería Hola, hace ya sobre 3 semanas que lo compre y hasta ahora muy contento con él. Son comodos, no molestan para nada. Se escuchan muy bien y dura mucho la bateria. De hecho todavía no lo he cargado y con la carga que venía he visto con los cascos puesto una temporada entera de una serie y alguna que otra pelicula y como he dicho todavía no lo he tenido que cargar. Traen también una funda para tenerlo recogido. En contra que al encender o apagarlo la voz que te habla lo hace en ingles. Lo recomiendo.</t>
  </si>
  <si>
    <t>Correcta No sirven para trotar por caminos. Si estás empezando con el runingen pista vale. Para pádel no las he probado. Se adaptan bien al pie.</t>
  </si>
  <si>
    <t>Las mejores gafas de aumento para trabajo a un precio excelente He tenido elmenos 3 modelos diferentes de gafas de aumento para trabajar y estas son sin duda las mejores. -Son muy comodas, las uso para pintar miniaturas y puedo estar con ellas puestas mas de una hora ininterrumpidamente. -Vienen con 5 lentes, se nota mucho la diferencia de aumento entre unas y otras y las uso practicamente todas en funcion del detalle que quiera realizar, las lentes se ponen y se quitan con facilidad, podrias cambiarlas con una sola mano -Las lentes vienen en una practica caja de plastico transparente y se incluye una bolsa para el transporte de las gafas (demasiado pequeña para mi gusto) -Tienen 2 leds frontales regulables en angulo independientemente de la angulacion de la lente -Esteticamente son las mas bonitas de todas las que he tenido</t>
  </si>
  <si>
    <t>Lo mejor Esta todo perfecto!!es bastante grande y entra mucha crema todo perfecto</t>
  </si>
  <si>
    <t>Perfectas y originales. Perfectas. Son las originales. Muy cómodas. Llegaron correctamente en tiempo y forma, y eso que era a mi dirección de vacaciones.</t>
  </si>
  <si>
    <t>Sin duda repetiría Ideal, muy rápido en calentar, diseño muy original estilo vintage.</t>
  </si>
  <si>
    <t>Buena calidad Genial</t>
  </si>
  <si>
    <t>Excelente Compra Excelente producto, clásico y de buena calidad.</t>
  </si>
  <si>
    <t>Zapas Las tallas son pequeñas, ojo. Pedí una 8-1/2 pero en realidad es más una 8</t>
  </si>
  <si>
    <t>Muy bueno. Este humidificador está genial, es grandecito y es de plástico pero tiene un aspecto muy muy bueno. Las funciones de más o menos vapor es muy buena y las opciones de luz también. Los olores depende de los aceites que uses, unos huelen y duran más que otros,pero el humidificador funciona de maravilla. Para mí lo mejor es que no mancha, ni salpica nada, ni deja marcas en los muebles como hacen otros humidificadores. Me sorprendió mucho para bien, tanto, que a la semana siguiente he comprado otro. Lo recomendaría sin duda.</t>
  </si>
  <si>
    <t>Lo lijeros que son y la calidad de sonido y la durabilidad de la bateria Me han encantado los auriculares ya que se vinculan practicamente solos tienen muy buena calidad de sonido y puedes usar tanto los dos a la vez como 1 solo ideal para escuchar musica o para atender llamadas que es para lo que yo lo uso y van geniales ya que puedes colgar y descolgar desde el mismo auricular incluso subir o bajar el sonido o pasar canciones con solo tocarlos . Ademas la base que viene con su fundita para transporte y con solo cargar una vez la base tienes para varias cargas de los auriculares, vamos en poco tiempo pienso comprar otros para mi mujer</t>
  </si>
  <si>
    <t>Genial Muy buena calidad después de muchos usuarios siguen impecables, fácil limpieza del tejido</t>
  </si>
  <si>
    <t>Muy bonito Perfecta</t>
  </si>
  <si>
    <t>Le ha encantado Este blanco le ha gustado y le va perfecto de talla, muy cómodo. Compré otro negro de la misma talla pero es algo más pequeño.</t>
  </si>
  <si>
    <t>Genial Muy bonito lo he cogido para una niña de 10 años y muy contenta. Voy a pedir 2 más uno de ellos para mi. Llegó antes de tiempo.</t>
  </si>
  <si>
    <t>Perfecto pasa PSP Compre este disco para ampliar el interno de la PSP, funciona perfectamente en pequeño y 100 x 100 compatible.Calidad precio muy buena.</t>
  </si>
  <si>
    <t>Cómodo Super cómodo,un poco pequeño.</t>
  </si>
  <si>
    <t>Buena compra Es un reloj muy elegante. Un regalo ideal.</t>
  </si>
  <si>
    <t>El producto esperado Llegaron las zapatillas del color esperado, se trata de las auténticas converse y eso se nota en la calidad y en el tallaje que coincide con el que puedes probarte en cualquier tienda, aunque estan a major precio.</t>
  </si>
  <si>
    <t>perfecto encaja perfecto con mi micro rode y filtra bastante bien para el precio que tiene. Recomendado si no quieres gastar en exceso</t>
  </si>
  <si>
    <t>Auriculares geniales Son con diferencia los mejores auriculares inalámbricos que he probado además de plus del cargador usándolos todos los días unas 3 horas y no ha llegado ni al 50% la base</t>
  </si>
  <si>
    <t>A nosotros no nos fue bien Nosotros devolvimos el producto. Esperábamos un aparato de aromaterapia pero lo cierto es que aromatizaba muy, muy poquito pese a echarle bastantes gotitas de esencia. Además, el agua salpicaba fuera del recipiente y mojaba el mueble donde estaba ubicado.</t>
  </si>
  <si>
    <t>Cómodo Es largo y con bolsillo</t>
  </si>
  <si>
    <t>Escasa Información del Producto He preguntado si eran brillo o mate, me dijeron que mate, hoy al realizar un trabajo para un restaurante, resulta que abro el paquete y son..... BRILLO... sería bueno que al preguntar o en las especificaciones esté bien detallado ya que es parte importante además de las micras, cantidad, etc...</t>
  </si>
  <si>
    <t>no merece la pena No tiene pasador para aseguararlo a la maleta</t>
  </si>
  <si>
    <t>Material débil baja calidad Da la sensación de robusta y durable, pero la compre en Junio 2015 y hoy 22 de Marzo 2016 ha fallecido definitivamente, aún así ya llevaba dando problemas el brazo extraible desde hace tres meses, en mi opinión es bastante floja ya que dándole un uso apenas apreciable no ha llegado a durar ni un año.</t>
  </si>
  <si>
    <t>Se corresponde con la foto Buena compra, los relojes casio siempre me han durado muchos años, y este con la esfera dorada tiene un toque diferente a muy buen precio. Eso si, el paquete vino envuelto de muy mala manera.</t>
  </si>
  <si>
    <t>Prácticos archivadores plasticos Me gusta separar la documentación en este tipo de archivadores plásticos. Los colores me ayudan a recordar el contenido también aunque suelo dejar que la primera hoja sea la que me indique el contenido. Con estas es más difícil porque son algo menos traslúcidas.</t>
  </si>
  <si>
    <t>Fantastica relacion calidad-precio Lo compre para llevarlo a un viaje pq al hotel q ibamos era solo desayuno y no sabia si tenian hervidor de agua para alguna infusion o para calentar agua para una sopita por la noche. Me ha encantado, ha cumplido con crece mis expectativad, pero hay q tener en cuenta q es solo para calentar agua y no cantidades muy grandes. Yo lo utilizaba para calentar un par de tazas de agua. Ademas no ocupa espacio en la maleta, yo solo llevaba equipaje de mano, por lo q necesitaba algo pequeño. Como inconveniente, que no tiene interruptor on-off y q hay q tener cuidado donde dejarlo despues de utilizarlo porque no tiene ningun soporte y permanece caliente algunos minutos. Por lo demas, fantastico. Sin lugar a duda lo recomendaria para viajes cortos.</t>
  </si>
  <si>
    <t>Bueno,bonito, barato Para el precio k tiene está genial</t>
  </si>
  <si>
    <t>Cumple... Era más o menos lo que esperaba en función de otras opiniones, relación calidad-precio muy, muy interesante, y cumple más que de sobra para lo que los necesito...</t>
  </si>
  <si>
    <t>buena relación calidad precio Un buen producto tal y como aparece en la fotografía y lo han enviado muy rápido y en buenas condiciones. Todo perfecto.</t>
  </si>
  <si>
    <t>Convirtió mi viejo portátil del 2011 en un ordenador rápido actual Últimamente, mi viejo portátil estaba pidiendo un relevo. Cuando manejaba varios PDF's muy pesados al mismo tiempo, tardaba en cargarme las vistas de las páginas. Y al arrancar tardaba 2 minutos pasados. Cloné el disco directamente, sin plantearme reinstalar todo el sistema operativo y programas por lo enfarragoso del tema, y para comprobar si la ganancia de velocidad era real o simplemente derivaba de un sistema operativo limpio. Ahora el mismo ordenador arranca en 40 segundos, y manejo los mismos archivos a toda velocidad. Incluso he perdido el hábito de dejar el ordenador sin apagar por la pereza que me daba tenerlo que arrancar cada vez. Estoy tan contento con el resultado que ahora ni me planteo cambiar el ordenador. En su momento, amplié la RAM de 2Gb a 4Gb, y el cambio que noté fue mínimo. Este ha sido abismal, se lo recomendaría a todo el mundo.</t>
  </si>
  <si>
    <t>Genial relación calidad precio Son muy cómodos, quedan genial con todo y son muy parecidas a las old skoool pero siendo de una gama inferior. las recomiendo por completo.</t>
  </si>
  <si>
    <t>Bonita Calidad precio está muy bien ,muy chula</t>
  </si>
  <si>
    <t>Buen producto Llego en el plazo indicado Cumple perfectamente para mis necesidades</t>
  </si>
  <si>
    <t>Buen precio y buena entrega De momento cumple todas mis expectativas.Buena compra.</t>
  </si>
  <si>
    <t>Son de piel. El diseño clásico.</t>
  </si>
  <si>
    <t>Carlos J. Fraile Precioso. No hace justicia la fotografïa del reloj a la realidad, en mucho mas bonito., Excelente regalo. Trato recibido y rapidez igualmente excelente.</t>
  </si>
  <si>
    <t>Correcto Muy comodas y ligeras para estar por casa.</t>
  </si>
  <si>
    <t>Nada mal Luce bien y funciona como se debe, a este precio CERO pecas.</t>
  </si>
  <si>
    <t>Están chulas Era un regalo para mi chico, le pille un número más del que suele usar pq tiene el pie bastante ancho e hice bien.asinque si sois de pie anchote no va mal un número más</t>
  </si>
  <si>
    <t>Suave Corresponde exactamente a la talla normal, y es muy calentita</t>
  </si>
  <si>
    <t>Manta calentita Es una manta eléctrica practica y muy fácil de plegar o poner en posturas difíciles. Tiene varias opciones de fuerza para calentar. Con respecto al tamaño es medio, para zona lumbar que es mi caso sirve perfectamente. De momento contento.</t>
  </si>
  <si>
    <t>Talla perfecta Justo lo que esperaba y necesitaba</t>
  </si>
  <si>
    <t>Cómodo en carrera Estoy preparando una media maratón y en distancias largas suelen molestar las camisetas por algún lado, a mi en concreto me molesta en los pezones. Probé las camisetas de compresión y no me molestan nada, se adaptan tan bien al torso que no notas que las llevas.  En concreto compre esta porque conocía la marca de verla por Amazon y la verdad es que ha sido un acierto total. Es sencilla, barata y se adapta muy bien al cuerpo. Yo pedí la talla L, mido 1.85kg y me viene perfecta.  Además, los colores rojo y negro me encanta, me dan aerodinámica en carrera jajaja Recomiendo esta camiseta</t>
  </si>
  <si>
    <t>Muy bien Buen color y duración como todos los de esta marca</t>
  </si>
  <si>
    <t>Como me la esperaba. Bonita sudadera de una grandísima calidad y a muy buen precio, la marca no defrauda, es la segunda que compro.</t>
  </si>
  <si>
    <t>Lo esperado en Salomon Dan poca talla, pero como ya lo sabíamos acertamos. Agarre estupendo</t>
  </si>
  <si>
    <t>Buen producto Tardó en llegar pero funciona muy bien.</t>
  </si>
  <si>
    <t>Pendientes Fue el regalo del día de la madre, pero son un poco pequeños tendrian que haber puesto el tamaño pues son un poco pequeños, pero muy bonitos</t>
  </si>
  <si>
    <t>No elimina imperfecciones Seca los granos</t>
  </si>
  <si>
    <t>Muy chula pero le falla el antideslizante Muy chula. La pega es que no lleva antideslizante, sólo 4 esponjitas pequeñas de pega que depende como pongas el ratón hace que quede paticoja la alfombrilla.. Debería llevar algo mejor</t>
  </si>
  <si>
    <t>Incompleto No llego completo le falto un tapón</t>
  </si>
  <si>
    <t>Tallaje fatal, imposible Fatal, la talla no tiene nada que ver, es como 4 o 5 números más pequeña. Me tuve que fastidiar porque se me pasó la fecha para devolver, pero penosas. No las recomiendo para nada, las tallas son un engaño</t>
  </si>
  <si>
    <t>Muy práctico y fácil de limpiar Es muy fácil de limpiar, q se agradece, super silencioso y no hay que hacer prácticamente nada de fuerza para aprovechar al máximo las naranjas. Es un poco grande pero rápidamente le hemos encontrado sitio. Lo recomiendo.</t>
  </si>
  <si>
    <t>Cumple y nada mas Debería tener unas marcas más adecuadas con la dosificación del agua., por lo demás cumple con la función encomendada y nada mas</t>
  </si>
  <si>
    <t>Calidad pero algo incomoda Muy buena calidad de materiales y fabricación. Le falta 1 estrella porque no es todo lo cómoda que me gustaría.</t>
  </si>
  <si>
    <t>Comodidad Me gustan comodidad total ya son las segundas</t>
  </si>
  <si>
    <t>Cumple con lo esperado Buena relación calidad precio</t>
  </si>
  <si>
    <t>Muy buen sonido en proporción al precio. Recomendables Llegó en la fecha indicada. El sonido es fantástico. Si te gusta escuchar sólo la música te aíslan por completo de los ruidos  de la calle. Cable cómodo y largo para meterlo por debajo de la ropa o abrigo. Devolví unos inalámbricos porque pesaban mucho y se caían por la calle. Estoy encantada. Llevo tres días usándolos y espero que me duren mucho tiempo. Trae tres tamaños de almohadillas para que se adapten bien a tus oídos.</t>
  </si>
  <si>
    <t>satisfecho Responde a las expectativas,la talla perfecta y muy cómodas Por experiencias anteriores el rendimiento es bueno,por ahora,ningún problema y fácil adaptación</t>
  </si>
  <si>
    <t>Comodas Comodas</t>
  </si>
  <si>
    <t>Reloj calculadora ligero Es un reloj muy completo que cumple lo que dice. Además de las funciones habituales, tiene calculadora, lo que lo hace muy funcional y cómodo.</t>
  </si>
  <si>
    <t>Muy bien cumple su objetivo Cumple su función pero si le pones fruta pesada como plátano le cuesta triturar</t>
  </si>
  <si>
    <t>Preciosos y de calidad Me han gustado mucho, la entrega fue en unos días. Los. Pendiente son. Muy finos y elegantes, brillan mucho y tienen muy biena calidad. Los compre porque tenia el colgante, y me los imaginaba un pocos mas grandes, pero aunque son pequeños son preciosos</t>
  </si>
  <si>
    <t>Muy buena. Tanto embalaje como calidad del producto es muy buena. Colocado en un Samsung Galaxy J3 sin problemas. Muy buena compra.</t>
  </si>
  <si>
    <t>esta muy bien es pequeñita pero matona. esta muy bien</t>
  </si>
  <si>
    <t>Calidad de sonido excelente y bien protegido Genial sonido, se adapta perfectamente de forma ergonómica y a su vez, el material es de bastante calidad. Me sorprendió la calidad que tenía el embalaje y lo bien protegido que llegó. Lo uso a diario y la verdad es que de 10.</t>
  </si>
  <si>
    <t>Relacion calidad precio insuperable Esteticamente es practicamente un calco del orient Mako 1, la diferencia es que este vale 50 euros y el orient 200 (sin entrar a valorar que uno es de pila y el otro automatico). Desmerece el casio respecto al orient?. en absoluto. Yo que tengo los dos puedo asegurar que la impresion que te da el casio nada mas verlo es de una calidad asombrosa para el precio que tiene. El armys podria mejorar un poco pero tampoco se le puede reprochar nada por el precio que tiene. La luminova es propia de relojes muchos mas caros (el orient no la tiene tan brillante por ejemplo), y tanto la caja como el bisel o la corona roscada tiene una gran calidad. Y tengo que volver a hacer incapie en el precio pues es lo mas sorprendente de todo, pues el aspecto, el tacto, el peso, los colores de la esfera y el bisel o el segundero en rojo, son detalles de relojes de mas de 200 euros. Un 10 para casio.</t>
  </si>
  <si>
    <t>Llegó a tiempo Llegaron en tiempo y forma,era para un regalo y no me defraudó el producto ya lo conocía pero al proveedor no nos quedamos encantados</t>
  </si>
  <si>
    <t>Muy chulo No es falso para nada. Viene con su caja, su garantía y todo igual que el que me compré hace unos años en el corte ingles. Es verdad que es mas ligero pero eso para mi gusto es mejor</t>
  </si>
  <si>
    <t>Anti cólico de verdad Sin duda los mejores biberones del mercado</t>
  </si>
  <si>
    <t>Perfectas Geniales</t>
  </si>
  <si>
    <t>TOP Llevo compradas ya 6 gafas!!! me las pidió mi suegra la primera vez por recomendación y de lo bien que funcionan están triunfando, las usan para manualidades y costura y flipan con ellas. Excelente compra 👍👌</t>
  </si>
  <si>
    <t>Recomendado al 100% Despues de 8 meses de uso diario, va como el primer dia, diria que en calidad precio es de lo mejor que hay en amazon, lo recomiendo al 100%</t>
  </si>
  <si>
    <t>Lo uso en mi canal de Youtube Muy contento con los resultados de este micro lavalier. Lo uso desde hace dos años en mi canal de Youtube "Editalo Pro" puedes ver el resultado en el siguiente video. https://youtu.be/YDngd18dg_o. La única pega es que se me despegó el acolchado que trae el micro, seguramente por el gran uso que le estoy dando. lo volvería a comprar. Importante: Este micrófono viene preparado para poder usar el movil como grabadora ya que trae la conexión TRRS para smartphones, sin embargo si lo queremos usar directamente en la cámara de video/fotos o en una grabadora será necesario que compres este Adaptador de TRRS a TRS http://amzn.to/2E98ldb</t>
  </si>
  <si>
    <t>Perfecta por su precio Creo que al precio que se consigue no se puede pedir mucho más. Amplia, con buena distribución interior (puedes además regular el tamaño de los compartimentos de monedas a tu gusto a lo ancho) y con la modalidad de cierre, apertura manual y apertura mediante impresora.</t>
  </si>
  <si>
    <t>Conector de plástico, no entra bien Como memoria USB, su funcionamiento es correcto. El problema es que el conector no es de metal, es de plástico, y un poco más grueso de lo normal, por lo que no entran bien, hay que forzar (y mucho) para encajar y desencajar el pendrive.  Válidos para un uso muy puntual. Mejor otro modelo con el conector de metal.</t>
  </si>
  <si>
    <t>Normalito No puedo quejarme demasiado porque lo he comprado por algo menos de 6€, pero la velocidad de lectura y escritura dejan que desear, teniendo en cuenta que es un USB 3.0 de la marca Kingston. Por lo demás, se nota de buen material y me gustan los usbs que puedo enganchar en mi llavero.</t>
  </si>
  <si>
    <t>Horrible Fatal horrible se marca todo y se transparenta</t>
  </si>
  <si>
    <t>No sé sabe cómo utilizar No sé sabe cómo utilizar</t>
  </si>
  <si>
    <t>Cumple su función El producto es bueno si se van a hacer masajes a domicilio, cumple con su función, los accesorios son muy básicos, sobre todo el de los brazos que se sujetan con dos varillas finas que no sujetan nada, salvo eso todo es aceptable, la recomiendo.</t>
  </si>
  <si>
    <t>Manejable Bastante útil es pequeña pero con gran capacidad.</t>
  </si>
  <si>
    <t>Bien Muy buen producto,no se desliza nada ideal para yoga ya q en ciertas posturas el calcetín me resbalaba en la esterilla pero con estos calcetines no se desliza nada</t>
  </si>
  <si>
    <t>Buena relación calidad precio, sonido bajito. Bastante elegante, relación calidad precio muy buena. El sonido bajito, entiendo que es para que dure la batería. La configuración algo tediosa.</t>
  </si>
  <si>
    <t>Buen producto Me a gustado mucho quedan muy bien recomendables 100%</t>
  </si>
  <si>
    <t>muy practico y comodo Es un bolso bastante practico y comodo. la calidad es muy buena. ya no me duele la espalda como con otro tipo de bolsos</t>
  </si>
  <si>
    <t>Bonita, completa y el café sale riquísimo Hemos probado todo tipo de cafeteras y estabamos ya acostumbrados a la italiana de toda la vida, hasta que hemos tenido la posibilidad de probar ésta. La ventaja que le encontramos es que puedes hacer más café de golpe y eso resulta muy útil, porque al final limpias cada más tiempo y no se te gasta tan rápido.  El funcionamiento es lo esperado, pero eso sí, no trae filtros y necesita de esos de papel del número 4. Que puede parecer una lata, pero me han dicho que a la larga es mejor, porque los permanentes terminan peor y no sueles cambiarlos. Además esos filtros de papel son tan baratos que no lo nota tu economía.  El sistema es sencillo: pones el filtro, rellenas el depósito, echas café (un cacito por taza) y listo, lo enciendes y a esperar. No tardará apenas nada en empezar a caer café en la jarra. Su capacidad es de 1,25L.  Una vez finaliza, si no la apagas, el café se mantiene caliente durante 40 minutos. Lo verás reflejado en un display analógico que irá subiendo.  El diseño es bonito y elegante, con un toque clásico de metal. La aguja roja también evoca tiempos pasados.  Nos ha gustado mucho el café que hace.</t>
  </si>
  <si>
    <t>Nike benassi jdi Preciosas zapatillas. Talla bien. Vendedor bueno. Todo genial</t>
  </si>
  <si>
    <t>Excelente El reloj ha cumplido todas mis expectativas, color muy bonito, se ajusta perfecto, fácil de configurar y envío súper rápido.</t>
  </si>
  <si>
    <t>100% recomendable Calidad precio excepcional. Encantados con la compra, tanto que repetimos siempre que las necesitamos .</t>
  </si>
  <si>
    <t>Impermeables Son muy comodas, además llevaba muchos años sin encontrar un calzado con el que no se me durmieran los pies.</t>
  </si>
  <si>
    <t>Piel firme Sirve para reafirmar la piel. Tiene mucha potencia</t>
  </si>
  <si>
    <t>Buena relación calidad/precio Muy buena compra, buenas zapatillas a precios muy bajo.</t>
  </si>
  <si>
    <t>perfectos bonitos, cómodos, resistentes</t>
  </si>
  <si>
    <t>todo ok grapa plateada como buscaba. todo ok</t>
  </si>
  <si>
    <t>Comodas Son unas mallas muy elásticas. De gran calidad. Me han hecho sudar mucho por el plastico que llevan en el interior. Me compré una S porque yo suelo usar una talla 36 y me quedan perfectas.</t>
  </si>
  <si>
    <t>Perfectos! Los uso para salir a correr y van perfectos. Es cierto que si te los aprietas mucho hacia dentro pueden molestar un poquito, pero al rato se van adaptando y ni te enteras que los llevas puestos. Para ver vídeos, a veces tiene un lag/retraso de milisegundos, pero nada grave. De momento estoy muy contento con ellos!</t>
  </si>
  <si>
    <t>Buen sonido.a buen precio La calidad de sonido es espectacular, se adapta perfectamente a la oreja. Además, eliminan ruido externo, con lo que la nitidez del sonido es perfecto.100% Recomendable</t>
  </si>
  <si>
    <t>Cancelación de ruido brutal El envío bien, menos mal que el paquete está bien protegido por Sony porque Amazon lo mete en una caja de cartón cutre y yasta. Los cascos increíbles, el sonido esta genial y tienen un bajo bastante bueno. No le veo pegas, quizás la textura que han usado en los laterales se mancha fácil pero ya. (huellas etc)  Los recomiendo !</t>
  </si>
  <si>
    <t>Las de siempre. Buen producto, tamaño A4, entra bien en mi impresora, y el precio mucho mejor que cogerlas sueltas en la papelería de barrio.</t>
  </si>
  <si>
    <t>La comodidad Me ha gustado en general todo, son muy cómodas. Llevo plantillas y se adaptan perfectamente. Uso este tipo de zapatillas como único calzado</t>
  </si>
  <si>
    <t>Muy buena El producto es excelente calienta muy bien y además son grandes y cubre toda la cama y es perfecta con sus dos dispositivos de encendido y apagado con tres niveles de calor</t>
  </si>
  <si>
    <t>Actua rapido sobre el dolor Actua muy rapido sobre el dolor, a mi en concreto para el dolor de espalada me calma al instante pero eso si, si es algo cronico al cabo de unas horas vuelve el dolor</t>
  </si>
  <si>
    <t>Auriculares Grandes , con un sonido mejorable Cuando llegaron los auriculares , tal cual a probarlos por los comentarios sobre la calidad que tenían de sonido , los saco de la cajita , los enciendo y se sincronizan sin problemas entre ellos , los conecto con un xiaomi note 7 y.... , hay va la calidad. Es una calidad de sonido de auriculares malos ,es decir , todo lo que escuchas son agudos , los bajos brillan por su ausencia , tal cual como se conoce este sonido " sonido a lata ". el tamaño de los auriculares es grande no entra en todos los oidos , y en cuanto a el adaptador que lleva varios tamaños el mas pequeño sigue siendo algo grande , imposible de usar.</t>
  </si>
  <si>
    <t>LS Es una Bandolera cómoda, pero de acabado mejorable. La cremallera superior hace un abombamiento que queda feo, por estar cosido de manera incorrecta</t>
  </si>
  <si>
    <t>Potencia, pero difícil de quitar el vaso de la batidora Bueno decir que compre uno reacondicionado, el problema que le veo que cuesta mucho sacar las elices y tengo que volcar la batidora entera para sacar el vaso, por lo demás tiene .mucha potencia.</t>
  </si>
  <si>
    <t>el material del bolso no tiene nada que ver el bolso en la foto tiene un color y un brillo que no tiene nada que ver con lo que te mandan a casa estuve a punto de devolverla deberian de poner la foto de lo que realmente te llega a casa que es de color marron claro y sin brillo</t>
  </si>
  <si>
    <t>No funciona bien No funciona nada bien. Se retrasa la hora o se queda parado. No satisfecho con este producto.gracias y un saludo.</t>
  </si>
  <si>
    <t>Funcionan a la perfección pero para sesiones largas pueden resultar incómodos Son unos excelentes auriculares, la relación calidad-precio es inmejorable y se escuchan que da gusto. Además, también incluye un estuche para su transporte, mejorando así su vida útil. El único inconveniente que les he visto es que quizás la parte del auricular es demasiado grande y a medida que ya llevas un rato con ellos se pueden hacer algo molestos. Pero para ir por la calle o realizar algún tipo de actividad física no están nada mal, lo mejor de su rango de precio.</t>
  </si>
  <si>
    <t>Muy bonito. Es muy fino, muy bonito. Queda muy bien puesto. Le doy 4 estrella y no 5 porque la cadena es demasiado fina, a cualquier tirón puede romperse. El resto fabuloso, llegó a tiempo y correctamente.</t>
  </si>
  <si>
    <t>Buena calidad a un precio de risa Genial la relación calidad-precio.  Mucho mejor de lo esperado</t>
  </si>
  <si>
    <t>Que es como en la foto Es un pendiente que me ha agrandado.</t>
  </si>
  <si>
    <t>Bueno Bolso, normalito, calidad precio bueno, lo recomiendo</t>
  </si>
  <si>
    <t>super cómodo la compramos porque el médico le recomendó a mi suegra,porque ella trabaja en restaurante y ella bastante dolorosa en la espalda,muy buena calidad de masajeador para ella le viene super cómodo,especualmente en el cuello relaja muchisimo y da una sensación de bienestar,cumple perfecta su descripción del artículo</t>
  </si>
  <si>
    <t>Recomendable Son comodisimas y muy fáciles de limpiar</t>
  </si>
  <si>
    <t>Calidad Llevo meses usando esta marca y estoy muy contenta. La unica pega que le pongo es que vengan con tetina del 3 y no con la de flujo variable, porque ya usando el tamaño grande de biberón se da por hecho que es para meter cereales y se necesita una tetina para liquidos espesos. Por lo demas muy contenta</t>
  </si>
  <si>
    <t>Muy bonitos Tela de gran calidad, aunque me quedan algo grandes</t>
  </si>
  <si>
    <t>Esta bien Esta bn</t>
  </si>
  <si>
    <t>Lo recomiendo 👍 Me gustó mucho y kedo super original todo bien y bien envasado en su caja todo correcto</t>
  </si>
  <si>
    <t>Muy buenos inalámbricos para Android El producto es de buena calidad para este precio, no se pueden comparar con los de la marca de la manzanita, ya que hablamos de otros rangos de precio, la caja de estos es mucho mas grande y los auriculares también son mas grandes, pero por un precio muy barato nos ofrecen una muy buena calidad de sonido y muy buena batería. Son cómodos de transportar y llevar a pesar de que la primera impresión al verlos y ponertelos es decir: wow, que grandes son! Pero son comodos y no pesan. La carga va por USB C y el cable viene incluido. Se emparejan muy rápido con Android, con iOS no se ya que no tengo uno disponible. Recomendados!</t>
  </si>
  <si>
    <t>Muy buen producto Este es el segundo que compro, el anterior esra un modelo similar, lo recomiendo 100%.</t>
  </si>
  <si>
    <t>Muy cómodos Los calcetines que mas me gustan, muy cómodos tanto en primavera como en verano, con deportivas, botas de trabajo o zapatos. Mientars existan los compraré. Lástima que el logo no sea tan aceptado por la sociedad cuando vistes de traje :D</t>
  </si>
  <si>
    <t>Buena, práctica y ligera Es lo que estaba buscando. Tiene suficiente potencia para limpiar toda la casa, la batería dura varios días si la usas de manera intermitente. Pesa muy poco y es muy manejable. Carga rápido y ocupa poco espacio</t>
  </si>
  <si>
    <t>Excelente. Súper rápido y súper ligero No puedo decir más que cosas buenas sobre este disco duro. Me ha sorprendido por lo rápido que funciona (sobre todo si lo conectas a un puerto thunderbolt) y por lo ligero que es. El acabado en aluminio es una pasada. Simplemente superior. Lo volvería a comprar sin duda. Espero que aguante bien el paso de los años. Confío en la marca Seagate, que nunca me ha defraudado.</t>
  </si>
  <si>
    <t>Genial Tenia dudas despues de leer algunos comentarios, pero despues de probarla, me parece simplemente genial. Tengo otra daga y estoy convencido de que es la mejor.</t>
  </si>
  <si>
    <t>bonito me gusta el diseño</t>
  </si>
  <si>
    <t>Geniales Geniales. Talla correcta, muy ligeros y cómodos. Entrega rápida</t>
  </si>
  <si>
    <t>Perezosi for life Es una chorrada pero muy graciosa, fue un detalle para mi pareja y consiguió sacarle una sonrisa, ya no hay TE sin perezosi.</t>
  </si>
  <si>
    <t>me gusta Me encata ,lo pongo todas las noches ,con diferentes esencias ,la verdad es que te relajas mucho y te ayudan a dormir,por lo menos a mi.</t>
  </si>
  <si>
    <t>Genial Encantada con tamaño y precio.</t>
  </si>
  <si>
    <t>Los que más me han durado Los mejores por su precio</t>
  </si>
  <si>
    <t>Batidora Es perfecta.... robusta y potente....de momento le doy un 10</t>
  </si>
  <si>
    <t>Una caca No me ha gustado nada no absorbe casi nada de agua.</t>
  </si>
  <si>
    <t>Kingston SDC10/32GBSP - Tarjeta microSD de 32 Funciona perfectamente. Se puede utilizar nada más comprarla, sin necesidad de formatearla No he probado las velocidades de lectura y de escritura pero lo utilizo en un Bq y el teléfono va de lujo.</t>
  </si>
  <si>
    <t>Aceptable Bonita y cómoda</t>
  </si>
  <si>
    <t>Avería El producto es perfecto, yo estaba contentísima con esta licuadora portatil. Hasta que empezó a aparecerme una luz azul, se jodio el motor, y al mes y unos pocos días de comprarla, dejó de funcionar. El periodo de devolución es de un mes, asique xao.</t>
  </si>
  <si>
    <t>Pizarra magica Por segunda vez recibo un corcho de pared en vez de una pizarra. Con algo de "cachondeo" se me indica que mire por las dos caras y si, después  de un exhaustivo análisis por mi parte y solicitando varias opiniones de gente conocida para contrastar opiniones.. SI, por la segunda también tiene corcho. Todo encaja, es un corcho con sus seis "rotuladores" de colores en forma de chinchetas. La primera vez que me pasa. Pero veo que no soy el unico. Viene de.Portugal así que hoy he aprendido algo nuevo, corcho en portugués se escribe PIZARRA</t>
  </si>
  <si>
    <t>Talla incorrecta Devuelta tres veces por talla incorrecta</t>
  </si>
  <si>
    <t>Cumple con la descripción. Todo bien, llego en buen estado. Fácil de limpiar, lo dudo porque el cristal parece muy fino, hay que tener cuidado. Pero es eficaz, rápido y bastante silencioso.</t>
  </si>
  <si>
    <t>Justo lo que aparece en la descripción. Buen precio y no engaña a nadie. Tetinas anticólico de silicona (personalmente prefiero las de látex pero no es problema del producto).</t>
  </si>
  <si>
    <t>El tamaño El único problema que tiene es que es un poco pequeña, un poco más grande hubiera sido perfecta</t>
  </si>
  <si>
    <t>Perfecto... hasta que falla Mi primera hija se crió con esta misma tetina, no nos dió nunca un problema y la verdad es perfecta para su cometido (evitar que el bebe abandone el pecho y permitir que la lactancia en biberón sea similar a la del pecho).  Por qué mi problema y mi queja? decidimos comprar biberones y tetina nueva para mi segunda hija por no reutilizar las antiguas... ha durado dos meses literalmente dandole el mismo uso que a la primera.  Por alguna razón tras dos meses de uso sin problemas el sellado con el cuerpo del biberón ya no se hace correctamente (por mucho que aprietes) y el biberón gotea por la unión cuerpo-tetina. No es un desastre, sigue siendo utilizable pese a mancharte las manos, pero ya se me han ido dos tetinas con el mismo problema.  Parece que el anillo finito de goma que va integrado en el cuerpo de plástico rígido (donde cae el cuerpo del biberon y hace el sello) se deforma o se machaca (pese a no apretarlo en exceso) y termina por no sellar bien y fugar...  Curioso que en el primero no me pasase tras más de un año de uso y que esta vez me haya pasado cada dos meses... (?)</t>
  </si>
  <si>
    <t>Guay Bonito y ligero</t>
  </si>
  <si>
    <t>Buena calidad Me ha encantado este microfono, calidad-precio excelente y muy versatil</t>
  </si>
  <si>
    <t>se adapta perfectamente buen material, se adapta perfectamente y cumple su función correctamente, ahora sólo queda poner el cuerpo como el típico de la foto jajaja</t>
  </si>
  <si>
    <t>Bolso de hombre perfecto para añadir cualquier cosa que suelas llevar en los bolsillos. El hombre moderno no tiene necesidad de llevar sus objetos personales en los bolsillos, como todos sabemos es realmente incomodo, y afea demasiado nuestro estilismo, ya nos hemos quitado el roll de los 7s0 y 80s, ahora podemos llevar bolsos, bandolera, mochilas, o lo que realmente nos guste.  Las bandoleras de hombre van teniendo mucho protagonismo en los looks masculinos con sus diseños bonito y estiloso. Ahora, los complementos no son algo exclusivo de la mujer y la comodidad se rinde por completo a estas piezas prácticas con una gran variedad de modelos y colores diferentes. Los bolsos servían únicamente a la mujer, mientras el hombre se conformaba con pequeñas bolsas atadas con un cordel para guardar su dinero. Ahora, la tecnología ha hecho impensable su uso para albergar aparatos de telefonía móvil, tablets e incluso portátiles.  Este bolso bandolera es realmente cómodo, practico, y nos libera de la carga de llevar nuestros objetos personales en los bolsillos, confeccionado en lona y con unas terminaciones muy cuidadas, tiene una calidad fuera de toda duda.  Existen opiniones diversas de como llevar un bolso bandolera, algunos estilistas comentan que en el hombro donde cae el bolso, y otros en el hombro opuesto, en mi opinión, creo que lo llevaré donde más cómodo este en ese momento.  En definitiva, este bolso bandolera es cómodo, útil y es un buen complemento par el hombre moderno sin importar la edad.  Producto cedido por  SinoEshow para su análisis.</t>
  </si>
  <si>
    <t>Me relaja mucho!! La iluminación intermitente me encanta!! Deja un ambiente relajado... por tamaño... me gustaria que fuese un pelin mas pequeño pero bueno eso para gustos y sitio que tengas para dejarlo por lo demas todo genial</t>
  </si>
  <si>
    <t>Un reloj superior al resto Tiene una calidad de construcción muy alta. El cristal despues de un uso intensivo se ve como el primer día, resistente a ralladuras y al agua del mar. La correa también como el primer día después de muchos baños. El único pero que se le puede poner es el material fluorescente de las manecillas que no dura demasiado en la oscuridad como si lo hace en los orient.</t>
  </si>
  <si>
    <t>Perfecto Especial para IPad junto con una funda con teclado. Es perfecto para leer, escribir, y se apoya fácilmente en el brazo de una butaca o en una mesita de apoyo. Perfecto</t>
  </si>
  <si>
    <t>Calidad precio estupendo. Estupendo buenos y bien acabado bien de talla q es importante para el q tiene el pie grande es dificil encontrar calzado, de precio estupendo.</t>
  </si>
  <si>
    <t>Buena relación calidad precio Son muy cómodas, las utilizo principalmente para ir a cazar, impermeables</t>
  </si>
  <si>
    <t>Muy buena relación calidad precio Muy buena esta manta eléctrica. Se ajusta muy bien a la espalda. Me vino como mano de santo para una contractura en el trapecio. Calienta rápido y el tacto es muy suave.</t>
  </si>
  <si>
    <t>Muy buena calidad de construcion y buen sonido Producto muy bien embalado, llego correctamente, muy buena calidad en materiales y buena calidad de sonido pero no excelente.</t>
  </si>
  <si>
    <t>Tetina cereales Tetina de flujo rápido para leche con bastante cereal que la engorde.</t>
  </si>
  <si>
    <t>CONVIERTE TUS PAREDES EN PIZARRAS Lo compré porque me resultaba muy útil para el estudio y me parecía muy buen precio. Se trata de un rollo de vinilo hecho con material típico de las pizarras blancas de clase de unos 200 cm de largo cuyo reverso está compuesto de adhesivo, cosa que nos permite pegarlo a cualquier pared o superficie. Incluye además tres rotuladores negros con imán que se acoplan perfectamente. Es un objeto tremendamente últil para el estudio: Te permite convertir en pizarra cualquier pared de la habitación. Además puedes gastar el trozo que te apetezca y guardar el sobrante para otra ocasión o incluso volverlo a guardar una vez concluyes.</t>
  </si>
  <si>
    <t>Recomendable y fiable El único pero que veo, es que la garantía no viene sellada..  fue un regalo y la verdad es que le encantó!</t>
  </si>
  <si>
    <t>Cómodo y buena sujeción Segundo sujetador que compro. Queda a la perfección si compras la talla que te indica la tabla según tus medidas. No me guié por mi talla normal. Sujeta el pecho perfectamente sin aplastarlo.</t>
  </si>
  <si>
    <t>Bien Super buenas, las tiene mi hijo todo el invierno y estan todavia nuevas, son irrompibles seguro que repito para la próxima vez</t>
  </si>
  <si>
    <t>perfecto funciona muy bien, y hace muy bien su cometido no se calienta en exceso y va fenomenal para lo que lo queremos.</t>
  </si>
  <si>
    <t>Reloj bonito e indestructible Es un reloj muy bonito y resistente en todos los aspectos. No tengas miedo de comprarlo por que creas que es muy grande. Tiene un tamaño contenido y queda muy bien en la muñeca. Cierto es que este reloj lo compraría en una joyería o tienda oficial, porque he comprado dos casio ga 100 por Amazon y el primero era una réplica y el segundo no estaba muy claro que fuera original, por lo que decidí devolverlo y comprarlo en una tienda oficial.</t>
  </si>
  <si>
    <t>Atractivo pero únicamente en la foto El reloj carece de visibilidad nocturna, además durante el día el contraste de los dígitos horarios con la esfera es casi nula con l cual poca visibilidad. Vamos que de la foto a la realidad hay una gran distancia.</t>
  </si>
  <si>
    <t>Es grande y de buena calidad Es de buena calidad, es grande y tiene bien almacenaje, a mi pareja le ha gustado, porque tiene bastantes compartimentos y todo está en su lugar</t>
  </si>
  <si>
    <t>Todo bien Todo bien, no hay apenas ruido, solo se aprecia más cuando se calienta.</t>
  </si>
  <si>
    <t>Un 42 que parece un 38 Mi pedido llegó en el tiempo esperado pero mi sorpresa es cuando las saco y me las pruebo, o mejor dicho... lo intento. Mi sorpresa es cuando calzando un 42 y habiendo pedido un 42 está zapatilla no es que me quedé pequeña, es que no soy capaz ni de introducir medio pie. Ahora tengo que descambiarlas, pedir otra de un tamaño que no se si será el adecuado para mi pie y mientras tanto seguiré sin poder usar un producto que debería de estar pudiendo utilizar mañana en mi día a día.  ¿Acercaré con el 44?, Pues no lo sé. Si los números que indicáis no se corresponden con el real deberíais indicarlo o al menos informar de que la talla es pequeña, nos evitaríais devoluciones y nos evitaríais enfados como el que ahora mismo tengo</t>
  </si>
  <si>
    <t>Adidas Superstar Los he devuelto porque no son los Adidas superstar originales. Son de mala calidad, ni siquiera son de piel. La plantilla interior dice Adidas en lugar de Ortholite. Yo  tengo los originales en otro color y al compararlos se ven  muchísimas diferencias.</t>
  </si>
  <si>
    <t>me gusta Mirando lo por el punto de vista calidad precio me parece un pendrive muy bueno, estéticamente me gusta su Material  es resistente y compacto el tamaño  es adecuado ni es micro tipo boton ni es grande en exceso es decir tiene un buen agarre tanto para introducirlo en la unidad USB como para retirarlo pero no se ve escesivo, sinceramente es uno de los pendrive q mas me a gustado en los ultimos años. En cuanto a calidad como producto aún lo estoy testeando pero Kingston es una marca q realmente me da confianza un saludo</t>
  </si>
  <si>
    <t>un poco endeble pero para el precio no se puede pedir mas tamaño grande, genial para poner los dibujitos de los peques :) aunque es un poco endeble.</t>
  </si>
  <si>
    <t>Cómodos para entrenar No he dado 5 estrellas porque la talla viene muy justa!  Leggings son de buena calidad, cómodos de llevar y útil a la hora de entrenar, no se transparentan y resisten. Hago crossfit regularmente y hasta ahora aguantan! Los sudores entre piernas, glúteos, etc.. no se aprecian!!  La talla viene justa, personalmente recomendaria comprar 1 talla más ya que vienen apretaditos (leggings son talla M y sujetador deportivo talla S). Diseño genial, costura buena y buen material. Buen producto respecto calidad/precio. Los recomiendo</t>
  </si>
  <si>
    <t>Muy recomendable Recomiendo este producto 100% es cómodo ya que tiene muchas posiciones, el material me gusta es de plástico yo lo prefiero así porque así no pesa y es fácil de transportar y tiene una medida ideal.</t>
  </si>
  <si>
    <t>Una mopa práctica y eficaz Esta es una mopa que prácticamente NO PESA (su peso es de 350 g) pero resulta super práctica para limpiar el suelo a diario porque sus paños atrapapolvo son muy eficaces.  Viene con el PALO y el MANGO desmontados en cuatro piezas, tres piezas de aluminio y una cuarta pieza de aluminio recubierta por la pieza del mango propiamente dicha, que es bastante ergonómica y antideslizante. Es tan fácil montarlos como, llegado el caso, desmontarlos. Una vez montado, el conjunto es ROBUSTO y se mantiene firme mientras estás limpiando (quiero decir que no tienes la sensación de que se te va a desmontar en cualquier momento). Tiene una longitud total de 124 cm, longitud que me parece adecuada para personas de casi cualquier estatura porque podemos agarrar el palo o bien por el mango o por cualquiera de sus secciones. El mango lleva una arandela en el extremo superior que nos permite guardar la mopa colgada de un gancho en la pared.  La MOPA propiamente dicha (es decir, el cabezal) mide 25 x 11 cm y en la parte superior tiene unas hendiduras de goma donde se fijan los paños atrapapolvo. Están muy bien diseñadas porque los paños no se sueltan jamás. En la parte donde va fijado el palo tiene una rótula que puede girar 360º. Eso facilita llegar a cualquier rincón de la casa y poder limpiar debajo de los muebles aunque el espacio entre ellos y el suelo sea poco (cuando la ponemos plana, la mopa y la rótula miden unos 5 cm de altura).  Como decía, en conjunto con los paños de la misma marca es MUY EFICAZ para atrapar el polvo del suelo, incluso entre las junturas de las baldosas. También atrapa el pelo de las mascotas. Evidentemente, no limpia tan a fondo como un robot aspirador pero hace muy bien su trabajo con la ventaja añadida de que puedes pasar la mopa por debajo de los muebles donde el robot no llega porque es demasiado alto.  El kit viene con la mopa y 8 recambios, específicamente, paños secos. También tenemos la opción de comprar toallitas húmedas y así nos evitamos fregar el suelo (por ejemplo&amp;nbsp;&lt;a data-hook="product-link-linked" class="a-link-normal" href="/–-Swiffer-toallitas-húmedas-x24/dp/B003NGXDKM/ref=cm_cr_getr_d_rvw_txt?ie=UTF8"&gt;– Swiffer toallitas húmedas x24&lt;/a&gt;).  Los paños secos se pueden lavar a mano (yo no me he atrevido a meterlos en la lavadora), y así los podemos reutilizar una vez más.  A mí me parece un kit con una buena relación calidad-precio.</t>
  </si>
  <si>
    <t>Confiabilidad Perfecto</t>
  </si>
  <si>
    <t>Buena relación calidad-precio Sorprendido gratamente con los estos auriculares en un rango de precio económico. Cable aparentemente resistente. Conectores y auriculares en metal que le da un toque de calidad. La caja viene con una bolsa de transporte, una pinza para sujetar el cable y reemplazo de almohadillas. Son muy cómodos y se me acoplan incluso para correr. Sonido con buenos graves y nitidez más que buena. El auricular sella bastante bien en el oido y no se recibe ningún sonido del exterior</t>
  </si>
  <si>
    <t>PRECIOSO Y SIENTA GENIAL Estoy muy contenta de haber comprado estas mallas deportivas. Son de muy buena calidad y por fin vuelvo a tener buen tipo.Sientan de maravilla. LA RECOMIENDO.</t>
  </si>
  <si>
    <t>Calidad precio ideal. Perfecta y precio bueno.</t>
  </si>
  <si>
    <t>Cumple su función correctamente Cumple su función correctamente</t>
  </si>
  <si>
    <t>Súper chulas Super chulas</t>
  </si>
  <si>
    <t>Ok Perfecto</t>
  </si>
  <si>
    <t>Perfecto Va muy bién para limpiar las cuchillas de la termomix. Llega a todos los rincones, estoy contenta con el cepillo.</t>
  </si>
  <si>
    <t>Perfecto, lo esperado Ya lo conocía porque he tenido otro igual y se ajusta perfectamente a lo esperado. Lo recomiendo sin duda alguna</t>
  </si>
  <si>
    <t>Conocido Es la seguna vez que compro este modelo. El primero se averió pero cumplió muy bien 5 años. Respecto al tamaño decir que lo veo lógico y ligero (algo que valoro mucho), no como  los "escudos medievales" que tan de moda estan ahora. Perfecto para mi.</t>
  </si>
  <si>
    <t>buena tarjeta No sé si será buena o es que he tenido suerte, pero por ahora de lujo.  La tengo montada en una raspberry que (entre otras cosas) saca fotos y timelapses cada 10-20' (los ficheros rondan los 2MB-300MB). Al estar alimentada por placa solar, los cortes repentinos son habituales, y creo recordar que no he tenido ni un problema en 1 año (cruzo los dedos...). La temperatura de funcionamiento no creo que haya bajado de 5ºC, pero en verano sí que habrá estado por los 40ºC-50ºC.</t>
  </si>
  <si>
    <t>Calidad precio muy buena. Me gustan mucho me los puse hace 10 dias y aún no me los he quitado son comodos y no dan alergia.</t>
  </si>
  <si>
    <t>Perfecta. Repetí y repetiré Ideal. Tanto que acabé comprando más para mí y para casi toda mi familia... El tallaje adecuado. La parte de dentro es súper suave, se adapta genial al cuerpo y además se seca muy rápidamente. A pocas cosas puedo darle tan buena puntuación. Por ponerle un pequeño pero: las de color oscuro destiñen algo (poco) si llevas otra prenda clara.</t>
  </si>
  <si>
    <t>Anónimo Ya he tenido botas de esta marca y sigue cumpliendo en comodidad y calidad. Buen producto y buen precio, recomendable</t>
  </si>
  <si>
    <t>Bueno para lo que es Sobre la evaluacion de si alivia el dolor , todo depende de cada persona esa pregunta deberia sobrar ya q no es un medicamento.</t>
  </si>
  <si>
    <t>Ancho no coincidente Al hacer la compra indicaba que era de ancho especial 2E, el producto es de ancho estándar.</t>
  </si>
  <si>
    <t>Perfectos! Son los zapatos más cómodos que me he puesto nunca, los recomiendo 100%!!</t>
  </si>
  <si>
    <t>muy bueno Me gusta todo cómodo</t>
  </si>
  <si>
    <t>Oscar Buen cepillo de terciopelo para los discos, no ralla y quita las motas de polvo fácilmente, como pega la tapa que contiene el cepillo limpiador es un poco floja.</t>
  </si>
  <si>
    <t>Decepción Buenas, me a llegado el abrigo hoy y resulta que el bolsillo interior esta roto y tiene un agujero</t>
  </si>
  <si>
    <t>Buen sonido, pero malos en todo lo demás. La calidad del sonido es buena, pero los materiales de fabricación son malos (se me rompieron a las pocas semanas de usarlos) y la forma de los cascos es muy incómoda, hasta el punto de hacer daño. Y si tuviera que devir más, le falta un controlador de volumen además de un botón para pausar la música y saltar canciones.</t>
  </si>
  <si>
    <t>Meli Número muy pequeño</t>
  </si>
  <si>
    <t>FALSO Es falso,no lo compre pero algunos modelos de las fotos son falsos miradlo por internet</t>
  </si>
  <si>
    <t>Ojo, lo barato es barato por algo Para lo que es y el precio que tiene, es lo que se describe. Sencillo, barato y útil. De momento me funciona perfecto y efectivamente es resistente al agua para actividades normales de natación en agua dulce. Corrijo tras unos pocos meses de uso: cambié la pila al mes porque dejó de funcionar. Ayer de nuevo igual. Resultado: reloj a la basura.</t>
  </si>
  <si>
    <t>Bien He tenido el reloj durante varias semanas. Hace todo lo que se reclama. Lo compré porque quería un dial fácil de ver sin necesidad de usar mi lectura gafas. Me visto 24/7 incluso en la ducha sin  problems  I have had the watch for several weeks.  It does all that is claimed.  I bought it as I wanted an easy to see dial without the need to wear my reading Spectacles.  I wear 24/7 including in the shower without any problem</t>
  </si>
  <si>
    <t>Muy altas de atras Me pedí un 37 que es la talla que usó y me queda un pelin grande, eso lo he solucionado poniéndole unas plantillas,  cumplen su función, no resbalan y son bonitas pero el fallo es que son demasiado altas del talón y cuando haces una jornada de 10 o 14h acabas con los pies y las piernas destrozadas, es casi como trabajar en tacones.  Para jornadas de trabajo cortas son ideales porque la con la cámara de aire parece que Andes flotando, el fallo es la altura del talón</t>
  </si>
  <si>
    <t>Correcto Un poco más pequeño de lo q esperaba. El diseño es muy bonito</t>
  </si>
  <si>
    <t>Cómoda y buena organización Aunque el archivador es de plástico es muy cómodo para la organización de los documentos y con gran capacidad.</t>
  </si>
  <si>
    <t>buena relacion calidad precio Buena calidad para el precio siendo una marca cara</t>
  </si>
  <si>
    <t>Calidad garantizada Vale la pena comprarlos, la gente que esta detras de este producto son personas que trabajan para mejorarlo dia tras dia y eso se nota, nada mas comprarlo antes de que me lleguen me di cuenta ya que me enviaron un correo dando las gracias por comprarlo y esque nada mas ver los auriculares notas que lo tienes muy bien cuidado, son comodos, tienes un cable resistente y bonito. Recomendado si quieres unos auriculares de calidad.</t>
  </si>
  <si>
    <t>Perfectos Para el precio que tienen me han sorprendido mucho. Buen sonido y el control funciona cosa que con otros no pasa.</t>
  </si>
  <si>
    <t>Me venia grande Pedí mi talla habitual en zapatillas pero en este estilo me vino mas grande, recomiendo comprar un numero menos al usual. Sin embargo pedí el cambio, y llego a los tres días el otro par. Lo recomiendo.</t>
  </si>
  <si>
    <t>La rapidez Conforme con el pedido</t>
  </si>
  <si>
    <t>Perfecto en todo! El producto es de silicona y acero inoxidable. Precio/calidad inmejorable, de fácil uso y lavado. Lo recomiendo 100%, compra estupenda.</t>
  </si>
  <si>
    <t>El precio es impresionante y lo consigues RÁPIDO !! ¡AMO este artículo!¡AMO este artículo!&amp;nbsp;Tengo Amazon Music en mi teléfono y ahora esto hace que sea mucho más fácil no mencionar la posibilidad de contestar llamadas.&amp;nbsp;El precio es impresionante y lo consigues RÁPIDO !!</t>
  </si>
  <si>
    <t>Una maravilla muy funcional Me han dejado bastante sorprendido,lo quería para escuchar música,pero probando me he dado cuenta que son súper versátiles, lo mismo los puedo usar de manos libres para hablar por teléfono (tanto por cable como por BT) que los puedo usar de auriculares con micrófono para la Xbox, conectándolos con cable al mando con un adaptador de CTIA a OMTP. Muy contento con la compra.</t>
  </si>
  <si>
    <t>Oriculares Me van estupendamente asta para descolgar llamadas del oricular incluso con otra marca de tlf con un xiaomi</t>
  </si>
  <si>
    <t>Buena batidora Por ahora no me ha dado ningun problema. Funciona correctamente y se puede desmontar rapidamente para limpiarla. La recomiendo</t>
  </si>
  <si>
    <t>Perfecto Es muy bonito lo compre para mi padre que no ve muy bien y está contentisimo</t>
  </si>
  <si>
    <t>Es bueno Hace su función en corta duración,</t>
  </si>
  <si>
    <t>Pequeña y espaciosa Fabuloso para el día a dia entra perfectamente la cartera el móvil las llaves y alguna cosita mas</t>
  </si>
  <si>
    <t>Muy bonitos y sencillos A mi señora le han encantado. No pesan nada de nada y dice que son cómodos. Por tema de diseño son muy bonitos y sencillos a la vez. Los recomiendo. Además, como detalle, es algo que llama la atencion y seguro que gusta.</t>
  </si>
  <si>
    <t>Ok Cómodos las tallas son muy muy justas</t>
  </si>
  <si>
    <t>Auriculas bluetooth Me han gustado mucho estos auriculares bluetooth. Los encuentro una buena opción por su relación calidad-precio. Son muy cómodos de usar, no molestan aunque los utilices durante mucho tiempo seguido como es mi caso. El funcionamiento es muy sencillo y el emparejamiento con el reproductor no me ha dado en ningún momento problemas. Vienen en una caja o estuche de carga con batería de 800mAh, que permite cargar completamente los auriculares entre 7 u 8 veces antes de tener que volver a cargar la batería. La verdad es que se escuchan muy bien; yo los utilizo en el gimnasio y siempre se han escuchado de forma nítida. Por ahora estoy muy satisfecha con la compra.</t>
  </si>
  <si>
    <t>Muy buenas Son muy comodas la verdad para trabajar son perfectas y son bastante transpirable s  y son muy ligeras muy buen producto</t>
  </si>
  <si>
    <t>Diseño inmejorable Excelente diseño en acero inoxidable. Funciona muy bien.</t>
  </si>
  <si>
    <t>No es lo que buscaba Solo lleva el refuerzo para sudar en la cintura, no en todo el pantalon</t>
  </si>
  <si>
    <t>Esta bien pero es pequeño el artículo esta bien. Sin embargo, no es lo que esperaba ya que el reloj es bastante pequeño para una muñeca adulta normal. No se si al momento de comprarlo no vi bien las especificaciones, pero creo que no estaban bien puestas. En fin, solo digo que hay que tener cuidado por que puede ser mucho más pequeño de lo que creen.</t>
  </si>
  <si>
    <t>Frágil Mala calidad</t>
  </si>
  <si>
    <t>Asqueroso Pone que es un soporte de microfono universal, al intentar usarlo para el mio le ha rayado al completo que esta practicamente para tirar, y logicamente no se hacen cargo de la reparacion ni sustitucion del microfono</t>
  </si>
  <si>
    <t>Para usuario doméstico más que suficiente Apta solo para una guitarra y voz simultánea</t>
  </si>
  <si>
    <t>Ajuste perfecto en el pie Se ajustan perfectamente al pie, lo cual es importante a la hora de hacer rutas por la montaña. Pero, para mi gusto, ejercen demasiada presión en el tobillo (y mis tobillos son muy finos)  y puede hacer que se hinchen los pies mientras caminas.</t>
  </si>
  <si>
    <t>Barato y robusto Después de valorar los diferentes formatos de pendrive y las muchas marcas existentes, me decidí por este por los comentarios que había de robustez y el precio tan competitivo. Me encanta el diseño, es pequeño, elegante y parece duradero, el único pero que le pondría es que sería interesante que incorporara un led indicador de escritura/lectura de datos.</t>
  </si>
  <si>
    <t>ENCANTADA Llevo usandolo unas semanas y es justo lo que necesitaba. No ocupa mucho espacio y como no almacena el zumo (Se vierte directamente en los vasos) puedes exprimir mucho o poco sin tener que estar vaciando la jarrita. Es facil de limpiar y de material resistente. El precio me parecio adecuado.</t>
  </si>
  <si>
    <t>Buen producto Me parece comodo, buen tejido y abrigo</t>
  </si>
  <si>
    <t>Buenas Cómodas,que decir de ellas,son havaianas!!!</t>
  </si>
  <si>
    <t>Mejor de lo esperado Hierve el agua en nada de tiempo. Las infusiones se preparan en un momento ya que la jarra se extrae de la base y es termo. Calidad precio excepcional al menos cuando yo lo compre. Llego antes del tiempo marcado. Dispone de recoge cables en la base. A la hora de comprarlo hay que tener en cuenta que es un aparato con alta potencia ,mas de 2500 w., si bien esto es lo que hace que el agua hierva en un periquete.</t>
  </si>
  <si>
    <t>Compra perfecta Las zapatillas son perfectas, me encantan y llegaron antes de lo esperado. Estoy encantada con esta compra. Además son muy comodas</t>
  </si>
  <si>
    <t>Fscil de usar y limpiar Esta muy bien calidad precio</t>
  </si>
  <si>
    <t>Muy cómoda Super cómoda, tamaño correcto. Quizás algo pequeña para viajes. Materiales de primera calidad.</t>
  </si>
  <si>
    <t>Divertido y entretenido Viene desmontado...pero si sigues las instrucciones es bastante fácil, aunque lleva su rato. Un regalo muy original ya que puedes decorarlo como a ti más te guste. Vienen muchas cositas en una bolsa, es divertido y entretenido. Una idea genial.</t>
  </si>
  <si>
    <t>Perfectos Había comprado ya otros productos de esta marca y me había gustado mucho la presentación: envío, complementos, instrucciones,.. y los auriculares no lo son menos: la caja viene con almohadillas de repuesto, pinzas de sujección, todo bien acabado y embalado. El sonido de los auriculares, estupendo de momento.</t>
  </si>
  <si>
    <t>Buena calidad Nos en canto mi nieto esta como loco con su sudadera</t>
  </si>
  <si>
    <t>Gran compra aunque algo cara Gran hervidor de Bosh, el cual te deja calentarlo hasta 70, 80, 90 o 100 grados y que se apaga sólo al llegar a la temperatura deseada. Calienta desde medio litro hasta un 1.5 L.  Es bonita y funciona perfectamente</t>
  </si>
  <si>
    <t>Suave olor a limón. Me ha encantado este aceite. El envío fue muy rápido. Lo que más me gusta es el suave olor a limón que deja. Muy dulce pero nada empalagoso. Yo lo utilizó en un difusor de esencia y se disuelve genial. Lo utilizó por sus propiadades que utilizadas en aromaterapia son energizantes, antiinflamatorio. Es intenso pero suave. Se puede usar también para fregar. Una gota o un par en el cubo de la fregona y perfuma la casa. Muy recomendable</t>
  </si>
  <si>
    <t>Buen reloj Muy buena relación calidad precio En azul muy bonito y elegante Creo que merece la pena comprarlo sin duda alguna</t>
  </si>
  <si>
    <t>Muy útil para el día a día La verdad es que lo compré para probar y lo he utilizado cada día desde que me llegó. No ocupa nada de espacio (lo tengo montado en un rincón de la cocina), es muy cómodo de usar y también de mantener limpio, no pesa nada, y recoge las partículas incluso mejor que una escoba normal! Está claro que me ha sorprendido muy positivamente.</t>
  </si>
  <si>
    <t>Sencillo y bonito. Esta muy bien para regalar o para una misma. Es sencillo y muy bonito. La. Cadena es de la medida correcta, llega a la barriga perfectamente para que el bebe lo pueda oír sin problemas ad. Llega bastante rápido.</t>
  </si>
  <si>
    <t>Está bien Sin problemas, justo lo que esperaba, preciso, cómodo y muy útil el hecho de poder cambiar el cabezal para usar la guía que quieras</t>
  </si>
  <si>
    <t>No son zapatillas para darles mucha dureza . Enseguida se rompen Un poco descontento se despegó la suela el 1 día . El fabricante amablemente me dijo , me enviaría otras , después de 3 meses no he recibido nada .</t>
  </si>
  <si>
    <t>Mucho mejores que las imitaciones Son para mi hijo, y ha notado un cambio enorme entre unas sandalias similares de una marca blanca y éstas. Si se vana usar intensivamente merece la pena la diferencia de precio.</t>
  </si>
  <si>
    <t>Muy bonito Tal como lo describen</t>
  </si>
  <si>
    <t>Cómodísimas Las uso para trabajar en el hospital y son muy cómodas. Yo uso la talla 38, y me cogí la talla 37-38 y me quedan perfectas!</t>
  </si>
  <si>
    <t>Incomodísimos La calidad del sonido es buena y la sincronización con iPhone es muy sencilla. Ahora bien, son increíblemente incómodos. Son muy voluminosos y cuesta encajarlos en el oído, además de que los ganchos que tienen para que se te agarre bien el auricular a la oreja dan más problemas que otra cosa</t>
  </si>
  <si>
    <t>que cubre mis espectativas Estoy  contenta con esta compra. Gracias</t>
  </si>
  <si>
    <t>Me gustan pero no me encantan Cuando llegaron a la casa no me terminaron de convencer, pero son buenas zapatillas si las piensas utilizar mucho para hacer deportes, o incluso para no dañar tus otras zapatillas, ese fue el uso al que yo personalmente le daré</t>
  </si>
  <si>
    <t>Se descosen sólo con llevarlas puestas Se rompieron,  se descosieron al segundo día llenandolo todo de semillas. Y eso, sin andar con ellas y con el número de pie adecuado</t>
  </si>
  <si>
    <t>Talla Los devolví por ser muy anchos.</t>
  </si>
  <si>
    <t>No funciona con la mayoría de los dispositivos incluido el ordenador No funciona con el ordenador, ni con la grabadora externa ni con entradas de line in. Practicamente inservible. Deberían distribuirlo con algún adaptador a entrada jack corriente.</t>
  </si>
  <si>
    <t>Bien Fácil de usar, no hace ruido aunque no lo usamos durmiendo. Es bonito</t>
  </si>
  <si>
    <t>Buen tamaño y calidad por el precio que es Está bastante bien por el precio que es, no le pongo 5 estrellas porque al escribir se mueve un poco.</t>
  </si>
  <si>
    <t>Correcto Envío rápido y  sin problemas. El embalaje correcto, y bien protegido. El acabado no es tan perfecto como se ve en las fotos, es lo que tiene cuándo las joyas tienen más photoshop encima del que debieran.</t>
  </si>
  <si>
    <t>Zapatillas Las tengo hace un mes ,y de momento todo bien son cómodas ligeras y bonitas, quizás un pelín grandes pero nada exagerado, tengo más zapatillas de esta marca, y supongo que estas seran algo más grandes por el modelo...</t>
  </si>
  <si>
    <t>Genial La calidad del sonido y la claridad son máximas. La música se escucha perfectamente. La única pega es que no cuente con botones en el cable para cambiar la canción o pasarla.</t>
  </si>
  <si>
    <t>Buena compra Son muy útiles,  yo cogí un paquete y las tengo en el maletero, siempre a mano. Un básico</t>
  </si>
  <si>
    <t>Lo volvería a comprar! Compré este álbum para hacerle un regalo a mi pareja. Considero que es de muy buena calidad en relación al precio que tiene. incluye muchísimas páginas y son robustas (yo llegué a enganchar hasta 4 fotos por delante y detrás y seguían recias). Además incluye pegatinas y bolígrafos para decoración. Muy buena opción si quieres hacer un regalo diferente y propio. Personalizable 100%.</t>
  </si>
  <si>
    <t>Buena calidad Un producto con bastante calidad</t>
  </si>
  <si>
    <t>EXCELENTE FUE UN REGALO PARA MI SOBRINA  ESTA ENCANTADA.</t>
  </si>
  <si>
    <t>Perfecto para mi actividad deportiva Un producto que he adquirido ya varias veces, perfecto</t>
  </si>
  <si>
    <t>comodas y calentitas el tallaje es bueno, pensabamos que quizas podia ser un poco grande pero que va! es la talla ideal. las zapatillas son muy comodas, no son muy altas ni muy bajas. son muy calentitas y de tacto suave. me gusto mucho el color, es mas bonito en persona que en la foto.  en resumen unas zapatillas comodas y que se adaptan a la perfeccion al pie</t>
  </si>
  <si>
    <t>Muy muy bonito Lo estuve comparando con el Lorus RXD425L8, al final me quedé el Lorus por ser de titanio, pero este me encantaba, la correa tiene un tacto súper-agradable, los números de las horas brillan en la oscuridad, la legibilidad es genial, y el contraste de las agujas con el fondo negro es estupendo. Si hubiera sido de titanio, aunque hubiera sido más caro, ni me lo hubiera pensado, estuve a punto de quedármelo de todas formas, pero al final el diámetro me parecía excesivo, y no me hacía falta otro reloj.  Si te gustan los relojes con este diámetro, es una gran elección, para mucha gente los Lorus como el que me he quedado son pequeños.</t>
  </si>
  <si>
    <t>Disco duro funcionado en MacBook El disco funciona perfectamente en un Macbook A1278.  La instalación de hardware es muy sencilla; se reemplazó el disco anterior por este Crucial en el Macbook Pro A1278 (Core i5, 2011), y una vez instalado el hardware se formateó e instaló el sistema operativo MacOS High Sierra. Ante cualquier duda, la propia página web de Crucial tiene instrucciones tanto en inglés como en español para instalar, formatear y usar en Mac; también tiene soporte para saber si es compatible con otros equipos y fabricantes.  Se notan diferencias entre el disco anterior (HDD) y el Crucial MX500: - El ordenador opera con un esfuerzo mínimo del procesador. Ya no se escucha el ventilador cuando hay más de 4 programas corriendo (incluyendo Safari, Firefox, iTunes, Pages y QuickTime) o cuando se suben y descargan archivos y videos. - La transferencia de archivos entre el Mac y unidades de almacenamiento externas son más rápidas. - El sistema operativo se inicia más rápido al encender y la instalación de MacOs fue más rápida también.</t>
  </si>
  <si>
    <t>Servicio muy rapido Era un regalo de cumple y le ha encantado, no hay peros.</t>
  </si>
  <si>
    <t>Muy buen olor Huele muy bien. Lo utilizo con un humificador y deja un olor muy agradable y relajante. Lo volvería a comprar.</t>
  </si>
  <si>
    <t>va fenomenal 2 veces mas rapido que crucial p1</t>
  </si>
  <si>
    <t>Como un guante😀 Son perfectos,cómodos...</t>
  </si>
  <si>
    <t>Comodas y chulas Son unas zapatillas muy cómodas y a mí me parecen muy chulas</t>
  </si>
  <si>
    <t>Muy util para marcar la ropa de los niños Lo he utilizado para marcar la ropa para la guardería. Marca en todas las telas que he probado, quizá en alguna se va antes que en otras, pero aún así, la tinta aguanta muchos lavados, con secadora incluida. Lo recomiendo ya que es muy cómodo. Hay que cogerle un poco el tino para que no se corra la tinta, pero es cuestión de probar unas cuantas veces en un papel, o tela que no vayas a utilizar.</t>
  </si>
  <si>
    <t>Recomendado 100% calidad precio En primero comentar la rapidez y eficacia de Amazon logístics en su reparto y entrega, cumplió el tiempo correctamente.  En segundo lugar comentar que la caja de dicho producto no se encontraba en su mejor estado.  Ya que se notaba que llevaba tiempo en el e almacén debido a la cantidad de polvo y roces. Obviando eso al abrir la caja,  el micrófono se encontraba en perfecto estado, con sus accesorios correspondientes (cable USB y funda + libro de instrucciones).  Al probarlo tuve que descargar el software del programa samson, ya que no viene incluido en la compra. En Internet puedes encontrarlo en la tienda oficial a un precio de 4.99$.  La calidad del micrófono es espectacular, he notado un cambio increíble con el anterior que tenía. Y lo mejor de todo es el precio, nada caro para la calidad que dá.  Recomiendo su compra 100%</t>
  </si>
  <si>
    <t>128Gbs La compré para que sirva de HD a un mini- pc y de momento va de lujo, si el precio de el producto te va bien... ;)</t>
  </si>
  <si>
    <t>Todo bien menos que no viene tornillo Esta bien bueno, no viene tornillos, menos mal que no tire la caja de la placa base porque ahí dentro tenia uno específico para el ssd pero esta muy mal que no venga tornillo. Por ahora va bien espero que siga así, el Windows ya no me va a tirones, he echo bien en pillarme un ssd</t>
  </si>
  <si>
    <t>Es lo que esperaba Me gusta, queda bien. Es un poco más grande de lo que esperaba pero bien</t>
  </si>
  <si>
    <t>super cómodas y bonitas Se adaptan totalmente a mis expectativas y son tan bonitas como en las fotos. Los materiales se corresponden con los descritos en Amazon. Gracias</t>
  </si>
  <si>
    <t>La calidad no es buena. EStan deformes con el poco uso que han tenido Son los zapatos que pedí y que quería pero con el tiempo se va la mala calidad.</t>
  </si>
  <si>
    <t>Me esperaba mejor calidad Yo esperaba que fueran más satinadas y pegaran mejor, la verdad es que se despegan con facilidad, así que he tenido que repetir alguna etiqueta.</t>
  </si>
  <si>
    <t>Pintones Demasiado brillantes y plásticosos pero pintones</t>
  </si>
  <si>
    <t>NO SIRVE PARA HACER SLIME. NO SIRVE PARA HACER SLIME. DEBERÍAN INCLUIR UNA NOTA, CON ESE DATO. Es un producto muy caro, para que ni siquiera sirva para lo que lo buscamos la mayoría de las madres. Esto no es un sustitutivo del Borax. Es un producto diferente y un timo por su parte, anunciarlo como tal. Espero que este comentario ayude a otros padres a no comprar su producto y comprobar su inutilidad.</t>
  </si>
  <si>
    <t>Copia y de muy mala calidad Lo compré hace un año y se ha quedado sin pilas dos veces. Además, la correa está muy deteriorada y tiene manchas de corrosión en la placa inferior. En relojería me han dicho que no es original, sino una copia. Por último, comentar que es extremadamente complicado igualar la hora que dan las manecillas con la de los dígitos. En resumen, una decepción absoluta.</t>
  </si>
  <si>
    <t>ideales para cartas Perfectas. Deberia haber cogido más, he hecho corto, y así aprovechar el envio gratuito. Tendré que pedir de nuevo en el próximo pedido que haga.</t>
  </si>
  <si>
    <t>Muy cómodos Me trajeron uno de cada número pero tardaron poco en traerme otros correctamente. Son muy cómodos. No pesan nada. Sujetan el pie. Dos amigas me encargaron unos al vérmelos. Color bonito. Y tallan bien. Yo uso 37 y pedi 37-38.</t>
  </si>
  <si>
    <t>sin sorpresas calidad precio</t>
  </si>
  <si>
    <t>Bien, pero un tanto complicados. Diseño genial y suenan bastante bien. Por contra creo que son un poco complicados de emparejar. La sujeción al oido tampoco es 100x100 segura. No son adecuados para hacer deporte. En general cumplen su conetido.</t>
  </si>
  <si>
    <t>Muy buena calidad Los mejores biberones del mercado y la oferta es buenisima.</t>
  </si>
  <si>
    <t>Regalo ideal Precioso microfono. Mi niña esta encantada. Se escucha super bien y es muy facil de manejar (tiene 5 años). Ademas la bateria dura muchisimo y se carga en 4 o 5h. Lo recomiendo. Como regalo es ideal</t>
  </si>
  <si>
    <t>Perfecto Es un buen producto, llego en perfecto estado: El reloj tiene actualmente más de 6 meses de uso y funciona perfectamente!</t>
  </si>
  <si>
    <t>Comodidad Bonitos .cómodos  me gustan mucho .</t>
  </si>
  <si>
    <t>regalo perfecto! Se lo regalé a mi sobrina y le gustó mucho. Suena bastante bien y como se puede insertar una tarjeta sd se pueden grabar canciones sin depender de un móvil, ordenador... La luces discotequeras también le han encantado, ;-)</t>
  </si>
  <si>
    <t>Ideal para smartphones La compré para configurar como memoria interna del smartphone, y debía de ser una tarjeta rápida para acceder a datos y funcionó a la perfección, se nota mucho la diferencia con las de menor velocidad, a la hora de ver fotos, videos o descargar datos al pc. Recomiendo enormemente usar este tipo de tarjetas o superiores para obtener velocidad y eficacia y no morir en el intento.</t>
  </si>
  <si>
    <t>Todo bien Todo bien, tal como lo esperaba.</t>
  </si>
  <si>
    <t>Cumple con lo que se dice, todo bien. Quedan perfectas</t>
  </si>
  <si>
    <t>Perfectos y son originales,no copias. Son totalmente originales,nada de réplicas.</t>
  </si>
  <si>
    <t>La mejor calidad precio. Es genial tiene fuerza y da calor a la vez que masajea me esta ayudando mucho gracias a la tienda .</t>
  </si>
  <si>
    <t>Para empezar esta bien 👍 Por el precio creo que está bien. Corto alcance para que suene bien, suena un poco radio antigua; pero tiene bastantes efectos, no cambian mucho, pero como digo.. Por el precio tener este inalámbrico, para empezar esta bastante bien.</t>
  </si>
  <si>
    <t>Pequeño y rápido. Francamente muy rápido.</t>
  </si>
  <si>
    <t>Una manta electrica estupenda Habia leido opiniones anteriores diceindo que era una manta electrica muy buena, pero que podia venir con el enchufe britanico. Pues bien, he probado la manta y es estupenda y ademas he tenido suerte y el enchufe es el español de dos clavijas normal. Muy buena compra y muy buen precio.</t>
  </si>
  <si>
    <t>Bolso bandolera Rembolso total</t>
  </si>
  <si>
    <t>batidora cecotec Estoy muy contento de esta batidora, es super potente y muy completa, tiene muchas velocidades y muy silenciosa, y precio muy competitivo.</t>
  </si>
  <si>
    <t>CABLES ORDENADOS POR FIN Por fin tengo los cables ordenados. Fácil de usar gracias a la guía que se adjunta. Lo he usado para los cables del TV,ruter,etc... y me sobra otro para cualquier otra instalación.</t>
  </si>
  <si>
    <t>Estos son los mejores para mí Estas botas de montaña son las mejores para mí porque son relativamente livianas, tienen un soporte de arco decente y sus suelas son lo suficientemente resistentes como para caminar sobre el pavimento y en el bosque.</t>
  </si>
  <si>
    <t>es preciosa.muy buena calidad precio Me ha encantado.muy bonita</t>
  </si>
  <si>
    <t>Muy buena compra Perfecta cómoda entra en la nevera por su pequeño tamaño unos casi de 1litro se puede llenar hasta el tope no se le escapa nada gracias a un doble sistema de sellado de cristal muy espeso ósea del bueno me gusta porque además tiene diferentes opciones desde muy flojo hasta una velocidad muy potente y efficace y lo mejor de todo es que casi no hace ruido me hice un batido a las 5am y no desperté a nadie en casa una pasada gracias Amazon 😘😘😘😘</t>
  </si>
  <si>
    <t>Material un poco duro para sentirse cómodo al andar Me resulta muy duro el material y para mí no es cómodo. He comprado otro modelo de tela...</t>
  </si>
  <si>
    <t>Auriculares standares buena relación calidad precio Lo que no me ha gustado es que el cable es un poco corto, me hubiera gustado que hubieran medido unas 20cm más, son de unos 128cm aproximadamente de longitud. Por lo demás por el precio que costó y para batalla considera que tienen una buena relación calidad precio. Si quisiera más calidad debería subir el presupuesto.</t>
  </si>
  <si>
    <t>Satisfecha Esta bien para su precio, pero la luna me parece  grande y el primer collarcito pequeño, muy pegado al cuello... eso si por el precio que tiene ni una pega... no se le puede pedir mas</t>
  </si>
  <si>
    <t>Vergonzoso Un vergüenza. Solicite el cambio por se el producto demasiado pequeño sin contar lo malo que es producto) y ni siquiera se digna a contestar. Lamentable</t>
  </si>
  <si>
    <t>Sonido de muy baja calidad Muy mal sonido, especialmente en los agudos. A pesar del precio esperaba mucho mas Adicionalmente son incómodos de llevar: orejeras de piel sintética que no transpira, bastante peso y presión contra las orejas</t>
  </si>
  <si>
    <t>Muy bien precio Grande y fresca</t>
  </si>
  <si>
    <t>Más grande de lo que me esperaba Buena calidad. Es un poco más grande de lo que me esperaba, por lo demás es espaciosa. Tiene muchos bolsillos para poder llevas gran cantidad de cosas.</t>
  </si>
  <si>
    <t>Confort Suaves y comodos</t>
  </si>
  <si>
    <t>Buena relación calidad/precio. La bolsa funciona correctamente. Es lo que anunciaban y lo que esperaba. Lo peor es que el envío es aleatorio en cuanto al diseño, que te gustará o no. Por lo demás, bien. El tejido es adecuado conservando el calor, el tapón de cierre es bueno, la funda se puede quitar para el lavado...</t>
  </si>
  <si>
    <t>Bueno, de calidad pero me fue complicado configurarlo Está muy bien, el sonido es bueno para un karaoke. Es complicado a la hora de vincular con un canal. Pero con paciencia se llega.</t>
  </si>
  <si>
    <t>Igual que la foto Me ha gustado mucho la camiseta y la medida también esta bien</t>
  </si>
  <si>
    <t>Muy satisfecho con la tarjeta Plazo de entrega muy rápido, embalaje perfecto. La tarjeta la estoy usando en un NOTE 8. Venía ya formateada (sacarla del envoltorio, introducirla en el terminal, y listo). Actualmente tengo almacenadas en ella unas 6.500 fotos y varios vídeos en distintas resoluciones, tanto 4K como FullHD@FPS. Grabación sin cortes, acceso rápido. Ningún problema de momento, después de 2 meses y medio de uso. Precio razonable.  La recomiendo. Además, según las especificaciones del fabricante, es resistente al agua y a temperaturas extremas. La recomiendo.</t>
  </si>
  <si>
    <t>Muy satisfecho con la compra Encantado con este aspirador a su máxima potencia aspira muy bien gracias también a su rodillo giratorio para aspirar los vehículos también encantado con él suficiente autonomía para aspirar un vehículo y suficiente autonomía para aspirar una casa pequeña normal en modo de baja velocidad dura muchísimo rápido en recargar muy manejable y la iluminación de la boca inferior imprescindible y muy satisfecho lo recomendaría 100% imprescindible en mi hogar</t>
  </si>
  <si>
    <t>Muy buena bota calidad precio. Muy buena bota calidad precio, despues de una semana de uso se adapta perfecta al pie y es muy ligera. He usado botas mas caras pero la verdad que esta muy bien por este precio. Repetire sin dudarlo. Pedi un 41 para un 41 y queda perfecta.</t>
  </si>
  <si>
    <t>Muy bueno Muy bueno. No tiene que envidiar nada a otra marca más reconocida. Tritura muy bien. La recomiendo que por el precio esta súper bien. Tengo un procesador más grande, pero prefiero este</t>
  </si>
  <si>
    <t>Recomendable para aplicar calor en zona localizada Cojín práctico y muy recomendable para aplicar calor en zonas localizadas Interesante el sistema de seguridad con el que cuenta....</t>
  </si>
  <si>
    <t>Muy bonito, buen sonido. Me encanta, muy buen sonido.</t>
  </si>
  <si>
    <t>Buenas zapatillas Las zapatillas están muy chulas, han llegado rápido, lo único que habiendo pillado un número de más todavía está un poco estrecho</t>
  </si>
  <si>
    <t>Cómodas y bonitas Son cómodas y muy bien echas, seguro que compró mas</t>
  </si>
  <si>
    <t>Difusor Estoy contenta si le pones aceites esenciales deja un olor en casa genial</t>
  </si>
  <si>
    <t>COMODÍSIMO Muy manejable, muy cómodo de usar, tengo otros de ese estilo, pero este en especial me ha gustado mas por el hecho de tener tres tipos de conexión en lugar de los dos habituales.</t>
  </si>
  <si>
    <t>Gran potencia y complementos útiles Compré esta batidora por las variedades de los completos que tiene y usos que ofrecia, y así es cierto vale para muchas más cosas, no solo para los batidos. La he probado a parte de batidos, con hielo y con granos de café y ciertamente tritura y pica muy bien, claro que depende de las cuchillas que pongamos, me encanta su modo turbo aunque creo que le sobra potencia para no abusar de él. Tiene la función de parada por sobrecalentamiento por si acaso pero no he querido forzarla obviamente y ni picando grano de cafe ha sufrido, es super potente. En encanta también la establidad que tiene con las ventosas como patas y como ya dije antes de la calidad de los materiales y los diferentes tamaños de vasos y complementos, muy hermetico todo, en fin. POr poner un pega, el ruido que emite sobretodo en hielo por ejemplo aunque supongo que para este tipo de maquina es practicamente invitable.</t>
  </si>
  <si>
    <t>huele fresco y a limón puro Perfección aroma de limón huele toda la casa Lo use como lo uses ademas perdura el olor a dias sin usar el humidificador .. super contento d buen resultado</t>
  </si>
  <si>
    <t>Muy bonitas El modelo. El precio es algo caro pero bueno  puede pasar.</t>
  </si>
  <si>
    <t>Muy cómodas. Lo principal, que sean cómodas y lo son, son las segundas que compro de esta marca y puedo asegurar que no vuelvo a comprar unas chanclas en el chino en mi vida, aunque las uso por casa, este verano voy a ir con ellas a todos lados a lo frank de la jungla y al que no le guste que beba agua.</t>
  </si>
  <si>
    <t>zapatillas comodas las zapatillas llegaron en el tiempo indicado ,son muy livianas y cómodas para andar</t>
  </si>
  <si>
    <t>magnificos smoothies y gazpacho Muy potente y rápida y fácil de limpiar. Lo único negativo es que es un poco aparatosa</t>
  </si>
  <si>
    <t>Estupendas Están muy bien</t>
  </si>
  <si>
    <t>Cadena finísima Cadena finísima,lo tuve que devolver porque era para un regalo y me parecía muy frágil,al ser tan fina</t>
  </si>
  <si>
    <t>Suela de terciopelo. Imposible para la calle Compré el tacón para una boda. Reconozco que vi algo extraño en la plantilla de terciopelo... Pero no me di cuenta de que la suela también es de terciopelo!! Es imposible ponerselo para salir, una pena. Aunque reconozco que aparece bien claro que son para baile, pero quizás mi opinión sea útil para que a nadie le pase lo mismo que a mi</t>
  </si>
  <si>
    <t>Buenas Aunque la función es buena pesan mucho y te hacen daño en la nariz Es de baterías los lentes de aumento  están bien Pero sería mejor que la luz fuera más potente</t>
  </si>
  <si>
    <t>BarataPero no cumple respectivas Para embalaje en cartón no pega suficiente y rompe fácilmente al tirar para embalar</t>
  </si>
  <si>
    <t>Muy incomodas! Son falsas, la verdad es que tengo muchas zapatillas de la marca y ninguna son tan incomodas como estas!!! Las llevas un rato y bien, en cuanto estes mas de 2 horas.... destroza los pies...</t>
  </si>
  <si>
    <t>Tallas pequeñas Es ligero pero las tallas son bastante pequeñas. Lo he regalado a otra persona.</t>
  </si>
  <si>
    <t>Estupendas a simple vista La verdad es que a simple vista estupendas. Como punto negativo es que no venían en la caja original, venían en una blanca con una pegatina que decía que la caja se había roto en tránsito y por eso ponían esta. Pedí otras de otro número y si que llegaron en la caja original así que bueno, todo será probarlas. Tallan pequeño, ya lo leí en comentarios así que para mi cogí un 38 2/3 y quedan estupendas (lo justo para usarlas en invierno con un calcetín gordo también) pero agarran muy fuerte con el sistema de Quicklace. He leído que son duras, y a falta de probarlas caminando no me lo ha parecido, si que es verdad que este es el modelo de tela (y no Goretex) y quizá por eso es un poco más "blando". Vamos a ir a hacer algo de trekking en las próximas semanas, así que ya actualizaré el comentario!</t>
  </si>
  <si>
    <t>Sonido muy bueno pero sobresalen mucho de las orejas. El sonido es muy bueno y cumplen perfectamente su función de manos libres y auriculares pero por ponerle algún aspecto negativo he de decir que sobre salen mucho de las orejas y esto los hace un poco incómodos a la hora de escuchar música tumbado en la cama por ejemplo.</t>
  </si>
  <si>
    <t>Sonido potente Suena muy bien. Es un poco aparatoso llevarlo, no se muy bien donde colocar el altavoz y la diadema como tengo la cabeza pequeña me queda un poco grande... tiene lector de usb y la música también suena alta y nítida. Estoy bastante contenta con el</t>
  </si>
  <si>
    <t>Batidora potente La batidora es super potente....pero la parte del anclaje de la picadora se desgasto al primer uso...una pena que no mejoren esas partes en la batidora...yo es que necesito tantonla batidora comonla picadora....si solo eres de usar la batidora es una buena maquina..la recomendaria</t>
  </si>
  <si>
    <t>Buena presentación, buen precio. Lo uso para calmar la congestión nasal. Va de maravilla. Buena presentación, buen precio.</t>
  </si>
  <si>
    <t>Comodos y amplios Puedo cambiar de modelo o color pero las skechers deportivas son las que uso para trabajar e ir al gimnasio desde hace años. En cuestión de cms su tallaje es algo mas amplio que el de otras marcas pero para mi perfecto pq es mi talla ideal (en otros modelos femeninos no hay mi medida o apenas hay) alguien comentaba que no venian con el par extra de cordones, debio ser el cambio de modelo o algo pq ya van varios deportivos de esta marca que vienen sin ese cordon extra de antes</t>
  </si>
  <si>
    <t>Comodísimos Los más cómodos que he probado; ni quedan flojos ni aprietan las orejas. El sonido me parece bastante bueno. El micrófono funciona perfectamente. Se pueden usar en el ordenador.</t>
  </si>
  <si>
    <t>Amplificador Amplifica un monton tu voz tambien con un poco de ec y lo puedo unir al movil reproducir alguna cancion y cantar tua ala vez en una efecto de mezcla que queda muy bien.</t>
  </si>
  <si>
    <t>Micro SD, a buen precio cuando la compre, 5 años despues a la MITAD. Usada en una camara deportiva durante 4 años, uso esporadico sigue funciona sin problema, en grabacion a 1080@60, usada tambien en un movil durante el invierno da unas tasas de transferencia de unos 6mb en escritura. ( mi movil es un xiaomi redmi note 5 pro ) Capacidad real de la misma pues he llegado a llenar la tarjeta con la camara deportiva y sin ningun tipo de problema.  Cualquier duda estare encantado de poder ayudar a solventarla.</t>
  </si>
  <si>
    <t>Preciosos Súper bonitos</t>
  </si>
  <si>
    <t>Esta bien Se ajustan bien sin marcar quedan muy bien puestos y son económicos. Estas a muy bien de precio y tiene muchos modelos</t>
  </si>
  <si>
    <t>Buenos auriculares con muy buena autonomia Buenos auriculares a un precio razonable. Me han gustado mucho estos auriculares que se cargan solos en su estuche cuando los metes en el. Se encienden solos cuando los sacas y se apagan y cargan cuando los metes en su estuche, teniendo asi hasta 24 horas de autonomia segun su manual ya que aun no me ha dado tiempo a descargar la bateria de su caja. Me costo un poco vincularlos ya que no me lei el manual y hay que vincular-conectar solo el derecho y el izquierdo se conecta automaticamente. Resumiendo. Buen producto, se oyen muy bien, ligeros y muy buena autonomia. Que mas se puede pedir?</t>
  </si>
  <si>
    <t>Tamaño muy practico Su tamaño y calidad de los materiales empleados la hace muy adecuada para anotar pequeños mensajes de recordatorio, la lista de la compra, la toma de medicamentos, etc.</t>
  </si>
  <si>
    <t>Es genial Ha sido un regalo para mi pareja, y le encanta. Lo lleva usando ya 8 meses y no tiene ni un rasguño a pesar de estar entrenando con ese reloj.</t>
  </si>
  <si>
    <t>Auténtico aroma y la mezcla parece genuina Es bastante fuerte su aroma porque lo he usado para dormir, y con una gota cunde mucho.</t>
  </si>
  <si>
    <t>Lo que necesitaba Es un hdd externo que funciona muy bien. Trae varios extras como guardar en la nube ...etc pero no los he usado para nada. Era para mi novia y le va perfecto, la verdad es que es mas rapido de lo que me experaba aunque sin llegar a ser un ssd pero para ser hdd va bien y por ahora cumple.</t>
  </si>
  <si>
    <t>Genial Genial.Como siempre converse nunca falla. HE pedido un numero menos, como siempre. ES de saber que las converse y las Vans tallan grande.</t>
  </si>
  <si>
    <t>Entrega rapida Son las que quería, me gustan</t>
  </si>
  <si>
    <t>Cumple perfectamente con su función Le doy 5 estrellas a este producto porque cumple perfectamente con su función dando muy buena calidad. Lo uso para realizar podcast de radio y por el momento no me ha dado ningún problema.  El pero del producto, si es que se lo buscamos, es que no posee botón de ON/OFF</t>
  </si>
  <si>
    <t>Excelente Súper útil, la misma caja hace de dispensador, facilita mucho el trabajo de pegado y pega súper bien.</t>
  </si>
  <si>
    <t>Es lo que queria Perfect</t>
  </si>
  <si>
    <t>Buen sonido Por lo que he podido probar de momento, suena bastante bien y fuerte, el unico fallo que le veo es el bluetooth que tiene que estar bastante cerca si no se corta aveces</t>
  </si>
  <si>
    <t>Buena compra Perfecto para usar en pareja, muy suave y a mi pareja le gusto. El mando lo detecta bien y aunque suena un poco es perfecto. 12 posiciones y se cambia muy bien de una a otra</t>
  </si>
  <si>
    <t>Bien con matiz Al lavar se quedan unas manchas marrones o amarillentas....por laterales y donde abujeros de cordones</t>
  </si>
  <si>
    <t>En la foto tiene mejor pinta Le regalé el bolso a mi novio, él está más o menos contento, pero a mi me parece un poco grande y es de lona, para mi gusto si fuera más pequeño quedaría más mono y no tan robusto.</t>
  </si>
  <si>
    <t>Muy decepcionante La tapa es lo más incómodo que he visto en una kettle en mi vida. Se supone que tienes que echar el agua por la boquilla de salida pero, oh, ahí está el filtro de la cal, así que si echas agua se va toda para dentro. También tiene una extraña varilla metálica en vertical que no se sabe qué hace ahí y que hace muy difícil la limpieza. El plástico es malo, muy decepcionante para esta marca, porque yo tengo otro modelo desde hace años y nada que ver. Por último, el diseño no tiene nada de compacto. Si no lo devuelvo es por no hacer el engorro de tener que ir a Correos.</t>
  </si>
  <si>
    <t>El cable fa d'antena. Un cop connectat, amb els auriculars posats, quan toques el cable sents soroll, el que indica que no està ben aillat. El torno d'immediat.</t>
  </si>
  <si>
    <t>Un Casio....como casi de los de toda la vida. En las imágenes parece que es un reloj robusto como los de antes, pero la verdad que cuando lo tienes en la mano parece bastante endeble, pero dentro de todo es lo que se buscaba, un Casio de los de toda la vida a excepción de lo mencionado.</t>
  </si>
  <si>
    <t>Queda muy bien! Queda muy bien! Afelpada por dentro y tejido muy suave. Llegó antes de lo previsto</t>
  </si>
  <si>
    <t>Discreta Es bonita, pero no tanto como en la foto. En la imagen parece más grande, y en realidad es bastante pequeña, por eso no la recomendaría como un regalo, quedaría algo "pobre". Pero en general está bien,  la llevo con gusto.</t>
  </si>
  <si>
    <t>CÓMODOS Y BUENA CALIDAD Sorprende lo ligeros que son. Aunque parecen más grandes que unos auriculares normales, una vez te los colocas y ajustas bien, ni los sientes. La calidad del sonido es aceptable, sin distorsiones ni parásitos, aunque peca un poco de falta de bajos. La base de carga es muy práctica y pequeña y cabe en cualquier bolsillo, aunque cuesta un poco sacar los auriculares de ella, debido al fuerte enlace magnético cuando están en su alojamiento, es de agradecer pues garantiza que no se caigan ni estando boca abajo. Lamentablemente no he podido probarlos con emisión de radio en directo, porque mi móvil utiliza la conexión de auriculares también como antena y si colocas un jack simulado en la toma, no me duplica el sonido por el bluetooth.</t>
  </si>
  <si>
    <t>Pequeño Hola Me gustan muchisimo ,la verdad no esperaba tan buena calidad,pero los tengo que devolver ,me quedan muy ajustados ,me aprieta mucho la cintura , no hay mas tallas grandes ,muy amables a la hora de preguntar ,el por que de la devolución ,sin problemas a la hora de devolver el dinero me da mucha rabia ,me voy a tener que poner a dieta,falta me hace desde luego,pero ya después del verano. Saludoss</t>
  </si>
  <si>
    <t>Ideales para correr Cómodo y perfecto para correr. La talla que elegí me queda perfecta</t>
  </si>
  <si>
    <t>Ro Perfecto para su precio. Sienta genial. Eso sí, es ajustadita . Normalmente uso S de Decathlon y de este modelo la M me va perfecta (entalladita, repito).</t>
  </si>
  <si>
    <t>Las Zapatillas son perfectas! Me encantan, no pesan nada, al ser con cuña quedan perfectas, son muy cómodas y el número es como debe ser, quedan genial. Las recomiendo, sin ninguna duda y me estoy pensando pedir otras.</t>
  </si>
  <si>
    <t>Cómodos Muy cómodos y ligeros para el verano. No sé recalientan los pies. Los uso con botas de trabajo y muy cómodos</t>
  </si>
  <si>
    <t>Contenta con la compra Muy chulas .como esperaba</t>
  </si>
  <si>
    <t>Sin problemas Todo perfecto</t>
  </si>
  <si>
    <t>Todo estupendo ! Todo según lo previsto</t>
  </si>
  <si>
    <t>Distinta Me ha gustado aunque parece fina es muy calentita y me queda genial.</t>
  </si>
  <si>
    <t>Muy chulo Muy chulo y cómodo</t>
  </si>
  <si>
    <t>Muy comodo Leggings muy comodo y fresquito. Se adapta perfectamente a mi cuerpo y bastante resistente. Me queda muy bien, y me da soltura y dinamismo.</t>
  </si>
  <si>
    <t>muy buena calidad estas carpetas era justo lo que quería además encajan en la caja que compré de la marca jalema atlanta. Buena relación calidad precio.</t>
  </si>
  <si>
    <t>Recomendable Perfecta</t>
  </si>
  <si>
    <t>Me ha gustado mucho El reposamuñecas es comodisimo, se ajusta a la muñeca perfectamente. Suave al tacto y precisa con el raton. Solo queda ver cómo evoluciona con el tiempo. Es de las mejores que he tenido a primera vista.</t>
  </si>
  <si>
    <t>Prefecto Compra perfecta.</t>
  </si>
  <si>
    <t>Ideal para la lista de la compra He comprado la pequeña para colocar cuatro notas y la lista de la compra. Me hace gracia que viene con la repisa para dejar los rotuladores y el borrador, pese a lo pequeña que es la pizarra. Esta repisita es opcional, puedes no ponerla si no la necesitas. La pizarra viene con un film protector para evitar ralladas, es un blanco muy brillante y de momento se pinta y borra súper bien y fácil.</t>
  </si>
  <si>
    <t>Memoria de calidad. He probado varias tarjetas de diferentes fabricantes y puedo afirmar que las mejores, las de Samsung. Las uso en todos mis aparatos y nunca me han dado un problema.</t>
  </si>
  <si>
    <t>super comodas super comodas para trabajar todo el dia de pie</t>
  </si>
  <si>
    <t>Muy practico y funciona Va muy muy bien, no solo para masaje. Yo lo utilizo para mover esos Kilos de más y se nota. Es muy muy práctico  y al no tener cable te facilita muchísimo la vida en todo...estoy muy contenta con la compra. Tiene muchos modos, muchos cabezales y mucha intensidad.</t>
  </si>
  <si>
    <t>Preciosa la recomiendo Es preciosa , aunque no trae cajita , es el pego k yo le veo , viene en una bolsita de terciopelo de Pandora , pero si no es para regalo la recomiendo 😍 , yo se la regale a mi hermana le encanto , es la original</t>
  </si>
  <si>
    <t>Como el que tuve hace años Funciona perfectamente, aunque sea Made in China. Sumergible y funcional. Pero la correa es malisima, se ha roto al año de comprarlo simplemente por el uso ya que se va desgastando debida a su pesima calidad. Por este motivo no aconsejo su compra.</t>
  </si>
  <si>
    <t>Necesario Tras pedirlo y llegarme el mismo día. Lo monté en la Torre del PC (os recomiendo el adaptador para 2/3.5 y fijarlo bien) En no más de 20 minutos; tenía todo conectado, ordenado de cables y con el Windows 10 (llevó 6/7 minutos de instalación en total). Tras ello (y tardar unos 15secs en entrar el nuevo Windows) puedo decir que comparado con el otro disco duro que uso (WD Caviar Black de 1tb con su ruido a "carraca") El cambio es interesante; en mi caso más por el ruido que la velocidad (el WD que tengo con más de 6 años va superápido) pero, sin duda es recomendable tener un SSD sobretodo con los programas que uso tanto de retoque de fotografía e ilustración, como edición de Video. Sus 480 gigas suficientes, cuenta que si ya tienes otros discos el añadido es perfecto. Muy satisfecho con la compra, pese hay SSD's más potentes en escritura y lectura. Saludos</t>
  </si>
  <si>
    <t>Se desconecta solo Los auriculares me han funcionado correctamente y tienen un aislamiento y funcionalidad muy buenos, pero de golpe y porrazo teniendo la carga de la batería al 90% se reinician solos perdiendo la comunicación con los dispositivos.</t>
  </si>
  <si>
    <t>publicidad engañosa El robot limpia bien, pero pasa varias veces por unas zonas agotando la  batería, con lo cual no termina de limpiar la casa, porque se agota la batería antes de hora. Mi casa tiene 50 mts y si quitamos muebles menos. Al final solo me limpia la cocina el salón y el baño. Si lo vuelves a poner, no continua donde lo dejo, empieza de nuevo otra vez. La aplicación del móvil, se desconecta constantemente y deja de funcionar. El robot se vuelve loco en zonas con espejos y añade un espacio inexistente. Todavía necesitan ajustar bastante cosas en este robot para que funcione bien. Lo he devuelto por no cumplir con lo que prometen. Estoy en proceso de que me reintegren el dinero. Un 10 para Amazon, devolucion sin ningun problema.</t>
  </si>
  <si>
    <t>Decepcionada En menos de dos meses ha dejado de aspirar, funcionaba muy bien y de repente no tiene nada de potencia. Una decepción pues había leído muy buenas opiniones sobre ella.</t>
  </si>
  <si>
    <t>NO merece la pena. No cumple con su función El aspirador pequeño extraíble no tiene potencia y el principal tampoco. Después de tenerlo ya 6 meses me arrepiento de la compra. Mejor gastar algo más de dinero y tener algo que aspire de verdad a tener un trasto en casa que no cumple con su función. Estoy totalmente decepcionada.</t>
  </si>
  <si>
    <t>bien bien</t>
  </si>
  <si>
    <t>Muy buena compra Botas muy cómodas. Totalmente recomendables. A pesar de que son de seguridad no pesan nada. Compra muy acertada. Volvería a repetir</t>
  </si>
  <si>
    <t>LIGERO y AGRADABLE Aceite ligero e inodoro debido al uso de aceite de girasol en lugar del de oliva. Yo lo prefiero. No esperen que huela a fruta, eso no sucede con ninguno, a menos que le agreguen aroma artificial, algo nada deseable. Envase plástico; preferiría de vidrio.</t>
  </si>
  <si>
    <t>Funcionalidad y moda juntos. Buena calidad y mejorable comunicación con iOS Es un reloj que queda elegante para ir vestida y tras meses de uso no se han resentido los acabados. Es hipercompatible con Android (sin llevar activa la aplicación reloj y teléfono se comunican con un nivel de información muy alto) y menos con iOS, que sí no llevas activa la aplicación WearOS se te desconecta el reloj</t>
  </si>
  <si>
    <t>Bien Están bien, tallan como se espera. Tardan como una semana en llegar</t>
  </si>
  <si>
    <t>Buen precio y buena calidad. el ruido es minimo, no se oye ningun motor, vaporiza bien y dura mucho, tiene el temporizador para 1,2,3h y mas tiempo.</t>
  </si>
  <si>
    <t>Buenas prestaciones ya puedo opinar sobre la tarjeta SD pues he hecho muchas fotos y video. Me gusta como sale el video sin "saltos" ni fallos en HD. Las fotos y velocidad de la transferencia de datos es correcta. Buena compra de una marca con gran prestigio. Volveria a comprarla.</t>
  </si>
  <si>
    <t>Lo esperado Muy buena calidad, fácil de ajustar.</t>
  </si>
  <si>
    <t>Auriculares TWS- 9 DELINUO GENIALES. Me decidí por estos auriculares porque había comprado hace unos días unos para mi marido y para no confundirnos los compré diferentes. Estos auriculares se ajustan mejor no se me caen. Tienen el doble de batería para cargar móvil u otro dispositivo. Los auriculares suena genial con unos bajos impresionantes y muy potentes. La conectividad sin problemas en un segundo se conectaron en cuanto lo saque de su caja mi hija con uno y yo con otro, un samsung S9 y la otra con un A 40 uno para cada, una genial. Tiene muchas funciones que viene muy bien explicadas en el libro de las instrucciones en español tiene un indicador con el porcentaje de la batería para que no quedarte tirado, una funda muy aparente para guardarlo y que no se dañe la caja, recambios de gomillas de diferentes tamaños, el color rojo de los auriculares es muy bonito. Calidad-precio muy buena tiene dos productos en uno: auriculares inalámbricos y una batería de carga de refuerzo que la puedes llevar en el bolsillo. También por lo que me decidí por estos auriculares fue por el cable de carga qué es USB del tipo C como los cargadores de los móviles de mi familia por lo que no tienen que llevar más cables solo el q viene para cargar su bateria. Son resistentes al agua y a mí me gusta ducharme escuchando música por lo que todo muy bien. Por ahora cinco estrellas.</t>
  </si>
  <si>
    <t>Mis pedidos Bien</t>
  </si>
  <si>
    <t>Buena compra Perfecto para empezar en el mundo de las grabaciones. Recomendado 100%.</t>
  </si>
  <si>
    <t>Amazing Really good sound, very happy with them, they came quick too. If you are looking for a top quality sound for your studio this is my pick. I tried Sennheiser HD 280 too, but this is another level up, much clearer sound and you can hear all even baseline very accurately. With Senh HD 280 it sounded like from a can :-D...well done Sony again!</t>
  </si>
  <si>
    <t>Elegante Simplemente Perfecto</t>
  </si>
  <si>
    <t>Genial Genial. Es como ir descalzo pero protegido. Además, tomas consciencia de lo mal q corremos o pisamos, "gracias" a las zapatillas running convencionales</t>
  </si>
  <si>
    <t>Recomendable Buen material se nota la calidad hasta de los accesorios ,pesa muy poco muy manejable a la hora de usar , buena potencia de succión ,tiene tres velocidades descargando y usando la app el modo manual solo tiene dos velocidades la más baja y el turbo,opino que es una buena compra calidad precio, los accesorios y el desmontaje muy intuitivo</t>
  </si>
  <si>
    <t>ok ok</t>
  </si>
  <si>
    <t>UNA GOTA DE BRILLO Se trata de un colgante de plata de la marca J.ROSÉE.  Está fabricado en plata de ley y circonitas, por lo que es ideal para personas con alergia. El tamaño de la cadena es de unos 43 cm, con un cierre rápidos. El colgante mide unos 21x12 mm y tiene forma de rombo curvo o gota, con un detalle interior. Es brillante y discreto al mismo tiempo, por lo que es perfecto para conjuntarlo en fiestas y eventos. La cadena es fina y casi imperceptible cuando se lleva puesta.  VENTAJAS - Discreto y elegante - Indicado para personas con alergia - Diseño bonito  DESVENTAJAS - Ninguna por el momento  Contenido del paquete: - Colgante - Paño de limpieza - Caja de transporte - Tarjeta de felicitación</t>
  </si>
  <si>
    <t>Me ha encantado Llegó antes de lo esperado y sin ningún problema. Lo estrené al momento y estoy encantada. Fácil y cómodo. Lo malo, lo mismo que cuando vas al fisio: al día siguiente tenía un dolor horrible. Pero como siempre, eso es lo que más alivia.</t>
  </si>
  <si>
    <t>Suavidad, varios niveles de calor y muy usada He regalado esta manta y las personas que lo están usando están bastante contentas. Comentan que es de material suave, tiene varias opciones para diferentes niveles de calor y ahora que viene el frío es muy utilizada. También lo están usando para mejorar problemas musculares en la espalda y como relajación de zonas cargadas.</t>
  </si>
  <si>
    <t>Una calidad de sonido increible, Sennheiser nunca defrauda Para mi personalmente, como aficionada a la música, son de los mejores auriculares que he utilizado por ese precio (soy fan de los auriculares de Sennheiser). Son un poco mas caros que unos auriculares basicos pero merece la pena invertir en ellos, y no tienen nada que envidiar a auriculares de precio superior. No pesan mucho y durán bastante. Este modelo lo tengo desde hace 2 años y funcionando perfectamente. También probe otros de la misma casa, modelo MX375 que también suenan expectaularmente bien. Sonido nitido y buenos bajos.</t>
  </si>
  <si>
    <t>Perfectas Muy cómodas. No son las primeras superga que me compro. Las recomiendo 100%. El color y material son muy buenos.</t>
  </si>
  <si>
    <t>Xulíssim Molt bonic</t>
  </si>
  <si>
    <t>No transpira Creo que me he equivocado , porque ese zapato no transpira y al rato el pie queda húmedo. Respecto a otros detalles , en lo demás bien.</t>
  </si>
  <si>
    <t>Buen reloj El reloj es un poco mas grande de lo imaginado, pero se han quitado eslabones de la cadena y ahora bien.</t>
  </si>
  <si>
    <t>Muy practica En comparación con una anterior que compré marca Amazón de color verde, me gustó el color negro . Por contra esta no se activa al pressionar el vaso que la otra sí lo hace y, por tanto, es más fàcil de usar.</t>
  </si>
  <si>
    <t>Poca calidad muy descontenta con las zapatillas. Parecen originales pero enseguida, y con muy poco o uso, se van "pelando"y rajando el material de las zapatillas. las mías son blancas con 1 mes, y ya se ven como su tuvieran 5 años. Calidad mala. No lo recomiendo</t>
  </si>
  <si>
    <t>Producto de malísima calidad El pantalón es malísimo, la tela súper fina, se transparentaba todo, lo tuve que tirar</t>
  </si>
  <si>
    <t>Bonitos y funcionales Muy bonitos aunque la calidad es un poco deficiente</t>
  </si>
  <si>
    <t>Dan mucha talla. Grandes. Entrega súper rápida. Calidad, excelente. Producto original y tal y como aparecía en las fotos. Sorpresa: el día anterior me probé en una tienda el mismo número y modelo, un 37, quedaba perfecto. El recibido, pese a ser un 37, me queda grande, me sobra 1 cm. ¿Cómo puede ser esto? No lo entiendo.</t>
  </si>
  <si>
    <t>Para tocar la guitarra en cualquier parte Me ha servido para tocar la guitarra cuando no podía llevar ampli. Es básico y de funciones limitadas. Tal vez, de haber tenido más conocimiento, habría comprado otro producto, pero habría sido más caro. Estoy contento, ha hecho sin función y lo sigo usando, y sin dar problemas, asi que magnífico.</t>
  </si>
  <si>
    <t>Bueno,bonito, barato Es muy bonito y funciona muy bien. No le pongo 5 estrellas porque no es un reloj de relumbrón. La única pega la correa es un poco corta para los que tenemos muñeca ancha.</t>
  </si>
  <si>
    <t>Es lo que anuncian Es un reloj cómodo, muy ligero y con las funciones que anuncia. Quizás al final la mayoría de ellas no se usan, pero no están de más. Muy bien el detalle del cristal protegido, al estar más bajo que el aro, con cual es difícil que se pueda rayar.</t>
  </si>
  <si>
    <t>genial muy buen tamaño y rápido de calentar.  muy contenta</t>
  </si>
  <si>
    <t>Buena compra. Cumple su funcion Esta muy bien, gira muy facil y se colocan las capsulas sin dificultad. Buena compra</t>
  </si>
  <si>
    <t>Hdd Seagate 4TB, un clásico de almacenaje de datos Seagate es una apuesta segura para cualquier Hdd. Con varias particiones en formatos independientes funciona perfecto</t>
  </si>
  <si>
    <t>Pandora Es perfecto viene con el librito y caja de pandora</t>
  </si>
  <si>
    <t>Correa oficial duradera Correa oficial duradera la cual no da problemas y es idéntica a la que te viene con el reloj al comprarlo.</t>
  </si>
  <si>
    <t>Buena batidora Me ha gustado su potencia y consistencia, además de la relación calida/precio y siempre en relacion con la anterior, que, por el poco uso, me ha dirado muchos años.</t>
  </si>
  <si>
    <t>Cómodos y prácticos Auriculares con función bluetooth muy cómodos y ligeros. Se fijan las orejas sin molestar, la diadema que va por detrás del cuello impide se caigan. Llevan y tiene la posibilidad de insertar una tarjeta de memoria hasta 32GB, lo que hace que no tengas que llevar tu smartphone o MP3 encima para hacer deporte. Además tienen radio integrada, muy sencilla de sintonizar. Se sincroniza con facilidad con el móvil y tiene un sonido espectacular.  La autonomía es de unas 2 horas. El paquete trae:  1 x auriculares inalámbricos, 1 x instrucciones en castellano,  1 x cable usb de carga, 2x almohadillas de recambio.</t>
  </si>
  <si>
    <t>Estan bien. Fueron un regalo para mi padre. Esteticamente son preciosas pero no le duraron muchisimo tampoco.</t>
  </si>
  <si>
    <t>Sencillo y práctico Sencillo pero muy práctico. Cumple su función y ocupa poco espacio ya que el mango es flexible y se puede enrollar.</t>
  </si>
  <si>
    <t>Calidad producto Me a gustado el color, ya que es discreto perfecto para el gym</t>
  </si>
  <si>
    <t>No es muy duradero Chulo,no aguanta bien los lavados y con un uso normal se desgasta rapidamente los tejidos, aunque es bonito i agradable</t>
  </si>
  <si>
    <t>Buen producto buen funcionamiento. Los mando fallan un poco, por lo demás, genial</t>
  </si>
  <si>
    <t>Lo recomiendo Buenos graves, está bien que puedas conectar micrófonos o la guitarra con los micros!! La batería dura bastante.</t>
  </si>
  <si>
    <t>No se puede pedir más. Buena compra a este precio. Hola. Buscaba un reloj tipo Casio G Shock y este reloj a este precio me ha valido la pena enormemente.  Soy una persona grande, de manos y muñeca gruesa y buscaba remplazar mi actual reloj (pongo foto para la comparación) por algo más grande. Además lo compré en color rojo por lo que le da un toque más informal, que era lo que realmente buscaba.  Estoy muy satisfecho.</t>
  </si>
  <si>
    <t>Útil Linda</t>
  </si>
  <si>
    <t>Muy buenos para hacer deporte Con un acabo en estricto plásticos para conseguir un ahorro de peso sustancial, estos auriculares se colocan por el cuello y tras pinzarse con la oreja, los suaves auriculares proporcionan muchas horas de funcionamiento durante nuestro ejercicio.  Aunque el objetivo de estos auriculares es resistir vibraciones, golpes y humedad, la calidad del sonido no ha quedado atrás, las espumas de los auriculares son muy suaves y se adaptan a cualquier posición, aunque se fugue un poco de sonido la calidad se mantiene en unos niveles aceptables para amenizarnos el deporte. Destacar que estos auriculares no admiten ajuste alguno en cuanto a tamaño de la diadema, la distancia es única, abstenerse melones de gran tamaño.  Tanto la carga como el manejo de todas las funciones se encuentra en el auricular derecho, donde controlaremos volumen, llamadas y encendido/apagado.  Junto a los auriculares se entrega una bolsa para guardarlos, manual en 5 idiomas con Español incluido, cable cargador y una tarjeta de fidelización.</t>
  </si>
  <si>
    <t>Todo como en las fotos y la descripción del producto Muy satisfecho con mi compra, económico y de muy buena calidad, lo uso para grabar videos youtube y para juegos. Muy fácil de montar y me gusta mucho que traiga todos los accesorios necesarios, relación calidad precio extraordinaria, recomiendo su compra.</t>
  </si>
  <si>
    <t>Zapatillas Entregadas a tiempo,calcero de gran calidad</t>
  </si>
  <si>
    <t>Encantados! Recomendable 100% Hemos probado biberones de otras marcas y el que más le gusta es el suavianex. Muy recomendable para el tema de cólicos. Nuestra peque no ha tenido. Biberón muy recomendable</t>
  </si>
  <si>
    <t>normal son básicos en las fotos parecen q es más largo de pierna pero nada los compre x que lo creía asin</t>
  </si>
  <si>
    <t>Esta acertada Esta  bastante bien</t>
  </si>
  <si>
    <t>Caro para lo que ofrecw La verdad que lo esperaba mejor, un  metro de lo más normal, un poco caro para lo que es</t>
  </si>
  <si>
    <t>Malísimos Acaban de llegar y al probarlos, resulta que el sonido se entrecorta porque no hace buena conexión, el micrófono en llamada se escucha muy, muy bajito y también, se entrecorta . En fin... Que para lo que cuestan son una castaña</t>
  </si>
  <si>
    <t>Huele a plástico.No se puede utilizar No se puede utilizar.Viene con un olor a plástico insoportable que no se le quita ya he probado con todo...No lo compren.</t>
  </si>
  <si>
    <t>Correcta Tot be i va arribar en la data esperada</t>
  </si>
  <si>
    <t>Reloj clasico Un reloj de toda la vida de casio. Es el tipico reloj que encentras en cualquier tienda, sirve para mirar la hora y que no se rompa. Es muy resistente y por menos de 10€ no puedes pedir mas. Si tienes un trabajo donde tienes que remangarte y ponerte manos a la obra, es tu reloj.</t>
  </si>
  <si>
    <t>Pantalones gimnasia Quedan perfectos y el color es más bonito de lo que se ve en la foto. Al estar forrados por dentro son perfectos para el invierno. El largo es para personas altas.</t>
  </si>
  <si>
    <t>Talla pequeña La verdad es que precio-calidad no se puede pedir más. Lo único que el tallaje es más pequeño, queda así ajustadito así que mejor pedir una o dos tallas más.</t>
  </si>
  <si>
    <t>Perfecto para conectar a un ordenador El producto es perfecto, pero el tema del software que lo acompaña para descargarlo, etc., algo complicado</t>
  </si>
  <si>
    <t>Perfectos Son muy cómodos. Yo los uso para el Pádel y me van perfectos. De hecho, cuando necesite otra vez calcetines, miraré para volverlos a comprar.</t>
  </si>
  <si>
    <t>entrega rapida zapatillas comodas y muy bien de precio porahora perfecto</t>
  </si>
  <si>
    <t>Muy buen precio. Es un filtro para micro, yo tengo el micro y soporte de tijera me faltaba el filtro para mejorar la calidad de mis grabaciones. Este me gusta, ademas de por el precio, por que tiene doble pantalla, por el  brazo flexible y por la presilla para cogerlo. Buen producto a buen precio, perfecto.</t>
  </si>
  <si>
    <t>Perfecto!! La talla perfecta</t>
  </si>
  <si>
    <t>Muy bonitas Hola. Compre las Converse Chuck Taylor All Star Ox en color navy, me costaron por oferta unos 30€. El paquete llegó en la fecha estimada y perfectamente embalado. Escogí el color navy por el precio en oferta aunque no me convencían mucho por cómo se veían en la foto, pero una vez recibidas en físico se ven muy bonitas y elegantes. El tallaje parece correcto, al menos yo elegí el que uso habitualmente y me van bien. Quizá por sacarle una pega cada vez que me las pongo parece que los primeros 5 minutos noto las zapatillas un poco estrechas pero luego me acostumbro, no me produce ninguna rozadura ni malestar. Espero haberle ayudado.</t>
  </si>
  <si>
    <t>parche de mu buen acalidad</t>
  </si>
  <si>
    <t>Ideales Súper prácticos. Mi bebé no ha tenido cómicos usándolos, además que sean auto esterilizables es genial para llevártelos de viaje o simplemente para no tener tantos trastos en la cocina. Muy sencillos de usar y más higiénicos para lavar porque se desmontan completamente.</t>
  </si>
  <si>
    <t>Calidad precio Ya ye comprado 3 pares,unos para mi abuela,otros para mi chica y otros para mi. Son comodos y la suela es muy buena ya que no resvala en ninguna superficie. Lo unico que le falta seria zona acolcjads debajo de la lengüeta</t>
  </si>
  <si>
    <t>Buenos separadores Archivadores de papel de calidad , justo lo que quería</t>
  </si>
  <si>
    <t>Preciosos Este modelo de Reebok me encanta, lo uso desde la adolescencia, hace algunos años que no me compraba ninguno y esta vez lo elegí en negro. Es suave, ligero y cómodo. Su calidad y acabados son impecables, pero o el tallaje es algo pequeño, o a mi me ha crecido el pie últimamente. De todas formas no lo pienso cambiar, me queda justo pero la piel cede con el uso.</t>
  </si>
  <si>
    <t>Exactamente lo que se esperaba Pues esta tarjeta es ideal para por menos de dos euros ampliar la memoria de un móvil de gama baja, liberando así memoria interna y evitando que se queje de que le falta espacio. Simplemente traspasando a ella las fotos, vídeos, y las aplicaciones más pesadas, se desahoga un poco la memoria interna que como digo, en móviles de gama baja, queda ocupada prácticamente por el propio Android.  No he detectado ningún problema de incompatibilidad.</t>
  </si>
  <si>
    <t>Funciona muy bien, tiene mucha variedad de colores y no pesa mucho. El tamaño perfecto ya que no ocupa mucho espacio, es ligero y lo puedes colocar de adorno.</t>
  </si>
  <si>
    <t>Excelente compra Excelente calidad llego súper rápido lo recomiendo</t>
  </si>
  <si>
    <t>Comodísimas Las Skechers son las zapatillas más cómodas que he tenido nunca, sea cual sea el modelo. Desde que me compré el primer par no he querido otra marca, y ya tengo tres pares. Lo único que hay que saber es que tallan grande por lo que siempre hay que comprarse un número menos, sabiendo eso no hay problema. Por otro lado yo procuro pedir los modelos que están incluídos en "PRIME", así no tengo ningún problema para devolverlas si no me están bien. El servicio de Amazon como siempre muy bueno.</t>
  </si>
  <si>
    <t>pen drive me gusta su diseño</t>
  </si>
  <si>
    <t>Buen producto La tengo desde hace bastante tiempo y puedo asegurar que es impermeable , lo que lleves dentro no se moja ni en condiciones de lluvia intensa , totalmente comprobado. Muy buena capacidad</t>
  </si>
  <si>
    <t>Ligero, preciso y precioso Reloj tipo retro, elegante y a la vez liviano en peso, a veces no me he dado cuenta ni de qué lo llevaba del poco peso que tiene. El segundero gira y está totalmente acorde con el diseño del reloj. Tiene un cristal curvo, al girarlo es una pasada por su efecto óptico. Lo uso tanto en mi día a día, cómo también en momentos más formales. Simplemente genial 👍</t>
  </si>
  <si>
    <t>Muy buena calidad muy satisfecho, pero tenia que pedirle una talla mas grande</t>
  </si>
  <si>
    <t>Demasiado pesada Le compro a mi madre esta batidora por lo largo de su brazo y las opiniones.De primeras los botones de las velocidades estaban bastante duros y se hacia pesado usarla haciendo tanta fuerza y sujetarla.Al traer el brazo tan largo pesa mas que el resto y se hace incómodo.Antes del año dejó de funcionar y es como si los interruptores de los botones se desplazasen porque consigues que funcione pero rebuscando alrededor del botón.La mando al servicio técnico y le compré otra aqui tambien</t>
  </si>
  <si>
    <t>Tere Están muy bien. Se adaptan perfectamente. No resbalan fuera del agua. En superficie de piscina. Xo si haces aquagym no sirven mucho pq no puedes correr mucho ya q te resbalas. X lo demas perfecto.</t>
  </si>
  <si>
    <t>es un rollo mas pequeño de lo que pense la cinta en si todavia no la he probado, parece que pega fuerte, lo unico que el rollo es bastante mas pequeño de lo que pensaba, relaccion calidad precio, me parece un poquillo cara para mi gusto, pero bueno en general cumple lo que promete, y estas cintas, suelen ser carillas</t>
  </si>
  <si>
    <t>Ana P Se escucha bien. Correcto. Pero los compré para poder hablar con ellos también y es imposible: mi interlocutor o no me escucha, o me pierde o me escucha pésimamente. Sigo con los viejos. Barato pero sale caro si no sirven para lo que deberían servir.</t>
  </si>
  <si>
    <t>Fraude Una estafa, un pendrive de esa capacidad vale más de 1000€. Es evidentemente un Hack, al enchufarlo pondrá que tiene 1,8TB pero si tratas de meter vídeos con más de 64GB será imposible y se parara.</t>
  </si>
  <si>
    <t>Podría ser mejor, pero no está mal El diseño y el peso está bien, pero es muy estrecho para mi pie. Quizás con más uso, estiren un poco y me acomode mejor. Otro aspecto positivo, es la amortiguación del impacto al caminar o correr.</t>
  </si>
  <si>
    <t>Buen producto Calidad precio están muy bien, no son totalmente transparentes pero casi. Muy contento con la compra. La recomiendo</t>
  </si>
  <si>
    <t>Comodidad Son muy cómodos y después de 3 semanas paracen bastante resistentes</t>
  </si>
  <si>
    <t>Satisfecho Me gusta el producto, tiene las características esperadas en general. Está por ver su durabilidad. De momento contento con la compra y el servicio de transporte.</t>
  </si>
  <si>
    <t>Calidad de producto Hervidor de agua de la marca Bosch.  Nos tiene acostumbrados la marca Bosch, a unos acabados de calidad y un diseño elegante en sus productos, En este hervidor no podía ser menos. Se aprecia un producto muy bueno.  El hervidor es de acero inoxidable, y con acabados en plástico negro. Tiene una potencia de 2200 vatios. Tiene forma de jarra cilíndrica. La capacidad máxima es de 1,7 litros, para ponerlo en uso deberemos añadir como mínimo 0,25 litros. A simple vista, da la sensación de que es más pequeño de la capacidad que tiene, casi de dos litros.  Es muy rápido en calentar el agua, ahí se nota su potencia. Se hecha de menos el poder saber a que temperatura tenemos el agua, por medio de alguna escala de temperaturas.  El filtro está en la parte superior, por la boca donde añadimos el agua, y es desmontable, para poder lavarlo.  Sin duda recomendable, si podemos pagar el precio que tiene este hervidor, los acabados premium y la calidad del producto es indiscutible.</t>
  </si>
  <si>
    <t>LAS MEJORES En mi opinión, el mejor producto de plastificado de papel que hay en el mercado. Los acabados que tiene son muy buenos, y la marca de agua desaparece al plastificar. Merece la pena.</t>
  </si>
  <si>
    <t>Muy bonito y confortable, mejor de lo que esperaba Muy bonito, buena calidad, confortable. El diseño estupendo, no conocía esta marca pero muy recomendable</t>
  </si>
  <si>
    <t>grande y util trae tambien una bandeja para las monedas, son grandes, util para guardar tambien algun papel o sobres, y parecen robustas</t>
  </si>
  <si>
    <t>Para lo que la necesito, me vale. Buena tarjeta a buen precio y funciona OK. La uso en una cámara reflex y de momento va genial.</t>
  </si>
  <si>
    <t>Originalidad Muy originales</t>
  </si>
  <si>
    <t>Calidad precio La verdad es que da buenos masajes. Por el precio que tiene se lo recomendaría a cualquiera!</t>
  </si>
  <si>
    <t>Lo recomiendo Nos encantó. Estéticamente es muy bonito y hace perfectamente su función como humidificador. Yo le echo unas gotitas de aceite esencial (natural y de buena calidad) y huele toda la estancia. Puedes poner el temporizador y si no, cuando se acaba el agua se apaga sólo.</t>
  </si>
  <si>
    <t>Portátil, rápido  y con mucha memoria. Es una memoria USB de muy pequeño tamaño, con enganche para llevarlo en el llavero siempre encima sin molestar. El enganche se ve fuerte y resistente por lo que no hay miedo de que se rompa y pierda. Además tiene protección contra polvo y salpicaduras lo que lo convierte en muy portable. En temas de escritura y lectura realizandole pruebas he obtenido un valor de lectura de 137 MB/s y 75 MB/s en la escritura, osea que son muy buenos resultados. Es rápido y tiene muy buena capacidad.</t>
  </si>
  <si>
    <t>Bonita Hacia tiempo que no me gustaba tanto como queda una sudadera, justa de cintura y con cuerpo arriba. Estiliza.</t>
  </si>
  <si>
    <t>Perfecto y con targeta Perfecto, derecho a mi colección</t>
  </si>
  <si>
    <t>Lo esperado Ibiza Sound siempre responde , buena calidad  de sonido , batería más que decente , micro inhalambrico con buen sonido y larga distancia , por poner un pero las ruedas para transportarlo no están bien diseñadas , es imposible llevarlo sin que se desestabilice , pero no es lo importante</t>
  </si>
  <si>
    <t>Rápido y recomendable 100%. Elegante y muy bonito.</t>
  </si>
  <si>
    <t>Excelente juguete Masajeador femenino de la zona íntima de la marca Fidech. De tamaño reducido, fácil de llevar a cualquier parte y de diseño sencillo. Su suavidad debido al material de silicona del cual está hecho le otorga comodidad a la mujer a la hora de usarlo. Dispone de varios modos y distintas velocidades. No es muy ruidoso pero hay que tener cuidado de donde se usa (cara lujuriosa). Mi chica lo usa mucho y hasta por la calle, dice que no molesta cuando lo tiene puesto. Con todos contentos, la compra vale la pena.</t>
  </si>
  <si>
    <t>Cumplen con su cometido. Las he comprado como repuestos de la guillotina y en principio han de cumplir su cometido ya que son iguales a la que porta. Aun no he utilizado ninguno de estos recambios ya que la guillotina es nueva.</t>
  </si>
  <si>
    <t>el mejor regalo para el dia de la madre es una joya preciosa si en la imagen te gusta al natural aun te gustará más</t>
  </si>
  <si>
    <t>Zapatillas de trekking de calidad, ligera y de pisada suave Estas nuevas zapatillas multiusos de la marca Columbia ya me gustaban cuando las vi por Internet pero en vivo y en directo me parece que tienen un diseño muy bonito.  Una vez puestas dan un aspecto de pie compacto. Son ideales tanto para paseos por el campo, como para excursiones por ciudad en la que necesites caminar mucho. Son muy cómodas, ligeras, se adaptan muy bien al pie, no deja holguras por lo que notas el pie muy sujeto. También me gusta el tacto suave de la plantilla, el pie apoya de forma muy cómoda.  Tanto mi mujer como yo la hemos utilizado (cada uno en su talla) este fin de semana por un pueblo de -Segovia por terreno embarrado, hemos cruzado un riachuelo y nos ha llovido, y parece que su cualidad de waterproof ha dado resultado. La suela parece resistente y antideslizante. Su color grisáceo, la hace muy sufrida, y se limpia con facilidad pasándole un paño húmedo.  Una bota muy recomendable.</t>
  </si>
  <si>
    <t>Ningún resultado. Lo compré para limpiar restos de cal del depósito de agua de la Babycook. He seguido las instrucciones en un par de ocasiones, ha quitado algo de cal pero esperaba mucho más. Lo mismo que utilizar vinagre. No lo volvería a comprar.</t>
  </si>
  <si>
    <t>Decente No soy experto pero lo peor es que tiembla un poco y que la unión de giro de la pata con la jirafa hay que apretarla a conciencia. El resto bastante bien para el precio.</t>
  </si>
  <si>
    <t>Decepcionante, plastiquero y la pila gastada. Muy frágil, mala calidad de los materiales y no funciona desde el primer día, no le  cambio pila vale mas que el reloj. Gracias</t>
  </si>
  <si>
    <t>defectuoso el micro no funciona, me refiero al micro inalambrico sin batería, le puse las pilas y nunca funcionó, una lástima</t>
  </si>
  <si>
    <t>monos muy bonitos, como en la foto!</t>
  </si>
  <si>
    <t>Divertidos Mi hijo esta muy contento.Viene cada par en bolsitas individuales y son muy bonitos.Con el tiempo se verá si no se pelan y son buenos.</t>
  </si>
  <si>
    <t>su Impermiabilidad muy complicado para ponerlo en funcionamiento</t>
  </si>
  <si>
    <t>Crema para dolores musculares Buena crema para los dolores musculares y las contracturas</t>
  </si>
  <si>
    <t>Cinta abdesiva Rápido y todo biennn</t>
  </si>
  <si>
    <t>Gran calzado Todo bien</t>
  </si>
  <si>
    <t>Lupa de mano. La unica pega es que pesa un poco , por lo demas la luz es un plus a favor que  mejora el aumento que tiene k es bastante y esta muy bien ,y perfecto para utilizarla en cualquier lugar mas o menos oscuro , sin tener que estar acercandome a ventanas con claridad o luces adicionales para ver lo que sea, es justo lo que buscaba y por lo menos a mi para utilizarla a diario en casa  me ha ido muy bien.</t>
  </si>
  <si>
    <t>Cómodos Hasta el primer lavado se desprende mucho algodón</t>
  </si>
  <si>
    <t>Un reloj muy bueno El reloj es muy bonito, bueno y cómodo. Lo elegí como regalo a mi pareja ya que a él le gustaba mucho. Está muy contento, la correa le encanta y lo que nos encantó fue que no tiene pila, genial!!! El envío en 24 horas es estupendo, ya que no hay que esperar para recibirlo y llegó en perfecto estado.</t>
  </si>
  <si>
    <t>Menuda compra! Desde hace unos meses me gusta hacer algunos videos de tutoriales, etc, para subirlos a youtube pero el micrófono que tenía no era demasiado bueno. En este caso me ha sorprendido lo bien presentado que viene y la sensación de dureza y calidad de las piezas que trae para el montaje. Dicho lo anterior configurarlo en el PC es simplemente conectarlo por USB y el windows me lo ha detectado; he probado con el programa OBS y simplemente ha sido decir que grabe el sonido por este micrófono y la verdad es que he notado una diferencia abismal con respecto al que tenía antes. El sonido sale claro, limpio y tiene una sensibilidad bastante buena ya que como haya sonidos en otra habitación es capaz de pillarlos.  De las mejores compras que he hecho.</t>
  </si>
  <si>
    <t>Muy satisfecha con la compra Son las zapatillas más cómodas del mundo!!! Son las segundas que compro, trabajo de pié y jamás me duelen las piernas con estás zapatillas. Las recomiendo a todo el mundo!</t>
  </si>
  <si>
    <t>Verbatim como siempre hasta ahora no me ha fallado. Poco tengo que decir sobre los DVD  Verbatim, simplemente que como siempre en mi caso hasta ahora no me ha fallado ni uno y todos me han funcionado correctamente. En el caso de este pack no los he gastado todos pero hasta ahora que llevare mas o menos la mitad todos se han portado bien.  En cuanto al envió ha sido rapidísimo y correcto, por mi parte un 10 en cuanto a envió y producto.</t>
  </si>
  <si>
    <t>Compra perfecta Crocs de invierno por 19€ en oferta. Nada más que añadir</t>
  </si>
  <si>
    <t>Muy buena compra. Me quedan perfectas, pero ya sabía cual era mi talla porque no era la primera vez que las compraba. Dan poca talla, así que hay que pedir mínimo un número más del que habitualmente calce cada uno. Para que os hagáis una idea yo uso una 43-44 y en las New Balance pido una 45 y me está perfecta. Por otro lado decir que son unas zapatillas comodísimas, eso si, para vestir o salir a caminar, no para hacer deporte.</t>
  </si>
  <si>
    <t>Perfecto Es una batidora cómoda de utilizar y limpiar con una gran potencia, aún no he probado con el hielo, pero para gazpacho y crema de verdura es super eficiente. Me llegó muy rápido y en perfecto estado.</t>
  </si>
  <si>
    <t>Muy bueno Un buen aislante acústico. Perfecto para M audio b5 d3</t>
  </si>
  <si>
    <t>Cómodas Cómodas</t>
  </si>
  <si>
    <t>Buena calidad-precio Buena calidad-precio</t>
  </si>
  <si>
    <t>Microfono Top Microfono muy sutil, comodo y compacto donde lo puedes plegar y llevartelo a donde quieras. Lo recomiendo al 100%. Esta genial.</t>
  </si>
  <si>
    <t>Muy bien Perfecto</t>
  </si>
  <si>
    <t>relación calidad - precio Se sienten muy livianos y no pesan casi nada, la calidad del acolchado es optima, no se oye nada del exterior y resultan muy comodos, la calidad del sonido es buena, sobretodo los bajos se oyen de una forma nítida y clara, en cuanto al control del volumen esta disponible desde el cable que va al ordenador permitiendote bajarlo, subirlo o silenciarlo. estoy muy contento con la compra lo recomiendo.</t>
  </si>
  <si>
    <t>Compra maestra. Increíble! Sin detergente y mejor resultado</t>
  </si>
  <si>
    <t>Increíble Realmente nos ha sorprendido. Es impresionante su calidad con respecto al precio.</t>
  </si>
  <si>
    <t>Microfono ESTE MICROFONO CON BLUTH ,TAMBIEN PUEDE CON TRAJETA MIRO SD .fácil para usarse. Y el color rosa mi hija le gusta mucho.</t>
  </si>
  <si>
    <t>Correcto Por poco más que lo que pague por un pack podría haber comprado uno más grande, pero al no estar seguro de que eran compatibles con mi grapadora compre estos. Grapas correctas, pero al precio que los compre no fueron nada económicas.</t>
  </si>
  <si>
    <t>Es bonita Llegó  bien. Es muy chula. Espero que me dure. el morrito de la vaca es muy suave y esponjoso. Bien</t>
  </si>
  <si>
    <t>Pequeñosfalllos Calzadodediario pero llaviene las suelas por los laterales rajadas un poquito</t>
  </si>
  <si>
    <t>Sorpresa a los 4 dias de uso. Justo 4 dias han durado las plantillas. Despegadas por su parte trasera y lo de despegadas tampoco es cierto porque no se aprecia ningún tipo de pegamento. Decepción total con la marca</t>
  </si>
  <si>
    <t>Cara y rota Batidora rota</t>
  </si>
  <si>
    <t>Mienten en el color No me ha gustado nada. Es mentira, no es blanco es traslucido o sea blanco y casi transparente. Lo quería para recoger y ocultar una grupo de  cables que son negros, gris y amarillos, junto a una regleta blanca y no me ha servido de  nada. No lo he devuelto porque me cuesta más devolverlo que tirarlo. Una decepción</t>
  </si>
  <si>
    <t>Buen precio Al principio me hizo rozadura luego bien</t>
  </si>
  <si>
    <t>Funciona bien Es lo que esperaba. Guapo y con tapa. Bien de precio frente a otros. Lo único que la parte superior quema al tocarlo. Volvería a comprar.</t>
  </si>
  <si>
    <t>Cumple bien su función Me encanta. Te ahorra el trabajo de fregar y hasta de barrer antes. No le pongo 5 estrella porq a veces se pierde en la habitación y termina en el lado contrario al q empez,ó que supuestamente debe volver al sitio inicial, pero aún así te deja la habitación barrida, fregada y mientras tú a otra cosa. Los paños son caros, eso sí, pero se puede estirar el uso un poco más del un sólo uso que recomiendan. Y además hay un paño de fregar lavable q aún no he probado. Recomiendo la compra sobre todo si no tienes tiempo para ocuparte de la casa. Libera mucho y además es monísimo!</t>
  </si>
  <si>
    <t>Talla L. 1,83 m. 93 kg Tengo varias prendas Joma para correr pero es la primera vez que me decidí a comprar online esta marca. Tenía dudas con la talla. De largo me queda perfecto y de talla también. La parte del tobillo/gemelo es estrecha aunque no incómoda. Tiene cremallera para abrir y así poder sacar la pierna con el calzado puesto en caso de prisas. El material, como todo lo que hace Joma, es excelente y espero sea duradero. Buena compra y a precio razonable.</t>
  </si>
  <si>
    <t>Muy buena relacion calidad/precio Fabricada en una pieza, de calidad, talla correcta y comodas. Destacar que tiene bien marcado el puente del pie y si no estas acostumbrado  resulta raro los primeros dias, tras eso son muy comodas. Si tienes pies planos tal vez no te sientas comodo, apesar de ser blanditas.</t>
  </si>
  <si>
    <t>Muy bien Los calcetines son como aparecen en la foto. Ajustan bien y son cómodos. La compra ha estado bien y creo que son recomendables.</t>
  </si>
  <si>
    <t>Todo Cumple con todo lo que esperaba</t>
  </si>
  <si>
    <t>Calidad Clark Como en la foto</t>
  </si>
  <si>
    <t>Me encantan, unos olores maravillosos....!!!!! Me gusta hacer mis jabones, y ambientadores naturales en casa, y con unas gotas de alguno de estos aceites quedan con unos olores deliciosos. El de rosa y el de jazmín para los jabones.... me encanta. Y hago con ellos como veía hacer a mi madre, los guardo entre las sábanas y toallas y no podéis imaginar el olor que sale cuando abro el armario. Y para los ambientadores .... me chifla el de cereza, un olor fantástico. El de ylang ylang me encanta usarlo en el difusor en mi habitación..... es un aroma que me relaja y tranquiliza. Y el de té blanco, era un olor que no conocía, pero me gusta esa sensación de frescor que tiene, todavía no lo he usado, pero seguro que la próxima vez que haga jabón lo utilizaré seguro. La presentación de los aceites, es preciosa. Una caja con flores muy bonita. Y una cosa muy importante es que me llegaron todos los aceites perfectos, sin fugas de ningún bote. No como los que pedí anteriormente de otra marca, que me llegaron 3 botes casi vacíos y toda la caja llena de aceite.</t>
  </si>
  <si>
    <t>Muy chulo Es un reloj grande, pero muy bien hecho, el color es un poco mas oscuro que el de la foto, que mas decir es un G-shock, preparados para todo, golpes, agua, la verdad es que son uno relojes muy agradecidos, por que despues le compras la correa y el bisel (la caja) y se lo cambias y vuelves a tener reloj nuevo.</t>
  </si>
  <si>
    <t>Excelente artículo. Mi reloj de toda la vida. Ojo, no usar ara hacer deporte, para eso no vale. Sin duda, buen reloj ocasional y de diario.</t>
  </si>
  <si>
    <t>Ajusta muy bien y tiene buen precio Buen producto. Precio muy bueno en comparación con otros similares. He comprado la talla M y su tallaje es bueno. Contenta con el</t>
  </si>
  <si>
    <t>Perfectas! Van perfectas tanto para salir como para deporte, muy buena calidad</t>
  </si>
  <si>
    <t>Por ese precio, la relación con calidad buena Buen sonido por ese precio no se puede pedir mas</t>
  </si>
  <si>
    <t>Bien Funciona perfecto</t>
  </si>
  <si>
    <t>Buena calidad Super buena calidad y muy comoda para deporte o para el dia a dia. La recomiendo muchisimo.</t>
  </si>
  <si>
    <t>CALIDAD Y CONFIANZA Recomendable para la lavadora.Yo le pongo una pastilla cada vez que pongo ropa blanca y la ropa también lo agradece. En la cisterna del baño también hace su función si le pones una pastilla cuando teneis que salir y no usaras en unas horas.</t>
  </si>
  <si>
    <t>Biberones Man. Los mejores biberones sin duda.</t>
  </si>
  <si>
    <t>Perfectas Muy bonitas.. El color como en la foto la talla perfecta y son muy fuertes.. Mi marido está encantado yo las recomiendo</t>
  </si>
  <si>
    <t>100% recomendable Muy cómodas. Las he probado ya en largas caminatas, piedras, piso mojado y me han cautivado. La relación calidad precio es extraordinaria. Las recomiendo al 100%</t>
  </si>
  <si>
    <t>como esperado Buena tarjeta, rápida, gran capacidad, buen funcionamiento. Calidad-precio buena, vale la pena gastar un poco más, tiene velocidad de procesado alta</t>
  </si>
  <si>
    <t>Percfectos Pe f ctos comodos</t>
  </si>
  <si>
    <t>Bueno Muy bien de calidad</t>
  </si>
  <si>
    <t>Preciosa sudadera, super agradable y ligera. Preciosa sudadera, muy suave y agradable al tacto y ligera, es mejor de lo que esperaba. La XXL es bastante grande, incluso un poquito más de lo que me esperaba.</t>
  </si>
  <si>
    <t>No cumple sus expectativas Lo devolvimos, no era cómodo ni se escuchaba bien, con el siguiente dimos en el clavo,no lo recomiendo.</t>
  </si>
  <si>
    <t>... No és como esperava</t>
  </si>
  <si>
    <t>La cafetera está bien, Pero hay un error en la descripción, el reservorio de agua no es extraible La cafetera está bien. Pero en la descripción de las caracteristicas del producto hay un error, el reservorio de agua no es extraible</t>
  </si>
  <si>
    <t>No funciona en para ipad. No es compatible con iOS lo he probado en dos que tengo, descargando la aplicación que indican y no lee los archivos que he incluido. Lo he formateado desde el mac, le he metido distintos tipos de archivo, y nada. he intentado copiar fotos del ipad al usb y tampoco funciona. No es compatible con iOS</t>
  </si>
  <si>
    <t>La rapidez Alponerlo en marcha se suelta la barilla</t>
  </si>
  <si>
    <t>Es bonita Es bonita,no está mal</t>
  </si>
  <si>
    <t>El tiempo no se puede comprar y yo lo he comprado comprando el deebot 900 Aparte de comprar un aspirador he comprado tiempo,mientras q yo hago otras cosas el me mantiene la casa sin una pelusa.Genial y a penas hace ruido, quizás me gustaría un depósito de basura algo más grande</t>
  </si>
  <si>
    <t>Cumple y queda bien Contento por el momento con el reloj. Lo compré como alternativa a mi smartwatch para usarlo en entrenamientos y cumple con su cometido. Queda bien puesto, además. Veremos a largo plazo.</t>
  </si>
  <si>
    <t>Bueno Muy bien</t>
  </si>
  <si>
    <t>versatil perfecto, tal como se describe.</t>
  </si>
  <si>
    <t>Todo un clásico Hacia tiempo que las andaba buscando, siempre me encantaron y hacia más de 14 años que no las compraba. Me gusta ver como han podido aguantar tantos años vendiendo este modelo. Calidad perfecta, se adaptan increíblemente, son comodisimas. Eso si en verano mucho calor al pie.</t>
  </si>
  <si>
    <t>4 tb por 58€, un regalo! Lo compré porque lo vi a 58€, por ese precio no podía dejarlo pasar, me llegó en 3 días y todo perfecto, encantado por la compra</t>
  </si>
  <si>
    <t>Buena compra Cómodos de calidad y baratos</t>
  </si>
  <si>
    <t>La calidad, y sobre todo su medida Lo perfectas que quedan,hacen una bonita pierna,y son preciosas,era reacia, pero son muy chik, vamos encantada ,espero que me duren</t>
  </si>
  <si>
    <t>Ideal para regalar Esta genial ,las piezas encajan perfectamente .Yo lo compre para regalar en símbolo de amistad .</t>
  </si>
  <si>
    <t>Me gusta.  No hace ruido.  Es sencillo y bien acabado.  Se nota que sube humedad al ponerlo. Me gusta, está muy bien. No hace casi ruido aunque de noche no lo he dejado puesto. El acabado está muy bien, queda bien en cualquier sitio.  Se nota que en seguida de ponerlo la humedad sube. Aún no lo he probado con aceites esenciales, solo con agua. Cuando el nivel de agua baja se para, ya me ha ocurrido y se ha parado, por lo que cumple también esta característica de seguridad.  El agua no se calienta ni el aparato tampoco. Los colores son sencillos y puede estar bien para relajarse.</t>
  </si>
  <si>
    <t>vaquita Me encanta es una cucada la vaca y me llego super pronto y queda perfecta en la mesa es muy comoda para el ratón</t>
  </si>
  <si>
    <t>Perfecto Todo correcto y bien embalado.</t>
  </si>
  <si>
    <t>Buena compra Le quedan a mi mujer perfectas</t>
  </si>
  <si>
    <t>Buen cable Buen cable para hacerte tus propias conexiones en el equipo de música o la tele.</t>
  </si>
  <si>
    <t>La velocidad de escritura La instalación es facilisima como segundo disco de mi xioami air 13,5 pulgadas. Va como una bala</t>
  </si>
  <si>
    <t>Bien Tube que devolverlo porque no venia todo pero aun asi un amigo mio lo tiene y le va de lujo un gran micro y todo genial la devolucion sin problemas y rapido</t>
  </si>
  <si>
    <t>Zapatillas top Muy buenas zapatillas, de las mejores del segmento de zapatillas “mixtas”. Diseñadas para carreras a ritmos alegres, el pie encaja como un calcetín. Son muy ligeras y amortiguadas.  Por si sirve de orientación, las tallas de NB coinciden con las de Nike.</t>
  </si>
  <si>
    <t>PRECIOSOOOO Muy bonito, yo ya lo habia visto en una tienda pero a 69 euros, cumplia todos los requisitos, pero la caja era de carton y me parecio un poco cutre, por lo demas genial.</t>
  </si>
  <si>
    <t>Me encanta Me encanta, son muy bonitas y se lo pone siempre. Lo recomiendo para niñas entre 10 y 15 años ME ENCANTA GRACIAS</t>
  </si>
  <si>
    <t>Muy útil para ahorrar espacio Funciona súper bien, creas una carpeta en tu Mobil y puedes guardar todos tus archivos y fotos directamente en ele usb</t>
  </si>
  <si>
    <t>Saca zumo de todo Travaja como un cavallo.</t>
  </si>
  <si>
    <t>Preciosa Lo compre para un regalo, le encanto. Es una pulsera que adapta a la muñeca, es de plata y no se descolora, es de muy buen material. Se queda preciosa puesta.</t>
  </si>
  <si>
    <t>SUELA RUIDOSA La suela es muy ruidosa y lo confortable del interior rápidamente queda hundido y no vuelve a su estado inicial.</t>
  </si>
  <si>
    <t>Esta bien el precio La talla es algo pequeña, no encontrarás un producto con calidad, por el precio que pagas, al menos sirve para estar por casa.</t>
  </si>
  <si>
    <t>No es suficiente velocidad para un Xiaomi M3 He comprado esta memoria concretamente por que relacionadas con el resto es la que mejor tasa de lectura y escritura tenia, además se supone que es una V3, pues bien la he puesto en un Xiaomi nuevo M3 y me lanza un mensaje de error de que es demasiado lenta para funcionar como complemento de memoria del teléfono , una de dos, o las velocidades que exponen no son correctas o xiaomi es muy tikismikis con las memorias. No obstante realizaré test y os diré el resultado.</t>
  </si>
  <si>
    <t>Malísima calidad Malísima calidad funcionan fatal</t>
  </si>
  <si>
    <t>Bota en mal estado por rotura Me ha llegado con un golpe en la parte delantera de la bota</t>
  </si>
  <si>
    <t>Queda muy xulo pero se ve la mala calidad... pero por su precio merece la pena Es muy xulo, pero se ve que es de mala calidad; por su precio vale la pena.</t>
  </si>
  <si>
    <t>Cascos inalámbricos Son unos cascos muy bonitos en color rosa. Son muy flexibles porque se pueden plegar y se pueden guardar en cualquier sitio. Me gusta mucho que se pueden contestar llamadas desde el propio casco mientras escuchas música y también se puede escuchar la radio. Recomiendo los cascos para regalar en navidad porque son comodos y blanditos.</t>
  </si>
  <si>
    <t>Buena compra (a la segunda...) Después de la desilusión inicial de recibir un producto claramente usado (venía sin plastiquitos, sin filtro, sin tira medidora de dureza de agua, sin cucharita para el café molido...) y con molinillo atascado, una vez devuelta y sustituida por Amazon (en dos días!!), puedo decir estar satisfecho con su funcionamiento y con el café que prepara. Veníamos de consumir café en capsulas y a propósito del cambio, en mi opinión: 1: se pierde la inmediatez típica del sistema por cápsulas (hay que admitirlo...). Este tipo de máquina necesita de un encendido más largo y consume agua al encenderla y apagarla (el equivalente de una tacita al encender y una al apagar) 2: el aparato ocupa bastante, si se anda cortos de encimera es algo a tener en consideración 3: aún consumiendo más agua, la frecuencia con la que hay que reponer agua o vaciar posos es menor que la frecuencia de rellenado de agua o vaciado de cápsulas de una típica Nespresso Inissia 4: el nivel de ruido es parecido 5: la posibilidad de configurar diferentes parámetros de preparación y de poder usar el café que a uno más le guste (o una mezcla de), lleva a una mayor probabilidad de acabar obteniendo el café optimo para cada uno (no voy a hablar de calidad... :) ) 6: la opción de usar café molido está bien (para descafeinado o café con más/menos cuerpo que el en granos), pero tener que ponerlo a cada café no es tan cómodo. Estaría bien un recipiente para el molido. Por lo general, no creo que en casa se usen más de dos tipos de café... 7.: en cuanto al medioambiente estamos hablando de un electrodoméstico clase A que produce posos de café que van al contenedor orgánico (o a las plantas o a desatascar el fregadero :)), nada de tener otra bolsa de basura y llevar las cápsulas al punto de recogida cada X tiempo... 8.: finalmente, a menos de usar cafés carísimos, resulta mucho más económico que el sistema en capsulas (aún considerando el coste del filtro del agua)</t>
  </si>
  <si>
    <t>Calidad precio Cumple con lo descrito</t>
  </si>
  <si>
    <t>Muy bien. Recomendable La prenda abriga, me la pongo debajo de una chaqueta de running para salir a correr por la noche y no tengo frío. Se ajusta perfectamente y saca el sudor perfectamente.</t>
  </si>
  <si>
    <t>Piedra tipo amatista. Es muy bonito.</t>
  </si>
  <si>
    <t>Practics Excelente</t>
  </si>
  <si>
    <t>Todo correcto Me llegó antes de lo previsto y me encantan!!!! No puedo estar más contenta 😊</t>
  </si>
  <si>
    <t>Hawaiana Para que queden bien hay que mirar la talla europea mi hijo gasta  41/42 y pedimos 43/44 y quedan perfecta.</t>
  </si>
  <si>
    <t>Potente y práctica Buena potencia, fácil uso, me gusta.</t>
  </si>
  <si>
    <t>Gran zapatila Excelente.</t>
  </si>
  <si>
    <t>Buena compra Tal y como se anuncia, muy útil.</t>
  </si>
  <si>
    <t>Buen producto Lo mejor, lo peque que es.</t>
  </si>
  <si>
    <t>Gran calidad Muy buena calidad ,mandado en una caja de muy buena resistencia y muy bien cuidado. La correa tiene muy buena pinta, fuerte y bonita</t>
  </si>
  <si>
    <t>Mal empaquetado El bolso cumple con las expectativas, ( buen producto) pero el mal empaquetado junto con otro articulo que compré (sombrero) arrugó en demasía los artículos. Decepcionado con el embalaje.  Bueno, ya parece que ha cogido su forma y queda bien puesto. Es un alivio. Es justo comentarlo, después del susto inicial. Un saludo.</t>
  </si>
  <si>
    <t>Geniales! Ya tengo 3 y los uso con diferentes tetinas, para cereales, para leche normal, etc. Vienen con la tetina de nivel 1 para recién nacidos, a los 3 meses hay que cambiarla. Son geniales!!! Y nada de cólicos!</t>
  </si>
  <si>
    <t>Auriculares cómodos y con muy buena calidad de sonido Auriculares de una muy buena calidad a nivel general. Aunque lo que más me ha llamado la atención es el sonido, es francamente muy bueno sin importar el estilo de música que estés escuchando. También me ha gustado lo cómodos que son y cómo se ajustan al oído, resulta bastante fácil usarlos por horas sin sentir ningún tipo de incomodidad.</t>
  </si>
  <si>
    <t>Pendientes bonitos Comprado como un regalo para mi mujer, a ella le gusta mucho. Dice que son bonitos y de plata ya que le ponga alergia de otro material Buena compra</t>
  </si>
  <si>
    <t>Volveré a comprar Muy bueno.. Para suciedad incluso de las yantas del coche..</t>
  </si>
  <si>
    <t>Se ajustan y son fáciles de usar. ¡Estos auriculares funcionan muy bien! Se sostienen en mis oídos y se mantienen incluso corriendo. Cancelan el ruido externo y me permiten concentrarme en los podcasts que me gusta escuchar. Están bien diseñados y son fáciles de usar.</t>
  </si>
  <si>
    <t>Comodas Perfectas</t>
  </si>
  <si>
    <t>Genial calidad/precio Lo limpia absolutamente todo, desde trozos de pienso del gato, hasta azucar, pelusas, migajas de pan... Es espectacular lo que consigue esta marca. No tiene sistema de navegacion pero funciona perfectamente, lo aislas en una habitacion y la limpia de pe a pa. Y en la casa entera tmabien, pero tarda mas tiempo. Lo suyo es dejar las casas completas y grandes para modelos superiores, en cuanto a tiempo. Para limpiar mi casa de unos 100m2 mas o menos le ha llevado una carga completa muy ajustada. Pero ha quedado genial. Quizas otros modelos optimizan mas el tiempo.</t>
  </si>
  <si>
    <t>Producto de calidad Son un poco caras pero merece la pena pagar un poco más. Son muy cómodas, elegantes y resistentes, se nota que están hechas con materiales de calidad. Suela de caucho blanda (agarra pero no suena al pisar) y sin costuras a la vista. La presentación me ha gustado también, vienen en una caja adaptada muy elegante e incluye una bolsa de tela para llevar las zapatillas. Sin duda una buena compra.</t>
  </si>
  <si>
    <t>Pi. solo lo he podido usar 1 vez, ya se me ha estropeado el cierre. La verdad es que es una pena porque es bonito, pero ya no me vale para nada, sacaré las bolas haber si me vale para otra pulsera, en fin decepcionada</t>
  </si>
  <si>
    <t>Memoria practica pero posible poca duración La valoración no es mayo aunque la memoria funciona bien, pero se calienta excesivamente tanto al conectarla en Móvil como en PC.  Tuve que devolver la primera USB por este motivo y la segunda que me han enviado le ocurre lo mismo. No la he devuelto tambien esta y la ire observando, pero me temo que si sigue calentandose de esta manera se deteriora la memoria.</t>
  </si>
  <si>
    <t>Suela Lo único malo que le veo es la suela es súper fina por fuera parece que tiene una suela más gorda pero por dentro con la suela tan fina es incomodar andar después de unas cuantas horas con ellas puestas</t>
  </si>
  <si>
    <t>Low quality This toaster looks fine in pictures as a "retro" style toaster but for the price it is very poor quality overall. The slider bar for making the colour of toast at the bottom is thin plastic and will surely break over a short time. The crumb tray is so shallow it will need to be emptied every day as will hold few crumbs. It is so lightweight that when adding bread and pressing the slider down the toaster tips up. The outside walls of the toaster get very hot. The fancy timer dial on the front means nothing, although the needle moves to show an approximate time to toast the item to your selected number on the slider. But if you rely on this the toast burns badly. The slots are narrow and barely take bread over 10-12mm thick. Overall, this toaster is no better than a non-brand, or cheap supermarket toaster I could have bought for around 20€. I paid extra shipping too, for two day delivery and it arrived 8 days later than that!! All in all the worst buy I have made on Amazon ever. Esta tostadora se ve bien en imágenes como una tostadora de estilo "retro", pero por el precio es de muy mala calidad en general. La barra deslizante para hacer el color del pan tostado en la parte inferior es de plástico delgado y seguramente se romperá en poco tiempo. La bandeja de migas es tan poco profunda que deberá vaciarse todos los días, ya que contendrá pocas migas. Es tan liviano que al agregar pan y presionar el control deslizante, la tostadora se inclina hacia arriba. Las paredes exteriores de la tostadora se calientan mucho. El elegante dial del temporizador en la parte delantera no significa nada, aunque la aguja se mueve para mostrar un tiempo aproximado para brindar el elemento al número seleccionado en el control deslizante. Pero si confías en esto, la tostada quema mucho. Las ranuras son estrechas y apenas tienen pan de más de 10-12 mm de espesor. En general, esta tostadora no es mejor que una tostadora de supermercado barata o de marca que podría haber comprado por alrededor de 20 €. ¡También pagué un envío adicional, por dos días de entrega y llegó 8 días después! En general, la peor compra que he hecho en Amazon.</t>
  </si>
  <si>
    <t>En 1 mes se dejó de oir 1 auricular En tan solo 1 mes, dejó de escucharse el auricular derecho. Los originales que me vinieron con el movil me duraron 2 años....</t>
  </si>
  <si>
    <t>Buena calidad y servicio excelente Buena calidad y servicio excelente, es un poco más largo de lo que esperaba, pero nada que una buena sastra no soluciones.</t>
  </si>
  <si>
    <t>Bueno Lo compré para mí novia y le gusta</t>
  </si>
  <si>
    <t>Sony MDR-ZX110 Auriculares cerrados, blancos para un regalito de última hora a un sobrino, Autenticos Sony a precio de derribo, suenan decentemente.</t>
  </si>
  <si>
    <t>Muy buena sensación Me gusta esperaba por el precio sudadera delgada y mala, pero es de muy buena calidad</t>
  </si>
  <si>
    <t>Muy bueno Es bastante fuerte y viene con adaptadores de rosca que son útiles, buen servicio pero hecho de menos que tenga una bolsa de transporte para guardarlo</t>
  </si>
  <si>
    <t>Rápido Muy buen producto. Rápido funcionamiento y además es de cristal.</t>
  </si>
  <si>
    <t>Regalo y éxito Fue un regalo a la pareja y todo un éxito son pequeñitos pero elegantes, ya que se disimulan bien. Quedó encantada</t>
  </si>
  <si>
    <t>Todo perfecto Muy contento con este maravilloso colgante , un regalo perfecto y un 10 por el detalle de la nota y la bolsita en el envío</t>
  </si>
  <si>
    <t>Tiene muchos compartimentos y bastante capacidad Me ha gustado el material muy agradable al tacto.</t>
  </si>
  <si>
    <t>Muy, muy recomendable. Una navaja perfecta. Yo la queria para salidas de senderismo y acerte, es perfecta. Por tamaño y filo de la hoja. La recomiendo sin duda.</t>
  </si>
  <si>
    <t>Una de las mejores opciones Se oyen realmente muy bien, a este precio es una ganga!</t>
  </si>
  <si>
    <t>Calidad Buena calidad y bonito</t>
  </si>
  <si>
    <t>Genial Lo utilizo en la construcción y por ahora aguanta sin ralladuras lo recomiendo totalmente.</t>
  </si>
  <si>
    <t>Gran calidad Gran calidad</t>
  </si>
  <si>
    <t>recibido hoy  20 de marzo de 2019 todo correcto de acuerdo a lo enunciado</t>
  </si>
  <si>
    <t>Genial La verdad q antes lo teníamos q haber comprado, una maravilla totalmente recomendable. Un volumen espectacular fácil de llevar. Lo utilizamos en un aula</t>
  </si>
  <si>
    <t>Excelente Muy bueno. Tamaño correcto y con el sistema de rosca para colocarlo encaja perfectamente con el blue snowball. Muy recomendado</t>
  </si>
  <si>
    <t>Muy buena replica a un precio increíble. Perfecto! Muy bonito y detallado, es el tercero que compró, todos para regalo, les encantó tanto a mis sobrinas como a mi amiga fan de Harry Potter.</t>
  </si>
  <si>
    <t>Unas zapas geniales Son una zapatillas muy chulas y calentitas. Quedan muy bien. Hay que avisar que tienen la suela muy fina y es como caminar descalzo. Así que si no te gusta la sensación de ir descalzo busca otro modelo.</t>
  </si>
  <si>
    <t>Es el reloj que tuve cuando era joven. Y sigue igual de fiable y bonito. Es un clásico. Lo tuve a los 18 años y me encanta volver a tenerlo ahora, que no veo tan bien como antes y además no me pesa nada en la muñeca.  He buscado en otras web y lo ofrecían por  un precio significativamente más alto.</t>
  </si>
  <si>
    <t>Excelente producto &lt;div id="video-block-R1NQY6GIQNG9A5" class="a-section a-spacing-small a-spacing-top-mini video-block"&gt;&lt;/div&gt;&lt;input type="hidden" name="" value="https://images-eu.ssl-images-amazon.com/images/I/91U0NIVnjBS.mp4" class="video-url"&gt;&lt;input type="hidden" name="" value="https://images-eu.ssl-images-amazon.com/images/I/71An65c45yS.png" class="video-slate-img-url"&gt;&amp;nbsp;Lo compre porque quería calentar el agua con mucha rapidez, y sin ninguna duda cumple su función, solo hacen falta 10 segundos para que empiece a hervir.</t>
  </si>
  <si>
    <t>Buena compra Geniales crocs totalmente originales y perfectas de talla, me las compre para probar y no puedo estar mas contento, estoy seguro que compraré más.</t>
  </si>
  <si>
    <t>Sensación de spa Me encanta la sensación que transmite, es como estar en un spa. Apenas hace ruido, es muy silencioso, se puede ajustar tanto la luz como el nivel de vapor. También tiene un programador para que se apague a ciertas horas. Huele de maravilla toda la habitación y según el tipo de aceite que pongamos aporta sensación de relax, sueño, energía, etc.</t>
  </si>
  <si>
    <t>Material resistente Tal cual como se muestra en La foto, yo pensaba que era en plan bolso cuando en realidad es un portafolio de Lona, de excelente calidad . La recomendaría sin duda alguna</t>
  </si>
  <si>
    <t>pendientes son demasiado pequeños, casi no se ven. no son ni la cuarta parte del pendiente de la foto. son super pequeños</t>
  </si>
  <si>
    <t>Muy buenos pero el pack viene con la tetina pequeña Cuando nacio mi hijo me regalaton un pack con biberones de esta marca. Al principio no me convencian mucho pero al final son los que mejor me han ido, he intercalado pecho y biberon y el bebe lo ha cogido bien sin rechazar el pecho. Ojo hay que poner la valvula easyvent hacia arriba. He comprado este pack para una segunda residencia. No le pongo mas estrellas por que te obligan a comprar los bibes con la tetina del 1 cuandomi hijo ya necesita la del 2-3, deberian haber paks con tetinas de tamaño grande.</t>
  </si>
  <si>
    <t>Ok Devuelto</t>
  </si>
  <si>
    <t>Mal Pues me tuvo que tocar una bota mala, porque se me hizo un agujero en la suela de una de las botas al poco tiempo de usarlas.</t>
  </si>
  <si>
    <t>yo no se lo que entienden por 3 metros de un metro escaso, semirrigido, nada flexible. y peligro de llevarte el amplificador detras inadvertidamente. muy mala compra</t>
  </si>
  <si>
    <t>Sencillos pero suficientes Lo dicho, son sencillos, básicos, pero no se necesita más. Música, radio, ..., y contestar llamadas si se quierre.. .</t>
  </si>
  <si>
    <t>Práctico y sencillo. Por el precio que tiene poco más se le puede exigir. Incluye, una licencia de Ableton Live Lite, que permite añadir hasta 8 pistas y viene con bastante contenido de librerias, unos 600 MB.  En un MacBook Pro con Yosemite y Logic Pro X es conectarlo y funcionar, sin más complicaciones.  El tacto de las teclas quizás parezca algo endeble, pero según mi criterio, cumple de sobras con el uso que se le va a dar. Teclas ligeramente pequeñas. Incluye el control de volumen del canal MIDI.  Tiene un tamaño bastante contenido, que permite meterlo en cualquier bolsa de transporte y pesa poco.  En resumen, recomendaría su compra para un uso básico y principiante.</t>
  </si>
  <si>
    <t>Bueno, aunque la perilla podria ser mas robusta Me ha gustado y hace su funcion</t>
  </si>
  <si>
    <t>Talla 40,5, Creo que es para corredores con más talla y un peso de 80 kilos o más Zapatillas de Running modelo color Negro Black Lemon Spark 003 de la marca ASICS Gel Nimbus 21 en talla 40,5 Peso de zapatilla Izquierda 284 gramos. Peso de zapatilla derecha 287 gramos. Altura (aprox) del talón unos 11 cm. La Medida tomada personalmente de la plantilla es de 26,5 cm (máximo).  _Conclusiones: Tengo un peso menor a los 80 Kilos y la talla que adquirí es una 40,5. Al igual que los comentarios de algunos compradores, las zapatillas no "descansaban" correctamente sobre una superficie plana, las dos tenían un "liguero balanceo", este no era muy exagerado y una vez usadas durante varios días no noté molestias en la pisada por este motivo. Lo que sí noté es que me resultan algo duras en zonas de asfalto o superficies/terrenos duros, la amortiguación no la noto como en otras zapatillas (no voy a hacer publi de otras marcas). Considero que las Nimbus 21 son unas buena zapas, pero están más orientadas a corredores con un peso superior a los 80 kilos (preferiblemente más) y una talla también superior a la 40,5 que es la que yo uso.  _Conclusión Final: En fin, que tengo un sabor "agridulce" por que esperaba más de ellas, creo que un pié pequeño como el mío combinado con el "poco" peso hace que no sean tan buenas "amortiguando" que otras.  Saludos By Flype</t>
  </si>
  <si>
    <t>LA CUARTA VEZ QUE LOS COMPRO. PERFECTOS PARA ENTREGAR SESIONES DE FOTOS. Ésta ha sido la cuarta vez que he comprado estos pendrives para entregar mis trabajos fotográficos. En solo un par de ocasiones he tenido que formatearlos para que funcionasen mejor. Pueden ser algo lentos a la hora de grabarlos, pero funcionan a la perfección, además del bonito diseño que tienen.</t>
  </si>
  <si>
    <t>ideal tengo 2 horas de bus todos los dias al trabajo y me ha resultado perfecto para meterle series y ver un par de capitulos en ese trayecto, se transfieren muy rapido los archivos al ser 3.0 recomndable</t>
  </si>
  <si>
    <t>Buena calidad / Tallaje perfecto La tela es de buena calidad, el corte de la camiseta es regular por lo que no se adapta. Ideal si no te gusta la ropa ajustada. Para una altura 173cm y un peso de 77kg compre la M y me queda perfecta.</t>
  </si>
  <si>
    <t>Recoge muy bien el pecho Me ha gustado un montón quedan muy sujetos y al mismo tiempo comodísimos, muy satisfecha porque ya he comprado muchos que no me han gustado tanto.</t>
  </si>
  <si>
    <t>Gran zapatilla todo terreno Gran zapatilla para corredores todoterreno minimalistas . La suela absorbe perfectamente las piedras o raíces . Es perfecta para pistas y asfalto. En terreno más técnico no las he probado  . Ojo con la talla ,  son  medio número o  uno más  grande de lo habitual en Merrell .</t>
  </si>
  <si>
    <t>Rapidez y calidad Tal como lo pedido, muy bien</t>
  </si>
  <si>
    <t>Bien Me ha gustado mucho. Uso para todo , pasear, correr, entrenar . Muy comodo</t>
  </si>
  <si>
    <t>Gran compra Gran compra</t>
  </si>
  <si>
    <t>Recomendable Realmente cumplió con las expectativas. Muy buen sonido y calidad del material también.</t>
  </si>
  <si>
    <t>Muy bonitas Quedan chulísimas ,talla normal ,buen material</t>
  </si>
  <si>
    <t>Excelente A mi esposo le encantó,buen reloj,gracias</t>
  </si>
  <si>
    <t>Bien ok Todo OK más barato q en Carrefour o dia</t>
  </si>
  <si>
    <t>domingo Buena compra, es Verbatim una marca conocida y muy buena, buena capacidad y memoria, satisfecho cien por cien, gracias, os lo aconsejo que lo compren</t>
  </si>
  <si>
    <t>Turbantes para cada día Bonitos colores, material agradable, no resbalan del pelo. De momento muy bien todo</t>
  </si>
  <si>
    <t>Producto ya conocido y que se modeerniza Ninguna sorpresa. Se adquirió porque con los años el anterior ya necesitaba relevo en el pie batidor,...y prácticamente casi es tan caro el repuesto como el aparato completo al añadir el pie de puré.</t>
  </si>
  <si>
    <t>Calidad y envío 5 estrellas Fabuloso!! Rápido envío. Buenísima calidad de los materiales. Respecto al tamaño q tantas dudas crea, entra más q de sobra monedas de 2€. He pedido otros 10!!</t>
  </si>
  <si>
    <t>Geniales Me ha sorprendido lo cómodas que son.</t>
  </si>
  <si>
    <t>Muy practico Estoy muy satisfecha con el biberon, lo llevo a todos sitios y como es vidrio es mejor para mi bebe</t>
  </si>
  <si>
    <t>Perfecto para iniciarse a la guitarra He empezado ahora a tocar la guitarra y necesitaba un cable para conectarla al ampli y puas para tocar. El cable funciona perfectamente, suena bien (a oídos de novato como yo) y se ve de calidad con este acabado. Y las púas son todo un detallazo: de muy buena calidad, diferentes grosores para empezar a ver cual te gusta mas, bonitas y con una cajita metálica muy práctica para guardarlas.</t>
  </si>
  <si>
    <t>kike No cumple con la descripción del producto, no funciona con Android como indica en las expecificaciones, a no ser que tengas Samsung 5 o superior.</t>
  </si>
  <si>
    <t>Bonito pero corto Es bonito pero corto para las personas que somos muy altas.</t>
  </si>
  <si>
    <t>calzan algo justas las zapatillas en si estan muy bien, ley que habia que coger un numero mas grande xk son justas asi que yo que calzo un 37,cogi un 38 y aun asi son justas..pero las zapatillas son muy comodas y muy chulas.</t>
  </si>
  <si>
    <t>Correcto Correcto calidad precio</t>
  </si>
  <si>
    <t>Ni lo compreis,  un tanque, no vale ni el poco dinero que vale. Ni para tacos de escopeta</t>
  </si>
  <si>
    <t>No megusto No funciona</t>
  </si>
  <si>
    <t>Buen producto Producto tal cual se esperaba, nada fuera de lo común, igual a la descripción. Buena relación calidad/precio. Contento con la compra</t>
  </si>
  <si>
    <t>bien Biberon de buena calidad, aunque evidentemente es de plástico y eso no lo recomiendo prefiero de cristal o vidrio, lo que pasa que para el transporte si que es mucho mas práctico este, además trae otro bote dentro más pequeño para meter los polvos de la leche, es super practico!!, por este motivo es que lo he comprado porque si que el precio me parece algo elevado y por el tema del plástico, pero claro si quiero portabilidad tiene que ser así. Trae un sistema anti-cólico innovador, de la tetina sale el liquido muy lentamente.</t>
  </si>
  <si>
    <t>Rapidez y eficacia en servir el artículo Cable muy delgado, frágil.</t>
  </si>
  <si>
    <t>buenas botas para trabajar botas bien acabadas con muy buen precio,comodas y seguras,perfectas para la lluvia,es un producto con una muy buena relacion calidad/precio,las recominedo sin dudar</t>
  </si>
  <si>
    <t>Recomendable al 100% Talla L. Se adapta bastante bien al cuerpo,muy cómodo y de material bueno. Lo recomiendo al 100%</t>
  </si>
  <si>
    <t>Perfecto Todo bien</t>
  </si>
  <si>
    <t>Sin problema Me queda grande pero me valen</t>
  </si>
  <si>
    <t>Cumple 100% con las expectativas. A pesar de leer varios comentarios no muy buenos, me decidí por comprar este modelo. La verdad que no creo que sea suerte, pero el mío funciona muy bien. El embalaje fue muy bueno, con instrucciones claras, hay hasta vídeos explicativos. Después de unos días de pruebas, nada que objetar. Marca bien las temperaturas (contrastado), y me tendré que fiar de la humedad. En día de lluvia marca el 99%, con lo cual considero que el rango alto está ok. La inercia de lectura de temperatura es lenta, pero imagino que es correcto por el tipo de sensor que lleve. Estos sensores no son de lectura instantánea (nos vamos a equipos de +600€) Y tardan unos minutos (bastantes) en alcanzar la temperatura correcta. Resumiendo, relación calidad-precio, más que adecuada.  &lt;a data-hook="product-link-linked" class="a-link-normal" href="/ThermoPro-TP65-Inalámbrico-Termómetro-Higrómetro-Digital-exterior-y-interior-con-gran-Pantalla-táctil-y-Retroiluminación-azúl-Medidor-de-Humedad-Temperatura-Función-de-memoria/dp/B075VMLZB9/ref=cm_cr_getr_d_rvw_txt?ie=UTF8"&gt;ThermoPro TP65 Inalámbrico Termómetro Higrómetro Digital exterior y interior con gran Pantalla táctil y Retroiluminación azúl, Medidor de Humedad Temperatura, Función de memoria&lt;/a&gt;</t>
  </si>
  <si>
    <t>Reloj sencillo pero de momento va bien Por el precio, no puedes pedir nada mas. Es fantástico el relieve del tren, aunque tiene tacto a latón, plástico, pero el color cobrizo le da el pego.</t>
  </si>
  <si>
    <t>Muy bonito Es preciosa a mi me ha encantado la recomiendo , tiene mucho brillo como se puede apreciar en la foto y su medida es perfecta la volveria a comprar sin dudarlo una buena compra.</t>
  </si>
  <si>
    <t>Altavoz Calidad precio genial</t>
  </si>
  <si>
    <t>Son Buenos Buena calidad de sonido, graves profundos y agudos claros y buena calidad de construcción. Ademas vienen con estuche para transporte, funciona en casi todo los dispositivos que he probado, los recomiendo 100%.</t>
  </si>
  <si>
    <t>Perfecto Necesitaba esto para caber en un lugar particular en mi cocina y lo hace, realmente necesito un trapeador más pequeño pero eso no es culpa del cazo</t>
  </si>
  <si>
    <t>biberon rapidos en el envio, perfecto. el biberon es de muy buena calidad, la tetina imita la forma del pecho, perfecto para el bebé tal y como queríamos.</t>
  </si>
  <si>
    <t>Preciosa Preciosa, repetiría seguro. Lo recomiendo 100%.</t>
  </si>
  <si>
    <t>¡Fantásticos! Estoy impresionada con estos auriculares. Para empezar, la caja donde vienen tiene un contador electrónico con la batería que le queda. Son ergonómicos y se adaptan perfectamente a la forma de la oreja, por lo que no se te van a caer, hagas lo que hagas. Se emparejan muy fácilmente con el teléfono o el mp3, tablet, portátil, etc. y no da problemas de conexión, puedes estar alejado y sigue funcionando sin interferencias. Lo suelo usar con el móvil para salir a caminar. Aguantan el sudor sin problemas.  Tienen un botón en cada auricular pudiendo pasar de canción o subir o bajar el volumen sin necesidad de tocar el teléfono. Los auriculares se escuchan fenomenal, con una insonorización del exterior excelente y el sonido es espectacular. Lo que más me gusta es la autonomía, en si mismo la base es una powerbank, que te sirve para cargar los auriculares. Sin duda los recomiendo y es más... compraré otros para regalar estas navidades.</t>
  </si>
  <si>
    <t>Encantada Es para regalar y encantada</t>
  </si>
  <si>
    <t>Muy bien El reloj es muy bonito y vino en el plazo y muy rápido de momento funciona de lujo y no es muy lioso a la hora de manejarlo ni a la hora de cambiar la hora y demás aparte de que te trae un manual de instrucciones donde lo explican muy claro</t>
  </si>
  <si>
    <t>Funcina Está bien</t>
  </si>
  <si>
    <t>Durabilidad llevo los aros de color negro bastante tiempo y la pintura sigue intacta otros pendientes de descascarillan en seguida son de buena calidad estoy satisfecho</t>
  </si>
  <si>
    <t>Muy recomendable Quizás sea un pelín ancho, pero tampoco demasiado. Desde luego es una zapatilla muy cómoda. Llegó todo a tiempo y en perfecto estado.</t>
  </si>
  <si>
    <t>Súper cómodos Perfectos de talla y muy cómodos, los pongo todos los días y van con todo.</t>
  </si>
  <si>
    <t>Cómodos y modernos a buen precio Excelentes zapatos de Clarks a un precio muy ajustado (45€). Cómodos y modernos.</t>
  </si>
  <si>
    <t>Incómodas A pesar de ser Asics (supuestamente) son muy incómodas, ya que las noto muy duras, razón por la cual casi no las uso</t>
  </si>
  <si>
    <t>100 % Plastico 100% de materiales reciclados = 100% Poliester. Esta bien, pero no creo vale el precio.</t>
  </si>
  <si>
    <t>Tela pobre Barato, pero casi transparente, de fino que es no luce .</t>
  </si>
  <si>
    <t>Pequeñas y estrechas La talla es más pequeña de lo normal y son muy estrechas para niño</t>
  </si>
  <si>
    <t>No esta mal No está mal pero para el precio que tiene esperaba algo más.</t>
  </si>
  <si>
    <t>Bonitos... El primer par de pendientes queda muy grande y no se ve como en la foto pero el resto quedan bien. Son bonitos.</t>
  </si>
  <si>
    <t>Un disco con mucha capacidady barato. Tengo otro disco de la misma marca y capacidad,  hace ya  tiempo,  creo que no me dio ningún problema.  Sin embargo este nuevo  disco al conectarlo en el TV no me lo reconocía,  ni una LG ni una Samsung,  no había manera.El ordenador lo reconocia a la primera,  asi que lo formateé,  pero ni por esas me lo reconocían los Televisores.  Mirando los comentarios en Amazón vi que había alguine que indicaba que había que formatearlo con una programa de la pagina WB,  dicho y hecho,  y milagro..........ya lo reconecen los TV.</t>
  </si>
  <si>
    <t>Buen producto La calidad y empaquetado del producto es buena pero no es compatible con la pulsera mi smart band 4 por el grosor de esta.</t>
  </si>
  <si>
    <t>Cómodos Quizás tenga demasiada ventilación, algo que veo mal porque cuando llueva o pille un charco, se me mojará el pie (con la compra de un cubre zapatillas, lo soluciono) . Pero para buen tiempo, serán perfectos.</t>
  </si>
  <si>
    <t>brutales buena tela, buen acabado, tallo la 34,36 y pedí la S. Merece la pena chicas</t>
  </si>
  <si>
    <t>Como juguete están genial. Como juguete para niño/as están genial.  Suficiente volumen, son robustos, y la conexión por bluetooth al móvil es puntazo para ponerles la música que les gusta.</t>
  </si>
  <si>
    <t>Diseño, calidad, precio. &lt;div id="video-block-R1RYJCJGEJQ3TI" class="a-section a-spacing-small a-spacing-top-mini video-block"&gt;&lt;/div&gt;&lt;input type="hidden" name="" value="https://images-eu.ssl-images-amazon.com/images/I/C1TplfEZrBS.mp4" class="video-url"&gt;&lt;input type="hidden" name="" value="https://images-eu.ssl-images-amazon.com/images/I/91A4RX8JN-S.png" class="video-slate-img-url"&gt;&amp;nbsp;A mi me ha encantado, tiene sólo una ranura pero me caben 2 rebanadas de pan de molde también pan normal y con el aplique que se pone arriba se tuestan panecillos, pan de perritos mientras hago las salchichas...el diseño es precioso de acero inoxidable del que no queda huella. Relación calidad-precio perfecta.</t>
  </si>
  <si>
    <t>Cinturón deportivo porta botellín perfecto para salir a entrenar Cinturón súper cómodo con bandas reflectantes para ser visto corriendo por la noche! Bolsillos muy amplios y ubicación del botellín muy ajustable.</t>
  </si>
  <si>
    <t>Recomendado Excelente relación precio/valor. Elimina bastante bien los pops de la voz sin cambiar el timbre en demasía.</t>
  </si>
  <si>
    <t>eficaz Eficaz. Absolutamente recomendable. Entro agua en mi coche. Olía a perros y gracias a los saquitos, medio kilo en total, el olor desapareció al cabo de 48 horas.</t>
  </si>
  <si>
    <t>Buena relación calidad-precio Me ha gustado mucho la compra de este pack de calcetines por la calidad/precio. Los calcetines se ajustan al pie de tal forma que no forman ninguna arruga. La puntera viene reforzada y el diseño está muy bien pensado. En resumen, son unos calcetines muy prácticos y además bonitos.</t>
  </si>
  <si>
    <t>Buena calidad, resistentes y fuertes Geniales. Normalmente usaba Grafoplas con referencia 55700 que son fuertes y rugosas, porque las demás parecen papel de fumar, pero esta marca me ha gustado mucho, son resistentes, duras y transparentes! Buenisima calidad, repetiré seguro!</t>
  </si>
  <si>
    <t>Muy bueno recomendable Genial parece que tienes un físio detrás es genial y así me he ahorrado pagar físio cada mes</t>
  </si>
  <si>
    <t>Muy buena compra Auriculares muy buenos y muy polivalentes. Les he usado para varias situaciones y van perfectos. Para correr suenan genial y no se caen, ni se mueven, les llevo sincronizados con smartwatch y sin problema, los llevo al mínimo de volumen y se oyen una barbaridad, además puedes llevar uno o los dos y puedes pausar la música con dar solo un toque en cualquier botón de los dos auriculares, o pasar de pista dando dos toques seguidos, también en cualquiera de los dos. Para correr dura de sobra, aunque solamente les he probado hora y media seguida aproximadamente. Les he sincronizado con varios dispositivos y genial, en tablet, smartphone, etc.... además puedes usarlos sin problemas con otra persona y de lujo (escuchar ambos la misma música donde no quieres molestar y estás en movimiento, usar de audioguia en visitas turísticas a través del móvil, escuchar una película en la tablet sin necesidad de líos de cables, etc...). Viene muy bien presentado y la caja donde se recargan es un puntazo, con imán en la base para que no se caigan y esta no ocupa nada, los materiales están muy bien, además son muy cómodos y trae varias almohadillas de distintos tamaños para el oído. De momento la batería no puedo decir si dura mucho o no, como decía antes sólo usados de seguido durante hora y media. Para lo que buscaba, totalmente recomendables.</t>
  </si>
  <si>
    <t>Cumple perfectamente Buena relación calidad precio</t>
  </si>
  <si>
    <t>Ecelente Producto Me encanta, está inmantado y se queda pegado en la Nevera, por eso me gusta, os aconsejo la Compra, espero haber ayudaros a decidiros con la Compra.</t>
  </si>
  <si>
    <t>Buena oferta Una oferta muy buena a un precio mucho mejor que en el super o hiper. Buen servicio de entrega. Es el producto normal.</t>
  </si>
  <si>
    <t>Buenisima calidad de construccion y sonido Buscaba unos auriculares sencillos para trasladar bastante, y me he quedado sorprendido por dos cosas: la calidad de sonido y la calidad de construcción. Los uso durante horas prolongadas en transporte y durante el trabajo. Además el estilo del cable es perfecto para evitar enredos. Super recomendables!</t>
  </si>
  <si>
    <t>Satisfecha De buena calidad. Muchos bolsillos. Fue para un regalo y le encanto.</t>
  </si>
  <si>
    <t>Compacto y silencioso Muy buena compra. Un disco con tamaño recudido y bastante silencioso. Muy contengo con él. Compra recomendable.</t>
  </si>
  <si>
    <t>entretenido Espectacular, a mi hija le encantó, tiene puerto USB, se conecta facilmente al movil (en mi caso sistema IOS), la bateria aun no la he cargado desde que me llego el dia 17, siguen usandolo como venia, tiene también para añadir una tarjeta SD y no es para nada pesado, me lo esperaba mas pesado. Buena compra si lo que quieres es tener a los peques entretenidos y a ti no te importa sufrir "algo" de dolor de cabeza :)</t>
  </si>
  <si>
    <t>Genial Talla perfecta.</t>
  </si>
  <si>
    <t>Cómodas Perfecta chancla y súper cómoda, muy práctica y fácil de lavar. La recomiendo.</t>
  </si>
  <si>
    <t>mala sudadera La textura de la tela es horrible, es como plastico blando. La capucha, al tener este tejido queda deformada y muy grande, aunque la coloques bien queda mal. los logos estan con un plastico plastificado de mala calidad</t>
  </si>
  <si>
    <t>Fácil lavado Queda mona</t>
  </si>
  <si>
    <t>Bien En general bien, pero se empaña cuando hace fresquito, cosa que no pasa con un 5600 que tengo desde hace 30 años. Ya no hacen relojes como antes.</t>
  </si>
  <si>
    <t>Estafa Estafa, no hace nada y si eres delicado de la piel te salen granitos.</t>
  </si>
  <si>
    <t>Mala calidad,poco mas de un mes y se ha roto Me ha durado poco mas de un mes. Y ya se ha roto. Mala calidad. No lo recomiendo ya que si tenia dudas de que no deberia valer mas de 20euros ahora ya no tengo ninguna duda.</t>
  </si>
  <si>
    <t>Ideales para hostelería Al principio resultaron un poco rígidas, pero fue hasta que el pie se acostumbro. Me paso más de 8h con ellas y los pies no se me cansan tanto como antes. Se mantiene la temperatura del pie, por lo que no se pasa frío con ellas. La única pega que le pondría, sería que la suela, al tener un entramado de rejilla tan fino, la porquería que se te mete a veces cuesta quitarla y hace que la suela se vuelva lisa y resbaladiza...</t>
  </si>
  <si>
    <t>Lo rápido que lo recibí Me gustado todo</t>
  </si>
  <si>
    <t>Sara Perfectas, aunque el color es un poco más oscuro que en la imagen. De todas formas lo recomiendo. Pedir una talla menos</t>
  </si>
  <si>
    <t>Tiene mucha  fuerza , y bate muy bien Es un bueno producto y una marca de mucha confianza , y tiene mucha fuerza que para hacer cualquier puré es estupenda , lo único malo que el primer día te reventó el vaso , y pesa un poco</t>
  </si>
  <si>
    <t>Tarjeta de buena relación calidad-precio Dentro de la gama "doméstica" de tarjetas SDHC, ésta quizás es el nivel más alto de las mismas, por lo que si no le vas a dar un uso intensivo a la misma, sin duda es una de las mejores opciones que puedes elegir. La velocidad de grabación de disparos en ráfaga es suficientemente rápida como para no crear cuellos de botella y en cuanto a la grabación de vídeo, si no vas a ir más allá de los 1080p, es perfecta. Sin duda una gran compra si repito, no le vas a dar un uso profesional. Espero que esta opinión te haya sido útil :)</t>
  </si>
  <si>
    <t>Toda ella me gusta Toda ella es muy bonita</t>
  </si>
  <si>
    <t>Calidad precio excelente Todo correcto</t>
  </si>
  <si>
    <t>Perfecto Muy bien. Me gusta. Es pequeñito, no pesa nada. Fácil de usar.</t>
  </si>
  <si>
    <t>Acabado y resistencia Me gusta, especialmente, el acabado. Y también la resistencia.</t>
  </si>
  <si>
    <t>Pequeños y buen sonido Son pequeños y se oyen muy claro, ideales para caminar y hacer footing.</t>
  </si>
  <si>
    <t>Muy comodas Están muy chulas. En mi caso eran para una niña para el colegio y de momento muy bien como era de esperar.</t>
  </si>
  <si>
    <t>Yo misma Se ve de calidad; grande comparado con la mayoría de los bolsos estándar de hombre; original diseño. Ideal para regalarlo.</t>
  </si>
  <si>
    <t>muy buen disco duro Tiene buen acabado. Gran capacidad y rapido</t>
  </si>
  <si>
    <t>Encantada Preciosa y de muy buena calidad. El tamaño perfecto. Volvería a comprarla. La recomiendo totalmente.fue para regalo y el propietario la usa a diario.</t>
  </si>
  <si>
    <t>Puma Chanclas muy recomendables y comodas ( tengo un 42 y quizas deberia haber pedido un 43 ) Contento.</t>
  </si>
  <si>
    <t>la TALLA ES TAL CUAL me han gustado mucho</t>
  </si>
  <si>
    <t>Comodas Muy prácticas  ,cómodas,su color es sufrido,así que lavar poco ,se secan rápido muy satisfecha con la compra,para caminar  escelentes,las llevo hasta sin calcetines!!!!</t>
  </si>
  <si>
    <t>Tener buenos auriculares, es como tener un amigo invisible en el transporte publico Llevo años usando auriculares de esta marca, que más se puede decir. A pesar de que me salió una vez mal, con unos ruidos de fondo en uno de los cascos, esta marca nunca falla.</t>
  </si>
  <si>
    <t>PERFECTO PERFECTO. ENTREGA EN TIEMPO.</t>
  </si>
  <si>
    <t>Calidad insuperable Partiendo de la base de que no soy un gran aficionado al deporte ni al monte, mi critica a este producto es de un neófito, solo voy a a hablar de mis sensaciones de usuario básico. Pero claro, con niños, cada día te obligan mas a quitarte los zapatos y ponerte zapatillas, y hacer excursiones con ellos.  Estas zapatillas son impresionantes, nada mas cogerlas en la mano el tacto, el ligero peso y el aspecto de construcción te impresiona. La suela de goma trae unos tacos que parece que vas a subir el Everest con una mano atada a la espalda. Es un producto que un amante de la aventura y las excursiones por el campo o montaña a alto nivel disfrutara como un enano.  El tallaje es bastante correcto, calzo un 41-42 y estas siendo un 42 me van bien con calcetín fino, con grueso un pelin justas. Pero como son flexibles no creo que tenga problema con el uso. Recomendaría cogerlas un poco mas grandes de tu talla habitual.  Cómodas no, lo siguiente. Son unos guantes para el pie, se adaptan de lujo, sin apretar lo mas mínimo, horma ancha y cómoda. Viene con una plantilla generosa y la suela es de goma antideslizante con tacos, no te caerás por torpe que seas. Y la amortiguaciones es muy muy cómoda. En cuanto al textil, es Gore-Tex, cómodo, impermeable y transpirable, lo mejor que se puede tener. El color es verde caqui, las fotos no le hacen para nada justicia. Los rematados de las gomas con el textil esta perfectamente acabados, impecables. Hasta los cordones son de calidad.  Un excelente producto para los amantes del monte y la aventura, incluso para un neófito como yo van de lujo. La calidad se paga, pero solo 1 vez</t>
  </si>
  <si>
    <t>Excelente producto De calidad, llegó a tiempo y es natural y bueno el olor</t>
  </si>
  <si>
    <t>Buena calidad No es la típica carpeta que te compras en los chinos. Si te gustan plásticos muy resistentes y que no se arrugan al pasar un par de veces tus apuntes y quieres calidad por unos eurillos más comprála. :)</t>
  </si>
  <si>
    <t>Encantado, recomendable 100% Siempre he querido una para el cuello, todas las que encontraba por internet eran para la espalda. La prové en cuanto me llego y es perfecta para mi dolores de cuello, me alivió muchisimo. Ademas tiene 3 niveles de potencia. La recomiendo.</t>
  </si>
  <si>
    <t>Su precio no está justificado Devolví unos JBL E65 porque su reducción de ruído no era lo que esperaba y decidí invertir más dinero en estos Bose porque las comparativas en revistas especializadas y los comentarios de Amazon los ponían por las nubes aunque por detrás de los SONY WH-1000XM3B. Tienen un buen sonido pero los JBL son más nítidos y suenan mejor. En calidad de materiales los JBL superan con creces a estos Bose. El alcance de Bluetooth es mediocre, más vale no alejarse muchos metros del dispositivo. En esto JBL es también muy superior. En la reducción de ruido quizás sean algo mejores que los JBL pero tampoco para tirar cohetes. En definitiva, personalmente creo no se justifican el precio que tienen unos y otros y muchísimo menos los 90 eur. de diferencia entre ambos .</t>
  </si>
  <si>
    <t>muy chulo lo unico malo son las gomas se salen de los agujeros con solo un dia de huso por lo demas original y mi hija esta encantada</t>
  </si>
  <si>
    <t>Me ha sorprendido la calidad Tiene más calidad de lo que esperaba en cuanto a audio. Eso sí, la pinza se ha roto de ponerla y quitarla 5 o 6 veces.</t>
  </si>
  <si>
    <t>Tallas pequeñas La camiseta es buena y Bonita pero la talla es increíblemente pequeña compre XL y dudo que sea una M. Una pena.</t>
  </si>
  <si>
    <t>Decepción Me ha gustado su poco peso, su comodidad al correr y su sonido pero no trajo instrucciones en castellano y en cuanto se acabó la batería que trajeron cuando los recibí me fue imposible cargarlos en su caja y no puede utilizarlos más.</t>
  </si>
  <si>
    <t>Barato SI, Bueno NO Lo uso para cerrar cajas de cartón y NO es gran cosa. Se rompe "solo", sin hacerle mucha fuerza. No dura lo suficiente. He comprado artículos parecidos y precios similares que han resultado geniales.</t>
  </si>
  <si>
    <t>LA COMODIDAD ES MUY CÓMODO PARA ANDAR Y MUY FLEXIBLE,BUENA COMPRA,</t>
  </si>
  <si>
    <t>Muy ligeras Material muy ligero , cómodas.</t>
  </si>
  <si>
    <t>¿Un poco pequeño? Compre el reloj porque es un clásico y para usarlo cuando voy a correr,es un poco mas pequeño/fino de lo que lo imaginaba,aunque se menciona la mida en las características,al tenerlo en la mano,la cosa cambia un poquito,no es muy grueso,mas o menos como un smartphone. Eso si,100 % original hecho en Japón,con instrucciones y garantía (la caja es de plástico)</t>
  </si>
  <si>
    <t>Parece grande, pero no lo es tanto una vez puesto Siempre he sido de CASIO me parecen los mejores en relacion calidad precio, con este sería mi cuarto reloj de la marca, (el resto los he regalado y aun funcionan), es grande, las manecillas se ven muy bien, lo que me parece un desacierto es la pantalla, muy pequena y apenas se ve, aveces con lo grande que son las manecillas pueden taparte mucha vision, y algo que me parece imcomprensible es..........por que rayos......!!!NO TIENE LUZ!!! mis 3 anteriores y menos caros tenían una muy buena forma de leer la pantalla en baja o nula luz y este ........ no, puede parecer una tonteria pero no lo es, al menos para los que nos movemos en exteriores y muchas veces de noche, recomiendo lectura del manual para entender sus funciones</t>
  </si>
  <si>
    <t>Muy potente!!!! Paquete entregado dentro del plazo, corresponde perfectamente a lo descrito por el vendedor y quisiera destacar su potencia y buen precio. Magnifica compra.</t>
  </si>
  <si>
    <t>Lo esperado, todo correcto Sin sorpresas, llegó bien y funciona perfectamente</t>
  </si>
  <si>
    <t>Están bien Cortan muy bien y parecen duraderas. Contento con la compra , volvería a comprar. Quizá el precio debiera ser un poquito más bajo.</t>
  </si>
  <si>
    <t>Calienta las cervicales sin resistencias, pero calienta. Recién recibida y probada. Tal y como aparece en la foto. Supersuave. Calienta muy bien, si bien es cierto que no tiene resistencias en el cuello, calienta las cervicales por cercanía de las otras,y, a más temperatura, más calienta. Me encanta.</t>
  </si>
  <si>
    <t>Resistente, bueno, bonito y barato Tiene todo lo que se le puede pedir a un reloj: agujas analógicas, segundero. Visor digital, con despertador, cronómetro, tiempo dual (admite dos horas diferentes, útil para viajar a otras zonas horarias), resistente al agua... He tenido otro reloj igual. La única pega es que con el tiempo (muchos años) los botones empiezan a funcionar mal. Y si quieres conservar la estanqueidad hay que llevarlo a Casio para cambiar la pila, ponen goma nueva y lo meten en una cámara especial. No es caro y sí conveniente.</t>
  </si>
  <si>
    <t>Sonido espectacular. Lo compré por los comentarios pero a pesar de todo, la sorpresa fue grande. Sonido magnífico, claro, natural. Los materiales no me gustan, calientan mucho las orejas, pero todo se soporta por escuchar su sonido.</t>
  </si>
  <si>
    <t>Perfecto El mejor biberon anticolicos</t>
  </si>
  <si>
    <t>Son muy comodas Las Asics tienen a tallar más pequeño. Pero todo bien, lo recomiendo.</t>
  </si>
  <si>
    <t>Me llegó como lo pedí Muy buenos zapatos</t>
  </si>
  <si>
    <t>Skechers nunca decepciona Uso la marca Skechers desde hace tiempo y todo lo que he usado es cómodo y se ajusta a la talla que marca. Por por poner un pero a estas zapatillas... quizás un poco demasiado altas en la parte trasera.</t>
  </si>
  <si>
    <t>Perfectas La talla perfecta, tal y como la había probado en la tienda. No voy a descubrir nada ahora de NB, ya que es la zapatilla más cómoda que yo he probado</t>
  </si>
  <si>
    <t>Todo Ok! Perfectas y comodísimas! Recomiendo coger menos talla de la utilizada habitualmente, yo suelo calzar una 39 y he pedido una 38 2/3 haciendo caso a los comentarios que he leído, y he acertado!</t>
  </si>
  <si>
    <t>Excelente calidad-precio Es mejor de lo que me esperaba. Los materiales son de buena calidad, no hay crujidos o sonido de piezas sueltas. Bastante silencioso como para poder usarlo si hay una persona durmiendo. Pesa poco, tanto como para que una persona mayor lo pueda usar sin cansarse. La batería aguanta una semana dándole un uso diario de unos 15 min.  Recomiendo usar el cabezal 3-Intensive para masaje en los gemelos.</t>
  </si>
  <si>
    <t>Marta Me encantan! Es genial que hagan medios números, me encajan muy bien. El color es súper acertado, neutro pero sin ser el típico blanco.</t>
  </si>
  <si>
    <t>Tacto muy suave La almohada viene con una cinta elástica para ajustártela a la parte del cuerpo que quieras.  El tacto es suavísimo y las regulaciones muy correctas. El modo más caliente calienta de lo lindo.</t>
  </si>
  <si>
    <t>Una pasada Potente, limpia y cómoda de utilizar, bonita, pequeña. Lo tiene todo, si te gusta hacer batidos de fruta, avena, leche, yogurt... es un producto de 10.</t>
  </si>
  <si>
    <t>Buena compra Cumple su función, estamos contentos. El material es de calidad por lo que nos durará unos cuantos años que es lo que buscábamos</t>
  </si>
  <si>
    <t>True Wireless muy cómodos con buena calidad de sonido a buen precio. Se me estropearon unos auriculares bt que iban unidos con cable y al ver estos me decanté por el precio. Me ha sorprendido los materiales, lo fácil que resulta sincronizarlos (contiene instrucciones en castellano) y los botones inteligente para mutar, descolgar una llamada o pasar de canción. La carcasa para guardarlos y cargarlos no es muy grande, puedes llevarla en cualquier lugar, y los auriculares se sujetan muy bien dentro de ella vía imán. Una vez superada la primera sincronización, simplemente con sacarlos de la caja ya se encienden y se enlazas al smartphone solos, para apagarlos lo mismo, con guardarlos ellos se apagan automáticamente. Muy sorprendido, los recomiendo.</t>
  </si>
  <si>
    <t>Posiblemente el más popular Es un disco duro de alta gama hecho específicamente para ser usado en servidores NAS. Levemente más caro que la versión verde y muy compatible, lo llevo usando algo más de un mes y no he tenido problemas con él. Eso sí, tengo dentro del NAS otro disco de la misma marca pero de gama baja, y el servidor me indica que ambos están a la misma temperatura, por eso aquello del bajo consumo eléctrico y el menor calentamiento no sé qué pensar. En cualquier caso lo compré por su eficiencia y durabilidad, y así está siendo/tengo expectativas de que sea.</t>
  </si>
  <si>
    <t>No me convence... Solo la utilizo para hacer puré o crema de verduras, pero siempre se queda los trocitos pequeños y no queda como crema suave.</t>
  </si>
  <si>
    <t>Malla normalita. Es una malla que hace su función, pero no tiene demasiado diferente con otras que puedas comprar mucho mas baratas. EL problema que le veo es que tengo otra de otra marca, que es muy muy confortable con una transpiración mucho mayor que esta, esta quizás esta mejor para compresión pero lo que es por confortable muy normalita.  Si te parece útil la opinión, por favor vótame.</t>
  </si>
  <si>
    <t>Bonitos pero chirrían al caminar La zapatilla es muy mona pero cada vez que das un paso, debido al material exterior, hacen un ruido molesto. Una vez que te las pones varias veces ya  se va pasando. Son frías, eso sí.</t>
  </si>
  <si>
    <t>no fidedigno El sonido es delgado y metálico, pero todo funcionó bien para comenzar, sin embargo, después de un mes, el sonido comenzó a disolverse, especialmente cuando estaba caminando. Hoy fue lo mismo y cuando volví a casa, los usé con mi computadora portátil, sin respuesta alguna. Cargué los auriculares, pero una vez cargados por completo, ¡no se produjo ningún sonido! ¿Por qué es que el tiempo para devolver el producto es menos de un mes? (Del 25 de julio al 19 de agosto) muy decepcionado , Richard Froud.</t>
  </si>
  <si>
    <t>Krizantha Me llego al tiempo estimado, el color es el que indica la foto y es ideal para deporte, lo único es que se encoje después de varias lavadas</t>
  </si>
  <si>
    <t>Funcional y buena compra!!! Buena batidora: pica hielo, batidos en su punto, queda muy bien salsas, cremas, frutas, verduras... Era un regalo para mi madre y está encantada.</t>
  </si>
  <si>
    <t>Contenta con la compra Muy bonito, tres colores brillantes, sin embargo es muy pequeño, me hubiera gustado un tamaño algo mayor pero por lo demás estoy encantada con la compra, es un regalo, espero que guste</t>
  </si>
  <si>
    <t>Materiales de baja calidad Los materiales son de baja calidad. Al menos de lo que yo esperaba de Adidas. No creo que duren mucho.</t>
  </si>
  <si>
    <t>Por calidad precio, producto recomendable. Buenas, respecto al envio, lo he recibido antes de lo esperado.  El producto es como lo esperaba. Viene en un estuche con cremallera de un tamaño adecuado para poder transportarlo y de material duro para que no se aplasten, suenan mejor de lo que esperaba, no hay ruido del exterior y se adaptan muy bien, además traen varias almohadillas de distintas medidas. Les he puesto 4 estrellas por que aun no los he usado mucho y no puedo dar una opinión de la durabilidad y funcionamiento a largo plazo, si no les daría 5. por el precio y la calidad un producto recomendable.</t>
  </si>
  <si>
    <t>Precioso y de excelente calidad De la familia LINEAGE de Casio, se empiezan a notar los materiales de primera calidad. Cristal de zafiro, acero pulido y muy buena lectura de las agujas, que además son visibles en la oscuridad durante mucho tiempo. Además, el hecho de que sea alimentado por el sol evita que tenga que ser abierto prácticamente durante su vida útil, lo que hace que sea estanco y evita que se estropee. Cómodo, elgante y funcional (5 alarmas, cronómetro, cuenta atrás, sincronización por radio...). No se puede pedir más. Como pega (que para mí no lo es) podría decir que la luz es un poco débil, pero es que desde mi punto de vista no es necesaria para ver la hora en la oscuridad.</t>
  </si>
  <si>
    <t>Muy cómodo sé queréis desdechufar temporalmente alguna toma Yo lo uso para apagar temporalmente la estufa sin tener que desenchufar y pudiendo usar los otros enchufes por ejemplo para el presentador</t>
  </si>
  <si>
    <t>perfecta organizacion El producto tiene una gran adhesión, por tanto es fantástico sin preocuparte que pueda despegarse cada cierto tiempo. Muy recomendable.</t>
  </si>
  <si>
    <t>Muy cómodos. Cómodos,sólidos y buen material.</t>
  </si>
  <si>
    <t>Buena calidad precio Todo el mundo debería tener este pack por casa. Son una maravilla.  Merece la pena gastarse un poquito más y tener estas reglas.</t>
  </si>
  <si>
    <t>Tinta gratis Para mí lo más importante ha sido el servicio de tinta de HP que me da tinta gratis si no imprimo más de 15 páginas al mes. Lo que hago es imprimir o escanear de vez en cuando por necesidad (etiquetas de amazon, copias del DNI, etc...), y si necesito imprimir 200 páginas, voy a un local de impresión. Al final tengo una impresora en casa para mis cosas de emergencia con un servicio de tinta gratuito.</t>
  </si>
  <si>
    <t>Bonita y cómoda Es preciosa y muy cómoda, a mi chico le encantó. De muy buena calidad le está dando mucho uso para el trabajo</t>
  </si>
  <si>
    <t>Mucho mejor de lo que esperaba Pues eso que lo he encontrado, mucho mejor de lo que esperaba, con buenos acabados y funciona genial.</t>
  </si>
  <si>
    <t>Me encantan !! Me encantan !!! Son ligeros , muy bonitos y cómodos</t>
  </si>
  <si>
    <t>Super Me gusto</t>
  </si>
  <si>
    <t>correcto envio perfecto.</t>
  </si>
  <si>
    <t>Buen pack Muy buen Pack de calcetines, son finos para el verano y su variedad te viene muy bien para diferentes momentos. Los he utilizado para salir y para jugar al padel y funcionan bien. El tiempo decidirá su duración!</t>
  </si>
  <si>
    <t>Muy cómodos y eficaces Biberón efectivo anticólicos. No se derrama y la válvula expulsa bien el aire del interior. Tengo varios de esta marca y otros del Dr Brown y la verdad estos de Avent me gustan más porque son más cómodos y con menos fuga de leche.</t>
  </si>
  <si>
    <t>Perfecto Perfecto, buena esfera se ve perfecta la hora. Hasta ahora ningún fallo</t>
  </si>
  <si>
    <t>Buen aroma. Huele muy bien</t>
  </si>
  <si>
    <t>Comodo Muy cómoda , en perfecto estado color muy bonito , tal y como lo describen</t>
  </si>
  <si>
    <t>Encantado Llegó antes de la fecha de entrega. Es justo lo que necesitaba para hacer mi set Up de estudio y poder grabar voces y guitarra. Los controles de niveles de equalizacion son muy convenientes y el poder meter los efectos por la entrada a tal efecto me parece un añadido muy importante ya que puedo usar mi micro BR de Boss para meter reverb y otros efectos decidiendo el nivel al que afecta a cada pista. Simplemente encantado con todas las posibilidades que me ha abierto. Además se puede utilizar la entrada de tape y la de retorno de efectos para usarlas para dos canales más en el caso de necesitarse incluir más instrumentos. Más que de sobra para lo que voy a hacer con ella.</t>
  </si>
  <si>
    <t>Funciona perfecta Gran capacidad y buen funcionamiento</t>
  </si>
  <si>
    <t>Perfecto para hacer deporte Los pantalones me quedan genial. Las tallas están bastante parecidas y la goma elástica deja los pantalones ajustados. Tiene detalles en amarillos fosforito que viene bien para cuando sales a correr y que te vean. Aunque queden algo ajustado los pantalones al hace estiramientos por la pantorrilla tiene tiras elásticas, lo que viene bien porque aunque estores mucho no vas a tener problema en que se te parta o raje el pantalón. También tiene bolsillos y uno trasero con cremallera perfecto para guardar llaves, etc cuando sales a correr. Por el precio que tiene está bastante bien</t>
  </si>
  <si>
    <t>Beatriz Vino sin asa ydesde Amazon me repusieron por otro que también vino sin asa, ya me da igual,  que está claro es que este cubo viene sin el asa.</t>
  </si>
  <si>
    <t>Bonita Es como dice el anuncio,comoda y bonita</t>
  </si>
  <si>
    <t>Demasiado pequeñas Más de una talla menos.</t>
  </si>
  <si>
    <t>ME HAN ENVIADO  LO QUE NO HE COMPRADO ME HAN ENVIADO  LA DE COLOR NEGRO. Me he puesto en contacto con el vendedor  e incluso envie foto  ( de la negra, calaro) y no he obtenido respuesta. Por cierto la de color negro tiene las cremalleras rojas.   Me he quedado con ella para no meterme en lios de devoluciones.   Me imagino que al comprar por internet tiene estos riesgos....</t>
  </si>
  <si>
    <t>Penoso No funciona!!! Funciono los dos primeros días, pero como dicen otras opiniones, a los dos días no lo reconoce ningún dispositivo.</t>
  </si>
  <si>
    <t>opinion después de unos días de uso he de decir que tienen buena calidad de audio, pero alguna vez no se sincroniza bien el auricular izquierdo</t>
  </si>
  <si>
    <t>Para el verano genial Quedán muy bonitos, me han gustado mucho, aunque el alambre es un poco delgado, debería ser más fuerte.</t>
  </si>
  <si>
    <t>Me encanta. Me  encanta.Es la medida que esperaba para chica. Bueno,todos sabemos que la marca Casio sale bastante bien. Calidad/ precio Lo recomiendo!</t>
  </si>
  <si>
    <t>Es resistente Tiene un buen tamaño</t>
  </si>
  <si>
    <t>muy bien perfecto Todo correcto, talla bien. y trae los cordones de lazo y los de cuerda. estan genial y son muy comodas</t>
  </si>
  <si>
    <t>Genial A nuestra bebé le encanta. A diferencia de otras tetinas, esta es como un pezón y aunque no mame puede mantenerla en la boca. El flujo lo marca el bebé, pues si no chupa y hace fuerza no gotea. El sistema de la bolsa de silicona es muy bueno, y muy fácil de limpiar. Tenemos este y dos tetinas Calma, que vamos variando. Ambas van genial.</t>
  </si>
  <si>
    <t>FANDARE y sus mochilas la MEJOR OPCIÓN Tuve un percance con la mochila pero lo solucionaron muy profesionalmente y he de decir que es una compra aconsejable 100%. Si le das importancua al trato humano y a la garantía esta mochila de FANDARE es la mejor opción.</t>
  </si>
  <si>
    <t>Genial Talla perfecta y por el precio esta muy bien!</t>
  </si>
  <si>
    <t>Rapidez y calidad Articulo perfecto y envio rapido. El precio elevado para fuera de temporada.</t>
  </si>
  <si>
    <t>Muy bien Me encantan!! Aunque tallaje pequeño, eso si, por lo demás fenomenal.</t>
  </si>
  <si>
    <t>Luismiebg Una pasada de zapatillas, son muy cómodas y duras. Es el tercer par de estas mismas que gasto y son geniales.</t>
  </si>
  <si>
    <t>Es perfecto Muy pequeño, es lo que buscaba me ha encantado</t>
  </si>
  <si>
    <t>Muy bien Recomendadas originales 100% Han sido un regalo y acerté. Buenos materiales y muy cómodas. La tela no es 100% blanca tira un poco a un blanco roto.</t>
  </si>
  <si>
    <t>Excelente Con este ya es el 4to que compró .. Para regalar lógicamente 😉 Y han salido fabulosos,  vale laboran adquirirlo !</t>
  </si>
  <si>
    <t>Collar El collar fue un regalo y la persona que lo ha recibido ha sido encantada. La cadena es finita y en tamaño del medallón está bien. Buen producto.</t>
  </si>
  <si>
    <t>Buen producto Me encantan! muy resistentes, es un muy buen producto y comodo, lo recomiendo sin lugar a dudas!. Compré un par hace 4 meses y aún estan como nuevos.</t>
  </si>
  <si>
    <t>Muy bonito Tal y como se ve. Es muy bonito. Esperemos que al mojarlo no se ponga feo, parece de buena calidad</t>
  </si>
  <si>
    <t>Cepillo y soporte para inodoro. Ecobilla  con soporte. La escobilla es de silicona para limpiar  mejor la suciedad. El soporte es de plastico. La escobilla se puede desmontar. No pesa nada y se puede linpiar fácilmente.</t>
  </si>
  <si>
    <t>Buenísima relación de calidad/precio para unos auriculares Llevo ya varios años usando estos auriculares, tanto para casa como para salir a correr. He comprado ya varios puesto que al final, con la caña que les doy, acaban estropeandose. Estos los he comprado para un familiar, que ya tenía unos iguales desde hace tiempo. La calidad del sonido, sin ser un 10, es bastante buena y para actividades normales, no creo que sea necesario gastar más.</t>
  </si>
  <si>
    <t>Buen tamaño y muy cómodo He recibido el artículo y está muy bien. Muy práctico. Un tamaño mediano pero con capacidad y bolsillos cómodos.</t>
  </si>
  <si>
    <t>Elegante y fino Sorprendido y contento. Tamaño ideal, fino y elegante. Lo compre para regalar a mi madre y esta muy contenta. Buen tamaño y poco peso. Buen acabado y btillante. Muy contento</t>
  </si>
  <si>
    <t>Una maravilla de joya Perfecto y muy bonito.</t>
  </si>
  <si>
    <t>Perfecto para una NAS casera. Hace poco compré un par de discos de 4TB junto con una NAS Synology DS216j, aquí en Amazon, y estoy encantado con su rendimiento. Los he configurado en RAID1 y funcionan a la perfección. Rápidos, silenciosos y con Synology (desconozco otras NAS) disponen de un acuerdo para poder comprobar más a fondo el estado de los discos Seagate IronWolf con las herramientas integradas en la propia Synology. Lo utilizo básicamente para almacenar la información, a modo de Backup sobretodo. Sin duda, lo recomiendo.</t>
  </si>
  <si>
    <t>Bonitas Unas deportivas par mi gusto bonitas, algo calurosas para verano y no tan cómodas como imaginaba. Tallan un poco grandes y dan de si . Yo las he estado utilizando para caminar durante unos días y he notado que apenas tienen sujeción en el talón y me hace pisar mal, puede que sea mi pie, pero nunca me ha pasado con ningún tipo de calzado.</t>
  </si>
  <si>
    <t>Incomodos. Buen sonido/precio. Lo bueno: El sonido es relativamente bueno para jugar y el 7.1 cumple. Aunque necesita ecualización, el software de logitech cumple la función a la perfección.  Lo malo: La diadema esta mal diseñada, con una espuma muy dura y una curva que concentra toda la presión sobre la parte superior del cráneo (el cual tengo normal) lo que hace que a la media hora moleste y a la hora sea insoportable. A la oreja van bien. Son enormes! Muy aparatosos. Aunque están bien construidos los materiales dejan que desear, tanto los plásticos como las almohadillas.  Conclusión. Si obviamos los problemas de comodidad que he tenido (cosa que puede ser personal) no están mal pero no los recomendaría. Yo cambie los míos.</t>
  </si>
  <si>
    <t>María Isabel El tallaje es normal,pero le faltaría llevar la preforma para que no se marcasen los pezones,ya que en el deporte la estética es muy importante</t>
  </si>
  <si>
    <t>Yo no lo volvería a comprar. La compré en abril de 2017 y a los 3 meses empezaron los problemas: El pie no se separa fácilmente; la varilla que une motor y cuchillas utiliza una pieza de engranaje de plástico que se suelta, por lo q no puedes lavarla en el lavavajillas; en la parte superior del pie, hay otra pieza negra que sujeta la varilla, que también se suelta. El motor va bien y a mi no se me ha roto la cuchilla. Por eso una estrella. No la volvería a comprar.</t>
  </si>
  <si>
    <t>información falsa o errónea es falso que mida 9 mm de grueso, lo compré pensando que era así,  procedo a devolverlo</t>
  </si>
  <si>
    <t>Calidad de sonido mejorable Compré estos auriculares porque quería unos de "batalla" para llevar en la mochila y que aguantasen tirones y demás. Por el precio que los compré lo considero un acierto hasta el momento (veremos como son de duraderos).  El sonido no es nada del otro mundo pero se defienden. Si buscas gran calidad, estos no son tus auriculares. El diseño es bonito y son cómodos en la orejas. Considero que tienen un tamaño medio ni muy grande ni muy pequeño.  En resumen: Unos buenos cascos para el día a día a un precio atractivo sin grandes pretensiones de calidad sonora.  Un saludo!</t>
  </si>
  <si>
    <t>Calidad decente Buen producto, con una calidad de audio decente. El cable está recubierto de una especie de tubo transparente que debería ayudar no sólo a mejorar la resistencia sino también a que se enrolle menos.</t>
  </si>
  <si>
    <t>Cómodas, a la espera de resultados. Al ser éste un producto femenino, escribo esta opinión desde el punto de vista de mi novia que es quién lo ha probado y sigue usándolo. Según abres la caja, el contenido viene muy bien empaquetado, al sacarlo tiene todo muy buena pinta, lo primero que nos encontramos es el mando de control o unidad (así lo llaman en el manual), después viene el elemento principal, una calzona tipo culote de licra de muy buena calidad en color negro y con acabados en rosa (costuras y beige (pequeños dibujos en los laterales), en tercer lugar tenemos los 4 parches adhesivos y por último el cargador y un adaptador para el enchufe.  Si describo el material puedo decir que viene todo con muy buena pinta y además viene todo muy bien explicado en el libro de instrucciones:  - Mando de control o unidad: con él es con lo que se controla el estímulo de contracción que van a recibir nuestros músculos. Podemos controlar la intensidad (de 0 a 99 puntos) y el programa (4 diferentes). El tiempo de cada programa lo marca el aparato según el programa que se elija.  - Culotte: es de lycra, tiene un bonito diseño, cuenta en su parte delantera con un pequeño bolsillo en la parte superior derecha y en la cinturilla lleva el cable donde hay que conectar el terminar de la unidad y en la parte posterior tiene 4 dispositivos donde se colocan los parches, imitan a 4 ventanas que se abren y en la parte móvil es donde se colocan dichos parches, encima de unos puntos de metal. Es muy fácil de colocar. Una pequeña pega es que no hay todas las tallas, es talla única, que va de la talla 34 a la 40, esto se corresponde con una cintura 61-81cm y una cadera: 81-97cm.  - Parches: vienen perfectamente guardados de manera individual en un paquete pequeño y dentro del cual vienen con unos plásticos separadores. Aunque no es difícil colocarlos en el culotte, hay que leer las instrucciones para hacerlo bien puesto que los podemos estropear ya que una de las caras no la podemos tocar, se coloca sobre los electrodos que tiene la calzona. Hay que cambiarlos cada cierto tiempo. No funciona a pilas, utiliza una batería recargable.  El manual de instrucciones viene escrito en 6 idiomas: inglés, francés, español, alemán, holandés y portugués.  Este pantalón corto cuenta con una tecnología de electro-estimulación muscular (EMS) para actuar sobre los músculos de los glúteos, esculpiendo y reafirmándolos en tan sólo 4 semanas.  Mi novia lleva muy poco tiempo usándolo y por el momento nota sensación de firmeza en esa zona. Ella dice que al conectarlo y ponerlo en funcionamiento es muy agradable aunque a la vez es potente, la sensación es un cosquilleo en toda la zona que ocupa el parche, al retirarlo esa zona queda relajada y ella realiza pequeños estiramientos de la musculatura glútea y evitar así la sobrecarga.  Según el fabricante, usándolo durante 4 semanas en una frecuencia de 4 veces en semana se notan los resultados y que estos está, probados así es que habrá que seguir usándolo para averiguar su efectividad.  Como conclusión definitiva de este producto, creo que es un producto de calidad, con una buena presentación de cara al cliente y lleva un gran trabajo por detrás para que con muy poco tiempo y esfuerzo podamos ejercitar nuestros glúteos sin salir de casa y además resulta tener resultados probados.</t>
  </si>
  <si>
    <t>Como esperaba Es fina y de mala calidad, pero a mi hijo le encanta el estampado.</t>
  </si>
  <si>
    <t>La rapidez Fenomenal</t>
  </si>
  <si>
    <t>Mala presentación. Original?? Venía en una simple bolsa de plástico transparente y dudo la verdad de que sea original. Era para un regalo y no sé aún si es de buena calidad.</t>
  </si>
  <si>
    <t>Se ajusta perfecto Queda bien y es agradable al tacto.</t>
  </si>
  <si>
    <t>Por 3€ vale la pena La gente se queja por costumbre... Por 3€ que se esperan? Me llego 5 días antes de lo esperado y esta bastante bien y aunk no lo he probado todavía no tienen mala pinta</t>
  </si>
  <si>
    <t>Tal y como me esperaba Estoy muy satisfecho, tanto con el envío (rapidísmo) como con las zapatillas. Parecen nuevas y vienen en su caja original. La verdad es que si me dijeran que son nueva ni lo dudaría. Muy contento con la compra, repetiré de nuevo si veo algún otro modelo que me guste!</t>
  </si>
  <si>
    <t>Fantástico Ya lo tengo un año y las calidades de mis grabaciones han mejorado enormemente. No he probado muchos micros de condensador pero este no me arrepiento para nada de comprarlo.</t>
  </si>
  <si>
    <t>Bien Fue para un regalo y la verdad que la calidad parecía ser bastante buena. Le gusto muchísimo y tiene buen precio.</t>
  </si>
  <si>
    <t>New Balance Garantía de Calidad La funcionalidad, con el talón reforzado para evitar desplazamientos no deseados, el refuerzo de la Puntera en el pulgar, sin el refuerzo las de la competencia acaban con un "respiradero", el color y la calidad del tejido. Destacar la comodidad. 100% recomendable.</t>
  </si>
  <si>
    <t>BONITAS ZAPATILLAS... Son mis segundas new balance , tengo unas 574 clasicas desde hace un tiempo y he decidido repetir con este modelo que siendo unas 574 llevan la suela sport y la punta es algo diferente. Debo decir que después de unas semanas de uso son comodísimas y se adaptan bien al pie. En cuanto al tallaje , tallan algo holgadas a diferencia de las 574 clásicas ,pero tampoco es una exageración. En otras marcas calzo un 44 y en n.b un numero mas, bien es cierto que en este modelo con un 44.5 habría sido suficiente pero encargué un 45 y me van bien, al ser la puntera un poca mas larga que las clásicas parecen algo mas grandes..... En resumen , buen producto y mejor aun al precio que las pillé !!</t>
  </si>
  <si>
    <t>bolso de pecho me encanta porque tiene muchos compartimentos con cremallera!!!. Y sobre todo el precio que tiene y se la recomiendo a toda la gente!!!</t>
  </si>
  <si>
    <t>No deja sensación de sordera Los cascos son una pasada, se escucha bastante bien y dura muchísimo la batería. La relación calidad precio es bastante buena. Recomiendo estos cascos si vas a escuchar música por un periodo largo de tiempo pues no molestan para nada los oídos después ni tiene la sensación de sordera. La pega es que tardan un poco en cargar la batería.</t>
  </si>
  <si>
    <t>Muy bonito Bonito y comodo, muy buena calidad. Lo volvería a comprar sin duda!</t>
  </si>
  <si>
    <t>Perfecto Perfecto!</t>
  </si>
  <si>
    <t>Su funcion Me gusta su diseño pero podria ser un poco mas grande</t>
  </si>
  <si>
    <t>Masajeador eficaz Después de varios días de uso, puedo recomendar este aparato. En mi caso estoy muchas horas de pie en mi trabajo y cuando llego a casa utilizo este masajeador y me relaja bastante. Tiene varios modos de intensidad y duración, y el calor que produce en los pies logra que haya más circulación y más efecto de descanso. Trae un mando para poder regular todas las configuraciones sin tener que agacharte. Y lo mejor es que se puede lavar la funda en la lavadora sin problema.</t>
  </si>
  <si>
    <t>Buen producto Me encantan estos zapatos , no pasa el tiempo por ellos, siempre están de moda</t>
  </si>
  <si>
    <t>Perfecta para no pasar frío en invierno Este cubre colchón eléctrico viene muy bien presentado. La calidad de la tela es buena y muy suave. Yo la coloco entre el colchón y la sábana. La sensación es muy buena. Al meterte en la cama nunca pasas frío usándola. Trae 3 niveles de potencia. Yo la suelo poner al máximo al principio y luego lo bajo al 1. Muy contenta con ella</t>
  </si>
  <si>
    <t>Calzan pequeñas Tienen buena pinta. Buenos acabados y calidad esperada. Recomiendo una talla más de la habitual. Uso 43 en deportivas (Nike, Adidas, NB....) y también en sneakers. En este caso pedí una 43 y quedan muy apretadas. Las he tenido que cambiar por una 44. Con la 44, perfectas.</t>
  </si>
  <si>
    <t>Calidad a buen precio Es bonito, cómodo y funciona perfectamente. Es un buen reloj aunque sea más económico que otras marcas. Es un excelente reloj para uso diario.</t>
  </si>
  <si>
    <t>A mi no me funciono A mi no me ha resultado, no se si lo utilizado bien. Lo di con un paño de gafas, 3 aplicaciones.</t>
  </si>
  <si>
    <t>Mala construcción, y buen sonido! Muy buena calidad de sonido (para lo que cuestan), buena cancelación de ruido (no hay que olvidarse de apagar el botón ANC, que va por separado al encendido y apagado), buena duración de la batería, buena conectividad, son bastante cómodos, pero tienen un serio PROBLEMA de calidad en materiales de fabricación (Made in china). A los 3 meses de comprarlos, y sólo por el uso diario, la diadema se partió al medio en el plástico de la parte superior (foto 2). Luego de 6 meses de uso, se fueron despegando las diferentes capas interiores que separan la diadema de la cabeza (foto 1). Es decir, son desechables! No los recomiendo! Ahora tengo unos Sony WH-CH700N, y estoy bastante satisfecho con ellos, aunque en los días con viento el ruido del aire se te mete por todos lados!</t>
  </si>
  <si>
    <t>Plásticos malos, motor bueno Tiene 2 botones - velocidad 1 y velocidad 2. Los botones no son muy exactos... puede que les presiones y no pase nada, pero luego si haces fuerza en una zona del bottpn ya funciona. El motor tiene bastante potencia - ninguna queja en este punto. El encaje del brazo con el cuerpo tampoco es muy exacto... y se aprecia en la foto que la conexión del brazo al motor no está centrada. El brazo es de acero inoxidable y se lava bien y es de buena calidad  (lo use para hacer cremas mientras hervian las verduras todavía y ha ido bien). Es "un" barato que creo que va a salir caro... Positivo - la fuerza del motor.   - material del brazo Negativo - plásticos de mala calidad   - los controles, botones y encajes.</t>
  </si>
  <si>
    <t>Ya no funciona Lo compre hace 1 mes y medio y ya no me funciona. Estoy desilusionado.</t>
  </si>
  <si>
    <t>La devolví La tuve que devolver porque no encajaba bien la rueda de las cuchillas y tenía que darle la vuelta al batidor entero (motor incluido) para poder desenroscar la botella con cuchillas y que no se vertiera el contenido.</t>
  </si>
  <si>
    <t>CAJA FUERTE Por el precio, por que es lo que necesitaba y he considerado que este articulo cumplia con mis expectativas en ese momento.Muchas gracias</t>
  </si>
  <si>
    <t>CORRECTO Articulo correcto, tal y como descrito en el anuncio</t>
  </si>
  <si>
    <t>Rapido Llegó al día siguiente en una bolita de tul azul.</t>
  </si>
  <si>
    <t>Zapatillas originales Todo bien las zapatillas perfectas llego con un dia de retraso pero todo bien gracias</t>
  </si>
  <si>
    <t>Bueno Está muy bien a parte de chulo es buen producto. Muy recomendable</t>
  </si>
  <si>
    <t>Cómodo y al nene le encanta Desde que probamos este biberón mi hijo lo coge con ganas, nada de cólicos super sencillo de limpiar y muy cómodo</t>
  </si>
  <si>
    <t>Me encantan Súper bonitos, cómodos,no transparentan, tal cual en la foto, estoy encantada!!!!</t>
  </si>
  <si>
    <t>Muy buena calidad Me ha costado un poco vincularlos porque he ido por libre, cuando he leído las instrucciones lo he hecho sin problemas. Estoy muy contento con los auriculares,  son muy ligeros y cómodos, la batería dura bastante,  se escuchan genial y son hasta bonitos. Una vez vinculados puedes pulsar el botón que llevan para iniciar el asistente de Google,  contestar llamadas,  pausar una canción. En general muy contento creo que compraré otros para mi pareja.</t>
  </si>
  <si>
    <t>Muy bonitos Me encantó el producto, me sorprendió el envoltorio porque no es el típico que trae Tous pero muy bien!</t>
  </si>
  <si>
    <t>Potente y fácil de usar. Muy potente y fácil de usar. La he probado picando hielo, haciendo zumos, salmorejo, etc y va de maravilla. Capacidad ideal para 5-6 personas. Muy contento con la compra y totalmente recomendable.</t>
  </si>
  <si>
    <t>Ampliación de memoria para mi nuevo iPhone 11 Pro Me acabo de comprar un nuevo iPhone 11 Pro ... con tan solo 64 GB de memoria y me temo quedarme sin almacenamiento cuando me ponga a grabar vídeos 4K en mis viajes.  Ahora con este penflash podré "duplicar" la memoria y luego pasarla a un PC, etc ... y así no podré hacer fotos o vídeos sin procuparme de llenar el iPhone.  En su día tuve una memoria Sandisk similar a ésta con un conector para la iPAD y otro vía USB... pero al cabo del tiempo (y tras cambios de versiones de iOS) dejó de verla. Ahora con ésta (y certificada por Apple) espero que no me vuelva a dar problemas con el tiempo.  La velocidad vía USB 3.0 no es para tirar cohetes pero más que suficiente para hacer backups :-)</t>
  </si>
  <si>
    <t>cascos perfectos Cascos recomendables 100%. Se acoplan perfectamente a la oreja.  Se escucha genial. Y encima vienen con una cajita pequeña y funcional. En ella se introducen los cascos a la perfección. Se colocan fácil por imán y se cargan dentro de ella. Viene para cuatro cargas. Una vez realizadas las cuatro cargas, con el cable que incluye, se conecta a la red, para tener 4 cargas disponibles de nuevo. Fácil, sencillo, duradero, lo tiene todo. No puedo estar más contento con la compra. También destacar que tienen un diseño muy cómodo y son elegantes, es decir, que lo estoy usando para trabajar, ya que al ser de color negro, tanto los auriculares como la caja cargadora, su diseño es excelente para el ambiente laboral. Es muy compacto y fácilmente transportable, en cualquier bolsillo, mochila pequeña, bolso para hombre o mujeres, muy útil la verdad.  Son los cascos más cómodos que he probado, se acopla muy bien, y se escuchan perfectamente.  Lo he usado para ver videos, llamadas, e incluso para la tele en casa, cuando ya es tarde y no quieres molestar a los vecinos.  Encima el precio que tienen es muy competitivo. Comparando con otros modelos, he visto que era el que mejor se ajustaba a mis necesidades, y así ha sidoPor último solo quiero explicar de forma sencilla cómo los uso. Se conectan muy fácilmente a mi móvil. Desde la primera conexión simplemente ha sido activar el bluetooth en mi móvil, y colocarme los cascos, enseguida he escuchado "conected", y he podido disfrutar de ellos. Para quitarlos, tan fácil como sacarlos de las orejas y colocarlos en la caja cargadora. Se enciende la luz de la caja y así sabes que está cargando. No puede ser más fácil. Es una maravilla. Ya una vez configurado una vez, se conectan automáticamente a mi móvil.  He probado a conectarlos con otros dispositivos de casa como la tele, el móvil de familiares y genial. Les ha gustado tanto que ya tengo una gran idea para regalar por Navidades :) 5 / 5</t>
  </si>
  <si>
    <t>Quedan muy bien me encantan Muy bien y de precio mejor</t>
  </si>
  <si>
    <t>Todo un clásico, un muy buen reloj Para mi este reloj es un mito, resistente, elegante (para mi lo es, sin duda), no es lujoso está claro, es sencillo, simple y funcional. Y la comodidad, que decir de ella, parece que no llevas nada en la muñeca.  Con muñecas grandes queda demasiado justo (no es mi caso), una muy buena compra.</t>
  </si>
  <si>
    <t>Excelentes zapatillas Excelente producto. La horma perfecta.</t>
  </si>
  <si>
    <t>Pantalón nike. Todo,nada,a diario.</t>
  </si>
  <si>
    <t>Calidad precio buena Son unos pendientes muy bonitos, el regalo perfecto para mi madre. Al principio cuando me llegaron parecían un poco pequeños pero cuando se los puso le quedan perfectos. Brillan un montón y el cierre es de calidad, no se abren fácilmente y así de esa mándela no hay problema de perderlos. También se nota que a pesar del precio son de calidad porque mi madre si no se pone plata u oro le da alergia y estos no le dan. Muy contento!</t>
  </si>
  <si>
    <t>Básico para rutina de belleza Un producto básico para mi cuidado y rutina diaria de hidratación. Ya no lo cambio con ninguna crema. Y esta marca me va muy bien, puede ser que repita!</t>
  </si>
  <si>
    <t>Una alegría!! Lo hemos estrenado esta noche y te deja nueva!  Trae enchufe normal o tb de coche, y trae varios botones al lado para calor, cambiar rotación etc, muy fácil de usar y fantástico resultado</t>
  </si>
  <si>
    <t>Muy bien Muy amplia, tal como esperaba</t>
  </si>
  <si>
    <t>Calidad Tiene mucha potencia y deja buena textura la comida. Es fácil de usar y limpiar. La batidora tiene accesorios de barilla, bote medidor y pica hielo. El material es de buena calidad.</t>
  </si>
  <si>
    <t>perfecto 👌 Mejor de lo que pensaba.  Cumple a la perfección con su cometido.  Bastante potente. Para su limpieza en muy cómodo.</t>
  </si>
  <si>
    <t>PERFECTO MUY BIEN TODO Y RAPIDO</t>
  </si>
  <si>
    <t>10 puntos Todo perfecto, sin sorpresas.</t>
  </si>
  <si>
    <t>Para ser lijeras son demasiado duras Son muy duras dice mi mujer y no se las volvió a poner una pena pero es lo que ella dice</t>
  </si>
  <si>
    <t>Estable para la mesa Tiene peso suficiente para poder tirar de la cinta y cortarla sin que vuelque. La sierra de corte funciona dependiendo de la calidad del rollo de cinta que usemos</t>
  </si>
  <si>
    <t>Correa partida con menos de un mes de uso Con menos de un mes de uso, sin ponérmelo todos los días, se me ha partido la correa; contacté con el vendedor y me dijo que la correa no entra en la garantía, algo que no entiendo. Seguro que en cualquier otra tienda me hubieran cambiado esa correa, ya que no es normal que se rompa en menos de un mes. Ese es el motivo por el que no recomiendo mi compra de este reloj aquí. Por lo demás, el reloj en sí merece la pena. Aspecto retro, muy bonito. Lo volvería a comprar pero en otro sitio.</t>
  </si>
  <si>
    <t>PESIMAS Compré 2 tarjetas por lo baratas que eran, pues ha sido tirar el dinero, ninguna de ellas me funciona. La PS3 no las detecta. El PC no las detecta. La Tablet no las detecta. El portátil no las detecta. El móvil no las detecta. La cámara de fotos no las detecta. La primera vez que me ocurre algo similar y eso que he llegado a comprar tarjetas hasta en las tiendas de todo a 100.</t>
  </si>
  <si>
    <t>Ok Tot correcte</t>
  </si>
  <si>
    <t>PERFECTA PARA CASA Estaba cansado de la cafetera de cápsulas Tassimo... Y realmente para lo que la utilizaba era para hacerme infusiones o calentar agua. Así que me lancé a por este hervidor de agua. Tenía ya la tostadora de Russell Hobbs, por eso elegí la misma marca. El tamaño es perfecto para 2 o 3 tazas, aunque puedes hacer alguna más. Pero en general es para poco uso. Para mí es perfecta.</t>
  </si>
  <si>
    <t>Eficiente aunque no milagroso Mi perro huele fuerte, lo tengo puesto en una autocaravana, he tenido que poner dos. No lo quita del todo pero mejora</t>
  </si>
  <si>
    <t>Calentita Es muy bonita , pero da poca talla por lo que he tenido que coger más tallaje</t>
  </si>
  <si>
    <t>CD Necesitaba DVD para grabar mis invitaciones de boda y este fue el más económico que encontré en su día. Para mi ha sido perfecto.</t>
  </si>
  <si>
    <t>Efectividad Necesito hacer etiquetas de envio aunque las de joyeria aún son demasiado grandes De todos modos, las que compré, genial!</t>
  </si>
  <si>
    <t>Las tres B Estos zapatos son geniales. Cómodos y no pesan.</t>
  </si>
  <si>
    <t>Se puede quitar de la base el recipiente . Hay otros que no puedes hacer esto Perfecto. Calidad precio inmejorable</t>
  </si>
  <si>
    <t>biberones pequeños con retinas boca estrecha. 100% recomendable Son biberones pequeños y con la retinas de boca estrecha. Ojo con eso. Pero merecen la pena porque la oferta esta muy bien. El plazo de entrega ha sido rápido dentro de lo que cabe</t>
  </si>
  <si>
    <t>Más de un año usándola y perfecta La llevo usando más de un año y funciona perfectamente. Es rápida para volúmenes de agua pequeños (0,5 - 0,75 litros, que es lo que suelo usar) y el plástico exterior no se ha ensuciado ni deteriorado en exceso. Buena compra</t>
  </si>
  <si>
    <t>Cómprate otra seguro! Son duda la mejor memoria para el Dj! Rápida y sólida! El cuerpo de aluminio le da un acabado muy bueno. Práctica y funcional. Es cara pero vale la pena</t>
  </si>
  <si>
    <t>Buena calidad y comodidad Muy cómodas y Robustas. Pesan poco. Para trabajar todo el día de pié y caminar me van genial. Para invierno geniales</t>
  </si>
  <si>
    <t>Cascos adaptables para tus oídos Envío rápido y en perfectas condiciones me gustan muchísimo son elegantes y muy fácil para k se conecte el Bluetooth con el teléfono se ajustan bien y fueron hechos para no escuchar el ruido exterior la calidad del sonido es sinceramente excepcional tiene radio FM se puede contestar las llamadas sin la necesidad de coger tu móvil... Compra recomendada si buscas unos cascos Bluetooth que cumplan su función con creces sin que el precio sea demasiado elevado</t>
  </si>
  <si>
    <t>No se caen Se escuchan muy bien y la sujeción a la oreja es muy buena. Me transmite calidad  en todos los aspectos. Vienen muy bien presentados.</t>
  </si>
  <si>
    <t>Buena relación calidad precio Quería una memoria de este tipo para pasar los archivos y fotos del móvil de una manera más rápida y cómoda. Mi teléfono es el iphoneX y me está funcionando a la perfección, se conecta muy rápido y la velocidad de subida de información es buena. Respecto a su diseño es muy coqueto, yo lo elegí rosa y viene en una cajita junto con un adaptador, por si se quiere utilizar en otros dispositivos.</t>
  </si>
  <si>
    <t>Son muy brillantes y muy bonitos Muy bonitos y buen tamaño</t>
  </si>
  <si>
    <t>Buena lupa q cumple su objetivo Cumple sobradamente mis expectativas. Las he utilizado para pintar miniaturas de 2,8 cm.  Se ven perfectamente los detalles (elegir la lupa adecuada según precisión y distancia) y no cansan. Utilizó gafas y son relativamente cómodas usarlas a la vez q la lupa. La luz ayuda muchísimo a distinguir los detalles y viene bien q se pueda orientar. El único pero q se me ocurre a mejorar es el soporte de la lupa en la nariz. Es rígido y hay q buscar bien la posición para q no moleste (por lo menos a mi q uso gafas).</t>
  </si>
  <si>
    <t>Muy práctico Es muy práctico hacer zumos o smoothy con esta mini batidora. Es ligera de montarje y desmontaje fácil. Sirve también para transportar el zumo o batido con un asa que se pliega y despliega. El recipiente es de cristal se puede meter en el lavavajillas y es de fácil limpieza. Para hacer fruta triturada para papilla también va muy bien. A mi hija le gustan mucho los zumos y con esta pequeña batidora estamos encantados no da pereza usar y limpiar.</t>
  </si>
  <si>
    <t>Antonio v.v. Esta muy bien.yo tengo el pequeño tambien de esta marca y calidad precio lo veo bien.material bueno incluso para la lluvia.lo recomiendo.medida exterior y espacio interior perfecto.</t>
  </si>
  <si>
    <t>BOTAS TIMBERLAND PREMIUM No me queda mas remedio que congratularme con la opinión de mis camaradas y darles la absoluta razón. Botas de muy alta calidad a un precio irrisorio (Cuando esta) e insignificante para lo que es el producto en si. Dice Amazon que son para mujer pero para hombre ni se nota la diferencia. Creo que voy comprar algún par mas para mi familia porque esto es un autentico chollo. Unas botas de esa guisa de mas de 200 euros por 40. Casi regalado vamos. Muchísimas gracias Amazon por estas rebajas tan increíbles que hacéis de vez en cuando. Cuando las he visto he pensado; Demonios, que pedazo de botas. Cuanto detalle tan trabajado. Que cuero tan bueno. Como huelen. En fin, encantado y satisfecho al 100%. Las recomiendo encarecidamente si o si. Por cierto, el envío perfecto. Tenia entrega prevista para mas de tres semanas pero se adelanto y han venido hoy. Genial.</t>
  </si>
  <si>
    <t>Bonitos Quizás más grande q en la foto, pero igual de bonito..esos si, cuidado al abrir xq los pétalos se salen</t>
  </si>
  <si>
    <t>Clásicas Preciosas, el color es muy vivo y rojo intenso. Tallan bien y son muy cómodas. una reedición de unas zapatillas clásicas que vuelven. El precio es alto y no son fáciles de conseguir.</t>
  </si>
  <si>
    <t>Muy contenta La batidora cumple con las expectativas, los accesorios son muy practicos y comodos, estamos muy contentos con laas dos unidades que hemos comprado en mi familia.</t>
  </si>
  <si>
    <t>Buen producto Cumple con su función.</t>
  </si>
  <si>
    <t>Decepcionante Hasta el momento he probado con lavanda y naranja dulce, con dosis mas que generosas y tienes que estar la lado mismo del humidificador para oler algo. Comparados con uno  comprado en el chino de turno, no tienen color. Repito decepcionado.</t>
  </si>
  <si>
    <t>Correcto pero no sujeta bien Compré estos auriculares para el gimansio, y la verdad que en cuanto a calidad de sonido son correctos para el precio y tamaño que tienen. Sin embargo para ser unos auriculares deportivos el agarre no es bueno; los auriculares no se llegan a caer pero se van saliendo del canal auditivo, ya que la goma que sujeta el auricular es de plástico duro por lo que no se agarra al oído y no queda del todo sujeto.</t>
  </si>
  <si>
    <t>ha satisfecho la necesidad que tenía de él. La relación calidad precia es equilibrada. Cumple con lo que se espera de una batidora normal. Es facil de lavar despues de su uso.</t>
  </si>
  <si>
    <t>Calidad precio 0 No me ha gustado nada, el color de la pulsera es distinto al del soporte del reloj; para hacerla más pequeña necesitas sacarte un máster en relojería, y para colmo pesa como un reloj de pared!!!!</t>
  </si>
  <si>
    <t>Horrible la culpa es mia,por novata y comprar uno de plastico y con la resistencia dentro,al poco de comprarla vi en mi te cositas blancas...era cal!!!!,repito mi culpa</t>
  </si>
  <si>
    <t>Lidia Es muy bonito pero aunque pone que es plata de ley , a mi que soy alérgica a la bisutería, me hacen daño.</t>
  </si>
  <si>
    <t>Llego perfectas condiciones Llegó en el tiempo acordado y por ahora funciona genial .</t>
  </si>
  <si>
    <t>All black Auténticas All Star clásicas en su forma pero con un diseño novedoso al presentarse con suela y puntera totalmente negras. Al más puro estilo All Black. Muy chulas</t>
  </si>
  <si>
    <t>CUMPLIDOR Esta muy bien acabado y calienta mucho y muy rápido. La unica pega la tapa de plástico que cuando la abres cae un poco de agua. Pero vamos por sacarle una pega. Es muy bonito esta muy bien de precio.</t>
  </si>
  <si>
    <t>Crisriano Ronaldo Adidas preciosas. Yo tengo un 42 y en este modelo de se podría pedir media talla menos, por lo demás todo perfecto.</t>
  </si>
  <si>
    <t>Un poco grandes El deporte perfecto,lo único que me queda un poco grande,hemos  hecho la devolución y espero que me manden mi número, normalmente en otras zapatillas uso este número pero estas me quedan grandes,por lo demás todo perfecto,ahora a esperar a me lo manden..</t>
  </si>
  <si>
    <t>CALIDAD Y COMODIDAD Por un precio asequible tienes estos buenos auriculares. Son cómodos, tienen buena calidad de sonido. La batería da para muchas horas. Buen material y buen acabado.  Son muy prácticos, ya que siempre que terminas de usarlos los guardas en su cajita y se cargan, de tal forma que los tienes listos para la próxima vez que los vas a usar. No son recomendables para hacer deporte, pero perfectos para todo lo demás.</t>
  </si>
  <si>
    <t>Acabado de calidad y comodidad de llevarlo Fantástico. Realmente es como lo esperaba. Muy satisfecho con la compra y lo llevo siempre conmigo. Volvería a comprarlo. Acabados excelentes y buena calidad de material. 100% aconsejable si buscas este estilo de bolso. Ideal para ir en moto o andando. Capacidad correcta, llaves, cartera, libretas bancarias, pañuelos, gafas y queda espacio para más cosas.</t>
  </si>
  <si>
    <t>Pizarra de mucha calidad Sorprendido con la calidad de esta robusta pizarra. Se fija a la pared con cuatro agujeros en la pared, colocados en las cuatro esquinas de la pizarra, quedado totalmente pegada a la pared, sin holguras. Los rotuladores de deslizan perfectamente sobre la superficie y no quedan marcas tras borrarlos.</t>
  </si>
  <si>
    <t>Cómodos y bonitos. Un sneaker cómodo y, a mi gusto, bonito. Calza normal. Por un comentario que leí, cogí media talla más, pero a mí no me parece que sean estrechos.</t>
  </si>
  <si>
    <t>Bien diseñadas Diseñadas con buen gusto, acabados de primera, muy buenas.</t>
  </si>
  <si>
    <t>Me gusta el color Todavía no la he usado. Llegó el dia antes de lo previsto. Tiene buena pinta. Veremos que tal el resultado</t>
  </si>
  <si>
    <t>Perfecto Soy Dj, funciona perfectamente con los cdjs y controladores (todo en uno), capacidad y velocidad DE LOCOS! Lo recomiendo 100% ...</t>
  </si>
  <si>
    <t>Ligeras Super cómodas. Las uso baile.</t>
  </si>
  <si>
    <t>guauuuu que eficacia comprar en amazon La eficacia de amazon en cumplir los plazos de entrega ha sido fabulosa, gracias. suscríbete a amazon prime ¡no falla!  FANTÁSTICO EL TERMO PARA MI BEBÉ, EL COLOR CELESTE ME ENCANTA</t>
  </si>
  <si>
    <t>Súper cómodas Las compré para regalar y han quedado encantados,la usan un montón ,son súper ligeras y la suela es genial .</t>
  </si>
  <si>
    <t>Perfectas El producto es muy bueno y claramente cumple con su cometido. Las tiras son del tamaño adecuado para cables de toda clase, desde las instalaciones de tv, home cinema, cable, router hasta los conjuntos de portatil, mouse, impresora, hard disk. Además es excelente para mantener el orden de los cables durante los viajes. Estoy muy contenta</t>
  </si>
  <si>
    <t>genial Muy buena calidad respecto al precio que tiene. Obviamente fue un regalo para un seguidor del RM y acertamos. Genial</t>
  </si>
  <si>
    <t>Geniales Muy buenos auriculares. Los compré porque tenía unos inalámbricos bastante incómodos, no se adaptaban muy bien y se me caían todo el rato. He de reconocer que estos superan mis expectativas.  La presentación del producto está lograda, primer punto a su favor nada más recibirlos. En la caja viene el cable de carga, el soporte de carga y los auriculares; el soporte es un cargador a su vez, por lo que puedes recargar varias veces los auriculares sin tener que enchufar el soporte, algo realmente útil si vas de viaje y, en general, en cualquier situación en la que no vayas a tener a mano un enchufe durante un tiempo. Aun así, la batería de los auriculares es bastante buena, aguantan unas 4 horas a un volumen medio.  La conexión con el teléfono es sorprendentemente rápida, los enciendes pulsando unos segundos el botón que llevan incorporado y en seguida te aparece “T1” en la pantalla de tu móvil; sin claves ni rodeos, lo pulsas, se conecta al instante y ya puedes funcionar con ellos. Puedes quitártelos sin apagarlos, entran solos en modo Standby, y cuando te los vuelves a poner, sólo tienes que encender el Bluetooth y se reconectan.  Al principio son un poco raros de colocar en el oído, pero rápidamente le coges el tino. Hasta ahora los he probado escalando en rocódromo y corriendo, y aunque después de algún movimiento brusco te los tienes que recolocar, como es lógico, en general no se mueven de su sitio.  La calidad del sonido es buena. Se pueden realizar varias acciones a través de los propios auriculares sin necesidad de tener que sacar el móvil u otro dispositivo electrónico al que estén vinculados: apagarlos, subir el volumen, cambiar de canción, coger una llamada, colgarla; todo a través de los botones laterales que tienen incorporados, son de fácil acceso mientras realizas otras actividades. Muy cómodo por ejemplo cuando estás haciendo deporte y no puedes estar sacando el móvil para cambiar la pista de reproducción.  Muy satisfecho con la compra. Los recomiendo 100%. Si os ha gustado mi review, por favor dar a útil en mi opinión.</t>
  </si>
  <si>
    <t>Muy recomendable La entrega ha sido muy rápida. Todo perfecto.</t>
  </si>
  <si>
    <t>Cumplen perfectamente su función Son unas bananas muy robustas que cumplen perfectamente su función de conexión entre un altavoz y el amplificador.</t>
  </si>
  <si>
    <t>Tamaño perfecto y tejido de calidad. Perfecta. Además de la talla que resulta fácil en levi's alantener un patrón bastante definido, la camiseta es bastante bonita y el tejido de calidad como esperaba.</t>
  </si>
  <si>
    <t>Muy práctico Me gusta su diseño y su practicidad. Muchos bolsillos además. Capacidad ideal. El color un poco más oscuro que el de la foto. Pero me gusta</t>
  </si>
  <si>
    <t>Geniales Llevo unas semanas usándola y son geniales, son ligeras. Me encantan los colores. Pedí una talla más del que uso habitualmente</t>
  </si>
  <si>
    <t>Destiñe Es muy práctico, tiene unos buenos acabados y se ve de buen material. No obstante, en su primer uso la utilicé junto a una camisa blanca y la zona en contacto con el bolso quedó totalmente marrón.Al lavar la camisa la mancha desapareció, pero es algo que nunca me había sucedido con un bolso de piel.</t>
  </si>
  <si>
    <t>Funciona pero incómodo de usar. Esta bueno, pero no es gran cosa. Es incómodo  de usar, porque tenes que quedarte sentado sin apoyar la espalda. Como bien indica el nombre es cervical, nada mas. Pero ... yo lo he usado bastante y se me calmó mucho el dolor de cabeza. Lo sigo usando con regularidad y estoy muchisimo mejor. ( lo compré  a 29.99 euros y la semana siguiente ya estaba 39.99 🤔)</t>
  </si>
  <si>
    <t>Una pena Es el segundo par q compro para mi hija, pero tuve q devolverlo porq resultó ser muy grande, hay mucha diferencia d talla entre el número anterior y est. Una pena porq mi hija estaba encantada con las anteriores.</t>
  </si>
  <si>
    <t>Talla M muy grande Pedí una talla M, y es inmensa.  El producto se vé de buena calidad. No puedo valorar nada más</t>
  </si>
  <si>
    <t>No corresponden con la realidad El numero que pedí no se corresponde con el real. Pone que son de piel y no lo son, son de plástico. Muy mala calidad.</t>
  </si>
  <si>
    <t>NO ES TWIN PACK El producto se anuncia como TWIN PACK y sólo he recibido una tarjeta. El paquete Twin Pack son dos tarjetas, no una, si no es así, que se anuncie correctamente.</t>
  </si>
  <si>
    <t>Bien calidad y precio Es lo que esperaba</t>
  </si>
  <si>
    <t>Buena compra Lo compré por debajo de los 100€, y creo que para 4Tb es una buena compra. Que nadie se espere el disco duro más rápido del mercado, pero para hacer un respaldo de datos es una fantástica opción. Cuentan que los discos duran aproximadamente 5 años de uso, que en el caso de WD suelen cumplirse, si es que no los sobrepasan, y es lo que espero de este disco. Además, estuve leyendo que los discos de 4TB tenían menos fallos que los de 3, 5 o 6 y entre eso y el precio de este modelo me hizo decidirme. Recomiendo la compra.</t>
  </si>
  <si>
    <t>Cable robusto y de buena calidad Cable robusto y de buena calidad. lo he comprado para mi equipo de música y para instalarlo junto a unos conectores banana. A pesar de ser grueso, se trabaja con facilidad. Como una pega, le pondría que el rollo de 10m es muy grande, podrían elaborar uno de 5m. y también, podrían diferenciar mejor ambos cables, porque la línea gris no se ve muy bien en ambientes con poca luz. Por lo demás, todo es correcto.</t>
  </si>
  <si>
    <t>Muy bonito Muy bonito, superó mis expectativas</t>
  </si>
  <si>
    <t>Recomendable El producto cumple con la función. Se añade durante 8 horas y después se le hace a la babycook los 3 ciclos de lavado y listo. Recomendable.</t>
  </si>
  <si>
    <t>Sencillamente perfectos Se adaptan perfectamente a la oreja y se aguantan muy bien sin caerse, ya que pesan poco. De pendientes de este estilo, probé varios, estos son con los que me quedo; definitivamente.</t>
  </si>
  <si>
    <t>Buena calidad. Software de copia intuitivo Me parece uno de los mejores discos SSD quedó he tenido. Buena velocidad de transferencia , muy compensado en cuanto a velocidad de lectura escritura. Dispone de buena caché. Fácil de instalar. Lo mejor de todo es que Crucial te incluye un software para poder hacer una réplica del disco que quieres substituir de firma fácil e intuitiva.</t>
  </si>
  <si>
    <t>Encantado Un reloj Casio, así que de resistencia no comento,el color no es tan vivo como en la foto pero es muy bonito,y la entrega a sido rápida, una compra acertada y muy satisfechi</t>
  </si>
  <si>
    <t>Recomendable por el precio, esta genial se escucha muy bien y sea o  no de mi van perfectos</t>
  </si>
  <si>
    <t>Cumple su cometido Por ahora ninguna pega</t>
  </si>
  <si>
    <t>Facilidad para cortarlas Están fenomenal para que los niños hagan manualidades con ellas. Son de papel y las pueden cortar con los dedos con facilidad sin necesidad de tijeras</t>
  </si>
  <si>
    <t>Exquisito pendientes y colgante Adquirí el colgante para mi madre le encantó.  Ahora los pendientes. Mi opinión, tamaño perfecto, buena calidad.  Presentación delicada, buen embalaje y rápido envío.</t>
  </si>
  <si>
    <t>Muy recomendable Es perfecto</t>
  </si>
  <si>
    <t>Por el momento bien He recibido la tarjeta, pefectamente embalada en un cartón de la marca.  Nos viene en un blister conjuntamente con el adaptador a SD por lo que la podemos conectar directamente al lector de tarjetas de nuestro ordenador.  La imagen que muestro es el resultado del test de velocidad de la tarjeta puesta en el lector de tarjetas con el adaptador.</t>
  </si>
  <si>
    <t>PERFECTO Justo lo que buscaba para poder hablar por mis dos teléfonos y olvidarme de ellos. Funciona muy bien, su sonido es espectacular. Lo recomiendo 100%. Además se puede cambiar de oreja.</t>
  </si>
  <si>
    <t>Perfectas Funcionan a la perfeccion, atrapa pelos y polvo aun cuando parece que esta la casa limpia, yo las limpio con el aspirador para tratar de sacarlas mas partido</t>
  </si>
  <si>
    <t>Todo correcto! Son auriculares originales , no hay ningún problema. Al principio pensé que eran falsos por su bajo precio , pero me equivoqué , puedo asegurar que son originales.</t>
  </si>
  <si>
    <t>Increibles Me han encantado como se adaptan a la oreja y su calidad de sonido, yo los uso para correr y no se me mueven como otros que he usado antes, y que decir del precio. Auriculares increíbles.</t>
  </si>
  <si>
    <t>Cumple lo prometido Simple y directo. Necesitaba una tarjeta para mi cámara de acción que pudiera grabar 4k a 60 fps y esta micro SD cumple la función. Un pequeño consejo para compras de dispositivos de almacenamiento, cuando te llegue el pedido descargate la aplicación CrystalDisk para comprobar que no te están vendiendo gato por liebre en cuanto a velocidades.</t>
  </si>
  <si>
    <t>Muy buen producto Muy rígidas y cómodas a la vez. O sea perfectas.</t>
  </si>
  <si>
    <t>Muy buena calidad Las compre para mi novia y la verdad que dan muy buena calidad. Esteticamente son sencillas, pero su mayor virtud es esa. Sirve tanto para un look sport como para ir mas vestido. El precio en amazon mas barato que en tienda fisica.  Lo recomiendo sin lugar a dudas.</t>
  </si>
  <si>
    <t>Aroma y relajación &lt;div id="video-block-R18VKUY7T9CM9N"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src="https://images-eu.ssl-images-amazon.com/images/I/71QNxVXxkVS.mp4" style="position: absolute; left: 0px; top: 0px; overflow: hidden; height: 1px; width: 1px;"&gt;&lt;/video&gt;&lt;/div&gt;&lt;div id="airy-slate-preload" style="background-color: rgb(0, 0, 0); background-image: url(&amp;quot;https://images-eu.ssl-images-amazon.com/images/I/81BaIk5dxSS.png&amp;quot;);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value="https://images-eu.ssl-images-amazon.com/images/I/71QNxVXxkVS.mp4" class="video-url"&gt;&lt;input type="hidden" name="" value="https://images-eu.ssl-images-amazon.com/images/I/81BaIk5dxSS.png" class="video-slate-img-url"&gt;&amp;nbsp;Es un buen producto. El tacto del material es suave y elegante. El aroma que deja en la estancia es muy fresco. La sensación de calma y relajación con sus colores es muy agradable. Incluso como decoración está perfecto. Se puede programar para su uso. Apenas hace ruido cuando está encendido.</t>
  </si>
  <si>
    <t>Buena zapatilla. Son buenísimas además de bonitas, el único problema es que es un tipo de zapatilla que la suela se desgasta muy pronto, con 10/12 salidas largas ya están súper desgastadas. Aún así son las terceras que tengo y por supuesto habrá unas cuartas...</t>
  </si>
  <si>
    <t>Se agrietan y acaban rompiendose. Es el segundo par con el que me pasa exactamente lo mismo. Con el paso del tiempo en la zona donde estan los agujeritos para la entrada y salida de aire acaba rompiendose. Es una pena porque el modelo me encanta.</t>
  </si>
  <si>
    <t>Limpieza Muy bien</t>
  </si>
  <si>
    <t>Nada ultil No es muy útil , lo compre porque tenía que darle el bebe complemento y no quería usar biberón pero no me gusto nada, no resulta muy fácil de usar, al final le di el complemento con la técnica de jeringa y dedo</t>
  </si>
  <si>
    <t>No dura ni 1 semana sin dar fallos Muy descontento</t>
  </si>
  <si>
    <t>Normal. Una tarjeta de memoria como otra cualquiera. Siempre hemos confiado en la marca Kingston y esta vez no iba a ser menos. Cumple lo que ofrece, es práctica y muy versátil, ya que la marca ofrece posibilidad de comprar muchas "capacidades" diferentes.</t>
  </si>
  <si>
    <t>Genial Práctica y fácil de guardar recomendable 100% y viene con vaso medidor  que es útil en una cocina recomendable 100%</t>
  </si>
  <si>
    <t>Perfecta para lo que necesito Es justo lo que una batidora puede aportar a la cocina, todo según lo esperado, perfecta.</t>
  </si>
  <si>
    <t>Buen producto a buen precio Llegó antes de lo previsto. Ahora sólo queda probarlo para ver si realmente hace su función.</t>
  </si>
  <si>
    <t>Ampli para 2 micros En realidad es un amplificador para 2 microSD no es un Karaoke en si.</t>
  </si>
  <si>
    <t>De lujo Unas zapatillas muy comodas y gruesas, perfectas para la ola de frio. La talla corresponde con el 43 de mis otros zapatos, entran perfectas. Además llegaron el día que me dijeron, sin retraso.</t>
  </si>
  <si>
    <t>Excelente mochila para llevar objetos de uso diario. Estoy muy contento con esa mochila, parece de materiales y acabados resistente, su estética la permite llevar de sport o un poco más arreglado. Múltiples bolsillos en el interior y uno exterior con buenas cremalleras, ni muy grande ni demasiado pequeña, cómoda de llevar tanto por delante como por detrás. Me encanta el detalle del bolsillo con cremallera pequeño que lleva en el tirante. Recomiendo su compra sin duda. El envío como siempre genial de Amazon.</t>
  </si>
  <si>
    <t>Satisfecho Disco duro llega perfectamente embalado, tiene buen aspecto y los acabados se ven bien. Funciona correctamente en una tv JVC para grabar, no es muy ruidoso. Contento con la compra.</t>
  </si>
  <si>
    <t>Producto fantástico sin usar plancha Producto fantástico sin usar plancha! Recomendable para marcar todo tipo de ropa, en especial colegios, guarderías, etc.Volveria a comprarlo sin duda alguna.</t>
  </si>
  <si>
    <t>rapidez perfecto</t>
  </si>
  <si>
    <t>Genial gama media. Buscaba un SSD bueno, con buenas memorias internas y este lo es, un gama media pero más que de sobra (hay mucha tontería ya con las velocidades...).  Seamos sensatos, salvo que quieras un ordenador gamer o un ordenador para tender, no necesitas un top velocidad en SSD, ya de por sí muy rápidos.  Este es un gama media en cuanto a velocidad, compitiendo con algún Toshiba, los Crucial MX, etc.  Para una ofimática avanzada o para un juego de vez en cuando es más que de sobra. La calidad de memorias es buena y no se calienta demasiado.  Volvería a comprarlo por los 61€ que lo compré.  100% recomendable. 👍</t>
  </si>
  <si>
    <t>Excelente Es la mochila original y tiene una muy buena calidad</t>
  </si>
  <si>
    <t>Funciona perfecto Compré este producto de segunda mano asegurandome el vendedor que estaba como nuevo y así fué, coincidiendo perfectamente con la descripción.  No suelo dejar valoraciones, pero soy una persona que las tiene muy en cuenta a la hora de compar cualquier cosa.  El micrófono lo tengo delante del teclado un poco al lateral, su base es pequeña y no se desliza, algo que fue motivo de mi compra ya que tenía poco espacio. Suelo hablar con un tono de voz moderado a dos palmos del micro, lo que viene a ser que no necesito acercarme a él a la hora de hablar, pero tampoco he de bajar demasiado el tono de voz, si no la gente a la que llamo me pide que hable más fuerte, lo que conlleva que por las noches tenga que acercarme un poco más (sin posiciones incomodas) para poder hablar. Su instalación es tan simple como enchufar y empezar a hablar. 5***** Recomendado.</t>
  </si>
  <si>
    <t>Comodidad Ajuste perfecto al tener cierre magnético. Muy liviana</t>
  </si>
  <si>
    <t>Maravilloso Calidad excelente Muy contenta.</t>
  </si>
  <si>
    <t>Cómo se abre el reloj en ca La pila que trae para que es?</t>
  </si>
  <si>
    <t>Chandal de calidad y muy bonito Te lo entregan envuelto en una bolsa de plástico.Vienen dos, una para la sudadera y otra para el pantalón. A diferencia de otras opiniones, creo que es original, por la etiquetas y la presentación. El pantalón viene con bolsillos, los dos con su cremallera. El pantalón es tipo pitillo. Me gusta que quede así, es lo que buscaba. La chaqueta queda como un guante, con cremallera de buena calidad. Por 40€ lo veo muy bien de relación calidad/precio. Creo que tallan grande, mido 1,80 y peso 92 Kg y la L me viene perfecta.</t>
  </si>
  <si>
    <t>Deseadas desde hace tiempo Aunque en el anuncio de Amazon ponía al principio botas para mujer, decir que son unisex. Son fenomenales.  Yo recomiendo cogerse un número o dos más de lo que usas normalmente. Yo tengo un 41 o 41,5, incluso en algunos zapatos el 42 y me cogido el 43.</t>
  </si>
  <si>
    <t>toto correcto todo perfecto</t>
  </si>
  <si>
    <t>Buena calidad Las he usado para hacer unas letras y pegarlas para un trabajo artístico. El fondo queda prácticamente invisible una vez pegado, el tóner en mi caso se quedó perfectamente fijado y se adhieren perfectamente, y eso que lo hice sobre porexpán.</t>
  </si>
  <si>
    <t>100% natural He comprado estos saquitos antihumedad porque ya estoy harto de tanto ambientador y de tanto gasto para camuflar olores de humedad, estos saquitos un total de 6 de diferentes tamaños los he colocado en diferentes sitios de mi habitación (armarios y cajones)y la verdad estoy muy contento, primero porque no desprenden ningún olor y segundo porque cumplen con su cometido !!!ya no huele nada mal mi armario.El carbón activo viene dentro de un saco de bambú por lo tanto 100%natural, la durabilidad es de 2 años y para su mantenimiento solo tienes que exponerlos al sol cada 2 o 3 meses 1 horita para que vuelvan a eliminar lo absorbido, estoy encantado menudo ahorro!!!!Ademas son súper bonitos decoran cualquier espacio. Voy a comprar otros para el coche y la oficina.</t>
  </si>
  <si>
    <t>Muy buen producto excelente Es super grande y muy profesional una pasado recomiendo su compra fuerte fuerte lo volveria a comprar</t>
  </si>
  <si>
    <t>Sonido muy nítido, sin distorsiones y una gran autonomía He comprado estos auriculares para usarlos en el gimnasio y cuando salgo a correr. Pesan muy poco y no resultan nada molestos a la hora de utilizarlos. Se adaptan perfectamente a la forma del oído, y si la esponjilla de silicona nos resulta demasiado grande o pequeña, podemos cambiarla por una de diferente tamaño de las que vienen de repuesto. Podemos utilizarlos bien de forma individual, uno en cada teléfono, o bien de forma estéreo, que es como mejor se disfruta del sonido. Lo mejor de todo es el estuche de carga, muy compacto, que nos permite cargar la batería de cada auricular unas 4 veces sin necesidad de conectarlos al cargador.</t>
  </si>
  <si>
    <t>Impresionante Mucho mejor en vivo, robusto, bonito, funcional y  deportivo-elegante, ya me he duchado con el y perfecto ,muy recomendable. Un gran reloj, la verdad, estoy contentísimo con la compra</t>
  </si>
  <si>
    <t>La foto engaña No tiene nada que ver con la foto de la imagen, no es el típico rollo de celo compacto si no el de diámetro más largo.</t>
  </si>
  <si>
    <t>Buen producto De momento estoy contenta</t>
  </si>
  <si>
    <t>Malla Queda ancho, pero por su precio está bien.</t>
  </si>
  <si>
    <t>Malo Malísimo una patata lento</t>
  </si>
  <si>
    <t>Mal producto El envio bien, y su proteccion la llave con archivos de 1 Gb, no pasa de 13.2 megas segundo, me ha decepcionado muchisimo la verdad, no vale la pena comprarla y gastar ese dinero</t>
  </si>
  <si>
    <t>Bien diseñado y práctico. Producto ligero, resistente y muy práctico, estupendo para clasificar documentos, expedientes y demás. Caben bastantes carpetas y es cómodo para transportar.</t>
  </si>
  <si>
    <t>Lourdes Gras Gras Muy cimodos y abrigaditos, a mi me van muy bien porque estoy recién operada de cadera y fémur( 4 veces)  y ahora mirare para comprarme otros</t>
  </si>
  <si>
    <t>Bueno Quita mucho la suciedad de las manos Pero no del todo .</t>
  </si>
  <si>
    <t>Es como esperaba Talla un poco grande. Por lo demas fenimenal. Las he metido incluso en la lavadora y muy bien</t>
  </si>
  <si>
    <t>EL COLOR NO SE CORRESPONDE CON LA FOTO La zapatilla calza como un 39,5. El color no se corresponde con la fotografía ya que se trata de un azul grisáceo y no un azul marino como aparece en la foto El envío llegó en perfecto estado y muy puntual</t>
  </si>
  <si>
    <t>No esperes milagros. Es fácil de poner, y de quitar, huele bastante bien, pero tampoco he notado especiales cambios tras uso, está bien para estar un rato relajado</t>
  </si>
  <si>
    <t>Muy práctico Diseño bonito con buena capacidad, fácil limpieza y caliente rápido. Envío rápido. Muy buena calidad precio.</t>
  </si>
  <si>
    <t>Robusto y elegante Robusto, elegante, buena calidad, es mas bonito en directo que en foto, la correa es de cuero de calidad, comora perfecta.</t>
  </si>
  <si>
    <t>Diseño y calidad Sí, el producto era para mi hija y le ha encantado. Perfecta la talla, y muy cómodas. Calidad como se esperaba</t>
  </si>
  <si>
    <t>Colgante 3 colores Precioso , buen precio y muy elegante. A mi hija le ha encantado es pequeño pero con una línea q le hace diferente a otros. Estoy contenta con la compra.</t>
  </si>
  <si>
    <t>Piscina Son muy cómodos para andar descalza y no resbalar</t>
  </si>
  <si>
    <t>Perfectas Funcionan perfectamente, aunque su uso es básicamente de comodidad encajan perfectamente y todo queda mas recogido detrás del AVR, Amazon bien en todo.</t>
  </si>
  <si>
    <t>Notable Un poco incomodos cuando llevas unas horas con ellos.  Yo normalmente los uso practicando deporte y cumplen su función. La materia parece interminable, sin dudas uno de sus puntos fuertes,</t>
  </si>
  <si>
    <t>Gran zapatillas Las mejores zapatillas para correr que he probado</t>
  </si>
  <si>
    <t>Muy chulo Fue un regalo ,,,, precioso para una persona mayor, me Encanta</t>
  </si>
  <si>
    <t>Medela buena calidad Le encanta al nene</t>
  </si>
  <si>
    <t>Una máquina fantástica Nunca había tenido una batidora de este estilo, por lo cual iba sin expectativas; no obstante el funcionamiento de esta es fantástico, no tengo ninguna queja. La utilizo para hacer un zumo por la mañana y en alguna ocasión masa de tortitas con plátano y huevo, y de momento todo va perfecto.</t>
  </si>
  <si>
    <t>Cumple las espectativas Todo bien</t>
  </si>
  <si>
    <t>Grandecito y recomendable De tamaño es bastante más grande de lo que esperaba, por lo de más es exactamente como se describe y aparece en las fotos, el material es plastico y se ve resistente, dentro incluye una jarrita medidora para echarle los aceites esenciales o lo que le vayas a poner. Es muy sencillo de usar, lo llenas hasta la medida, tapas y enchufas y listo. Esta bastante bien para el precio que tiene, lo único quiza lo del tamaño pero esta muy bien por lo demás.</t>
  </si>
  <si>
    <t>Preciosos Pendientes en Plata de Ley 925 con forma de corazón y Brillante Circonita Mi compañera está encantada y contenta con la compra que realicé y no tengo dudas en comprar, cuando lo necesite.  Son unos pendientes en Plata de Ley con una Circonita en forma de corazón. Son muy brillantes y preciosos. En forma de corona engarzada de corazón. Tienen algo el peso por lo que no son del todo livianos como otros, gracias a su circonita. Son muy elegantes y refinados, para cualquier situación o regalo. Para una amiga, novia, esposa,… y para cualquier situación como una  fiesta, boda, fin de año, etc.  Su información básica o dimensión es: 10mm*8mm / Peso: 1.4g.  Vienen perfectamente en su cajita, incluso traen un lazo para regalo  El Servicio de mensajería y el fabricante, se han ocupado de que el producto transite hasta mi casa.  Os pongo unas fotos para que valoréis en la medida de lo posible mis apreciaciones.  Suerte a todos.</t>
  </si>
  <si>
    <t>buen producto la rapidez ,con que calienta el agua, lo  poco que ocupa y la fácil limpieza</t>
  </si>
  <si>
    <t>Bonito y original. Me encanta.  Llama la atención y es muy colorido.</t>
  </si>
  <si>
    <t>Defecto de fabricacion La funda del zueco derecho es defectuosa y no se ajusta al pie. Deberían proporcionar otra en condiciones óptimas.</t>
  </si>
  <si>
    <t>Buen producto pero poca cantidad. La crema es buena. El único inconveniente que puedo ponerle es que el bote parece venir con la mitad del contenido.</t>
  </si>
  <si>
    <t>Nada transpirable El top lo vendían como "lo más" para correr y no transpira en absoluto. Tampoco es utilizable como sujetador deportivo sin más porque no tiene la suficiente compresión, aparte de que queda demasiado corto como para "recoger" correctamente. Fatal relación calidad-precio</t>
  </si>
  <si>
    <t>FALTAN PARTES DEL PRODUCTO Me ha llegado todo excepto la tarjeta USB, y sin ella no puedo usar este microfono con mi macbook. Voy a devolver. No recomendado. :(</t>
  </si>
  <si>
    <t>no es facil dar con la talla, siempre alguna vez se equivoca uno el zapato me queda algo pequeño, asi que no se di algun dia prodre usarlo, saludos</t>
  </si>
  <si>
    <t>Muy útil. 90% de satisfacción. Me gusta y funciona bien, no pesa mucho... creo que hoy en día podría mejorarse por el mismo precio.</t>
  </si>
  <si>
    <t>Recomendables Bastante cómodas y ligeras</t>
  </si>
  <si>
    <t>Ya no lo devuelvo Pensé devolverlo porque no cargaba. Pero me trajo mi hijo un cargador con el que si carga por lo tanto ya no lo devuelvo. De sonido: genial. Por poner un pero los bajos se podrían mejorar. La batería dura hasta aburrirte y son cómodos al entrar la oreja completa dentro del auricular. Relación precio / calidad sobresaliente. Los recomiendo sin reservas.</t>
  </si>
  <si>
    <t>muy bien a este precio Esta muy bien y tienes la opción de imprimirlos</t>
  </si>
  <si>
    <t>Perfectas! Botas de muy buena calidad !! excelente producto. Envío rápido .</t>
  </si>
  <si>
    <t>Bonito con varios compartimentos y cremallera de calidad Bonito bolso de hombre,con varios compartimentos sutiles para llevar desde una pequeña libreta,el móvil o las llaves. Un amigo me lo recomendó y de momento encantado, las cremalleras son de buena calidad,cosa importante en este tipo de accesorios</t>
  </si>
  <si>
    <t>GUARDA ARCHIVOS Me han venido genial, la verdad que venían en una caja bien colocaditos y cuando metes archivos se iluminan.</t>
  </si>
  <si>
    <t>Tal y como esperaba Hay que pedir una talla mas ya que talla pequeño pero son muy comodas</t>
  </si>
  <si>
    <t>pendrive cumple con sus funciones, es bonita y pequeño.esta muy bien relacionado la calidad/precio estamos satisfecho con la compra</t>
  </si>
  <si>
    <t>Muy bonito y buena calidad-precio Un humificador excelente, con una buena calidad de material y un tamaño prefecto, a parte de ser atractivo, sin duda ha sido una buena compra, . Tiene una capacidad de 300 ml como máximo, pero también viene marcado las medidas de 100, 200 y 300ml. En la caja viene el libro de instrucciones el cual viene muy bien explicado y en español, el cargador es bastante largo y también un mando a distancia muy manejable. La verdad es que este humificador dura bastante. Una de las cosas que mas me han gustado es la regulación de luz con varios colores pudiendo elegir su intensidad. También se puede regular la intensidad de la pulverización y en el llenado añadiéndole unas gotas de aromas lo hacen la verdad que un humificador muy top. Muy recomendable este producto a una buena calidad precio.</t>
  </si>
  <si>
    <t>calidad casio Un reloj muy cómodo, ideal para andar a diario. La hora de ve perfecta y el complemento de alarma y crono son muy útiles. Lo volvería a comprar sin duda alguna.</t>
  </si>
  <si>
    <t>Confortables Muy cómodos genial</t>
  </si>
  <si>
    <t>Bueno &lt;div id="video-block-R38HKBU2ZK2GXI"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id="23" preload="auto" src="https://images-eu.ssl-images-amazon.com/images/I/91Ov7+Y0MeS.mp4" style="position: absolute; left: 0px; top: 0px; overflow: hidden; height: 1px; width: 1px;"&gt;&lt;/video&gt;&lt;/div&gt;&lt;div id="airy-slate-preload" style="background-color: rgb(0, 0, 0); background-image: url(&amp;quot;https://images-eu.ssl-images-amazon.com/images/I/A1nksubSDBS.png&amp;quot;);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center;"&gt;0:11&lt;/div&gt;&lt;div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value="https://images-eu.ssl-images-amazon.com/images/I/91Ov7+Y0MeS.mp4" class="video-url"&gt;&lt;input type="hidden" name="" value="https://images-eu.ssl-images-amazon.com/images/I/A1nksubSDBS.png" class="video-slate-img-url"&gt;&amp;nbsp;Ha llegado en su día, y en perfectas condiciones, funciona correctamente, lo he usado un par de veces y en principio es un producto recomendable, de momento estoy contento y satisfecho.</t>
  </si>
  <si>
    <t>Ideal para el deporte Mi marido necesitaba unos auriculares diferentes para salir a correr, ya que los suyos no se ajustaban al oído como estos, además de poder mojarse ya sea por sudor o agua, lleva unas 4 salidas con ellos y esta muy contento, aún la batería no ha dicho hasta aqui llegué, llevará de 4 a 5 horas de duración, y en las características indican durar hasta 8 horas. Buena compra calidad precio, trae una funda muy chula para guardarlos.</t>
  </si>
  <si>
    <t>Poco peso, sobrado de potencia. Muy fácil de usar. El peso es muy bajo y se maneja con facilidad. La luz de ayuda funciona genial con su sensor de luminosidad. La batería aguanta más de lo esperado. Lo único negativo que le veo es que la conectividad bluetooth con el móvil es un poco precaria y la veo un poco en pañales.</t>
  </si>
  <si>
    <t>Muy bonitas Son muy bonitas y cómodas además de calentitas. Recomiendo pedir un número más para las forradas de pelo</t>
  </si>
  <si>
    <t>Muy bien Muy chulas al ser todo negro, comodísimas, somos fans de esta marca. Se las he regalado a mi marido y le han encantado. El tallaje es justito, siempre pedir media o una talla más.</t>
  </si>
  <si>
    <t>Muy buena calidad y comodidad Producto con muy buena calidad. Son comodos teniendo, los uso para trabajar y paso largos periodos de pie. Muy recomendables.</t>
  </si>
  <si>
    <t>Muy buenas La comodidad y diseño. Las utilizo para mi uso a diario.</t>
  </si>
  <si>
    <t>Me encantaría  otro Me gustaría comprar otro al mismo precio pra un regalo gracias</t>
  </si>
  <si>
    <t>Funcionamiento sin problemas 24 horas. La compré para usarla en una dashcam y grabar en continuo en el parking, me almacena 20 horas y casi media hora más en vídeos a 1080,lleva grabando sin parar nada mas que los cinco segundos que tardo en cambiar la powerbank,  sin duda una memoria confiable.</t>
  </si>
  <si>
    <t>Para contorno de ojos El producto es muy bueno, con vitaminas e acido hialuronico. Tengo el alrededor del ojo más suave y con aspecto más descansado. Lo aplico la antes de irme a dormir por la noche y por la mañana apenas me levanto. El contenedor es metálico, hecho con productos de calidad. El envío fue muy rápido y preciso. El paquete estaba bien embalado.</t>
  </si>
  <si>
    <t>Perfectas!! Me encantan!! Había comprado otras anteriormente y me tocó devolverlas porque me quedaban pequeñas asique ojo con las tallas. Yo por ejemplo gasto un 39 y el 39/40EU me quedaba pequeño asique he comprado la 41/42 y me están perfectas. Vienen con su caja y sus etiquetas, lo cuál es importante para mí porque se que son originales.  Son muy comodas y el color tal cual la foto. Las recomiendo</t>
  </si>
  <si>
    <t>Buen Producto, Venta engañosa OJO: VIENE SOLO 1 BIBERÓN!!!  Antes de nada decir que resulta engañoso que la foto tenga 4 biberones y que en el nombre aparezca 4 +(se refiere a los meses). Da lugar a engaño si no lees bien. Por el precio ya debiamos sospechar que algo raro había, se pueden encontrar ofertas mejores.  El biberón no lo hemos probado aún pero son biberones de calidad.</t>
  </si>
  <si>
    <t>Sudadera XL Pedí esta sudadera pensando que era de algodón gordo, y es todo lo contrario, muy fina, en cuanto a la talla me esperaba una XL más grande, de todas formas no está mal.</t>
  </si>
  <si>
    <t>Al ser de pierna muy anchos, son cómodos. El pantalón es muy normalito. Yo lo uso como pantalón pijama o para estar en casa. Pero por ese precio no se puede pedir más. Eso sí, cuidado con la talla. Yo uso la xs y 2xs en los pantalones y mallas de decathlon y he pedido la M. De cintura bien  y de largo por encima de los tobillos.</t>
  </si>
  <si>
    <t>Buena tetina, incómodo para llevar fuera de casa Aunque las tetinas de NUK han sido las favoritas de mi hija desde que nació, estos biberones tienen un inconveniente y es que la tapa no evita que el líquido se derrame. Traen una pequeña pieza de plástico que puedes introducir entre el biberon y la tetina para cumplir esta función pero es un engorro.  Preferimos otras marcas que sí cierran perfectamente con la tapa y son mucho más cómodos a la hora de llevar el biberón fuera de casa.</t>
  </si>
  <si>
    <t>una semana y se ha roto la cadena Una semana y la cadena se ha roto</t>
  </si>
  <si>
    <t>Producto pésimo Lo compré por los comentarios y la verdad es que el producto nada tiene que ver con lo que he leído. El biberón tiene una única entrada de aire que no sólo es insuficiente sino que encima no funciona bien. La tetina hace efecto vacío y por mucho que el bebé succione no sale casi leche. Además, la tapa que lleva para poder agitarlo no cumple correctamebte su función. Si lo agitas demasiado fuerte la leche se sale. Conclusión: producto acorde al precio. Merece más la pena pagar un poco más, porque en mi caso esta compra ha sido tirar el dinero. Ya se sabe, lo barato sale caro. No lo recomiendo.</t>
  </si>
  <si>
    <t>YA VEREMOS. ¿? ESTAN BIEN, PERO NO SON DE LA TALLA QUE PEDI.</t>
  </si>
  <si>
    <t>Nice comfortable shoes First look and they are comfortable and arrived exactly as expected. Hope they do well in the long run. Shipping process very good. Although they were shipped later than predicted, they arrived in no time!</t>
  </si>
  <si>
    <t>Aceptable. Funcionamiento sencillo y correcto. Efectividad suficiente. Relación calidad-precio, pues siempre es mejorable....</t>
  </si>
  <si>
    <t>Queda bien Me lo pongo para andar por casa, la talla bien , lo he lavado varias veces y secado en secadora y no se encoge y el precio muy bueno.</t>
  </si>
  <si>
    <t>Buen reloj con visión nocturna mejorable Me gusta el reloj. La única pega es la dificultad de ver los números por la noche con la luz naranja. Por lo demás buen diseño y reloj.</t>
  </si>
  <si>
    <t>Realmente impresionan Además de su diseño, a todas luces precioso, impresiona cuando los emparejas al móvil y escuchas la gran calidad que desprenden sus altavoces. Los graves están muy bien definidos. Por el sonido  parecen auriculares de mucho más precio. Se los he regalado a mi hija y le encantan. Si necesito otros no dudaré en volver a comprarlos.</t>
  </si>
  <si>
    <t>RAPIDO Y SILENCIOSO Lo he comprado para la oficina y estoy encantada. Es rápido y silencioso.</t>
  </si>
  <si>
    <t>Perfectos para correr, no se mueven. Me aguantan perfectamente sesiones de caminata de 3 horas sin problema, y lo mejor es que los días que corro, no se mueven nada. Estéticamente muy chulos con las luces. La calidad de sonido no puedo comparar con otros, pero ninguna queja, se escucha muy bien. Llevo una sana con ellos y los recomiendo :) El envío super rápido, llegaron en 24 horas.</t>
  </si>
  <si>
    <t>Comodas y bonitas De talla correcta y muy cómodas. El alza está en la plantilla por lo que si es excesiva se puede cortar con un poco de maña. Las he lavado en lavadora y han quedado como nuevas</t>
  </si>
  <si>
    <t>Rápido y con muchas instrucciones Ha llegado en unos pocos días. El paquete llega al vacío, con instrucciones precisas de cómo hacer que el aislante recupere su forma original.</t>
  </si>
  <si>
    <t>Buen aroma y fácil de mezclar El producto coincide con la foto que se proporciona, así como con la descripción que se da. Tenemos 6 botellitas de aromas distintos (lavanda, naranja, menta, eucalipto, árbol de té y limón) que vienen en la caja que podemos ver en las fotos. Las botellitas son de aproximadamente 10ml y vienen bien llenas, no por la mitad como muchas botellitas que compras por ahí. La esencia es muy fácil de diluir en agua para difusores o vaporizadores, de forma que no queda separado como el agua y el aceite y se consume todo sin dejar posos o manchas de esencia sin diluir. Ten en cuenta que si en proporción añades demasiada agua, casi no hará olor y no percibirás prácticamente el aroma o durará poco. Tienen un muy buen aroma y distintas propiedades dependiendo de la esencia que uses. Decidí comprarlos porque en los supermercados suelen ser las botellitas más caras o las más baratas casi no huelen, y éstas botellitas tienen un buen precio y he quedado muy contento con el resultado</t>
  </si>
  <si>
    <t>MUY CONTENTO CON ELLA Tiene muchos compartimentos y es perfecta para llevar una tableta de 10 pulgadas, un móvil, un cargador, una funda de gafas, un bloc de notas, un bolígrafo, llaves, medicinas... de todo.  Sólo unas pequeñas pegas:  1) para mi caso particular, que mido casi 2 metros, tuve que cortar la cinta y ponerle una que ya tengo con sus mosquetones incorporados para hacer enganche.  2) Engrasé las cremalleras porque son bastante largas y tienden a trabarse, sobre todo una, pero lo soluciono ayudándola con los dedos. Es un tema que tiene más que ver con el tejido, que es curvo y curva la propia cremallera facilitando que una de ellas, por no estar firme donde está insertada tienda a trabarse. Pero como ya he dicho, con ayuda de los dedos se le ayuda en el punto en el que se traba un poco.  3) No es impermeable, ojito. Tampoco sé cómo quedará cuando la lave, pero como es de tela vaquera por fuera, supongo que quedará como un vaquero viejo, lo cual es chulo.</t>
  </si>
  <si>
    <t>SSD Samsung Sin duda la mejor opción</t>
  </si>
  <si>
    <t>Perfectos para correr y gimnasio. Auriculares de buena calidad (en comparación con otras chustas chinorras). Sirven para correr y lo bueno es que al no introducirse en el oído como un tapón (como son la mayoría) no transmite los ruidos de las vibraciones al correr y escuchas el ruido exterior. Por contra reduce un poco la calidad del sonido pero yo lo precio con tal de evitar la sensación de ir "taponado".</t>
  </si>
  <si>
    <t>Que no pesa mucho Muy cómodo para trabajar</t>
  </si>
  <si>
    <t>No se como no la compré antes Perfecto para cama caravana en la montaña,se puede regular cada lado y calienta bastante yo seguro que me la volvería comprar</t>
  </si>
  <si>
    <t>Perfecto, original reebok, en la fecha prevista Es justamente lo q buscaba, es original y todo llego en la fecha, uso otras marcas como ascis, o Nike es la misma talla</t>
  </si>
  <si>
    <t>Guapisimas Estan muy guapas! Como me las esperaba!</t>
  </si>
  <si>
    <t>Calentitas y preciosas Me las pedí en rosa, zapatillas preciosas y muy confortables,  calentitas y con una buena suela antideslizante que aísla del frío. Se las voy a pedir a mi.marido ¡Xd</t>
  </si>
  <si>
    <t>Las clásicas de Adidas O te gustan o las odias. Las compré para el gimnasio y ahora las uso para andar por casa porque son comodisimas</t>
  </si>
  <si>
    <t>Bonitas Es lo que queria</t>
  </si>
  <si>
    <t>Muy contento porque ha cumplido todas mis espectativas! Excelente producto, facil instalación... Absorbe muy bien las reverberaciones de la habitación y me ha ayuda a tener una grabación mas limpia!</t>
  </si>
  <si>
    <t>Biberón magico Es estupendo</t>
  </si>
  <si>
    <t>Pendientes Chulisimos quedan genial.</t>
  </si>
  <si>
    <t>Decepción No es original ni mucho menos compatible el micro con el.móvil.</t>
  </si>
  <si>
    <t>Reloj Casio de toda la vida con correa metalica, ojo con el cierre El reloj casio de toda la vida. Duradero, sumergible, con luz  y al tener correa metalica es elegante para un uso diario de batalla. Eso sí, el freno para fijar la talla de la correa es malisimo, se corre con mucha facilidad. Por lo que en un par de horas tienes bastante holgura en la correa y la esfera del reloj mirando para abajo.</t>
  </si>
  <si>
    <t>Estropajos sin más No está mal, aunque ha llegado con muchísimo retraso</t>
  </si>
  <si>
    <t>No son originales. No funcionan correctamente El producto no es original. Estos los compré como regalo pensando que eran los originales, yo si tengo los originales comprados en Aliexpress desde china, y estos claramente no lo son. Para empezar el boton no es táctil, es un botón físico y los materiales de la caja no son iguales. Sin embargo, el precio sí que es igual que los originales...  Además, en mi caso uno de los auriculares no enganchaba bien en la caja, por tanto no se cargaba correctamente. Por suerte la devolución a través de Amazon ha sido fácil y sin inconvenientes.</t>
  </si>
  <si>
    <t>No es el modelo que se describe No corresponde con el DW-5600BB-1ER. He comprado dos veces el producto para ver si a la segunda vez acertaban con el modelo, pero, desgraciadamente, no ha sido así. No volveré a intentarlo y no recomiendo su compra por ello. El modelo que llega es otro Casio en negro, pero que tiene varias diferencias con el de la descripción y en la calidad. Muy descontento.</t>
  </si>
  <si>
    <t>buena calidad buena calidad.la compre para un regalo y ha quedado encantado con el bolso</t>
  </si>
  <si>
    <t>Funcionan muy bien Buenos auriculares inalámbricos, se adaptan muy bien a los oídos, buen sonido, buena reducción del ruido ambiental, incluso en avión y cerca de los motores. La única pega que le encuentro es que el cable, que por un lado debe ser algo rígido y flexible, hace que cuando los colocas, debas jugar un poco con ellos para encontrar la mejor posición.</t>
  </si>
  <si>
    <t>Amplitud Esta bastante conseguida. Muy amplia y cómoda de llevar. Por poner alguna pega, la correa. Parece de poca calidad pero es resistente.</t>
  </si>
  <si>
    <t>Buena bandolera Bandolera de buena calidad, resistente. Un poco grande pero me sirve para lo que la necesito y el color, perfecto.</t>
  </si>
  <si>
    <t>Producto a buen precio El producto está bien, pero la talla poco acertada, es un poco pequeño</t>
  </si>
  <si>
    <t>Genial Perfectos, me han encantado, se enganchan muy facilmente. He leído comentarios de personas que les llegaron como sucios, no es mi caso, impolutos y muy bonitos. Burna compra!!</t>
  </si>
  <si>
    <t>Excelente calidad Hace unos dias me llego esta alfombrilla para mi teclado y raton gaming. Anteriormente  tenia una alfombrilla negra muy sosa y me decidi a comprar esta, ya que es el complemento ideal para mi setup gaming. Tiene unas calidades de materiales bastantes buenas, se desliza muy bien el raton por el area de la alfombrilla. La tira de led le da un toque bastante guay, se puede cambiar de modo y color pulsando un boton localizado en la zona de la izquierda. La carga inalambrica, es una ventaja muy grande ya que solo dejando el movil encima, se carga bastante bien.</t>
  </si>
  <si>
    <t>excelene Hola gracias a vuestros comentarios lo compre hervidor bosch compact class,la verdad es muy buen producto ,calienta agua bastante rapido, calidad y material de que esta echo  esta parfecto y con este precio es dificil contrar producto similar  ,es una conosida empresa bosch ,espero que me dure mucho tiempo. Envio y servicio por parte de Amazon muy serio i rapidisimo ,gracias Amazon</t>
  </si>
  <si>
    <t>Maria luz Son perfectos. Cómodos y no se transparentan. Los recomiendo. La talla perfecta. Los colores como aparecen en la foto. Gracias</t>
  </si>
  <si>
    <t>Comodo Buen uso</t>
  </si>
  <si>
    <t>Me encanta Lo uso todos los dias sin falta y funciona perfecto. La luz led va de maravilla. Por este precio es insuperable</t>
  </si>
  <si>
    <t>La amortiguación en la pisada Supercómodas</t>
  </si>
  <si>
    <t>Buen producto Buen producto. Buena calidad</t>
  </si>
  <si>
    <t>Gran líquido anti pinchazos y estupenda relación calidad-precio-cantidad. Buen producto para mis cubiertas maxxis tubeless. Tengo un bote pequeño que viene con un adaptador para la válvula así que lo voy rellenando. He hecho ya algo más de 1000 km y cada 3 meses lo voy renovando y no he perdido aire durante las salidas. Solo destacar que no lleva adaptador para inyectar por la válvula y hay que usar otro bote para poder dosificar. Volveré a comprar.</t>
  </si>
  <si>
    <t>Regalo. Se las he regalado a mi hija y van como un guante.</t>
  </si>
  <si>
    <t>Todo correcto Pequeño pendrive, que realiza su función correctamente. Muy pequeño y muy buen diseño, con esas aletitas que favorecen la introducción/extracción del dispositivo. Tiene un diseño muy elegante. Producto recomendado 100%.</t>
  </si>
  <si>
    <t>Buen material Súper útil, puedes meter muchos cables debido a su gran capacidad, el material se aprecia bastante bueno y difícilmente deteriorable, el tamaño es adecuado aunque si sobra un poco puede cortarse. Muy contento</t>
  </si>
  <si>
    <t>no la quito nunca me encanta, muy elegante, queda genial</t>
  </si>
  <si>
    <t>Repetiré Muy contenta con la compra, según mi padre el calzado más comodo que ha tenido en su vida y no es un señor fácil de contentar en lo que a calzado se refiere</t>
  </si>
  <si>
    <t>Cómodas y ligeras buena calidad precio Perfectas buena calidad precio mi marido usa un 44 y le van perfectas.comodas y ligeras.</t>
  </si>
  <si>
    <t>El buen sonido y la comodidad Muy bueno! Los. Compre para salir a caminar por las mañanas. Camino 1'5 hs 3-4 veces por semana y muy bien, la. batería aguanta bastante, se escucha bastante bien, y trae almohadillas de recambio, se. Adaptan. Muy bien a las. Orejas, no se mueven, prácticamente no se sienten. De todos los. Auriculares que he comprado este es el mejor. 100% recomendado.</t>
  </si>
  <si>
    <t>Perfectos para cualquier actividad en la que hagas mucho movimiento. He comparado estos auriculares bluetooth porque estaba usando unos de botón, pero cuando hacia algún movimiento un poco fuerte siempre se me caía alguno, con esto como tiene una goma flexible que rodea la oreja de forma similar a la de las patillas de las gafas es casi imposible que se caiga y puedo hacer cualquier cosa sin miedo a tener que recoger del suelo o de sitios peores el auricular. Tienen un buen sonido tanto en música como hablando por teléfono y el micrófono se escucha perfectamente sin ruidos raros. Bonito diseño negro c con un círculo rojo en el bon que queda muy bien estéticamente.</t>
  </si>
  <si>
    <t>Buen producto Perfecto,bun precio,exprime muy bien,poco ruido,se limpia estupendamente</t>
  </si>
  <si>
    <t>Decepció Decepcionado. Es muy lento, incluso leyendo.</t>
  </si>
  <si>
    <t>Encaja muy flojo Muy bonito pero las dos mitades se separan muy facilmente, se perderá seguro.</t>
  </si>
  <si>
    <t>No lo recomiendo No me ha gustado. Hace poco efecto peeling y te deja la piel como pringosa. Para mi gusto un peeling nalo</t>
  </si>
  <si>
    <t>Comodas Perfectas de talla, la que huso habitualmente. Muy muy cómodas, no pesan nada. La calidad regular, a ver cuanto me duran.</t>
  </si>
  <si>
    <t>Sellos motivacionales Le gusta a los niños. Tienen algo parecido en el colegio. Yo los uso para motivarles e intenten conseguir el premio (sello). Contento con l compra</t>
  </si>
  <si>
    <t>Producto de buena Calidad Producto de buena calidad. Buen empaquetado para poder guardar las que te sobran. Robustas y resistentes. Validas tanto para cables eléctricos, video, pc, etc.</t>
  </si>
  <si>
    <t>Bien Calidad precio bien, las manillas las pondría mas grandes o de otro color que se vieran mas</t>
  </si>
  <si>
    <t>buen precio justo para lo que cuesta , perfecto</t>
  </si>
  <si>
    <t>Muy bueno Yo antes de comprar tenía mucho dudas de precio que tiene así y trabaja. Pero afinal me sorprende cuando probé ami a gustado mucho.</t>
  </si>
  <si>
    <t>Fran Los pendientes son de acero, no son ligeros pero tampoco pesan gran cosa, se adaptan bien al lóbulo de la oreja, es una pinza que tiene una resistencia para que no se afloje, estoy muy contento con ellos.</t>
  </si>
  <si>
    <t>Buena Compra Aproveché una oferta y la compré, y va estupenda. Calienta rápido aunque hace algo de ruido xo lo normal. Recomendable 100%.</t>
  </si>
  <si>
    <t>Genial Quedan fenomenal. La M para una 36 es un pelín grande, pero para mi es cómoda así</t>
  </si>
  <si>
    <t>Cómodos Los usamos cuando vamos al gimnasio y yo suelo ponermelos en casa mientras hago tareas y demás. Quedan bien sujetos así que puedes moverte sin problema y el sonido es bueno. Se conectan muy fácilmente entre sí y al bluethoot. Me gustó mucho que me mandaran un email con las instrucciones para conectarlo. La batería de momento no se me ha agotado, pero trae para cargarlo y accesorios de recambio.</t>
  </si>
  <si>
    <t>Bonito y práctico Muy útil, y además con su luz da un toque muy bonito a la espera. Se limpia muy bien si se añade zumo de un limón y agua y dejamos hervir, si necesario se vuelve a proceder varias veces para quitar toda la suciedad incrustada.</t>
  </si>
  <si>
    <t>Calidad precio correctos Lo uso para la guitarra, no se lía ni hace nudos, parece muy resistente por el revestimiento de ¿nylon? que lleva en el exterior</t>
  </si>
  <si>
    <t>Gregorio Este reloj es una maravilla mi preocupación era la exactitud sabiendo que un automático no están exacto como un cuarzo pero me ha sorprendido mucho porque funciona muy bien prácticamente adelanta 2 segundos al dia</t>
  </si>
  <si>
    <t>Relacion calidad-precio perfecta No esperaba una gran calidad, pero me han sorprendido. Obviamente van algo justos en calidad de audio, pero cumplen su función. Yo los compré para usarlos en el gimnasio y van perfectos.</t>
  </si>
  <si>
    <t>Comodísima Me encanta!</t>
  </si>
  <si>
    <t>Muy satisfecho Lo suelo comprar cuando esta de oferta y he repetido varias veces. Lo utilizo para pegar miniaturas de wargames metálicas. Bien utilizado da bastante de si. No lo he utilizado para otros menesteres, por lo que mi valoración se ciñe al uso que le doy.</t>
  </si>
  <si>
    <t>Están muy bien Perfectos, se adaptan genial</t>
  </si>
  <si>
    <t>Amor Bueno, que puedo decir son vans y son bellísimas yo suelo usar talla 37 pero, en este caso he pedido talla 36 y me han quedado perfectas</t>
  </si>
  <si>
    <t>Una comodidad Me alegra haber conocido esta marca,ya he comprado varias cosas y son una pasada de buenas y cómodas. No caí cuando pedí la mopa de azulejos con el palo,pensé que dos que tengo de otros artículos servía pero,justo hoy mismo que llegó la mopa y antes de la fecha pedí el palo. La usé un momento para probar los azulejos y que pasada ,los dejó brillantes . Siempre encantada con estos artículos .</t>
  </si>
  <si>
    <t>Pendientes de plata Han llegado antes del plazo señalado, son muy bonitos. No se si serán de plata, pero dan bien el pego.</t>
  </si>
  <si>
    <t>Buen precio Estan super bien las zapatillas, no pesan nada, cómodas y son de fabrica española. Buen precio y justo lo q especifica el vendedor. Ya luego hay q probarlas, por el momento me a gustado mucho</t>
  </si>
  <si>
    <t>Auriculares bluetooth Excelente sonido, se ajusta muy bien a las orejas. Las almohadillas son muy blanditas. Son extensibles pudiendose regular al diametro de la cabeza. Ademas se flexionan hacia dentro para guardarlos, lo cual reduce su tamaño. Tiene botones en uno de los lados para encender y apagar y para subir y bajar volumen. Incluye el cable para cargarlo</t>
  </si>
  <si>
    <t>Quedan como esperaba Lo recomiendo como zapatilla deportiva, h quedado encantado con la calidad del producto y está a muy buen precio, fue para un regalo y acerté.</t>
  </si>
  <si>
    <t>Mejor para los oídos. Me gusta la musica a todas horas, este aparato me permite correr potque se aguanta muy bien. Tambien cuando cocino. No molesta tanto el pido como otros que tengo. Sonido de 10.</t>
  </si>
  <si>
    <t>Regular Después de 4 meses, solo me queda 2 pares de calcetines. Los otros se han roto. Muy decepcionado.  Muy cómodos y no tan finos como esperaba. Para mi geniales. Los colores están bien y es como en las fotos. Ahora esperemos q duren.</t>
  </si>
  <si>
    <t>Caja Muy bonito, pero me a llegado sin caja y ponía que venía con caja</t>
  </si>
  <si>
    <t>Palo inservible. Palo corto y se desmonta continuamente, no vale la pena comprar este set, hay otro sin palo. Me esperaba la mopa algo más grande y no se escurre bien, deja el suelo bastante húmedo.</t>
  </si>
  <si>
    <t>Un espanto !!! No me ha gustado nada nada !!! Incluso caras para lo que son !!!!! Malísima calidad , acabados y todo... vamos las he devuelto</t>
  </si>
  <si>
    <t>Muy mala calidad El primer día se me desmontó todo,pero bueno al menos como me llegó tarde me hicieron el reembolso y me salió gratis</t>
  </si>
  <si>
    <t>Son falsas Son falsas . No vienen ni en caja .  Fui a la tienda y lo comprobé , era para un regalo y quedé fatal . No pagaría más de 20€ por ellas . Por 20€ más me compraba las originales. Deberían avisar que son una copia .</t>
  </si>
  <si>
    <t>Me las pongo casi todos los días Ya me había probado la talla pero en otro color. Yo las quería color burdeos y menos mal que las encontré en Amazon. Son muy calentitas asi que no aptas para verano. ¡Súper cómodas!</t>
  </si>
  <si>
    <t>Bastante bien Estan bastante bien. Viene con una cuerda de cada color que es del mismo que el pendrive (menos el morado, q no hay cuerda morada). Pero en realidad solo hay 30 gigas.</t>
  </si>
  <si>
    <t>Buen producto La almohadilla está fenomenal, no le pongo 5* porque no se puede desmontar la funda para lavarla. Cubre toda la espalda y los hombros, es muy suave y en invierno da calorcito que viene muy bien.</t>
  </si>
  <si>
    <t>La comodidad Me faltaba practica para las tallas . Es cómodo comprar con vosotros . Graciad</t>
  </si>
  <si>
    <t>Un regalo que cumple Justo como parece</t>
  </si>
  <si>
    <t>Veloz. Una de las mejores memorias usb 3.0, tiene una velocidad de transferencia alta.  El USB se esconde dentro de si mismo.</t>
  </si>
  <si>
    <t>Son una pasada!! Me encantan. Los uso para llamar por teléfono, escuchar música, se pueden usar con tu oareja, cada uno con un pinganillo y escuchar los dos música o una llamada telefónica. Al guardarlos directamente entran en modo carga, por lo que siempre los tienes al 100x100. Duran unas 4 horas de llamada. Y música a un volumen normal unas 6 horas.</t>
  </si>
  <si>
    <t>Muy recomendado La presentación es inmejorable. Los pendientes tienen una calidad bastante buena y vienen tal y como aparecen en las fotos.</t>
  </si>
  <si>
    <t>Cinta doble cara Excelente agarre , ideal para sujetar el césped artificial</t>
  </si>
  <si>
    <t>Perfecto Por ahora es tal y como lo describen en la publucacion, esperemos que siga durando.</t>
  </si>
  <si>
    <t>muy bien, era lo esperado. Muy buena zapatilla, tal como se describe en el anuncio. El único problema es que no he recibido la factura.</t>
  </si>
  <si>
    <t>Excelentes Excelentes como todos los biberones de la marca. Además los colores son muy bonitos y a cordes con la foto</t>
  </si>
  <si>
    <t>Práctica y potente La batidora cumple muy bien su función. El filtro para licuar reduce mucho la capacidad del vaso, por lo que hay que ir haciendo varias tandas.</t>
  </si>
  <si>
    <t>Útil y fácil de usar Tiene la forma de un lápiz y pesa muy poco y de grosor es como una par de bolis.Es un detalle que ya traiga puesta la pila aaa que necesita así que nada más recibirlo pude probarlo. De arriba saque el usb que puse en mi pc, nada más conectar se instaló solo sin necesidad de nada. Tras activar el encendido ya podía usarlo. Los botones principales son para las presentaciones de pp en pantalla muy interesante el botón laser para señalar puntos de cualquier lugar de la sala.</t>
  </si>
  <si>
    <t>Buena compra. Muy contento con laadquisicion, por sus caracteirsticas y por su construccion, me sirve totalmaente para conectar a mi Iphone sin tener que retirar la funda de proteccion. Por lo tanto totalmente recomendable.</t>
  </si>
  <si>
    <t>Robot muy inteligente hace toda mi casa en 1 hora. Muy rapido y raramente queda atrapado. a veces pierde algún tiempo en las esquinas de la casa, pero nada de preocupación! Recomiendo, solo recibió allí un mes, hasta el momento no se encuentran con problemas.</t>
  </si>
  <si>
    <t>Todo correcto!!! Todo correcto, elegi las blancas con la franja negra, son muy bonitas, cómodas y el tallaje es acorde a su talla.</t>
  </si>
  <si>
    <t>A 49€ está genial Muy buen producto.</t>
  </si>
  <si>
    <t>Buen micro a buen precio Me atrevo a decir que a día de hoy es la mejor opción calidad precio, tiene buena calidad, y suena similar a otros mucho más caros. lo recomiendo mucho</t>
  </si>
  <si>
    <t>PERFECTO Son muy cómodas, ligeras, son totalmente lo esperado.</t>
  </si>
  <si>
    <t>Buenas Buenas</t>
  </si>
  <si>
    <t>Genial Muy buena calidad,llego muy rapido</t>
  </si>
  <si>
    <t>Relación calidad/precio Se lo regale a una amiga como broma y la verdad que le ha gustado más que cualquier otro regalo, jajaja.  Viene en una cajita negra muy discreta, dentro el aparato, con su mando, cable de carga y una bolsita de terciopelo para guardarlo.  Tiene 12 modos de vibración, sin pilas,  se carga por un pequeño agujero a un lado. La calidad es buena, no creo que sea el típico que se rompe en unos cuantos usos.</t>
  </si>
  <si>
    <t>Pendientes Demasiado pekes</t>
  </si>
  <si>
    <t>bonitas pero Estan bien. pero por el precio mejor comprar unas de marca en outlet. Las tuve que devolver porque le iban justas.</t>
  </si>
  <si>
    <t>Bien, pero Sujetan bien el pie y el apoyo es correcto, la calidad en general la normal de Nike, pero...las pedí de la misma talla que otras Nike que tengo y estas son algo más estrechas, después de unos días de llevarlas algo se han adaptado pero no acaban de ajustarse. Otra cuestión es que, quizás por el material y la forma, no transpiran demasiado bien, por expresarlo coloquialmente te “cuecen (algo)” los pies. En cuanto a la tramitación del pedido y el envío todo correcto</t>
  </si>
  <si>
    <t>Mala calidad Muy endeble</t>
  </si>
  <si>
    <t>velocidad de grabación es lo peor que he tenido nunca. Una pelicula de 3gb empieza a 22.000 y en 20" es capaz de bajar a 5000kb. Total, que se tira 15 min, y no es coña, en comerse un archivo. En cuanto a lectura, va fenomenal. Pero los usb son para grabrar datos (que luego leerá). Una ruina.</t>
  </si>
  <si>
    <t>Correcto Cumple con las especificaciones del vendedor</t>
  </si>
  <si>
    <t>muy bonito Pensaba que era más grande , pero de todas formas esta muy bien para el precio que tiene de oferta. Muy bonito para hacer un detalle.</t>
  </si>
  <si>
    <t>Calidad Construcción</t>
  </si>
  <si>
    <t>Buen producto y de calidad Estoy satisfecho con la compra de este disco duro, es pequeño y de gran tamaño de almacenamiento lo que lo hace ideal para llevarlo de viaje. Lo volvería a comprar sin duda.</t>
  </si>
  <si>
    <t>1 Llego en buen estado, producto recomendado</t>
  </si>
  <si>
    <t>Micrófono Blue Yeti El micrófono llegó en el tiempo estimado, no tengo queja. En tamaño, es bastante grande, no me esperaba que lo fuera, pero tampoco tengo queja. Por ponerle alguna, diría que coge muchísimo sonido aunque le pongas el "gain" al mínimo, así que tienes que usarlo en un entorno silencioso. Los 4 modos funcionan perfectamente: omni-direccional, uni-direccional, bi-direccional y estéreo, lo que le da muchas utilidades al micrófono más allá de la música como podcast, ASMR etc. La calidad de la grabación es indudable, muy buena. Le añades un par de efectos y parece profesional de estudio. En general, estoy muy contenta.</t>
  </si>
  <si>
    <t>Increible calidad/precio Cumplen su función adecuadamente por un precio más que competitivo. Recomiendo la compra.</t>
  </si>
  <si>
    <t>Funciona Está bien.</t>
  </si>
  <si>
    <t>Contento Contento</t>
  </si>
  <si>
    <t>Buena compra Comodísimas y de estupenda calidad.</t>
  </si>
  <si>
    <t>Calidad-precio No sé puede decir mucho de unos auriculares. Hacen su función, y me parece una muy buena compra calidad-precio</t>
  </si>
  <si>
    <t>Cómodos pero un poquito grande Súper cómodos, pedí la talla 37 y me están un poquito grandes por lo demás bien</t>
  </si>
  <si>
    <t>Calidad-precio estupenda Fenomenal! Siempre me gustaron los biberones Avent por la calidad y comodidad, además con la gama Natural no le dan cólicos a mi bebé. Este pack trae 2 biberones de 330ml con tetina de flujo rápido (6m+).</t>
  </si>
  <si>
    <t>Bonito, elegante y muy funcional Excelente producto para el precio que tiene. Tamaño ideal, yo tengo la muñeca muy fina y no resulta excesivamente grande. A una persona de mayor tamaño de muñeca le quedará también genial. Totalmente recomendable si quieres un reloj funcional y elegante sin gastarte mucho.</t>
  </si>
  <si>
    <t>Sara TOP 🔝🔝 muy cómodas, muchísimo mejor de lo que esperaba, ganan muchísimo más en persona que en la foto. Recomendables menos a todos los habitantes de Baleares porque ya las llevo yo 😹😹</t>
  </si>
  <si>
    <t>Correcto Todo correcto, va bien para una gopro hero 4 silver</t>
  </si>
  <si>
    <t>Leggins! Buenos leggins. De cintura alta, cómodos, valen para el  verano, no se transparenta para nada.</t>
  </si>
  <si>
    <t>todo correcto Funciona correctamente.</t>
  </si>
  <si>
    <t>Muy bueno Muy bueno y muy rápido calentando. Lo utilizo para calentar agua para hacer café en el camión. Recomendable sin dudas.</t>
  </si>
  <si>
    <t>Me gusta mucho!! Si me gusta mucho me voy comprar otro más !!!</t>
  </si>
  <si>
    <t>Muy buena opción Muy buenos y muy prácticos para adaptar la postura del niño. Es muy fácil para los niños con este adaptador</t>
  </si>
  <si>
    <t>Portabilidad y rapidez. Es muy cómodo para utilizar ableton, plug and pay, buen peso y portabilidad. Construcción solida, desde perillas hasta los plásticos.</t>
  </si>
  <si>
    <t>Calidad y coste similares Buen bolso, con una capacidad aceptable y la posibilidad de añadirle gracias al sistema molle los materiales y el acabado muy buenos ambos, recomendable</t>
  </si>
  <si>
    <t>Débiles Me esperaba más siendo imanes de neodimio. Tengo otros imanes de neodimio del mismo tamaño con bastante más fuerza pero también me salieron más caros. Al final los he usado para la nevera que ahí si que son capaces de sujetar unos tickets</t>
  </si>
  <si>
    <t>Va bien pero según lo pongas te lo puedes clavar en el culo Funciona bien lo he dejado funcionando horas y no se rompe, tiene aguante.  Pero si lo usas en viajes largos al final se te clavan los motorcillos... es un poco incomodo si vas a usarlo muchas horas.  Saludos.marc</t>
  </si>
  <si>
    <t>Zuecos ENORMES, ANTI-ESTÉTICOS, LA HORMA ES PEQUEÑA, HAY QUÉ PEDIR UN NÚMERO MÁS DEL QUÉ SEA USA Uso el número 42, y pedí ese número, me quedaban algo pequeños..... y a la vez, parecía Pulgarcito CON LOS ZUECOS DE LAS 7 LEGUAS..... ERAN ENORMES..... LOS DEVOLVÍ</t>
  </si>
  <si>
    <t>Super anchas !!! Una pena esperaba más del producto. Quedaban muy anchas aun siendo mi número muy muy holgado.</t>
  </si>
  <si>
    <t>Muy feos Muy mala calidad</t>
  </si>
  <si>
    <t>manolo lo he comprado para regalarlo. A la persona que iba destinado le ha gustado. espero que le guste lo suficiente como para quedar satisfecha</t>
  </si>
  <si>
    <t>Bien Bastante bien</t>
  </si>
  <si>
    <t>Buen reloj Básico pero muy bonito</t>
  </si>
  <si>
    <t>Conforme pero sin más comentario Tengo una crucial en un nuc. He implementado un desktop con esta. Pensé ver más rapidez y seguramente la tiene. Pero luego que ya conoces un ssd otro ssd no te sorprende mucho. La he elegido por que arranque mejor mi Windows. Obviamente debe tener sus otras ventajas que solo leyendo técnicamente se conoce</t>
  </si>
  <si>
    <t>Compra recomendable Encantada con los biberones de esa marca,el primero lo compró mi hijo en una farmacia para mi nieta y no cambiamos por nada</t>
  </si>
  <si>
    <t>Estupendos para hacer deporte Auriculares muy correctos para el Precio que tienes. La relación calidad/precio es muy buena. Me ha sorprendido que el nivel de graves sea bastante bueno en este tipo de dispositivo. Contento con la compra. Los he emparejado con el móvil sin problema y con el Tomtom runner2, y van perfectamente.</t>
  </si>
  <si>
    <t>Muy buena compra Labcalidad del sonido es buenisima , fue para un regalo a mi hijo y desde que nos llegó no se lo quita. La bateria dura muchisimo es facil de recargar y rapido. Ademas llegaron antes de los previsto. Muy contento con la compra</t>
  </si>
  <si>
    <t>Buen alcance y fácil de usar Lo estoy usando en clase diariamente, los otros que he tenido no me podía alejar mucho del ordenador y con este tengo mucho mas alcance aparte de ser bastante comodo tanto para transportar como para usar. Muy recomendable</t>
  </si>
  <si>
    <t>Muy buena relación calidad-precio. Los pantalones son suaves y prácticos Los ha usado mi hijo para entrenamientos de baloncesto y para estar en casa, porque le eran muy cómodos. Tanto que se ha comprado otros iguales.</t>
  </si>
  <si>
    <t>Resistencia Parecen de calidad. Cómodas y resistentes</t>
  </si>
  <si>
    <t>Muy buen aislamiento, puedo escuchar música en la oficina sin que me moleste nadie :-) Mi oficina es super ruidosa, es la razón por la que buscaba unos buenos auriculares que me permitiesen escuchar música y a la vez aislarme de los ruidos que generan a mi alrededor. Debido a esto, supe desde el principio que necesitaba unos que me tapasen toda la oreja. El principal problema de este tipo de auriculares son que suelen ser incomodos al llevarlos mucho tiempo seguido (por el peso) y que aumentan la temperatura de la oreja. Este modelo no es el mas cómodo que he tenido, pero al estar realizado en materiales plasticos bastante ligeros puedo llevarlos varias horas sin problema (quizas 8 horas seguidas sería demasiado), en lo referente a temperatura no he notado nada raro, pero en mi oficina hay aire acondicionado. Un gran detalle es que la parte que toca con la oreja es de textura suave y comoda.  En lo refente a duración de bateria puedo dar fe de que dura muchas horas (mas con cable que por bluetooth). No podria deciros exactamente cuanto, pero yo he trabajado varios dias sin tener que recargarlos.  En lo referente al bluetooth hay diferentes versiones, siendo la 5.0 la mas reciente y de mayor calidad, para aquellas personas con un ordenador (o reproductor de música) con una version antigua de bluetooth (que les dará una calidad de sonido muy baja), les recomiendo usar directamente un cable. He probado ambos casos (yo tengo bluetooth 5.0 en el pc) y lo que mas me gusta son la calided de los bajos (algo que se nota debido al tamaño de los altavoces).  La hora del almacenaje está a las expectativas de mas alto nivel, pues trae una funda dura en la que guardarlos sin miedo a recibir golpes que los puedan dañar.  De manera general puedo destacar que tienen un gran relacion calidad-precio, aunque obviamente no sería la opcion mas adecuada para audifilos, gamming profesional (usando bluethooth, por lo menos. Con cable yo creo que irían bien). Son unos auriculares adecuados para la mayoría de usuarios.</t>
  </si>
  <si>
    <t>Bueno Muy simple elegante y comodo</t>
  </si>
  <si>
    <t>Ideal Es lo que buscaba. Tamaño tal como indica.</t>
  </si>
  <si>
    <t>le puse un llavero y queda perfecto. De fábrica da 14,8GB e incluye un par de aplicaciones de seguridad en su interior. Aunque el paquete reza USB 2 y 3, la memoria es USB 2. Puedes usarla en un puerto USB 3 también pero la velocidad será idéntica a la de los USB 2. Es el pendrive más pequeño jamas creado. Casi sólo ocupa  el conector en sí, queda perfectamente disimulado lo pongas donde lo pongas, cuando quieres sacarlo cuesta un poquito puesto que no tienes prácticamente por dónde agarrarlo pero le puse un llavero y queda perfecto.</t>
  </si>
  <si>
    <t>Nunca fallan!!! Se sabe que no es un zapato de lo más estiloso, pero los colores han ayudado mucho. Las crocs son muy muy cómodas para cuando te pasas el día de pie, ya sea parado o caminando y luego no me duelen las piernas. Me las empecé comprando yo y ya tiene un par cada miembro de mi familia! Sin duda una buena inversión!</t>
  </si>
  <si>
    <t>Correcto Cumple perfectamente su misión, pena que La Luz no ilumine toda la esfera, solo lo hace en la pantalla digital</t>
  </si>
  <si>
    <t>buen funcionamiento Tarjeta sd que uso para almacenamiento de fotografía, con un funcionamiento normal para este tipo de dispositivos</t>
  </si>
  <si>
    <t>Perfecta Está muy bien terminada y se acopla muy bien, estoy muy contento con ella.</t>
  </si>
  <si>
    <t>Muy contento Buenos zapatos, cómodos, buen material de fabricación y muy bien acabados, es cierto que siguiendo los consejos de los comentarios de otros clientes pedí una talla menos porque dan mucha talla, yo calzo un 43 y pedí un 42, acerté de pleno, ademas son muy cómodos. No había utilizado nunca esta marca y ha sido un gran descubrimiento para mi, ademas los compré en oferta así que no puedo pedir más, volveré a comprar esta marca sin lugar a dudas.</t>
  </si>
  <si>
    <t>Los mejores biberones! Soy fan de Philips Avent! La calidad de los productos es insuperable!Uso  biberones para 2 bebe de diferentes edades y he probado varias marcas más caras pero me quedo con Avent.Mis  niños no han tenido cólicos con estos biberones!los biberones de muy buena calidad,facil de enroscar,las tetinas de silicona y varios tamaños dependiendo de la edad del bebé. Muy recomendable!</t>
  </si>
  <si>
    <t>Un clásico indestructible. Un modelo clásico prácticamente indestructible. No es muy bonito no, aunque tiene su encanto.  Si necesitas un reloj que te acompañe siempre que no necesites "glamour" pero que resista perfectamente cualquier inclemencia, este es para ti.</t>
  </si>
  <si>
    <t>Un 10 en todos los sentidos Pues Russell Hobbs se ha coronado con esta gama de productos, estilo retro, que engloban desde batidoras de mano, de vaso, y de varillas, tostadores, cafeteras, hervidores y un pargo etc. LA variabilidad de esta gama de productos es extensísima, y la calidad, por lo menos de las que he tenido oportunidad de probar, estupenda. En esta ocasión tenemos una batidora de vaso en color rojo intenso, con una palanca que se encuentra en la parte inferior de su base con la que podremos regular la intensidad de la batidora para conseguir una textura más o menos homogénea. El vaso, de cristal y serigrafiados los volúmenes, de un cristal robusto y pesado, se complementa con una tapa de color negro que de coloca de forma hermética para evitar que al batir/triturar los alimentos salpiquen y manchen. Esa misma tapa, tiene una pequeña obertura en la parte central/superior por si requerimos de echar los ingredientes de manera paulatina y nos evita de quitar por completo la tapa por si estuviera manchada, evitar derramar el contenido, y a la vez, hace de medidor.  En definitiva, un producto con un diseño Vintage, muy conseguido y estéticamente muy llamativo, pero que no sólo destaca en los estético, si no que a nivel funcional tiene una potencia más que suficiente, que nos permitirá hacer desde batidos hasta gazpachos, o aquello a lo que abarque tu imaginación. Totalmente recomendable!!</t>
  </si>
  <si>
    <t>Cómoda, muy práctica y buen precio Genial almodilla, se la regalé a mi hermana y quedó fascinada. Temporizador automático, no se clava al dormir encima, y calienta muy bien. Cómoda, muy práctica y buena relación calidad/precio.</t>
  </si>
  <si>
    <t>Zapatillas Maria Mare Corresponde con la talla pedida. Muy bonitas, Buena calidad</t>
  </si>
  <si>
    <t>Mui pequeños Son bonitos, pero para una niña. A mi personalmente tan pequeños no me gustan. No me lo esperaba tan chiquitos. Los voy a regalar.</t>
  </si>
  <si>
    <t>Dan talla Dan talla, si gastas de zapatilla un 39 pide un 38. Siempre un numero menos del que gastes habitualmente. Saludos.</t>
  </si>
  <si>
    <t>La talla Zapatillas que me mandaron parecías usadas. La etiqueta no estaba colgada en ellas como lo normal si no estaba solo dentro en la caja. Y la suela atrás debajo del talón estaba un poco manchada. Que pena que no sabia que se podía mandarles una foto. Las cambie porque me quedaron grandes. Esta marca hay que comprar una talla menos que llevas. Bueno, en mi caso.</t>
  </si>
  <si>
    <t>No son de cuero Mienten pues en la descripcion de laa zapatillas dice que son de CUERO y me han llegado unas de tela. Una estafa.</t>
  </si>
  <si>
    <t>Ligera, ocupa poco espacio y resultados aceptables En primer lugar, indicar que el embalaje del producto al llegar es lo suficientemente bueno para que no llegue dañado a tu domicilio, pero eso sí, recomiendo indicar a la hora de hacer el pedido que el producto es para regalo, como forma de añadir una capa de refuerzo extra en forma de “caja de Amazon” a la caja original del producto, porque si no será totalmente visible para cualquier ver qué has comprado (incluido la mensajería).  La batidora es bonita, con ese acabado vintage minimalista (disponible en tres colores pastel: verde, azul o crema) y relativamente pequeña si la comparamos con otras que hay en el mercado de este tipo. A este hecho, además, se añade su forma de almacenarla, pues permite coger el vaso de la batidora y encajarlo boca abajo en el cuerpo de la batidora, con lo que ocupa la mitad del espacio que ocupa mientras está montada. Una vez encajado el vaso, la tapa se coloca en la parte superior del montaje, girando ¼ de vuelta en lo que es la pieza que colocada de manera normal encajaría en el cuerpo de la batidora.  Su peso también es muy contenido, dado que es pequeña y abunda el plástico como material usado en sus componentes. De hecho, el vaso y la tapa son completamente de plástico. A primera vista parecen de buena calidad y esperemos que con el uso su superficie no se vaya degradando en forma de pequeños arañazos. Es recomendable fregarla con la parte suave de la esponja de cualquier estropajo, porque si se le da con la parte más áspera seguramente arruinarás la superficie del vaso.  A la hora de usarla, encajar el vaso no requiere más que alinear dos pequeñas pestañas en otras dos muescas similares del cuerpo de la batidora y girarlo mínimamente en sentido horario. El principal problema viene con la tapa de la parte superior. En las instrucciones del producto (desde mi punto de vista erróneas) se indica que hay que colocar la tapa y hacer un pequeño giro para cerrarla: es falso. Colocarla requiere un pequeño aprendizaje y probar en modo ensayo-error. Tras probarla varias veces creo que la mejor manera de cerrar la tapa es encajarla un poco por la parte del vaso en la que verterías el batido, y luego encajar el lado opuesto un poco, e ir apretando poco a poco cada lado hasta que encaje. La tapa lleva una pestaña que encaja en el asa del vaso con un “click” cuando está perfectamente colocada. Esta pestaña es del mismo plástico que la tapa, y en un color similar al del cuerpo de la batidora. Creo que esta pestaña debería haber sido metálica para asegurar una mayor durabilidad. De momento no he tenido ningún problema, pero es quizás la parte de la batidora de la que más reservas tengo con respecto a su durabilidad.  Una vez acabado el batido, retirar la tapa requiere también mucho cuidado para que no te salga disparada. Mi consejo es retirar la tapa cuando aún está montado el vaso en el cuerpo de la batidora, para tener un mayor control sobre todo el conjunto (ayuda a mantener la estabilidad las cuatro pequeñas ventosas que tiene la base de la batidora. Para retirar la tapa hay que mover una pequeña pieza deslizable y luego con cuidado ir desencajando la tapa de la parte superior del vaso. Lo dicho: mucho cuidado con este paso.  El funcionamiento de la batidora es muy sencillo. Además de una posición de “pulsos” al girar el dial hacia la izquierda y que funciona a modo de turbo mientras mantienes girado el dial (al soltarlo vuelve a la posición 0), su uso normal se resume a usar sus dos velocidades distintas, que usarás dependiendo del producto que estés batiendo. En mi casa, solemos comenzar en la velocidad 1 y pasamos rápidamente a la velocidad 2. El resultado del batido es justo. Viniendo de usar un robot de cocina que cuesta más de 10 veces el precio de esta batidora no te puedes quejar de los resultados, pero no van a ser tan finos como con robots de cocina. No puedo dar opinión en cuanto a purés porque no hemos probado. Manteniendo el giro en algo menos de un minuto sobre fresas, plátano, manzana, sobre una base de yogur líquido o leche, es bastante probable encontrar algún trozo de fruta sin batir. Seguro que si aumentas el tiempo de batido este efecto se reduce, pero no sé por qué me da la sensación que no es una batidora para tenerla funcionando muchos minutos.  El nivel de ruido es aceptable para ser una batidora, aunque no es silenciosa.  Las cuchillas van unidas al vaso, por lo que no se pueden desmontar de él. Supongo que sí es posible, si en algún momento se desgastan cambiarlas, quitando la tuerca que hay por la parte trasera, pero no sé si esa tarea se puede hacer por sí mismo (no sé si venden el repuesto de cuchillas suelto) o es necesario cambiar el vaso entero o que las cambien en el servicio técnico.  La limpieza del vaso, cuchillas y tapa es muy sencilla. Aunque indica que se puede meter al lavavajillas todavía no ha sido necesario. Simplemente con enjuagar el vaso y tapa con agua se va prácticamente la totalidad de los restos, por lo que luego es bastante sencillo y rápido acabar de limpiarlo con una esponja y jabón de vajilla. Sí es cierto que, dependiendo del producto que hayas batido, puede quedar algún resto en la zona del vaso por debajo de las cuchillas y requerir algo más de pericia para quitarlo (ha ocurrido con restos de arándanos), pero al final sale.  La facilidad de limpieza dependerá del uso y producto que tritures con este pequeño electrodoméstico, pero me atrevería a decir que en cualquier caso va a ser sencillo. Lo que recomiendo es que, en caso de utilizarlo con productos ácidos (tomate, naranja, etc.) se limpie rápidamente el vaso, porque puede que el plástico del que está hecho pudiera coger algún tono u olor. Pero tengo que decir que esto son suposiciones propias no basadas en mi experiencia.  En general, y por el precio del producto, es una batidora bonita, que ocupa poco espacio y que te permite hacer de forma rápida batidos deliciosos (es el uso que la damos en casa), sin tener que pensar luego por tediosos procesos de limpieza. Es un producto que recomiendo.</t>
  </si>
  <si>
    <t>Buena batidora Es muy completa,funcionan bien sus accesoriios, responde bien a las velocidades cuando se usa, y no salpica al usarla con potencia..</t>
  </si>
  <si>
    <t>Buena relación calidad-precio Elegí el producto porque me pareció muy bien de precio y los comentarios eran buenos en general. Es cierto que necesita alimentación phantom, pero mi tarjeta de sonido la tiene y funciona perfectamente!! Buena elección!</t>
  </si>
  <si>
    <t>Buen producto Cuando la estas utilizando huele un poco a quemado</t>
  </si>
  <si>
    <t>Biberón de cristal siempre mucho mejor que los plásticos Hemos usado biberón de cristal desde el principio, son mucho más higiénicos que cualquier plástico. Lo malo es que hay que tener mas cuidado porque se pueden romper al caerse. Recomiendo el de Nuk, al menos evita mucho los cólicos al permitir entrar el aire por un orificio en un lateral. Muy satisfecho</t>
  </si>
  <si>
    <t>SIGNO ZODIACAL Muy bonito</t>
  </si>
  <si>
    <t>Una belleza total Estoy más que feliz con esta batidora. Soy muy fan de todo lo bonito, y este aparato antes que cualquier otra cosa es PRECIOSO, así, con mayúsculas. Su diseño retro no podía resultar más acertado para un producto como este, de manera que en ese sentido me ha ganado por completo.  Luego está la funcionalidad. Sus 800 vatios nos permiten triturarlo todo, incluso hielo, sin problema alguno. Existen batidoras de vaso con una potencia superior pero, honestamente, no veo la necesidad por ningún sitio. Con 800 vatios tenemos de sobra para conseguir batidos de frutas, salsas, gazpachos, sopas frías o lo que se nos ocurra en un momento, totalmente homogéneos, y sin tener que estar sosteniendo el aparato o manteniendo el botón apretado como ocurre con las batidoras de mano.  Por otro lado,  la limpieza es muy sencilla. Lo que es la base, simplemente necesita que se le pase un paño húmedo y queda perfecta. Y la jarra es cuestión de separarla de la unidad de las cuchillas (algo que me ha encantado porque en otra batidora de vaso que tuve tiempo atrás, esto no se podía hacer) y lavar cada pieza por su lado sin que quede ningún residuo que no podamos ver. En el libro de instrucciones, además, van especificadas las partes que se pueden poner en el lavavajillas.  Otra cosa que me tiene enamorada aunque sólo sea por estética, es la palanquita del control de velocidad y su indicador de aguja que muestra la velocidad de las cuchillas en revoluciones por minuto. La verdad es que todo lo que puedo decir de este aparato son cosas buenas. Quizá lo único que habría que tener en cuenta a la hora de decidir su adquisición es que tiene unas dimensiones bastante generosas, que es pesado (la jarra es de cristal grueso con una capacidad de 1,5 l.) y si no necesitamos una batidora tan grande, a lo mejor ésta puede resultarnos algo engorrosa de manejar. Pero eso, a mi juicio, es lo único que podría representar un aspecto negativo porque por el resto considero que es un producto maravilloso. Recomiendo una y mil veces su compra.</t>
  </si>
  <si>
    <t>Buen producto Llegó a tiempo y en buenas condiciones, buena calidad, resistente despues de plegarlo</t>
  </si>
  <si>
    <t>Las uso exclusívamente para foto Sinceramente no necesitaba esa velocidad de escritura, pero por el precio prefería invertir, en el futuro no se concerteza si no haré algo de vídeo, o timelapses, o ráfagas.  A mí me va excelente en la FUJI XT2, no las he probado en cámaras con más megapíxeles tipo sony A7R ...  Nunca me han fallado.  Asique, 5 estrellas.</t>
  </si>
  <si>
    <t>Comodidad Super comodo y elastico 100% cecomendable</t>
  </si>
  <si>
    <t>Bueno Muy buena calidad</t>
  </si>
  <si>
    <t>Precioso!!! El collar es precioso, delicado, elegante, tiene un osito pequeño en en cierre :) El colgante es muy bonito, destaca mucho, es de cristal con bordes de plata. Me encanta y lleva la bolsita de Tous y el certificado de garantía. Muy contenta estoy :)</t>
  </si>
  <si>
    <t>Una opinión sincera, muy recomendable a este precio Compre al precio de € 4.43 cada una, no puede pedir más a este precio, además con el adaptador SD suministrado y una marca importante como Kingston. Los usé en una cámara de acción Xiaomi y son perfectos. La velocidad es proporcional a la clase del producto (HC I - Clase 10). Registra fotos y películas sin ralentizar ni disparar. Recomiendo esta tarjeta, a este precio no hay nada mejor. Lo siento si no escribo muy bien en español pero soy italiana.  Esta revisión es solo el resultado de la experiencia personal, ya que personalmente he entrenado estas tarjetas y nadie las ha enviado de forma gratuita para escribir una opinión positiva (es una compra verificada). Por lo tanto, si de alguna manera lo he ayudado en la compra, indique esta revisión como útil haciendo clic en el botón.</t>
  </si>
  <si>
    <t>Buena presentacion Me encantan!! Calidad precio buenisima</t>
  </si>
  <si>
    <t>Muy recomendable Para los dias de frio es la mejor solucion, te calienta las manos , la cama y es buenisimo para  cualquier dolorcillo.El precio y la calidad son estupendos.</t>
  </si>
  <si>
    <t>Gran velocidad Tal como describe el vendedor la velocidad es excelente que es lo principal y va perfectamente en mi Xiaomi mi8 por lo que estoy muy contento.</t>
  </si>
  <si>
    <t>Bien Cumple su función. Calidad precio buena. Sonido bueno. Lo recomiendo</t>
  </si>
  <si>
    <t>Contenta con el pruducto Tiene mucha capacidad de espacio y no es la primera que compro ya compre más y están muy bien</t>
  </si>
  <si>
    <t>Calidad-precio Indispensable para mis trabajos en goma eva para darle un acabado perfecto, me llego antes de lo previsto y pude terminar los trabajos y entregarlos antes de lo que esperaba</t>
  </si>
  <si>
    <t>Perfecta Perfecta</t>
  </si>
  <si>
    <t>Correcto Cómo se describe,satisfecho</t>
  </si>
  <si>
    <t>Perfecto!!! Muy rápido el envío y en perfectas condiciones,  cumple con su cometido y le da una calidad superior al audio, 1,5mm es más que suficiente para un salón "normalito", con el 2,5mm te arriesgas a que no te entre bien en los conectores... hablo para un Logitech z906.</t>
  </si>
  <si>
    <t>Un clásico. Ya tuve un reloj de este tipo con la esfera negra en mis años mozos y tenía el capricho de volver a tener uno. Es perfecto para mujer y muy ligero. El tamaño de la correa se puede ajustar fácilmente. El color de la esfera y la combinacion con el plateado de la correa a mi me gusta mucho. Lo volvería a comprar</t>
  </si>
  <si>
    <t>En conversación no se me oía Muy cómodos y mucha duración de batería pero en mi caso no me oían en las llamadas.  No se si será fallo del mio. Pero me lo devolvieron rápidamente y sin problema. Muy contenta con el servicio recibido.</t>
  </si>
  <si>
    <t>Pequeña de talla El tallaré es muy pequeño para que lo tengan en cuenta, zapato normal del 37 , coged un 39. Por lo demás la zapatilla es muy chula</t>
  </si>
  <si>
    <t>Muy pequeños Son muy pequeñitos, al ponertelos parecen un lunar</t>
  </si>
  <si>
    <t>Se rompen con dos meses, sin grandes exigencias. Zapatillas muy chulas.... pero en dos meses están rotas, trabajo como conductor profesional o sea que no han sufrido mucho. No volveré a comprar esta marca porque son de pésima calidad.</t>
  </si>
  <si>
    <t>muy pequeños son pequeños</t>
  </si>
  <si>
    <t>Bonita kettle La kettle muy bonita y funciona de lujo, lo malo es que tardo un par de dias mas de lo que debia, ya que era premium.</t>
  </si>
  <si>
    <t>David Su relación calidad precio, es óptima . Buena ajustabilidad, aísla de la humedad y la suela se comporta noblemente en superficies deslizantes. Su durabilidad seguramente, será corta. Ya que tienen que soportar condiciones muy extremas,( humedad permanente, movimiento continuado y exigente, y salitre), pero dada mi experiencia con este tipo de calzado, su comodidad y fiabilidad esta por encima de la durabilidad. Y su precio compensa que no tenga una vida muy prolongada .</t>
  </si>
  <si>
    <t>Muito bom Relógio muito bom.</t>
  </si>
  <si>
    <t>Bonitas Me encantan,el único pero que son un poco estrechas en la puntera por el resto genial,como referencia decir que tengo el pie fino.</t>
  </si>
  <si>
    <t>Muy recomendable Desde que lo recibí no he tenido problemas a nivel ruidos. La capacidad es un poco inferior como en todos los dispositivos de almacenaje, pero una calidad muy buena. Y en mi opinión, otro punto a su favor es el precio. Lo recomiendo.</t>
  </si>
  <si>
    <t>Efecto lifting Este masajeador ayuda a que mis cremas penetren, relaja mi musculatura y me alivia el dolor de cabeza. Lo pongo en el frigorifico antes de usarlo.</t>
  </si>
  <si>
    <t>Entrega rápida (antes de lo esperado) y producto correcto El producto recibido se corresponde con la imagen mostrada. El tamaño fue el esperado según la talla (ni grande ni pequeño). La entrega fue rápida... llegando antes de lo esperado.</t>
  </si>
  <si>
    <t>Me ha encantado y no a mi solo....jeje Es muy chula.....para estar en forma claro....calidad exelente ...compre la talla l que es la que uso en otras prendas y perfecta....cómoda...seca rapidísimo...no he detenido una de mejor calidad que está.....si tienes cuerpo para ponertela no te arrepentiras.....esta guapa de verdad...</t>
  </si>
  <si>
    <t>Oscar Es mejor de lo que esperaba me quedé sorprendido mucho más espacio la calidad precio producto merece la pena lo recomiendo</t>
  </si>
  <si>
    <t>Es todo tal cual lo compré Me quedan bien, son de buena calidad y de mi gusto aun precio bastante bueno para ser compradas en España. (las he visto luego en Gibraltar más económicas pero bueno...) la caja es original, vienen perfectamente envueltos individualmente con el relleno en la puntera. Buena compra.</t>
  </si>
  <si>
    <t>Eco friendly 100%. 3 unidades muy útiles. Genial! Vienen 3; 2 de ellas con el tamaño perfecto para poner dentro de un calzado para ventilarlo y otro para la habitación. Me gusta todo lo natural y me parece genial este invento para limpiar el aire a base de carbón de bambú. Incluso el material exterior es natural. Se “recarga” con la luz solar y dice de tirarlo en el jardín cuando haya terminado su vida útil: eco friendly 100%!</t>
  </si>
  <si>
    <t>Perfecto auricular infantil. Llegaron perfectos. Son muy bonitos. Tacto agradable. Son muy ligeros y cómodos. Tal como anuncian. Se ven resistentes frente a la ligereza que tienen. Se ajustan muy bien. Los colores son atractivos para los niños.</t>
  </si>
  <si>
    <t>Bueno Rapido, todo perfecto</t>
  </si>
  <si>
    <t>Camiseta para gimnasio Camiseta para llevar al hacer deporte. Queda bien ajustada al cuerpo, es flexible y transpirable. Se puede meter en la lavadora. Mirar la tabla con las medidas para saber que talla pedir.</t>
  </si>
  <si>
    <t>Muy silencioso Por el precio que tiene, está muy bien. Es fácil de usar y tiene 7 colores cada uno en modo brillante y tenue. Compré otro humidificador muy similar, con las luces más potentes, pero hacía ruido de burbujas de agua. Este no hace ningún ruido, me parece una buena compra. Eso sí, a ver cuánto dura, yo lo tengo una semana.</t>
  </si>
  <si>
    <t>Album blanco 22,5x22,5 Me ha encantado el album. Tiene 50 hojas con capacidad para 200 fotos 10x15 para insertar en los plásticos. Al final dell todo, una bolsita para meter un CD. Como algo negativo quizás (aunque no me ha importado) es que las tapas no son muy rigidas y las hojas interiores de las fundas son algo blandas también.</t>
  </si>
  <si>
    <t>Una calidad genial, como todos los productos de la marca Yo soy una amante de los tés y las infusiones, así que este producto me parece una maravilla.Y tengo que reconocer que soy todo lo imparcial que puedo, pero es que me encantan los productos de esta marca, así que me cuesta un poco porque soy bastante fan.  En la caja del producto venía lo siguiente:  - Hervidor eléctrico - Base con cable de alimentación - Manual de usuario - Tarjeta de garantía  Este hervidor o tetera eléctrica, está fabricado en acero inoxidable con asa termoaislante. La verdad es que estéticamente tiene un diseño sencillo y discreto, pero a la vez elegante, es en color negro con detalles en negro.  Tiene una capacidad más que digna de 1,7 litros, con una potencia de 2400 vatios.Tiene unas medidas aproximadas de 23,2x21,6x17,8 centímetros, es algo más pequeño que el que yo tenía y que tiene la misma capacidad de agua.  El botón de encendido está justo bajo el mango y es una pequeña palanquita con un indicador rojo cuando está en funcionamiento.  Su uso es muy simple: conectamos la base a la toma de corriente, llenamos la tetera de agua hasta la cantidad que necesitemos (siempre mirando de no sobrepasar la línea de "máximo", que es la de 1,7 litros), la colocamos sobre la base y presionamos el botón de encendido para que empiece a calentar. Me encanta el detalle de no tener que estar pendiente de la tetera, porque una vez el agua está caliente ya se apaga sola.  Un punto positivo es que podemos calentar agua para una sola taza, y de hecho también tiene un medidor para calentar agua para dos y tres tazas (es un medidor pequeño rojo que se encuentra en el interior). El agua para una sola taza la calienta en menos de un minuto. Además, tiene también el punto positivo de que el filtro que lleva en la boquilla es extraíble y lavable.  Me ha encantado la verdad, aunque es cierto que quizás es un poco cara para lo que es, pero la verdad es que todo lo que tengo de esta marca tiene una calidad fantástica, y al final la calidad y un bonito diseño se pagan.</t>
  </si>
  <si>
    <t>Me gusta mucho Es lo esperado, el clásico reloj de CASIO.  Muy bonito y funciona de maravilla, de momento me he bañado con él y sin problemas. Espero que como dicen algunos aguante baños en piscina porque lo quiero para usar a diario sin quitármelo. La única pega que le veo es el tamaño que es un poco pequeño, más del estilo de los relojes de mujer, pero es como lo que se llevaba en aquellos tiempos</t>
  </si>
  <si>
    <t>Buena calidad Buena calidad y muy práctico, perfecto para cocinar rápido y sin esfuerzo</t>
  </si>
  <si>
    <t>Justo como imaginé Todo ok</t>
  </si>
  <si>
    <t>Buena relación calidad-precio Es más pequeño y ligero de lo que pensaba. Lo he examinado con un programa y su capacidad es de un Tera, como lo había comprado, y su estado de uso es bueno. El precio creo que es muy bueno y mi hijo ha quedado satisfecho con la compra</t>
  </si>
  <si>
    <t>Muy buen pegamento Pegamento de alta calidad. Y el envase es sin duda el mejor del mercado. Nunca se va a obstruir al ser grande el orificio. La brocha es lo.mejor. Un producto de 10.</t>
  </si>
  <si>
    <t>Muy cómodos. No se sueltan. Sonido potente. Los he comprado, después de haber probado otros dos modelos, para jugar al tenis. Mientras los otros se caían todo el rato, estos no lo hacen. IMPORTANTE: si ajustas el pequeño enganche que une ambos cables justo por debajo de tu cara, conseguirás así una sujeción más firme ante movimientos bruscos de la cabeza. El sonido, como ya leí en otros comentarios, es tirando a grave, pero suenan muy bien. Lo que he hecho es comprar una app de equalizador de 10 pistas con ajuste de graves y agudos y muchas más cosas (Poweramp), por 4 euros más, pero vale la pena, aunque los hay gratuitos también, ya que insisto en que el sonido es grave y si los vas a usar todo el rato y no sólo para hacer deporte un rato, puede resultar un poco molesto. La ubicación de los botones en el auricular derecho es intuitivo, sencillo de usar y conecta muy fácil y rápidamente al bluetooth. Trae unas almohadillas de esponja, que aunque en un principio pensé que serían más cómodas, al final he dejado las esponjillas de goma que traen por defecto los auriculares. Hace unos meses compré unos Sennheiser CX 3.0 (de cable) y la verdad es que estos auriculares MPOW les dan mil vueltas y a un par de euros menos. Recomiendo su compra al 100%.</t>
  </si>
  <si>
    <t>Malas Calidad baja, se “ven” curtres, delgadas... plasticosas</t>
  </si>
  <si>
    <t>Corrwcta Correcta teniendo en cuenta el precio tampoco no se puede esperar mucho más. Compré una pequeña y ya no funciona después de una semana. La grande funciona bien, calienta suficientemente y de manera homogénea.</t>
  </si>
  <si>
    <t>no es tan optimo tienes que marcar bastante para que se vea y cuando lo haces a los 2 o 3 lavados se queda una mancha que no es legible el nombre. y si lo marcas poco no duran tantos lavados como dice.</t>
  </si>
  <si>
    <t>LO COMPRE COMO 5 ESTRELLA RELACION DE CALIDAD NO ES LA CALIDAD QUE YO DESEA TENIA DE ESTE PRODCTO , LA AROMA ES MUY BAJA Y LA PONTECIA DE MEZCLA TAMBIEN MUY BAJA</t>
  </si>
  <si>
    <t>Mala Calidad Se rompió tras utilizarse por 1 mes apenas. Mala calidad</t>
  </si>
  <si>
    <t>Bolso No me ha gustado nada es como para niña</t>
  </si>
  <si>
    <t>Regalo Era un regalo que me habían pedido y le gusto mucho. El color es como el de la foto y su tacto es agradable. Buena capacidad</t>
  </si>
  <si>
    <t>Coger una talla o talla y media más Tallan muy Justo, he cogido un número más y aún así son justitas. Para mí una talla y media más habría sido lo ideal.</t>
  </si>
  <si>
    <t>Buen diseño Reloj muy bonito , la única pega es que los números al ser pantalla negra no se aprecian mucho , por lo demás perfecto</t>
  </si>
  <si>
    <t>Buen exprimidor. Este es un buen exprimidor y muy potente. Sólo le encuentro un fallo y es que necesita un sistema de sujección para que no salga pitando cuando trabaja.</t>
  </si>
  <si>
    <t>Bonita y buena calidad La correa es un poco justa para una muñeca ancha.Viene con varios tramos para poder acortar y el cierre se ve seguro y cómodo en acabado acero. Los pasadores son muy justos ,por eso le pongo las cuatro estrellas .si es verdad que trae de repuesto y la presentación es buena,pero ojo si tienes una muñeca de 21 (que es la mía)por que no sobra nada</t>
  </si>
  <si>
    <t>Calidad precio bien Bonitos,  y cómodos,  pesan un poco pero están muy bien</t>
  </si>
  <si>
    <t>Buen servicio y rápido Diseño muy bonito muy práctico y calienta el agua super rápido el envío todo muy bien</t>
  </si>
  <si>
    <t>Comodas Quedan muy bien y son muy comodas</t>
  </si>
  <si>
    <t>Mejor de lo Q esperaba x el precio tan asequible Yo lo he comprado xa mi sobrino y creo Q Le va a encantar. Funcionar muy bien y fácil es muy intuitivo y muy divertido. A ver Q tal me sale el regalo jijijiji</t>
  </si>
  <si>
    <t>Cómoda y caliente, yo la uso para vestir incluso Cómoda y caliente, yo la uso para vestir incluso</t>
  </si>
  <si>
    <t>la hora El conjunto de opciones</t>
  </si>
  <si>
    <t>Geniales! Geniales, super elasticos, calentitos y cómodos. Dan la talla exacta. Los recomiendo 100%. Volveré a comprar ropa de eata marca seguro.</t>
  </si>
  <si>
    <t>Acierto absoluto con su compra Uno de los mejores relojes que tengo en mi colección por su increíble relación calidad-precio. Recomiendo su compra para quien se lo esté pensando.</t>
  </si>
  <si>
    <t>Muy buena calidad a un buen precio Increíbles, el sonido es totalmente plano y nítido, lo compre para usar-lo con un Fiio m3k y la pareja que hacen es una maravilla. Incluye una funda muy elegante en negro, aunque quizá un pelin justa para el tamaño de los auriculares, los cables que incluye son de muy buena calidad y el sistema de conexión con los auriculares es super efectivo para que no se desconecten al dar un tirón sin querer. Muy recomendados.</t>
  </si>
  <si>
    <t>Hermoso anillo Compre dos como este uno para mi hija y otro para mi nuera las dos contentisimas recomiendo la compra de tan bonito anillo</t>
  </si>
  <si>
    <t>Mejora al tenerlo delante Sinceramente mejora bastante al tenerlo delante. Esfera adecuada y diseño elegante. Muy buena relación calidad-precio. Correa de buena calidad y resistente al agua, comprobado.</t>
  </si>
  <si>
    <t>Estupendo Reloj Es justo lo que necesitaba, un reloj robusto que me diese seguridad de poder hacer cuakquier actividad fisica sin tener la preocupacion de que el reloj se rompiese, como me pasaba con otros. Es cierto que el led de la luz no alumbra el panel degital pero las agujas se ven perfectamente.</t>
  </si>
  <si>
    <t>Victoria Todo correcto. Los utilizo para jugar al padel y no se mueven como los de otras marcas. Repetiré la próxima.</t>
  </si>
  <si>
    <t>Un éxito Lo usé para el candy bar del bautizo de mi hijo y no quedó ni uno. Los llené con anisitos blancos y los puse en una caja de madera decorada. Quedó muy bonito.</t>
  </si>
  <si>
    <t>Relación calidad precio Ideal para hacer un bonito regalo. Es muy elegante y posee mucho brillo la piedra que trae</t>
  </si>
  <si>
    <t>alfombrilla ratón Me parece que esta muy bien no se la duración la calidad buena para mi gusto un poco fina</t>
  </si>
  <si>
    <t>Ideal Ideales</t>
  </si>
  <si>
    <t>Batidora con accesorios y cuencos. Batidora de mano que viene con cuencos , muy cómoda para hacer la masa del bizcocho o para batir huevos o hacer zumos para los hijos.</t>
  </si>
  <si>
    <t>Zapatillas El producto tiene buena pinta, me probé una pero la talla viene muy justa por lo tanto he optado por comprar otro par y hacer la devolución, recomiendo pedir un número más del que utilizas</t>
  </si>
  <si>
    <t>Pequeño La foto no induce a pensar que sea tan pequeño.</t>
  </si>
  <si>
    <t>Rodemaca@gmail.com Es un regalo para alguien que creo le dará mucha utilidad por su afición a cantar. La opinión deberá darla esa persona cuando tenga la oportunidad de probarlo.</t>
  </si>
  <si>
    <t>Elegante ,fuerte y de calidad Buen reloj se elegante y fuerte de calidad le doy 3 estrellas por que la garantia no esta sellada</t>
  </si>
  <si>
    <t>Material Barato Aunque me cumple con lo que yo necesitaba, el material es de poca calidad y la calculadora no funciona.</t>
  </si>
  <si>
    <t>Mala calidad por ese precio Gran decepción cuando las recibí. Vienen en una bolsa de plástico con letras chinas, nada de caja. Cuando las tuve en la mano son plástico y huelen a ello... nada de piel. En la union de la bota con la suela se veía el pegamento, estoy convencida de q se me hubieran despegado a la semana y la cremallera se enganchaba. Muy mal... las he devuelto, ni me las probé. Diseño bueno, calidad pésima.</t>
  </si>
  <si>
    <t>OK El metal es un poco oscuro. pero son cómodos.</t>
  </si>
  <si>
    <t>cumple con el requerimiento Funcionamiento cumple su cometido. En alguna ocasión le cuesta un poco conectar pero muy práctico para incorporar wifi a la cámara</t>
  </si>
  <si>
    <t>Me gusta Es cómoda, ligera y cumple expectativas. El interruptor con cable largo está muy bien para tenerlo en la cama. Que sea desenfudable y que la funda se pueda lavar la hace más cómoda.</t>
  </si>
  <si>
    <t>Pantall Lo uso para micrófono de intercominicador de moto</t>
  </si>
  <si>
    <t>Me gusto Me gusta, queda como en la imagen, tiene una protección en la cremallera para no clavartelo ni que te haga ninguna rozadura</t>
  </si>
  <si>
    <t>Lo recomiendo Ha llegado antes de tiempo, queda muy bien y se ajusta a las tallas.</t>
  </si>
  <si>
    <t>Fantastico Me gusta que pesa poco. no mete ruido y cuando se acaba el agua se apaga solo yo lo tengo toda la noche  y va fenomenal</t>
  </si>
  <si>
    <t>Todo correcto Es la primera vez que utilizamos en casa un aparato de estas características. Y me ha sorprendido gratamente. Tarda muy poco en hervir el agua. Un diez</t>
  </si>
  <si>
    <t>Sujetador deporte Anita No es la primera vez que compro Anita. La mejor marca de sujetador par pecho grande. El deportivo es muy cómodo para hacer deportes, dormir, llevar por casa.</t>
  </si>
  <si>
    <t>Magnifica relacion-calidad precio Viniendo de unos auriculares in-ear , el usar unos de diadema cerrados tiene un cierto proceso de adaptacion , una vez pasados unos dias de uso empiezas a preguntarte porque no los compraste antes. El sonido que dan es de muy buena calidad , con buenos graves y nitido , la espuma es muy comoda y no produce demasiada fatiga al cabo de unas 2 horas de uso , el embalaje es muy correcto , con 3 cables de diversas longitudes y una bolsa de transporte en piel . Una compra totalmente recomendable</t>
  </si>
  <si>
    <t>Buena calidad y precio Muy bonita lo compre para mi nieta de5 años</t>
  </si>
  <si>
    <t>Perfecto Solo quiere este biberon, y al ser de Cristal es genial.</t>
  </si>
  <si>
    <t>Muy buena sudadera a gran precio Muy buena sudadera, se aprecia bien acabado y gran calidad, además de llevar una capa por dentro que abriga. El tallaje en mi caso perfecto mido 1.76 y peso 77 kg y la talla M me viene perfecta.</t>
  </si>
  <si>
    <t>Acabados, precio y confortable Chaqueta muy calentita, con pelo por la parte de pecho y espalda. Es bonita y bien acabada y no se aprecia que sea de baja calidad, me ha gustado mucho y eso que soy exigente con la ropa. Respecto a las tallas, mido 1,82 y peso 85kg, complexión fuerte y sin barriga, suelo usar una L y aquí una 3XL me queda perfecta, un pelin olgadita ideal para ir en bici sin llegar a estirar de mangas y sin verse demasiado grande.</t>
  </si>
  <si>
    <t>buen ajuste y buena compresion buena terminación, con buena presión en las zonas de empeine y tobillo para ayudar a descansar el pie y favorecer la circulación sanguínea.  Con buen diseño.  Eso si son finos y para algunos deportes como el pádel, dan un agarre limitado dentro de la zapatilla.</t>
  </si>
  <si>
    <t>Siscutr Muy buen reloj por el precio y bonito, muy contento con el reloj, envío rápido esperando que dure tanto como el otro que tengo</t>
  </si>
  <si>
    <t>Me gusta mucho. Mi hija esta encantada con el libro. Y ami me parece muy interesante.</t>
  </si>
  <si>
    <t>Bueno Buen producto</t>
  </si>
  <si>
    <t>Todo muy bien El diseño es muy bonito. Práctico y a mis hijos les encanta para hacerse el Colacao de cada día.</t>
  </si>
  <si>
    <t>Fantastico! El reloj viene perfectamente envuelto y protegido, con la caja original, garantia, etc... Es tal como se muestra en las fotos! Quizas incluso mejor. Es el segundo reloj de la marca G-Shock que compro a través de Amazon y he quedado encantada.</t>
  </si>
  <si>
    <t>No falla Exactamente lo que promete. El reloj más práctico y con garantías del mercado. Llegó a tiempo y viene con la pila puesta. Me compré un Casio porque quería un Casio y es un Casio lo que recibí y lo que tengo desde entonces.</t>
  </si>
  <si>
    <t>Me encanta. Queda perfecto y muy cómodo.me encantame</t>
  </si>
  <si>
    <t>UN GRAN PRODUCTO A MUY BUEN PRECIO. ESTUPENDA CALIDAD, LA PRASTIFICACIÓN QUEDA BRILLANTE Y DURADERA. AUNQUE PUEDE DEPENDER DE QUE TIPO DE PLASTIFICADORA SE USE, NO TODAS TRABAJAN IGUAL DE BIEN.</t>
  </si>
  <si>
    <t>Tamaño perfecro Las he usado para tazos y metal gliders y van muy bien, no se salen y son de buena calidad</t>
  </si>
  <si>
    <t>No satisfechos Finalmente hemos tenido que comprar otro porque con la ropa  de invierno y al dormir se cambiaba la hora con facilidad, los botones son demasiado sensibles al contacto o movimiento de muñecas y/o ropa.</t>
  </si>
  <si>
    <t>María José Bueno... No está mal, lo esperaba distinto, más como en la foto, el metal es más feucho. Pero calidad precio... No está mal!!!</t>
  </si>
  <si>
    <t>Correcto Bien</t>
  </si>
  <si>
    <t>MALA SUERTE?? COMPRÉ UNO Y SALIÓ MAL Y AHORA ESTE TAMBIÉN O ESO PARECE ESTOY INDIGNADO</t>
  </si>
  <si>
    <t>mala calidad*** muy mala calidad, tuve que cambiar los cartuchos estando por la mitad.</t>
  </si>
  <si>
    <t>rápido de buena capacidad a buen precio por el precio que tiene va muy bien. es bastante rápida y muy discreta. el único problema es que seguramente el sistema para utilizar un conector o el otro termine fallando por que es muy tiene pinta de ser muy endeble.</t>
  </si>
  <si>
    <t>Botines con cuña Perfectos!!! Comodidad  y estilo unidos jajaja</t>
  </si>
  <si>
    <t>Diseño Me ha gustado el diseño que me parece estiloso. Muy fácil de conectar. Sonido muy bueno.</t>
  </si>
  <si>
    <t>Versión elegante y atrevida el DW-5600 Una bonita versión del conocido DW-5600, a la vez más elegante y atrevida que el modelo original.  La caja de presentación, de metal, es sencilla y en línea con el espíritu deportivo del reloj. El manual, en varios idiomas,  es muy justo y escueto,  pero cumple.  Finalmente la construcción del reloj es correcta, pero los bordes que rodean las botoneras están terminados em filo, y en cao de llevar la correa muy apretada puede causar alguna herida en la muñeca.  El conjunto es resultón, pero todo y haberlo comprado de oferta por algo menos de 70€ , me sigue pareciendo un precio alto por este tipo de reloj. Todo y así es un artículo que bien merece la pena tener como pieza clásica, que aparece tanto en películas (speed, el sargento de hierro, etc) como en fotografías de misiones espaciales de la NASA.</t>
  </si>
  <si>
    <t>Biberon cristal Es muy limpio i va bien por los gases</t>
  </si>
  <si>
    <t>Justo lo que necesitaba , buena calidad relación precio Justo lo que necesitaba , buena calidad relación precio</t>
  </si>
  <si>
    <t>Este es el segundo par que me compro de esta marca y modelo Las zapatillas Merrell en general para mi las mejores que he tenido, de hecho he vuelto a comprarme unas de diferente color pero mismo modelo porque las anteriores las llevo muy agusto, cómodas y resistentes al agua sin que te entre humedad, para mi un 10.</t>
  </si>
  <si>
    <t>Buen producto, buen servicio. El producto acorde a la descripción, la talla es la misma que usas normalmente de Converse.</t>
  </si>
  <si>
    <t>Genial Estupendo</t>
  </si>
  <si>
    <t>Según lo que esperaba Lo que esperaba, ni mas ni menos, se ve de buena calidad agradable al tacto. Compra muy correcta. Un saludo</t>
  </si>
  <si>
    <t>Perfectos Pedí una talla más por los comentarios pero me queda más grande, no ando mal por lo que me los he quedado y n se salen. Yo tengo el.pie ancho puede que otra persona se le salgan si tiene el pie fino. Son estupendos, muy ligeros y no me duelen los pies. Muy contenta los recomiendo.😊</t>
  </si>
  <si>
    <t>Encaja sin problemas Es una buena cubierta para micrófono, encaja a la perfección sin problema，hace de antipop cuando lo uso en grabación ambiente.</t>
  </si>
  <si>
    <t>Muy buenas Al principio se hace raro pero después es muy agradable y confortable</t>
  </si>
  <si>
    <t>Es muy elegante y brilla muchísimo Es muy bonita</t>
  </si>
  <si>
    <t>Talla completa Excelente relación precio calidad.</t>
  </si>
  <si>
    <t>Ha superado mis espectativas. Ha funcionado mejor de lo esperado. Había probado anteriormente otros micrófonos de calidad un poco inferior, pero que en principio no eran malos y siempre se oia un poco de parásito de fondo. Incluso llegue a pensar que era algo de la placa por lo que no tenía muchas esperanzas puestas en un dispositivo nuevo. Ha superado mis espectativas ahora se oye la grabación de una forma nítica sin el tedioso parásito de fondo.  En mi caso estoy con un equipo con el sistema operativo Linux Mint ( equivalente a un Ubuntu 18.04 ), por lo que los usuarios de Linux - almenos en mi caso - les debería también funcionar correctamente.  El trasto es más grande de lo que me esperaba ( impresiona un tanto la primera vez que lo ves ), el peso hace que tenga muy buena estabilidad. Para aquellos que se muevan mucho igual no es tan práctico ( por el peso y por el volúmen ), pero en mi caso eso es poco importante.</t>
  </si>
  <si>
    <t>Estupendo Perfecto para mi hijo. Buenos acabados y un funcionamiento correcto. La verdad es que su usuario está encantado con él.</t>
  </si>
  <si>
    <t>Muy bonito y elegante El collar me a parecido muy bonito y elegante, la verdad es que es de los mejores que he tenido, la única desventaja que e tenido es que si eres alérgica a los metales malos, no te lo recomiendo, ya que evidentemente no es ningún metal noble, pero por  lo demás de 10</t>
  </si>
  <si>
    <t>Ni te lo pienses... ¡compralo! Sin duda, mi primera compra con amazon ha cumplido con creces mis expectativas, copia datos rapidísimo! lo estoy usando en mi xbox 360 y va de cine... ideal para consolas y por un precio buenísimo!</t>
  </si>
  <si>
    <t>colgante cadena muy fina</t>
  </si>
  <si>
    <t>Como esperaba! Tal cual los originales que venían en la caja al comprar el móvil!!!! Tiene manos libres y me encanta el piquito que tiene el auricular ya que es más cómodo que el redondo del todo!!!Otra ventaja?El precio!!</t>
  </si>
  <si>
    <t>Muy contento y resistentes Calidad precio son los mejores que he probado(y he probado muchos ya que se me rompen continuamente) y el acabado de los auriculares de apariencia metálica le aportan mucho.  El micro funciona bien y el botón muy cómodo, la calidad de audio por el precio esta mas que bien. Pese a que no se la resistencia que tienen puedo decir que sin querer se me cayeron en la lavadora y siguen funcionando a la perfección!!  Cosas que se pueden mejorar seria el cable que podría ser tipo "cordón" por que la verdad que se lían bastante y también el hecho de que solo tenga un botón no permite subir y bajar volumen de las canciones.  En la tienda física oficial de xiaomi los he podido encontrar mas baratos.</t>
  </si>
  <si>
    <t>Colores que desaparecen en poco tiempo A pesar de haberlos usado bastante, y de que me gustaron mucho los colores cuando los compré (hace meses) ahora me estoy dando cuenta que los vinilos expuestos a exteriores , como en coches y cosas así , los colores se apagan casi totalmente quedando blanquecinos casi sin color, con apenas dos meses pegados, una lastima la verdad , ya que el precio es muy bueno, ahora ya se porqué</t>
  </si>
  <si>
    <t>Decepcionado No va muy bien y la olor que suelta no es muy agradable</t>
  </si>
  <si>
    <t>Deja de funcionar a los dos meses... dificil reclamar a Amazon Si lo sé, no lo compro aquí. Es la gran ventaja de comprar en comercios fisicos locales.</t>
  </si>
  <si>
    <t>el reloj casio no es lo que yo esperaba . Embalaje abierto El embalaje me llego abierto , y no era ni mucho menos lo que yo me esperaba. lo quiero devolver y no me deja</t>
  </si>
  <si>
    <t>correcto esta muy bien tal como se anuncia, calienta bien, hace su función, para calor en trapecio va muy bien, sirve para otras zonas</t>
  </si>
  <si>
    <t>Un detalle a un precio inmejorable Buena presencia y bien acabado, con un precio muy ajustado.</t>
  </si>
  <si>
    <t>Más durabilidad que otros En general me gusta este producto. Lo veo más resistente que los que hay en espira ( he tenido en espiral y me han durado muy poco)l. Pegas: es un Pelin más incómodo de usar y la parte destinada a las tetinas no sirve de mucho ya que al no tener cepillo no se limpia bien. Hay que insistir mucho para poder sacar los posos de leche que quedan a veces. De hecho para las tetinas utilizo uno de cepillo que tengo chiquitín.</t>
  </si>
  <si>
    <t>la calidad Es un calzado muy fuerte, impermeables, cómodos y resulta eterno. Es mi tercer par, aun uso los anteriores aunque su aspecto no lucen nuevos. RECOMENDABLE!!!!</t>
  </si>
  <si>
    <t>Contento con la compra Relación calidad/precio está muy bien. Los batidos quedan perfectos.</t>
  </si>
  <si>
    <t>Muy bueno Muy bueno. Se ve de buena calidad</t>
  </si>
  <si>
    <t>Muy cómodos, buena calidad Unos zapatos muy cómodos. Buenos materiales y acabados a mi entender.</t>
  </si>
  <si>
    <t>Util Lo utilizo para etiquetar las cajas y botes , paquetes cartas etc</t>
  </si>
  <si>
    <t>Un sonido espectacular a un precio de risa!!!!! Hace ya tiempo que vengo gastando auriculares de esta marca y puedo decir que son realmente buenos. Así que me decidí a probar estos In-ear tipo Airpod de Apple y después de usarlos puedo decir que no tienen nada que envidiar a los auriculares de Apple. El sonido es muy muy bueno, los graves perfectos. Además viene con almohadillas de diferentes tamaños para adaptarse a tus comodidades.  Lo dicho, los recomiendo totalmente a quien quiera unos auriculares con un precio realmente genial y un sonido todavía mejor.</t>
  </si>
  <si>
    <t>La textura con la que deja los batidos es lo mejor, finita, finita!!! Lo único que no me gustó, fue que el libro de recetas viene en francés. Por ningún sitio en castellano, ni en inglés.</t>
  </si>
  <si>
    <t>Bien. Bien.</t>
  </si>
  <si>
    <t>Vale la pena Es de buena calidad, me decidí por este después de hacer varias comparaciones y las opiniones me hicieron decantarme por este. No me arrepiento es justo lo que buscaba, no hace nada de ruido y hasta ahora no he tenido ningún problema. Un acierto de compra</t>
  </si>
  <si>
    <t>Buen material Buen material y cómodo de colocar</t>
  </si>
  <si>
    <t>Muy bien Perfecta. Quizás un poco más pequeña hubiese sido suficiente. Pero es mi elección.</t>
  </si>
  <si>
    <t>zapatillas muy comodas zapatillas super comodas y muy bonitas y no pesan nada parece que no llevas las zapatillas puestas, muy buena compra</t>
  </si>
  <si>
    <t>Muy prácticas El pedido ha llegado perfecto y a tiempo. Las esponjas con mango son muy prácticas y no se nos han roto, así que las recomiendo!</t>
  </si>
  <si>
    <t>Calidad Apple Cascos de 10. El único problema puede ser el precio. Pero si eso para ti no importa estos cascos son muy buenos para el día a día, nada profesional desde mi punto de vista. Mi hermana tiene los de primera generación y este año hemos decidido regalárselos a mi padre. Le parecían una chorrada, tiene más cascos inalámbricos pero con estos está encantado.</t>
  </si>
  <si>
    <t>buena minimochila Lo compre para sustituir un bolsito de hombre pequeño. Es muy cómoda de llevar, espacio suficiente para llevar llaves, móvil, cartera, accesorios, algun libro o tablet, y un bocadillo si quieres. Los materiales son de muy buena calidad. No es una mochila, la capacidad creo que son de unos 4l. Tiene muchos bolsillos y el que sea tipo bandolera, con una sola asa, hace que sea mas cómoda de llevar (de poner y de quitar). Lo recomiendo si sois de llevar mochilas con una sola asa, y no necesitáis que sea muy grande.</t>
  </si>
  <si>
    <t>Justo lo que buscaba!!! Hace exactamente lo que necesitaba, en cualquier documento de Word, pasa de página en página... o va bajando mientras lo mantienes pulsado, lo cual te libera las manos como en mi casa, para poder seguir tocando la guitarra, mientras pasas de hoja en la partitura desde el pedal, conecta por bluetooth, y no me ha dado ni un solo fallo</t>
  </si>
  <si>
    <t>Buena Se me han roto varias grapadoras más caras ( petrus, ... ) debido al uso intenso con niños . Esta de momento resiste bien.y es de buen material . Precio muy ajustado</t>
  </si>
  <si>
    <t>LA CALIDAD Las zapatilllas son  como esperaba, muy buena calidad y el servicio extraordinario. Muchas gracias.</t>
  </si>
  <si>
    <t>Se nota que son de calidad Espectacular auriculares son un maravilla el sonido que dan. Nada que envidiarle a los de grandes marcas. El sonido es una pasada, claro y envolvente. Se enlazan muy rápido. Se puede hablar con ellos y se escucha muy bien.</t>
  </si>
  <si>
    <t>Buena La potencia de este produccto es muy bueno y con esta oferta he sacado un producto buenisimo a precio de ganga. Tiene muchos utiles apropiados para la reposteria</t>
  </si>
  <si>
    <t>Lo que buscaba &lt;div id="video-block-R2N8WC67TNMIZF"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id="15" preload="auto" src="https://m.media-amazon.com/images/I/A1wtGS-lETS.mp4" style="position: absolute; left: 0px; top: 0px; overflow: hidden; height: 1px; width: 1px;"&gt;&lt;/video&gt;&lt;/div&gt;&lt;div id="airy-slate-preload" style="background-color: rgb(0, 0, 0); background-image: url(&amp;quot;https://m.media-amazon.com/images/I/61LYdwDqT1S.png&amp;quot;);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value="https://m.media-amazon.com/images/I/A1wtGS-lETS.mp4" class="video-url"&gt;&lt;input type="hidden" name="" value="https://m.media-amazon.com/images/I/61LYdwDqT1S.png" class="video-slate-img-url"&gt;&amp;nbsp;¡PERFECTO! ¡Un pendrive multifuncional! Cuando pedí este pendrive yo solamente buscaba un pendrive que tuviera por lo menos 32GB para mover archivos tanto del trabajo como para uso personal. Este pendrive por supuesto que cumple mi necesidad, pero además cuenta con conectores para poder enchufarlo a cualquier móvil. Realmente esto, por lo menos en mi caso, no es algo que utilice todos los días, pero con el poco tiempo que llevo con él, ya me ha resultado útil en un par de ocasiones. Concretamente estando de viaje y evitando tener que sacar el ordenador para consultar un par de cosas, ya que el móvil solemos llevarlo encima y encendido. Viene en una caja muy chula, perfecta para llevarlo junto con el accesorio para conectarlo a teléfonos con conector "Type C" y que ninguna de las pieza sufra ningún daño (viene con acolchado en el interior. La caja contiene: - Pendrive con USB, Lightning (iphone) y michoUSB - Adaptador USB-Type C - Instrucciones para IOS y para Android  Estoy muy satisfecho con la compra y se lo recomiendo a toda la gente que necesite un pendrive normal, ya que es un pendrive normal y mucho más</t>
  </si>
  <si>
    <t>Producto no apto para ciudad. Son zapatillas con suela de tacos, es decir: a no ser que corras por la montaña se desgasta enseguida la suela. Vamos, que en 1 mes están listas para tirar a la basura. Piénsalo.</t>
  </si>
  <si>
    <t>Buena calidad Bien todo para trekking</t>
  </si>
  <si>
    <t>Muy bien con el servicio pero con dudas con la durabilidad El producto es tal cual lo describe sin embargo el cable me parece muy fino y me da la sensanción de que en breve se me romperá con cualquier estirón. Me llegó rapido y bien embalado.</t>
  </si>
  <si>
    <t>Katia Hola, compre las botas para un viaje especifico al frio y me las puse 5 veces se me rompieron las dos evillas, como puedo ponerme en contacto? Un saludo</t>
  </si>
  <si>
    <t>No comprar El reloj es falso. NO ES CASIO. Lo compré en Febrero y en Mayo ya no funcionaba.</t>
  </si>
  <si>
    <t>Decepción Malísima calidad,no vienen ni en caja en un plástico</t>
  </si>
  <si>
    <t>Buena relación calidad-precio El producto tiene un diseño excelente. La terminación también parece robusta. El único pero es que la rejilla para panecillos no es retráctil y no va incorporada en la estructura, sino que se tiene que montar encima de la ranura y desmontar cuando no se usa. Por lo demás, muy buen producto.</t>
  </si>
  <si>
    <t>Celo Muy buen producto</t>
  </si>
  <si>
    <t>Genial Es una maravilla, para el mantenimiento diario no existe algo mejor, ya que no solo te "barre" sino que te saca todo el polvo del suelo, se agradece cuando tienes en casa gente que va todo el día descalza. No quita manchas importantes del suelo, manchas de aceite, de derrames de refrescos secos y demás, saca el polvo y pequeñas pisaditas de agua. Por ponerle un pero, me lo esperaba mas silencioso pero verdaderamente, tampoco es algo que considere problemático si no vas a dejarlo limpiando mientras duermes.</t>
  </si>
  <si>
    <t>SD barata, nada del otro mundo [Si este comentario le ha sido de ayuda, agradecería que le diese a voto útil, gracias]  Pues la verdad es que es un SD normal, nada del otro mundo, tiene un precio bastante bueno (yo lo he comprado a 5.72€), el espacio real es de un poco más de 14GB, pero bueno, por el precio que tiene no voy a poner pegas.  Muy conforme con ella, la recomiendo a todo el mundo.</t>
  </si>
  <si>
    <t>Muy buenas tarjetas Buenas tarjetas. Rápidas y con bastante capacidad para mi cámara a un precio muy razonable. Satisfecho con la compra que da lo que promete.  Las volvería a comprar</t>
  </si>
  <si>
    <t>Muy practico y buen resultsfo Usado hace tiemp y genial redultafo</t>
  </si>
  <si>
    <t>Recomendable Compré un par para mi y otro para mi hermana y son perfectas. Ya había tenido unas antes y sabía que iban a ser cómodas, pero para mi sorpresa el modelo está mejorado ya que la suela está más reforzada y son más cómodas todavía. En cuanto a la talla, yo uso una 36/37 normalmente pero con Superga me va mejor la 36, y a mi hermana lo mismo, usa la 37/38 y pidió la 37 y quedan perfectas. Además, el envío fue muy rápido. 100% recomendadas.</t>
  </si>
  <si>
    <t>Lo que quería Lo que esperaba, es cómodo ponérselas y andar con ellas</t>
  </si>
  <si>
    <t>Álbum Tamaño perfecto vale para fotos 20x25 tanto sí son horizontales como verticales. Entran una cantidad importante de fotos, y la presentación es estupenda por no decir que tiene un precio más que razonable</t>
  </si>
  <si>
    <t>Muy resistentes Muy resistentes y cómodas</t>
  </si>
  <si>
    <t>Muy contenta con el producto Compré el ssd por sugerencia de un compañero de trabajo, ya que el ya había hecho esta compra. Y la verdad es que llegó super ràpido, el tamaño correcto para mi laptop y además es ligero.  Lo puse como disco principal e instalé el w10 home y la verdad es que hay muuuuucha diferencia, mi pc tiene 2 años y nunca había ido taaaaaan ràpido.  Para ponerlo como disco principal en un portàtil es mucho mejor que tenga más capacidad, pero primero queria probarlo, igualmente de almacenaje tengo el que venia de serie de 1 tb.</t>
  </si>
  <si>
    <t>Buen sonido y diseño Muy buen sonido y diseño bonito, muy buen precio para el producto, me ha gustado mucho por el momento. Lo recomiendo.</t>
  </si>
  <si>
    <t>Excelente relación Calidad/Precio Suenan estupendamente con ANC. El tiempo dirá si los pulsadores e interruptor ANC son lo suficiente fuertes como para que duren. Con respecto la batería "no cambiable" también será el tiempo quien ponga las cosas en su sitio. De todas formas por la relación calidad/precio que tienen no se puede pedir más. Eso sí, si durasen enteros mucho tiempo ya sería la monda.</t>
  </si>
  <si>
    <t>Rr. Martens 1460 Back Smooth talla 43 Hace días recibí las botas y estoy muy satisfecho. Ya había tenido hace tiempo  unas Martens y aunque utilizo una talla 43, decidí pasarme antes por una tienda para probarme la talla 42. Muy raramente calzo un 42 y quería asegurarme de comprar el número correcto.  La 42 me quedaba justa, más bien apretada y teniendo en cuenta que las botas las voy a poner en invierno con calcetines gordos, tenía claro que mi talla era la 43. Mi recomendación es que compres las botas de tu talla habitual, y si te quedan un poco grandes te pongas un calcetín gordo para llevar el pie ajustado. Las he comprado a un precio muy interesante, 86€. En la calle están a 136€ aproximadamente, 10% menos en rebajas (según el dependiente de la tienda donde las probé). Mi otra duda era saber si las botas serían Black - Smooth (original)  o Black (otro tipo de negro) como se describe en la web.  Aunque en la web las describen “color Black”, finalmente son de color Black Smooth original pues viene así  indicado en el exterior de la caja. En este sentido, creo que Amazon debería ser más específico con las descripciones. También las describen “para hombre” y en la tienda me dijeron que son botas unisex. Lo cierto es que en la página web de Martens hacen distinción entre botas para hombre y mujer pero opinión no se diferencian en nada, solo en la talla… Respecto a las dudas de si son originales o no, (como he leído en comentarios) me cuesta creer que no lo sean... Las botas las vende Amazon y las envía Amazon que es garantía de comprar.</t>
  </si>
  <si>
    <t>Anillos bonitos y baratos Anillos 100% recomendables. Bonitos y con un buen precio. El envío rápido y a tiempo.</t>
  </si>
  <si>
    <t>Biberón AVENT Este biberón es estupendo. Mi hijo no quiere otra tetina</t>
  </si>
  <si>
    <t>Perfecto Me ha resultado muy económico, es de una marca conocida y por la cantidad tengo para siempre pues son muchos.</t>
  </si>
  <si>
    <t>Reloj casio Excelente! Tal como esperaba ligero y funcional! La calidad de casio es de fiar lo compraré de nuevo en otro color</t>
  </si>
  <si>
    <t>Perfecto Lo que esperaba</t>
  </si>
  <si>
    <t>Chandal para verano Es un chandal ligero, ideal para verano o para entrenar con él. Se lleva ajustado y queda muy bien. Nike da bastante talla así que si , como en mi caso normalmente usas la M en la ropa,  tienes que comprar una S.</t>
  </si>
  <si>
    <t>Buena elección para PS4 Pro! Y lo tengo a casi un año y ya estoy bien. En el caso de que el rendimiento sea superior a un hdd normal y por debajo de un ssd.</t>
  </si>
  <si>
    <t>Buen producto en relación calidad-precio Los uso varias horas al día y de momento están funcionando bien (de otras marcas no me suelen durar muchas horas), y en principio en relación calidad-precio están muy bien</t>
  </si>
  <si>
    <t>Normalito No está mal</t>
  </si>
  <si>
    <t>buena calidad y muy bonitas algo grande. gasto un  le puse una plantilla porque eran slgo grandes. son comodas y buena calidad. son muy bonitas.</t>
  </si>
  <si>
    <t>Bate mal. Pero es bonita y sencilla de usar. Muy bonita. Sencilla de usar. La hélice no se puede quitar para lavarla aparte. No bate bien especialmente mente las hojas verdes</t>
  </si>
  <si>
    <t>Caja dañada Son buenos biberones le doy 3 estrellas porque parece que a la caja le ha pasado un trailer por encima por lo demas unos biberones muy buenos</t>
  </si>
  <si>
    <t>La máquina genial, las instrucciones dejan mucho que desear. Muy útil y funciona bien. Lástima que las instrucciones que incluye el fabricante dejen bastante que desear. No indican en ellas cómo programar las áreas donde no se quiere que entre la máquina, pese a que el manual dice que desde la app se puede hacer (y en la app tampoco se indica el modo). Si no fuera por estas cosas le daría las cinco estrellas.</t>
  </si>
  <si>
    <t>Mala calidad La calidad muy mala, se les va el color en poco tiempo</t>
  </si>
  <si>
    <t>A mí no me funcionó. No pude usarlo, con pilas nuevas falló mucho. Puesta en la camisa cerca de la boca, el sonido se entre cortava.</t>
  </si>
  <si>
    <t>Queda bien Bonito</t>
  </si>
  <si>
    <t>Luis Llegó bien y anda perfecto, se ven los movimientos de la máquina excelente para los que les guste que se note el reloj</t>
  </si>
  <si>
    <t>Buen funcionamiento Su tamaño</t>
  </si>
  <si>
    <t>Es muy bonito Es cómodo y tal como se ve en la foto. Aunque sea de plástico es muy resistente, lo llevo a diario y es como son los Casios. Relación calidad precio muy buena.</t>
  </si>
  <si>
    <t>Me gusta mucho Calidad precio esta genial. Muy bonito. Quizás la cadena un pelín larga pero del resto no tengo nada que decir. Habrá que esperar su duración</t>
  </si>
  <si>
    <t>Calidad precio inmejorable Cuando los pedí no esperaba que por el precio que tenían fueran tan cómodos, y de tan buena calidad, además trae una funda para poderlos guardar, calidad precio inmejorable.</t>
  </si>
  <si>
    <t>Compraré más! Lo compré para un regalo y estoy pensando en comprármelo para mí! Perfecto</t>
  </si>
  <si>
    <t>Excelente Batidora excelente tanto en potencia como en accesorios, tiene dos botellas que las usamos para crear el batido o la bebida deseada, solo tenemos que ponerle la cuchilla en el vaso y apretarlo para que empiece a funcionar. Otra cosa que me ha llamado la atención es que trae dos barritas para llenarlas de agua y congelarlas y acoplarlas mediante rosca a la tapa del bote para que se mantenga la bebida fría y no se agüe, un acierto sobre todo en verano. Tiene bastante potencia para picar cualquier cosa incluso hielo. También cuenta con una funda de goma para ponérsela al vaso y se agarre mejor</t>
  </si>
  <si>
    <t>Jarra electrica Buen producto y buen servicio de entrega</t>
  </si>
  <si>
    <t>Contenta con la compra Me llegó a la fecha indicada. La camilla es muy fácil de monta y práctica. Muy contenta con la compra. Es cómoda y aguanta mucho peso. Tiene mucha estabilidad y no se mueve. Ideal para masajes, sesiones de reiki, etc. El único defecto que puede tener es a la hora de trasladarlo de lugar. Pesa un poco y es grande.</t>
  </si>
  <si>
    <t>Un Kingston de 32 GB de siempre Recibí la tarjeta SDHC 32 GB en el oríginal blister de Kingston, funciona perfectamente, es rápido. Merecía la pena a esperar un poco por comprar unos de ellos por menos de 8 euros, cuando no tenía la necesidad inmediata.</t>
  </si>
  <si>
    <t>Bolso hombro. Perfecto..es lo que esperaba. Gracias.</t>
  </si>
  <si>
    <t>Calcetines medias de las mejores. Son muy buenas, sujetan sin molestar tanto el pie como el gemelo, he repetido la compra,  relación calidad precio inmejorable.</t>
  </si>
  <si>
    <t>Perfecto Perfecta</t>
  </si>
  <si>
    <t>Diseño atractivo y primera calidad La descripción corresponde al producto,hierve el agua rapidísimo y se apaga sola y mantiene la temperatura del agua sola por lo que no tienes que preocuparte de nada... Adiós despistes. La Última que tuve que no era eléctrica se me  quemó en el fuego mientras hacía otras cosas... El lacado es de gran calidad. 100% satisfecho con la compra,la recomiendo.</t>
  </si>
  <si>
    <t>Perfecto La corona es metálica con los bordes redondeados y buen acabado. Los cristales  están bien pegados y además es metálica completa pero no pesa en demasia. A mi hija le ha encantado ser princesa para siempre con ella..... Las de plástico dice que no son coronas de verdad.....</t>
  </si>
  <si>
    <t>Buenas zapatillas Quedan genial, unos zapatos muy cómodos y elegantes, fabulosa marca de zapatos. Compra totalmente recomendada</t>
  </si>
  <si>
    <t>muy buen gel A mi en particular que tengo múltiples  fracturas me va muy bien. una aplicación por la mañana y me alivia el dolor de todo el día</t>
  </si>
  <si>
    <t>Increíble potencia sin gastar mucho Creo la mejor relación calidad-precio. Super potente, yo he triturado los anacardos y sale super bien. Lo unico es la forma de el vaso que en mi caso (frutos secos) no permite el movimiento de rotacion del el producto de abajo hasta arriba, pero para hacer smoothie y cualquier otra cosa es perfecto sin gastar mucho. Entrega rapida. Servicio perfecto.</t>
  </si>
  <si>
    <t>Encajan muy bien en el palo de vileda Perfectas, encajan igual que las vileda en el mismo palo y no son tan caras, la misma calidad y la misma función perfectas</t>
  </si>
  <si>
    <t>Humificador pequeño y bonito Fácil de usar e intuitivo, tienes mucha variedad de colores y modos , ademas tiene un mando con el cual puedes cambiar todas las funciones que tiene.</t>
  </si>
  <si>
    <t>Elegante Es muy bonito, muy fino ideal para vestir o sport...compra perfecta. Parece basstante resistente.</t>
  </si>
  <si>
    <t>Muy simple y a veces inútil No es lo que esperaba, es muy pequeño y segun que alimentos ni los corta. Hace un vacio extraño y se calienta con facilidad.</t>
  </si>
  <si>
    <t>Cumple su función. La relación calidad precio no es la mejor, el plástico es de una calidad mejorable por el precio y por €5 más hay muchas mejores opciones.</t>
  </si>
  <si>
    <t>Tamaño pequeño Bonitos pero muy pequeños.</t>
  </si>
  <si>
    <t>Pésimo La medida de los agujeros no coincide con las anillas estandars.</t>
  </si>
  <si>
    <t>NO LO COMPRÉIS! Pésima compra. Debí hacer caso a los comentarios negativos de este producto. El embalaje estaba bien pero la pizarra llegó un una línea vertical, abombamiento, que dificulta la escritura. No puedo devolverlo porque lo necesito de manera urgente.</t>
  </si>
  <si>
    <t>BIEN, ALGO CARA FUNCIONA BIEN PERO LA ENCONTRE ALGO CARA PARA EL RENDIMIENTO QUE DA. LA APP PARA CONECTARLA A OTROS DISPOSITIVOS, COMO POR EJEMPLO AL TELEFONO MOVIL, ES UN POCO CONFUSA Y NO SIEMPRE CONECTA A LA PRIMERA.</t>
  </si>
  <si>
    <t>Muy buen reloj automático Excelente producto. Relación calidad-precio en cuanto a relojes automáticos es de lo mejor. El bisel gira de manera perfecta, con un traqueteo muy conseguido. La fecha se puede elegir entre dos idiomas: español/inglés. El movimiento automático del reloj, funciona a la perfección. La mecánica del reloj es visible desde la parte trasera del mismo. En general tiene una calidad percibida muy buena para un reloj de su precio. El único mejorable que destacaría, y por el que no pongo 5 estrellas, es que la corona no va roscada.</t>
  </si>
  <si>
    <t>Tamaño Para mi gusto es demasiado pequeña.</t>
  </si>
  <si>
    <t>Mal cierre Lo único malo que el cierre del reloj no cierra muy bien y arriesgas a que se pueda perder .</t>
  </si>
  <si>
    <t>Tallan pequeños Las devolví porque hay que pedir un número o medio número más por lo menos, por lo demás muy guapas, las volveré a comprar.</t>
  </si>
  <si>
    <t>Bien Tenia el explorer 500 y pedí este para tenerlo de repuesto y no hay mucha diferencia de sonido con el otro y a este le dura más la batería.  El explorer 500 valía casi el doble...</t>
  </si>
  <si>
    <t>Tapa perfectamente No he probado otras marcas, pero este liquido siempre me ha funciona perfectamente, por lo que repito con el. Llevo varios meses sin reponerlo y he comprado para no quedarme sin el. El formato ahorro de 1L merece la pena.</t>
  </si>
  <si>
    <t>fundas que no se ve el interior si buscas fundas que no sean transparentes, y que sean algo rigidas estas son perfectas. no se ve el interior y la calidad esta genial</t>
  </si>
  <si>
    <t>Color muy bonito me chiflan! son muy bonitos, iguales que en la foto. Los colores son preciosos. Buena calidad-precio no se puede pedir mas!</t>
  </si>
  <si>
    <t>Peso muy ligero Muy bien.Es un fantástico regalo</t>
  </si>
  <si>
    <t>Enchufar y listo Tenía ganas de tener un humificador y me decidí por este y de momento bastante contento con la compra.  Funcionamiento sencillo, tiene varias opciones, para que se apague en un momento determinado o sea continuo.  El aroma es correcto sin llegar a agobiar. Olor suave para habitaciones pequeñas. Si quieres perfumar una sala muy grande creo que este no es suficiente.  En resumen, más que contento con la compra.</t>
  </si>
  <si>
    <t>Buena sujeción y sonido Sin duda me han parecido los auriculares más cómodos que he comprado hasta ahora. La calidad de sonido es bueno, tiene en general buenos agudos y graves. Algo que odio de algunos auriculares esque se resbalan y finalmente se caen, con estos en cambio no, se quedan perfectamente adheridos. El estuche es pequeñito, perfecto para llevarlo en el bolsillo. La conexión es 5.0 y tiene una buena batería, hasta ahora no se me quedaron sin bateria al salir. Los controles táctiles permiten play/pausa, subir/bajar volumen, anterior/siguiente canción y creo que puedes rechazar llamadas y activar asistente. Muy contento con la compra, buenos calidad precio.</t>
  </si>
  <si>
    <t>Excelente Buen producto.</t>
  </si>
  <si>
    <t>Muy cómodos Los uso para salir a correr. Aguantan muy bien en la oreja, además viene con 3 diferentes medidas de cada pieza. Lleva una pinza que, se puede quitar, para aguantar el cable en la parte trasera de la camiseta. Es súper útil ya que así no se mueve nada. Suenan bastante bien. Estoy contenta.</t>
  </si>
  <si>
    <t>Muy buenos Ideal para cualquier tipo de sonido enchufalos y veras el resultado,para ordenadores ,Tables cine en casa mesa de mezclas.Jose Maria</t>
  </si>
  <si>
    <t>Comodisimo Super fit.</t>
  </si>
  <si>
    <t>Conchi Muy buena calidad de la sudadera y dan talla. Son amplias. Me han llegado el día previsto. Muy contenta con mi pedido</t>
  </si>
  <si>
    <t>Buenas zapatillas Bonitas, cómodas, económicas y siempre pedir una talla más a las tuyas</t>
  </si>
  <si>
    <t>Zapatillas muy cómodas. Las compre para mi hijo y esta muy cómodo con ellas por lo que volvo a comprar para tener unas por si en otra ocasión n las hay.  La talla que se usa habitualmente.</t>
  </si>
  <si>
    <t>Muy bueno Esta buenísimo, es muy fácil de usar y viend con instrucciones y un app. El material es firme y de buena calidad, lo he usado para la universidad sin ningún problema, ya intenté conectarlo a mi mac, a mi iphone y a los pc de la universidad. Hasta ahora muy buen producto.</t>
  </si>
  <si>
    <t>ANDIE Buscaba un manoslibres compatible con mi smartphone. Me decante por este por ser una marca mas o menos conocida, pues bien no puedo decir otra cosa que un acierto en toda regla. Se enciende y se enlaza con el movil en un segundo, se escucha a la perfeccion llamadas y musica del movil, pequeño y se ajusta bien a la oreja, la bateria dura mucho unas 6 horas aproximadamente, y no se cae como pasa con otros. La entrega es muy rapida y enseguida se pone en funcionamiento porque es muy rapido de entender el funcionamiento.  En mi caso mi es compatible con mi movil que es un Samsung galaxy s7.  Una buena compra sin lugar  a dudas.</t>
  </si>
  <si>
    <t>Funciona Muy práctico y fiable</t>
  </si>
  <si>
    <t>Me encanta No me lo quito.me encanta</t>
  </si>
  <si>
    <t>Robot aspirador Aspira bastante bien pero el mapa no lo hace bien, para hacer las zonas no hay forma de que haga las habitaciones separadas. Junta varias. La potencia de succión es inferior a la xiaomi</t>
  </si>
  <si>
    <t>Ok Son preciosas, el unico es que las mas pequeñas no son redonditas del todo. Pero por lo demás todo OK</t>
  </si>
  <si>
    <t>Talla equivocada Pedi una 43/44 y llegó una 41/42. ya no me daba tiempo a devolverlas y tenerlas a tiempo por lo que me las he quedado y he ido con chanclas pequeñas. Por lo demás según lo esperado</t>
  </si>
  <si>
    <t>Cutres Mañana calidad, malos acabados ,Se ven cutres . Pero para lo que costaron no se puede pedir más.</t>
  </si>
  <si>
    <t>Mala conexión Bluetooth El sonido es bueno. Lo que es nefasta es la conexión Bluetooth, que entrecorta las conversaciones aunque estés a centímetros del móvil.  Lástima porque son muy cómodos. Pero para las llamadas no van bien, así que los he devuelto. Probaré el modelo superior a ver si han solucionado ese fallo, porque por el resto la calidad no está nada mal.</t>
  </si>
  <si>
    <t>Buena compra Calienta el agua súper rápido y los indicadores de cantidad interiores son perfectos para no echar más agua de la deseada. Estéticamente es bonita y por ponerle un pero diré que al tacto una vez ha calentado el agua, el exterior si lo tocas está caliente pudiendo llegar a quemar. En resumen diré que lo recomiendo al 100%, y si enganchas una oferta flash como yo pues mejor aún.</t>
  </si>
  <si>
    <t>Cómodas y básicas Zapatillas cómodas y básicas para actividad deportiva del día a día.</t>
  </si>
  <si>
    <t>Realmente cómodas Muy cómodas y calientes. Quizá el único pero lo veo en que transpiran mas bien poco y que la plantilla interior tiene a moverse y salirse ya que van algo justas.</t>
  </si>
  <si>
    <t>De calidad y buen precio De buena calidad , por el precio de un par en cualquier tienda aqui tienes 8 pares diferentes llegan muy bien presentados en una caja bonita y empaquetados por parejas.</t>
  </si>
  <si>
    <t>practica y pequeña esta bien para uso de casa o poco uso es pequeña y no muy potente pero cumple perfectamente su cometido. pures,mahonesa,batidos...... pratica y comoda de usar un solo boton.</t>
  </si>
  <si>
    <t>Divertido Genial. El micro se escucha muy bien y la música suena como si fuera un altavoz normal. Viene perfecto para fiestas y montar un karaoke en muy poco tiempo. Se conecta por bloothoot y además, la batería es muy duradera.</t>
  </si>
  <si>
    <t>Mi marca favorita Super comodisimas y ligeras, es como estar en una nube. Las uso tanto en invierno como en primavera, me encantan son las terceras que compro.</t>
  </si>
  <si>
    <t>USB metálico diminuto con un gran precio Es mas pequeño de lo que me figuraba, que para unas cosas va muy bien y para otras no tanto, ideal para llevar en llavero, robusto por su carcasa metálica, y de momento muy bien, ya que he tenido muchos USB de muchas marcas y a la larga fallan, pero con este aun llevo poco tiempo, el único contra es que no lleva led de funcionamiento, pero en este tamaño y ya muchos modelos de USB, no lo llevan, que para mi es util para saber si esta leyendo o escribiendo, por lo demás calidad precio inmejorable. entrega super rápida, contento siempre con Amazon</t>
  </si>
  <si>
    <t>. Es elegante le gusto mucho</t>
  </si>
  <si>
    <t>La versión mini ASPECTOS POSITIVOS + Trae 2 botellas iguales portátiles. + El acabado y el diseño. + Bloqueo de seguridad. ASPECTOS NEGATIVOS - En los primeros usos desprende un poco de olor.</t>
  </si>
  <si>
    <t>Angel Gran reloj calida precio el color es precioso al ser un negro mate lo hace muy tactico , comodo y se ajusta perfectamente a la muñeca.</t>
  </si>
  <si>
    <t>Muy comodas Comodisimas y este modelo muy bien tallado.  Las uso para andar x ciudad y son estupendas. Para todas las estaciones, quizás en verano si te suda mucho el pie no transpire mucho, yo no sudo y no me las quito. Se ven muy bien. Recomendaría sin duda. Y a un precio invatible.</t>
  </si>
  <si>
    <t>Me encanta Para mí es uno de los más precisos de la marca, aún mayor que el de pincel, ya que puedes medir la cantidad de producto que aplicas y el lugar exacto donde hacerlo. El precio es bueno y la adhesión aún más.</t>
  </si>
  <si>
    <t>MUY LOGRADO Yo compré los colgantes y tanto las reliquias como el giratiempo muy chulos. Las reliquias me esperaba algo más grande pero tiene muy buen acabado y es consistente, quiero decir, que no es finito que se rompe. Muy contenta</t>
  </si>
  <si>
    <t>Pendientes originales De tamaño justo, son grandes pero no en exceso, ligeros, no pesan, lo colores son tal cual se ve en la foto. Muy contenta con la compra, son muy bonitos</t>
  </si>
  <si>
    <t>NO ME ARREPIENTO DE HABER HECHO ESTA COMPRA ATRASA 8 SEGUNDOS DIARIOS MAS O MENOS PERO ES LO NORMAL EN ESTES RELOJES  EL RESTO PERFECTO</t>
  </si>
  <si>
    <t>Excelente batidora Tras una semana de uso prácticamente diario, he de decir que estoy encantado con el producto Destaco:  - Facilidad de uso y modo automático - Potencia (pica bien hielo) - Facilidad de limpieza</t>
  </si>
  <si>
    <t>Ideal, y muy bien conseguida. Me ha gustado, mucho, el material, es bastante rígido, el tamaño, muy adecuado, caben 4 bolis, perfectamente.</t>
  </si>
  <si>
    <t>Esteticamente brutal Justo lo esperado, igual a las fotos, encaja con nuestra decoracion, aguanta unhas 4 horas con los 100 ml y con unas gotas de aceite ambienta una habitacion de unos 20 metros cuadrados perfectamente, la humedad ni se aprecia. Respecto a alergias.... De momento no apreciamos efectos positivos ni negativos</t>
  </si>
  <si>
    <t>Muy bien calidad/precio La verdad es que por el precio están muy bien.  Buen sonido y no me parece que sean  malas calidades los materiales del que está hecho.  No los he probado haciendo deporte,  no los puedo puntuar en ese sentido.  Yo tengo gafas y hay que colocarlo bien para que  no haga daño con las 2 cosas puestas, cosa que se hace sin problema.  Los recomiendo.</t>
  </si>
  <si>
    <t>Piel más hidratada y suave Llevo un mes usando el aceite en la cara, mañana y noche y ya me noto la cara mucho mejor, se me ha ido prácticamente la descamación de la barbilla y me la noto mucho más suave. El pelo también lo noto más suave y con mucho brillo. Se agradece además el mail de la empresa informando de los usos y forma de aplicación del producto</t>
  </si>
  <si>
    <t>Llegó de una pieza 24 días después Llego entero, de una pieza.. El producto es como se esperaba. Se recibió 24 días después de la compra, pero dentro del plazo prometido por el vendedor.</t>
  </si>
  <si>
    <t>se puede mejorar es una buena fórmula para poder hacer tes de especias pero sería maravilloso que se encajaría mejor cuando se cierra para no perder especias</t>
  </si>
  <si>
    <t>Excelente compra Me encantó entrega muy puntual y la verdad los materiales se ven de muy buena calidad y el tamaño con suficiente capacidad, una buena compra! Gracias superó mis expectativas!</t>
  </si>
  <si>
    <t>Decepcionante Algunas frecuencias bajas y medias se oyen con muy poca nitidez, lo que provoca un sonido sucio y desagradable. Me esperaba más calidad de un producto que supuestamente es de uso profesional. Algunas partes de cuerdas se oyen como si estuviesen detrás de una pared y los graves tienen mucha más presencia de la que me gustaría. Incluso en grabaciones de conversaciones se acentúan los graves del sonido ambiente de una manera muy desagradable. He tenido ocasión de compararlo con su hermano mayor, el K271, y este último proporciona un sonido mucho más limpio. Los he devuelto porque la experiencia ha sido muy decepcionante.</t>
  </si>
  <si>
    <t>Talla Bueno</t>
  </si>
  <si>
    <t>Descripcion del producto engañosa Acabo de recibir el reloj y ni tiene luz y la caja no es de acero inoxidable sino de carton... estoy decepcionada porque era para un regalo y regalar un reloj en caja de cartón como que no.</t>
  </si>
  <si>
    <t>Termine por no usarla No es práctica y no me gusta como quedan los batidos, con grumos y mal. Creo q mejor una batidora de vaso. Yo ni la uso. Una pena.</t>
  </si>
  <si>
    <t>Tallaje demasiado pequeño Igual que en la foto pero tallaje demasiado pequeño, pedi una m y parece una xs</t>
  </si>
  <si>
    <t>Calidad y muy buenas prestaciones Por poco más de 60 eur. es la mejor opción en SSD pci-e. Fiabilidad y prestaciones, 500 gb por lo mismo que me costó hace 1 año un SSD básico de 250gb</t>
  </si>
  <si>
    <t>Suena muy a Twin. Por el precio, el tamaño y la practicidad, nada que decir, muy bueno para practicar con auriculares. También puedes conectarlo a un altavoz autoamplificado. Tiene un sonido muy a Twin Reverb, con tres grados de saturación: limpio, overdrive bluesero y más overdrive (rock clásico, no metal), y tres efectos: off, reverb y una especie de reverb+chorus. Controles de volúmen, drive y tono en los cuales hay que tener buena vista para ver en qué numerito estás, por eso le quito una estrella. Lo volvería a comprar.</t>
  </si>
  <si>
    <t>Que es práctico Por el tamaño y para hacer música</t>
  </si>
  <si>
    <t>Myri He usado otras del mar muerto y èsta no se seca como las otras mascarillas, pero tiene un olor agradable y no deja mal la piel</t>
  </si>
  <si>
    <t>Lector de billetes falsos Fácil de usar y te ahorra más de un disgusto</t>
  </si>
  <si>
    <t>Muy bonita Todo tal cual la foto!!!!!</t>
  </si>
  <si>
    <t>Increibles Ligeras el unico fallo los cordones</t>
  </si>
  <si>
    <t>HOLA. LO HE TENIDO SIEMPRE DE PLÁSTICO Y ESTE DE METAL ES FANTÁSTICO. HOLA DE NUEVO, YA HE ROTO TRES MONEDEROS DE PLÁSTICO Y POR FIN, LO ENCUENTRO DE METAL. ADEMÁS EL PRECIO ES INSUPERABLE. OTRA COSA A MENCIONAR ES EL ENVÍO, FUE EN MENOS DE 48 HORAS. GRACIAS.</t>
  </si>
  <si>
    <t>Buena compra Comodas, y bonitas, tallan bien</t>
  </si>
  <si>
    <t>Jose Ángel El reloj funciona estupendamente y es exacto a la descripción del producto realizada. La correa es muy cómoda y se adapta perfectamente a los diferentes tamaños de muñecas por los multiples orificios que trae para aborcharla. Buen formato de pantalla, con los números digitales a un tamaño adecuado e iluminación de LED idónea. Las funciones son las descritas en el producto, destacando las 5 alarmas programables que creo que son muy útiles. Estoy 100% satisfecho.</t>
  </si>
  <si>
    <t>Muy elegante y vale perfectamente para sport y vestir bien Reloj elegante y llamativo, de color negro con detalles metalicos. Es de metal y goma. Me gusta mucho puesto y perfectamente puede servir para sport y para vestir. La correa es suave al tacto, no molesta. Tiene varias funciones, como la fecha con semanas y meses, día de la semana, luz LED, cronógrafo, cronometro, pantalla para marcar la hora digitalmente, sonido en las horas en punto, alarma, es resistente al agua.. En resumen, estoy muy contento con el reloj, ya que tiene muchas cosas útiles y en relación calidad precio está genial.</t>
  </si>
  <si>
    <t>Correcto Van geniales... mi salvación!!</t>
  </si>
  <si>
    <t>Es compatible con mi pulsera pandora Me ha gustado mucho, es lo que esperaba. Llego a tiempo, bien empacado.</t>
  </si>
  <si>
    <t>Una opción excelente si buscas unos auriculares bluetooth. Un gran producto, muy buena calidad de los materiales, la caja para guardarlos es un detalle muy a tener en cuenta para evitar la rotura de los auriculares. Los he utilizado para hacer deporte y en ningún momento se han modido de las orejas con el movimiento. Emparejamiento rapidísimo con Android y iOS no hay delay en ningún momento y la calidad del sonido resulta excelente. 10h de batería que le da una autonomía excelente sobre todo necesitando 1-2 h para cargarse. Sin duda una gran apuesta para los auriculares deportivos respaldada por una gran marca con un servicio postventa perfecto. Sin duda seguiré comprando productos de soundpeats.</t>
  </si>
  <si>
    <t>Muy guapos , y ligeros Son muy chulos , tal cual a la foto . Si que es verdad que pedimos una 43 y llego 44 menos mal por que le vienen bien .</t>
  </si>
  <si>
    <t>bonitos y de calidad Los auriculares vienen equipados dentro de una cajita translucida de plástico con varias medidas para el oído. Son cómodos y se ven de buena calidad. No tengo queja de ellos</t>
  </si>
  <si>
    <t>Perfecto. Me encantan estos biberones, y la tetina yo creo que es la mejor que hay.</t>
  </si>
  <si>
    <t>Elasticidad La tela de este pantalón corto es lo mejor que tiene porque es muy elástica y parece ser resistente a todo tipo de tiburones además de que tiene unos bolsillos muy estratégicos en la parte delantera. Sin lugar a duda los volvería a comprar.</t>
  </si>
  <si>
    <t>Realmente funciona Funciona muy bien con relojes de pantalla de plástico, repare un reloj automatico de cerca de 20 años, ha quedado la pantalla brillante como nuevo</t>
  </si>
  <si>
    <t>Ya las conocía. Bien. Me gustan las botas. Tengo otras de otro color y estas parecen más rígidas. Pero todo satisfactorio.</t>
  </si>
  <si>
    <t>Buenos zapatos Solo quería ratificar la mayoría de las opiniones acerca de estos zapatos,  muy cómodos (esencial para unos trabajos de a diario), en este sentido todo un acierto su suela de goma EVA dando la impresión de ir en zapatillas deportivas (también ayudan a aislar del frío, importante para mi dado que trabajo en unas oficinas sin parqué), plantilla anatómica, muy ligeros y después de mas de un año de uso siguen casi como el primer día, por lo que entiendo que están fabricados con materiales de buena calidad. Mi positivo para Clarks, los tendré en cuenta para próximas compras.</t>
  </si>
  <si>
    <t>Perfecto Corresponde con la descripcion, la talla perfecta.</t>
  </si>
  <si>
    <t>Era demasiado grande La verdad es que posiblemente tenia que haberlo previsto, pues tiene una capacidad de 2,2 litros pero no esperaba que fuera tan grande. Lo tuve que devolver.</t>
  </si>
  <si>
    <t>Ausencia casi total de graves Desde un punto de vista técnico y funcional son óptimos, el emparejamiento con otros dispositivos es intuitivo y casi automático, el uso es comodo y seguro siendo muy dificil que se suelten. El sonido es otra cosa, es muy nítido en las frecuencias medias, en las altas no es brillante pero es acepatable, en las bajas simplemente carece practicante de ellas, cualquier auricular in ear de cable que venga con moviles de gama media supera la calidad de sonido de las frecuencias bajas o graves con creces</t>
  </si>
  <si>
    <t>Miniland Mantiene muy bien el calor. Se suele salir algo de agua a pesar de estar bien cerrado.</t>
  </si>
  <si>
    <t>Escucha flojo y se caee Se escuchan muy flojo y se caen</t>
  </si>
  <si>
    <t>Decepcion Llevo utilizando HD de esta marca desde que tengo uso de razon pero con esta compra he quedado totalmente decepcionada , despues de 2 meses de uso ya me esta dando problemas como : relentizaciones en la transferencia de archivos y el molesto ruido mecanico que siempre avecina una rotura del disco . He de decir que el disco solo lo utilizo para tener un backup  , le he dado muy poco uso para tener esos problemas. Es por eso por lo que estoy totalmente decepcionada y procedere a la devolución del producto.</t>
  </si>
  <si>
    <t>Raya el vidrio Lo use para pulir el vidrio de un reloj, con un paño de algodon y agua, tiene piedrecitas que rayan el vidrio, no hay manera de pulir porque no esta bien molido el polvo y esas particulas producen rayas.</t>
  </si>
  <si>
    <t>Brujita Quedan preciosos.</t>
  </si>
  <si>
    <t>Buena relación calidad precio Se le da mucho uso y aún así sigue como el primer día.</t>
  </si>
  <si>
    <t>El tallaje es algo pequeño Mi talla en este tipo de calzado en un 46 y es el que pedí. Cuando me llegaron, al probármelas con un calcetín normal me estaban superjustas de longitud. Solicité el cambio por otras de talla 46,5. Estas ya me están bastante mejor aunque mejor hubiera sido unas de talla 47.</t>
  </si>
  <si>
    <t>Buena relación calidad precio Producto correcto. Buen material</t>
  </si>
  <si>
    <t>La rapidez Ok</t>
  </si>
  <si>
    <t>Buena calidad y acabados Buena calidad y entra más de lo que parece. Quizás el color tendria que ser más fidedigno en las fotos. Igual cumple mis expectativas.</t>
  </si>
  <si>
    <t>Muy bueno Muy buena compra. Mi hijo se adapto perfectamente a este tipo de tetina. Resistente y muy seguro. Muy contenta con la compra.</t>
  </si>
  <si>
    <t>funciona bien calienta rapido, va bien para dolor de cuello ,parece que es buen material y duradero.</t>
  </si>
  <si>
    <t>Perfecto. Un buen pack económico para satisfacer las necesidades de un bebé. Entre los biberones de la guardería, los de reserva del carro y los de casa estoy usando cada día casi todos los del pack. Buena calidad.</t>
  </si>
  <si>
    <t>Biberones ergonómicos Me encantaron. Mi primer hijo los probó y aprobó, entre otras formas de tetina, los eligió, y los compré para mi segundo hijo, que aunque no quiso ni probar la leche de biberón ni los chupetes, recomiendo Tommie Tippie.</t>
  </si>
  <si>
    <t>De primera La serie Samsung PRO es símbolo de garantía y fiabilidad. Instalado a la primera en mi placa base, sin ningún tipo de problemas. Por el momento, funcionamiento perfecto. Lo uso para la carga de videojuegos de mucho peso (Witcher 3, Battlefield I, Call od Futy WWII, PUBG, etc.). Bajo mi punto de vista, altamente recomendable, especialmente, por el añadido del software Samsung Magician, que está muy bien desarrollado y ofrece muchas posibilidades para mantener y optimizar tu unidad.</t>
  </si>
  <si>
    <t>Cortadora de papel Una cortadora de papel precisa y simple que no ocupa mucho espacio. Según sus especificaciones puede cortar hasta 12 hojas de 80gramos. Yo lo he utilizado con papeles normales y alguna cartulina y todo bien. Tiene guias de corte y la cuchilla se le puede cambiar, en la parte de abajo tiene unas gomas para que no se mueva realizando el corte.</t>
  </si>
  <si>
    <t>Rayen Mery Funciona bien y ahorra esfuerzas.</t>
  </si>
  <si>
    <t>Brutales Los mejores auriculares con cable que he tenido nunca. Calidad de sonido, aislamiento, materiales, varias tallas de almohadillas y una bolsita con cierre de cuerda para llevarlos guardados. Simplemente los mejores con cable que he tenido hasta la fecha (y no han sido pocos).</t>
  </si>
  <si>
    <t>Buen juguete Super divertido!</t>
  </si>
  <si>
    <t>Exquisito y duradero Muy  buena calidad y consistencia, lo cogi para mi humificador que dura 8hras encendido y mantiene sus aromas desde el minuto uno hasta el último,con 5 gotitas para 200ml de agua son suficientes para perfumar todo el ambiente a limón,me encanta!!!</t>
  </si>
  <si>
    <t>Buena inversión Tenía los QC25 que también son una maravilla en cuanto a calidad y reducción de ruido. La batería dura muchísimo y además el bluetooth se puede conectar al menos a 2 equipos a la vez por lo que no necesito tener que andar apagando el bluetooth del móvil si lo quiero usar con el ordenador o la tablet. Los uso mucho para viajar en avión y son una pasada. Es una inversión que merece la pena.</t>
  </si>
  <si>
    <t>Su relación precio/calidad es buena. En general este producto está bien.</t>
  </si>
  <si>
    <t>Los 10 años de batería y sumergible 100 metros Estoy bastante contento con el lo único que como lo uso para trabajar ya lo arañe un poco pero por lo demás todo bien</t>
  </si>
  <si>
    <t>La mejor al mejor precio Son las mismas que en cualquier tienda pero más  baratas.</t>
  </si>
  <si>
    <t>Perfectas Quedan genial!</t>
  </si>
  <si>
    <t>suenas geniales con retraso, pero lo he recibido, están geniales y suenan muy bien</t>
  </si>
  <si>
    <t>Bonito y funcional. Es un reloj muy bueno, tiene muchas funciones, lo único malo es que no se puede sumergir en el agua por lo demás el mejor reloj que me he comprado hasta el momento.</t>
  </si>
  <si>
    <t>Las instrucciones no están en español Está bien, pero no entiendo que las instrucciones no vengan en español</t>
  </si>
  <si>
    <t>No tiene tan buena calidad No tritura todo demasiado bien</t>
  </si>
  <si>
    <t>El problema de siempre Aunque considero que la calidad de sonido es aceptable con este método, sigue sin corregir el error insalvable del crosstalk: la señal se cuela por el circuito provocando realimentaciones no deseadas y haciéndolo inservible a altos niveles de ganancia si lo usamos con auriculares (que va a ser lo habitual). Tras tropezar dos veces con la misma piedra, lo siento pero me tiro a los interfaces USB.</t>
  </si>
  <si>
    <t>No puedo opinar No puedo opinar. Lo tuve que devolver porque venía mal; no me lo reconocía ningún sistema operativo (windows, linus, IOS) y, por supuesto, tampoco me lo reconocía el NAS. Pudo ser un golpe en el transporte; los de Correos no destacan precisamente por ser los más cuidadosos.</t>
  </si>
  <si>
    <t>Auriculares nefastos La calidad de los auriculares es malísima. En menos de un mes uno de los auriculares no iba y al poco dejó de funcionar el otro. El vendedor dijo que mandaría otro pero han pasado más de tres meses y nada. No recomiendo para nada este vendedor.</t>
  </si>
  <si>
    <t>Cumple con su cometido perfectamente Imagi'ne que sería un velcro de peor calidad pero no, funciona perfectamente, en algunos cables lo uso a diario para enrollar y desenrollar y la verdad es que no pierde agarre, cierto es que a veces me viene un tanto corto pero gracias a la hebilla agujereada, se puede empalmar otro velcro sin problemas  Un saludo!!!</t>
  </si>
  <si>
    <t>Super Contento</t>
  </si>
  <si>
    <t>Perfectos Funciona perfectamente, llevo un mes con ellos y no me han dado ningún problema, los uso diariamente.</t>
  </si>
  <si>
    <t>Cumple para el precio No parecen de muy buena calidad, pero no pesan mucho y el tallaje es bueno.</t>
  </si>
  <si>
    <t>Buen producto Lo que esperaba, el envio muy rapido y el articulo muy valido para organizar los cables. To he utilizado para el cable de la tele... que tenianun desorden. Lo malo que hay que tener paciencia para hacer el trenzado. Pero si no, todo ok</t>
  </si>
  <si>
    <t>Muy bonita Muy bonita , mucho mejor de lo q me esperaba. Espero q sea así con el paso del tiempo y que no se ponga fea</t>
  </si>
  <si>
    <t>Biberón evolutivo y termo Biberón de aluminio con diferentes boquillas según la evolución del niño. La boquilla de biberón es de silicona y también trae la boquilla de pajita de silicona o tapadera normal. Se puede utilizar de termo,para mantener caliente por ejemplo la leche del biberón o también para el agua. Tiene. Una capacidad de 180 ml.</t>
  </si>
  <si>
    <t>INCREÍBLE Me encanta todo, lleva hasta garantía, es súper bonito. Lo uso para todo y es increíble. Se puede mejor pero no mucho tiempo. Os lo recomiendo</t>
  </si>
  <si>
    <t>Muy buena compra Muy buen sonido, buena conexión. Buena compra, para el colegio. Para las fiestas escolares, para poner música durante el recreo.... Transporte rápido y seguro.</t>
  </si>
  <si>
    <t>Perfecto Es el más barato pero va perfecto. Tiene un buen tamaño, se acopla al bien al soporte, en mi caso, al Andoer, y me llegó relativamente rápido (creo que de Bélgica)</t>
  </si>
  <si>
    <t>La talla es muy justa Yo calzo un 42 y pedí la 42/43 de talla Brasil y el talón se queda un poco fuera</t>
  </si>
  <si>
    <t>BUENAS SENSACIONES EN EL PRIMER USO LAS SENSACIONES HAN SIDO MUY POSITIVAS. COMODAS Y CON UNA MUY BUENA RIGIDEZ. ESPEREMOS QUE LA DURABILIDAD RESPONDA A LO ESPERADO. SI CUMPLE TODAS LAS EXPECTATIVAS, IMBATIBLE RELACION CALIDAD/PRECIO.</t>
  </si>
  <si>
    <t>Jordi Perfecto!! Cumple perfectamente con su función. He arreglado ya tres pinchazos por clavos y es muy sencillo de reparar, lo que aconsejo lógicamente es un compresor para hinflar posteriormente</t>
  </si>
  <si>
    <t>Perfectos Calidad-precio, bajos buenos, y buena definición de los sonidos. Por ponerle una pega en la diadema se clavan un poco, por lo demás pefecto. Además tiene una función con la Asistente de google, que pulsando el boton de encendido dos veces seguidas puedes decir comandos. Muy útil.</t>
  </si>
  <si>
    <t>Cable de buena calidad Un buen cable que funciona perfectamente. Recomendable.</t>
  </si>
  <si>
    <t>Grapas Grapas. Nada mas se puede decir.</t>
  </si>
  <si>
    <t>La batería dura muchísimo Aunque he destacado en el título la batería, he de decir que dura muchísimo porq me los lleve de finde y los utilice muchísimo, se me olvido la cajita que es donde se guardan y cargan automáticamente y no se acabo la batería e incluso al ponerlos le quedaba aún bastante y fue una grata sorpresa, se adaptan muy bien y la calidad de sonido es bastante buena y a un precio absequible. Viene aparte de estar en su cajita una bolsita como se ve en la foto para guardarlos aún mejor, su cable de carga y otras almohadillas</t>
  </si>
  <si>
    <t>Relación calidad precio inmejorable. Los auriculares vienen muy bien embalados en su caja precintada. En el interior protegida por una bolsa se encuentra los auriculares. En una bolsa aparte el cable para cargar tipo micro USB y cable con doble clavija Jack. Se escuchan muy bien y tiene una buena autonomía. Hoy lo he probado conectándolo al PC para una conversación por Skype y van muy bien. La almohadillas son grandes  y no hacen presión sobre las orejas evitando que te hagan  daño. Un buen producto a un precio aún mejor. Lo recomiendo</t>
  </si>
  <si>
    <t>bueno y bonito cumple con lo indicado, buen precio</t>
  </si>
  <si>
    <t>Pack de aceites esenciales virgenes Me encanta lo fácil que es de reponer en el humidificador. Vienen 6 botes diferentes, entre los cuales te encuentras Mentha, Clavero, Lavanda, Mano de buda y Franquincienso. A mi el que mas me gusta es el de lavanda, oculta los olores y además cuando te lo pones antes de dormir te ayuda a relajarte un montón.</t>
  </si>
  <si>
    <t>Muy buenos Fácil de conectar y estupendo para tener conectados los cables.</t>
  </si>
  <si>
    <t>Buena compra Calientes y comodas</t>
  </si>
  <si>
    <t>Está muy bien La compré para mi hijo y hasta ahora cumple bien con las especificaciones, sin problemas de manchas ni tener que hacer nada especial para quitar  la escritura, solo con un simple paño, usándola con rotuladores bic velleda negros.</t>
  </si>
  <si>
    <t>Precio calidad muy buenos. Suenan muy bien. Echaba de menos un sonido tan bueno. Después de usar varios sin cables la calidad del sonido no tiene nada que ver con esto. Impresionante. Además aíslan muy bien del sonido de la calle. Viene sin control de volumen bien micro por eso vale quizás a ese precio. Pero de verdad suenan muy bien. Los bajos molan mucho. Yo que escucho mucha música electrónica se agradece pero ahora mismo estoy escuchando a los korn y esos bajos se agradecen mucho. Muy contentos.</t>
  </si>
  <si>
    <t>Buen precio. Demasiados bajos. En principio me gustan los bajos, pero en estos auriculares tienen demasiada presencia, "comiéndose" un poco los medios y agudos. Por lo demás, bien, tienen buen precio, son bonitos, me parecen cómodos y son plegables (para quién le interese).</t>
  </si>
  <si>
    <t>Bien Bonito diseño  material del cabuchón no es lo que esperaba pero por ese precio no se puede pedir más</t>
  </si>
  <si>
    <t>Validis Me ha gustado el precio y la rapidez en el envío</t>
  </si>
  <si>
    <t>Mala experiencia con la marca WD Tal y como indico en la cabecera del comentario, tuve una mala experiencia con este disco duro en particular.  Compré este disco duro por su precio y por el respaldo de una marca conocida. No incorpora ningún programa para clonar otro disco duro en este, aun así, siempre encuentras un programa u otro para este fin. Por otra parte, al volcar todos mis datos en el disco duro, al cabo de 3 días el disco duro no arranca. El ordenador se enciende, pero el SO va muy lento.  Esta operación me pasó con dos discos duros iguales de esta marca.  Probé con un Seagate de la misma capacidad y precio y todo excelente.</t>
  </si>
  <si>
    <t>horrible No se lo recomiendo a nadie, suena a cascado y venía sin micros ni mando. Fabricado en China, Calidad China.</t>
  </si>
  <si>
    <t>Cumple lo descrito Esta bien y cumple su función. Echo de menos una pestaña para llevarlo en el bolso de la americana y que no se mueva dentro del bolso.</t>
  </si>
  <si>
    <t>entrega rapido facil de manejar</t>
  </si>
  <si>
    <t>Buen Reloj parlante Cumple su función, lo usa una persona mayor que está mal de la vista y cumple perfectamente, lo peor es ponerlo en hora</t>
  </si>
  <si>
    <t>Precio ok Por el precio bien se transparenta bastante</t>
  </si>
  <si>
    <t>Si pero no Por lo que costaba esperaba que la parte dorada fuera metálica y sin embargo es de plástico, sigue dando el pego pero no es lo mismo. Lo bueno de este Casio con estos colores es que no lo tiene nadie más y me gusta bastante como queda.</t>
  </si>
  <si>
    <t>Genial Genial. Huelen muy bien y me llegaron perfectas.</t>
  </si>
  <si>
    <t>Relación calidad precio Suena bien, la batería aguanta bastante bien. Cómodo y aún no me he caído en el gimnasio. Por el precio son geniales. Compré estos habiendo comprado los auriculares y nuevamente, por el precio he estado muy contento</t>
  </si>
  <si>
    <t>Muy bien Perfecta como siempre. De las mejores marcas de electrodomésticos pequeños</t>
  </si>
  <si>
    <t>Encantado Como el que tenían mis padres! El de toda la vida, pero más moderno. Tacto super agradable</t>
  </si>
  <si>
    <t>Fantásticos de momento Después de devolver unos del LIDL que valian 5 veces menos pero tenian el forro extraible el cual se me salia cada vez que sacaba el pie me decidí por estos y son muy muy cómodos y como el forro va cosido pues sin problema. Si el forro no se rompe antes de dos o tres años (no los llevo todo el dia, solo un rato) habré pagado lo que valen. Si se rompe antes habrán salido caros.</t>
  </si>
  <si>
    <t>Funcionan y quedan muy nitidas Son tan buenas como outras de marcas mas famosas.</t>
  </si>
  <si>
    <t>Cristina Jiménez Morcillo Excelente regla para patronaje en la costura...y para aumentar y disminuir las tallas Muy contenta con la compra Satisfecha gracias</t>
  </si>
  <si>
    <t>Perfecto Tenía dudas a la hora de la talla pero me quedan perfectas</t>
  </si>
  <si>
    <t>Óptimas Muy buena relación precio/calidad. Son cómodas, aunque un poco calurosas. También son un poco mas grandes que otros zapatos de seguridad de la misma talla.</t>
  </si>
  <si>
    <t>Muy útil. Tenía un par de herramientas de jardinería sucias y las he abrillantado con este ácido cítrico. Es un buen remedio casero para estos casos, en mi familia lo hemos usado desde hace mucho tiempo.</t>
  </si>
  <si>
    <t>Muy comodas Muy cómodas, y muy bonitas Mismo color que en la Foto. Ideal para estar muchas horas de pie, se nota que el pie descansa mucho más. Las Recomiendo.</t>
  </si>
  <si>
    <t>El complemento perfecto para mi habitación &lt;div id="video-block-RSAHVMHNOC8HD"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id="59" preload="auto" src="https://images-eu.ssl-images-amazon.com/images/I/91Sj9nL6R-S.mp4" style="position: absolute; left: 0px; top: 0px; overflow: hidden; height: 1px; width: 1px;"&gt;&lt;/video&gt;&lt;/div&gt;&lt;div id="airy-slate-preload" style="background-color: rgb(0, 0, 0); background-image: url(&amp;quot;https://images-eu.ssl-images-amazon.com/images/I/71S5TqcSxbS.png&amp;quot;);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value="https://images-eu.ssl-images-amazon.com/images/I/91Sj9nL6R-S.mp4" class="video-url"&gt;&lt;input type="hidden" name="" value="https://images-eu.ssl-images-amazon.com/images/I/71S5TqcSxbS.png" class="video-slate-img-url"&gt;&amp;nbsp;La verdad es que me sorprendió para bien, buen producto súper silencioso y de fácil uso, el mando a distancia es un puñetazo y que puedes ponerlo en funcionamiento desde el mismo sofá dando un bonito aroma a la estancia con un solo click. El toque del cambio de color(también puedes dejar uno fijo) es algo que me gusta para mi cuarto gamer por los led, muy recomendable la verdad</t>
  </si>
  <si>
    <t>Que me han llegado en buen estado. Son muy bonitos, pero para mí gusto, pequeños..</t>
  </si>
  <si>
    <t>Confort Bonitas,cómodas y ligeras</t>
  </si>
  <si>
    <t>el ajuste perfecto Calzo una 43,esa pedí y me quedan como un guante.Zapato robusto también.Me llegaron casi una semana antes de lo que me habían dicho.</t>
  </si>
  <si>
    <t>Perfecto!! Es precioso. Me encanta. Tal cual se ve en las fotos!!!! Me encanta!!! Muy contenta con la compra. Gracias!!!!</t>
  </si>
  <si>
    <t>Buen sonido Probado en Ibanez srx350 da una calidad de graves aceptable,</t>
  </si>
  <si>
    <t>Comodos Cómodos y bonitod</t>
  </si>
  <si>
    <t>Muy elegantes Bonitos aunque más pequeños de lo esperado.para regalo</t>
  </si>
  <si>
    <t>incompleto No lo pude usar porque no me entraba en el móvil. No pude apreciar bien la descripción del producto</t>
  </si>
  <si>
    <t>no limpia no limpia el cuero solo da brillo</t>
  </si>
  <si>
    <t>No se si fue está la que compre No se si  está  bandolera fue  la que compre</t>
  </si>
  <si>
    <t>No me acaba de convencer Aunque aumentó la velocidad de mi portátil no me acaba de convencer, aveces hace cosas raras y se bloquea unos 40 segundos hasta que vuelve a arrancar.</t>
  </si>
  <si>
    <t>Confortable Calor perfecto suave para las noches de invierno</t>
  </si>
  <si>
    <t>Muy práctico. Bolso muy práctico para cuando vas de Sport tiene un tamaño pequeño pero con mucha capacidad,tiene 4 bolsillos exteriores y uno interior permite llevar todo muy ordenado.Estoy encantada con mi compra.</t>
  </si>
  <si>
    <t>Javier GC Correcto,  correcto y correcto. Ok ok ok ok ok ok ok ok ok ok ok ok ok ok ok....ok perfecto</t>
  </si>
  <si>
    <t>Buen humificador &lt;div id="video-block-R32FUZ1S4QRJEE"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id="23" preload="auto" src="https://images-eu.ssl-images-amazon.com/images/I/B1FM8pPI+QS.mp4" style="position: absolute; left: 0px; top: 0px; overflow: hidden; height: 1px; width: 1px;"&gt;&lt;/video&gt;&lt;/div&gt;&lt;div id="airy-slate-preload" style="background-color: rgb(0, 0, 0); background-image: url(&amp;quot;https://images-eu.ssl-images-amazon.com/images/I/81hRDIT+MpS.png&amp;quot;);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value="https://images-eu.ssl-images-amazon.com/images/I/B1FM8pPI+QS.mp4" class="video-url"&gt;&lt;input type="hidden" name="" value="https://images-eu.ssl-images-amazon.com/images/I/81hRDIT+MpS.png" class="video-slate-img-url"&gt;&amp;nbsp;Buen humificador para que la casa huela bien. Silencioso i de capacidad, convina las fragancias para que huela como mas te guste. Muy satisfecho i con el mando muy comodo.</t>
  </si>
  <si>
    <t>Buen sonido La base de carga tiene mucha autonomía. Tienen buena calidad de sonido. Al principio te tienes que acostumbrar a ponerlos, pero una vez que te acostumbras sin problema.</t>
  </si>
  <si>
    <t>Gran producto y calidad. Tal cual se ve en las fotos. Muy buena calidad de producción y de materiales. Gran marca de prendas interiores.</t>
  </si>
  <si>
    <t>Reloj de calidad y superligero Reloj práctico y muy cómodo. No pesa nada, tiene varias funciones y se ve perfectamente en la oscuridad. Para el diario es muy buena opción incluso para cuando vas más arreglado.</t>
  </si>
  <si>
    <t>Calidad y comodidad ¡Perfectas y muy calentitas!</t>
  </si>
  <si>
    <t>Increible la calidad Increible la calidad por el precio</t>
  </si>
  <si>
    <t>Buenos cascos Están muy bien en relación calidad precio, suenan genial, no tengo ninguna queja y bastante alto, en breve me quedo sordo, son cómodos, y la batería dura bastante, los pongo a cargar cuando me acuerdo y no me suelo quedar sin batería, la única "pega" que le pondría es que como los uso mucho, para el gym, trabajando, etc no tienen pinta de ser demasiado resistentes y posiblemente me duren menos de lo que durarían, pero eso es en mi caso personal. La verdad que es una gran comodidad estar sin cables y funcionan a bastante distancia del dispositivo al que esta conectado. Los recomiendo.</t>
  </si>
  <si>
    <t>La calidad y el precio La rapidez del proceso</t>
  </si>
  <si>
    <t>Un buen producto y con la calidad esperable Es justo lo que buscaba y va perfecto</t>
  </si>
  <si>
    <t>Sonido potente y equilibrado para dispositivos portátiles y buen ajuste en la oreja Justo lo que esperaba de esta marca y por ese rango de precios. Estoy acostumbrado a unos Sennheiser de estudio y no me conformo con cualquier cosa. Estos MX 365 ofrecen un sonido limpio, sin agudos estridentes y con buena presencia de graves. Respecto a estos últimos, claro está, no esperéis la misma respuesta que en unos cascos de diadema estándar de 25-30 euros, pero acostumbro a escuchar música electrónica y los bombos y bajos están bien presentes y sin distorsiones. Lógicamente, los graves también se pierden un poco en entornos con tráfico o viento.  Los recomiendo sobre todo para mp3 y móviles, que es para lo que están pensados. Conectados a la salida de audio de un ordenador de sobremesa, por ejemplo, el sonido se aprecia más débil que en los dispositivos portátiles mencionados.  El ajuste en la oreja es bastante bueno. Los he usado para correr y, con las almohadillas colocadas, no se mueven ni un milímetro. Tampoco transmiten ruidos ni vibraciones de componentes internos, como algunos usuarios señalan en los Sennheiser MX 170. El codo final de la clavija lo veo un poco fino, aunque parece resistente. El par de almohadillas incluido es también fino y, si no se quitan los auriculares con cuidado, pueden caerse. Por estos motivos, recomiendo comprar almohadillas de repuesto (compré un lote de 30 por 0,90€).  En resumen, perfectos en relación calidad-precio.</t>
  </si>
  <si>
    <t>La comodidad. Son muy cómodas!</t>
  </si>
  <si>
    <t>Mejor de lo esperado Mucho mejor de lo que me esperaba. Silencioso, y muy efectivo. Tengo una consulta de masaje y lo utilizo 10 minutos antes de cada masaje. Antes tenia uno que me costó 150 euros y se quemo. Tengo claro que si este se quema me compro otro igual. Estoy muy satisfecho.</t>
  </si>
  <si>
    <t>Bonito y recistente Muy bonito y muy recistente tube que devolver el vape pero el estuche me encanto,</t>
  </si>
  <si>
    <t>Perfectas Son muy cómodas. El embio muy rápido y son resistentes todo tipo de líquido</t>
  </si>
  <si>
    <t>LA ALEGRIA DE MI BEBA Mi beba tiene 5 meses y me tocaba incorporme a trabajar estaba solo con lactancia materna exclusiva estuve una semana intentando que cogiese biberon pero de una marca que utilise cuandi nacio que no conocia aun mi pezon (4 dias hasta que me subio la leche) y queeeeva ya esa tetina no le gustaba lloraba mucho su pediatra me recomendo esta marca y fue uman asierto total a la primera y con dos o tres tomas toma su biberon apacionadamente .LO RECOMIENDO</t>
  </si>
  <si>
    <t>Joma Todos los productos en perfecto estado han tiempo y son muy cómodos. Sí mides 180 o más tienes que comprar la talla XXL en adelante para que te quede perfecto porque</t>
  </si>
  <si>
    <t>Perfecto Lo uso a diario y va perfecto</t>
  </si>
  <si>
    <t>Bien presentados y con muy buen aroma Las compré para el humidificador y dejan muy buen olorcito en la habitación echando unas 3 gotitas por cada 100ml es suficiente. Hay 3 de aroma suave y otros 3 de aroma bastante intenso; los 6 botes vienen en una cajita muy bien presentadas y tienen un tamaño considerable.</t>
  </si>
  <si>
    <t>Grapas de Alta Calidad No se oxidan. Llevo varias cajas compradas y desde luego no hay problema con las grapadoras. No se atasca y el resultado es firme.</t>
  </si>
  <si>
    <t>Simplemente excelente!!! Es uno de estos artículos que en el apartado relación calidad-precio es insuperable. Difícilmente se puede creer que por poco mas de 25€ consigues unos auriculares bien hechas en cuanto a los materiales, sonido sobresaliente (Siempre teniendo en cuenta el precio), bluetooth, manos libres, super cómodos y con una batería interminable. Vamos.., a ese precio.., imposible! El primer había comprado para mi hijo. Me llego hoy y después de probar no dude en pedir otro para mi. He tenido muchos..., el actual que usaba era un JBL C45BT (Me costaron 69€). Pues prefiero Mpow H7, sin duda!</t>
  </si>
  <si>
    <t>Decepcionada La pedí pensando que me iba a ser útil y me he decepcionado un poco, porque pensé que daría más calor. Coge hasta una temperatura pero no veo que caliente mucho, será que estoy acostumbrada a un saco que tengo que calientas en el microondas, que coge más temperatura y además repartido por todo el saco. Y en ésta almohadilla, lo coge por algunas zonas y muy bajo, aún poniéndolo al máximo.</t>
  </si>
  <si>
    <t>No dura el olor en el difusor Yo sinceramente los compre para difusor y en los primeros 5-10 min huele bastante pero luego ya no... pone que con 5 gotas vale pero yo le hecho 15 por lo menos.... y no dura el olor y como no me lo aplico en el cuerpo no se si hidrata o no....</t>
  </si>
  <si>
    <t>Hasta que dejó de funcionar Funcionó muy bien un mes; después dejó de funcionar, sin más. Ni el usb, ni cambiando pilas... nada. Está conectado y encendido pero ya no funciona. No hace nada. Hasta que dejó de funcionar era perfecto. Se cogía bien, funcionaba a bastante distancia, muy práctico para las presentaciones... una pena que solo aguantara un mes!!!!</t>
  </si>
  <si>
    <t>Fallos en la rueda de ajuste La rueda de ajuste (que es lo más importante de este artículo) falla de manera habitual y hace difícil la sujeción del compás.</t>
  </si>
  <si>
    <t>Un poco endeble pero bien de precio. Lo veo un poco endeble, al menos los conectores aunque por el precio que tiene no se le puede pedir más.</t>
  </si>
  <si>
    <t>Cumplen su función Me han parecido un medio perfecto para estar conectado con los cascos al ordenador, de momento no me han dado ningun fallo</t>
  </si>
  <si>
    <t>Lo mejor que te puedes conseguir a ese precio Son unos auriculares muy buenos para el precio que tienen, su caja es muy práctica y pequeña, pero me costaba sacarlos de su base magnética y pulsaba el botón son querer, también al ponerlos en los oídos, y querer ajustarlos más al fondo, aprietas el botón de apagar. aún así son muy buenos.</t>
  </si>
  <si>
    <t>Expectativas cumplidas Buen producto. Buen diseño. Cómodo.</t>
  </si>
  <si>
    <t>Muy recomendabiles Por el prieço son dos mejores phines del mercado! Excelentes! Los recomiendo! No isolan el ruído, talvez la único falha!!</t>
  </si>
  <si>
    <t>Perfecto Muy bien</t>
  </si>
  <si>
    <t>Perfectos Son unos auriculares muy discretos, los he usado mientras hacía deporte y no parece ni que los llevaras puestos. El diseño y la caja de carga son muy elegantes.</t>
  </si>
  <si>
    <t>Regalo acertado Lo compré para hacer un regalo. La persona destinataria quedó encantanda tanto por el diseño de la joya como por la presentación del producto, y después de usarlo dos semanas, prácticamente todos los días, no ha tenido ningún tipo de alergia, no ha oscurecido la cadena, y las piedras continúan con el mismo brillo. Por todo ello, le doy la máxima puntuación pero he de reconocer que, personalmente, pensé que era de un poquito más grande.</t>
  </si>
  <si>
    <t>Excelente estudio fotográfico Es un buen estudio fotográfico por un pequeño precio, perfecto para artículos o si tienes una página web subir las fotos de productos etc. Viene con varios fondos intercambiamles y las lámparas son muy buenas. Estoy encantado con el producto.</t>
  </si>
  <si>
    <t>Sorprendido Calidad, Acabados y tamaño. Lo compré para el lóbulo y simplemente es perfecto. Yo es lo que buscaba.</t>
  </si>
  <si>
    <t>Rápido y de calidad Con un precio muy competitivo, no veo mejor opción. Después de unos meses de uso no me dio ni un solo problema, y ya no puedo utilizar un ordenador sin está fluidez y rapidez a la hora de encender y abrir las aplicaciones</t>
  </si>
  <si>
    <t>Excelente Muy bien todo</t>
  </si>
  <si>
    <t>Muy buena compra. Es muy pequeño y una vez puesto en un puerto casi no sobresale que es lo que yo quería porque conduzco un autobús y al pasar la gente ya me habían roto 2. Con este sin ese problema hasta que se rompa por si solo. Normalmente solo lo utilizo para música, se calienta un poco pero debe ser lo normal con este tamaño. Se raya un poco porque va muy ajustado pero tampoco se nota demasiado. A partir de ahora cada vez que necesite un pincho de esta capacidad compraré este sin duda.</t>
  </si>
  <si>
    <t>Colgante símbolo hielo Buscaba símbolo de hielo como los dibujos de Frozen para mi sobrina y di con este y perfecto.  Esta encantada de llevarlo y pensar que es como la muñeca!  Muy satisfecho con esta marca.</t>
  </si>
  <si>
    <t>Genial el produto! Yo lo uso para calientar mi camilla y funciona muy bien.</t>
  </si>
  <si>
    <t>Buena compra Muy buen producto, todo el mundo que lo ha probado de mi familia contento, ya sé que regalar a más de uno por su cumple jejejej. El masaje lo da según la presión que tú efectúes al sofá te coge bien las contracturas, lo recomiendo buena compra.</t>
  </si>
  <si>
    <t>Ligero y agarre fuerte. La batería dura mucho, con la ventaja de poder cargarlos en la misma caja donde se guardan cuando no los usas (solo hay que estar pendiente de recargar a caja, claro). Se pueden utilizar los dos o solo uno (siendo el derecho el principal), lo que a veces se agradece si no quieres/puedes aislarte mucho. Los he conectado al móvil, al ordenador y a la SMART TV.  Cuando la potencia de la caja de carga sea inferior al 20%, la luz indicadora de la caja de carga parpadeará en rojo cada 3 segundos. Cargue la caja de carga a tiempo y puede cargarse completamente en aproximadamente 1,5 horas. Al cargar la caja de carga, el indicador de la caja de carga continuará iluminado en rojo, y la luz completa se convertirá en una luz azul constante.  Los auriculares HD estéreo proporcionan un sonido realmente natural, con una potente respuesta de bajos. Estos auriculares harán que disfrute la música con una gran calidad de sonido.  Son muy buenos auriculares, según tengo entendido, esta es una actualización de los auriculares.</t>
  </si>
  <si>
    <t>Excelente relación calidad precio Justo lo que esperaba</t>
  </si>
  <si>
    <t>Buena relación calidad precio Fácil de instalar, impresionante relación calidad precio</t>
  </si>
  <si>
    <t>Recomendado a quin le encante los masajes Es genial. Da masajes que da gusto. Tiene dos bolas a cada lado como se ve en la foto. Tiene dos posiciones, fijas con la luz de calor, o rotando dándote un masaje con la luz. A quien le encante los masajes, se lo recomiendo</t>
  </si>
  <si>
    <t>Velcro adhesivo, pequeñitos y Buenos. Los velcro adhesivos vienen en 10 láminas, 5 de cada. Son más pequeños de lo que esperaba, pero el velcro es de calidad, además como son pequeños les puedes poner mejor y si hace falta puedes 2. Son buenos.</t>
  </si>
  <si>
    <t>Buena compra La compra fue muy bien y muy rápida. El libro vino en excelentes condiciones, por lo que si te preocupa el envío, en mi caso no tuve ningún problema con el. Sobre el libro poco hay que decir, era exactamente lo que quería.</t>
  </si>
  <si>
    <t>Perfecto, buena calidad. Simplemente funciona.</t>
  </si>
  <si>
    <t>Muy cómodos Muy cómodos, ideal para la playa, para estar en casa o caminar en verano. Se secan en un minuto y no sudan los pies. No son de plástico como los de los chinos. Permiten caminar muy bien Gracias a la cinta trasera. Volvería a comprarlos.</t>
  </si>
  <si>
    <t>El cable coge vueltas Elegí el producto por las opiniones de los clientes, pero creo que pasé por alto si en alguna de ellas decía que el tomaba vueltas. Y las toma. Es alejarme un poco del amplificador, volver y alejarme otra vez y tengo que desconectarlo por que ha cogido mil vueltas. Así no se puede tocar. No le he puesto menos estrellas porque el sonido es bueno (faltaría más) Pero inicialmente NO lo recomiendo.</t>
  </si>
  <si>
    <t>No me ha gustado el pedido como ha sido enviado No me ha gustado que vengan cada abalorio por separado, me hubiera gustado que ha biera venido todo junto en una cajita</t>
  </si>
  <si>
    <t>Elegante Por el precio que tiene...esta muy bien</t>
  </si>
  <si>
    <t>mala eleccion Todo lo que va planchando va dejando adherido a su placa algo de tenido, para luego mancharte la siguiente prenda. Muy descontenta con ella.</t>
  </si>
  <si>
    <t>Se calienta una barbaridad Es encenderlo y ya alcanza los 60º. Con un poco de trabajo se queda fijo en 65º y nunca baja de esa temperatura. Copiando un archivo desde un usb al disco duro te alcanza los 69º por lo que automaticamente se baja la velocidad de transferencia pasando de 128 mb/s a 1.4 mb/s. Es un disco M.2 inutil y lento por el tema de la temperatura, por lo que  siempre tendras que estar monitorizando la temperatura constantemente. Ni siquiera instalandole un disipador baja la temperatura. NO RECOMIENDO SU COMPRA.</t>
  </si>
  <si>
    <t>No vale para iPhone No funciona para iPhone!!!!!</t>
  </si>
  <si>
    <t>Muy correcto Muy completo y económico. Cumple perfectamente</t>
  </si>
  <si>
    <t>Bonitos y buen tamaño Son bonitos y buena calidad, tienen un buen tamaño</t>
  </si>
  <si>
    <t>Buena calidad y diseño. Aunque tuve algunos problemas de sincronización, lo que he probado me ha parecido un artículo de calidad. Buenos materiales y con sensación de bien terminado. A destacar la calidad de sonido, aunque en eso cada cual es muy subjetivo. El micrófono funciona razonablemente bien. Diseño moderno y que llama la atención por elegancia. La cajita con terminación en cuero añade un plus de elegancia. Compra recomendable 100%</t>
  </si>
  <si>
    <t>Práctico Fue un regalo para mi señora, le gustó</t>
  </si>
  <si>
    <t>Masaje ideal Me gustó lo potente que es la única pega el cable debería ser más largo.</t>
  </si>
  <si>
    <t>Muy buena compra Lo compré para iniciarme en el aprendizaje de los sintetizadores y cumple perfectamente mis expectativas. El acabado, aún siendo de plástico, es más que bueno. Lo recomendaría para aquellos que se quieran iniciar en este mundo, pero si ya lo dominas seguramente se quede corto.</t>
  </si>
  <si>
    <t>Buena compra Perfecto el pantalón buena calidad y estética un 10</t>
  </si>
  <si>
    <t>el micrófono llego perfecto perfecto</t>
  </si>
  <si>
    <t>Bonita Genial</t>
  </si>
  <si>
    <t>Nada visto hasta ahora en batidoras. Fantástico. Es un aparato fantástico, no comparable con batidora de las corrientes. Deja la comida finamente triturada y en un tiempo récord. Lo recomiendo sin ninguna duda.</t>
  </si>
  <si>
    <t>Calidad precio Hola. Me he comprado estos auriculares, pese a tener inicialmente alguna reticencia por no ser de una marca conocida. Tras ver las opiniones me animé, ya que el precio me parece más que bueno. Me llegaron hace unos días y los he podido probar con un iPhone 8. Son cómodos de llevar y la música se oye con un volumen correcto. Me parece que el volumen a máximo es más que suficiente y más sabiendo que son inalámbricos, aunque igual alguien pueda echar en falta más potencia si hay mucho ruido ambiente (como con cualquier auricular, creo yo). Yo los uso en una oficina para trabajar y me parecen correctos. A mi no se me han movido de las orejas ni andando por la calle, ni haciendo las tareas de casa.  El empaquetado me ha parecido muy cuidado. La caja donde viene todo, lleva una presentación correcta y la caja donde se guardan es de un tamaño bastante pequeño (recordemos que hablamos de unos auriculares de 50€) y además los carga mientras los tiene protegidos de los golpes. Se fijan a la caja mediante imán, por lo que no se mueven fácilmente.  Resumiendo, que creo que son una muy buena compra si no quieres gastarte los 180€ que cuestan unos de marca. Seguramente repetiré la compra estas navidades para algún regalo.</t>
  </si>
  <si>
    <t>Perfectos A mi novia le han encantado.Un mes despues y siguen perfectos.</t>
  </si>
  <si>
    <t>Lo recomiendo 100% recomendado para ejercitarse! Ha quedado a la medida y el material se ve bueno y resistente</t>
  </si>
  <si>
    <t>MAGNÍFICAS SUPERAN MIS EXPECTATIVAS TANTO EN CALIDAD COMO EN DISEÑO Y COMODIDAD Y ACABADOS.</t>
  </si>
  <si>
    <t>Me guié por las opiniones y estoy muy contento Hasta la fecha, lo he probado en un par de ocasiones y puedo comentar que se trata de un muy buen producto. Su potencia es más que suficiente para el uso que yo le voy a dar. Eso sí, no es una buena opción si buscas una picadora de hielo.</t>
  </si>
  <si>
    <t>Cloud domestico asequible Lo he comprado a fin de controlar el destino de mis fotos, documentos y otros elementos que hasta la decha venain siendo metidos en el dropbox o onedrive.  No es que no sean fiables pero a mas info mas pagas, con este sistema un rato de darle vueltas a sus funciones y puesta en marcha te configuras tu cloud del tamaño que quieras y ampliable ademas de hacer copia en RAID.  Lo recomiendo totalmente</t>
  </si>
  <si>
    <t>Muy práctico Es muy práctico porque la mayoría de bandejas de este tipo sólo tienen tres compartimentos y se quedan pequeñas. Muy buen acabado y fácil de montar.</t>
  </si>
  <si>
    <t>Buena calidad. Me a gustado mucho su diseño y aún más como se ve todo su mecanismo interior. La calidad es buena y corresponde con su precio.</t>
  </si>
  <si>
    <t>Correcto Correcto</t>
  </si>
  <si>
    <t>Con seleccion de voltage. Funciona con rapidez y ocupa poco sitio Nada que objetar. Cumple sus funciones a la perfeccion.</t>
  </si>
  <si>
    <t>Perfectos Están súper cómodos quizás un poquito grande</t>
  </si>
  <si>
    <t>Era lo que esperaba Era lo que esperaba y llego en el plazo indicado!! Después de varias semanas de funcionamiento no he notado ningún problema!</t>
  </si>
  <si>
    <t>Muy buena y aconsejable. Es una plancha que cubre todas las necesidades que necesito. Fácil de manejo, se desliza bien en todas las superficies. Muy buena.</t>
  </si>
  <si>
    <t>Mala calidad para el precio tan exagerado Compré este producto por su "buena reputación". No me importaba el precio, pero cuando antes de los dos años, se me calentó uno de los envases y me dejaba partes del productos en mi comida, hablé con Amazon, y me dieron otro nuevo. Hace unos días haciendo un salmorejo, lo cogió mi marido, en este caso, la batidora y dejó de funcionar. Ya Amazon no se hace cargo del mismo por haber pasado más de 2 años, y yo me quedo con un montón de envases que ya no puedo usar. El problema de todo esto es que lo que hace girar a muchos de los envases es un trozo de plástico que cede fácilmente con un poco de calor. De verdad, no lo compréis porque está hecho para que deje de funcionar en unos pocos meses.</t>
  </si>
  <si>
    <t>Incómodo Pesa mucho y resulta incómodo. El bisel se mueve con mucha dificultad</t>
  </si>
  <si>
    <t>Reloj muy bonito pero de difícil lectura. Buena calidad. Buen tamaño, pero un problema insalvable para mi, la esfera es completamente negra y no hay marcas de otro color para ver las horas. Además las pantallas digitales son negras también que las hace difícil de ver y se iluminan poco. Un reloj muy bonito pero difícil de leer la hora no es muy útil. El vendedor excelente al gestionar el envío y la devolución.</t>
  </si>
  <si>
    <t>Estafa en las fotos Estafais con las fotos</t>
  </si>
  <si>
    <t>Batidora Es cómoda y potente , aunque el brazo se cayó al suelo y se le rompió inmediatamente  la pieza de enganche a la batidora, me duró una semana .</t>
  </si>
  <si>
    <t>MULTITUD DE COMPARTIMENTOS En general es un buen diseño de bolso para gente que busque tener varios compartimentos separados,con ranuras para bolígrafos,libretas,tarjetas..o lo que se te ocurra. La tela no es mala,es bastante robusta,al igual que las cremalleras. La correa es un poco corta para mi gusto,pero se puede cambiar por una mas adecuada a tus necesidades. La única pega que le pondría sería el color de la tela. Mi compra fue la versión en negro.pero no es un negro intenso,tira a grisáceo y el estilo de la tela a la vista parece envejecida,para nada parece un bolso nuevo,no es un buen negro homogéneo. Respecto al precio,está en el límite de lo que a mi me parece coherente pagar por un bolso de estas dimensiones y características.</t>
  </si>
  <si>
    <t>genial Esta muy bien, pedí una talla mas por si acaso, y la verdad es que estoy muy contenta, incluso sujeta muy bien y me reduce bastante el pecho, sin duda repetiré.</t>
  </si>
  <si>
    <t>Es de mis preferidos La leche cae en su justa medida, con otros se atascaba, y con otros salía demasiado rápido y se atragantaba, la tetina es muy cómoda para el niño.</t>
  </si>
  <si>
    <t>Buena elección Mi talla es 43, la pedí así y perfecto como un guante. Cómodas ! A ver qtal se portan el prxmo invierno pero em dos veces que me las he puesto estoy contento</t>
  </si>
  <si>
    <t>cómodas, calientes. Son cómodas, para lluvia también van bien y abrigan y no se empapan. Yo me pille un numero mas por el tema de los calcetines gordos.</t>
  </si>
  <si>
    <t>Ligero Buen producto</t>
  </si>
  <si>
    <t>guapo es lo que esperaba</t>
  </si>
  <si>
    <t>o.k O.k muy funcional</t>
  </si>
  <si>
    <t>Me costó encontrarlas en tienda Un clásico sin sorpresas.  Tallan igual que la marca de siempre (no coincide con otros tallajes)</t>
  </si>
  <si>
    <t>Buen disco y muy buena velocidad Buena inversión, elimina el coello de botella formado por los discos magneticos y mucho mas rapido que el puerto sata. Una vez le des al boton de encendido en 5 ó 6 segundos tienes windows ya operativo. Para jugar carga muy rapido.</t>
  </si>
  <si>
    <t>Es lo que había pedido y el envio ha sido adecuado Me ha gustado mucho el color, los he usado para aceites esenciales, para llevar en el bolso</t>
  </si>
  <si>
    <t>Perfecto Muy buen producto</t>
  </si>
  <si>
    <t>Excelente Perfecto.</t>
  </si>
  <si>
    <t>Genial por el precio Tal como esperaba</t>
  </si>
  <si>
    <t>buena compra correcta el almacenamiento sin problemas y yo la utilizo para mi móvil un Sony tambien y cumple todas mis expectativas</t>
  </si>
  <si>
    <t>Bolso super interesante por su precio Producto muy interesante y practico. Por su precio inmejorable.</t>
  </si>
  <si>
    <t>Hace su función Todo bien</t>
  </si>
  <si>
    <t>Potente y eficaz. La batidora de Taurus Bapi Unic 900 es un pequeño electrodoméstico muy robusto, fácil de utilizar, con una buena potencia.  Todo el conjunto que está en contacto con los elementos a batir o picar están fabricados en acero inoxidable por lo que la calidad de ellos están aseguradas.  Con sus 900W de potencia unido al sistema de cuchillas podremos picar hielo perfectamente.  Todo este sistema funciona gracias a dos botones que tiene en la parte superior, uno para batir con la velocidad que le marquemos en el selector de velocidad que podemos apreciar en la parte superior de la batidora, podremos seleccionar 20 diferentes velocidades.  El uso es muy cómodo, y ergonómico, en la prueba que he realizado me ha parecido así.  También destacar la sencillez para desmontar el sistema de cuchillas y posteriormente limpiarlas, solo girar la parte inferior.  Las dimensiones son de 39 c 5'5 cm aproximadamente, con un peso muy controlado para la potencia que tiene de 798 gramos.  El sistema Turbo Rotation System ayuda enormemente a la Taurus Bapi Unic 900 a dejar cualquier alimento picado sin grumos y muy homogéneo.  En la prueba a toda potencia lo que notas es su fuerza, tienes que agarrar la batidora y el vaso contenedor de los alimentos, si o si, ya que de lo contrario, éste saldrá disparado.  En definitiva, un excelente pequeño electrodoméstico que te será muy útil en tu cocina, y con un precio muy ajustado.</t>
  </si>
  <si>
    <t>Fashion Cómodas</t>
  </si>
  <si>
    <t>funcional y necesario hola buenas tardes,los archivos son funcionales y necesarios para tener las cosas importantes,ordenadas y clasificadas</t>
  </si>
  <si>
    <t>Suena mb Brutal</t>
  </si>
  <si>
    <t>bonita bien de precio</t>
  </si>
  <si>
    <t>Ligero y sonoro Compré este amplificador con la idea de no dejarme la voz en el campamento de verano durante unas clases que daré como monitora a niños. Veo que va a servir a mis propósitos, pues alcanza gran volumen y calidad de sonido, y a la vez no pesa nada.</t>
  </si>
  <si>
    <t>No puedo ponermelas por el cierre Me gustaro mucho eran un autoregalo pero por desgracia me llegaron sin un cierre</t>
  </si>
  <si>
    <t>Precio poco competitivo y se caen. Los devolví porque se se caían en el gimnasio. Imagino que los de este tipo más o menos van todos igual. Por otro lado salen muy caros para lo que son.</t>
  </si>
  <si>
    <t>muy bien las e comprado a muy buen precio por amazon recomendable las compre sin saber pero me gustan mucho las uso para el trabajo son muy comodas.se me les estropeo la plantilla al mes y medio sin exagerar osea que barato no se si son imitacion pero me a salido igual la reparacion 25e</t>
  </si>
  <si>
    <t>Tuve que devolverlo Tuve que devoverlo ya que me llegó una caja distinta en la que no se incluía el vaso para moler semillas. He pedido otro de distinta marca.</t>
  </si>
  <si>
    <t>Y ahora qué? Ha llegado con la pila agotada 😡</t>
  </si>
  <si>
    <t>Perfectas Todo perfecto, llegaron pronto y en perfecto estado. Calidad Vans de toda la vida La única pega es que con el tiempo y uso se despega la suela un poco en la doblez de los dedos del pie. Pero lo dicho es cosa de diseño de Vans en todos sus modelos pasa</t>
  </si>
  <si>
    <t>Buen producto no puedo opinar pues por causas ajenas a mi voluntat,la tengo en la camara pero sin estrenar.Lo siento</t>
  </si>
  <si>
    <t>Queda muy bien Queda muy bien, pero es algo complicado de poner. Al final, lo hemos tenido que llevar a una relojería para que lo ajustarán.</t>
  </si>
  <si>
    <t>la verdad que muy bien me quedan perfectas. ya me las habia probado en la tienda , físicamente, así que lo esperaba, pero sn muy chulas, no pesan anda y muy cómodas.</t>
  </si>
  <si>
    <t>Pendientes Me ha gustado que vaya en una cajita todos colocados ,ha sido un regalo para mi sobrina y la gustó mucho.</t>
  </si>
  <si>
    <t>Buena compra El bote no es mucha la cantidad Pero es ideal para poner directamente el pegamento sobre los bordes de las pantallas.</t>
  </si>
  <si>
    <t>Preciosa. Me encanta! Preciosa. Me encanta! Más bonita que en la foto. Incluso pedí otra para regalar. Me ha encantado y la uso mucho.</t>
  </si>
  <si>
    <t>Muy recomendable Las zapatillas muy chulas, como en la foto. Son las originales, llegaron rapidísimo, en su caja y muy bien de precio así q todo perfecto</t>
  </si>
  <si>
    <t>Abrigo cómodo Es un abrigo muy comodo porque a la vez que es ligero abruga mucho. Aqui que hace mucho frio en invierno es perfecto para mantenerse calentito. Por su tejido exterior hace tambien de impermeable cuando llueve.</t>
  </si>
  <si>
    <t>Lo que esperaba. Correcto. Se ajusta a la descripción. Bien.</t>
  </si>
  <si>
    <t>MICROONDAS MILECTRIC MIW-20LB Perfecto calidad - precio. Envio muy rapido.</t>
  </si>
  <si>
    <t>Hdd Play 4 Lo compré para sustituir el disco duro de una Play4, y va perfecto</t>
  </si>
  <si>
    <t>Encantada Todo perfecto y el envío rápido</t>
  </si>
  <si>
    <t>Muy bonito Fue un regalo y le encanto</t>
  </si>
  <si>
    <t>Calidad Guitarra</t>
  </si>
  <si>
    <t>sd genial</t>
  </si>
  <si>
    <t>Sorprendente para su precio Por el precio que tienen no creo que haya unos auriculares de este tipo que suenen mejor. Llevo prácticamente un mes con ellos y me duran cerca de 15 horas. La única pega que les encuentro es que no puedes subir o bajar el volumen con ellos, sino que tienes que hacerlo desde el móvil. Pero claro, por 30€ ya sería demasiado.  Con un cupón de descuento el día del padre me salió por 22€.</t>
  </si>
  <si>
    <t>+ q correcto para relación calidad precio Funcionan perfectamente, merecen la pena. Los uso karaoke y me dan más de 8 metros de distancia. Todo ok</t>
  </si>
  <si>
    <t>Perfectas. Me costó encontrar el número exacto ya que las tablas donde vienen las medidas en cm no coinciden exactamente con la talla EU. Después de usarlas durante unos meses y de hacer el camino de Santiago con ellas, puedo decir que son unas botas muy cómodas, perfectas para caminar largos periodos. Me han salvado de más de una torcedura de tobillo en caminos empedrados. Además, después de pasar charcos, riachuelos, y de soportar lluvias, los pies seguían secos, son totalmente impermeables. Encantado con ellas.</t>
  </si>
  <si>
    <t>Suave y calentita El tapón encaja bien y cierra bastante fuerte para que no se salga el agua. El tejido es suave y viene con un envoltorio extra para irlos cambiando. Cumple su función, mantiene el calor durante bastante tiempo y calienta la cama.</t>
  </si>
  <si>
    <t>Recomendable Veo que estos aceites huelen genial, la verdad estoy muy contenta con el producto van de maravilla con solo una gotita ambientan cualquier habitaculo.</t>
  </si>
  <si>
    <t>MARAVILLOSA Estoy encantada con ella.Yo no soy nada habilidosa con la mahonesa y con el accesorio la hago sin problemas y en un momento. Se ha convertido en mi aliada en la cocina para hacer de todo, salsas, merengues,etc.  Envío rápido, y perfecto</t>
  </si>
  <si>
    <t>Genial Me ha encantado tanto que he vuelto a comprar otra regalar.</t>
  </si>
  <si>
    <t>perfectas las mejores zapatillas que he llevado</t>
  </si>
  <si>
    <t>Esperaba más El estuche de lo más normalito. Material no muy grueso. Esperaba algo más robusto y resistente por 7€. La cremallera debe ser la bomba pero no justifica la compra.</t>
  </si>
  <si>
    <t>Rodillo quitapelusa muy normalito Me ha decepcionado bastante. Por los comentarios parecía que era muy bueno, pero a mí no me lo parece. Lo he comprado para quitar los pelos de mi gato de mi ropa y la primera pasada los quita más o menos, pero ya en la siguiente pasada, como ya está el rodillo lleno de pelos y pelusas, casi no quita nada. Es bastante difícil quitar el papel usado del rodillo, porque hay que tirar de una esquinita del papel y no es fácil. Luego sí sale fácilmente todo el papel usado y queda el nuevo. Solo lo recomiendo para casos concretos y no para la limpieza de todos los días.</t>
  </si>
  <si>
    <t>Bien Esta bien calidad precio</t>
  </si>
  <si>
    <t>Malisima calidad Fatal, nos fuimos a pasar el dia a un parque acuatico y las compre para no quemarnos con el suelo y nos han durado un dia solo. Compre 5 y todas se han echo agujeros, para lo que valen un timo.</t>
  </si>
  <si>
    <t>INDIGNADO con la calidad Me ha durado 4 meses. Sin golpes, siempre en funda. De repente un día dejo de leerlo el ordenador. He perdido información muy importante de mi trabajo. Estoy indignado con este producto</t>
  </si>
  <si>
    <t>Muy buena compra Por ese precio está muy bien. Los conectores son de calidad, aunque posiblemente el material del propio cable no dure mucho en condiciones de concierto. Para tocar en casa o en estudio está muy bien.</t>
  </si>
  <si>
    <t>Recambio original Correa original así que sin objeciones. Pero viene sin destornillador para los tornillos especiales... Eso puede ser un problema y para el precio que tiene, incluir el destornillador no es ninguna locura...</t>
  </si>
  <si>
    <t>Buenas zapatillas, para vestir. Zapatillas de vestir, preciosas y de buena calidad. Si se le da uso (para todo) aparecen los rotos y descosidos, pero en mi caso le quedarán pequeñas antes de no poder utilizarlas.</t>
  </si>
  <si>
    <t>Buena compra La talla y la tela, correcto. La unica pega es que es muy fino, por lo que si hace frio, no abriga. Es mejor esperar a la primavera para ponerlo</t>
  </si>
  <si>
    <t>Casi perfecto Un estilo y calidad de un nivel irrebatible. Todas las funciones q se le pueden pedir a un reloj de este estilo. Lo único q no me ha gustado y por eso no le doy las 5 *, es el hecho q el lacado de la caja tiene un plateado muy diferente a la correa metálica, desvelando así su arquitectura de plástico y rebajando el estilo... Si la caja fuera de metal o el acabado estuviera más acordé, no le daba 4, le daba 10 estrellas. Una pena, existiendo casios más económicos donde todo es de metal... En fin, voy a buscar un buen espray metalizado q igual le hago un apaño. Por cierto, buscad en Youtube todos los mods. q se le pueden hacer, imperdible ;)</t>
  </si>
  <si>
    <t>Muy positiva Calidad precio muy buena.</t>
  </si>
  <si>
    <t>Muy recomendable. Un placer pasar el invierno con este infierno. Dos mandos para poder separar la temperatura de ambos lados. Tenéis que probárlo.</t>
  </si>
  <si>
    <t>Perfecto en diseño y funcionamiento. Reloj muy combinable para sport o salir y a la vez muy bonito en estética. Se lo regalé a mi hijo hace un tiempo y de hecho varias personas se han fijado en el reloj y le preguntan de que marca es. Aparenta mas de que se pagó por él. Funciona correctamente y lo tiene hace ya tiempo.Lo recomiendo si alguien tiene que hacer un regalo.</t>
  </si>
  <si>
    <t>Una pasada Ha sido un regalo, y mi pareja ha flipado cuando le he enseñado lo que tenia el cristal. Además la presentacion impecable y queda muy fino.</t>
  </si>
  <si>
    <t>Buen producto y muchos posibles usos. Buen producto. Lo he utilizado para reforzar una cama de perros y me ha dado buen resultado.</t>
  </si>
  <si>
    <t>Buena tela Una prenda ideal, dudaba realmente si me quedaría bien pero la verdad es que la tela es muy buena y sobretodo muy fresquita, cae muy bien y se ajusta bien a los tobillos como debe de quedar</t>
  </si>
  <si>
    <t>BUENA COMPRA &lt;div id="video-block-RJQM9ZW8V810L"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id="31" preload="auto" src="https://images-eu.ssl-images-amazon.com/images/I/91cKaa36RSS.mp4" style="position: absolute; left: 0px; top: 0px; overflow: hidden; height: 1px; width: 1px;"&gt;&lt;/video&gt;&lt;/div&gt;&lt;div id="airy-slate-preload" style="background-color: rgb(0, 0, 0); background-image: url(&amp;quot;https://images-eu.ssl-images-amazon.com/images/I/91epgd89D1S.png&amp;quot;);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value="https://images-eu.ssl-images-amazon.com/images/I/91cKaa36RSS.mp4" class="video-url"&gt;&lt;input type="hidden" name="" value="https://images-eu.ssl-images-amazon.com/images/I/91epgd89D1S.png" class="video-slate-img-url"&gt;&amp;nbsp;Funciona perfecto, muy fácil de poner en funcionamiento y tal cual la descripción.</t>
  </si>
  <si>
    <t>Regalo perfecto Un regalo muy bonito y no muy caro era para mi mujer, y le encantó. Es sencillo a la par que elegante y muy bien acabado. Viene en su cajita y una bolsita con un paño.</t>
  </si>
  <si>
    <t>Muy bonito Muy fino y bonito, recomendable.</t>
  </si>
  <si>
    <t>Igual en la foto Muy bonitas</t>
  </si>
  <si>
    <t>Muy bien calidad precio El SSD va muy bien por lo pronto, (sólo llevo con el montado 6 días) Calidad precio esta muy bien, aunque es verdad que ya están saliendo SSD pcie 4.0 a con un 1TB por 150€, aún así merece la pena, porque tampoco es que se note en la realidad a la hora de realizar cargas, siempre que estemas hablando de juegos, lo dicho, por ahora muy bien, el tiempo dirá si ha merecido la pena.</t>
  </si>
  <si>
    <t>Silencioso y potente El producto es como esperaba, posee calidad es silencioso, potente -en un plis plas estrujas un pomelo- y muy  fácil  de limpiar. El único inconveniente que posee  en su base, son los dos taquitos fijos de plástico en su parte anterior que podría resbalar  en el poyo, lo he solucionado poniendo dos de goma.</t>
  </si>
  <si>
    <t>Totalmente recomendable Súper bonito</t>
  </si>
  <si>
    <t>Perfectas Son un regalo para mi marido, el número es perfecto, cuadra exactamente con las de otro par que tiene ya en casa de ese mismo modelo. El color está muy bien, es un rojo muy oscuro, casi marrón.</t>
  </si>
  <si>
    <t>Buena compra Las peques están encantadas, buena compra. Lo recomendaría</t>
  </si>
  <si>
    <t>Siempre 1 talla mas en mustang Muy comodas. Uso una tall 42 y he pedido la 43 y perfecta</t>
  </si>
  <si>
    <t>Ideal Ha llegado en el tiempo previsto. Mi hija está encantada con las zapatillas. La talla perfecta. Una buena compra.</t>
  </si>
  <si>
    <t>satisfecho con mi Casio Impresionante muy bien en todo satisfecho con esta compra el brazalete esta muy bien acabado y el tamaño preciso ni tan normal ni tan grande.</t>
  </si>
  <si>
    <t>Hace bastante ruido Producto bien presentado, pero a veces no conecta bien y hace bastante ruido. No repetiría la compra</t>
  </si>
  <si>
    <t>InnoGear Filtro Pop de Micrófono con Doble Capa Un filtro como cualquier otro, nada que destacar, hace su funcion, aunque seguramente haria lo mismo con otro mas barato.</t>
  </si>
  <si>
    <t>Mal Mala calidad</t>
  </si>
  <si>
    <t>No es nueva No es nueva. Claramente ha sido usada. Algunas piezas rayadas y los plásticos protectores estaban sucios rotos y viejos</t>
  </si>
  <si>
    <t>Producto de mala calidad He comprado el producto y la pieza de plastico del vaso se ha roto en menos de 5 meses de uso. No recomiendo la compra.</t>
  </si>
  <si>
    <t>correcto el producto está bien embalado y ha llegado en perfectas condiciones. Todos los usb funcionan perfectamente aunque son un poco lentos de escritura, pero la valoración calidad/precio es positiva. Le daría 5 estrellas si hubiesen llegado antes. Comunicación con el vendedor: muy buena. Hay alguno que si lo introduces mal ( al revés ), se hunde hacia dentro y no lo lee bien, pero se soluciona sacándo el dispositivo del corcho y apuntalándolo bien. Deve ser algun defecto en la fabricación pero fácil de solucionar.</t>
  </si>
  <si>
    <t>Magnifico diseño Me gusta su diseño y calidad; el precio no está justificado.</t>
  </si>
  <si>
    <t>Ideal para senderismo. Para senderismo es estupendo. Echo en falta un poco más de zoom en los traks. Robusto y estéticamente precioso.</t>
  </si>
  <si>
    <t>La suela, es muy buena. Necesitaba unos zapatos con una suela que agarre. Estos cumplen de sobra.  Son fuertes como esperaba. En principio todo bien habra que ver con el uso.El envio llego en el tiempo previsto, y perfecto. Pedi una talla 44, segun la medida en cm de mi pie unos 27,10cm, bastante bien la talla.</t>
  </si>
  <si>
    <t>nota de agradecimiento OS DOY LAS GRACIAS POR EL INTERES QUE HABEIS MOSTRADO EN TODO MOMENTO  HACIA MI PROBLEMA. ES DE JUSTICIA DECIR QUE CUANDO ALGO MALO SE SOLUCIONA CON INTERES ES DE AGRADECER. MUCHAS GRACIAS POR DEMOSTRAR QUE HABEIS ESTADO AHI. LA PULSERA  ES ELEGANTE Y ORIGINAL. OTRA VEZ GRACIAS</t>
  </si>
  <si>
    <t>Calidad Audio Sinceramente de los mejores microfonos que hay en el mercado! lo recomiendo 100x100! Una pasada! y hay bastante variedad de colores a elegir :P</t>
  </si>
  <si>
    <t>Unos Guantes Este es el calzado que uso casi todos los dias, para ir al trabajo, para salir a caminar, son demasiado comodos.La unica pega es que son dificiles de limpiar y apenas se mojan, (como cuando cae una ligera llovizna) los zapatos se manchan y se forman las famosas marcas de agua en los zapatos de gamuza. La grasa no la tolera para nada. Pero en general bastante contento</t>
  </si>
  <si>
    <t>Lo que esperaba Perfecto</t>
  </si>
  <si>
    <t>Minimalismo Por ahora, simplemente espectacular</t>
  </si>
  <si>
    <t>Excelente Memoria Tengo ya casi un mes utilizandola y va de maravilla, una velocidad muy rapida y con buena capacidad y resouesta. Se comporta bien en mi Note 8, por el precio que tiene y sus especificaciones es una gran compra. Se las recomiendo ya que la de 256GB tiene un precio de locura.</t>
  </si>
  <si>
    <t>Buena calidad precio . Todo muy bien.</t>
  </si>
  <si>
    <t>Muy cómodos Ideales para estar en casa cómoda y para dormir. Tienen el efecto de que no llevas suje, pecho natural con ropa encima. Sensación agradable en la piel, tacto suave.</t>
  </si>
  <si>
    <t>SOBRESALIENTE. Envío muy rápido!. Solcitado sábado y entregado domingo!. El reloj cumple con todas las espectativas. Muy bonito y muyyy cómodo. En su embalaje original y con todas las garantías Casio. MUY CONTENTO. Empresa impecable.</t>
  </si>
  <si>
    <t>Calidad y cantidad Viene mucha cantidad de producto, el formato es muy cómodo gracias al cuentagotas. La idea era usarlo para hacer jabones pero con ese olor y cantidad lo voy a utilizar para todo.</t>
  </si>
  <si>
    <t>Buenos Muy buen producto calidad precio. Se escuchan realmente bien, se le puede regular el volumen desde los propios auriculares. También puedes contestar las llamadas y adelantar y retroceder las canciones, o pausar un vídeo. Se emparejan muy fácil y rápido. Con sacarlos de la base cargadora se conectan automáticamente al móvil. Tienen muy buena autonomía y lo que más me gusta es que tiene su propia base cargadora, que te la puedes llevar a cualquier sitio y los puedes recargar sin necesidad de cables. Sólo tienes que cargar la base de vez en cuando. No hace falta apagarlos, ya que ellos solos se apagan cuando los dejas en su caja. Si no los quieres dejar en la caja también se pueden apagar pulsando el botón que tiene cada auricular. Muy satisfecho con la compra</t>
  </si>
  <si>
    <t>Cómodos, con buen sonido y con estación de carga que permite cargar tu móvil Muy contento con esta compra. Lo importante para mi, el sonido, muy bueno. Lo segundo en importancia, la comodidad, en mi oreja encaja perfectamente y los he llevado varias horas trabajando y sin problemas. Viene con diversas almohadillas, pero a mi las que venían puestas me han venido bien. Autonomía, bastante buena, la sesión más larga de uso ha sido sobre 4 horas y sin problemas, no he llegado a agotarlos. De este me llamó la atención que viniera con una estación de carga que permitía “ceder” carga a tu móvil, que lo veo muy útil. Esta ventaja hace que la estación de carga pese algo más que otros que compré y que finalmente se ha quedado mi hija. Los mandos están en los propios cascos como es habitual y son bastante sensibles. Tienen protegidos para la humedad, y al menos en el gimnasio con el sudor han aguantado bien y tienen fácil limpieza. Las instrucciones vienen en castellano además de otros idiomas. Los recomiendo.</t>
  </si>
  <si>
    <t>Flexibles y cómodas Flexibles y cómodas para el trabajo. Nada que ver con las botas de trabajo tradicionales, van reforzadas también, por lo que protegen tus pies de posibles golpes o aplastamientos pero no producen rozaduras ni pesan tanto</t>
  </si>
  <si>
    <t>Love Me encantan</t>
  </si>
  <si>
    <t>Buen producto siempre usamos otra marca de biberón, y por consejos hemos cambiado a este biberón es genial, y le cambiaré todo a este marca. Tiene una tetina con facil agarre y buen anticolico</t>
  </si>
  <si>
    <t>Todo muy bien El producto me llegó en el día indicado y en perfectas condiciones. Además me encantan estas zapatillas, favorecen mucho! Lo único es que me quedan un poco grandes (pero me las puedo poner sin problemas y probablemente una talla menos no me hubiese valido)</t>
  </si>
  <si>
    <t>limpio Util</t>
  </si>
  <si>
    <t>Buena relacion calidad precio Calidad Casio, buen producto. No da problemas</t>
  </si>
  <si>
    <t>Encantada! Estoy encantada! Tanto como talla , cómo comodidad , es la primera vez que los he comprado , y si me duran volvere a comprar los mismos</t>
  </si>
  <si>
    <t>No soporta casi nada de peso Las compré para colgar unas fotos de cartón pluma, muy poco pesadas, de 30x45 cm, sin marco. A la tercera que colgué, comenzaron a caerse de la pared. Si la superficie no es perfectamente plana, ya no aguantan. Acabé tirando del cuelgafácil de toda la vida. Una decepción.</t>
  </si>
  <si>
    <t>Taurus Ultimated Lithium Aspirador de escoba Taurus, no es un Dyson ni tampoco un Xiaomi ROidmi, pero por su precio succiona bien y con ganas, las ruedas deslizan bien por todo tipo de suelo, esta bien construido y la batería dura lo suficiente para aspirar un piso de 60mª, el adaptador para colgarlo en la pared que viene hace que sea bastante fácil guardarlo sin que moleste.</t>
  </si>
  <si>
    <t>micro El micro ha sido para el cumpleaños de mi hija de 6 años, sorprende la calidad del sonido del altavoz, aunque la calidad del micro es diferente. Tienes que pegar la boca a la parte superior para que se escuche. Para niños y por el precio que tiene , está bien, es entretenido y cumple su función.</t>
  </si>
  <si>
    <t>el producto es correcto pero no cumplia con mis espectativas lo devolvi tiene pocos departamentos y para mi no me serbia , en cuanto a la tela bien si tienes que abrir y cerrar a menudo no es muy practico por sus 2 cierres</t>
  </si>
  <si>
    <t>Se soltó una pieza de goma y se trituró con el batido. Peligroso El producto es útil, fácil de utilizar, en general estaba bastante contento hasta que noté algo raro mientras hacía un batido, y luego vi trocitos de plástico sueltos. Se había soltado una goma, si no llego a darme cuenta la podría haber ingerido..  Por supuesto, la voy a devolver y supongo que desde Amazon no pondrán ninguna pega, pues la tengo menos de 1 mes.</t>
  </si>
  <si>
    <t>Compacto, pero despues de usarlo un mes apare óxido. Compacto, como esperaba. Pero después de usarlo unas semanas empezó a aparecer óxido en la parte interior, en la zona de unión de la base y la pared lateral. Compré al mismo tiempo otro hervidor de acero inoxidable de otra marca para tenerlo en mi oficina, que uso también a diario, y en cambio en ese no hay oxidación, cuando el tipo de agua que utilizo es similar. Este modelo de H.Koenig me ha decepcionado.</t>
  </si>
  <si>
    <t>Buen tamaño Es útil y tiene buen tamaño, suficiente para llevar una tablet</t>
  </si>
  <si>
    <t>Que el niñ@ tenga la edad recomendada El piano es estupendo, calidad de material muy buena y la idea es genial. Lo devolví porque es a partir de la edad que indica sí o sí. Mi hija, más pequeña, aún no identifica colores y como no tiene melodías extra no le llamaba la atención, pero lo compraré de nuevo en un par de años, seguro.</t>
  </si>
  <si>
    <t>Valoración La tela parece demasiado floja, aunque supongo que por el importe de venta va en relación calidad precio. Lo utilicé para regalar.</t>
  </si>
  <si>
    <t>usar tantas veces como  quieras Me encantan me sientan genial y comodisimas</t>
  </si>
  <si>
    <t>No está mal!!! Hola, va bien!! No es gran cosa!! Por el momento funciona y muy lijera.</t>
  </si>
  <si>
    <t>Para viajar bien Me gusto</t>
  </si>
  <si>
    <t>Son buenos Muy buenos excelente calidad pero cuabdo lo usas por mucho tienpo tiende a dolerte las orejas  un poco</t>
  </si>
  <si>
    <t>Calidad excepcional , precio ajustado En cuanto al sonido nada que objetar, los graves son una pasada.   Si tienes unas orejotas como es mi caso resultan algo incómodos estos auriculares  El diámetro de las almoadillas es más pequeño que otros modelos más o menos equivalentes de AKG como el K601, K701. La banda también aprieta más . Por lo demás no tengo queja, espero que me duren mucho.</t>
  </si>
  <si>
    <t>Un recogemigas que funciona Funcionó muy bien, y el acabado está muy bien, no como esos de plástico que se abren en cuanto los empujas</t>
  </si>
  <si>
    <t>Brutal, sonido muy limpio, muy recomendable Brutal, muy fácil de conectar y un sonido muy limpio. Supongo que los habrá mucho mejores, pero a mi me ha resultado perfecto. Tengo una escuela de finanzas y tengo que hacer los videos del curso y, sinceramente, espectacular el sonido. Si buscas algo sencillo, fácil de usar y conectar, este es tu micro.</t>
  </si>
  <si>
    <t>Una maravilla Estoy ecantada con la compra , tallan como se espera y son muy bonitas y de muy buena calidad . Mi hija esta encantada</t>
  </si>
  <si>
    <t>Cumple su función Me gusta esta marca para las tarjetas de memoria, la verdad que me da bastante confianza.</t>
  </si>
  <si>
    <t>100% recomendable Llevo usándolo 3 semanas y estoy muy contenta. Te deja una sensación de bienestar en la cara ideal. Yo aconsejo que se use frío. No sé si me mejorará las ojeras (es por lo que me lo compré), pero me gusta.</t>
  </si>
  <si>
    <t>Sorprendentemente útil Vivo en zona de costa, y según algunas indicaciones comentaban que no acababa de limpiar bien porque aquí el agua es algo más dura. Y la verdad, que nos ha sorprendido. Pusimos algo más de cantidad de la recomendada por lo dicho anteriormente, y aunque desconfiábamos, la ropa huele a limpio!!! Sin duda, dejo de de usar cualquier detergente o suavizante, la ropa queda limpia y con un sutil aroma al aceite esencial que le pongas al saquito de tela (incluye dos).</t>
  </si>
  <si>
    <t>Rápida y no muy ruidosa. Muy buen producto y mejor calidad-precio. Es potente, rápida, hace cremas muy finas y no es demasiado ruidosa. Estoy contenta con la compra aunque es muy pronto para opinar puesto que la compré hace poco y aún no le he dado mucho uso. De momento le doy muy buena nota.</t>
  </si>
  <si>
    <t>Perfecta para LG G3 No sabia si me iba a servir, ya que el movil solo indica que acepta SD hasta 128 Gb y no pone nada de SD XC. Nada mas meterla al movil la ha reconocido, incluida la marca. La aconsejo sin temor a equivocarme. Es rapida aunque no la mas, pero mas que suficiente para grabar videos y fotos en alta definicion. Tras unos dias de poco uso la tarjeta se ha vuelto muy lenta, tarda mucho en grabar cada foto y volver a dejarte sacar otra.</t>
  </si>
  <si>
    <t>Profesional Perfecto</t>
  </si>
  <si>
    <t>El Ferrari de las batidoras Encantada con la batidora. Tiene mucha potencia que hace que todo quede bien batido.</t>
  </si>
  <si>
    <t>fenomenal Por el precio que tienen tan barato, una compra fenomenal, porque la calidad es más que suficiente para lo que sirven. Muy útiles para sujetar y tener ordenadas las cinchas sueltas siempre colgantes y molestas de mis mochilas. Tambien me han servido para mantener cables atados entre si, o para sujetarlos a puntos fijos, es verdad que el mayo suelta algo de pelo, pero no es grave, en cualquier caso estoy contento con la compra.</t>
  </si>
  <si>
    <t>Perfectas! Muy bonitas y cómodas. Se lavan y secan muy rápido.</t>
  </si>
  <si>
    <t>Fantástico Es perfecto, no pesa y es super facil de usar. Todo lo preparo muy rapido y fácil de limpiar</t>
  </si>
  <si>
    <t>Todo correcto Bien</t>
  </si>
  <si>
    <t>Perfecto Aunque dicen es silencioso un ruido, más que soportable, hace. En cuanto al diseño es muy bonito y las luces muy agradables. Llegó al día siguiente de pedirlo y estoy muy contento con la compra. Justo lo que esperaba</t>
  </si>
  <si>
    <t>Suenan, que por el precio que tienen, no es poco Por lo que me costó, poco más se puede pedir. Enlaza correctamente y emite sonido. No penséis que la claridad o el tono van a ser medianamente decentes, ya que no lo van a ser</t>
  </si>
  <si>
    <t>Mediocre La tira que sujeta la mochila a la espalda estaba mal acabada y le salían hilos. El diseño no está mal pero la calidad mejorable.</t>
  </si>
  <si>
    <t>Mala calidad No vale la pena, se me rompió el primer día.</t>
  </si>
  <si>
    <t>Muy mejorable Es muy pesada. El cable de conexión resulta incómodo y aunque el tejido es suave no contrarresta la incomodidad que supone lo pesado que es</t>
  </si>
  <si>
    <t>SON DE LAS MEJORES Buena calidad pero algo caras.</t>
  </si>
  <si>
    <t>Buen precio Lo esperado</t>
  </si>
  <si>
    <t>Sustituto para la clásica bayeta Me gustan, son como bayetas pero biodegradables. Aunque no creo que vayan a durar tanto como las tradicionales.</t>
  </si>
  <si>
    <t>MUY BUEN USB DE TAMAÑO REDUCIDO Hace pocos días que lo tengo y va perfectamente. La relación calidad-precio es buena. No doy la puntuación de  excelente porque le falta un tapon o cierre al USB para que no le entre polvo o agua si se cae. Aunque depende de cada caso y además del precio, particularmente considero que para un usuario normal pensando en una posible perdida o extravío puede ser mejor tener 2 de 64 G aunque sea un poco mas costoso .</t>
  </si>
  <si>
    <t>La marca da confianza Todo bien, solo un pelín estrecho para la talla. Cómodos de llevar y andar.</t>
  </si>
  <si>
    <t>Cómodos y con buen alcance Los auriculares son cómodos y tienen un alcance de unos 15m. En la carcasa podemos ver la batería que tenemos todavía para cargar los cascos y a ambos lados la batería que le queda a cada auricular. Se puede cargar con USB o USB C</t>
  </si>
  <si>
    <t>Calidad de imagen más que aceptable. Recomendable Temía que un dispositivo de tan bajo precio ofreciera una calidad de imagen pobre. Pero en absoluto. Ofrece gran calidad. Recomendable.</t>
  </si>
  <si>
    <t>Chanclas Envío rápido y producto ok</t>
  </si>
  <si>
    <t>Precio y la protección del paquete Es muy bonito según mi mujer le a encantado</t>
  </si>
  <si>
    <t>BIEN UN USB BARATO</t>
  </si>
  <si>
    <t>De 10! El mejor regalo que he hecho! Contentisimos con el resultado</t>
  </si>
  <si>
    <t>bien Pedido perfecto, buen vendedor, recomendable +++</t>
  </si>
  <si>
    <t>Muy ligeras. Buen producto  y comodas</t>
  </si>
  <si>
    <t>Biberón de cristal 120 ml Este biberón es de cristal resistente al calor; la tetina de silicona es ancha, suave y flexible y tiene un diseño con forma de pétalos que imita la forma natural del pecho para facilitar el enganche. Es anticólicos pero no impide que el bebé llore.</t>
  </si>
  <si>
    <t>Correcto Unos pendientes bonitos y de calidad</t>
  </si>
  <si>
    <t>Saray PERFECTAS! Han llegado bien embaladas en su caja original, con la etiqueta, limpitas y nuevecitas! Son muy cómodas y, lo mejor, súper bien de precio! Para orientar, yo uso 37 y me pedí el 36 2/3! Y me van clavadas! 👌🏻 Un 10!</t>
  </si>
  <si>
    <t>judit barcelona Son comodísimas. De las mejores vans que he tenido. Se adaptan perfectamente y quedan bien con todo. Muy recomendables. ;)</t>
  </si>
  <si>
    <t>Es.muy chulo el carrito, a mi nena la encanta Encantada</t>
  </si>
  <si>
    <t>Tarjeta memoria BBB De las mejores tarjetas de memoria del mercado, gran capacidad, no falla y no te deja tirado, la velocidad de almacenamiento no es muy alta, yo la utilizo para fotografía y al no hacer ráfagas, me sobra con esta.</t>
  </si>
  <si>
    <t>Perfectas y Economicas Buenas, comodas y sostienen.</t>
  </si>
  <si>
    <t>justo lo que esperaba no hay mas</t>
  </si>
  <si>
    <t>yolizoe Muy bien, todo perfecto y el tiempo hasta recibirlo muy rapido. El reloj funciona muy bien y la presentacion con su caja de camuflaje muy buena.</t>
  </si>
  <si>
    <t>Dr Mejora visto más que en la fotografía es súper cómoda de llevar y para un regalo que eres formidable por su presencia</t>
  </si>
  <si>
    <t>LAs esponjas mas "baratas" que he visto Son de la mas mala calidad que puedas encontrar en el supermercado, no se si valen la pena, aunque lo compre que era baratisima no me convencen, prefiero pagar un poco mas para unas que duren mas y asi no creamos tanta basura</t>
  </si>
  <si>
    <t>Hola No añade ninguna factura o albarán</t>
  </si>
  <si>
    <t>SUPER PEQUEÑA La mopa, como tal, es muy buena, pesa poco, es ágil, y cómoda. Su pega, es que es minúscula, debe medir 24cm de largo.No la recomiendo por eso, debería medir al menos 30 o 35 cm.  La próxima vez leeré hasta encontrar las medidas.  ¡Saludos!</t>
  </si>
  <si>
    <t>Insatisfacción El pendiente bien pero las tuercas no sirven y le reclame me mandaron otros y lo mismo así k no me los puedo poner</t>
  </si>
  <si>
    <t>No lo compres por dios El color no se corresponde entr correa y reloj. No pagueis el envio urgente es un timo, todavia estoy esperando rwspuesta por su parte para que me devuelvan el dinero del envio</t>
  </si>
  <si>
    <t>Perfectas Exactamente lo que estaba. Botas de buena calidad, cálidas y que ofrecen buena protección al pie en lo más crudo de esta ola de frío. No obstante ocurre lo mismo que mucho calzado de montaña técnico, en uso urbano pueden resbalar en algunas superficies muy lisas. Se nota que están más orientadas a uso de exteriores</t>
  </si>
  <si>
    <t>Muy contenta con ellas Buenas zapatillas. Después de algunas semanas de uso siguen como el primer día. Todavía conservan el dibujo del logo de la suela cosa que enseguida suele ir desapareciendo.</t>
  </si>
  <si>
    <t>Buen servicio Buen material y no si nada alérgicos..</t>
  </si>
  <si>
    <t>Confiando en la marca Elegí esta marca porque es la misma que tenía la cual duró mas de 10 años, hasta ahora va bien pero me da un poco de miedo los encastres ya que el de la tapa no esta firme. El recipiente es chico pero bueh... es el modelo. Hasta hoy estoy conforme con su rendimiento.</t>
  </si>
  <si>
    <t>Cumple con el precio y es muy bonito y favorecedor Bueno este jarse es muy bonito la talla es abundante si tienen dudas cojas una talla menos  es mi apreciación el color no es igual al que aparece en la pantalla pero sigue siendo bonito y muy favorecedor a la calidad de la prenda es lo que esperaba y es finito lo que menos me gusta es sus pequeños bolsillos laterales que no gusta por no tener buena forma en lo bolsillos es mi unica pega, por eso no le doy las 5 extrellas de todos modos estoy contenta un saludo y felices fiestas y año nuevo</t>
  </si>
  <si>
    <t>Identico al original Buen producto</t>
  </si>
  <si>
    <t>ANGOOL Sujetador Deportivo Almohadillas Extraíbles Yoga Run Bra para Mujer los he utilizado para practicar pilates y debo decir que son cómodos y dan la talla perfecta. Algo en su contra , dan ,mucho calor, pero para el invierno debe ser maravillosos</t>
  </si>
  <si>
    <t>Originales Comprobé que eran originales ya que había leído en comentarios que algunos vendedores las vendían falsas. Por lo general estas botas tallan grande, yo uso una 40 y tuve que coger una 39, lo mejor es probársela en tienda y luego aprovecharse de la oferta de Amazon. son duras, por lo que necesitarás unas semanas para hacerlas al pie.</t>
  </si>
  <si>
    <t>Calidad Muy buen producto y muy puntual en la entrega.</t>
  </si>
  <si>
    <t>Es lo que necesitaba Por eso me acabé comprando cinco iguales. Es cierto que me hacían falta porque tengo un pequeño alojamiento y quería anadir el servicio de té en la habitación. El hervidor es suficiente para calentar el agua de un par de tazas. Es robusto. La tapa se quita del todo y así es más fácil limpiar el interior. Y sobre todo, que tenga la posibilidad de escoger la temperatura para el agua me parece una idea genial, no lo había visto nunca. Es cierto que hay hervidores pequeños mucho más baratos, pero no de la misma calidad. Si necesito más volveré a comprar seguro.</t>
  </si>
  <si>
    <t>super comoda Muy por encima de mis prespectiva, buena calidad relacion precio. Muy satisfecho</t>
  </si>
  <si>
    <t>Todo ok Usando la tabla que de salomon para las medidas viene como un guante.Y han cumplido de sobra mis expectativas.</t>
  </si>
  <si>
    <t>Jon Calidad precio muy bien.  Lo compré por los comentarios y no me ha defraudado.  Se ve muy nítido. Mi compañera ve incluso con astigmatismo.</t>
  </si>
  <si>
    <t>Calidad precio excelente Son finos pero abrigan, y son transpirables. Contenta con la compra.</t>
  </si>
  <si>
    <t>Inma P Util para el cole. Siempre compro articulos de esta marca: lápices,por ejemplo, cuando mis hijos comienzan el curso escolar,porque me dan garantia de calidad.</t>
  </si>
  <si>
    <t>Excepcional Prenda perfecta, se adapta completamente a ti, siendo como tu propia piel. Volveré a comprarla.</t>
  </si>
  <si>
    <t>OROGINALES Son las autenticas, calidad/ precio amazon insuperable, las volveré a comprar de otros colores cuando las vuelvan rebajar ;)  cómodas y versátiles. Como nota, me cogí medio numero menos que mi talla habitual y me van perfectas.</t>
  </si>
  <si>
    <t>Muy buenos Muy buenos biberones, es de los mejores precios que he encontrado. Gran marca y los mejores anticolicos. Sin duda repetire.</t>
  </si>
  <si>
    <t>Dr. Martens 1460 - Botas con cordones para hombre, color negro, talla 43 Cómo no podía se de otra manera cumplió todas las expectativas. Todo en tiempo y forma. Espero que duren muchos inviernos.</t>
  </si>
  <si>
    <t>Estupendo Siempre la compro, conozco la marca y funciona muy bien.</t>
  </si>
  <si>
    <t>Comodidad Muy conodas para trsbajar toda la.noche</t>
  </si>
  <si>
    <t>SENCILLAMENTE, EXTRAORDINARIO! El articulo es precioso, la presentación muy buena, el envío rápido y ha cubierto mis expectativas. Se lo recomendaría a cualquiera, el articulo y la forma de comprar.  Gracias por todo</t>
  </si>
  <si>
    <t>Buena compra Genial, muy contentos. La bateria aguanta perfectamente para limpiar todo mi piso ( unos 100m2). Fácil de limpiar y muy manejable. Por ponerle una pega, hay veces que no llega bien a algunos bordes, pero por lo demás muy bien.</t>
  </si>
  <si>
    <t>Geniales No soy un gran entendido en sonido, pero sí algo purista. Busco calidad en los componentes, bajos decentes, autonomía y fiabilidad. Estos JBL cumplen con lo mencionado. Después de unas semanas de uso no puedo decir nada negativo. Recomendadísimos.</t>
  </si>
  <si>
    <t>producto normalillo Bueno son auriculares normalillo no se oyen perfecto pero bueno con el precio ya se sabe se puede estar aceptable</t>
  </si>
  <si>
    <t>Bien como regalo del Día de la Madre Perfecto para el día de la madre por que viene en una cajita elegante, pero el collar es un poco clásico. No estoy muy segura de si me lo quedaré por que no me acaba de convencer, la cadena es un poco tosca para mi gusto. Pero por 10€ que lo compré en oferta tampoco puedo pedir mucho más, por ese precio está genial como regalo.  PROS: Packaging muy elegante Calidad/precio Aspecto  CONTRAS: Un poco clásico Cadena un poco fea</t>
  </si>
  <si>
    <t>Calidad básica No me convence la calidad</t>
  </si>
  <si>
    <t>El Vaso, en concreto la tapa, no cierra y es un verdadero problema La batidora muy bien, pero la tapa del vaso portátil no cierra y pierde toda la funcionalidad que tiene. He contactado con Philipis y me dice que la garantía no cubre los "accesorios", a lo que yo he respondido que el "accesorio" es prácticamente lo más importante de esta batidora, y emotivo por el que me decanté por este modelo y no otro. El contenido del vaso se me ha derramado e varias ocasiones porque la tapa se abre de repente, y me ha causado problemas. También me dicen desde Philips que es el vendedor el que se hace responsable de cubrir lo referente a accesorios, pero no consigo contactar con el vendedor.</t>
  </si>
  <si>
    <t>Me enviaron un microfono usado Me enviaron un micrófono ya usado y claramente defectuoso con un ruido como de vibración de fondo constante, que por más que toqué opciones era imposible de mitigar. La caja no estaba sellada. Pedí un producto de reemplazo y el micro que me llegó sí que era nuevo, nada más enchufarlo funcionaba todo a la perfección.</t>
  </si>
  <si>
    <t>Mar Es corto el largo de pierna y al primer lavado ya lo he desechado; no lo entiendo porque compré este modelo en verde y es un pelín más largo.Una estrella por el precio.Gracias</t>
  </si>
  <si>
    <t>Los de toda la vida Llevo usando estos dvds unos 15 años, y no les encuentro ninguna pega. Es cierto que con la luz terminan estropeándose, pero después de muchos años. Dentro de albumes, no tienen que tener ningún problema. Y todavía no me he encontrado con ningún dvd defectuoso.</t>
  </si>
  <si>
    <t>Buena relación calidad precio, alta capacidad Lo he puesto para hacer backup de los datos más sensibles de mi nas y funciona perfecto.  Como contra decir que por la capacidad de 8TB es un poco más grande que otros discos y necesita alimentador de corriente, pero es normal para esta capacidad, aún así el tamaño no es demasiado grande</t>
  </si>
  <si>
    <t>Muy buenos cascos dentro de la gama media-baja Los uso para ir al trabajo, para una hora con ellos puestos no molestan en absoluto ya que son ligeros. Ya tenía el modelo antiguo y me gustaban por su sonido, muy nítido y potente en graves y aceptable en medios y agudos. Aisla bastante bien del exterior sin tener que ponerlos el volumen demasiado alto y el cable no molesta, ya que no es ni muy largo ni muy corto. No sé lo que me durarán pero por este precio seguramente repetiré cuando fallen o lo que sea. 8/10</t>
  </si>
  <si>
    <t>Mu bueno Nos ha satisfecho el producto. Ya teníamos uno igual pero con el paso de los años se ha ido deteriorando, y este es el recambio perfecto. Únicamente que escogí el modelo que lleva el corta patatas y nos sobra, por lo demás es perfecto.</t>
  </si>
  <si>
    <t>Estupendos Son muy cómodos, fáciles de conectar y van muy bien.</t>
  </si>
  <si>
    <t>Zapatillas de excelente calidad Gran calidad. Es la segunda vez que las compro por los buenos resultados obtenidos.</t>
  </si>
  <si>
    <t>Bonita sudadera Preciosa y de calidad. A mi hijo le encanta.</t>
  </si>
  <si>
    <t>Pequeño pero práctico Es pequeña, justo lo que buscaba. De un material que parece indestructible. Me ha gustado mucho porque siempre iba con uno de un tamaño superior y había veces que era innecesario.</t>
  </si>
  <si>
    <t>Gran producto Están perfectas e salido a correr con ellas y son perfectas,eso sí cuidado con las tallas yo utilizo una 47 y e cogido una 48 y me van perfectas</t>
  </si>
  <si>
    <t>Muy sencillo, lo conectas y funciona Teclado sensible ala presión. Muy útil la tecla de volumen. Quiza añadiría algún sistema que indicase en que zona del teclado te encuentras ya que con las teclas + y - te mueves con facilidad por él pero solo es con el sonido cuando te ubicas.</t>
  </si>
  <si>
    <t>Muy bonitad Las compré para un regalo y acerté de pleno,son más bonitas que en la foto y traen dos tipos de cordones diferentes para poner al gusto</t>
  </si>
  <si>
    <t>Cascos de buena calidad y precio Estaba buscando unos cascos bluetooth desde hace un tiempo  y vi estos que me llamaron la atención y su buen precio y no me equivoque, ya que son unos cascos geniales la verdad. Por mi parte son 100% recomendables.  - El sonido es bastante bueno y limpio. - Son bastante comodos. - Viene con varias gomas de distintos tamaños. - Muy fáciles de emparejarlos al teléfono. - Destacar que puedes usar solo uno de ellos sin obligacion de usar los dos a la vez  ya que ambos tienen microfono y puedes usar ambos como manos libres.  En definitiva unos cascos geniales, comodos a un muy buen precio y faciles de transportar ya que la cajita es pequeña y comoda.</t>
  </si>
  <si>
    <t>Lo mejor que he comprado!!!! Mi casa no tiene calefacción así que hace siempre frío. Con esta manta estoy siempre caliente y caliente la cama super bien! excelente compra y super suave.</t>
  </si>
  <si>
    <t>Excelente bolso de piel Es de piel auténtica, muy elegante, fácil de llevar y con muchos compartimentos. Me cabe todo. El tamaño tal y como indica la ficha técnica. Muy buena compra.Desearía añadir que lo compré el 24 de noviembre del 2018 y a día de hoy(4-5-2019) sigue impecable.</t>
  </si>
  <si>
    <t>el mejor con diferencia después de comprar otro, que costaba la mitad y creyendo que me iba a dar el resultado esperado, tuve que adquirir éste. no tiene nada que ver, no busques mas . idioma español, autonomía de 11 horas de conversación , no malgastes tu dinero en experimentos .Comprate este, no te arrepentiras.</t>
  </si>
  <si>
    <t>Espectaculars Pel preu que valen, no crec que n'hi hagi que sonin millor. Molt bons greus, mitjos i aguts,  i una escena espectacular, sembla que siguin d'un preu molt superior. Molt recomanables.</t>
  </si>
  <si>
    <t>Cómodo y buen precio. Buena captación de sonido. Fácil setup, directamente al móvil mediante minijack, funciona con la grabadora básica del teléfono sin problema. Bueno para una segunda pista de audio cuando grabas a distancia.</t>
  </si>
  <si>
    <t>Miguel Ángel Moles Rey Muy bonito , elegante y nada que envidiar a otras marcas lo he probado en piscina,mar,ducha, perfecto, horario perfecto,solo decir que la pulsera del reloj es de inferior calidad al reloj ... pero por su precio que más se puede pedir estoy muy contento</t>
  </si>
  <si>
    <t>comodidad es una zapatilla comoda ligueras</t>
  </si>
  <si>
    <t>SUPER CHULA!!! Completamente igual que la de los mayores pero en pequeño. Con las mismas funciones, las dos velocidades que hacen girar la cuchilla (de plastico, logicamente) y los botones laterales que la desmontan en las dos partes (es sabido de la parte de los mandos no la podemos fregar... ja, ja, ja,....), Incluye vaso para realizar las mezclas. Lo dicho muy completa y absolutamente igual que la de los adultos.</t>
  </si>
  <si>
    <t>Producto de gran calidad Producto totalmente recomendable, una muy buena compra. Un tanto caro para mi gusto pero el mercado es el que es.</t>
  </si>
  <si>
    <t>Manejable Normal</t>
  </si>
  <si>
    <t>Correcta Buena camiseta para hacer deporte siempre que no sea correr. Al sudar provoca manchas hasta que toma tono uniforme. En general y al precio que la compré cumple su función.</t>
  </si>
  <si>
    <t>bien precio pero contiene mucho alcohol esta muy bien de precio aunque se nota mas el alcohol</t>
  </si>
  <si>
    <t>pesimo La goma de abajo aprieta bien pero lo que es la copa no tiene nada de sujecion. tela muy fina y son incomodos</t>
  </si>
  <si>
    <t>Pésimo Fatal al mes dejaron de funcionar no los volveré a comprar nunca más. Espero q os sirva de ayuda un saludo</t>
  </si>
  <si>
    <t>Relación calidad precio.. Acceptable Todo bien... Solo que para el suelo mojado no valen!</t>
  </si>
  <si>
    <t>Aumenta la capacidad del iPad o iPhone Muy práctico para descargar fotos del iPhone o iPad en los viajes y archivar documentos cuando no deseas o no puedes hacerlo en la nube. Para regalo me parece un acierto, su aspecto es como aparece en la foto es bonito, pequeñito y práctico</t>
  </si>
  <si>
    <t>Pendientes Muy bonitos y a pesar de su precio se ven muy bien</t>
  </si>
  <si>
    <t>Estrecha Está muy bien. La talla corresponde pero el elástico de la parte inferior es exageradamente estrecho en comparación con el resto. Yo no tuve problema porque era para alguien bastante delgado</t>
  </si>
  <si>
    <t>Bonitas y funcionales pero algo grandes. Son calentitas, cómodas y bonitas pero quedan grandes en mi talla. Debería de ser un número menos.</t>
  </si>
  <si>
    <t>* Muy bien</t>
  </si>
  <si>
    <t>NUERNS RELACIÓN CALIDAD/PRECIO Buen artículo y con relación calidad precio que merece la pena. Lo recomiendo tanto que hice otro pedido.</t>
  </si>
  <si>
    <t>BUEN PRODUCTO El paquete llegó bien, el producto es bueno y muy economico, Las fundas son de buena calidad y pegan perfectamente. Volveremos a comprar este producto sin duda.</t>
  </si>
  <si>
    <t>Buena compra. La almohadilla es muy cómoda y su tacto es muy suave. Funciona perfectamente y se pueden ajustar mediante broches</t>
  </si>
  <si>
    <t>Son para regalo y seguro que le encanta . Son muy cómodas  para mi hija le gustará mucho es su estilo. Gracias un saludo.</t>
  </si>
  <si>
    <t>Clarks nunca falla Desde que conocí esta marca he repetido dos veces. Zapatos cómodos, duraderos, y a un precio razonable. Muy contento la verdad.</t>
  </si>
  <si>
    <t>Me encanta Me he quedado muy satisfecha con esta compra. El depósito de agua dura muchísimo. Lo único que no lo considero bueno para un dormitorio ya que es más ruidoso que otros que tengo de otro modelo. Lo tengo en el pasillo, y está perfecto para este sitio.</t>
  </si>
  <si>
    <t>Muy bien Eran para un regalo, gustaron mucho. Son muy calentitas y llamativas, talla como se esperaba.</t>
  </si>
  <si>
    <t>Comprador Mi hija de 5 años está prendada. Responde a las expectativas. Muy cómodo y ligero. Además se conecta por diversas vías con cualquier tipo de móvil u ordenador. Se puede cantar en playback y los niños se lo pasan muy bien.</t>
  </si>
  <si>
    <t>Tamaño super pequeño Estoy muy contento con la compra. Es un USB muy pequeño, con lo que lo puedes llevar en cualquier lugar. El hecho de tener los 2 USB (C y 3.1) hace que sea muy cómodo para poder usar en cualquier ordenador/dispositivo.</t>
  </si>
  <si>
    <t>Me gustan Son muy bonitas y comodas...tallan bien</t>
  </si>
  <si>
    <t>Buena compra Queda muy bien. La talla es fiel. Muy cómodas, impermeables, súper ligeras y calientan mucho los pies. Buena compra a mejor precio que las tiendas de la calle.</t>
  </si>
  <si>
    <t>Calentitos Buen producto un poco asperos</t>
  </si>
  <si>
    <t>Casio nunca defrauda Calidad asegurada a un precio de risa y  una estética atemporal. Da lo mismo en que década nos encontremos, estos modelos nunca pasan de moda. Casio apuesta siempre por buenos materiales tanto en la esfera como en los correajes, lo que hace que acabes cansándote del reloj antes de que se te rompa. He tenido otro modelo siilar a este con pero con la pantalla mas pequeña y e de decir que son prácticamente indestructibles. La pantalla se raya , como en todos los relojes, pero tiene que darle un golpe muy fuerte para que se acabe notando.</t>
  </si>
  <si>
    <t>Cumplen su propósito Tal y como se describen. Muy contento con el producto.</t>
  </si>
  <si>
    <t>Buen tejido y cómoda! Necesitaba una alfombrilla de este tipo, con almohadilla, ya que paso largas jornadas en el pc y , en ocasiones, la parte de la muñeca y túnel carpiano me producían molestias.  La he estado probando un rato y la verdad que el ratón desliza muy bien y la protección de muñeca es súper suave y cómoda. Quizás un poco "alta" la espuma pero con el uso seguro que se aplasta un poco así que muy bien. Además he de decir que se adhiere muy bien a la mesa y no sé mueve nada!  Por el momento muy contento tanto por la calidad del material como por el descanso para mi muñeca !</t>
  </si>
  <si>
    <t>Cumple con su función El producto cumple con su función. Es muy fácil el funcionamiento. Yo lo tuve que devolver por problemas ajenos, pero el artículo en sí es bastante recomendable.</t>
  </si>
  <si>
    <t>Relación calidad precio excelente Relación calidad precio excelente</t>
  </si>
  <si>
    <t>no me han funcionado No entiendo qué ha pasado pero de los 25 dvd's que lleva el estuche sólo 2 he podido utilizar el resto siempre me salía error de grabación, y sé que el error se debía a los discos porque probaba con otros y la grabación salía bien.. Francamente no lo entiendo porque Verbatim es buena marca.</t>
  </si>
  <si>
    <t>Aceptable pero con fallos El producto en general es aceptable, sin embargo en mi opinión tiene tres fallos. El primero es que saca bastante ruido. Si vives sola sin problema pero sino... El segundo es que los botones son tan discretos que no los encuentras por el tacto. Aunque tienen luz, para encontrar el botón muchas veces hay que parar y ponerse a buscarlo. Por último y el más importante es que en su intensidad más baja es bastante fuerte. Para las mujeres de clitoris sensible llega a ser doloroso. Sin embargo si no tienes muchas sensibilidad es perfecto.</t>
  </si>
  <si>
    <t>Gema El producto correcto aunque me llegó de otro color distinto al que se publicitaba. Me llegó de color magenta, su funcionamiento es bueno, e incluye clips en el envío.</t>
  </si>
  <si>
    <t>Fallo en la recarga Al otro dia de estrenarlos, uno de los auriculares dejó de cargar y ya ni siquiera se vinculaban automáticamente, lo intente pero no cargaba, el sonido puedo decir que aceptable, sólo los pude escuchar el primer día, por lo tanto los devolví, me he comprado otros de otra marca y hasta ahora van muy bien.</t>
  </si>
  <si>
    <t>Timo Sin su caja ni certificado que indique que es original. Lo único similar con el verdadero es el precio. Un timo, devolución solicitada según han llegado.</t>
  </si>
  <si>
    <t>Está bien El cajóncito para los rotuladores es pequeño y frágil</t>
  </si>
  <si>
    <t>Tetina especial y recomendable El bebe aceptó muy bien la tetina, que está pensada para que tenga que esforzarse al succionar como si del pecho de la madre se tratase, pero no queda claro si es anticolicos o no, de modo que ese aspecto es mejorable. Al final hemos acabado con otra marca para variar la tetina y que no se acostumbre, pero la experiencia fue buena.</t>
  </si>
  <si>
    <t>Bayetas Estan bien, las uso para limpiar baños, cocina, etc. De vez en cuando a la lavadora y como nuevas.</t>
  </si>
  <si>
    <t>Me ha gudtadi Buen producto aunque es un poco difícil de colocar</t>
  </si>
  <si>
    <t>Bella Me gusta la practicad de su uso</t>
  </si>
  <si>
    <t>Rodillo de Jade Este rodillo es perfecto para masajear los músculos de la cara y ayudar  a suavizar las marcas de la edad.  El tratamiento diario descongestiona las zonas masajeadas y además refresca la piel. Está muy bien realízado en cuanto a material y montaje, con un acabado muy bueno y el Jade perfectamente pulido. Viene guardado en una bolsita herméticamente sellada y al vacío junto con la piedra de gua sha. Muy contenta con este producto.</t>
  </si>
  <si>
    <t>Olores muy naturales Me ha gustado mucho el pack. Los aromas huelen muy naturales, no como otros que parecen más sintéticos... Durannlo normal, cuando lo apagas el olor puede durar hasta el final del día si lo pones en una habitación pequeña y poco ventilada. Para el precio que tiene es muy buena compra.</t>
  </si>
  <si>
    <t>Perfectas Bonitas, cómodas</t>
  </si>
  <si>
    <t>Merece la pena el precio Es tal y como viene en la foto, un pantalón entallado y de sport. Sirve tanto para hacer deporte como para ponérselo debajo de las faldas. El envío ha sido correcto y ha llegado en perfectas condiciones. La calidad también parece buena, no he encontrado ningún hilo suelto ni nada que me haga pensar lo contrario. No ha habido ningún problema con el vendedor.</t>
  </si>
  <si>
    <t>Estupendo Fantástica unidad usb con un fantástico acabado en aluminio. Ideal para enchufar pelis a la tv sin que se vea el usb o para llevarlo siempre encima cómo llavero</t>
  </si>
  <si>
    <t>Perfecto Perfecto. Tanto en la entrega como en el producto. Lo mismo que he visto es lo que he recibido, cosa que en algunos otros casos la imagen no se adecua a la realidad del producto recibido.</t>
  </si>
  <si>
    <t>Práctico para los peques Están bien, pero hay que subir el volumen a tope</t>
  </si>
  <si>
    <t>Fantásticas. Y cómodas a la par que chulas Desde que las probé... No quiero otro calzado. Súper súper cómodas!!!</t>
  </si>
  <si>
    <t>Perfecto Es lo que esperaba todo bien es una maravilla este aparatito me funciona a la perfeccion todo correcto muy contento</t>
  </si>
  <si>
    <t>Recomendable! Aunque es un hervidor de tamaño considerable, es muy ligero y está muy bien acabado, con materiales de calidad. Es realmente bonito y queda muy bien en la cocina. En cuanto a su función, la desempeña correctamente y es muy útil el termómetro, ya que hay infusiones que no necesitan el agua hirviendo... con este hervidor puedes controlar la temperatura del agua.</t>
  </si>
  <si>
    <t>Tal cual Es tal cual la describen y la foto.</t>
  </si>
  <si>
    <t>Geniales Los mejores pantalones de chandal que he tenido Suelo ser muy especial con los pantalones y estos me han encantado Son comodisimos y de precio estan bararisimos. Los uso hasta de pijama de lo comodos que son Comprare de nuevo este producto en otro color si se pude</t>
  </si>
  <si>
    <t>Buena Muy buen sonido Sencillos y cómodos, son cómodos de usar con las orejas, son geniales y suenan muy bien.  Los cables no se enredarán.  Tienen una ventaja de alto precio y se ven muy duraderas.  El control desde el control remoto en el cable es muy útil, puede contestar la llamada o colgar el teléfono sin tocarlo, y usar este comando para pasar de una canción a otra.  Están casi abandonados por el precio y la calidad que tienen.  Muy buena compra</t>
  </si>
  <si>
    <t>Rápido para la entrega Perfecto</t>
  </si>
  <si>
    <t>5 estrellas A favor : - sonido claro, sin interferencias, - impecable conectividad (lo he probado en IOS, Android, Windows y Linux) - cancelación de ruido algo superior al modelo anterior - cómodos incluso si se llevan durante muchas horas - diseño ergonómico, un poco mas pesado que el modelo anterior - botones bastante intuitivos - carga rápida y buena autonomía (llegaron a durar 8 - 9 horas con la batería cargada al 100%) - cable de audio de muy buena calidad con clavija robusta - flexibles, los altavoces se giran con facilidad y las bisagras dan la impresión de ser duraderas y bien hechas. - tienen su pequeño maletín para llevarlos donde sea En contra - mucho plástico (aunque de buena calidad) y poco metal - cable de carga muy corto</t>
  </si>
  <si>
    <t>Buen producto Tiempo de entrega correcto. Buen producto. Buena calidad. Lo recomiendo</t>
  </si>
  <si>
    <t>Muy buena Abriga bastante</t>
  </si>
  <si>
    <t>Converse Todo correcto, envío antes de lo previsto, estoy contento</t>
  </si>
  <si>
    <t>El precio muy bueno para el tamaño de la manta y marca buena Me ha encantado esta marca y su manta eléctrica, tamaño grande. Relación calidad precio excelente. Tacto muy suave y versatilidad.</t>
  </si>
  <si>
    <t>Aprieta demasiado No lo he probado. Lo tuve que devolver porque aprieta mucho el contorno de espalda. Parecía de buena calidad. Quizás para chicas delgaditas esté muy bien.</t>
  </si>
  <si>
    <t>esta bien parece resistente, buen material. buen tamaño. creo q por calidad-precio esta bien. incluiye regulador para ubicar bien los agujeros. recomendado.</t>
  </si>
  <si>
    <t>Baja calidad y pésima atención al cliente El producto es de baja calidad. La impresión de las letras del mismo no es la adecuada y la calidad de los remates del producto es muy muy baja para kingston. El embalaje no es el de siempre de esta marca, es de peor calidad y se nota a simple vista. También se hacen los despistados con la factura y la pides y te cuentan escusas....</t>
  </si>
  <si>
    <t>INFLEXIBLE, INADAPTABLE, DECEPCION imposible fregar un vaso , menos aun una copa, o una taza, todo lo que sea contorneado imposible limpiarlo con estos estropajos, solo valen para bases de sartenes, no se moldean, no se adaptan, ni se ajustan, veré de usarlos para ducharme antes de tirarlos...</t>
  </si>
  <si>
    <t>Calidad buena Las bolsas son resistentes, fácil su manejo cumpliendo perfectamente con su cometido. La transparencia es buena y el grosor de las bolsas adecuado para su función</t>
  </si>
  <si>
    <t>Relación Calidad/Precio muy buena Al lio!  Es una memoria USB de la marca SANDISK con 128GB en total en mi caso (115 GB utilizables en FAT 32), estandar USB 3.1 con el cuerpo totalmente de plastico y sin LED de lectura escritura. Incluye en su memoria el software SanDisk Secure Access. Y poco mas... os dejo una imagen comparando el modelo anterior con este en terminos de lectura/escritura y latencias. En mi caso el modelo anterior es de 32GB.  Saludos.</t>
  </si>
  <si>
    <t>Buena calidad Calidad igual que los originales que venían con el DishMatic. Fáciles de colocar. Por ahora está como el primer día de uso. Aunque intento no lavar cubiertos con el ya que es lo que los acaba desgastando.</t>
  </si>
  <si>
    <t>Mejor de lo q me esperaba Llevo dos días con ellos y sin ser un profesional del audio se escuchan genial agudos y graves y te aíslan el ruido de fuera bastante bien. Por ahora genial.... Desde el dia que lo compre no lo he vuelto a cargar y sigue funcionando perfectamente. creo q llevo unos 3 meses y lo escucho casi cada dia hora-hora y media</t>
  </si>
  <si>
    <t>Buena grapadora La llevo usándola un tiempo y cumple bien su función. Es robusta, lleva el cuerpo metálico y donde se prieta es de plástico duro. Recomendable.</t>
  </si>
  <si>
    <t>Todo bien como siempre! Comodidad y calidad a un muy buen precio</t>
  </si>
  <si>
    <t>Pulsera pandora Muy bonita</t>
  </si>
  <si>
    <t>Duraderos Los aceites huelen de maravilla, yo los uso para aromaterapia tanto del ambiente de la casa como para la ropa y son fantásticos.</t>
  </si>
  <si>
    <t>Auriculares de sonido estereo Me han resultado efectivos y son unos cascos de sonido estéreo estupendo. Los he probado varios días y son tal cuál, cómo se ven en las fotos, faciles de usar, manejables, simplemente se conectan a la clavija y listo, tiene para subir y bajar el volumen, es lo mejor para escuchar nuestra música preferida.  Unos cascos de sonido qué se oyen a la perfección, muy cómodos se adaptan perfectamente al oído.  Recomiendo que efectúes su compra al 100%, te va a resultar fantástico, y no lo vas a querer cambiar.  Doy mi puntuación: (Del 1 al 10)  Calidad: 10 Precio: 10 Usabilidad: 10 Empaquetado: 10 Diseño: 10 Terminación: 10  Si te ha servido mi comentario te agradecería que lo marcases como "útil" al final de este texto. Gracias!</t>
  </si>
  <si>
    <t>Cómodas, calentitas y muy bien confeccionadas Estas botas tienen una calidad muy alta, son completamente impermeables por la suela y el diseño es realmente bonito. Una de los puntos fuertes es que son muy calientes en su interior, ya que tienen un borreguito interno. Se ven unas botas muy robustas, las he estado utilizando durante varios viajes, tanto por ciudad como por montaña, en ningún momento me ha entrado agua en el interior y lo que es más importante, no he tenido dolor de pies durante su uso. Mi talla escogida es la misma que cualquier zapato/zapatilla comprado en una zapatería.  La suela de goma es de muy buena calidad, he estado andando entre piedras y algo de humedad y en ningún momento me he resbalado, por lo que son muy estables. Una compra perfecta para este otoño/invierno.</t>
  </si>
  <si>
    <t>Disco duro grande y rápido Tengo un SSD de 250gb para juegos y se me quedaba corto, decidí pillar este de mucha más capacidad y probé juegos que estoy jugando en el ssd en este y la verdad que carga bastante rápido y no se nota mucha diferencia. Es algo más lento pero ni comparación con los antiguos que había.</t>
  </si>
  <si>
    <t>Acierto seguro Andaba tiempo detrás de unas playeras de este estilo, para "jubilar" unas Nike Dart IV que tenía y que me habían dado un resultado fantástico. Son sencillas, bonitas y sin estridencias. Parecen muy robustas y el acabado es bueno. ¡Espero que duren mucho!</t>
  </si>
  <si>
    <t>Barato, bonito, y mantiene la hora. Estaba ya harto de la apariencia de mi super-resistente y fiable casio digital, y querría algo más elegante (aunque barato).  Es básico (sin alarma, ni fecha, claro) pero a mi me encanta la simplicidad de su estética. La correa es cómoda y resistente. No hace ruido a no ser que pegues el oído y oyes un tic débil. Llevo tres meses con él puesto todos los días y no he tenido que ajustar la hora.  Llegó rápido y buen protegido.  A este precio (menos de €10) inmejorable.</t>
  </si>
  <si>
    <t>La rapidez Todo bien</t>
  </si>
  <si>
    <t>Tarjeta con la calidad correcta muy barata Al igual que todas las tarjetas tiene el tamaño estandar y la capacidad estandar declarada (en mi caso 32Gb). Sin hacer un test de velocidad y escritura puedo decir que lo he usado para grabar video en alta calidad y va a la perfección, lo cual es lo más que se le puede pedir (salvo uso profesional). El motivo de la valoración tan buena es el precio tan barato.</t>
  </si>
  <si>
    <t>Ideal para relajar musculatura Ideal para musculatura cansada, tensa.</t>
  </si>
  <si>
    <t>Me gusta Biberón que no ha provocado ningún cólico a mi bebé y que utilizo con frecuencia , me gusta mucho que sea de vidrio porque no se pegan tanto los sabores</t>
  </si>
  <si>
    <t>Buen producto Comprado varias veces. Presentación buena y sobre todo el producto cumple. Usado principalmente para imperfecciones/granos y ayuda mucho a tener mejor la piel. Recomiendo la compra dado que la calidad/precio es muy buena</t>
  </si>
  <si>
    <t>Sami Encantada con el producto y el servicio recibido. Tallaje perfecto, muy cómodas, modernas. Sirven tanto para cada día como para verte arreglada con según qué ropa. Gracias ;)</t>
  </si>
  <si>
    <t>Se ve de calidad He sustituido un disco hdd por este de tipo ssd en un portatil HP. Me va muy bien y la velocidad del portatil es 5 veces mayor. Cuando usas el disco por primera vez no lo reconoce el ordenador pero si te vas a panel de control, seguridad, desfragmentación yen esa misma opción te aparece la opción de configurar el nuevo disco. Tengo Windows 10. Espero que me dure, pero he hacertado de lleno.</t>
  </si>
  <si>
    <t>Muy cómodos Desde que los probé siempre los uso para todo. Aunque tiene un defecto que enseñó en la segunda foto.... pero no da ningún problema si los estiras mucho pueden llegar a descoserse en mi caso me vino así.</t>
  </si>
  <si>
    <t>Excelente rendimiento Ya llevo mas de un año desde que lo compré y cumple con con su objetivo tiene un buen rendimiento.  Recomendado completamente</t>
  </si>
  <si>
    <t>Recomendable Que decir de esta bota la marca es muy reconocida eso lo dice todo</t>
  </si>
  <si>
    <t>Buen producto Me gusta todo. Funciona muy bien y es fácil de usar y limpiar</t>
  </si>
  <si>
    <t>No volvería a comprarla Para empezar no da demasiado calor. Y luego no tiene sujeción en el cuello, con lo cual es un poco incómoda. Es corta. Yo la pongo para cuello y lumbares, pero o me cubre una cosa o la otra. No recomiendo su compra.</t>
  </si>
  <si>
    <t>menos la de lavanda por ahora y no las probe aun todas...Muy bien Bien en general aun no probando aun todas las esencias....Deberian tener un formato mas grande para que el precio y rendimiento estuvieran parejos...</t>
  </si>
  <si>
    <t>Funciona bien. El aparato funciona bien. Inconvenientes son que la oreja no entra completamente en el espacio habilitado, y, además, en mi caso, parece ser que tengo intolerancia hacia el material de la cubierta de las almohadillas, de forma que en pocos minutos me produce dolor agudo en la piel en contacto con él. Contactado con el servicio de atención al cliente, no han sabido darme solución, ni recomendación alguna.  El aparato es ligero y amortigua completamente los ruidos graves. En cuanto consiga localizar una solución a la intolerancia al material, será perfecto.</t>
  </si>
  <si>
    <t>Mala experiencia La Corona llegó totalmente doblada y con algunas piedras caídas</t>
  </si>
  <si>
    <t>no son buenos son bonitos pero me duraron una semana se rompen por la suela</t>
  </si>
  <si>
    <t>No se ajusta a lo solicitado Lo compre como disco duro de 320 GB y en realidad tiene 32 GB. No me ha servido para lo que quería. En la caja tiene un dibujo enorme que dice 320 GB incorrecto al menos el que me llego a mí</t>
  </si>
  <si>
    <t>MAGNÍFICO RELOJ, AUNQUE ME LLEGÓ CON EL ENVASE ROTO Este reloj es inmejorable por su relación calidad-precio y le daría una valoración de cinco estrellas si no fuera porque la caja en la que venía estaba rota y arañada. Cuando uno compra un producto nuevo espera que le llegue en óptimas condiciones, y no ha sido el caso.</t>
  </si>
  <si>
    <t>Buena compra Muy buena compra,lo único negativo que diria es que pesa demasiado. Por lo demas la camilla y accesorios perfectos. Encantado</t>
  </si>
  <si>
    <t>Ignacio En general el producto cumple mis expectativas, son embargo a veces es difícil percibir con claridad las agujas sobre el fondo de esfera oscuro.</t>
  </si>
  <si>
    <t>Bien hecho Buena calidad y envío rápido, un dia</t>
  </si>
  <si>
    <t>Perfecto, lo mejor calidad precio Pues por 9€ que me ha costado por una oferta flash, es lo mejor que hay. Lo tengo instalado con un Sansón Meteor.</t>
  </si>
  <si>
    <t>Barato Era para mi nieta no esperaba mucho y la verdad es q es extraordinario</t>
  </si>
  <si>
    <t>Fantastica Me encanta</t>
  </si>
  <si>
    <t>Genial!!! Le pongo 3 estrellas para ejercitarse por qué queda muy chulo como para utizarlo haciendo deporte ,por lo demás es genial y queda como un guante. Perfect.</t>
  </si>
  <si>
    <t>Las mejores Son perfectas</t>
  </si>
  <si>
    <t>Perfecto para deportistas. Una sujeción muy buena para practicar deporte. Muy cómodo. Tejido muy suave que se adapta perfectamente. Transpirable, evacua el sudor.</t>
  </si>
  <si>
    <t>Super cómodos Los compré para el trabajo, ya que los necesito para hacer los shows y demás, deslizan super bien, ni siquiera al estrenarlos me hicieron roces de algún tipo. Encantada</t>
  </si>
  <si>
    <t>cumple con mis expectativas fácil de instalar, capacidad</t>
  </si>
  <si>
    <t>Camiseta Bien</t>
  </si>
  <si>
    <t>Increíble Perfecto</t>
  </si>
  <si>
    <t>De lo mejor Muy impresionado con el embalaje y lo que obtienes por tu dinero. La calidad de construcción también parece buena. El sonido es mucho más rico que mis viejos auriculares (Coloud) con graves más profundos y, lo que es más importante, son MUCHO más cómodos. El paquete incluye una linda bolsa de almacenamiento y un protector para el conector jack.</t>
  </si>
  <si>
    <t>Preciosas Super bonitas y muy cómodas....me encantan</t>
  </si>
  <si>
    <t>Precioso El colgante es precioso, a mi mujer le ha encantado. Además venía en una caja metido, por lo que venía bien protegido. Es de plata, y uno de los trozos de corazón es tono oro rosado.</t>
  </si>
  <si>
    <t>Fantastico Genial</t>
  </si>
  <si>
    <t>Lo volveria a comprar sin dudarlo Compré uno (usb version 2.0) en el 2014 que duro dos años colgados de mi llavero lleno de llaves. Dejo de funcionar en el verano del 2016. Entre que se cae al suelo y no tengo mucho cuidado con ello, me parece que ha durado bastante. Cuando dejo de funcionar, compré uno nuevo (usb version 3.0) sin pensarlo mas y estoy igual de contento. Compré uno mas como regalo en octubre 2016 y mi amigo está muy contento. Es pequeño y bonito, caben muchos datos y está muy bien de precio.</t>
  </si>
  <si>
    <t>Cómodas y modernas Me encantan estas zapatillas porque son cómodas y con un diseño muy especial. Te las puedes poner para dar una vuelta o para ir a la oficina. Son muy transpirables así que no recomiendo su uso en invierno o en otoño. Lo ideal es que ses usen en verano porque aunque son cerradas, el pie irá muy fresco.</t>
  </si>
  <si>
    <t>Buen producto Perfecta para cámaras un poco antiguas. Esta es la mejor opción en cuanto a calidad / precio, la velocidad es bastante aceptable .</t>
  </si>
  <si>
    <t>Pequeño y gran espacio Para llevar de llavero, siempre viene bien y compatible con mi Samsung S8+, necesitarás eso si, un adaptador a USB-C, valen muy poquito en amazon, pero cubres todo tipo de terminales de este tipo.  Muy bueno para pasarse fotos al usb y de ahí al ordenador sin programas intermedios o de forma más rápida.</t>
  </si>
  <si>
    <t>3 Me ha salido en mal estado, por el precio, no lo devolvor.</t>
  </si>
  <si>
    <t>Cumple, pero las almohadillas duraron poco Se oyen bien y hasta la fecha llevan unos dos años sin dar ningún problema. La pega que tienen son las almohadillas, fabricadas en una imitación de piel. Se agrietaron y cuartearon a los pocos meses (sin salir al exterior ni que les diera el sol), y la capa exterior de la almohadilla, que es de una especie de plástico que imita la piel, se empezó a desprender en pequeños cuadraditos que se quedaban en el pelo, los hombros o el sofá. Un poco engorroso.</t>
  </si>
  <si>
    <t>Igual que las otras. No funciona en mi tablet. Funciona bien y demás, pero nada destacable respecto a las demás, incluida la velocidad de lectura. No sé de dónde sacan lo de los 80MB/s. Y eso sí, no he sido capaz de rularla en mi tablet BQ Aquaris M10 no sé por qué, ya que el resto de micro SDXC que tengo , tanto las de 64GB como las de 32GB, también clase 10 UHS 1 pero de otras marcas, funcionan perfectamente en ésta tablet (y he probado a formatearla en distintos sistemas de ficheros, con distintos tamaños de cluster y más cosas, pero nada, no hubo manera). Ojo si la queréis para esa tablet.  Por lo demás, la estoy usando en mi móvil y funciona bastante bien, como las demás de su tipo.</t>
  </si>
  <si>
    <t>¡No nos atienden para devolverla! Buenos días,  La verdad es que no era lo que esperaba, no absorbe tanto como parece y casi prefiero una Dyson. También creo que le hace falta más utensilios así que he decidido darle la oportunidad a la marca de sorprenderme comprándome el siguiente modelo que tiene más utensilios aunque el motor y la potencia es el mismo. Estoy intentándolo devolver pero NADIE viene a mi casa a por ello, si quieres llamar para devolverlo te sale por una pasta y es que no tengo ni si quiera un triste mensaje de cuándo van a pasar. Osea super mal con amazon.</t>
  </si>
  <si>
    <t>Buen producto para el precio Buen producto para el precio. Es cierto que tiene un logo grande que no se ve en la foto, pero ni molesta ni es escandaloso. Lo volvería a comprar.</t>
  </si>
  <si>
    <t>Barato y cumple su función. Por el precio que tiene cumple de sobra su función. Es una pinza de plástico bastante endeble pero soporta bien el peso, la he utilizado para coger micros y otros elementos para sesiones de fotos y ningún problema. Pero vamos, insisto en que es muy sencilla y que no tiene excesiva fuerza en determinados ángulos.</t>
  </si>
  <si>
    <t>A. Martín Una máquina básica pero pienso que útil si la usas para hacer mahonesa o cremas, para eso la quiero y por el precio que más pedirle</t>
  </si>
  <si>
    <t>Buen producto Necesitaba un protector para poder grabar unas tomas en el exterior, con mucho viento y la verdad es que no he podido hacer mejor elección, son perfectos para grabar en exteriores.  Yo los use con el micrófono Rode Smartlav+ y la verdad es que mejoro mucho el sonido, ya que grabe varias tomas con el cortavientos y sin el, no viene con bolsita ni nada , por lo que tendréis que guardarlos bien para no perderlo.  La verdad es que calidad precio están muy bien, puedes irte a por otros de gamas altas, pero este funciona ala perfección.</t>
  </si>
  <si>
    <t>Bien No entiendo la doble cuchilla</t>
  </si>
  <si>
    <t>Eternas Son un modelo espectacular que me van a durar de por vida con un buen uso, tuve que pedir un numero más pero ahora me quedan perfectas y son comodisimas.</t>
  </si>
  <si>
    <t>Kristian. C. Cumple su funcion. Sencillo y facil de usar. Para uso domestico ocasional, fiestas de karaoke reuniones, etc, perfecto. Buena distancia, sin interferencias de por medio 50m se supone que los aguanta y no hace mucha interferencia.</t>
  </si>
  <si>
    <t>Ligeros y muy buen sonido. Me han sorprendido, no esperaba esta calidad de sonido por este precio, suenan realmente bien y unos graves muy equilibrados. la cancelación de ruido activa se nota un montón y además son súper ligeros y las almohadillas muy cómodas llevándolas bastante rato.</t>
  </si>
  <si>
    <t>Sistema anticolicos conseguido Sistema anticolicos muy bueno</t>
  </si>
  <si>
    <t>Buen producto Muy buena compra, perfecta para mantener los pies calientes en el invierno y muy comodas. Cumple perfectamente con las espectativas. lo recomiendo</t>
  </si>
  <si>
    <t>Muy bonito. Buen precio-calidad Buen precio y buen reloj. Fue un regalo para mi marido al q le encantan los relojes. La marca Casio es para mí de las mejores relación precio-calidad. Muy contenta con la compra.</t>
  </si>
  <si>
    <t>Perfecto para conexión Me ha venido perfecto para el uso para el q lo compre,un poco largo quizás,pero siempre viene bien algún metro extra</t>
  </si>
  <si>
    <t>Bien Todo bien</t>
  </si>
  <si>
    <t>Compra 10 Son las mas bonitas y comodisimas a un precio de derribo. Llegaron rápidamente y bien embaladas. Compra perfecta. Muy recomendable. Rechaza imitaciones,te quemaran los pies.</t>
  </si>
  <si>
    <t>Un tres piezas completo Era para un regalo. El producto es tal y como se presenta en la foto. Muy buen precio para ser un tres piezas</t>
  </si>
  <si>
    <t>Adaptable al tamaño de oído Geniales, vienen en una bolsa de imitación cuero para guardarlos. El cable lleva una cubierta plástica para evitar que se enreden y parece que los hace más resistentes o al menos es la sensación que da. También traen distintos tamaños para el auricular lo cual se agradece si tienes las orejas enanas como yo y el micro capta el sonido bastante limpio en las llamadas, esta mañana hablé con mi sobrina y no había ruidos como con los que tenía antes. Se oyen muy bien para el precio que tienen, yo escucho mucho música clásica por la calle y no me puedo quejar de la calidad del sonido aunque es verdad que se oye el cable al andar pero eso les pasa a todos.</t>
  </si>
  <si>
    <t>Solución fácil a nuestras arrugas Me ha gustado del producto que solo se necesitan unas pocas gotas para su aplicación. Con el dosificador gota a gota es muy fácil de aplicar. El resultado no es inmediato pero día tras día va haciendo efecto.</t>
  </si>
  <si>
    <t>Precio de oferta Buena calidad , talla perfecta , mi noviabquedo encantada con su regalo y el precio mas barato que en otros lados !</t>
  </si>
  <si>
    <t>​Tot perfecte. ​Tot perfecte. Gràcies</t>
  </si>
  <si>
    <t>Lo que me esperaba Pulsera sencilla, pero muy guapa.Envio rapido como siempre con amazon</t>
  </si>
  <si>
    <t>UNA VIDA ENTERA JUNTOS. &lt;div id="video-block-R2MDZR9SUYH8T0" class="a-section a-spacing-small a-spacing-top-mini video-block"&gt;&lt;/div&gt;&lt;input type="hidden" name="" value="https://images-eu.ssl-images-amazon.com/images/I/B13kf+gPTTS.mp4" class="video-url"&gt;&lt;input type="hidden" name="" value="https://images-eu.ssl-images-amazon.com/images/I/912dRdoiALS.png" class="video-slate-img-url"&gt;&amp;nbsp;J.Rosée “Nunca Distante”, Gargantilla para Mujer Tres Colores Plata de Ley 925  Con esta gargantilla de enredados le estaremos diciendo a nuestra pareja que siempre estaremos juntos, toda la vida con ella, una gargantilla para mujer de la marca J.Rosée, vendida en la página web de Amazon España por la empresa J.Rosée Buena Joyería Estudio y gestionada por Amazon, por lo que te la pueden envolver para regalo.  La joya nos llega presentada en un estuche regalo de la misma marca en color azul y con textura de tela, sus medidas son 9.2 x 7.5 x 3.5 cms., en la parte superior va el nombre de la marca, J.Rosée, en su interior la gargantilla viene cogida en un pequeño expositor de terciopelo azul, junto a ella viene un paño pulido, una tarjeta de felicitación, una bolsa o saquito de terciopelo para guardar la joya, y una cinta azul con el nombre de la marca.  El colgante es un enredo de tres colores, oro, plata y bronce, que simbolizan nunca distantes y siempre juntos, inseparables, sus medidas son 1.1 x 1.15 cms., va engarzado en una gargantilla de plata de 45 cms., teniendo un añadido de 5 cms. para poder ajustarla, todo el conjunto es de Plata de Ley 925, material anti alergia.  Se puede llevar puesto todo el día, siendo perfecto para celebraciones y eventos elegantes y discretos al mismo tiempo, llamando la atención, pero sin exagerar, y es perfecto para demostrar el amor y que siempre estaremos juntos.  Sin lugar a dudas, si lo aconsejo, con esta joya demostraremos nuestro amor y que estaremos juntos toda la vida, muy elegante y de calidad, teniendo un precio fenomenal.  Moito67_Ray</t>
  </si>
  <si>
    <t>Anonimo El reloj es precioso. No decepciona. Todo perfecto tanto la caja como el reloj. El fondo Negro es mucho más bonito que el blanco. Recomiendo su compra.</t>
  </si>
  <si>
    <t>Cascos inalambricos para tv... El paquete ha sido bien entregado y a tiempo. En general perfecto!! Estos cascos se pueden conectar al tv, como a la consola, se escuchan bastante bien. Son plegables cómodos de usar, aunque si tienes las orejas pequeñas mejor.</t>
  </si>
  <si>
    <t>Excelente Para mí es excelente en mi cocina, rapidez le doy mucho uso</t>
  </si>
  <si>
    <t>Cuidadin Al principio bien, me la puse intensivamente en el cuello y fue contraproducente. No abusar, ponerlo muy suave</t>
  </si>
  <si>
    <t>Algo grande Pedí un numero mas que el mio y me quedan algo grandes.</t>
  </si>
  <si>
    <t>Útil y práctico Bueno</t>
  </si>
  <si>
    <t>No reune las condiciones esperadas A simple vista parece un producto interesante, pero una vez que lo usas te das cuenta que no funciona como se espera, poco a poco va perdiendo potencia y solo sirve para batir/licuar productos muy blandos. Es mejor gastarse un poco más y comprar una de mejor calidad para que dure más.</t>
  </si>
  <si>
    <t>NOS HA DURADO 1 SEMANA Ha sido meterlo mi hijo en la piscina(1 metro de profundidad) y entrarle agua. Desaparecieron parte de los números de la pantalla. Lo pusimos a secar y nada. Decidí abrirlo a ver si llegando hasta la pantalla se podía arreglar pero imposible luego volver a colocarla. Entre esto y el envío un auténtico desastre.</t>
  </si>
  <si>
    <t>Buena calidad precio Muy buena calidad precio, sin ruidos de fondo, Recomendable para todos aquellos que tocamos a nivel casero o entre amigos.</t>
  </si>
  <si>
    <t>Olor suave Para el comedor dónde tengo el perro no me sirve porque puede más el olor a perro que el vaporfresh🤣😭 pero en el resto de la casa si.</t>
  </si>
  <si>
    <t>Adrián Es un reloj bastante bueno , es guapo y parece de buena calidad teniendo .en cuenta su precio, pero no lo recomiendo yo soy muy cuidadoso pero a pesar de ello no se en que momento el cristal se ha roto en una parte sin ningún golpe y la verdad decepcionado en teoría lo venden como que tiene un cristal fuerte y no es verdad .</t>
  </si>
  <si>
    <t>Es el disco duro solicitado presentación espartana Buen precio del disco duro, no me ha dado ningún tipo de problema en su instalación. Su presentación totalmente espartana un sobre  y protegido en una bolsa de burbujas. Sin ningún tipo de instrucciones, ni tornillos de nada de nada en mi caso no era necesario pero tener en cuenta  que si necesitáis algún tipo de instrucción deberéis acudir a google.</t>
  </si>
  <si>
    <t>Sonido del agua como pequeña cascada. Me parece práctico,  el aceite se añade donde mismo el agua, el sonido del agua dentro del depósito es relajante. El vapor moja, pero no sé por qué, ya que no siempre lo hace. Me hubiera gustado que el impulso del vapor fuera mayor. En general bien,tonos de luces suaves, son relajantes.</t>
  </si>
  <si>
    <t>Elegante, funcional y precio bajísimo Necesito este producto con mucha frecuencia ya que realizo numerosas exposiciones con PowerPoint y esto facilita mucho el trabajo. Compré este producto debido a su MUY BAJO PRECIO. Y estoy realmente sorprendida. El diseño del mando es muy elegante, práctico y permite llevarlo en la mano cómodamente. Es muy preciso y cumple su función a la perfección de forma muy simple, lo que hace que me guste más. Además lleva un puntero láser en rojo para poder señalar. Sin duda, merece muchísimo la pena invertir en este producto tan barato, simple y útil.</t>
  </si>
  <si>
    <t>Buena zapatilla Buena zapatilla buen agarran bien las suelas</t>
  </si>
  <si>
    <t>Buenos No se que tal serán para sonido, les he usado para alimentar tiras led a distancia y cumplen su función a la perfección</t>
  </si>
  <si>
    <t>Muy buena calidad y resistente a golpes de niños Este producto ya lo conocia por que se lo regalaron a uno de mis hijos y ahora el otro tambien lo queria.Tiene muy buen audio si lo sincronizas con el bluetooth del movil puedes pasar canciones para que el niño las cante.Ademas estoy sorprendida con el alto volumen que da comparado con otros microfonos</t>
  </si>
  <si>
    <t>Recomendado Una pasada el producto junto a la aplicación Amplitube y mesa pack deja de meter jack para guitRra y ponerte cascos con efectos</t>
  </si>
  <si>
    <t>BUENA COMPRA Perfecto, justo lo que necesitaba</t>
  </si>
  <si>
    <t>Buen precio para un buen producto Muy buen producto lo volveré a comprar buen precio para lo que se ofrece</t>
  </si>
  <si>
    <t>Hervidor de agua electrico Aicook Llegó el día que me dijeron, calienta el agua en menos de 5 minutos, super contenta con la compra</t>
  </si>
  <si>
    <t>comodos y de calidad Buena calidad, ajustados y comodos. Hay q pedir el mismo número que calzas habitualmente, en mi caso un 44, y me quedan perfectos.</t>
  </si>
  <si>
    <t>Raquel El envío me llegó perfecto y el micro tiene un resultado buenísimo para el precio que tiene. He estado cantando con él haciendo bolos con un grupo y siempre me ha ido genial. Relación calidad precio inmejorable.</t>
  </si>
  <si>
    <t>Sonido, calidad y elegancia Sin duda una compra inmejorable. Puedes utilizarlos en todo tipo de ámbitos. Son muy cómodos para el gimnasio ya que no se caen a pesar de hacer ejercicio físico y el sonido es impecable. Y aún encima la estética es elegante y manejable</t>
  </si>
  <si>
    <t>Fragancia duradera Desde hace un tiempo he estado buscando un aceite esencial con aroma cítrico, que se mantuviese mucho tiempo en el ambiente sin ser excesivamente fuerte y este aceite ha sido todo un acierto. Ademas de por la fragancia me gusta utilizarlo para ahuyentar a los mosquitos. Viene con gotero, facilitando su uso sin desperdiciar el producto como me ha pasado con otros de peor calidad.  Lo compré principalmente para usarlo en el humificador y tambien para dar masajes.</t>
  </si>
  <si>
    <t>Comodas Son cómodas, plantilla foam</t>
  </si>
  <si>
    <t>BUENA COMPRA MÁS QUE SATISFECHO. Bastantes atractivos en diseño y en tecnología. Cumple las espectativas en relación calidad/precio. Otros auriculares más caros suenan igual que estos. Estoy pensando en regalarle unos a mí señora.</t>
  </si>
  <si>
    <t>Talla perfecta Perfectas para ir en moto y cómodas....</t>
  </si>
  <si>
    <t>Vans SK8 Hi Ideales, tal cual La foto, monisimas y comodisimas, envío muy rápido, volvería a comprarlas sin dudarlo, muy contenta con la compra</t>
  </si>
  <si>
    <t>Tamaño reducido y buen material Metálico, con anilla para llevar en las llaves, se ve que es rígido y duro, y con un tamaño Justino, aunque no es de los pequeños, se lleva en las llaves muy bien.</t>
  </si>
  <si>
    <t>Excelente calidad/precio. No le encuentro ningún pero,es una compra absolutamente recomendable. Las conseguí a un precio inmejorable.</t>
  </si>
  <si>
    <t>Potente y segura Està muy bien tiene.buena.potencia y me fusta por el seguro que lleva sobre todo con un niño en casa va muy bien</t>
  </si>
  <si>
    <t>No he podido ajustármelos, se caen La presentación, el sonido y la caja con batería para cargarlos parecen excelentes. El sonido es un poco plano (me da la sensación de que le faltan graves, pero es natural para unos auriculares tan pequeños). El acabado es estupendo. Es un poco engorroso sacarlos de la caja porque va magnetizada y no los "suelta" fácilmente. El manejo de los botones es intuitivo y fácil, quizá demasiado sensible, pero va muy bien. No he probado a manejar Siri con ellos pero seguro que es sencillo, al igual que emparejarlos y enlazarlos al bluetooth del teléfono. Pero, hay un gran pero, y de ahí mi calificación: se me caen. No he logrado que se mantuvieran en la oreja cuando me movía: quieto y sentado se mantienen, pero no logro introducirlos bien (es cosa de mi pabellón auricular, supongo) pero ni hablar de andar con ellos puestos. Estoy pensando en devolverlos, no sé si me los admitirán porque he probado varias de las gomas que traían para ajustarlos.</t>
  </si>
  <si>
    <t>Hace más ruido del esperado Funciona genial, pero eso de que no hace apenas ruído no es así.  Tiene un pequeño ventilador en la base que hace un zumbido constante, y a mi, personalmente, me molesta bastante si lo tengo en la misma habitación cuando me voy a dormir.</t>
  </si>
  <si>
    <t>copa menstrual es algo complicada de poner y quitar, pero todo es práctica. Es muy cómoda no la notas que la llevas puesta. Yo pedí esta con bolita pero no se si hubiese sido mejor pedirla con palito o este muy hubiera rozado, pero igualmente es un poco indiferente, ya que no tiras del extremo por el vacío que hace la copa, simplemente es para detectar donde esta situada la copa. La normal no es ni muy blanda ni muy dura.</t>
  </si>
  <si>
    <t>No se puede sacar la mi band 3 de la pulsera Es imposible sacar la mi band 3 de la pulsera, y es de tremenda importancia para cargarla.</t>
  </si>
  <si>
    <t>Lo devolvimos Mal mal no dan aroma</t>
  </si>
  <si>
    <t>Pizarra resistente y de calidad Fácil de colgar, llego sin problemas y muy recomendable si buscas una pizarra de este tipo.</t>
  </si>
  <si>
    <t>Bueno, caro y escaso. El pincel lo mejor! Tan caro y escaso como siempre, pero de momento cumple con su cometido. La gran ventaja es el aplicador con pincel, mucho más limpio y curioso que el convencional.</t>
  </si>
  <si>
    <t>Bien Bueno, cumple las expectativas para lo que yo lo quiero, calidad precio por cantidad bien, calidad el tiempo lo dirá, a mi me vale.</t>
  </si>
  <si>
    <t>Son como en la foto Me llegaron en el tiempo estimado. Son exactamente iguales que en la foto. Normalmente uso un 40 o 41, después de probarme unas parecidas en unos grandes almacenes decidí pedir la talla 40 y aún así me quedan un poco grandes pero son realmente cómodas. No recomiendo para uso en verano ya que suda algo el pie.</t>
  </si>
  <si>
    <t>Calidad Samsung no falla en estos componentes. Mucha calidad, y simple de instalar.</t>
  </si>
  <si>
    <t>Cintas etiquetadora Dymo Perfectas!!! Llegaron muy rápido y son de buen material. Se adaptan perfectamente a mi etiquetadora. 100% recomendables! Volveré a comprar. Sin duda.</t>
  </si>
  <si>
    <t>Buenas zapatillas Soy de pie ancho, y estas son mis primeras New Balance. Pedí medio número mas del habitual, y me van perfectas. Cómodas y muy bonitas. Muy contento con el producto.</t>
  </si>
  <si>
    <t>Muy buenos Muy buenos auriculares todo bien y cómo se describen. Estoy muy contenta son cómodos y se pliegan muy bien para meterlos en su bolsa.</t>
  </si>
  <si>
    <t>Auriculares para correr Los auriculares me han fascinando, son muy anatómicos, además se escucha bastante fuerte y no se distorsiona, trae un estuche que permite guardarlos y llevarlos contigo ya que tiene un gancho! Se adaptan a cualquier tipo de oreja porque trae distintos tamaños en la goma que se adapta al auricular.. sin duda me han parecido una muy buena inversión! Los recomiendo</t>
  </si>
  <si>
    <t>Calidad Todo perfecto ,producto recomendable muy bien acabado y de calidad</t>
  </si>
  <si>
    <t>Muy cómodos Me han gustado mucho estos calcetines, los compré para poder or descalz por casa y cumple con lo que dicen. Comentar que yo calzo un 39/40 y tengo muy estrecho el pie y me van un poco justos</t>
  </si>
  <si>
    <t>Llegó avtiempo Buena relación calidad/precio</t>
  </si>
  <si>
    <t>Elegante Gracias a los 2400W de potencia ciertamente el agua lo tenemos a punto en no mucho más de un minuto, con el calderín lleno. El cepillado en acero inoxidable, en este caso hace que sea muy elegante y se le localice perfectamente en la cocina. También en los otros tres colores queda chulísimo en la cocina, sobre todo el rojo, me encanta. Fácil de limpiar con el filtro totalmente extraíble. En cuanto al nivel de ruido, comparándolo con otros de similares características, podría decir que es más silencioso. Relación calidad-precio excepcional en este modelo de Russel Hobbs</t>
  </si>
  <si>
    <t>Estupendos Son como esperaba de buena calidad y con forro polar por dentro. Muy calentitos y cómodos buen diseño. Me gusta mucho Joma porque se corresponde la calidad y el precio está a la altura de marcas más internacionales</t>
  </si>
  <si>
    <t>Muy elegante Un precioso collar de 3 cadenas que, aunque se note que es de chapa, queda muy bien puesto. Lo recomiendo (sobre todo por su precio) PD ¡¡si alguien sabe cómo evitar que se enreden las cadenas que me lo diga!!</t>
  </si>
  <si>
    <t>Buena calidad precio El producto viene embalado correctamente. Incluye recambios de auriculares, cable de carga y funda. También instrucciones.  Después de haberlos utilizado varios días principalmente para correr, puedo decir que por fin he encontrado unos auriculares que no me caigan del oído al estar en movimiento. Son muy cómodos ya que el cable que los une es muy fino y no molesta.</t>
  </si>
  <si>
    <t>Calidad/precio perfecto Cristales de tamaño bastante grande. Los utilizo para vapeo</t>
  </si>
  <si>
    <t>Facilitar el ejercicio de esa zona Parece muy útil y fácil de usar</t>
  </si>
  <si>
    <t>producto estupendo, sin problemas de ningún tipo Producto estupendo, y económico. Cumple mis expectativas, y volveré a comprarlo cuando se me acaben. No he tenido problema alguno para ceterlas en la grapadora, y coser documentos. Recomiendo a todos.</t>
  </si>
  <si>
    <t>Auriculares Bluetooth, Bagotte Auriculares deportivos Estéreo con Micrófo Auriculares que por el precio que tienen no vas a encontrar nada mejor ya tengo un tiempo con ellos y van de lujo cargan muy rápido la batería le dura una barbaridad muy buen sonido y lo mejor el micro operativo al 100x100 no como otros que dicen que tienen manos libres y el micro es una patata la verdad que estoy muy contento con esta compra.</t>
  </si>
  <si>
    <t>Una buenas botas todo terreno y sobre todo efectivas ante lluvia y frío. Poco hay que aportar sobre las conocidas botas Panama Jack, puede considerarse una marca con precios caros en general, pero tratándose de este modelo la verdad es que por lo que cuesta te garantizas una sensación de calor en los pies y de tenerlos secos gracias a la protección de membrana Goretex que traen en su interior, las he probado en nieve y con lluvia y sobre charcos que cubrían un poco mas de la suela y en efecto los pies siguen secos y calientes.  Una vez las limpias, te las pones a tu manera y resultan un calzado moderno y vistoso para llevar de calle, copas y otros, combinan con estilos informales y con looks más clásicos, ya  prefieras vaqueros por dentro o por fuera es una bota de color rojizo muy resistente al tiempo y al trote y opta por un diseño un tanto clásico y fiel a la marca por la efectividad y la protección ante los elementos.  La medida, puedo decir que uso un 43 en casi todo tipo de calzado, y se han ajustado a mi medida tal cual, no vienen grandes ni pequeñas. Como dato negativo, no traen el bote de la grasa que en tiendas físicas suelen regalarte.</t>
  </si>
  <si>
    <t>Reloj piscinero. Compré este reloj para machacarlo en la piscina y que no hubiera que tener mucho cuidado,  Y la verdad es que está muy bien muchas funciones, pila para 10 años y estoy encantado con él.</t>
  </si>
  <si>
    <t>Perfectas Comodisimas</t>
  </si>
  <si>
    <t>CONEXIÓN BLUETOOH Y DEPENDENCIA CAJA. Estoy leyendo todos los comentarios y nadie hace mención al tema del problema existente con la conexión. Debería haber una función para elegir comodamente si usar los auriculares en modo estereo ( ambos)  o usar independientemente cada uni. Es una ardua tarea poder conectar ambos a la vez, a veces se conecta el izquierdo, otras el derecho pero raras veces se conecta a la primera los dos, tienes que hilar muy fino para sacar a la vez los dos de la caja. Otro problema es, que no existe función de apagado, y si te los quitas tienes que meterlos en la caja, es decir, ir con ella a todos lados. No se puede usar e irte sin la caja, porque si luego al cabo de X tiempo quieres volver usarlo, no da señales de ninguna forma y no deja conectarse nuevamente con el móvil, es decir, no establece la conexión hasta que vuelve a la caja y lo sacas nuevamente.  Por ello he tenido que proceder a la devolución sintiéndolo mucho pues realmente se escuchan muy bien y no se caen, pero tener que llevarme X tiempo para conseguir conectarlo y depender de la cajita, como que no.</t>
  </si>
  <si>
    <t>Rapido La verdad que es muy rápido, pero para lo que cuesta en vez de poner una pegatina, podrían haber puesto alguna goma disipadora o incluir algún shield</t>
  </si>
  <si>
    <t>Ana El tamaño del reloj es muy pequeño. Yo diría que es tamaño de señora o de niño. En la foto parece mucho más grande.</t>
  </si>
  <si>
    <t>Decepcion No hace un año que la tengo desde diciembre 2017 hoy día 26 noviembre 2018 de ha roto. Muy mala compra.No es la primera vez que me ocurre con compra en amazon de batidora la otra vez se rompió x mal material pensé que al haber sido marca desconocida x eso ocurrió.Me decido gastar más y comprar una "buena" marca no ocurriría esta vez el falloes calientamiento olor a quemado. No lo recomiendo.</t>
  </si>
  <si>
    <t>Mis preferidas Mis preferidas para el verano!</t>
  </si>
  <si>
    <t>No salpica ,es ligera y tiene todo lo que necesito hasta para las claras Me encantó,de momento funciona genial ,la picadora era lo qu3 más miedo le tenía</t>
  </si>
  <si>
    <t>Buena regulación de temperatura La calidad y acabado es la habitual en la marca Daga y en esta almohadilla esta mejorada la regulación de temperatura que permite mas pasos intermedios que otros modelos mas antiguos que tengo. Como mejora la estética de la funda de algodón que incorpora.</t>
  </si>
  <si>
    <t>Que funciona bien y que sea duradero Fácil de usar ,buen resultado</t>
  </si>
  <si>
    <t>La mejor relación calidad/precio del mercado La mejor relación calidad/precio del mercado</t>
  </si>
  <si>
    <t>Buena compra Compra muy recomendable. Viene muy bien envasado y el diseño está muy chulo. Justo lo que buscaba. Funcionan perfectamente y puedes regular el volumen también lleva una pinza para colgar.</t>
  </si>
  <si>
    <t>Reloj elegante Reloj elegante, tenía ganas de tener un reloj negro, esfera y correa y este me ha gustado mucho. El material de la correa es metálico y se ve muy duradero. Buena calidad-precio</t>
  </si>
  <si>
    <t>Perfect Perfecto. Mejor de lo que pensaba Muy comodas</t>
  </si>
  <si>
    <t>Buen precio El viejo confiable y siempre a buen precio</t>
  </si>
  <si>
    <t>Me gusta Me gusta, se ve de calidad, es bonita, elegante, práctica para tarjetas, el color negro es para mi el más bonito, compré salmón y era horroroso, el negro es perfecto,  contento con la compra</t>
  </si>
  <si>
    <t>Es Casio original. Es la versión original. Viene con certificado de garantía, la etiqueta de Casio colgando de la correa y viene con una funda tipo estuche de gafas. El A158WA lleva el mismo módulo (593) que el Casio F-91W, lo cual ya es una garantía de buen funcionamiento y calidad. Este reloj vendría a ser un F-91W pero con correa de metal y caja metalizada (que no de metal). Por lo que cuesta no se puede pedir más, se ve que es de calidad, con buenos acabados y se siente muy cómodo en la muñeca (es muy fácil de ajustar).</t>
  </si>
  <si>
    <t>Casio Un Casio no vamos a descubrir nada</t>
  </si>
  <si>
    <t>Buenísima Perfecto</t>
  </si>
  <si>
    <t>Perfecto botas muy comodas,ta y como sale en la fotografia, las recomiendo,si gastas X direnos en buenos calzados ,¿por que no utilizar en el trabajo estas botas si nos pasamos muchas horas currando?</t>
  </si>
  <si>
    <t>Mi bebé son los unicos que quiere Son los únicos que mi hijo ha aceptado</t>
  </si>
  <si>
    <t>Moderna La mochila esta muy guay....es grande....entran muchos libros del colegio.....a mi hijo le a encantado....las cremalleras parecen fuertes y van muy bien....y los cordones rojos que tiene en las puntas facilita elnabrir y cerrar. Estoy pensando en comprar otra de otro modelo para intercambiar.</t>
  </si>
  <si>
    <t>Me ha gustado mucho. Genial. Es precioso. Lo he comprado para un regalo y le va a encantar. Es de cuero y huele a cuero. Lo recomiendo, se ve de buena calidad.</t>
  </si>
  <si>
    <t>10 por casio Casio.... sobran las palabras, bueno y clásico. Me encanta</t>
  </si>
  <si>
    <t>Muy buenas zapatillas Muy cómodas</t>
  </si>
  <si>
    <t>Genial para todos los biberones y sacaleches Lo usamos todos los días un par de veces y es el primero que no se estropea con el uso. Llega a todos los rincones y me parece más higiénico que los limpiadores con esponja. En principio parece cómodo para limpiar tetinas pero yo me apaño mejor con una escobilla pequeña. Lo recomiendo para todos los papás!</t>
  </si>
  <si>
    <t>Bueno Funciona perfectamente, al principio cuesta aprender a manejarlo pero luego puedes obtener resultados profesionales. Funciona con ableton live</t>
  </si>
  <si>
    <t>Perfectas Lo volveré a comprar, me encantan</t>
  </si>
  <si>
    <t>Muy suabe Es tal y como la describen muy suabe y agradable al tacto en mi caso. cumple su cometido ,dolor de espalda</t>
  </si>
  <si>
    <t>Tiene contraindicaciones muy importantes a tener en cuenta El envío bien como siempre. En cuanto al producto, no puedo opinar sobre su eficacia, pues lo compré para un familiar que tiene artritis reumatoide y precisamente está contraindicado para personas con esta enfermedad. También advierte del uso en personas mayores de 55 años que no pueden aplicarlo directamente sobre la piel, sino que tienen que colocar algún tejido entre el producto y la piel, por ej. una camiseta.</t>
  </si>
  <si>
    <t>Poco resistente Aunque estéticamente es bonita y útil, se ve muy edeble y trae pocas carpetas clasificadoras (solo 5, lo avisa el vendedor) Al tener tantas aperturas, entra mucha suciedad</t>
  </si>
  <si>
    <t>No merece la pena Bueno, para mí entender la pantalla es pequeña, los pasos los mide cómo le da la gana, ya que no distingue si estás en bici o andando. Y la frecuencia cardíaca no sabría decir, al no poder contrastar con otr El software es normal.</t>
  </si>
  <si>
    <t>que no es lo que venden es bastante cutre, y no es plata,es chatarra.</t>
  </si>
  <si>
    <t>Horrible Incomodidad se clava en todos los sitios. Lo devolvi</t>
  </si>
  <si>
    <t>Decente Buen producto para el precio que tiene. Lo encuentro poco práctico a la hora de fijar los componentes. Te acostumbras a ello.</t>
  </si>
  <si>
    <t>Funciona correctamente y es bonito Hasta ahora funciona correctamente. Me gustan las luces que tiene y su aspecto en general.  Contenta con la compra. No sabía si comprar este o el pequeño y ahora pienso que hice bien ya que el otro debe quedarse muy justo.</t>
  </si>
  <si>
    <t>Perfecto para el trabajo me viene muy bien para el trabajo, es comodo y sobre todo calidad precio perfecta! :)</t>
  </si>
  <si>
    <t>Bonito, aunque algo pequeño para hombre. Muy contento con la calidad del artículo, aunque el tamaño es algo más pequeño de lo que esperaba, y queda quizá un poco pequeño en la muñeca de un hombre, pero eso es cuestión de gustos.</t>
  </si>
  <si>
    <t>Bien Tamaño un poco justo, calidad aceptable.  Quizas deberian ser mas explicitos con los tamaños porque pese a que uso normalmente  un 44 me va muy justo.</t>
  </si>
  <si>
    <t>El color Zapatos muy bonitos y de gran calidad, tal y como se espera de Merrel yo siempre pido una talla de más y me queda perfecto.</t>
  </si>
  <si>
    <t>Muy bueno No puede ser más bonito y elegante. Si estás buscando un reloj para vestir, este es ideal. Llegó perfectamente y en buenas condiciones.</t>
  </si>
  <si>
    <t>Calidad Regalo para mi madre. Está muy contenta. Hace los purés muy bien. No hemos hecho aún mucha cosa. Pero se ve material de calidad. Y las ventosas la sujetan genial</t>
  </si>
  <si>
    <t>Muy bonito Queda muy bien</t>
  </si>
  <si>
    <t>Los mejores zuecos para trabajar Trabajo en el sector sanitario y son los mejores zuecos que he tenido, que es decir mucho porque he tenido muchos. Ya es el tercer par que compro y estoy completamente satisfecho. La única desventaja es que con el tiempo se desgasta la suela  y pueden resbalar en algunos suelos mojados.</t>
  </si>
  <si>
    <t>No quedan trozos  al momento de licuar los alimentos Tamaño ideal para todo la familia , no quedan grumos al momento de hacer batidos ,ideal para hacer papillas para los pequeños de la casa</t>
  </si>
  <si>
    <t>Expectativas cubiertas Fue un reglao</t>
  </si>
  <si>
    <t>Ótimo Muito prático</t>
  </si>
  <si>
    <t>Buen invento Genial para los que no tenemos un amplificador a mano, me gustaría que tuviera salida a PC pero por el precio es más que suficiente.</t>
  </si>
  <si>
    <t>Me los recomendó el pediatra para los cólicos. Por ahora los mejores que he probado, la bálvula evita que le entre aire.</t>
  </si>
  <si>
    <t>Buena ampliación para PS4 Lo he comprado para ampliar el disco de la PS4 y no he tenido ningún problema. Parece que los juegos cargan un poco más rápido pero tampoco hay mucha diferencia</t>
  </si>
  <si>
    <t>Mis preferidos Quien no conoce la Marca Crocs, són excelentes zuecos, muy cómodos, hace años que los utilizo y repito cuando los necesito. Muy buen precio en promoción. Los recomiendo.</t>
  </si>
  <si>
    <t>Perfecto Buen reloj para un niño, con alarma, cronómetro, cuenta atrás, etc</t>
  </si>
  <si>
    <t>Silencioso Es silencioso, lo suficiente para no molestar en la casa a nadie que esté durmiendo. Yo lo compre porque me levanto muy temprano y me gusta hacer zumo todas las mañanas, así que es perfecto porque no molesta, los que duermen no lo oyen, ni estando al lado de la cocina. Es fácil de limpiar, solo tres piezas y fáciles de poner.</t>
  </si>
  <si>
    <t>Grapas de calidad . Si estas cansado de tirar grapas o que queden a medio-grapar comprate estas ,van de lujo con la grapadora Esselte Leitz 55020095 que es un pepino y hasta la fecha no he tirado ni una y todas las grapas van de lujo y pocas cosas se le pueden resistir ya que grapa grandes grosores de papel .</t>
  </si>
  <si>
    <t>Compra perfecta Perfecto en talla. Son Vans, así que si las conoces ya sabes su calidad. Son muy buenas.</t>
  </si>
  <si>
    <t>Buena batidora Braun, como siempre la marca de las batidoras de toda la vida. Muy completa con el vaso picador, el bote, las varillas y el pie de cuchillas.</t>
  </si>
  <si>
    <t>Perfectos Rápido envío, 3 pares de pendientes de bola de distintos tamaños. Plata 925.</t>
  </si>
  <si>
    <t>Perfecta y cómoda Pequeña, ligera y muy cómodo el enganche para llevarlo en el llavero.</t>
  </si>
  <si>
    <t>Las Manecillas no son luminiscentes El reloj llegó en el plazo previsto, y en buen estado y embalaje, el reloj tiene un tamaño de 34mm el circulo de plástico transparente, unos 40mm en total de diámetro. En definitiva, un reloj sencillo, buen tamaño y espero que duradero...ya lo veremos, ideal como reloj de batalla. Para mi el gran inconveniente es que las manecillas no son luminiscentes, vaya que por la noche no ves la hora.</t>
  </si>
  <si>
    <t>Cumple con lo que dice ser. Sujeta muy bien a Mi Band 3, no es difícil montar y desmontar y la correa tipo reloj permite ponértela y quitártela fácilmente. Pero por alguna razón apenas deja transmitir la vibración a la muñeca impidiendo conocer cuándo tienes una notificación, lo que limita la mayor utilidad que yo he buscado con Mi Band. Podría ser por fabricarse en metal.</t>
  </si>
  <si>
    <t>Decepción No recomiendo nada. La mayoría despegadas y las fotos no se pueden poner bien. Con lo bonito que es por fuera, ese fallo es muy grande.</t>
  </si>
  <si>
    <t>Mala calidad Mala calidad. No pude devolverla</t>
  </si>
  <si>
    <t>Auriculares Vienen como originales pero nada que ver con el original el micro la persona que te escucha te oye como si estuvieras en una calle con mucho ruido y tráfico</t>
  </si>
  <si>
    <t>Muy bien Es un cepillo con cerdas duras y está muy bien, aunque para lo que yo quería no me sirve de mucho, que es en la rendija de la mampara de baño, las cerdas se quedan cortas. Pero está muy bien</t>
  </si>
  <si>
    <t>Muy buen zapato Llevo solo un dia con estas botas,pero estan muy bien. Las pedi un numero mas pequeño,uso 42 y pedi 41,siguiendo los comentarios y he acertado, aunque aun asi son un poco grandes...no se si tenia que haber pedido el 40,pero le puse unas plantillas y estan mucho mejor. El envio solo en un dia,asi q perfecto!!! Espero que aguanten mucho..:)</t>
  </si>
  <si>
    <t>Batidora de vaso Estaba encantada con este producto pero se me ha roto la batería y no puedo sustituirla, me voy a tener que comprar el aparato entero. Si que es vetada que la he usado mucho pero hace menos de un año que la compre, no sé si ha sido mala suerte o mala calidad.... aún así creo que le daré otra oportunidad y retire ya que estaba muy contenta y me parece súper cómoda de utilizar.</t>
  </si>
  <si>
    <t>Magnífico reloj El reloj me ha gustado más de lo que esperaba cuando realicé el pedido. Pensé que era completamente negro pero tiene una parte azul alrededor de la esfera que le queda muy bien. El tamaño es perfecto, ni muy grande ni pequeño.Lo que no he probado todavía es lo de las mareas, pero el resto funciona fenomenal incluida la carga con el sol. Lo recomiendo</t>
  </si>
  <si>
    <t>Es funcional No me acopla bien</t>
  </si>
  <si>
    <t>Cumple su propósito Después de haber probado varios auriculares similares, estos han sido los que mas se han acercado a lo que buscaba, principalmente por la ergonomía y elemento de sujección a la oreja que es algo fundamental desde mi punto de vista para hacer deporte. Los recomiendo. El único punto negativo es que la batería se descarga completamente aunque el indicador muestre que está por la mitad (dura unas 6-7 horas) y que distancia con el móvil tiene que ser cercana pues en 2 metros ya pierde la conexión.</t>
  </si>
  <si>
    <t>Diferentes formas originales Son muy bonitos, complemento perfecto para hacer de mis llaveros únicos.</t>
  </si>
  <si>
    <t>Muy bonito Es muy bonito. Aunque hay que tener un poquito de cuidado con las esquinas porque se rompen</t>
  </si>
  <si>
    <t>Zapatillas Nike Me quedan bien es justamente la talla que calzo y las zapatillas vinieron en perfecto estado, sol que el teni derecho me lastima en la parte superior del pie.....</t>
  </si>
  <si>
    <t>Precioso Es precioso, se lo he regalado a mi madre por su cumpleaños y está encantada.</t>
  </si>
  <si>
    <t>Vale cada euro gastado...sin peros. Valen cada euro que me he gastado en ellos, buenos no, lo siguiente...Aunque para correr no me valen mucho porque al trotar y respirar todo el rato con la boca abierta se me cierra el pabellón auditivo y apenas oigo la música, estoy mal hecha qué vamos a hacer...por otro lado utilizarlos fuera de este caso ha sido una experiencia de lujo porque suenan muy bien, no sabría decir, los graves son profundos y los agudos muy claros, eso sí, estoy utilizando un software en mi Smartphone para escuchar música que flipas. Por cierto, el emparejamiento lo hice a la primera, sin complicaciones de nada. Otro punto es que aislan muy bien del ruido exterior, y en el metro o en el bullicio de la calle no se escucha nada de nada de fondo, no se corta la transmisión, no se escuchan chasquidos ni ostias raras, sólo un sonido limpio.  Otra flipada es la autonomía, una salvajada de horas tanto en los cascos como en la cajita de guardado donde por cierto podemos ver la carga restante aproximada de forma porcentual, esto en principio fue lo que me hizo decantarme por los cascos pero luego te das cuenta que también te lo marca en el mismo smartphone. Ah! Que puedas utilizar la caja como una power bank pues está bien pero tampoco es algo que vaya a utilizar pero si alguna vez te quedas tirada pues bueno... No sé qué más decir que no se pueda leer, lo que aguanta el sudor y todo eso es cierto y que son cómodos también porque no pesan nada. En fin... Encantada con la compra, chin-pom!!!</t>
  </si>
  <si>
    <t>Bonito, contundente y preciso, me encanta!! El reloj es precioso, una maravilla... y funciona de fabula. Llevo unos días con el en la muñeca sin quitarmelo ni para dormir, y es que va al milímetro, genial. En mi muñeca de 19cm queda de escandalo, y muy vistoso...recomendado para personas que tengan una muñeca grande.</t>
  </si>
  <si>
    <t>Muy confortable Ideal</t>
  </si>
  <si>
    <t>Muy recomendado!!! Excelentes! Yo lo uso con un iPad 3 y el Garatge band va fantástico! Es súper recomendable, relación precio calidad inmejorable! Con el iPad no hay late vía, y en un pc con win10 tiene un retardo casi insignificante! Además x tamaño permite tocar bastante bien ya que 32 teclas es mejor que 25 y es muy compacto para llevar a cualquier parte! Muy contento y lo recomiendo con los ojos cerrados! Saludos</t>
  </si>
  <si>
    <t>Ok Fantástico</t>
  </si>
  <si>
    <t>pulgar arriba! El calor alivia contracturas musculares y dolor de cervical. Se calienta muy rápido y se apaga automaticamente si se te olvida enchufada. Al ser flexible, se adapta bien a las varias partes del cuerpo. Aún no la lavé y entonces no sé decir si de verdad se puede poner en la lavadora como dicen.</t>
  </si>
  <si>
    <t>Estupendo Genial, tiene un diseño muy bonito, no es ruidoso y viene divido en tres partes la central es para que el agua no se derrame también trae para poner temporizador. Lo recomiendo 100%</t>
  </si>
  <si>
    <t>Excelente Muy buena calidad y comodidad</t>
  </si>
  <si>
    <t>diseño el color y no el peso</t>
  </si>
  <si>
    <t>Me ha encantado Muy chulo y d calidad. Era para un regalo y a la persona le ha encantado Asique muy contenta. Y el pedido me llego muy rápido y con su pertinente bolsita de Pandora.</t>
  </si>
  <si>
    <t>Recomendable 100% Para el día a día en el trabajo, lo recomiendo, no pesa y es comodo</t>
  </si>
  <si>
    <t>Muy conductiva y duradera Como siempre noctua nos ofrece lo mejor y esta no es una excepción, pasta térmica muy conductora, consistente y duradera.</t>
  </si>
  <si>
    <t>Pequeños y compactos Me ha sorprendido lo pequeños que son, tanto el auricular como la caja para transportarlos son realmente compactos, muy fácil de llevar a cualquier sitio. En cuanto a la conectividad, es compatible con Android e iPhone y muy rápido y fácil de conectar a la primera. Para hacer deporte puede ser menos cómodo de lo esperado por su tamaño, al menos en mi caso.</t>
  </si>
  <si>
    <t>Calidad precio muy bueno Escribo esto después de haber comprado el auricular hace bastante tiempo. La bateria dura como el primer día, la calidad de sonido sigue siendo muy buena, se carga en muy poco tiempo. Su conectividad tanto como para iOS y Android muy bien. Mi mujer que es quien lo utiliza dice que esta encantada y que es muy simple de utilizar. Lo volveria a comprar.</t>
  </si>
  <si>
    <t>No ajusta bien al micro Blue Yeti Lo uso con un micrófono Blue Yeti y la fijación no es estable a pesar de que la base es bastante robusta. Se suelta con mirarlo y se desajusta con demasiada facilidad.</t>
  </si>
  <si>
    <t>Marcas de haber sido usado Este articulo tiene manchas y todos los sintomas de haber sido usado antes cuando yo lo habia comprado como nuevo.</t>
  </si>
  <si>
    <t>Decepcionante Compre el producto porque ya lo había usado esta marca anteriormente pero a nivel lumbar, lo peor que ahora he notado es que tarda mucho en calentarse y si a esto se le suma el hecho que se despega en ambos bordes o sea una decepción total, el envío fue muy rápido insisto el feedback es para el producto no es con el vendedor.</t>
  </si>
  <si>
    <t>Muy grande Es demasiado grande</t>
  </si>
  <si>
    <t>No me sirvió Desde el primer momento, aproximadamente cada 10 - 15 minutos el sistema deja de responder durante más de 10 segundos. Además, al reiniciar aparecen cada vez nuevos errores de disco que impiden arrancar el sistema hasta que son corregidos con un disco de arranque externo. He vuelto a poner el disco antiguo y funciona perfectamente Procedo a su devolución</t>
  </si>
  <si>
    <t>Grabación de muy mala calidas, como con auriculares de movil. Es de muy baja calidad. Hay micrófonos que cuestan lo mismo (aunque sólo te viene el micro) que valen mucho más la pena. No lo he devuelto por el brazo, el filtro y la sujeción, pero el micro es pésimo. Acabo de comprarme otro porque con este más vale que grabes con el mismo movil.</t>
  </si>
  <si>
    <t>Precioso Perfecto</t>
  </si>
  <si>
    <t>Ningún problema He comprado el pack de 10 botellitas de 8GB. Han llegado rápido y muy bien embalados. Como no me fiaba mucho, he probado los diez en el ordenador: no cuesta introducirlos, los reconoce todos, y en todos he podido meter alguna imagen y abrirla sin problema. La capacidad en todos es correcta: de 8GB y un poquito más incluso. Son para usar más adelante y entregar trabajos a clientes, por lo que si alguno falla revisaré mi comentario! De momento sí los recomendaría.</t>
  </si>
  <si>
    <t>Buenos pantalones y con buen precio Uso éstos pantalones para jugar al pádel, me gustan y son de buena calidad. El único pero es que tiene los bolsillos excesivamente grandes, cualquier cosa que eches en ellos, al segundo paso que des ya sobresale completamente por debajo del pantalón.</t>
  </si>
  <si>
    <t>Muy buen olor El aroma es muy bueno</t>
  </si>
  <si>
    <t>Agradable Sostengo el mango y me siento bien cuando lo presiono.</t>
  </si>
  <si>
    <t>Muy contento con esta compra #--# Nuestro interés al comprar el producto #--# Quería comprarme una bandolera para guardar todos los documentos y mi iPad que siempre llevo al trabajo, y tras buscar por Amazon me decidí por esta bandolera gracias a su diseño (ya que me gusta bastante) y por su precio.  #--# Puntos buenos del producto #--# - El 90% del material de la bandolera es de tela (bastante fuerte). - Tiene bastante espacio, aunque no se puede apreciar en las fotos (cabe un iPad Air). - Varios compartimentos con cremallera y algúnos bolsillos. - Correa regulable.  #--# Puntos malos o no tan buenos del producto #--# - Las cremalleras podrían ser de mayor calidad.  #--# Conclusión #--# - Una bandolera bonita, barata y de una buena calidad. Muy satisfecho con esta compra.</t>
  </si>
  <si>
    <t>Todo bien Estam muy bien</t>
  </si>
  <si>
    <t>Todo perfecto El producto recibido es tal cual se describe y aparece en la imagen. Una muy buena compra y lo recomiendo sin duda.</t>
  </si>
  <si>
    <t>Correcto Suavidad de corte  y resultado esperado.</t>
  </si>
  <si>
    <t>Compra recomendable Lo dejamos puesto cuando salimos de casa puesto que se apaga solo si se queda sin agua y abrir la puerta y que huela bien tu casa.... es relajante, agradable y no tiene precio! Es una buena inversión. También la función de aromaterapia y esperamos a probar en invierno como funciona con un aceite de eucalipto o similar para evitar resfriados. La relación entre las posibilidades que tiene y su precio es excelente. Es bonito aunque el material no sea madera. Llegó perfectamente embalado.</t>
  </si>
  <si>
    <t>Tarjeta buena Es una tarjeta de memoria rápida con un precio adecuado a las prestaciones que ofrece. Estamos contentos con ella. De momento no ha fallado.</t>
  </si>
  <si>
    <t>Delgada estrecha y con buenos materiales. Buenas le regale esta bateria a mi hermana porque decia que no queria nada grande para poder llevarlo en los bolsillos si hiciera falta. El envio y el embalaje buenos. Pros: --La bateria me parece  buena por la calidad de los materiales es metalica y le da un aspecto premium pudiendo elegir entre varios colores.   --Tiene unas dimensiones muy buenas siendo estrecha y fina ideal para cargar una vez entera cualquier telefono movil y realizar otra media carga.   -- La puedes llevar en un bolsillo o en un bolso ocupando muy poco espacio ya que es super fina. Constras: El cable para poder cargarlo es muy corto teniendo que tener la bateria pegada el telefono movil no pudiendo manejar este con comidiad. https://www.amazon.es/dp/B00ZWVSO7S/ref=cm_cr_ryp_prd_ttl_sol_10</t>
  </si>
  <si>
    <t>Calidad de sonido y buena recepción. He comprado hace unos días este micrófono, y muy contento con la compra, tiene buena calidad de fabricación, es muy cómodo, con un muy buen sonido y una recepción sin interferencias bastante larga, todavía no puedo opinar sobre la duración de las pilas, tanto del micro, como la duración de la batería del receptor, pero teniendo una buena autonomía, es un micrófono recomendable, incluso para actuaciones pequeñas de dúos o tríos, tiene una buena presencia y cuerpo en la voz, sin ninguna distorsión, procuraré hacer una nueva reseña en cuanto tenga tiempo de comprobar la referida autonomía. Hoy por fin pude utilizar el micrófono, en un ensayo, y puedo decir, que ha funcionado perfectamente, con buena calidad de sonido y sin ninguna interferencia, ha sido utilizado con otros dos sistemas inalambricos y un sistema de monitores in-ear, han sido tres horas de duración del ensayo y todavía sigue con carga de bateria, tanto en el micro como en el receptor, espero ver todo lo que aguanta, en una utilización próxima mas larga y ya lo comentaré para los que les interese, saludos. Quiero hacerles un comentario al equipo de Amazon, por que me ha sorprendido enormemente, resulta que navegando por internet, descubro una página llamada EUSCOMSHOP.com en la cual, se anuncia a la venta este mismo micrófono, y curiosamente en las opiniones que hacen de él, me encuentro la mía que efectué en su día sobre él, copiada exactamente, como fotografiada, no se como se pueden coger datos de clientes de otras tiendas y hacerles pasar como si fueran suyos, lo cierto es que no creo que sea muy legal ese tipo de publicidad, que vulnera un poco la privacidad de clientes de otras empresas, simplemente ahí dejo esta observación para el equipo de Amazon, por si es de su interés. Saludos</t>
  </si>
  <si>
    <t>Acorde a descripción Buena calidad</t>
  </si>
  <si>
    <t>Muy cómodos y ligeros Muy cómodos, se ajustan perfectamente y son ligeros. Vienen con caja para guardarlos y diferentes tamaños para el auricular. Se oyen perfectamente incluso en distancia</t>
  </si>
  <si>
    <t>Estupendo Un producto estupendo, después de pensar mucho me decidí a comprarlo y estoy encantada con su funcionamiento. Su relación calidad / precio es estupenda y lo recomiendo a todo el mundo.</t>
  </si>
  <si>
    <t>Excelente La riñonera tiene 2 bolsillos, en el grande cabe perfectamente la cartera y el movil. En el pequeño las llaves y mas cosas pequeñas. Es muy cómoda ya que puedes llevar la botella. Se puede poner a la medida de tu cintura. La tela es de buena calidad. Ideal para caminar o correr.</t>
  </si>
  <si>
    <t>Ok Perfectos</t>
  </si>
  <si>
    <t>Buenas y bonitas Mi mujer está encantada con sus nuevas zapatillas. Las utiliza para salir a dar un paseo y son muy cómodas, se limpian bien y son muy bonitas.</t>
  </si>
  <si>
    <t>Buen rendimiento a precio comedido Este disco ofrece una buena velocidad de transferencia, con una gran memoria caché interna. Y el precio es bastante ajustado. Muy satisfecho con su compra.</t>
  </si>
  <si>
    <t>Buena calidad Bien de precio</t>
  </si>
  <si>
    <t>Auriculares para todas las orejas Los compré para un regalo y ha quedado encantada el tamaño, sonido y autonomía.  El sonido muy nítido y con bajos potentes, impresiona lo que puede aislar del ruido Le gustó También la posibilidad del cambio de gomas que entran en el oído ya que al tener el orificio pequeño siempre se quejaba de que le hacían daño. Y con las gomas pequeñas le van perfectos. Los lleva al gym a diario y no se aflojan con el sudor. Le dura la batería unas 4-5 horas la caja donde se guardan va cargando los auriculares. Otro punto en el que me convencieron es que me daban 60 días de devolución de dinero, esto ya da una garantía de que son buenos aparatos.  El envío de Amazon muy rápido.</t>
  </si>
  <si>
    <t>Malos Malos! Al rato de ponerme los,se me cayó uno y los perdi</t>
  </si>
  <si>
    <t>Transparentan Las uso como leggings con jerseys y camisolas por encima y botas. Para hacer ejercicio en el gimnasio transparentan mucho</t>
  </si>
  <si>
    <t>No vienen los mismos que en la foto Lo he recibido y me sorpresa es que no vienen los mismos que figuran en las fotos... algunos sí, otros no... me he llevado un poco de decepción porque justo los que más me gustaban no vienen.</t>
  </si>
  <si>
    <t>Precio barato No esta mal si sabes lo que compra</t>
  </si>
  <si>
    <t>SE ROMPE PRONTO... Manos libres bluetooth con buen sonido, pero de mala calidad para un uso prolongado. A los 4 meses dejó de funcionar el botón para subir el volumen y ahora se ha partido por la parte giratoria que lo adapta al oído.</t>
  </si>
  <si>
    <t>Buena calidad-precio Para el precio que tiene cumple su función. Tritura bastante bien, incluso fruta congelada y semillas. Además que no hace tanto ruido como en un principio puede pensarse. Lo único que peor veo es que la cubierta de plástico que tiene la base es poco resistente. Por lo demás una buena compra.</t>
  </si>
  <si>
    <t>Lo volvería a comprar por calidad precio Calidad precio bien ,pero un poco complicado para acertar con la configuración correcta. Mucha información pero ambigua</t>
  </si>
  <si>
    <t>Mari Son unos pendientes muy bonitos, son iguales que las fotos pero en realidad son más pequeños de lo que me esperaba.</t>
  </si>
  <si>
    <t>Están bien- Cumplen expectativas Cumplen el objetivo para el que están creadas</t>
  </si>
  <si>
    <t>Jic Buen zapato. Talla algo grande y el color difiere un poco con el de las fotos. El envío express se paga y tarda lo mismo que el envío normal, por lo demás todo bien.</t>
  </si>
  <si>
    <t>Batidora portátil recargable Me encata esta batidora portátil que puedo hacer batidos en donde quiera, lo uso todos los días sin falta para el trabajo, a la hora de comer tengo la costumbre de acompañar mi comida con un zumo o batido, solo añado la fruta con agua fría o con leche fría y presionar el botón de encender, luego esperar a que se pare automáticamente y listo (como 1 minuto). Tritura muy bien los trozos de frutas. De momento me va bien con esto y la verdad es que me encanta.</t>
  </si>
  <si>
    <t>Ilusionada con el hervidor A veces esta en oferta flash. Yo lo pedí y lo cancelé porque minutos después se puso en oferta flash y te ahorras 4-5€ (merece la pena esperar). Mi suegra tiene uno (no de esta marca) y me picó el gusanillo para comprarme uno para nosotros. Nos estamos pasando a las infusiones  nocturnas y si quieres calentar dos tazas (como en nuestro caso que somos 2) poner el microondas con cada taza es un lío (si metes dos tazas en el microondas a la vez no se calienta ninguna) el hervidor es estéticamente muy bonito pero además el recubrimiento que tiene hace que aunque el agua este hirviendo dentro por fuera no quema asíque es seguro para niños o despistes. Me fijé en la potencia 2200W porque quería que fuese rápido y es muy rápido y se apaga solo cuando alcanza la ebullición. Para 2 es un poco grande (es para 1.7L y de mínimo tiene que hacer 0.5L) es más para 4-5 personas. Igualmente y aunque seamos dos como solemos tener visitas es perfecto! (Dejo una foto al lado de una cafetera americana para que veáis un poco las medidas del hervidor porque es más grande de lo que parece) por cierto que lo vi en otros hervidores... Este no tiene la resistencia al aire ni nada. Y se sirve bien sin derramar.</t>
  </si>
  <si>
    <t>Buen producto Cumple su función y tiene una calidad precio muy adecuados. Lo recomiendo al 100 por cien.  Producto muy completo 2x1.</t>
  </si>
  <si>
    <t>MARAVILLOSO El dios de los biberones! Queríamos meterle biberón y quitarle el pecho poco a poco y probamos mil tipos, no había manera, hasta que probamos este, de un día para otro dejó el pecho. Lavable, desmontable, duradero. Perfecto.</t>
  </si>
  <si>
    <t>Experiencia más que satisfactoria. Después de 4 años de uso, tengo que decir que éste reloj Casio Solar, ha cumplido de sobra todas mis expectativas. Pesa muy poco, es preciso, no necesita pilas al ser Solar. Estoy muy satisfecho con la compra.</t>
  </si>
  <si>
    <t>excelente No se puede decir mucho sobre una marca mas que conocida, el envio bueno, el material y los tenis perfectos. Son originales 100%</t>
  </si>
  <si>
    <t>Lo recomiendo. Compre el producto y me quedaba grande. En seguida se pusieron en contacto conmigo para decambiarlos y me los mandaron a la dirección que les di (ya que estaba de vacaciones y no me encontraba en mi domicilio habitual). Los zapatos me quedan perfectos y ando muy cómoda con ellos.</t>
  </si>
  <si>
    <t>Gran regalo Rápido y perfecto.</t>
  </si>
  <si>
    <t>Comodidad Diría que es la compra más acertada de los electodomésticos. Es muy cómoda en el uso. Se lava bien. Nunca había tomado tantos batidos. Y era porque tengo una batidora de vaso. El vaso pesa mucho y no es cómoda para lavar.</t>
  </si>
  <si>
    <t>Cómodo y ligero ligero, cómodo, talla perfecta. Tengo el pie estrecho y me queda un poquito ancho, pero poco. Con calcetín me apaño</t>
  </si>
  <si>
    <t>ESTUPENDO Una maravilla,  suoer cómodas, las volveria a comprar sin ninguna duda. Hice caso a los comentarios  del tallaje y acerté utilzo un 39 cogí un 38 y perfectamente. 😉</t>
  </si>
  <si>
    <t>Perfecta Artículo de uso diario, me va muy bien, soy alto 190cm y me va perfecta, además ya llevo un tiempo con ella y resiste muy bien el uso diario. Producto de buena calidad, muy recomendable</t>
  </si>
  <si>
    <t>Vatalkeras y casual Súper comoda</t>
  </si>
  <si>
    <t>Excelente relación calidad precio Por 30 eurillos quien tiene su sistema operativo en un disco convencional? Acabamos de montar un PC con este disco y tiene la medida mínima para alojar el arranque del sistema (en mi caso arranque dual Linux-Windows) y permitir un arranque en escasos segundos.  Al precio actual no se tiene ni que dudar.. tampoco he apreciado ninguna diferencia de funcionamiento con otros discos que también tengo y que son más caros.</t>
  </si>
  <si>
    <t>Bien!!! Realmente conectado al NAS que tengo, no se oye a penas (por la madrugada) durante el dia ni “Mu”.  Claro está que si le buscas los trespiés al gato,.... al escribir en él. Como en cualquiera.</t>
  </si>
  <si>
    <t>Muy bueno Se adapta muy bien a muñecas de hombre</t>
  </si>
  <si>
    <t>Muy cuquis Son bonitos, algo pequeños pero cumplen su función. Los compre para regalárselos a mis alumnos de 6 añitos a final de curso y motivar les a leer</t>
  </si>
  <si>
    <t>Funcional Reloj perfecto como reloj de batalla o reloj de trabajo. Buenas funciones por su precio y bonito diseño. A mi personalmente me vienen muy bien las horas mundiales, ya que viajo mucho por trabajo y no tengo que andar haciendo cálculos. Es genial que funcione con energía solar, te despreocupas por la pila. Lo que menos me ha gustado es la correa, parece de baja calidad. En resumen, gran relación calidad/precio</t>
  </si>
  <si>
    <t>Lo que pides de un pantalon deportivo Todo</t>
  </si>
  <si>
    <t>Los 150 MB/s confunden Tuve que devolverlas pues las compré pensando que tenían 150 MB/s de escritura que es valor que suele ser el que más nos importa y al hacerle una prueba con el Blackmagic Disk Speed Test no llegaron ni a la mitad. Leyendo las especificaciones se puede ver que los famosos 150 MB/s se refieren a la transferencia de lectura.</t>
  </si>
  <si>
    <t>Limpiacristales Estéticamente es muy bonita la puedes dejar colgada dentro de la ducha. A pesar de ello la goma no me parece que se adhiera demasiado bien precio calidad es correcta</t>
  </si>
  <si>
    <t>No es tan bueno Se ha borrado las letras a los 2 días</t>
  </si>
  <si>
    <t>un timo No me gusta, y no me devuelven su importe</t>
  </si>
  <si>
    <t>Bolso mochila de piel. Me ha sorprendido gratamente la calidad de la piel, huele a cuero, es cómodo y elegante. El precio está muy bien, para mi es más cómodo el tipo mochila que el bolso, su tamaño es ideal.</t>
  </si>
  <si>
    <t>Hombres Casual Manga Corta Camiseta Soltero Botón Abertura Llano v Cuello Camisas Algodón Queda muy bien puesta y es muy cómoda. la talla se ajusta perfectamente.</t>
  </si>
  <si>
    <t>Perfecto. Cómodo y  práctico.</t>
  </si>
  <si>
    <t>Comodo El zapato es cómodo y la talla se corresponde. Después de unos días de uso el tejido parece como si se desfilacha un poco.</t>
  </si>
  <si>
    <t>Esta bien pero para mas mayores Esta genial pero para niños a partir de 5 años q no engañe la publicidad es más complicado y si cometes un fallo debes volver a empezar lo q hace q los niños pierdan la paciencia porq hay piezas realmente complicadas</t>
  </si>
  <si>
    <t>Comodidad Muy comodos, se adaptan perfectamente al oído y además el paquete trae unas almohadillas para que elijas la que más se adapte a ti y sirve para cualquier modelo de móvil</t>
  </si>
  <si>
    <t>Me and myself llegaron bien embalados y a tiempo,materiales de calidad,no son imitaciones,el problema que tuve es el siguiente&amp;gt;son incompatibles con algunos moviles y mp3,luego empezaron a funcionar por ejemplo perfectamente con el portatil y suenan bien.</t>
  </si>
  <si>
    <t>Bueno utilidad Estoy absolutamente contento con la compra de este calentador de agua! lo utilizo todos los días. Hervir agua es fácil y rápido incluso cuando la lleno hasta su capacidad máxima, y ​​nunca tengo que preocuparme de que se, seque cuando estoy hirviendo un poco de agua. Muy fácil de usar y limpiar, y tiene el tamaño perfecto.</t>
  </si>
  <si>
    <t>Se adaptan perfectamente a tamaño pequeño y grande Buen acabado</t>
  </si>
  <si>
    <t>Vitor Son lo que esperaba,no lo siguiente,muy buena calidad, quedan de p.t.madre.compralos no te arrepentirás  seguro Los colores son muy bonitos Solo faltan unos calzoncillos a juego con los calcetines a poder ser Skip</t>
  </si>
  <si>
    <t>Precioso reloj tipo submarino de Invicta Es un reloj fenomenal, es el tercero que compro, concretamente este es el más exacto, lo recomiendo, me llegó rápidamente</t>
  </si>
  <si>
    <t>Sonido muy bueno He cambiado a este modelo y es magnífico. Mensajes por voz en español del estado (llamada entrante, apagado, encendido, etc). La batería dura bastante y se adapta muy bien al oído.</t>
  </si>
  <si>
    <t>No cambies de PC, cambia de discos En mi caso, tenía un PC Dell de hace 5-6 años que en su día compre con un procesador I7 pero que me iba muy lento (tardaba muchísimo en arrancar y bastante lento en general). He sustituido los dos discos duros por 2 SSD de tamaños iguales a los que tenía (un crucial de 2TB como principal y éste de 530 MB como secundario para copias de seguridad,...) y  el rendimiento no tiene absolutamente nada que ver: se inicia en pocos segundos, el navegador funciona inmediatamente después de iniciar el PC,... Además, ahora es mucho mas silencioso (lo cual se agradece también).</t>
  </si>
  <si>
    <t>Muy bonita pieza Una pieza preciosa que gana más en persona</t>
  </si>
  <si>
    <t>Funcionan correctamente según especificaciones Relacion calidad precio buena</t>
  </si>
  <si>
    <t>Funcionamiento impecable y calidad de zumos fantástica El producto lo uso todos los días al menos 3 veces por lo que puedo decir que la limpieza es muy fácil igual que el montaje y desmontaje. Me gusta muchísimo la calidad del zumo y la facilidad de uso y limpieza. Me gustaría que fuera más silenciosa pero no por ser ruidosa sino porque los ruidos no me gustan en general. En general me encanta el producto</t>
  </si>
  <si>
    <t>Excelente Llevo usando los auriculares desde hace muchos meses y están perfectamente! Mucho mejor que los originales de Samsung que me duraron casi nada. Se escucha muy bien los graves y agudos. Estoy super contenta de haber elegido este modelo. 100% recomendable.</t>
  </si>
  <si>
    <t>Etiquetas para envios Son justo las etiquetas que necesitaba. No hay mucho más que comentar. Se pegan bien y tienes software para el diseño en su página web.</t>
  </si>
  <si>
    <t>funciona funciona sin problemas, tiene una gran capacidad de almacenaje sin problemas a la hora de usarlo. buena calidad sin dudas</t>
  </si>
  <si>
    <t>El progreso! Nunca hubiera imaginado que un articulo que se usaba hace tantos años funcionara tan bien. Por el precio que tiene te aseguras un superconfort al entrar en la cama. Ojala la hubiera comprado antes!</t>
  </si>
  <si>
    <t>Perfecto Justo lo que buscaba y lo que marca en la descripción. De buena calidad y buen material. Lo volvería a comprar sin duda</t>
  </si>
  <si>
    <t>Bonitos y comodos Súper bonitos y comodísimos, me encantan</t>
  </si>
  <si>
    <t>Muy chulo Bolso bandolera de buena calidad y diseño. No encontraba nada así en mi ciudad. Tiene una relación calidad precio inmejorable</t>
  </si>
  <si>
    <t>Excelente producto Llevo más de 1 año con ella, exteriormente esta como nueva, sigue funcionando igual que el primer día y eso que la usamos casi a diario. De potencia va sobrado para hacer purés, salsas, etc. Muy contento con la compra realizada.</t>
  </si>
  <si>
    <t>Pequeños Son mas pequeños de lo que parecen, pegan bastante pero no me valen para lo que los compré, creo que deberían un euro a lado de la foto del catalogo para que te hagas una idea del tamaño.</t>
  </si>
  <si>
    <t>Aceptable Da algo de gusto pero nada de otro mundo....</t>
  </si>
  <si>
    <t>Demasiado grande para lo q esperaba Pensaba que era mas tipo bolso y es una mochila para odenador y otros documentos. Muy fina para mi gusto</t>
  </si>
  <si>
    <t>Mala experiencia Niñera el color que aparecía en las que yo elegí.</t>
  </si>
  <si>
    <t>no calidad Almacenamiento de respaldo de datos inestable y no duradero,menos de tres meses, mala calidad</t>
  </si>
  <si>
    <t>Para un día perfecto Anillo bonito para un par de días, enseguida pierde el brillo, deja el dedo negro y se caen las piedras</t>
  </si>
  <si>
    <t>Humidificador El producto tiene buenas dimensiones, funciona bien, tiene el mando a distancia que para mi es un plus muy bueno, una gama amplia de colores, el único pero que le puedo poner es que le falta algo de potencia de humo, perfecto para ofina y relajación, ahora para cuando estas enfermo se queda algo corto, depende del uso que le des.</t>
  </si>
  <si>
    <t>🥀Archivador elegante para archivar lo más importante !!!🥀 🔥***Descripción***🔥   -Carpetas Acordeón 12 Compartimentos con solapa, y cuerda negra.  -Ideal para no preocuparme en mis archivos o documentos y no estén desordenados. Para no encontrarlos por casa por cualquier lugar y cuando quiera encontrar el que necesito localizarlo en el primer momento !  -Perfecto para su utilización y administración  -Con los 12 bolsillos, podremos etiquetar sin problema y resumirlo los documentos necesarios y hacer que nuestro trabajo con el archivador sea eficiente y efectivo  -La carpeta es  amplia y práctica para tamaño carta,  y adecuada como máximo para tamaño A4  -Multifuncional, hecha de plástico ,de calidad regular, elegante y es impermeable.  -Diseño práctico y moderno, sólido para que nos mantenga  los archivo más seguro y sin peligro !!  -Perfecto para niños y mayores. Para los estudios, la oficina, o para casa....  ♥️***Opinion***♥️  Ideal para guardar mis documentos, archivos de mis estudios por cada evaluación, para no perderlos y no volverme loca buscandolo cuando lo necesite. !!!😍 Con 12 solapas para poderlos clasificar según su uso. Ligero, fácil de transportar gracias a su solapa Diseño original, moderno y elegante.  💢***Pros / Contras ***💢  El plástico del archivador no es muy bueno, tanto exterior e interior,si lo cuidas te puede durar por mucho tiempo! Y si no lo cuidas , no te llegará ni al año !!!  Aviso;!!!!  Antes de comprar fijarse que hay dos tipos de archivadores que el vendedor vende  - Archivador de 12 con solapa ( Qué es el mío ) -Archivador de 24 sin solapa  Diferentes precios !!!  Tú decides el que más se adapte a tus necesidades !!!  Por calidad precio, ya que por su precio la calidad podría estar algo mejor, o que fuera más asequible !!! Y por la mala descripción del vendedor de ofertar en la misma página dos archivadores completamente diferentes y de precios no idénticos, produce error a los compradores a la hora de adquirirlo y se pueden producir quejas que son lógicas !!!  Por ello yo voto con 4 estrellas ⭐⭐⭐⭐  ✍️***Historia Archivador***✍️  Esta forma de guardar documentos surgió alrededor de 1860.   Consiste de una carpeta en forma de acordeón, con varias divisiones, lo cual por lo general están clasificados en orden alfabético.  El uso actual de este sistema, es para el archivo personal.  Los profesionales que más lo utilizan son los cobradoress o funcionarios que deben llevar recibos, facturas o documentos con fines de cobro o distribución  Desde que la historia comenzó a escribirse, existe el proceso de archivar. Muchas piedras, pergaminos y manuscritos de gran valor histórico se han conservado a través de los años y actualmente se encuentran debidamente protegidos en museos. Muchos pergaminos por ejemplo, se han encontrado por casualidad dentro de vasijas de barros y éstas, enterradas bajo tierra.  Hoy continúa esa costumbre sellando cartas, fotografías, revistas, periódicos, y otros documentos juntos a una piedra angular o fundamental que se coloca en un nuevo edificio a construirse.  A estos métodos primitivos de archivar siguieron otros, que consistían simplemente en guardar los papeles. Tenían desventajas, pues no ofrecían protección ni orden alguno.  ✍️***El Archivador desde la Edad Media hasta 1900***✍️  Gancho o Espigón:  Comenzó a usarse alrededor del Siglo XV. Consiste de un clavo o pincho con base de metal, para que descanse sobre la mesa o escritorio; o una placa con gancho que se cuelga de la pared. Los papeles se colocan en el gancho a medida que se reciben.  Algunos problemas que tiene este sistema:  -No se resguardan los papeles contra el polvo. -Los documentos pueden desprenderse y/o perderse. -No es posible mantener el orden alguno. -Se hace difícil referirse a los documentos así archivados. Para conseguir un documento, hay que sacar del gancho todos los anteriores. -Puesto que los papeles se perforan al colocarlos en el gancho, esta puede quedar sobre un nombre, número, etc. -A pesar de todos estos inconvenientes, el método del gancho o espigón se utiliza aún hoy.  Los papeles se retiran al final del día para ser archivados definitivamente.  En difinitiva.... Tú debes decidir que Archivador se adapta más a tus necesidades !!!  Yo optó por este modelo para este año escolar !!!</t>
  </si>
  <si>
    <t>No parecen falsificadas. Todos conocemos estas botas de adidas, en America, al igual que los Levis, llevan años usándolas, yo las he tenido anteriormente en otros colores y al contriode lo que dicen otras opiniones, diría que son las auténticas.</t>
  </si>
  <si>
    <t>Está bien Está bien, no coge demasiado aire y no ha tenido cólicos con él. La única pega es que es un poco fastidioso de limpiar por el mecanismo que tiene.</t>
  </si>
  <si>
    <t>Mejor, imposible Me ha encantado! El bolso ideal, mejor incluso que en las fotos y el servicio fantástico! Volveré a comprar Colombian Style 100%!</t>
  </si>
  <si>
    <t>Bonitos Se los compré a mi madre porque necesitábamos cambiar unos que dejarón de funcionar en estereo. Pese a no ser aislantes (son más bien los típicos para usar con un mp3 y el móvil -no tienen micro-) son bastante cómodos y el color es el mismo que en la foto, algo más pastel incluso cuando lo ves en tus manos.</t>
  </si>
  <si>
    <t>Senzillo y fácil Bueno y con mucha durabilidad tanto de pilas como del objeto en si, no falla. Importante la luz que hace ya que es tenue y no daña a los ojos en la oscuridad.</t>
  </si>
  <si>
    <t>muy bonita de plata de ley Bonita pulsera de plata con dos corazones entrelazados. Muy cómoda de llevar y se adapta perfectamente a mi muñeca. Estoy contenta</t>
  </si>
  <si>
    <t>Muy buena calidad Muy buena calidad de todo. Y la “cerradura” de la correa es genial y fácil de abrir si quiere quitar el reloj.</t>
  </si>
  <si>
    <t>perfecto Para llevar el bolso ordenado es perfecto, estoy encantada, cada cosa por fín va en su sitio y no esparramada por el bolso. y lo mejor es que cambias de bolso en un segundo</t>
  </si>
  <si>
    <t>Gran artículo Es un modelo que por el precio que tiene, por diseño, por batería y por calidad de sonido merece la pena. Buena calidad de los materiales y espero dure</t>
  </si>
  <si>
    <t>Satisfecha Excelente marca</t>
  </si>
  <si>
    <t>El diseño Todo correcto, de momento bien</t>
  </si>
  <si>
    <t>perfecto Bueno producto calidad precio</t>
  </si>
  <si>
    <t>Genial Lo uso para conectar un micrófono y una guitarra acústica y sin problema.</t>
  </si>
  <si>
    <t>Calidad Estoy muy contento con la calidad del producto. Lo uso a diario. Funciona perfectamente.</t>
  </si>
  <si>
    <t>Muy comodo Muy comodo a la hora de llevar y organizar tarjetas sd</t>
  </si>
  <si>
    <t>Vyena compra Es buena</t>
  </si>
  <si>
    <t>Un buen funcionamiento Funcionamiento correctamente, vale la pena.</t>
  </si>
  <si>
    <t>Perfectas Es la 2° vez que las compro y me encantan, muy buen acabado y súper cómodas</t>
  </si>
  <si>
    <t>Elegante Es muy bonito</t>
  </si>
  <si>
    <t>Superstar originales Me llegaron hoy las superstar y d momento muy bien,son las originales muy bien d precio, espero q duren, el número tenéis q pedir el q useis normamente</t>
  </si>
  <si>
    <t>Suela resbaladiza y "cuero" de calidad baja. Algo incómodas, bastante pesadas. La suela agarra muy poco en suelos mojados o con restos de aceite. La ventilación es muy mala. Cuando se limpia por fuera con agua, aparecen manchas oscuras en el "cuero" que más que cuero parece cartón muy resistente...</t>
  </si>
  <si>
    <t>Plástico. Sinceramente, las piedras volcánicas sí que parecen serlo. Las otras, parecen más plástico que otra cosa. En cualquier caso, resulta bonita,o al menos a mi me lo parece.</t>
  </si>
  <si>
    <t>Por lo demás bien Reloj bonito pero bastante tochon...molesta un poco en la muñeca...</t>
  </si>
  <si>
    <t>Corea esta mal Esta reloje la Corea esta muy mal lo tengo mio esta nueva pero la Corea se rompe solo quiero Corea esta reloje</t>
  </si>
  <si>
    <t>Buscaría otro auricular ya que tienen fallos. Lo pille desde noviembre 2017 para regalo de navidad y hasta marzo 2018 dejaron de funcionar en uno de sus auriculares y pille 2 y ambos tienen el mismo problema, existe algún tipo de garantía ya que confíe en Sony pero no me esperaba que se dañaran así de rápido bueno duro más que otras personas pero es una mala experiencia ver que la calidad de una marca falla.</t>
  </si>
  <si>
    <t>buena compra es tal cual lo describe aunque la cadena es un poco frágil</t>
  </si>
  <si>
    <t>Buen sustituto del brazo Tengo un micrófono Neewer NW-700, y hasta ahora lo tenia con el brazo, pero me quedaba incómodo a la hora de hablar, ya que no se estiraba lo suficiente y tenia que girar la cabeza para ver mi pantalla. Con éste soporte, cambiándole la pieza de arriba por la araña de micrófono que ya tenía, me queda mucho más cómodo y menos engorroso que el brazo entero.</t>
  </si>
  <si>
    <t>buena opción Po rlo que cuesta no se le puede pedir más, además cuenta con los pin de inserción rápida, lo que facilita la vida a la hora de ponerla y sacarla</t>
  </si>
  <si>
    <t>chulo Es más pequeño de lo que pensé, pero es realmente bonito y queda muy fino puesto. Calidad precio para mí muy buena.</t>
  </si>
  <si>
    <t>bien me queda como esperaba, la calidad no es mala pero la verdad el color en diferente de como se ve en la foto. es una sudadera muy sencilla para ponérsela  de diario con unos vaqueros o unas mallas</t>
  </si>
  <si>
    <t>Suprema Lo convierte todo en líquido  es una pasada, cero grumos y puede con todo</t>
  </si>
  <si>
    <t>Genial! Un regalo estupendo para mi madre, buena calidad y buen precio, por lo visto son muy cómodos y la verdad es que son maravillosas. No pesan nada y el aire transpasa con facilidad, adecauados para estos días de verano. Llegaron antes de lo esperado.</t>
  </si>
  <si>
    <t>Me gustan estas NB Sencillamente perfectas. Me encantan su estilo y su comodidad</t>
  </si>
  <si>
    <t>Deportivas preciosas Compré estas zapatillas deportivas y la verdad que es que tienen un diseño muy acertado.  Además son cómodas y llegaron impecables.</t>
  </si>
  <si>
    <t>Ideal para espacios reducidos. Buen tamaño y muy delgada. Fácil de colgar ya que lleva unas piezas movibles para colgar con un gancho o alcayata. Borrador imantado con punto de agarre para los 2 rotuladores que lleva.</t>
  </si>
  <si>
    <t>Perfectas! Comprado en oferta por 41 €. Llega con su caja original de VANS y bien embaladas. Suelo tener un 37'5 pero últimamente tiraba más a un 38, mucha gente en comentarios ponía que dan mucha talla las zapatillas de esta marca, a mí me van perfectas.  Ojo que son el modelo WARD no el OLD SKOOL, que para el ojo inexperto como el mío son muuuuuuuy similares y hacen el mismo apaño.  Tened cuidado a la hora de comprar porque a veces sacan ofertas pero con otros proveedores, esta vez yo la cogí con la misma marca pero en algunos comentarios he visto a gente quejándose de que eran falsas, las mías han llegado perfectas y originales al 100%.</t>
  </si>
  <si>
    <t>Perfecto Me gusta el hecho de que puedas dejarlo totalmente a oscuras, ya que muchos despertadores con la luz que hacen, al girarte mientras duermes te dan en toda la cara.</t>
  </si>
  <si>
    <t>Buen producto El producto bien, solo que pesa bastante.</t>
  </si>
  <si>
    <t>BUENA COMPRA Perfecto, es ideal para amplificar la voz en ambientes cargados.</t>
  </si>
  <si>
    <t>easy blance Lo llevo usando mucho tiempo y te ahorras el tener que cambiar el agua tan amenudo.</t>
  </si>
  <si>
    <t>Camila Me encanto y a mi bebé también, esta muy bien diseñado y me encanta que se pueda preparar el biberón sin la tapita de dentro, lo tapas bien y mezclas todo sin que se salga la leche👏👏👏👏</t>
  </si>
  <si>
    <t>Cumple con las expectativas Precio muy competitivo y misma calidad que otros productos mas caros. Se adapta perfectamente a teléfono. Totalmente recomendable. Volveré a adquirir sin duda.</t>
  </si>
  <si>
    <t>Muy buen micro para el precio que tiene La verdad es que me ha sorprendido la calidad del aparato. Con un teléfono móvil, o un pc, funciona correctamente. Calidad muy buena y buena ganancia. No es un micro para usar en un estudio, aunque da el pego. Lo peor es la solapa de enganche del compartimento de pila, que se ancla al cinturón. Por lo demás, suficiente cable y buena calidad de sonido.</t>
  </si>
  <si>
    <t>Buena compra Cumple su función a las mil maravillas</t>
  </si>
  <si>
    <t>Genial 10 de 10 perfecto</t>
  </si>
  <si>
    <t>Llega pronto y bien Son perfectas. Llegaron en su tiempo.</t>
  </si>
  <si>
    <t>Me gusto mucho Es tal y como se describe  .</t>
  </si>
  <si>
    <t>Perfecto Según lo esperado.</t>
  </si>
  <si>
    <t>Encantado Encantado con el olor  , es todo lo que esperaba he comprado otro para tener de repuesto muy contento con la compra</t>
  </si>
  <si>
    <t>Buscaria otra. La tapa es de mala calidad y no abre bien... difícil de cargar con agua y de limpiar... tarda bastante en calentar.</t>
  </si>
  <si>
    <t>referencia Es un reloj despertador, no un reloj de caballero de cuarzo con correa de piel marrón. La descripción puede generar dudas.</t>
  </si>
  <si>
    <t>SUFICIENTE El colgante esta chulo y funciona, pero le faltaba un brillantito arriba en el corazon, por lo demas esta bien, calidad-precio. Le doy 3 estrellas, uno por el brillante que le falta y dos por el envio, que tardo mas de lo esperado..</t>
  </si>
  <si>
    <t>Ha sido un regalo que no ha gustado, porque la aleación que tiene se pone negra enseguida, y huele mal. Ha sido un regalo que no ha gustado, porque la aleación que tiene se pone negra enseguida, y huele mal.</t>
  </si>
  <si>
    <t>Vaso no se bloquea El vaso queda totalmente suelto. Te piensas que falta alguna pieza o lo estás montando mal. Pero no. Es así. El vaso no queda bloqueado por lo que da la sensación que se va a caer en cualquier momento. Sensación de inseguridad. No lo recomiendo por esta razón.</t>
  </si>
  <si>
    <t>Calidad/Precio perfecto Muy práctico y fácil de usar. Más difícil es la limpieza aunque eso es el talón de Aquiles de la mayoría de hervidores de agua si tienes chorizos por dedos. No es la más rápida del mercado pero hablamos de segundos de diferencia así que es algo un poco trivial. El diseño es bonito a la vista.</t>
  </si>
  <si>
    <t>Buen producto Excelente calidad precio. Un buen producto que responde a su perfil previo. Sencilla y muy efectiva. Ofrece lo que promete y da lo que se espera</t>
  </si>
  <si>
    <t>Que hace el apaño Me gustaría que tuviera 4 ruedas porque dos no es que se desplaze muy bien</t>
  </si>
  <si>
    <t>Bastante sorprendente No puedo decir que es el mejor micro de condensador con el que he grabado pero, para hacer lo básico en casa cumple con su función de manera sorprendente y a un precio más que módico. El soporte no parece muy sólido o resistente pero cumple su función. Recomiendo muchísimo la compra del phantom junto con el micro para evitar decepciones, el sonido mejora muchísimo</t>
  </si>
  <si>
    <t>Comodidad La suela absorbe bien los impactos contra el suelo,calzado cómodo para llevarlo muchas horas puesto, no se resienten los pies</t>
  </si>
  <si>
    <t>Genial Perfecto</t>
  </si>
  <si>
    <t>Perfecto Es muy resistente</t>
  </si>
  <si>
    <t>Buen producto Quería unas Converse Rojas pero no quería comprarlas en la tienda ya que son bastante más caras, me decidí comprarlas aquí al vendedor de Amazon son totalmente originales, la misma talla que me probé en la tienda son las que pedí y me encajaron perfectamente.</t>
  </si>
  <si>
    <t>Va muy bien va muy bien me calma bastante el dolor de las manos</t>
  </si>
  <si>
    <t>Muy bonitas La talla que elegí es la misma que uso por lo que están correctas las tallas, son iguales que en la foto y viene con dos pares de cordones los de tela y los de raso  me vino todo en perfecto estado</t>
  </si>
  <si>
    <t>Precioso!!! Es precioso más bonito que en la foto,tardó en llegar pero también fue culpa del repartidor de correos . Queda muy lindo para el verano y luce mucho ,me encanta los collares grandes básicamente adoro los complementos. Buena compra por bonito y buen precio. Muy recomendable.</t>
  </si>
  <si>
    <t>Super comodos Las uso para trabajar, me recomendaron esta marca y la verdad las uso para trabajar, son super cómodas, ligeras y de suela blanda, lo cual se agradece. Volveré a comprarme otro modelo de esta marca.</t>
  </si>
  <si>
    <t>totalmente metalico Compre uno de plástico sabiendo que duran poco y si duro lo que tardo caerse al suelo este es metálico veremos lo que dura</t>
  </si>
  <si>
    <t>Buena marca Buena calidad</t>
  </si>
  <si>
    <t>Cliente Amazon Me encanta, gratamente sorprendida, muy confortable, me ayuda mucho al dolor de cuello y espalda, lo recomiendo, cumple las tres B</t>
  </si>
  <si>
    <t>Son muy cómodos. Son muy cómodos, no hacen daño ni molestan, se oyen de maravilla y la batería dura muchísimo. Los he usado haciendo deporte y se quedan bien fijados, aguantan el sudor sin problemas. La calidad del audio es muy buena y el material se ve resistente. La caja/cargador esta muy bien con el indicador del porcentaje de batería restante.</t>
  </si>
  <si>
    <t>Excelente relacion calidad precio La talla como esperaba y el tejido del pantalón de bastante calidad. Tacto muy agradable y pantalones muy agradables de llevar. Volvere a comprar en otra ocasión ya que estoy muy contenta con la compra</t>
  </si>
  <si>
    <t>Cumple su función. Es muy buen pen y cumple con todo. Para ponerle una pega, aunque no es una pega en realidad, es el tamaño. Como es pequeño tengo miedo de perderlo, pero sigo diciendo que en realidad como mas pequeño mejor, es solo una pega personal. Además, es bastante bonito...</t>
  </si>
  <si>
    <t>Muy Sueve Este conjunto de color gris es muy bonito. Muy sueve,a me la talla L un poco suelto,pero bien .</t>
  </si>
  <si>
    <t>Muy bien!! Perfecto</t>
  </si>
  <si>
    <t>Recoge la barriguita, NO se transparentan Recogen toda la barriguita haciendo tipín y levantan el trasero,  y ¿a quién no le gusta verse mejor? La costura en triángulo en la entrepierna los hace muy cómodos. Son muy elásticos y no se transparentan en ABSOLUTO!  Aún no los he usado mucho porque donde vivo aún hace calor casi de verano... pero prometen ser la prenda del gym de este año</t>
  </si>
  <si>
    <t>Fácil de usar y activar. El Micrófono suena muy bien. Fácil de usar i de conectar en el Bluetooth del mobil (iphone) . Instrucciones básicas en inglés peró no hacen falta usarlas. Buena calidad Usas  el YouTube para ultilizar la música y hacer karaoke . Genial 👌🏻</t>
  </si>
  <si>
    <t>Muy bien Funciona muy bien, y para los que aun usamos la PS2 esta genial</t>
  </si>
  <si>
    <t>Biberón cómodo Es el único biberón que le gusta a mi hijo</t>
  </si>
  <si>
    <t>Estrechas Las zapatillas están muy bien sin fieles a la imagen y son originales. Son cómodas y calentitas. La razón de poner dos estrellas es porq son demasiado estrechas tanto de ancho cómo se empeine si tienes el pie ancho compra una o dos tallas más.</t>
  </si>
  <si>
    <t>modelo justo de talla Las deportivas son comodas,pero si utilizas un 38 pillate un 39,ademas son bastante duras,eso si son nike 100%</t>
  </si>
  <si>
    <t>Mala tarjeta Tarjeta defectuosa y me he tenido que comprar una nueva de otra marca, ya me había dado problemas desde la compra pero últimamente era insoportable. Ya no hay opción de devolución para reparación en amazon. Me tendré que buscar la vida con la garantía.</t>
  </si>
  <si>
    <t>No tiene cremallera tal y como muestran las fotos en la descripción No tiene cremallera por lo que he tenido que devolverlo, ya que, sería un suplicio quitárselo después de su uso</t>
  </si>
  <si>
    <t>Genial! Suena muy bien sin que tengas que acercarte excesivamente como ocurre con otros. El aspecto del micro es bueno y parece de calidad. La única pega es la esponja, que es un poco malilla, pero yo le puse una brida negra y parece de profesional jejeje</t>
  </si>
  <si>
    <t>Buena aspiradora con tan solo una peguilla La aspiradora me gusta bastante, es muy manejable, y aspira muy bien, eso que casi nunca uso el turbo. No hace excesivo ruido. La bateria me dura para aspirar toda la casa 2 veces, no esta mal. Yno tarda mucho en cargarse. Por poner una pega es el contenedor que es pequeño, ya lo lei antes de comprarla, pero si que es un poco rollo tener que vaciarle después casi de cada uso, y a veces sale mal, se queda entre las paredes y el filtro la porqueria y sino sale hay que desmontarle para que salga todo. Pero en general estoy contenta con el producto.</t>
  </si>
  <si>
    <t>todo correcto todo correcto</t>
  </si>
  <si>
    <t>buena tarjeta Tarjeta de memoria 32gb que funciona perfectamente, la fluidez de intercambio de  datos es apreciable, todo ello a un precio bastante ajustado. Buena relación calidad precio.</t>
  </si>
  <si>
    <t>Son buenas Es buen producto</t>
  </si>
  <si>
    <t>Excelente Tarjeta Para meter mapas Rneg Peugeot 2018/2 perfecta!!!</t>
  </si>
  <si>
    <t>Tal y como describen. Tardó poco en llegar y la calidad es muy buena, cumple su función</t>
  </si>
  <si>
    <t>Ambiente agradable Me ha encantado este humidificador, el ruido es inapreciable, su diseño me ha gustado mucho, lo puedo poner en cualquier sitio de forma elegante, la programación de tiempo funciona y el mando es comodísimo de usar y muy sencillo de entender.</t>
  </si>
  <si>
    <t>Buena calidad Excelente calidad para el precio, no se puede pedir más.</t>
  </si>
  <si>
    <t>Mallas Chulisimo y súper cómodo tal como en la foto</t>
  </si>
  <si>
    <t>Buena compra Son unas chanclas comodas, y espero duraderas.</t>
  </si>
  <si>
    <t>MUY BUENO A pesar de la diferencia de precio con maracas como Braun, Bosch... esta batidora de mano no solo iguala a estas... las supera.  Rápida, cómoda por el largo de su brazo, funcional. Es la demostración palpable de que "no es oro todo lo que reluce" y, aunque otras maracas "reluzcan" más....  esta las supera sin duda.  La recomiendo a todo aquel que necesite una batidora de mano que satisfaga sus miras</t>
  </si>
  <si>
    <t>Super Va muy birn, cómodo y materiales de calidad</t>
  </si>
  <si>
    <t>100% recomendable Gran producto. Recomendado 100%. Me ayudo a tubelizar en una llanta que no era tubeless y yo tubelice previamente. Os animo a pedirlo.</t>
  </si>
  <si>
    <t>Elegancia y gracias diseño Gran joya en elegancia y diseño. Un acierto en cada compra, siempre muy satisfactorio. Muy recomendable y de muy buen gusto.</t>
  </si>
  <si>
    <t>Un buen regalo He comprado este set de aceites esenciales para regalárselo a mi madre, ya que viene embalado en una caja bonita y útil. Vienen nueve aceites esenciales muy variados, mi madre los usa en un difusor y la verdad es que la duran bastante tiempo porque con tres o cuatro gotitas es suficiente. Su preferido es el de canela, por el olor que deja en el hogar. Es una buena opción  de regalo, muy recomendable.</t>
  </si>
  <si>
    <t>Recomendables Tallan de mas, uso un 38 pero como algunos zapatos me va mejor el 39 me pedí el 39 por si acaso, y me iba excesivamente grande. Lo cambie al 38 sin problemas, y aunque creo que me van todavía un pelin grandes voy muy cómoda con ellas</t>
  </si>
  <si>
    <t>Vans originales Vans clásicas color negro y cordones blancos a precio imbatible. Caja original sin ningún defecto. Excelente relación calidad-precio. La talla perfecta.</t>
  </si>
  <si>
    <t>Son de muy buena calidad!No tengo ninguna queja! Son super fáciles de limpiar por el simple hecho de que se desmontan y los dibujos, se mantienen en perfecto estado después de muchos lavados!!!</t>
  </si>
  <si>
    <t>Muy amplia Muy amplia y calienta muy rápido</t>
  </si>
  <si>
    <t>Buena calidad precio Tal cual viene descrito. Muy satisfecha con la compra</t>
  </si>
  <si>
    <t>Todo terreno Un pelón grande pero genial, mi hija lleva ya un año con el y está como el primer día perfecto para el trote diario playa piscina gym</t>
  </si>
  <si>
    <t>Bonito Bmtodo bien</t>
  </si>
  <si>
    <t>Imitación . No son marca Huawei . Lo primero es decir que no son Huawei, es una imitación. Aunque tienen tacto de plástico más débil que el original ....la diferencia por ahora no es mucha y cumplen su función. Los uso para escuchar música corriendo en la calle y bien los controles y sonido . Solo me llamaron una vez y con aire fuerte no me escuchaban bien por lo que respecto a ese uso aún no puedo opinar .</t>
  </si>
  <si>
    <t>Bonito diseño y elegantes Son elegantes y con un diseño muy bonito que se pueden usar para todo tipo de ocasiones. Son cómodas aunque he de decir que al principio de usarlas y llevarlas puestas unas horas. Me apretaban un poco por los laterales de las puntas. Pero luego ya bien y ahora me resultan muy cómodas.</t>
  </si>
  <si>
    <t>La garantía de la casa es muy pobre Lo que no me convenció es que al registrar el producto me dieran tan poca garantía de la casa, los de Amazon muy amables hablaron conmigo y me dijeron que aunque pusiera eso tenía mi garantía de 2 años  un 10 para la gente de Amazon que te saca de dudas enseguida</t>
  </si>
  <si>
    <t>Un timo Necesitaba un corcho y este me parecía adecuado de tamaño. Cuando llegó estaba desencolado por lo que, además de que no encajar bien en el marco (por lo que "bailaba" y no podía pinchar nada), pude ver la lámina de corcho...qué decepción! Es una plancha de cartón corrugado (como por ejemplo el mismo en el que venía embalado) recubierto de dos finas láminas de corcho a ambos lados. He tenido que pegar ambos lados al marco con pegamento para poderlo usar y al pinchar una chincheta se puede oír que lo que estás pinchando es el cartón de debajo. No lo volvería a comprar, no lo recomiendo.</t>
  </si>
  <si>
    <t>Javier Fernández Decepcionado. Me esperaba otra cosa de mejor calidad.Una cosa es la foto y otra la realidad.Mala suerte. Otra vez será.</t>
  </si>
  <si>
    <t>NI UN MES HA DURADO No me ha durado ni un mísero mes de uso, uso para nada intenso solo como copia de seguridad de cosas y poco mas. HORRIBLE  experiencia. No recomiendo a nadie comprar este ni ningún disco externo, comprad un SSD (INTERNO) de 2.5 y un adaptador a usb. Por alguna razón la calidad de fabricación de los discos externos es horrible.</t>
  </si>
  <si>
    <t>buen estuche y aferta substancial Ahora mis peques solo quieren eastpak, cosas de la moda. Asi que encontrar una oferta siempre es de agradecer. Objetivamente el estuche es bonito y muy completo y práctico el interior</t>
  </si>
  <si>
    <t>COMODIDAD Me gusta el producto en general. Las utilizo para trabajar son muy comodas y utiles para el tabajo qe desarrollo.</t>
  </si>
  <si>
    <t>Relación calidad precio decente. Después de darle mucha tralla al G230 se terminó de caer a pedazos así que decidí pillar su sucesor, este G430. Es prácticamente el mismo con ligeras modificaciones técnicas que, según especificaciones, son algo mejores. Obtienes lo que pagas, buena calidad de sonido para juego, construcción robusta (insisto, el predecesor sufrió mucho uso y aguantó como un campeón). La única pega que le he encontrado al nuevo es que tal vez sea un poco más incómodo en la parte alta, por lo que pienso rescatar la almohadilla del viejo. También arrastra las peculiaridades de control de volumen del antecesor, pero ya estaba acostumbrado a ellas. En conjunto, buena relación calidad precio.</t>
  </si>
  <si>
    <t>Sonido decente para el precio. No tienen un sonido super limpio, pero los cogí porque eran económicos y necesitaba unos auriculares con jack para viajar, y desde luego son mejores que los que iban a regalar en el tren. Tienen un sonido aceptable para el precio, y son cómodos en la oreja.</t>
  </si>
  <si>
    <t>Mano de Santo este SSD Perfecto. Sin duda lo mejor que le podía ocurrir a mi viejo asus para que recuperara su velocidad. 4gb de ram y este SSD le han dado una nueva vida a mi portátil. Lo recomiendo imperiosamente antes de cambiar de portátil.</t>
  </si>
  <si>
    <t>Excelente!!! Compré esta bandeja principalmente por el precio y pensé que sería de calidad media, pero no es así, funciona perfectamente. Esta sincronizada con el programa del TPV y la impresora. Los compartimientos son comodos y puedes cambiar el tamaño de los espacios para las monedas. Excelente!!! La recomiendo 100%.</t>
  </si>
  <si>
    <t>buen producto buen producto</t>
  </si>
  <si>
    <t>Muy buena Buena y de calidad, ideal para grabaciones con las cámara sony que compre junto con ella también en amazon, perfecto todo</t>
  </si>
  <si>
    <t>Buen sonido y cómodos De los mejores auriculares pequeños que he tenido, sonido con grabes marcados y agradables y comodidad en el oído.</t>
  </si>
  <si>
    <t>Perfecto Es muy ligera y permite llevarla colgada tanto del lado derecho como del izquierdo. Es lo que quería.</t>
  </si>
  <si>
    <t>Nunca decepcionan... Estupendas, como siempre. Las 574 son el modelo que más me gusta...para gustos colores...que también hay muchos... La talla en mi caso es la de siempre y van perfectas.</t>
  </si>
  <si>
    <t>Resistente Buen sonido, buena conexión y un cable recubierto que parece de plancha. Estoy muy contento con él</t>
  </si>
  <si>
    <t>Vuelco radical a mi notebook Tenía un notebook de mi hijo que iba a pedales, a penas se podía utilizar de lo lento que iba, he instalado este disco y ahora funciona más que bien. Hast ahora todo más que correcto. El transporte me lo entregó un día más tarde, pero eso es otra historia</t>
  </si>
  <si>
    <t>Cómodas y bonitas Me gusta la comodidad que tienen  para ser zapatillas de trail, además quedan muy bien puestas, no son aparatosas, la talla perfecta, muy contento con esta compra, las recomiendo.</t>
  </si>
  <si>
    <t>perfecto el pantalón del chándal es super cómodo para ponértelo entre semana, precio calidad muy bien</t>
  </si>
  <si>
    <t>Muy recomendable. Cómodos, lindos, suaves Geniales. Súper cómodos, como usar zapatilla. Están forrados dentro y son suaves y calientes. Me sorprendió para bien. Estoy feliz!! Lo súper recomiendo</t>
  </si>
  <si>
    <t>Cómodas Justo lo que buscaba</t>
  </si>
  <si>
    <t>Bueno, bonito y barato Cumple a la perfección con su función aunque si tuviera que ponerle un pero diría que cuando el agua hierve no para de forma automática sino que tienes que estar atenta/o y hacerlo de forma manual. Por lo demás, está muy bien, es rápida, no hace un ruido excesivo y tiene un diseño muy elegante.</t>
  </si>
  <si>
    <t>Ligeras como si flotaras Me gusta, es muy cómodo como si no llevaras nada y fresco para el verano. Yo lo devolví con pena pero tengo que llevar plantillas y no me sirve porque la horma es estrecha.</t>
  </si>
  <si>
    <t>comodidad y no dan calor me gusta el tejido y el tamaño. el tejido es traspirable y el tamaño de altura de tobillo es adecuado.</t>
  </si>
  <si>
    <t>Su diseño. Me ha gustado. Es muy completo.</t>
  </si>
  <si>
    <t>Mi marido encantado Un pantalon muy comodo y de muy buena calidad, mi marido esta muy contento con la compra realizada  de hecho a pedido uno de cada color. Lo recomieno 100%</t>
  </si>
  <si>
    <t>Buena elección Buena cantidad por precio Como en la fotos Bolsitas ordenadas Perfecto</t>
  </si>
  <si>
    <t>REGULAR Me gusta mucho pero la segunda vez q la fui a usar, se las velocidades no funcionan, 1,2,3,4 se a quedado pillada,para el lado d esas potencias Y no funciona</t>
  </si>
  <si>
    <t>BIEN PERO PEQUEÑO Reloj bonito y cómodo. Es simple y util, quiza el poner la fecha sea un poco dificil, tiene 2 posiciones, y en la primera si giras de un sentido o de otro cambias el dia o la fecha. ME PARECE BASTANTE PEQUEÑA LA ESFERA.</t>
  </si>
  <si>
    <t>Tela fino 100% poliester El diseño es bonito pero habría pagado más tenerlo de algodón</t>
  </si>
  <si>
    <t>decepcionada compré estas fundas porque en los comentarios había buenas críticas. En mi caso, todas las fundas han llegado arrugadas, con varias dobleces que no se quitan. El tamaño es perfecto (más grande que 1 folio), son gorditas y transparentes, entran sin problema y sin doblarse más de 60 hojas, pero al estar "arrugadas", aunque metas hojas, sigue igual. Algo decepcionada, porque por el precio que tienen, esperaba que estuvieran perfectas, y no es así.</t>
  </si>
  <si>
    <t>Horrible Vino roto completamente no sirve para nada</t>
  </si>
  <si>
    <t>Jose vicente Roig romera ayer me di cuenta q la suela se esta desaciendo como si fuese pasta. No se q es lo que les pasa a las suelas pero las he utilizado 5 o 6 veces, por fuera estan bien pero las suelas estan para tirar , desconozco lo q ha ocurrido , pero no vuelvo a comprar unas zapatillas de  aqui .</t>
  </si>
  <si>
    <t>FILA DISRUPTOR Llegaron super rápido, son muy bonitas, lo único es que me quedaron un poco apretadas la talla bmvino reducida.</t>
  </si>
  <si>
    <t>Igual que en la foto Material bueno, espero que le dure a mi hija, la única pega, que es demasiado ancho, hay que tener una mochila grande porque en una normal no entraría</t>
  </si>
  <si>
    <t>Buen disco duro Buen disco duro y fácilmente conectable a la PS4 para aumentar la capacidad de descarga. Desde que lo conectas, identifica el disco duro para descargar cualquier cosa nueva. Importante saber que si lo que descargas es actualizaciones de juegos ya descargados en el disco duro de la PS4 intentara usar el disco interno y no este, por lo que si no tienes sitio lo mejor es borrar el juego y volver a instalarlo en el disco nuevo. Sin duda muy recomendable.</t>
  </si>
  <si>
    <t>perfectas muy recomendables Zapatillas recomendables, pero ojo con la talla para esta marca yo he pedido un número más del que uso normalmente y me han quedado perfectas.</t>
  </si>
  <si>
    <t>Precio y calidad acorde Sudadera con bolsillo para meter al gato o lo que quieras meter si tu gato no se deja, no está mal, tampoco es una maravilla pero por lo que cuesta está bastante bien</t>
  </si>
  <si>
    <t>Lo que buscaba. La app del mobil es muy completa e intuitiva,conectado a goggle home hace su función.</t>
  </si>
  <si>
    <t>Resistentes y funcionales Muy buena calidad, no son endebles como otras. Impecables y sin arrugas dentro de su caja de cartón. Las recomiendo.</t>
  </si>
  <si>
    <t>Perfecta !! Buscaba una sudadera que fuese cómoda y que no pesase. Esta no es ni fina ni gruesa, tiene un tacto algo suave. Me gustó el diseño o serigrafiado, con el efecto 3D. La verdad que a cierta distancia se ve bonita. Tiene los colores bastante reales y vivos. Ha llegado antes de lo esperado y en buenas condiciones.</t>
  </si>
  <si>
    <t>La calidad y precio Relación calidad precio excelente</t>
  </si>
  <si>
    <t>Under Armour Que decir de la mejor marca de ropa deportiva. De gran calidad, le queda perfecto.</t>
  </si>
  <si>
    <t>Diseño atemporal. Es lo que se espera, un buen reloj atemporal.</t>
  </si>
  <si>
    <t>Igual que en la foto Me encanta la sudadera , colores y forma igual que en La foto. Las mangas no son muy largas ... más bien quedan justas.</t>
  </si>
  <si>
    <t>Mi hija encantada La sudadera llegó en 16 días. De tamaño normal. La tela fina pero para este tiempo viene genial...a mi hija le ha encantado</t>
  </si>
  <si>
    <t>Bonito Todo genial</t>
  </si>
  <si>
    <t>Muy relajante Es una pasada, cómodo y muy relajante. Sin duda si tenemos que regalar será nuestra primera  opción</t>
  </si>
  <si>
    <t>Las compraría mil veces mas Una verdadera gozada de zapatillas,supercomodas,suela flexible,trabajo en la construcción y son las mejores zapatillas de seguridad con las que he trabajado!!!</t>
  </si>
  <si>
    <t>Bonito diseño. Para aquellos que les gustan los relojes grandes e informales, tiene un diseño estupendo,sin duda es original.</t>
  </si>
  <si>
    <t>Bien ... en principio Producto economico de 64Gb. Viene formateado con el sistema de archivos exFat (al menos el mio). Trae una licencia pro para el programa SanDisk RescuePRO® Deluxe (el numero de serie esta en el interior del blister pegado en un lateral). Con el tiempo ... se sabra si ha sido una buena compra.</t>
  </si>
  <si>
    <t>Muy útil y cómodo. Muy útil para las prestaciones y no tener que andar con el ratón o levantándose a indicar. Se conectó a la primera con Windows 10. Cómodo en la mano. Lo estrené nada más llegar.</t>
  </si>
  <si>
    <t>Todo ok Todo ok</t>
  </si>
  <si>
    <t>Buen audio y buena calidad Tiene muy buena calidad de sonido,la bateria me aguanta entre dos horas y media y tres horas teniendo el volumen casi a tope. Tardan muy poco en cargar y son muy comodos de llevar. Se colocan bastante bien y no se caen aun que salgas a correr pero no lo recomendaria yo mucho para ello.</t>
  </si>
  <si>
    <t>Genial Está realmente bien! Lo recomiendo a quien quiera comprar un masajeador eléctrico para tener en casa siempre q quieras! Guay</t>
  </si>
  <si>
    <t>Buen diseño y sujeción La talla es perfecta y, además de tener buen diseño, da una sujeción muy buena. Lo he comprado para ejercicios de bajo impacto, pero puede usarse perfectamente para correr.</t>
  </si>
  <si>
    <t>Genial Para juegos Una Maravilla ,pero necesitan si o si un amplificador.</t>
  </si>
  <si>
    <t>Estan bien Las zapatillas son chulisimas, quedan muy bien. La talla es normal, el problema es q los niños juegan mucho en arena y asfalto y se ha borrado el rojo de los laterales, pero por lo demás genial por el precio q tiene</t>
  </si>
  <si>
    <t>Están muy bien Estaban muy bien correspondía a la imagen e información del producto , el sonido también bien pero los devolví porque me resultaban demasiado grandes en la zona de la orejeras y a mi no me gusto pero es un problema personal no del artículo en si</t>
  </si>
  <si>
    <t>Pésimo El supuesto aceite de lavanda huele extraño tirando a horrible. No parecen aceites esenciales, sino más bien aromas</t>
  </si>
  <si>
    <t>Inma Pérez Mata Hola. Estaba esperando con mucha ilusión que me llegase para regalar a mi marido para el día de los enamorados,  y solo abrir la caja de cartón de Amazon veo la caja de lotus totalmente destrozada, el reloj si viene bien. He pedido devolución por producto defectuoso y enseguida  me lo van a reemplazar. Quien ha embalado el reloj lo ha visto perfectamente, porque nos hace perder el tiempo al transportista y al cliente. Ahora tengo q ir una imprenta para imprimir la etiqueta de devolución y esperar qe avisen para devolverlo</t>
  </si>
  <si>
    <t>Satisfecho con la compra Relacion Calidad precios muy buena. El primer alioli ha salido muy bueno, Solo me ha faltado el accesorio para subir claras.</t>
  </si>
  <si>
    <t>Totalmente originales. Es exactamente igual que en las fotos. Envío muy rápido.</t>
  </si>
  <si>
    <t>Buena Robusta, muy sencilla cuando desmontas el vaso y muy fácil de limpiar. Tiene potencia más que suficiente y pica hielo o carne de pollo sin problemas. No es exagerada en cuanto a tamaño ni más ruidosa de lo habitual en esta clase de aparatos. Veremos su durabilidad con el uso y el paso del tiempo...</t>
  </si>
  <si>
    <t>Nada especial Zumos</t>
  </si>
  <si>
    <t>Buenas y bonitas pero tallan justas Las zapatillas son de calidad y bonitas . Llagaron antes de lo previsto pero tallan algo pequeño . Yo uso una talla 44 y me quedan justas he tenido que descanbiarlas por una talla más 45 .recomiendo que cojais una talla más de vuestro numero que calceis habitualmente</t>
  </si>
  <si>
    <t>Collar Muy buen regalo y un bonito detalle.</t>
  </si>
  <si>
    <t>Perfecto Es una maravilla. Cada día estoy más contenta de haberlo comprado, el agua se calienta enseguida, tiene luz y es de cristal, tal y como indica la descripción.</t>
  </si>
  <si>
    <t>Diseño muy guapo El despertador me ha llamado la atención por su confección curva y con números enormes. Pero una vez probado, lo que mas destacaría del mismo, es la proyección que hace de la hora en cualquier pared o techo, que coloca un haz de luz (no molesta en absoluto) con la hora hacia donde lo enfoques.  También tiene un usb para poder cargar el móvil, es un detalle, que puede parecer una tontería, pero es muy útil.</t>
  </si>
  <si>
    <t>Muy bien Muy bien. Todo correcto. Buena calidad. Muy recomendable. Plazo de entrega y embalaje muy cuidados. Volvería a comprar este producto sin ninguna duda. Espero que sea útil  mi opinión.</t>
  </si>
  <si>
    <t>Excelente He tenido otros antes de apple pero con este estoy bastante mas contento. Claridad de pantalla, poca complicación para añadir o eliminar gatgets, claridad y volumen de sonido y micrófono perfectos, robustez, recepción de todo tipo de mensajes y correos. Lo recomiendo. Calidad - Precio excelente.</t>
  </si>
  <si>
    <t>Buena calidad Los imanes estan muy bien.  Tienen una muy buena imantación, gran fuerza para el tamaño que tienen.  Vienen bien envasados</t>
  </si>
  <si>
    <t>Muy buena relación calidad precio. Me han encantado estas llaves usb. Ligeras, sólidas, con bastante capacidad y baratas. Me gustaría encontrarlas con el estándar 3.0, porque estas son USB 2.</t>
  </si>
  <si>
    <t>Funciona correctamente Para el precio que tiene cumple con mis expectativas. Son memorias USB lentas, pero a ese precio, no esperaba otra cosa. Lo valoro bien porque hasta ahora funcionan correctamente, no como otros USB similares que no funcionaban para nada.</t>
  </si>
  <si>
    <t>Muy bonitos Fue un regalo de cumpleaños, y me han gustado mucho. Son de tamaño perfecto, de diseño actual y muy elegantes también. Exactamente lo que quería y combinan a la perfección con mi colgante de árbol de la vida del mismo vendedor. Precio-calidad insuperable!</t>
  </si>
  <si>
    <t>Buen producto Buen producto</t>
  </si>
  <si>
    <t>Perfectas Han resultado ser realmente cómodas y lo más importante, es que no se desgastan fácilmente con el uso diario.  Buscaba unas zapatillas que fuesen resistentes, ya que tengo tendencia a desgastar la suela muy rápido, pero estas han sido perfectas.  Las recomiendo.</t>
  </si>
  <si>
    <t>justa para mi por su tamaño Tengo que decir q un hervidor con su tamaño justo. Por precio y calidad valio la pena. 1L es suficiente y se limpia muy bien.</t>
  </si>
  <si>
    <t>Un conjunto maravilloso Me encanta. ¡Pecioso!</t>
  </si>
  <si>
    <t>Walkman-pen Justo lo que necesitaba</t>
  </si>
  <si>
    <t>su calidad Perfecta. Mucho mejor de lo que esperaba</t>
  </si>
  <si>
    <t>Micrófono Micrófono profesional y fácil de montar</t>
  </si>
  <si>
    <t>Funcionabilidad Para el instituto</t>
  </si>
  <si>
    <t>Excelente calidad Son plásticos gruesos, muy claros, se ve perfectamente lo que pongas dentro. No se arrugan y se mantienen firmes. Encantados con la compra. Muy recomendado.</t>
  </si>
  <si>
    <t>No es muy práctica para batidos Como le metas varios ingredientes de frutas y llenes mucho el vaso de líquido, se para y no funciona, para mis batidos de frutas no me vale, la veo más bien para batir un colacao o con muy poca fruta, la he devuelto no me gusta</t>
  </si>
  <si>
    <t>Deberían mejorar la presentación Me gusta muchísimo pero venía tal cuál, sin caja y ningún tipo de protección... además la parte trasera esta bastante manchada de algo negro que no se va. No vienen accesorios, pero dentro de lo que cabe queda bonita!</t>
  </si>
  <si>
    <t>Caras Está bien pero lo veo un poco cara.</t>
  </si>
  <si>
    <t>No comprar La venden como GTX y no lo es. La talla es muy pequeña y tiene mala  calidad. No recomiendo para nada si compra. Para mi un timo.</t>
  </si>
  <si>
    <t>Sujetador defectuoso. Queda fatal las copas están dadas de si.</t>
  </si>
  <si>
    <t>Muy cómodas, muy buena relación calidad/precio Muy bonitas. He repetido compra, las tenía en azul marino y como me han sido comodisimas he preferido no innovar. Muy recomendable para personas que tengan un pie muy ancho, como es mi caso. El color es muy bonito</t>
  </si>
  <si>
    <t>Práctica y manejable Es práctica y manejable, la utilizo para aspirar el sofá de los pelos de mascota, pero pensé que tendría más potencia de absorción.</t>
  </si>
  <si>
    <t>es tal cual se describe correa cómoda, producto sencillo pero fiable, se trata de un producto de una marca que no necesita recomendación de ningún tipo</t>
  </si>
  <si>
    <t>buenos auriculares Son muy comodos y funcionan bien...tienen peros como la radio, al no tener antena no vale la del movil y a veces al tener que tener bluetoohh  te llaman y no se escucha hasta que no lo quitas, ahora ya no se si esto sera de los auriculares o del movil. Aun asi buena compra, los recomendaria sin ningun problema.</t>
  </si>
  <si>
    <t>Precioso colgante Es muy Fina y muy bonita.</t>
  </si>
  <si>
    <t>Calidad Rode. Magnífico. Es un paso hacia adelante. Muy recomendable.</t>
  </si>
  <si>
    <t>Buen calzado para caminar Me ha sorprendido la calidad de las zapatillas. Sobre todo destaco la comodidad, son cómodas ! La base es muy acolchada. El material Es bueno. Son duras. Tallaje perfecto . Recomendadas</t>
  </si>
  <si>
    <t>Repetiria Buen disco</t>
  </si>
  <si>
    <t>Muy bonitos y calidad A mi madre Le han encantado, una cajita cerrada para poder llevarlos en el bolso sin perderlos y siempre cargados, la calidad de sonido estupendos</t>
  </si>
  <si>
    <t>Comodas y a la moda Comodídimasny quedan geniales para diario</t>
  </si>
  <si>
    <t>juannoesnegro Para el precio que tienen están geniales, cómodos ligeros y buena calidad de sonido, no dan mucho volumen comparado con otros pero por el precio no le pido más, el cable es de buena calidad, y el jack es en forma de codo, lo cual es más complicado que se rompa al desconectarlo al no dar opción a tirar del cable para desenchufar (cosa muy normal en los niños) los volvería a comprar.  Ajustan muy bien tanto para un adulto Cómo para un niño.</t>
  </si>
  <si>
    <t>Un placer El trasto es supersilencioso y sencillisimo. No hace falta apretar para aprovechar al máximo la naranja y filtra bastante bien la pulpa. Para limpiarlo es como cualquier otro, 3 piezas fáciles de quitar y fregar. Sin problemas. La única pega quizás sea la poca estabilidad. Una base más ancha y con más superficie antideslizante lo haría el exprimidor (casi) perfecto.</t>
  </si>
  <si>
    <t>Recomendado 100% Lo compré para un regalo y ha quedado encantado.  Dice que es lo más útil y cómodo que ha tenido en cuestión de mochilas o bolsos.</t>
  </si>
  <si>
    <t>Seriedad Calidad</t>
  </si>
  <si>
    <t>Estuche compacto con mucha capacidad La verdad no puedo decir mucho, porque lo utiliza mi hija, esta muy contenta y dice que le caben muchas cosas.</t>
  </si>
  <si>
    <t>Perfecto Queda bien</t>
  </si>
  <si>
    <t>Perfecta Preciosa, la llevo a diario y con lo finita q es aguanta enganchones, colinias y lo q le eches</t>
  </si>
  <si>
    <t>Muy buenos cascos. Me gustan porque tienen un equilibrio entre los sonidos graves y los agudos. Normalmente los utilizo para escuchar la radio a través del teléfono y el sonido depende mucho de la emisora y de la canción. He llegado a escuchar alguna que sonaba como cuando la oía en la discoteca. Me gusta el sistema de plegado que tienen que los hace mucha más manejables. También es interesante los tres cables que aporta para conectar los cascos al reproductor permitiendo elegir el más adecuado según la situación. Quizás resulten un poco calurosos aunque sin llegar a ser molestos. El plástico que llevan resulta muy agradable al tacto  y espero que no se vea afectado por el paso del tiempo. Se oyen los sonidos externos aunque no mucho, lo que es una desventaja o ventaja, según se mire y que se puede eliminar en parte aumentando el volumen (dentro de lo saludable).  Recomendado para aquellos que estén hartos de los auriculares de botón y oir  la música al mismo nivel que la conversación del vecino o el ruido de la calle.</t>
  </si>
  <si>
    <t>Excelente En relación calidad/precio insuperable, bonito, robusto y preciso, con muchas funciones, de momento estoy muy satisfecho, no esperaba menos deun reloj CASIO</t>
  </si>
  <si>
    <t>muy cucos pequeñitos pero muy resultones</t>
  </si>
  <si>
    <t>Relacion calidad/precio muy buena Reloj actividad muy útil en el día a día para hacer ejercicio: caminar, correr, bicicleta... Te avisa de las notificaciones recibidas en el movil, es muy práctico. Tiene un diseño muy bonito y es muy cómodo.</t>
  </si>
  <si>
    <t>Pesan poquísimo,muy ligeras Me encanta lo ligera que son,super ponibles con mucha como comodidad al no llevar cordones y queda el pie muy sujeto</t>
  </si>
  <si>
    <t>Estupendo Lo tengo hace ya un mes y funciona de maravilla. Lo uso mas que nada para tenerlo enchufado a la televisión, por lo que se pasa conectado mucho tiempo, y ningún problema. La velocidad de datos es muy alta en usb 3.0. Muy recomendado.</t>
  </si>
  <si>
    <t>No cumplió mis expectativas Tenía muchas expectativas que no se han cumplido. Parece que le falta fuerza. La he usado para hacer batidos de fruta y no la tritura bien, se deja trozos casi enteros. Toca desenchufarla y agitarla con una cuchara y volver a empezar. Una pérdida de tiempo tremenda. Y es muy runidosa.</t>
  </si>
  <si>
    <t>Pequeños Engaña La foto..Son muy pequeños..</t>
  </si>
  <si>
    <t>Negros en dos dias En dos dias se me han Puesto negros</t>
  </si>
  <si>
    <t>Mal Le he puesto canciones para el uso de mi coche y no funciona la probé en un altavoz de torre tampoco funciona le he vaciado y le actualice y la cargado otra vez y no va</t>
  </si>
  <si>
    <t>Calidad Todo correcto</t>
  </si>
  <si>
    <t>Bastante bien por el precio. Esta muy bien, trae dos vasos de vidrio más pequeños extras con 2 tipos de cuchillas diferentes para moler cosas más puntuales y pequeñas. La base aunque se ve de acero inoxidable es de plastico y eso es algo que se debería mejorar. La potencia no es la más fuerte la verdad pero cumple su función. Tiene ventosas debajo para que no se mueva.</t>
  </si>
  <si>
    <t>Perfecto Muy bonito. Tal como se ve en la foto</t>
  </si>
  <si>
    <t>No se puede perdir más por el precio Los bolígrafos son de malisima calidad, igual que las pegatinas</t>
  </si>
  <si>
    <t>Tiras mas bien cortas. Para unos cables XLR de 5 metros son cortas, de tres metros estan justas.</t>
  </si>
  <si>
    <t>Muy contento con la compra Muy contento con la compra. Compré el reloj directamente a Amazon y cuando llegó a mi casa vi que no incluía en su envío la antena auxiliar que algunos vendedores ofrecen. Me puse en contacto con Amazon para pedirles que me la enviaran y me dijeron que ellos no la incluían. Sin embargo me hicieron un descuento para que yo pudiera comprarla por mi cuenta. Un diez por Amazon que me resolvió el problema. Vivo en Madrid y al final he podido comprobar que el reloj por sí mismo es capaz de sincronizarse automáticamente por las noches todos los días sin utilizar la antena auxiliar. No hay que hacer nada, simplemente orientarlo bien según se indica en las instrucciones del reloj (con las seis apuntando en dirección noreste). Perfecto. Muy recomendable y muy bien de precio.</t>
  </si>
  <si>
    <t>Todo perfecto Todos los elementos son de calidad. El que una de las clavijas sea en "L" hace que sea muy versátil a la hora de conectar. Otra cosa importante es el recubrimiento del cable que al ser como de tejido hace que no se enrede. La calidad del sonido es buena. Tiene la medida justa para que no se te quede corto pero tampoco sobre y se enrede. Una compra excelente.</t>
  </si>
  <si>
    <t>Encantado Me he quedado sorprendido por la calidad del producto, funciona en Windows y macos. Es súper ligero, funciona con un usb bluetooth que está incluido en el “bolígrafo”. Las teclas son súper intuitivas no se necesita leer las instrucciones. Comk se ve en las fotos trae una pequeña bolsa/ funda para evitar arañazos. Muy contento con la compra.</t>
  </si>
  <si>
    <t>Cascos infantiles Son ligeros y tienen buen sonido.</t>
  </si>
  <si>
    <t>Buena solución para guardar archivos y datos (fotos, vídeos, programas, documentos, etc) Buen disco duro externo versión 2018, simplemente conectar y funcionar, ya que el própio PC instala el driver necesario. La velocidad de lectura es excelente y tampoco está mal la de escritura. Solo falta comprobar durabilidad y ausencia de errores o sectores defectuosos a lo largo del tiempo, para ello es suficiente con expulsar siempre la unidad desde el sistema operativo antes de desconectar. En mi opinión creo que es buena compra.</t>
  </si>
  <si>
    <t>Muy buen precio en comparación con una farmacia. Gran ahorro respecto al precio que se puede encontrar en una farmacia y más aún teniendo en cuenta el tamaño de 250ml</t>
  </si>
  <si>
    <t>Todo genial muchas gracias. Todo genial muchas gracias. La tela es muy cómoda y el color el esperado. Excelentes para el día al día para pasear o trabajar.</t>
  </si>
  <si>
    <t>Calidad exelente En cantadisima mi esposo le facina y es mejor de lo que me Imaginaba  lo recomiendo es grande y perfecto</t>
  </si>
  <si>
    <t>super guay compramos sin duda precio calidad lo mejor que hay en el mercado buenos gayumbos a precio bárbaro compra compra dio</t>
  </si>
  <si>
    <t>Botas timberland No me ha decepcionado en nada, es justamente lo que quería, buen material, hay que darles grasa de caballo para mantenerlas, pero tanto los acabados como el material es optimo</t>
  </si>
  <si>
    <t>Bolso bandolera resistente para usar a diario Creo que este bolso bandolera es ideal para uso diario y darle batalla. El material de tela y las costuras tienen buena apariencia y se ven resistentes. El compartimento principal es bastante espacioso e incluye dentro un bolsillo pequeño con cremallera y otro par de bolsillos abiertos sin cremallera. Aparte del compartimento principal tenemos bolsillos con cremallera por la parte frontal y la parte de atrás (por si quieres tener algún objeto más pegado al cuerpo y menos accesible para otros. La correa es ajustable en longitud y lo suficiente ancha para llevar el bolso con comodidad. Si buscáis sustituir vuestra vieja bolsa por una nueva, ésta puede ser una buena compra a mi parecer.</t>
  </si>
  <si>
    <t>comodidad y diaeño muy cómoda</t>
  </si>
  <si>
    <t>Perfectos Perfectos, cómodosimos y preciosos.</t>
  </si>
  <si>
    <t>Perfecto La tarjeta me llego justo al dia siguiente de haberla pedido, bien envuelta, hay que formatearla antes de usarse para que el movil ( en mi caso) la detecte, por lo demas todo perfecto.</t>
  </si>
  <si>
    <t>Buena compra Es barato y muy bonitos, vienen con en la foto</t>
  </si>
  <si>
    <t>Muy buen volumen Suelo usar los manos libres para ir en bici con el GMaps dándome instrucciones, siempre tengo el problema de que con el ruido ambiente de los coches no escucho bien, y no soporto los cascos sobre mi cabeza. Estos han resultado escucharse bastante altos, y que vengan con protectores de silicona de repuesto es muy bueno, porque suelo perderlos.</t>
  </si>
  <si>
    <t>Era lo que estaba buscando El relación al producto, e de decir, que estoy muy satisfecho, por la compra realizada, y por el producto, ya que era el calcetín que estaba buscando, la talla es perfecta para un unas zapatillas talla 41, se ajustan muy bien al pie y no son excesivamente  altos , ni bajos quedan por encima de la zapatilla, que era lo importante, el tacto es bueno, al igual que el embalaje, vienen en variedad de colores, como se indican,son unos calcetines muy recomendables</t>
  </si>
  <si>
    <t>CALIDAD PRECIO INMEJORABLE TODO OK GENIAL CAMISETA Y A UN PRECIO MUY ASEQUIBLE, REPETIRÉ SIN DUDA!👌🏼</t>
  </si>
  <si>
    <t>Genial Funciona perfectamente. Cubre mucha zona y ya tengas molestias en cervicales o en lumbares t viene bien.</t>
  </si>
  <si>
    <t>Píldoras de tamaño especial para caballos Pues eso, demasiado grandes para tragar comodamente. A mi me cuesta la verdad, y he dejado de tomarlas por lo mismo.</t>
  </si>
  <si>
    <t>BUENO El producto cumple con las características indicadas, calidad con tacto agradable. Lo menos positivo es que me gustaría que calentase un poco más. Incluso en la potencia 6, se queda escaso de calor.</t>
  </si>
  <si>
    <t>Damian La boquilla e gustó mucho a mi bebé aunque con el lavado constante la válvula de escape se rompió y ahora derrama el líquido. Nos duró como un mes</t>
  </si>
  <si>
    <t>Gran decepción Hola me he llevado una gran decepción con este disco primero tengo al menos 3 disco de esta marca y es el único que no abre mi televisor, lo cambie pensando que venía defectuoso y al venir el nuevo esta igual y al ponerme en contacto con WD no me dan ninguna solución valida incluso me insinúan que lo cambie por otro modelo de vergüenza.</t>
  </si>
  <si>
    <t>No lo recomiendo en absoluto, dinero tirado! Ha ido a la basura despues de haberlo lavado mas de 5 veces y de tenerlo en remojo con agua y jabon 2 dias enteros, Tiene un olor a quimico que se queda en el agua y no se va con nada, no lo recomiendo en absoluto, dinero tirado!</t>
  </si>
  <si>
    <t>menuda mierda he comprado microfono 100% inútil, eso si 60e a la basura, no lo reconoce ningún ordenador ni portatil ni de mesa, y el móvil solo lo reconoce para hacer grabación de voz, a la que intentas hacer vídeo no lo pilla, no he podido usarlo con nada.</t>
  </si>
  <si>
    <t>Comodidad ante todo Muy cómodas, tienen la pisada super blanda. Y el color berenjena, muy acertado. Combinan a la perfección con cualquier estilo que te pongas.</t>
  </si>
  <si>
    <t>perfectos para verano Calcetines perfectos para el verano. Finos y suaves con transpiracion para el sudor  Un saludo Fernando</t>
  </si>
  <si>
    <t>Buen agarre pero muy justo de talla El agarre es perfecto. La única pega es que para un 43 de pie, la talla del producto queda muy justa. Creo que a un pie 43 le correspondería un 44 o 45.</t>
  </si>
  <si>
    <t>Recomendables, buena relación calidad precio Son muy cómodos, el tejido parece de calidad. Estoy deseando usarlos</t>
  </si>
  <si>
    <t>Son perfectos para su cabeza Son muy comodos y suaves y por supuesto le encanta el color. me gusta que pueda tener un limitador y el cable al estar reforzado aguantarà mas que los normales. En definitiva una buena compra.</t>
  </si>
  <si>
    <t>Fácil de usar y limpiar Fácil de usar y limpiar. A veces no me termina de triturar bien algunas cosas pero creo que por el tamaño, siempre es un dátil lo que me deja sin triturar.  Me gusta mucho</t>
  </si>
  <si>
    <t>Buena compra Sin problemas. Buen disco, pequeño y ligero.</t>
  </si>
  <si>
    <t>Buena compra Es muy bonito y elegante. Tal como se ve en ña foto. La cadena es finita también. Además viene en un estuche. Regalo perfecto</t>
  </si>
  <si>
    <t>Fijacion fuerte y facil colocacion La he usado para pegar papel entelado para forrar pastas de libro y va genial. El espesor es minimo pero pega muy bien.</t>
  </si>
  <si>
    <t>Perfecto para bebés Es un biberón de plástico con un bonito diseño y ergonómico con capacidad para 260 ml. Boquilla muy flexible, ideal para el peque. Se lava en lavavajillas y de un material duradero. En definitiva, un buen biberón, estéticamente chulo, de calidad, bien fabricado sin fallos, tetina blandita, apto para lavavajillas y ergonómico con un fácil y seguro agarre.  Yo lo recomiendo porque a parte de ser un buen producto, tiene un precio excepcional.</t>
  </si>
  <si>
    <t>GENIALES! Auténticas!! Muy cómodas y divertidas! Fueron un regalo para mi marido y está encantado con ellas! Seguro que repetiremos con otras.</t>
  </si>
  <si>
    <t>Preciosa máquina!!! Precioso reloj con esa esfera blanca llena de detalles. Un poco complejo programar el calendario perpetuo. Pero una excelente máquina, para llevar en cualquier ocasión.</t>
  </si>
  <si>
    <t>Muy bonito y funcional Igual tarda un poquitín más que otros que he tenido, pero no cabe la menor duda que es muy robusto y duradero. Además de seguro.</t>
  </si>
  <si>
    <t>Cinta Doble Cara Extra Fuerte Muy buena adherencia.</t>
  </si>
  <si>
    <t>Buen producto para su precio Buscaba unos auriculares con micro para sustituir los originales rotos del móvil (un HTC), y funcionan estupendamente. También probados con portátil. Muy buena calidad de audio y con quien hablo no se queja sobre cómo me oyen (con otros modelos sí he tenido problemas al respecto). Vienen en una bolsa de cuero con varias piezas de recambio. Por 9,90€, es un muy buen artículo.</t>
  </si>
  <si>
    <t>De calidad es bueno Queda muy bien</t>
  </si>
  <si>
    <t>Precio Este microfono es una pasada por su diseño sus luces y sonido y lo mejor de todo es la duracion de la bateria.</t>
  </si>
  <si>
    <t>Buenas-bonitas y baratas No esperaba esta sorpresa por el fantástico precio que tienen,cumplen todos los requisitos que especifica el vendedor y no le puedo nada mas que felicitarle por estas pulseras mas bonitas que en las fotos y el buen hacer con que están hechas,se merecen todo mi respeto y solo decir que no se puede quedar mejor,haciendo este regalo tanto a niñas y no tan niñas para quedar bien,sin duda repetiré.</t>
  </si>
  <si>
    <t>Confortable. Ya habíamos comprado otras veces este calzado y sigue teniendo muy buena calidad.</t>
  </si>
  <si>
    <t>Buena calidad de sonido Antes utilizaba un auricular bluetooth convencional para móvil, de esos cortitos, y la mayoría de mis interlocutores me decían que me escuchaban mal. Con este producto nadie pregunta nada. Escucho y me escuchan, es cómodo y no puedo quejarme de la batería. De momento, 5 estrellas.</t>
  </si>
  <si>
    <t>Plantilla extraíble y un color precioso. El color es mucho más bonito que el que aparece en el escaparate de compra.  Me encanta que tenga plantilla extraíble, eso me permite cambiarlas por las mías. Tenía ganas de estrenarlo estas vacaciones ahora que han bajado algo las temperaturas. El precio fue una gran oferta.  Siempre suelo llevar el 6 o 6.5 de esta marca. Me quedan un poquito anchos, pero con los calcetines de cara al otoño me van a ajustar genial.</t>
  </si>
  <si>
    <t>Calidad y comodidad Cascos con una calidad increíble tanto en el sonido como en los materiales con los que están hechos. El cable se ve muy flexible y resistente. Me gusta mucho el imán que tiene en los auriculares, ya que evita que se enreden al guardarlos.</t>
  </si>
  <si>
    <t>Tallaje pequeño El tallaje es pequeño y no corresponde con el tallaje real. He tenido que regalarlas...</t>
  </si>
  <si>
    <t>VILEDA FREGONA LOS PRIMEROS QUE ME ENVIARON ESTABAN BIEN PERO EN EL ÚLTIMO ENVÍO LOS HILOS DE LA FREGONA SE CAYERON AL SACARLA DE LA BOLSA . SE QUEDÓ MAS FINA Y NO LIMPIABA IGUAL. sERÍA DEFECTO DEL FABRICANTE IMAGINO. ENVÍO FOTO  DE LA VIEJA Y LA NUEVA</t>
  </si>
  <si>
    <t>Distorsiona si grabas voz cantando Quería usarlo tanto para grabar locuciones normales como para grabar voz cantando y tocando la guitarra. Sólo sirve para grabar locución algo mejor que con el propio micro de una DSLR, pero con una calidad menor de lo que esperaba. No sirve para los registros tonales de una voz cantada porque a la que incrementas el tono distorsiona muchísimo.</t>
  </si>
  <si>
    <t>Nada de otro mundo No me gustó el producto deja la piel muy grasa con tanto aceite y no lo puedes dejar mucho tiempo muy abrasivo para la piel</t>
  </si>
  <si>
    <t>Las hay mejores por ese precio No pega como cabría esperar. He comprado cintas mejores</t>
  </si>
  <si>
    <t>Lo esperado. Bien, este producto no tiene más misterio, es justo lo esperado, llego en fecha y perfectamente embalado, funciona bien, sin problemas.</t>
  </si>
  <si>
    <t>Aceptable Autonomía muy larga. Bastante cómodo y se escucha bien. El micrófono falla porque tu interlocutor no te escucha claro al 100%</t>
  </si>
  <si>
    <t>Necesario Necesario si grabas a través de Tascam o inalambrios a tu Smartfone</t>
  </si>
  <si>
    <t>Cálidas, cómodas y no resbalan Usé el producto como botas de descanso después de esquiar y para caminar con ellas en el apre-ski. Han cumplido su papel estupendamente, cálidas, cómodas y no resbalan. Si tengo que poner una pega, que se rayan, pero la verdad, no me importaba mucho. Para lo que las quería fueron muy bien.</t>
  </si>
  <si>
    <t>Kettle para viajar Muy bien para viajar! Así me preparo infusiones o café cuando quiera. Ocupa muy poco y calienta enseguida el agua.</t>
  </si>
  <si>
    <t>Producto original Ya lo conocia anteriormente, huele muy bien. Lo puedes utilizar en brumizadores, humidificadores de radiadores etc</t>
  </si>
  <si>
    <t>Muy contento y satisfecho Me han llegado antes de lo previsto y vienen perfectas, el numero el correcto 41 1/3 es el numero que uso en adidas, ni mas grandes ni mas pequeñas, muy contento con la adquisión, espero que no se ropan con facilidad y duren</t>
  </si>
  <si>
    <t>Dr Martens 1460 Unas botas espectaculares. Dr. Martens con su estilo que las caracteriza, presenta en el Modelo 1460 de color negro unas botas con personalidad. Rígidas pero muy cómodas, cumplen las expectativas depositadas en ellas. El número de calzado es exactamente el mismo que uno hace en cualquier otro zapato. Una gran compra. No te arrepentirás!! En Amazon las encontré muy baratas!</t>
  </si>
  <si>
    <t>Funciona perfectamente Después de un par de dias de uso intensivo puedo afirmar que el masaje proporcionado es sorprendentemente efectivo. Los nodos presionan con fuerza. Es cómodo y se puede aplicar a las distintas partes de la espalda. La pega es que no viene con una batería para poder utilizarlo sin cables.</t>
  </si>
  <si>
    <t>Comprada para hacer purés a un bebé Buenos días, es sencilla, pero robusta y silenciosa. Corta fenomenal y en pocos segundos nos hace los pures de fruta y verdura del bebé. El vaso no se puede frotar con la parte rugosa de una esponja, pues lo ralla.  Uns aludo</t>
  </si>
  <si>
    <t>PASADA Estas botas, todo un clásico, no  se pueden describir con palabras. Son muy cómodas y los materiales que las componen son de una calidad extraordinaria. El precio fue mas que razonable.</t>
  </si>
  <si>
    <t>Original y acepta los Gb que marca La utilizo en la GoPro Hero 7 black. La acepta y realmente es de la capacidad que marca. No da fallos.</t>
  </si>
  <si>
    <t>Cómodos y bonitos Los zapatos son muy cómodos para bailar, no aprietan y la suela no resvala.</t>
  </si>
  <si>
    <t>Me encantan! Estupendas! Blanditas (que era lo que queria) y abrigadas. Ya era fan con unos crocks clasicos pero con estas zapatillas mucho más</t>
  </si>
  <si>
    <t>Fenomenal Lo compre para limpiar las botellas para cuando voy al campo y me las limpio fenomenal y sin esfuerzo. tambien limpie un decantaqdor de vino y fenomenal</t>
  </si>
  <si>
    <t>Comodisimas.Un pelin grandes Pese a que tallan un pelin mas grande de lo esperado,son unas deportivas para cualquier look comodas y bonitas.</t>
  </si>
  <si>
    <t>fiabilidad y autonomia Con diferencia, el mejor mini auricular que he tenido, atendiendo a su  relación calidad precio, mayor autonomía que el resto y la posibilidad de poder atender las llamadas,  llegando a regalar el mismo en varias ocasiones para que disfrutaran del mismo. Por otra parte, agradecer la pronta respuesta de la empresa responsable de su venta, ya que aunque este producto no tiene la garantía que suelen tener los productos vendidos por Amazon, no ha habido ningún problema en hacer uno de la garantía que ofrece la empresa siendo que me han sustituido el mismo sin ningún tipo de gastos por mi parte.</t>
  </si>
  <si>
    <t>Carmen Fue un regalo de cumpleaños para un niño de 11 años,el crío muy contento un reloj muy completo y nada difícil de poner en marcha.En general muy bien</t>
  </si>
  <si>
    <t>Super fashion Son hermosas. Quedan muy bien y en comparación a las tradicionales, el precio está súper bien. No quedan nada apretadas</t>
  </si>
  <si>
    <t>Buena relacion calidad precio. Tiene una gran capacidad , es un producto duradero y resistente.Siempre he usado esta marca y si he cambiado de tarjeta a sido por necesidades personales de espacio, pero nunca por un mal fallo del producto. Seguiré comprándolas.</t>
  </si>
  <si>
    <t>Cumple perfectamente Estaba buscando una impresora para un pequeño negocio en la que los volúmenes de impresión son pequeños. Fundamentalmente me importaba el escáner, pero no para un uso profesional de fotografía, sino para digitalizar facturas y documentos. Para esta función cumple perfectamente. Se conecta a la red WiFi, se instala el software en el ordenador y todo funciona casi solo. No puedo opinar sobre el servicio InstantInk porque no lo he solicitado.</t>
  </si>
  <si>
    <t>Recomendable Lo esperado</t>
  </si>
  <si>
    <t>Genial Perfecto, muy cómoda para profesional y paciente, cumple totalmente mis expectativas.  Es un tanto pesada pero comoda de transportar, todo perfecto</t>
  </si>
  <si>
    <t>Para fotos y videos ok no funciona para música El producto bien acabado, te descargas la app y funciona perfectamente pero cuando vas a hacer una copia de seguridad de la música que queda parado, no funciona no graba ni un registro.. por el resto correcto  lo recomiendo para videos, contactos y fotos... pero para música no</t>
  </si>
  <si>
    <t>PERFECTAS SI SON DE TU TALLA. Las pulseras están muy bien y son muy chulas, pero si las quieres acortar al no ser de tu talla, la cosa se pone cruda, pues son de un imposible de ajustar. Por lo demás son de calidad y muy bonitas.</t>
  </si>
  <si>
    <t>Bueno Pequeno</t>
  </si>
  <si>
    <t>Pesa muchísimo. Es demasiado pesado y muy incómodo de manejar.  Imposible el de usar una sola persona sin ayuda, no se puede dirigir con  una sola mano.</t>
  </si>
  <si>
    <t>producto muy malo es la zapatilla mas dura que he tenido nunca es como llevar botas de trabajo he tenido muchas nike y estas dudo mucho que lo sean.</t>
  </si>
  <si>
    <t>Manta eléctrica Me ha encantado , la quería para calentarme las manos y calientan muy bien me gusta la recomiendo</t>
  </si>
  <si>
    <t>No son para usar muchas horas seguidas Por el precio están muy bien, los compré para la oficina y son tal cual las fotos. Tapan muy bien el sonido externo y se oye bastante bien. Lo que si no me han resultado muy cómodos ya que si los uso todo el día luego me queda una molestia en los oídos, supongo que por la forma que tienen. En cuanto a durabilidad solo los tengo hace unas semanas pero el cable parece muy resistente. Trae gomitas de recambio y una bolsita para guardarlo todo, lo cual me sorprendió por el precio que tienen. Lo recomendaría para un uso más eventual, no para todo el día.</t>
  </si>
  <si>
    <t>Evaluación Tallaje amplio</t>
  </si>
  <si>
    <t>Muy correctos Obviamente no son los mejores auriculares del mercado pero, para su precio, me ha sorprendido su sonido -no parecen chicharras en los oídos, como he tenido otros- y lo decentemente que te aíslan del exterior si te los colocas bien.</t>
  </si>
  <si>
    <t>Son geniales, aunque cuestan un poco de poner Son geniales, aunque cuestan un poco de poner. La zona rígida por donde entra el pie es un poco justa. Un pelín más grande sería más cómodo</t>
  </si>
  <si>
    <t>Elegante y económico Lo compré para un regalo y acerté,me gusto mucho el estilo, es más bonito en realidad  de lo que se aprecia en las fotos.</t>
  </si>
  <si>
    <t>Buena calidad, buena presencia La compre para mi Omega Genève del 1967, un reloj de vestir y le queda perfecta. El cuero es genuino y de buena calidad. Buena calidad precio. Las herramientas incluidas son muy útiles. Me decepcionó al principio que enviaran desde Inglaterra pero llegó el día previsto en un paquete 24 de correos.</t>
  </si>
  <si>
    <t>Recomendable Lo lleva mi marido y no se lo quita. Con eso digo todo</t>
  </si>
  <si>
    <t>perfecto Buena calidad</t>
  </si>
  <si>
    <t>Calidad-precio Fantástico producto! Era justo lo que esperaba! La calidad del sonido es muy buena y tapa completamente el sonido del exterior! Se ajustan muy bien a la oreja a la hora de hacer deporte!</t>
  </si>
  <si>
    <t>Cumple a la perfeccion lo que yo esperaba Nada de particular, lo cual es bueno. El producto ha cumplido perfectamente con lo que yo esperaba, es decir, que se ha ajustado a la perfección a lo que prometía. No tengo ningún "pero" que ponerle.</t>
  </si>
  <si>
    <t>PRECIOSOS Son muy bonitos y raros que no se ven en ningún sitio. Lo único que le tengo que decir al producto es que no traían la parte de atrás para sujetar el pendiente ninguno de los dos.</t>
  </si>
  <si>
    <t>estupenda Muy bien. El problema es que es muy cara</t>
  </si>
  <si>
    <t>Memoria abundante y eficaz Necesitaba una memoria rápida y potente con este Lexar lo he consiguido. Tal vez haya de més rápidos pero garantizo un eficacia muy buena, tanto para la fotografia com para la grabación de films. Tiene una gran capacidad y no has de esstar cambiándala a menuda. Evita tener que manipular en sitios complicados, pues no ha de cambiarse a menudo. Precio, capacidad, cualidad, son muy adecuados para aficionados y, tambén, para profesioneles. Una muy buena compra.</t>
  </si>
  <si>
    <t>Cómodo Me gusta la capacidad y poder llevar todo ordenado</t>
  </si>
  <si>
    <t>Calidad NUK El precio es excelente en oferta y los biberones tienen la calidad habitual en la marca. Son los que hemos usado todo el tiempo. La tetina es la pequeña, si el niño es mayor tendrás que cambiarla, pero aún así merece la pena.</t>
  </si>
  <si>
    <t>Rocio parla Perfecto buena calidad colores bonitos suaves no aprietan estan fenomenal lo recomiendo gran variedad de colores han llegado a tiempo.</t>
  </si>
  <si>
    <t>Perfecto Muy bueno</t>
  </si>
  <si>
    <t>Pica y bate bien. El batido se puede llevar en el mismo frasco que se bate. La batidora es ideal para preparar batidos individuales y llevarlos en el mismo bote. Tiene buena potencia y pica bien las frutas para los batidos. Lleva una tapa adicional para llevarlo de viaje. Fácil de limpiar y tamaño pequeño. Nada aparatoso.</t>
  </si>
  <si>
    <t>Muy bien El hervidor está hecho de acero inoxidable, 1.2 L. Es del tamaño justo para mí y se quema muy rápidamente. ¡No ocupes un lugar en casa! Muy bien</t>
  </si>
  <si>
    <t>Mai Me encantan ,,, el olor es genial Como a fresa , cogi un numero mas y esta comodisima, nada que ver con las de mercadillo,y envio muy rapido, muy contenta muy buena calidad</t>
  </si>
  <si>
    <t>Recomendado Buen artículo</t>
  </si>
  <si>
    <t>Compra recomendada Era la primera vez que compraba un humidificador. Viendo los comentarios me animé a comprar este en concreto, y no me arrepiento. Tiene un bonito diseño que queda discreto en cualquier rincón. El acabado en madera está muy conseguido, y junto a la calidad del material es bastante realista. El anillo led de colores es un complemento que da una nota de color pero sin molestar (lo tengo situado cerca del televisor y no distrae, ya que no genera ningún halo de luz). El ruido es prácticamente nulo, a veces un leve goteo que hasta resulta relajante. Sencillo de limpiar y mantener. Recomiendo su compra.</t>
  </si>
  <si>
    <t>EXCELENTE Preciosa! Más bonita que en la fotografía La presentación es espectacular Una excelente relación calidad-precio</t>
  </si>
  <si>
    <t>No traen caja Los auriculares estandar de Apple. Buena calidad, pero se presentan en caja de carton sin la caja de plastico que los acompañaba siempre, para recoger el cable y protegerlos durante el transporte. Sin embargo, el precio es el mismo por lo que, pagando lo mismo, recibes menos. Una pequeña decepción.</t>
  </si>
  <si>
    <t>Perfecto para presentaciones profesionales, pero precio elevado En este caso estamos ante un mando para presentaciones de la marca Logitech. La función principal de este tipo de dispositivos es facilitar al usuario realizar las diferentes presentaciones y también mejorar la calidad, tiempo y precisión de las mismas  Os voy a contar mis impresiones y opiniones sobre este producto:  ►Paquete x1 Mando de presentaciones x1 Bolsa de transporte x1 Cable de carga x1 Manual de seguridad x1 Instrucciones para la extraer la batería cuando finalice su vida útil.  ►Primeros pasos: En Windows 10: Al conectar el pequeño dongle USB que trae para la conexión nos aparecerá directamente la opción de instalar el software para hacer uso del dispositivo. El software permitirá configurar todas las opciones del mando y también, un pequeño tour explicativo para aprender a usarlo en 5 minutos.  ►Que me gusta Θ Es muy fácil aprender a utilizar toda su funcionalidad, en 5 minutos ya sabrás usarlo. Θ Permite una gran variedad de configuraciones con su software, las principales son: Función de foco, función de lupa(ampliar una región concreta), función de circulo,cronómetro y configuración de acción al mantener pulsado el botón atrás o siguiente. Todo esto unido al hecho de poder funcionar como un ratón 3D, aporta una gran variedad de funcionalidad al mando. Θ El uso del software es fácil e intuitivo, además, te permite fácilmente solicitar un recambio del dongle en caso de perderlo. Θ El dispositivo incluye dos tipos de conectividad: Propietaria mediante el Dongle USB y conectividad Bluetooth del mando (se activa pulsando a la vez los botones superior e inferior del mando). Θ Cómodo de utilizar, el tamaño es adecuado y cómodo a la mano para un uso prolongado. Θ Carga rápida: El dispositivo dispone de carga rápida, promete que con un minuto da para 3 horas de uso. Yo puedo confirmar que con 5 minutos de carga me ha dado para 4h ininterrumpidas de presentación. Θ El USB Dongle es blanco y con un pequeño cordón, lo que lo hace más difícil de extraviar. Θ Rango:  Lo estoy utilizando en la universidad, puedo confirmar su buen funcionamiento a distancias de hasta 26 metros con el Dongle (no he probado más, pero es que ya me parece más que suficiente distancia) Θ Diseño bonito  ►Neutro Θ No tiene un puntero láser. Esto sería un punto negativo si no fuera porque la función de “foco” permite realizar una funcionalidad similar pero de una forma más elegante.  ►Que no me gusta Θ La ranura para la carga es un hueco(donde originalmente viene y puedes guardar el Dongle) con profundidad dentro del mando, esto acorta el cable de carga hasta unos 11cm reales, quedándose algo corto para mi gusto. Creo que este aspecto podría mejorarse hasta, como mínimo, 20cm. Θ Precio(117,44€ en el momento de este comentario)  ►Opinión final La verdad es que, para los que realizamos presentaciones semanalmente, este mando supone un avance en comodidad y funcionalidad sin añadirle apenas complejidad de aprendizaje y utilización. De agradecer es especialmente la dualidad de conectividad y  la carga rápida de la batería, que te salva de apuros. Quizás el precio sea el único elemento a tener en cuenta, pese a toda su funcionalidad y el bonito diseño, más de 100 euros me parece caro, incluso para entorno profesionales donde se busque sacarle partido a toda su funcionalidad.</t>
  </si>
  <si>
    <t>Ni fu ni fa!! El bebé succiona más despacio. Si es un ansias le bebé para comer no recomendable. Se limpia bien. Buena calidad.</t>
  </si>
  <si>
    <t>No vale Una m.. reloj</t>
  </si>
  <si>
    <t>Mala calidad. Hoy se ha partido el auricular del cuerpo...!!!  Lo he usado en contadas 3 ocasiones en un mes y ya no se puede devolver....!!!  Nada recomendable.</t>
  </si>
  <si>
    <t>NO ESTA MAL NO ESTA MAL</t>
  </si>
  <si>
    <t>Volumen demasiado bajo El reloj era para una persona mayor con dificultades visuales y le es muy útil cuando está en casa o en zonas poco ruidosas.El volumen es bastante bajo, y si se va por la calle o hay algo de ruido no se escucha bien</t>
  </si>
  <si>
    <t>Ocupa poco espacio y funciona bien. Me ha gustado porque cumple su función y ocupa poco espacio. No es gran cosa, pero es útil. Más o menos lo que esperaba.</t>
  </si>
  <si>
    <t>Cómodo pero poco duradero Un buen calzado minimalista pero tiende a romperse fácilmente en la malla del empeine</t>
  </si>
  <si>
    <t>Es grande Es grande, más grande de lo que yo buscaba. Si lo quieres para llevar la cartera y poco más no sería una buena compra. Por otra parte, acabados perfectos y dignos de la marca</t>
  </si>
  <si>
    <t>Producto adecuado Aceite que uso para cosmética. Contenta con el resultado</t>
  </si>
  <si>
    <t>Comodidad Son muy cómodas y de buena calidad.</t>
  </si>
  <si>
    <t>Reloj Casio Muy contenta, todo perfecto!</t>
  </si>
  <si>
    <t>Buena compra,buena calidad Es muy buena compra ,las compre para mi hija y está encantada con ellas . Son de buena calidad .</t>
  </si>
  <si>
    <t>Bonitas y prácticas! Me encantan! Quedan perfectas y cómodas!</t>
  </si>
  <si>
    <t>Muy bien Excelente calidad. Muy bien fabricado, buen material y terminación. Se ven duraderos. Muy contento.</t>
  </si>
  <si>
    <t>Perfecta Calzan como un guante. Son rápidas y las plantillas tb calzan bien</t>
  </si>
  <si>
    <t>Buen precio igual a la foto Excelente</t>
  </si>
  <si>
    <t>Muy bueno Es un micrófono de muy buena calidad, el sonido es muy limpio, y el brazo es muy útil para colocarlo en la posición que quieras. A parte del micrófono, viene un antipoping, una almohadilla para el micro, un brazo para sujetar el micro, una abrazadera para enganchar el brazo,  la sujeción del micrófono con el brazo, y el cable. Es bastante estable, lo recomiendo si usas mucho el micrófono.</t>
  </si>
  <si>
    <t>Todo Exelente</t>
  </si>
  <si>
    <t>Loree Tiene menos potencia de la que esperaba, pero funciona bien,facil de limpiar y comoda a la.hora de manejarla por casa!¡</t>
  </si>
  <si>
    <t>Para el precio, de cine Tamaño guay, lo único la barra es un poquito más ancha de lo que pensaba.</t>
  </si>
  <si>
    <t>Tiene muy buena calidad de sonido. Ya he comprado este producto por unos días, pero no lo esperaba, su calidad es muy buena, mi teléfono Android y el teléfono Apple de mi papá pueden conectarse, y pronto, tal vez puedan conectarse otros modelos de teléfonos móviles. Recomendado para comprar!</t>
  </si>
  <si>
    <t>Bien Es lo q es</t>
  </si>
  <si>
    <t>Perfectos Es exactamente igual que en la foto. No sé ponen feos.</t>
  </si>
  <si>
    <t>Preciosas ! Han llegado correctamente, es para mi boda y me encantan. Tienen un brillo precioso</t>
  </si>
  <si>
    <t>Muy cómodo y práctico Excelente y muy útil. Me encanta</t>
  </si>
  <si>
    <t>Perfecto, cumple su cometido. Buena calidad y muy muy comodo, lo recomiendo, es ideal para la practica de deporte. No tengo más que decir.</t>
  </si>
  <si>
    <t>Mala calidad de materiales Muy mala calidad de construcción, todo plástico y no encaja el hervidor con la base, para mi una decepción, tuve que devolverlo el mismo día que lo recibí</t>
  </si>
  <si>
    <t>Que  lleve antes Es muy bonita</t>
  </si>
  <si>
    <t>Fiasco Producto con pequeña tara (cuero estropeado de una zapatilla), ademas me quedan pequeñas.Recepcion malisima, vivo en Grado y tuve que ir a buscar el paquete a Oviedo. Me siento decepcionado y estafado.Creo que no volvere a comprar nada.</t>
  </si>
  <si>
    <t>Un desastre Me ha decepcionado bastante. Las cuchillas apenas dejan una marca en el papel y no lo cortan. El papel de aluminio siempre atrancado ya que los rollos  están sueltos dentro de la carcasa. Un desastre de aparato. No recomiendo su compra. Quiero devolver este producto, lo he desmontado porque es totalmente inutil y ademas me he quedado con los agujeros de instalacion en los azulejos quiero devolverlo y no me dan esa opcion</t>
  </si>
  <si>
    <t>Me temo que es falso He comprado uno igual antes y comparado con este, aparte de la presentación (viene metido en una bolsa de plástico y esta dentro de un sobre de cartón "aparentemente" falso, el protector adhesivo de la pantalla no la cubre entera, el reloj pesa menos y la correa no parece ni metálica. Sin ser especialista creo que es falso. AMAZÓN debería cuidar más estas cosas y no permitir que se vendan estos artículos. Por lo menos he podido devolverlo a tiempo sin coste alguno.</t>
  </si>
  <si>
    <t>Son bonitas, pero como “sudadera” es muy fina la tela La tela es un poco fina y quizás algo cortas, pero la verdad no están mal. Son bonitas. Llegó antes de lo previsto.</t>
  </si>
  <si>
    <t>Buena calidad, actuales y resistentes La bota muy chula, de muy buena calidad y terminaciones. El problema es que era para un regalo y  la chica que las iba a usar las ha tenido que devolver ya que la caña de la bota era muy ancha para su tobillo</t>
  </si>
  <si>
    <t>Producto sencillo y de calidad Está almohadilla no cura el dolor pero lo alivia perfectamente y es un buen remedio y la relación precio calidad es correcta</t>
  </si>
  <si>
    <t>Buen producto Le doy solo un 4estrellas porque aún no lo hemos utilizado es un regalo,a simple vista se ve muy bien para un niño de 9años ya os diré,solo os puedo decir que me llegó al otro día de hacer el pedido y está en buenas condiciones</t>
  </si>
  <si>
    <t>Buen artículo Reloj acorde a mis deseos, gracias!</t>
  </si>
  <si>
    <t>Buena relación calidad / precio Muy bien calidad / precio. El producto cumple las expectativas.</t>
  </si>
  <si>
    <t>Calidad elegante Viene muy completa, y el acabado es muy bueno. El accesorio para cambiar el tamaño, es estupendo, he tenido que quitarle un eslabón y ha sido muy, muy fácil.  Estoy muy contento con el resultado, a ver lo que dura, y co.o envejece.</t>
  </si>
  <si>
    <t>Muy bonito Un álbum precioso por su precio. Viene con protector en cada hoja y las fotos quedan perfectamente pegadas tan solo con pegamento de barra. Queda muy bien, y con unas letritas blancas luce muchísimo.</t>
  </si>
  <si>
    <t>preciosos Preciosos ideales para un regalo de plata y son de un tamaño ideal por el precio que tienen no se puede pedir mas doy mi enhorabuena a amazon por su trabajo en entrega y mandar siempre todo correcto</t>
  </si>
  <si>
    <t>ME GUSTA SU EFICIENCIA Tras probar algunas aspiradoras para mi casa  y decepcionarme bastante (incluida una muy cara que se caia sola y no aspiraba) , por fin en esta he encontrado lo que necesitaba, "que aspire"... cumple con su función muy bien y estoy muy contento. La recomiendo sin lugar a dudas. Llegó muy bien y sin problemas por parte de la distribución.</t>
  </si>
  <si>
    <t>Rápido y buen diseño. La verdad es que para el precio que tiene está genial. Te calienta un litro de agua y te la mantiene en temperatura.</t>
  </si>
  <si>
    <t>Las Crocs de toda la vida Se las he regalado a mi pareja y está encantado con ellas. El número se corresponde a la talla europea yo elegí 45-46 porque utiliza el 45 habitualmente y en general puedo decir que estoy contenta con ellas. Tal cual las fotos y la descripción. En menos de un mes se ha despegado la parte de atrás como les ha pasado a mas personas. Yo lo he llevado al zapatero, lo ha pegado y de momento siguen bien, porque le pegamento de casa no me funcionó, así que recomiendo llevarlas la zapatero, aunque no me parece normal que se despeguen de esa forma y menos con unos cuantos usos simplemente..</t>
  </si>
  <si>
    <t>Recomendable El colgante es muy bonito. El color es exactamente igual al de la imagen, verde claro. Se lo regalamos a mi hermana y está muy contenta. El sonido es como el de un cascabel</t>
  </si>
  <si>
    <t>Fantástico!!! Muy recomendable!!! Es un producto fantástico!!! Mi madre tenía dolores en un hombro a raíz de una caída y como había comprado una similar en Colombia... compré el bote pequeño para probar!! Y hemos vuelto a repetir... ahora con el bote grande porque es fantásticamente bueno!!!</t>
  </si>
  <si>
    <t>Un hallazgo Desde que llegó a casa, son indispensables sus masajes en las noches ante la TV antes de acostarse, y en los viajes en coche (para quien no vaya conduciendo, se entiende) gracias a su cable a la toma del mechero. Te deja nuevo cuando llegas a casa con problemas de cervicales; puedes elegir masaje con o sin calor, y es silencioso.</t>
  </si>
  <si>
    <t>Original con tarjeta de Tous Viene en su caja de Tous, y con su bolsa rosa de regalo y el sello original. Muy bonita y elegante. Por 22 euros perfecta como regalo</t>
  </si>
  <si>
    <t>Perfecta Corresponde exactamente a la descripción, incluso las medidas y el calor es suficiente para notarlo a través de la ropa (camiseta y sudadera). Al envolverte es muy agradable la sensación. La calidad es estupenda: tacto muy suave, acabado cuidado.... Es una buena compra. Ah, y la entrega rapidísima!</t>
  </si>
  <si>
    <t>Materiales resistentes Estéticamente me han encantado, se ven más caros de lo que son, el sonido igual es otro aspecto a destacar en los auriculares teniendo en cuenta el tamaño y el precio, no suena tan enlatado como otros auriculares de este tipo, lo cual ya es un avance, en resumen la relación calidad-precio para mí es fantástica.</t>
  </si>
  <si>
    <t>Buena relacion calidad precio La verdad, no te voy a mentir, son lo que son, no esperes mas, mejores que los del chino del barrio y peores que unos de 30 euros, pero estamos pagando mucho menos por ellos y ademas vienen con una bolsita de regalo y con almoadillas intercambiables y ajustables al oido.  Medios y altos normales, pero bajos fuertes, estos auriculares se los rcomendaria a personas que les guste el hip hop o regaeton</t>
  </si>
  <si>
    <t>Muy recomendables Muy bonitas y cómodas. Tallan grandes, por lo que recomiendo comprar una talla menos a la habitual.</t>
  </si>
  <si>
    <t>Muy cómodas Aunque las zapatillas no son para mí ,que eran para mi mujer ,ella está totalmente satisfecha con ellas ya que son super cómodas y están hechas con materiales de alta calidad</t>
  </si>
  <si>
    <t>Cómodas y muy prácticas. Me ha vuelto a encantar la experiencia, son muy cómodas y para todo tipo de terrenos. Que sean goretex es genial. Las recomiendo.</t>
  </si>
  <si>
    <t>Perfectos Muy bonitos</t>
  </si>
  <si>
    <t>Lo esperado El reloj funciona bien, tiene bastantes funciones y es sencillo de utilizar si estás habituado a este tipo de relojes. Para los fan de los GShock decir que es un poco más pequeño de lo que podeis esperar, yo lo había leído previamente así que no me sorprendió. Yo diría que incluso la correa es pequeña, ya que habitualmente los abrocho en el tercer - cuarto agujero y en este me tengo que ir al séptimo.</t>
  </si>
  <si>
    <t>Fácil agarre, queda leche en los huecos Fácil de sujetar para los padres, pero deja restos de leche entre el recipiente y la tetina que hacen que se tenga que volcar totalmente vertical el biberón para acabarlo</t>
  </si>
  <si>
    <t>Carga sólo a través del móvil Buen sonido, cómodos y fáciles de utilizar. Sin embargo, solo pueden cargarse a través del móvil.</t>
  </si>
  <si>
    <t>Buen producto, gastos de envio exagerados El reloj es estupendo, puedes cargar música, rutas, pagar con el. Buena compra para iniciarse en el mundillo éste, esto sin problema. Lo volvería a comprar sin dudarlo.  Ahora bien, pese a ser Amazon Prime, me han cobrado 25 eurazos de gastos de envio... Muy mal.</t>
  </si>
  <si>
    <t>Calidad y buen precio. Solomon es Solomon Muy contento</t>
  </si>
  <si>
    <t>José Luis Álvarez. Muy bien. Al principio lamente no haber comprado el de corona de rosca, pero resultó que este resiste perfectamente el agua.</t>
  </si>
  <si>
    <t>Un poco justo de calor Está bien, pero poco potente, ni siquiera en el estado tres notas excesivo calor, pero es mejor que no tener nada.</t>
  </si>
  <si>
    <t>Es Indestructible, Es Casio, Es Japones. Una pasada, fiable como ninguno, indestructible como ninguno, pasa el tiempo por el y parece nuevo, lo llevo a donde voy, no voy si no lo llevo, en timpo libre, en trabajo (fontaneria), a pescar, no me separo de el hasta que me tengo que acostar. Personalmente no creo que haya un reloj mas resistente que no sean de acero como el G-Shock. Lo recomiedo a todos lo caballeros que tengan una muñeca al menos mediana. Una belleza de reloj. Lo unica pega es que no se ve muy bien la hora digital e analogica, por lo demas inmejorable calidad del reloj. Un 9 al reloj!</t>
  </si>
  <si>
    <t>Usb 3.0 32GB pendrive Me gusta esté producto , mi fallo no me fije en el color abría elegido el plateado , mas masculino, menos mal que parece un color de cobre</t>
  </si>
  <si>
    <t>Da muchas opciones. Precio calidad 👌👍 no se le puede pedir más. El café delicioso y con crema. Perfecto para todo tipo de café, café solo, cortado, bombon, capuchino, etc. Te da la posibilidad de hacer lo que quieras, hasta un latte macchiato.</t>
  </si>
  <si>
    <t>Pandora Pulsera pandora que compré y resultó ser pequeña por sus 18 cms. Fue devuelta ese mismo día sin ningún problema y unas instrucciones muy claras. El dinero fue devuelto también a los 2, 3 días.</t>
  </si>
  <si>
    <t>Pasador de diapositivas para presentaciones Me dedico a la docencia, y este pasador de diapositivas me viene muy bien para las clases, ya que buscando la forma de hacer las clases más amenas e interactivas a través del uso del ordenador, perdería mucho tiempo teniendo que acudir constantemente a la mesa del ordenador para ir pasando las diapositivas.  Viene con un laser, elemento que puede venir bien para alguna ocasión.  Pesa muy poco, funciona con una pila y no cuesta mucho. Espero que los alumnos lo disfruten al igual que yo.</t>
  </si>
  <si>
    <t>Comodidad La comodidad. Muy buena relación calidad-precio</t>
  </si>
  <si>
    <t>Muy buen reloj Reloj de buena calidad a muy buen.precio, el altímetro es barométrico por lo tanto fluctúa mucho según las condiciones climáticas, es lo único que no me ha gustado</t>
  </si>
  <si>
    <t>comodísimas para otoño/invierno geniales para todo, trabajo, salir, incluso el campo por su suela deportiva 5/5</t>
  </si>
  <si>
    <t>cómodos y ligeros Son mis primeros auriculares bluetooth, son muy ligeros y cómodos, a los dos minutos te olvidas de que los llevas. Tienen muy buen sonido y son muy fáciles de enlazar con el móvil y el portátil. Al tener sujeción detrás de la oreja no aprietan el oído como los de botón.</t>
  </si>
  <si>
    <t>Caparelle Buena compra. Es bonito y lo uso a diario. Muy buen material. Lo recomiendo sin lugar a dudas. Para mi gusto quizá la correa debería ser un poco más estrecha. Pero el diseño del bolso es correcto y elegante.</t>
  </si>
  <si>
    <t>Contentos con ella De momento estamos contentos con la elección. Las cremas, los batidos, masa de pasteles, smoothies, picar hielo, ... Todo super rápido y super fino! La textura que deja es la que quería. El motor aguanta mucho trabajo sin dificultad, el vaso de tritan es muy ligero y fácil de limpiar.</t>
  </si>
  <si>
    <t>Genial! Me encanta!!! Justo lo que buscaba...</t>
  </si>
  <si>
    <t>muy buena botita Mejor de lo esperado, tanto en monte como en caminos. Es muy cómoda de llevar y se garra muy bien</t>
  </si>
  <si>
    <t>Perfecta La uso todos los días, calienta como debería y aunque se apague a los 180 min (a veces algo menos) se mantiene caliente toda la noche, excelente compra relacion calidad preci, lo volvería a comprar sin dudar.</t>
  </si>
  <si>
    <t>comodas comodas pero hay q llevarlas con calcetines pq rozan</t>
  </si>
  <si>
    <t>Un G Shock que no defrauda. Un G Shock que marca la diferencia con el resto de modelos comparables. El diseño es bonito y diferente al resto de cajas. Es perfectamente legible en cualquier circunstancia y la iluminación es mejor que en los de manecillas, tengo un GA 110 y este ilumina mucho mejor. Lo de las alarmas y la cuenta regresiva con vibración es genial y muy configurable. Sin duda un gran reloj y buena compra.</t>
  </si>
  <si>
    <t>Muy recomendable Estupendo producto</t>
  </si>
  <si>
    <t>La mejor compra que hicimos!! Nos encanta! Es una de las mejores compras que hemos hecho. Una ayuda estupenda para la casa, sobretodo cuando no hay tiempo. Lo deja todo muy limpio. Además poder decirle cuando y como limpiar desde el teléfono es muy cómodo. Sólo hay que ocuparse de tenerlo limpito para su uso y la casa recogida para que limpie mejor.</t>
  </si>
  <si>
    <t>Raúl Mérida Muy recomendable es muy bonita y fina mi mujer está encatada con ella la a puesto una medalla y queda genial</t>
  </si>
  <si>
    <t>Calidad a buen precio Calidad, precio y garantía es lo que nos ofrece Casio con este reloj. Me ha sorprendido muy positivamente, tanto el reloj como la correa, algo que añade valor a la máquina. Buena compra y, como de costumbre, buen servicio de Amazon en la entrega.</t>
  </si>
  <si>
    <t>Me encanta Muy satisfecha</t>
  </si>
  <si>
    <t>Usb Todo iría bien si cumpliera con lo describe, no sirve para android</t>
  </si>
  <si>
    <t>No tiene una buena calidad Se lo compré a mi nieta ...por el color le encantó y ya por todo lo demás no tanto estos auriculares de diadema son los propicios para los niños pues nada que entre en los oídos..pero la calidad no es lo que se desea en estos auriculares...</t>
  </si>
  <si>
    <t>Una decepción Una zapatilla de cada color, una rosa tal como muestra la foto y la otra rosa/beige desgastado.</t>
  </si>
  <si>
    <t>Desilusión. Lo vi en un anuncio y lo compré. No limpia cómo en el anuncio. Me siento timada. No deja de ser el típico cepillo rojo de toda la vida que usaban nuestras madres para quitar pelusillas en las chaquetas.</t>
  </si>
  <si>
    <t>mala compra A los 14 meses dejo de funcionar</t>
  </si>
  <si>
    <t>Casi perfecto El envio a tiempo indicado, la calidad del reloj indiscutible y tal cual se describe. U a belleza. Lastima que la caja que viene con el reloj ha venido con una marca o punto profundo que la verdad a los que somos amantes de los relojes, no deja un buen sabor final. No doy 5 * por ese detalle. Lo demas perfecto</t>
  </si>
  <si>
    <t>Tamaño perfecto Hola de momento me ha gustado todo,tamaño,color y tiene buena pinta. No le doy cinco estrellas porque tengo que comprobar cuanto dura cremalleras etc..</t>
  </si>
  <si>
    <t>Perfectas Las zapatillas perfectas,de piel, pero tallan un poco grande. La talla 37,5 mide 24 CMS.</t>
  </si>
  <si>
    <t>Muy bonita y buena calidad. Precio medio. &lt;div id="video-block-R34RVO1W62LHPS"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src="https://images-eu.ssl-images-amazon.com/images/I/D1Mzza91-3S.mp4" style="position: absolute; left: 0px; top: 0px; overflow: hidden; height: 1px; width: 1px;"&gt;&lt;/video&gt;&lt;/div&gt;&lt;div id="airy-slate-preload" style="background-color: rgb(0, 0, 0); background-image: url(&amp;quot;https://images-eu.ssl-images-amazon.com/images/I/919+CMIQm3S.png&amp;quot;);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value="https://images-eu.ssl-images-amazon.com/images/I/D1Mzza91-3S.mp4" class="video-url"&gt;&lt;input type="hidden" name="" value="https://images-eu.ssl-images-amazon.com/images/I/919+CMIQm3S.png" class="video-slate-img-url"&gt;&amp;nbsp;Me ha gustado el diseño y la calidad de la carcasa del motor, es como acero pulido muy bonito. Además cuando la enciendes los botones están retroiluminados por led azul, y tiene un aspecto y diseño muy moderno.  El motor tiene 1200 watios, suficientes para un uso doméstico.  En general tiene buenos detalles y buenos acabados, potencia y fucniones más que sufienciente. Se desmonta bien para limpiar y no tiene nada raro.  No me ha gustadovarias cosas.  Pues tiene detalles que son demasiado de plástico, como por ejemplo el interruptor de seguridad de la sujección del vaso de cristal, es un clip de plástico con un muelle, aparentemente frágil.  Las cuchillas son de acero, aunque no son las mejores para este tipo de batidora, hay otros tipos de cuchillas de más calidad.  Resumiento. La calidad es buena, y la potencia suficiente para un uso doméstico, no está pensada para un uso profesional o intensivo. Para eso hay otra máquinas con más potencia y calidad.  Relacion calidad-precio: Pues pienso que es cara. Basta con poner en el buscador de amazón "batidora vaso 1200". Después cada uno tiene que decidir que es lo que quiere comprar. Teniendo en cuenta la garantía y experiencia que ofrece cada marca.</t>
  </si>
  <si>
    <t>Muy buena relación calidad precio Son un poco duras y cuesta acostumbrar el tobillo al principio pero son calientes e impermeables. Muy chulas de diseño.</t>
  </si>
  <si>
    <t>Compacta y pequeña Esta Memoria usb es pequeña y tiene gran capacidad (32 gigas), ideal para llevarla de llavero. Se ve compacto y resistente. Se conecta sin problema y rápidamente Ali ordenador. Estoy muy satisfecha con la compra.</t>
  </si>
  <si>
    <t>Bien Muy resultones.Bonito regalo.Un poco pequeños.Todo bien incluida la entrega</t>
  </si>
  <si>
    <t>Un regalo precioso Me encanta el álbum, la temática de Up y sobretodo, todo lo que incluye para personalizar. Un regalo de 10 para cualquier familiar/pareja/amigo. Muy recomendado, muy buena calidad. PRECIOSO.</t>
  </si>
  <si>
    <t>Muy txulas!!! Perfectas!! El color del dorado es más bonito al natural, es más suave. La talla, como el resto de as zapatillas Adidas. Todo OK</t>
  </si>
  <si>
    <t>Útil y práctico Justo lo que estaba buscando. No es muy grande, el diseño es precioso para tener en la cocina. Exprime muy bien las naranjas y sin nada de esfuerzo,además es muy silencioso. Lleva una tapa para el polvo, además muy fácil de desmontar y de lavar.</t>
  </si>
  <si>
    <t>precio calidad bueno comodas</t>
  </si>
  <si>
    <t>Buen precio Cómodas y duraderas, muy recomendables</t>
  </si>
  <si>
    <t>Excelente producto, fiable y preciso Tienes unos acabados excelentes y es muy preciso. Es compacto y guarda en muy poco espacio el conector usb (q podria ser mucho mas pequeño).</t>
  </si>
  <si>
    <t>Tascam No puedo estar mas contento con esta grabadora. Siempre he oido hablar muy bien de ellas y he decidido comprarla, puedo grabar audio, ademas tiene entrada de linea (que es el motivo principal por el que la compre) Tiene una muy buena autonomía y ademas se puede conectar por usb y dispone de una tarjeta de sonido para grabar directamente en el Mac!! Increíble. Echo en falta el cable usb, podrían incluirlo en el paquete, por lo demás un 10.</t>
  </si>
  <si>
    <t>Mi mejor compra Es bonito, elegante, fácil de configurar con tu teléfono, estoy muy contenta con mi smartwatch</t>
  </si>
  <si>
    <t>Increíbles!! Son espectaculares! Pequeños, súper cómodos y puedes incluso dormir con ellos que no se clavan ni te harán daño! Son muy bonitos 😊</t>
  </si>
  <si>
    <t>Muy práctico y rápido. Increíblemente rápido.  No da tiempo a preparar la taza cuando el agua ya empieza a hervir , con este hervidor no da pereza prepararse un té o una infusión y se evitan los peligros de calentar el agua en el microondas.</t>
  </si>
  <si>
    <t>Excelente Llegaron antes de lo estimado. Me quedaron perfectas, son muy comodas!</t>
  </si>
  <si>
    <t>Zapatillas Uso el numero 38 y en new balance el 38.5 vi comentarios que tallaban muy justos, me coji el 39 y estupendos. Os lo recomiendo</t>
  </si>
  <si>
    <t>1 TB de almacenamiento a una relación calidad/precio excepcional SSD de 1TB ideal para ampliar o sustituir una unidad de almacenamiento mecánica. En mi caso sustituyendo a un antiguo disco duro de 1 Tb. LA única pega que puede poenrse es la tecnología QLC, que al tener más capas que las anteriores tecnologías hacen que la vida útil sea menor, no obstante, sin esa tecnología no podría ajustarse tanto el precio.</t>
  </si>
  <si>
    <t>Práctico para excursiones y salidas Muy cómodo y práctico.</t>
  </si>
  <si>
    <t>Perfecto para uso puntual y esporadico Lleva cable de unos 5 o 6 metros. Yo lo prefiero ya que el uso es muy puntual y los de bateria se me estropean rapido o el dia que lo necesito estan descargados. Con los complementos que trae puedes utilizalo en espacios muy reducidos, como interior del coche o para hacer todo la casa. Es potente y limpia bien, no se cuanto durara, si es resistente.</t>
  </si>
  <si>
    <t>demasiado grande los pantalones tienen muy buena calidad, buen acabado pero usando normalmente una talla mediana he pedido la xs por saber que erann tallas grandes, no los devuelvo porque los usare como pantalon de pijama pero habria que pedir dos tallas menos psts poder salir a la calle, una pena</t>
  </si>
  <si>
    <t>Complicado Es muy bonito.Tiene la luz muy pobre y muy complicado de cambiar la hora</t>
  </si>
  <si>
    <t>Orma estrecha El calzado es bonito como la mayoría de los productos Tommy, peeeero la orma es muy estrecha. Por lo que si tienes un pie ancho olvídate.</t>
  </si>
  <si>
    <t>Para iPhone no sirven El sistema de emparejamiento en iOs no funciona Cada auricular tiene su propio sistema de conexion y no permite tener los 2 a la vez. Tienes que elegir entre el derecho o el izquierdo</t>
  </si>
  <si>
    <t>Muy pesados Pesan demasiado</t>
  </si>
  <si>
    <t>Justo lo que buscaba! La necesitaba para hacer manualidades y cortes de elementos de diseño gráfico como diseñar marcapáginas, papelería, etc. y es lo que buscaba. Corta perfectamente lo único que si hay que tener buen ojo para colocar el papel y cortarlo justo por la linea que buscas. Buena herramienta de trabajo</t>
  </si>
  <si>
    <t>Comoda Hacer ejercicio</t>
  </si>
  <si>
    <t>Genial Todo muy bien!!!</t>
  </si>
  <si>
    <t>es lo que se describe Me parece que por la capacidad que tiene deberia costar menos, pero es lo que pasa cuando pretendes utilizar aparatos antiguos</t>
  </si>
  <si>
    <t>Justo lo necesario Parece resistente y es cómodo. Se lo he comprado a mi hija para poner el libro mientras estudia y hace deberes y es bastante cómodo y práctico</t>
  </si>
  <si>
    <t>Muy bien Buenas fundas</t>
  </si>
  <si>
    <t>Calidad precio excelente Fue para un regalo...quedó muy contento</t>
  </si>
  <si>
    <t>una compra muy acertada El producto cumplió todas mis expectativas es fuerte de buen material no muy grande pero tampoco diminuto entra perfectamente una tablet documentos llaves etc y de manera muy cómoda ese mismo bolso en el mercado me salia por el doble de dinero me gustó mucho</t>
  </si>
  <si>
    <t>Correcto A mi hija le encanto. Abriga suficiente.</t>
  </si>
  <si>
    <t>Huele muy bien, a limón recién cortado &lt;div id="video-block-R2PZXWF86GVD80" class="a-section a-spacing-small a-spacing-top-mini video-block"&gt;&lt;/div&gt;&lt;input type="hidden" name="" value="https://images-eu.ssl-images-amazon.com/images/I/A1bIZMAqpxS.mp4" class="video-url"&gt;&lt;input type="hidden" name="" value="https://images-eu.ssl-images-amazon.com/images/I/81+i8CxyYsS.png" class="video-slate-img-url"&gt;&amp;nbsp;Soy una fanática de los inciensos y de las esencias. Pero nunca había probado el aroma del lemongrass y es muy similar al de una planta tipo geranio que tengo en mi patio para ahuyentar los mosquitos que se llama citronela. Esta esencia me gusta mucho porque con un par de gotas ya huele de maravilla. Yo tengo un humidificador- difusor de aromas cerca del pc porque me gusta oler esencias que controlan mis nervios y me centran. En este caso esta esencia hace su trabajo. Es como si cortaras un limón por la mitad y lo pusieras a tu lado. Aunque es algo más fresco, como más de campo. Me gusta mucho su aroma y sin duda repetiré.</t>
  </si>
  <si>
    <t>Bueno, bonito y barato. Y un gran servicio técnico El micrófono llegó muy rápido y funciona perfectamente, nada que envidiar con aparatos más caros.  Tras unos pocos usos el micro se me desemparejó del receptor pero el servicio técnico fue impresionante. Me enviaron las instrucciones para emparejarlo de nuevo y se comprometieron a cambiarme el micrófono, sin coste alguno, si no funcionaba.</t>
  </si>
  <si>
    <t>Mil gracias Esperaba algo bueno y e recibido algo mejor . Menuda zapatillas  son la put.......... osti.......  q alegria a correr impresionante</t>
  </si>
  <si>
    <t>Me encanta ¡La uso todos los días! Ha sido la mejor compra que he hecho en Amazon, se calienta en 10 minutitos y el calor se mantiene durante varias horas. El tejido es muy agradable y es perfecto para entrar en calor, es especialmente útil para calentar manos y pies. Si eres friolero deberías comprar este producto. También la utilizo para aliviar el dolor de espalda y ya lo creo que ayuda.</t>
  </si>
  <si>
    <t>Me encantan Es un producto perfecto tal y cual como se ve en la foto lo único que la talla se queda un poco pequeña yo he pedido mi talla 37 pero muy justa hay que pedir medio talla más. Pero el producto muy bonito y bueno no tengo quejas</t>
  </si>
  <si>
    <t>Cantidad de gigas por poco dinero Unidad de almacenamiento práctica y portátil</t>
  </si>
  <si>
    <t>GRAN CALIDAD y BUEN PRECIO Es una batidora con material de calidad (acero inox, plásticos buenos), potente, de funcionamiento estupendo y sencilla de manejar; a ver si es duradera</t>
  </si>
  <si>
    <t>Fantástico Espléndida. Fácil de montar. Sólida y robusta a la par que ligera. Merece la pena invertir en un producto con esta calidad y prestaciones. Maravilloso diseño. Estamos encantados. Lo utilizamos muchísimo. Muchas gracias.</t>
  </si>
  <si>
    <t>CALIDAD DE LOS MATERIALES MUY BUENA Lo primero que te llama la atención es la calidad de los materiales, es realmente buena. Para poder usarlo tienes que poner en cada micrófono 2 pilas AA y conectar la base a la luz y a un amplificador. La calidad del audio que emite es realmente buena.</t>
  </si>
  <si>
    <t>Excelente vendedor Excelente lupa. Mucha rapidez en el envío.</t>
  </si>
  <si>
    <t>Mejor de lo que pensaba. Ya llevan unos 6 lavador y aun están igual que cuando los compré... relación calidad precio bien... recomendable. Volvería a comprarlos.</t>
  </si>
  <si>
    <t>Buena calidad Ideal para mi gracias</t>
  </si>
  <si>
    <t>Buen producto. No estoy seguro de si es nuevo o reciclado, en todo caso se encuentra en perfecto estado y funciona muy bien. Lo uso como disco para copia de seguridad, algo lento comparado con los actuales pero perfecto para esa aplicación que desarrolla en modo automático Windows 10.</t>
  </si>
  <si>
    <t>Cumple con la descripción Tiene un gramaje perfecto, no queda ni demasiado blando ni demasiado rígido. Yo lo uso para plastificar material escolar. Las marcas que indican cómo introducirlo en la plastificadora son muy útiles y desaparecen completamente una vez lo metes en la máquina de plastificar.</t>
  </si>
  <si>
    <t>Muy buenas Buena calidad sujetan los cuadros perfectamente, volvería a comprarlas sin duda, vale ora colgar cuadros y cosas de poco peso en la pared</t>
  </si>
  <si>
    <t>Bien Flojo</t>
  </si>
  <si>
    <t>Es lo que buscaba pero luz insuficiente Me gusta y me lo quedaré pero la luz que tiene no es muy buena, en lugar de iluminar por toda la esfera del reloj ésta sale de un punto y si las agujas del reloj están alejadas no se ven muy bien.</t>
  </si>
  <si>
    <t>Buen producto pero algo incomodo Buen producto en cuanto a material,calidad de sonido.La bateria me ha sorprendido notablemente ya que dura bastante. Aun pensando que es un buen producto hay un par de cosas que no me han gustado,una de ellas es que no son nada comodos,ya que la almohadilla de la cabeza es algo dura y como los tengas mucho tienpo puestos te acaba doliendo.Tambien creo que el peso del producto tampoco le favorece ya que eso tambien incomoda bastante a la cabeza.</t>
  </si>
  <si>
    <t>Pesímas Buscando en internet el precio medio es de 20-30 euros así que no se de que va este descuento de 60 euros. A parte de la muy mala calidad del material, el sonido es acceptable (mejor para ver una peli y no para escuchar música). Pero después de 3 días se bloquearon, ni se apagaban ni se encendían, no existe un manual para resolver los problemas ni en la confección ni en Internet, no obstante he leído que a mucha gente le pasó lo mismo. Las puse en la confección (aún está la luz lampeando), y mañana las voy a devolver.</t>
  </si>
  <si>
    <t>No me ha gustado Hace unas espuma que se va al Segundo .. no aguanta nada la espuma</t>
  </si>
  <si>
    <t>Un clasico...pero le falta algo... Todo un clasico, mismo funcionamiento, misma estetica que el tuve en los años 90, pero curiosamente yo conservo el "autentico" aunque lamentablemente no funciona. Que le falta al moderno? pues sencillmente el toque de la calidad de lo hecho antes, sin la "mass production" obsesion de lo hecho en china. La caja se ve mas rigida, como mejor terminada o de mejor calidad...pero bueno por el precio tampoco se puede pedir mas. El vintage costo 1800 pesetas, asi que a 9 euros sale el moderno mas barato...lo dicho un clasico adaptado a los tiempos que espero que dure, ya que ya no soy tan bestia como en los 90s....</t>
  </si>
  <si>
    <t>Demasiado grandes Son más grandes de lo que esperaba. No me gusta demasiado como quedan porque las estrellas son bastante grandes y a mi me gustan más pequeños. Por lo demás son fáciles de poner y quitar. Tiene buena imagen porque el material está bien</t>
  </si>
  <si>
    <t>Talla grande Muy chulas pero tallan enorme</t>
  </si>
  <si>
    <t>versatiles y comodas buen producto con alguna falla. lengüeta de ajuste superior de mala calidad, en la 2ª puesta se rompió por la parte que esta cosida a la zapatilla. el nº algo ajustado (43) en mi caso.</t>
  </si>
  <si>
    <t>Me siento cómoda con ellos. Los compré xq me dejé olvidado los originales de mi S8+ en mis vacaciones y realmente estos son muy parecidos. No noto la diferencia. Los recomiendo</t>
  </si>
  <si>
    <t>Precioso Lo pedí un viernes y el lunes ya me llegó, que eso ya me parece increíble. El colgante es precioso, pensé que igual brillaba demasiado o que sería pequeño pero me parece perfecto. Es para regalar en navidad y me parece perfecto y super barato</t>
  </si>
  <si>
    <t>Ligeros y comodos La música se escucha muy bien, conexión muy buena, se adaptan bien al oído y no hacen daño. Muy contento con la compra visto el precio. Mpow es una marca que me gusta mucho y con el tiempo ha resultado ser muy fiable, tengo otros cascos bluetooth de la misma marca y también estoy súper contento. Gracias</t>
  </si>
  <si>
    <t>Lo esperado. Eran para regalo, y le han encantado.</t>
  </si>
  <si>
    <t>Muy cómodos Los utilizo para practicar running y van genial. Son muy ligeros y se adaptan totalmente a la oreja. Son muy ligeros y llegas a olvidarte de que los llevas puestos. La calidad del sonido se podría mejorar un poco pero no se puede pedir mas por el precio y la buena composición de materiales que tiene.</t>
  </si>
  <si>
    <t>excelente batidora aparenta gran calidad a falta de probarla,viene con sus accesorios ,la entrega rapida .embalaje perfecto,buena batidora, estetica de gama alta, cuestion de probar</t>
  </si>
  <si>
    <t>Cómodo y bonito Yo lo compré para jugar a volley playa y me va genial. Acerté con el tallajé y es muy  bonito. Si que para hacer según que deporte o si pretendes ponértelo para estar en el gym, yo lo encuentro demasiado escotado. Creo que me compraré más.</t>
  </si>
  <si>
    <t>Bellísimos, recomendados 100% Son para regalo junto con el colgante. Bellísimo y calidad.</t>
  </si>
  <si>
    <t>Buen producto Un producto de buena calidad, tal cómo aparece en las imágenes, talla, colores, recomiendo su compra.</t>
  </si>
  <si>
    <t>Buena calidad Muy cómoda, es algo suelta y la parte del cuello de la camisa no es ceñido como otras, pero está muy bien para salir a correr o hacer deporte</t>
  </si>
  <si>
    <t>Como un guante Bonitos calcetines de colores. Su material un poco elástico hace que te queden como un guante, son muy cómodos y no dejan ni marcas ni las típicas pelusas de cuando son nuevos. Los he lavado unas cuantas veces ya y siguen como el primer día. Totalmente recomendados</t>
  </si>
  <si>
    <t>Válido para deporte Esta bien rematado y reforzado el cosido que para el gim es importante. Le falta el cosido que lleva en medio de la pierna hasta el glúteo pero bueno no es algo por lo k preocuparse puesto que al precio que está tampoco vamos a quejarnos. Es muy cómodo y se adapta muy bien al cuerpo. Tela suave. En la foto parecía tela más resistente pero tampoco me importa. Importante en este color no transparenta Jjjj Me lo compraré en más colores;)</t>
  </si>
  <si>
    <t>Zapatillas Muy cómodas y perfectas y envio rapido</t>
  </si>
  <si>
    <t>Buen producto Me ha gustado</t>
  </si>
  <si>
    <t>Calidad y durabilidad Muy bonito y resistente a los golpes y el agua lo recomiendo</t>
  </si>
  <si>
    <t>perfect Envio algo lento, peto normal al tratarse de un producto de Alemania. Muy contento con la compra es lo que buscaba.</t>
  </si>
  <si>
    <t>Funciona bien. Estoy contenta con ella. La utilizo en un BQ y funciona perfectamente. Esta marca siempre me ha dado muy buenos resultados en las tarjetas de memoria y discos duros, cuando tengo dudas siempre recurro a SanDisk.</t>
  </si>
  <si>
    <t>Elegante y original Nunca habia tenido un reloj tan original en el que se vea a traves del cristal el mecanismo interior en funcionamiento,, Elegante y de buena calidad y a un precio bastante razonable. Correa comoda y la puedes regular al tamaño de tu muñeca,pesa un poco.</t>
  </si>
  <si>
    <t>Casual y cómoda. Es abrigada y suave, sin bolsillos que es como me hacía falta. Lo q menos que suelta pelusas d primero. Calidad-precio recomendable</t>
  </si>
  <si>
    <t>Al principio muy bien, pero luego empezó a despìntar. Al principio me encantaba, pero cuando subieron un poco las temperaturas empezó a manchar con una especie de betún marrón. La verdad es que me gustaba muchísimo, pero despinta tanto que no solo la ropa, sino también las manos. Intentaré devolverla.</t>
  </si>
  <si>
    <t>Funciona correctamente pero la carcasa es de plástico "chinoso" Funciona correctamente, lo compre para llenarlo de películas y conectarlo al tv del salón, recién lo recibí le metí dentro 1Tb de películas y funciona correctamente, le pongo 3 estrellas porque la carcasa tiene pinta de que si te se cae se hace pedazos, es de plástico "chinoso"</t>
  </si>
  <si>
    <t>A mi novia no le gustó Le falta potencia, para remover el colocao con la leche, no le pidáis más...  A mis padres sin embargo les compré el mismo pero con 600 W de potencia y están muy contentos...  Vosotros mismos...</t>
  </si>
  <si>
    <t>Poco util No me ha gustado! Poco util , sale agua a chorro no me ha gustado no lo uso!!  Envio correcto</t>
  </si>
  <si>
    <t>Buena relación Calidad/Precio Muy buena batidora. Parece robusta y muy resistente. No tiene nada que ver con la que tenía antes. La recomiendo.</t>
  </si>
  <si>
    <t>Recomendada He probado muchas mascarillas faciales y la verdad que esta me ha sorprendido, me ha gustado mucho.</t>
  </si>
  <si>
    <t>Cumple su función - buenas calidad-precio No hace falta pagar más, las APEX hacen un buen trabajo. Si necesita algo más grueso para alguna cosa concreta siempre puedes plastificarlo dos veces (o pagar bastante más por fundas más gruesas), yo estas las veo buenas calidad-precio</t>
  </si>
  <si>
    <t>su potencia para el precio que tiene esta muy bien.lo uso con frutas congeladas y la verdad que las deshace sin problemas y además es rapida y pequeña y tiene un vaso de gran capacidad.me gusta</t>
  </si>
  <si>
    <t>Cumple y corta bastante limpio. Cumple su cometido, no lo he usado demasiado como para opinar sobre lo que durará la cuchilla afilada, pero de momento corta a la primera pasada y bastante limpio el corte. No esperes una calidad superprofesional pero te saca del apuro y siempre va a quedar mejor el corte que con unas tijeras. Trae una barra que se mueve para colocar el papel y cortar en la angulación deseada.</t>
  </si>
  <si>
    <t>Adrian Excelente servicio y producto. Ha llegado antes del tiempo previsto y correctamente empaquetado. Referente a la tarjeta debo de decir que mi primera impresión al desembalarla es que su diseño es precioso, el recubierto metálico y el tacto son muy logrados. Después de instalar drivers (facilmente descargables desde la web oficial) y conectarla la he estado probando y funciona a la perfección, una calidad mas que apta para el precio de la tarjeta, ademas con controles muy intuitivos a la vez que responden a la perfección. Además incluye infinidad de software y librerías valorados algunos en 80 euros. Una compra recomendable para quien quiera iniciarse en el mundo de la producción o para ya veteranos que no dispongan de presupuesto excesivo pero exijan calidad. Estoy contento con mi compra y muy satisfecho con la empresa. Gracias.</t>
  </si>
  <si>
    <t>Estimulación Muy bien</t>
  </si>
  <si>
    <t>ENCANTADA Bien empaquetado y buena presentación. Reloj Tous digital 700350320-Bear de acero IP rosado con correa de Silicona negra.Se lo he mandado a mi hija cómo regalo. Le ha gustado mucho. No lo he visto personalmente pero me ha mandado fotos.  Llegó en la fecha prevista. Así que por el momento todo bien. Gracias</t>
  </si>
  <si>
    <t>Inmejorable Hace poco  compré una licuadora para hacer mis zumos de fruta y me gustó pero después tengo que desmontarla entera para limpiarla y lleva mucho tiempo,con la esta batidora ahorrotiempo pues es muy fácil de limpiar y la calidad del zumo es mejor porque aprovecha más la fruta y además puedo tomarlo en el mismo recipiente donde echo la fruta para batirla.</t>
  </si>
  <si>
    <t>Comodisimas Muy cómodas, lástima que no tienen protección en el talón, pero por lo demás un acierto. Por lo que valen, no hay nada mejor.</t>
  </si>
  <si>
    <t>Se puede lavar. Tiene una textura muy suave, se calienta muy rápido. A los 60 minutos de estar utilizándola, se desconecta automáticamente.</t>
  </si>
  <si>
    <t>zapato de calidad Siempre he llevado zapato con puntera de hierro,con o sin cordones,  para trabajar en cocina, pero después de probar esto, te sientes mas cómodo, es como si tuviera cámara de aire, como en las deportivas, se notan k son de calidad, no resbalan en aceite y agua, fácil de limpiar, mangerazo con la pistola y listo, recomiendo</t>
  </si>
  <si>
    <t>Calor suave Muy buena calidad..Suave al tacto.Comoda para usar en hombros..los cubre totalmente,incluso gran parte de espalda y cuello</t>
  </si>
  <si>
    <t>He comprado ya dos pares Muy calentitas y aptas para personas mayores porque evitan resbalones</t>
  </si>
  <si>
    <t>Cris Los volvería a pedir son cómodos buena calidad del tejido y unos de los puntos importantes para mi es que no transparenta nada la ropa interior buena calidad sin duda</t>
  </si>
  <si>
    <t>es un aparato imprescindible en la cocina es un aparato imprescindible en la cocina una vez lo has usado ya no puedes dejarlo, si si si si</t>
  </si>
  <si>
    <t>Perfecto para hidratar cabello Yo lo he usado para el pelo, siempre he tenido el problema de la sequedad en el cabello y por primera vez, he encontrado un producto que de verdad me repara el cabello. Yo me lo pongo por la noche y me lo lavo por la mañana dos veces a la semana.</t>
  </si>
  <si>
    <t>Recomendable Mi bebé de 5 meses no quería ningún biberón durante el proceso de destete. Cuando probamos con el biberón-cuchara, fue nuestra salvación. Ahora le damos la leche, los cereales y las papillas de fruta con esto.</t>
  </si>
  <si>
    <t>Muy bien Muy bien. En un día lo tenía en casa.</t>
  </si>
  <si>
    <t>Encantada con la compra. Los auriculares son compatibles con mi Xiaomi y el sonido se escucha genial.</t>
  </si>
  <si>
    <t>Muy rápido en ficheros grandes, roza el rendimiento que indica el fabricante La verdad que el rendimiento que da esta muy bien para trabajar, especialmente con ficheros grandes. No es una marca que conociese antes, pero hasta hoy está funcionando perfectamente. Los test realizados indican una velocidad de 350.3 Mb/s de lectura y 81 Mb/s de escritura, probado en equipo con un i7 de última generación bastante potente. Se acerca a los 400Mb/s y 100Mb/s de escritura que índica el fabricante. Una fichero de 2gb se copia en menos15 segundos. Se extrae en 13 segundos un fichero de 3.5 gb.  El benchmark realizado da muy buena puntuación en el SeqQ32T1, pero en el resto de pruebas el rendimiento es bastante bajo, penaliza mucho en el acceso aleatorio. ¿Que significa esto?, pues si quieres arrancar un sistema operativo desde el usb y usar una distribución live te va a ir muy muy lento, tampoco te va a funcionar bien para ejecutar aplicaciones, pero para llevar ficheros de un lado a otro te irá perfecto.  No tiene ninguna luz que indique si esta funcionando.  Dentro de las memorias que he probado es de las mas rápidas, por el mismo precio tengo una sandisk que no alcanza ni los 100 de lectura https://www.amazon.es/dp/B07855LJ99/ Si ocurre algún fallo con la memoría actualizaré la reseña, de momento contento con ella.</t>
  </si>
  <si>
    <t>Es una buena calidad y para protección es eficiente. Para el trabajo</t>
  </si>
  <si>
    <t>Bonita y super práctica Espectacular estoy encantada con mi picadora es muy práctica y  a la hora de cocinar me facilita muchísimo la preparación de la comida</t>
  </si>
  <si>
    <t>Mal , decepcion Mal reacondicionado a  Precio de nuevo La bateria esta viciada o algo asi apenas llega al dia Los primeros dias pense q era por un uso no eficiente Pero ahora apenas llega al dia Cuando se levanta o giaras la muñeca no se enciende la pantalla tengo girar varias veces o hacer un giro energico Esteticamente un 8</t>
  </si>
  <si>
    <t>Pesa mucho el cubo y es incómodo Seca muy mal el suelo</t>
  </si>
  <si>
    <t>Pie de microfono Pie de micrófono, esta bien</t>
  </si>
  <si>
    <t>No estoy contento ya que me hubiese gustado probar esta marca No estoy muy contento con las zapatillas,en primer lugar las pedi 2 veces color verde y melas mandaron marrones ,yo uso un 42 pero estaban pequeñas estas dan poca talla pedi un 43 y tampoco estaba comodo tendria que haber pedido 43,5 pero me cansado d tanto pedir y devolver.</t>
  </si>
  <si>
    <t>Material baja calidad Los cierres vanmuy flojos</t>
  </si>
  <si>
    <t>Anuncio engañoso El producto se anuncia con 6 pairs (=6 pares) y solo vinen 3!</t>
  </si>
  <si>
    <t>bien Todo bien</t>
  </si>
  <si>
    <t>comodidad calidad-precio</t>
  </si>
  <si>
    <t>Tal y como esperaba Tal y como esperaba. La primera vez que me las puse me hicieron una rozadura súper desagradable en el talón.. aún no me las he vuelto a poner.. pero imagino que cuando cedan un poco serán más cómodas</t>
  </si>
  <si>
    <t>Compra muy recomendable. Excelente acabado y material de gran calidad, le doy cuatro estrellas por que con una cremallera para cerrar el interior hubiera quedado de 10.</t>
  </si>
  <si>
    <t>Diminuto y ligero Cómo podéis ver en la foto el tamaño es muy reducido lo que significa que no guardare nada importante pq lo perderé en breve. Tiene conexión USB y tipo C que he probado con mi móvil y funciona perfectamente.</t>
  </si>
  <si>
    <t>No la cambiaria por otra. La verdad es que es una pasada como limpia. Tiene potencia de sobra y con el laser no da vueltas a lo tonto como las demás...</t>
  </si>
  <si>
    <t>Encantada con la compra Me ha encantado el collar, llegó bien y en la fecha prevista</t>
  </si>
  <si>
    <t>100% recomendable Genial calidad precio, 100% recomendable</t>
  </si>
  <si>
    <t>Perfecto calidad/precio Me encantan.  Cómodas ligeras.. no me las saco y quedan bien con todo</t>
  </si>
  <si>
    <t>Genial Muy chulo!</t>
  </si>
  <si>
    <t>Calidad y comodidad Buen producto, cómodo y buena relación clalidad precio</t>
  </si>
  <si>
    <t>buena velocidad de escritura La tarjeta esta bastante bien... tiene buena velocidad de escritura... estoy contento</t>
  </si>
  <si>
    <t>Muy chulo Me encanto</t>
  </si>
  <si>
    <t>Muchísimas funciones Despertador infantil con muchísimas funciones, diferentes sonidos de alarma, sonidos de naturaleza bastante relajantes...etc. Es un regalo ideal para los niños que tienen miedo a la oscuridad, ya que tiene diferentes colores de iluminación y tiene un modo en el cual aparece en la pantalla un emoticono o carita sonriente. Además, la forma del despertador es de un tamaño ideal y tiene en los laterales unas piezas como si fueran las orejitas.  Es un despertador muy original, para niños y no tan niños.</t>
  </si>
  <si>
    <t>Contenta Perfecta , cómoda para llevar (entendiendo sus dimensiones) la compre hace tiempo ahora valoro , contentísima</t>
  </si>
  <si>
    <t>Perfecto Envio y producto cmplen espectativas</t>
  </si>
  <si>
    <t>Buena compra Más que satisfecha con la compre, talla correcta 38. Las utilize para usarlas en un lago termal y me funcionó perfecto. Fácil de limpiar</t>
  </si>
  <si>
    <t>Los recomiendo Zapatillas bonitas y cómodas. Para el precio que tienen está muy bien. Cumplen su función perfectamente. Son cómodas y de buena calidad.he quedado muy contento con éstas.Los recomiendo 100%!</t>
  </si>
  <si>
    <t>Perfectas y originales son perfectas tal como sale en la descripción del articulo</t>
  </si>
  <si>
    <t>Buen producto de momento. Valoración inicial: Ya tengo varios como este, pero de 1TB. Dado su buen funcionamiento, he comprado este nuevo. De momento, he estado copiando ficheros de diversos tamaños y funciona muy bien. Enchufado a un USB3 en un portátil nuevo he copiado, de discoUSB a discoUSB, a más de 120MB/s. Una pasada. Viene en NTFS. Lo he conectado a una tele Samsung de unos 6 años, y lo lee sin problemas. Seguiré informando.</t>
  </si>
  <si>
    <t>LAS ZAPATILLAS REEBOK DE TODA LA VIDA El pedido llegó el día marcado para ello y sin ningún tipo de problema. La talla de las zapatillas es la que me esperaba y no he tenido problema con ella ya que he seguido las indicaciones de la tabla de tallas. Son las zapatillas que me he comprado casi siempre por su comodidad y, después de probármelas, siguen siendo muy cómodas. Son unas buenas zapatillas que me salieron a buen precio aprovechando la oferta que tenían.</t>
  </si>
  <si>
    <t>Sonido increíble Me encanta!! Producto y calidad increíble. Me lo regalaron y ahora lo he comprado para regalarlo. Dura un montón la batería y el sonido es perfecto. Viene con un funda para guardarlo, con un cable para cargar y otro para enchufarlo. Son cómodos y y el precio es muy bueno. Lo recomiendo.</t>
  </si>
  <si>
    <t>Todo ok La he usado durante más de un año en una cámara de fotos y va muy bien, la captura y la grabación de las fotos es muy rápida y nunca me ha dado un problema ni en la cámara ni en el ordenador.</t>
  </si>
  <si>
    <t>Malos materiales Al principio muy bien pero como a otros usuarios ha durado un año y poco y se ha estropeado. Materiales de mala calidad</t>
  </si>
  <si>
    <t>Running Lo compre pata utlizarlo como cronómetro principalamente y para es bueno. Como reloj digital es aceptableente elegante. Yo o recomiendo nada a nadie.</t>
  </si>
  <si>
    <t>Algo pequeña Cuando lo he recibido me ha parecido muy pequeño, en la fotografías no da esa apariencia. Por lo demás el producto esta bien</t>
  </si>
  <si>
    <t>Son de plastico Es plastico, pensé q serian de piedra</t>
  </si>
  <si>
    <t>Inestable Inestable, el brazo no soporta el peso de un micro Rode, aunque lo ajusto al máximo el peso del micro acaba bajando el brazo</t>
  </si>
  <si>
    <t>Imprescindible en el día a día A pesar de poder vivir perfectamente sin una Roomba, se agredece muchísimo tenerla. Aquellos que tengáis mascotas lo entenderéis pefectamente. Somos 2 personas en casa, 1 perro y 1 gato y la casa se ensucia mucho a pesar del cuidado que tenemos. Antes de tener la Roomba, teníamos que aspirar a diario ya que sino se formaban pelusas a los 2 días y la sensación era de no haber limpiado en mucho tiempo a pesar de no ser así. Al no disponer de mucho tiempo todos los días para dedicar a las tareas del hogar, comprar la Roomba ha sido una gran adquisición ya que nos ahorra mucho tiempo (y esfuerzo!).  A nivel más técnico, decir que la Roomba 615 ha cumplido con todas nuestras expectativas. Aspira perfectamente la casa, hasta la suciedad más difícil: pelos humanos, de mascota, polvo, pero también es capaz incluso de aspirar sin problemas la arena de sílice que utilizamos para la gata (es de tamaño bastante grande). Es increíble ver como apura perfectamente las esquinas y muebles (por ejemplo, como da la vuelta y aspira alrededor de las patas de la silla). Así que, en este sentido, ninguna queja. La batería dura lo suficiente, y el resultado es muy bueno.  Aspectos a mejorar? - A veces es un poco brusca y ha sido capaz de abrir puertas que no cierran del todo bien, o ha cerrado otras que estaban abiertas. Dentro de lo que cabe es comprensible, ya que es capaz de subir pequeñas rampas y desniveles, pero quizás sería un aspecto a mejorar. - Definitivamente, lo que sería mejorable es el ruido que realiza al aspirar. Completamente comprensible debido al trabajo que realiza, pero puede resultar molesto si se está en casa (aunque no sea en la misma habitación). Como solucionarlo? Poner la Roomba cuando no se está en casa, o hacerlo en 2 tandas, cerrando puertas de por medio (el sonido se aisla bastante si hay una puerta cerrada).  Si la recomiendo? Sin duda. Ahorro de tiempo y esfuerzo todos los días, y la casa termina estando siempre más limpia.</t>
  </si>
  <si>
    <t>Anchos Son buenos y mi hijo no quería beber en biberón y estos si los quiere Creo que es porque los puede agarrar bien con sus manos bebé de 10 meses</t>
  </si>
  <si>
    <t>Buena opción para cámaras y otros dispositivos Opción asequible si no tienes grandes necesidades. Si vas a hacer ráfagas en RAW a 30 megapíxeles o a grabar horas de vídeo en 4K, seguramente no te sirva ni por velocidad ni por capacidad. Si no has entendido la anterior frase, o tus necesidades son más básicas, te irá bien. Mira también la opción de 32GB, porque no hay gran diferencia de precio.</t>
  </si>
  <si>
    <t>Bastante bonitos No están mal pero son un poco pesados.</t>
  </si>
  <si>
    <t>Súper cómodos Llegaron enseguida y lo mejor, es que son súper cómodos, como si no llevaras nada, pero al mismo tiempo sujetan el pecho. Si que es verdad, que para hacer deporte no sirven.</t>
  </si>
  <si>
    <t>Muy práctica y bonita &lt;div id="video-block-R3T3WX1RFAYUBS"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id="31" preload="auto" src="https://images-eu.ssl-images-amazon.com/images/I/A1ABau-UFBS.mp4" style="position: absolute; left: 0px; top: 0px; overflow: hidden; height: 1px; width: 1px;"&gt;&lt;/video&gt;&lt;/div&gt;&lt;div id="airy-slate-preload" style="background-color: rgb(0, 0, 0); background-image: url(&amp;quot;https://images-eu.ssl-images-amazon.com/images/I/81wXDgMp4jS.png&amp;quot;);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value="https://images-eu.ssl-images-amazon.com/images/I/A1ABau-UFBS.mp4" class="video-url"&gt;&lt;input type="hidden" name="" value="https://images-eu.ssl-images-amazon.com/images/I/81wXDgMp4jS.png" class="video-slate-img-url"&gt;&amp;nbsp;Excelente licuadora, es muy pequeña práctica y fácil de llevar a cualquier sitio . Materiales de muy buena calidad y cuchilla de cumple perfectamente con la función que ofrece en el anuncio. Muy fácil de limpiar. Ideal para viajar por su tamaño.</t>
  </si>
  <si>
    <t>Correcto con la descripción Recibido tres dias antes ok. Puesto en funcionamiento realizando los ajustes pertinentes, funciona perfectamente, según se describe en sus características. Esperemos que la durabilidad del producto sea igual de satisfactoria.Recomendable su compra para usos no profesionales ni excesivamente exigentes.</t>
  </si>
  <si>
    <t>Buena calidad Tiene muy buena calidad y su precio es pequeño</t>
  </si>
  <si>
    <t>Zapatillas deportivas En la foto las franjas son grises ,que es lo que pedí . Y las mandan de color azul. No es tal cual pone en la fotografía.</t>
  </si>
  <si>
    <t>Estupenda compra....volvere a repetir en breve Estupendo. La talla perfecta y tiene buen agarre. No se cede. Supercomodo. Tirante muy resistente y al ser más ancho que en uno normal no deja huella en los hombros. Llegó antes de lo esperado.</t>
  </si>
  <si>
    <t>Un 10 Ideales. Calidad precio inmejorable</t>
  </si>
  <si>
    <t>Perfecto Se corresponde con lo comprado</t>
  </si>
  <si>
    <t>Disco SSD económico. Buen producto, un disco SSD de 120 gb con el que poder dar una segunda vida a equipos antiguos o con poca potencia. El disco tiene un aspecto identico a otros que tengo de marca más reconocida, aparentemente la misma calidad, se nota la velocidad. Producto totalmente recomendable siempre y cuando no necesitemos capacidad de almacenaje.</t>
  </si>
  <si>
    <t>Buen producto en general. Buen sonido. Que sea de plástico no es tan importante ya que la función de este artículo es de audio. Aparentemente es elegante. Se adapta muy bien al oído y te cancela correctamente los ruidos ambientales. ¿Recomiendo este producto? Totalmente. - Valor añadido: La aja viene muy elegante, con una bolsa para guardar los auriculares. Prestan atención a los detalles. Eso es valor añadido y eso es valor de marca.</t>
  </si>
  <si>
    <t>Almohadilla eléctrica Según mi madre y tía que eran para ellas geniales</t>
  </si>
  <si>
    <t>Me ha gustado. Sostiene bien el libro y tiene buen tamaño.</t>
  </si>
  <si>
    <t>Bolsa de agua de toda la vida. 100% satisfecho bosla de agua de toda la vida muy contento con la compra muy buena calidad y la funda de tela  es perfecta</t>
  </si>
  <si>
    <t>Masajes gratificantes, fácil uso y gran eficacia. Siempre he querido tener un masajeador de este tipo, ya que me suele doler mucho la espalda a causa de mi trabajo. El masajeador cumple su función. Me ayuda mucho apaciguar el dolor.</t>
  </si>
  <si>
    <t>Muy buena calidad Muy practica</t>
  </si>
  <si>
    <t>PERFECTO me vino de perlas bastante amplio y es comodo de llevar me gusta</t>
  </si>
  <si>
    <t>Bueno y bonito Me encaja perfectamente, es una zapatilla de.buena calidad y ademas es bonita.</t>
  </si>
  <si>
    <t>Alivio de contracturas Cuando lo compre no creía que tendría esa calidad, pensé que sería algo cutre pero ha sido todo un acierto su compra.</t>
  </si>
  <si>
    <t>. Está bien, pero el mio llegó doblado y sin las plumas de colores</t>
  </si>
  <si>
    <t>Bonito pero PEQUEÑO Bonito en forma y color pero PEQUEÑO COMPARADO CON LOS CASIOS G SHOCK... no es un tanke que era lo que buscaba pero bueno...</t>
  </si>
  <si>
    <t>Pasable Un poco diferentes a como las esperaba, pero bien</t>
  </si>
  <si>
    <t>Dejó de funcionar sin más Iba todo muy bien y a los 6 meses ha dejado de funcionar. Simplemente se apagó y no volvió a encenderse</t>
  </si>
  <si>
    <t>Suela de muy mala calidad La suela de estos zapatos es bastante mala trabajo de conductor y me duraron 2 semanas, en ese periodo la suela se había desgastado simple uso de los pedales vehículo.</t>
  </si>
  <si>
    <t>Antonio Cable midi de calidad aceptable, longitud adecuada.  El cable reúne las cualidades que tiene que tener. Conexión  buena. Buena transmisión  de midi</t>
  </si>
  <si>
    <t>Pronadores, aquí! Zapatilla para pronadores que supuestamente es de las más top que hay. Pero también es de las más puras. Corrige bastante la pisada, pero no tiene ningún tipo de tecnología aplicada para darte un plus en la carrera,la energía que inviertes es la que hay. Un pelín estrechas pero nada que no se solucione cogiendo media talla más o cambiando la lazada</t>
  </si>
  <si>
    <t>LOS MEJORES AURICULARES BLUETOOTH Sin duda de todos los auriculares bluetooth que he podido probar estos son los mejores, pero de largo.  Para empezar son los únicos que he probado que cuentan con USB tipo C para cargar la caja por lo que solo por eso ya merecen la pena ya que cuentan con la última tecnología de carga, además de ser más rápida.  Su control es totalmente táctil, no cuenta con ningún botón, por lo que para subir y bajar volumen, pasar de vídeo o canción o retroceder se realiza dando toques en el auricular.  En cuanto a la calidad de sonido no tiene rival, son los mejores. Se escuchan muy fuerte y los graves son espléndidos, no tengo ninguna pega en este apartado. La duración de la batería es también muy buena, dándome hasta 4h de uso sin problemas. En cuanto a la carga completa de estos auriculares no lo se con certeza pero creo que no llega a la media hora.  Como pequeña pega diría que la caja no me termina de convencer, es curioso que sea circular y haya que pulsar un botón para acceder a los auriculares pero no me termina de convencer.  Por el precio que tienen y la calidad que ofrecen no podemos pedir más, compra recomendada.</t>
  </si>
  <si>
    <t>Realizado devolución Hola se han devuelto ya con etiquetas distintas un saludo, el motivó tamaño más pequeño.</t>
  </si>
  <si>
    <t>FUNCIONAL DESEABA UN BOLSO CON VARIOS DEPARTAMENTOS. ESTE ME HA RESULTADO "BASTANTE" ADECUADO.</t>
  </si>
  <si>
    <t>Irma Quedan como un guante. Este modelo es más estilizado  y cuando caminas  es como si pisaras "goma espuma".El rojo es vivo y quedan genial con jeans</t>
  </si>
  <si>
    <t>Muy recomendable Súper naturales y el olor bastante suave.</t>
  </si>
  <si>
    <t>Buen producto Cumple perfectamente su función, es rápido y barato. El ordenador lo reconocio a la primera y es rápido en conectarse y en copiar archivos.</t>
  </si>
  <si>
    <t>Gran opción en oferta De vez en cuando suele poner en amazon las estas Vans en diferentes colores por 20€ o incluso menos. Momento ideal para hacerse con algunas.  En mi caso quizás tallen en niños 1/2 numero mas grande que ottas marcas</t>
  </si>
  <si>
    <t>Pega todo Lo utilice para pegar un plafón y tras varios meses esta aguantando perfectamente. Compraré mas cuando se acabe. El aplicador es perfecto.</t>
  </si>
  <si>
    <t>Muy buena calidad del sonido La nitidez del sonido es lo mejor, el cable es de buena calidad y sin muy cómodos, recomiendo el producto</t>
  </si>
  <si>
    <t>Gran Invento Marca la diferencia a la hora de organizar los cables, cargadores, auriculares, etc, te da la vida. 100 unidades por 10 euros, cuando en Leroy Merlin te cobran 5 euros por 4 o 5 tiras de colorines estridentes y se quedan tan agusto. Esto es increible, le pongo 5 estrellas y al inventor es para sacarle a hombros</t>
  </si>
  <si>
    <t>Muy buenos Comodos.faciles de usar y de limpiar.</t>
  </si>
  <si>
    <t>Calidad-Precio Excelente Calidad-Precio excelente. Muy bien acabado y dispone de una funda aparentemente muy resistente.</t>
  </si>
  <si>
    <t>Muy bueno Me ha gustado mucho. Queda perfecto. Es transparente. Fácil de aplicar.</t>
  </si>
  <si>
    <t>Colores fuertes Si no te importa los colores fuertes, aqui tienes unos buenos calcetines. Uso para entrenar en el gimnasio o caminar/trotar.</t>
  </si>
  <si>
    <t>MUY FAVORABLE LA ÚNICA PEGA ES QUE LA AGENCIA POR DONDE ME LO ENVÍAN AQUÍ EN CÁCERES TIENEN EL HORARIO COINCIDENTE CON MI TRABAJO Y EL ALMACEN CENTRAL ESTÁ A KMS. DE DISTANCIA, SON CUADRICULADOS EN LE HORARIO Y TENGO QUE ESTAR DE CABEZA CON ELLOS,</t>
  </si>
  <si>
    <t>estupendo estupendo era un reglao y llego a timepo son de calidad</t>
  </si>
  <si>
    <t>Perfecto La entrega fue rápida y el bolso tal como se describe en medidas y como sale en la foto. De bastante calidad e ideal para llevar pequeñas cosas de forma cómoda sin tener que deformar los bolsillos del pantalón. O como plus para por ejemplo llevar una cámara pequeña de fotos de viaje, puesto que tiene un buen acolchado y es bastante impermeable. Multibolsillos y correa de enganches de calidad, confortables y a medida.</t>
  </si>
  <si>
    <t>Verbatim 43551 + DVD+R 100 Unidades El envío súper rápido, de un día para otro, y la calidad quien no lo sepa, son de lo mejor. Puedo decir que alguno de los DVDs que me he encontrado de momento presenta como un corte en el final de la pista. Pero no me he encontrado con problemas al leerlo. De momento de 10 Uds, 1 salió con ese defecto visual aparentemente sin problemas. Perfecto, recomiendo.</t>
  </si>
  <si>
    <t>Fácil y sencilll Fácil de usas y de despegar de su paquete original</t>
  </si>
  <si>
    <t>Regular La carpeta es muy chula pero al final no ha llegado a terminar el curso, ni siquiera un trimestre. Está bien de precio pero creo que no la volveré a comprar.</t>
  </si>
  <si>
    <t>¿Es normal que venga esta cantidad en el bote? Parece que le falta pegamento y por el precio que cuesta debería de venir hasta arriba, no viene ninguna garantía que sea nuevo (El plástico del embalaje esta cerrado pero hay maneras de abrirlo sin rajar el envase), no traía ningún tipo de tapón que garantice que no fue usado anteriormente.</t>
  </si>
  <si>
    <t>Sudor permanente Se acumula un charco de sudor bajo la plantilla ortholite, pasa en todos los modelos de XA PRO que he tenido. Y en los modelos con goretex se nota más aun porque la ventilación es menor al ser la trama más ajustada. Humedad permanente en la planta del pie y calcetines mojados. Por lo demás bien, son bonitas, versátiles porque también las puedes llevar con jeans, y duraderas.</t>
  </si>
  <si>
    <t>NO es 3.0 Como dicen en otros comentarios la velocidades de lectura/escritura no son de un 3.0. Publicidad engañosa. Las velocidades son de 2.0. Por lo demás es como dicen.</t>
  </si>
  <si>
    <t>Muy dudoso Ojo el reloj ya fue utilizado, llega sin ningún tipo de precinto y  a los dos minutos de pornelo en la muñeca ya no funciona el analógico No comprar a sido devuelto</t>
  </si>
  <si>
    <t>Buen sonido No aíslan (como ya sabía) pero se escucha muy bien, sin ruido de fondo ni nada.</t>
  </si>
  <si>
    <t>Bueno pero grande. En general es una buena bandolera. Buen material. Buenos acabados. Buena tira regulable y ancha. Pero demasiado grande para las pretensiones que tenía quería un bolso más manejable y esta era tipo universitario para poder llevar casi un MacBook Air de 11 pulgadas. O un iPad grande. LO devolví y al final me compre uno más pequeño con el que estoy muy satisfecho.</t>
  </si>
  <si>
    <t>Un hervidor comodísimo y rápido Excelente hervidor, rápido, cómodo y muy silencioso. Perfecto para hervir hasta cinco tazas en un minuto. Único problema: el cable de corriente es excesivamente corto.</t>
  </si>
  <si>
    <t>Me gusta Forma ingeniosa de tener los cables de casa ordenador y ocupando un espacio ínfimo. La única pequeña pega es el engorro de tener que ir metiendo los cables. Pero merece la pena.</t>
  </si>
  <si>
    <t>Buena relación calidad precio &lt;div id="video-block-R2TEG5OKUVW4W3"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src="https://images-eu.ssl-images-amazon.com/images/I/71m6VL2QO9S.mp4" style="position: absolute; left: 0px; top: 0px; overflow: hidden; height: 1px; width: 1px;"&gt;&lt;/video&gt;&lt;/div&gt;&lt;div id="airy-slate-preload" style="background-color: rgb(0, 0, 0); background-image: url(&amp;quot;https://images-eu.ssl-images-amazon.com/images/I/81AtMETlU7S.png&amp;quot;);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center;"&gt;0:03&lt;/div&gt;&lt;div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value="https://images-eu.ssl-images-amazon.com/images/I/71m6VL2QO9S.mp4" class="video-url"&gt;&lt;input type="hidden" name="" value="https://images-eu.ssl-images-amazon.com/images/I/81AtMETlU7S.png" class="video-slate-img-url"&gt;&amp;nbsp;Me la he comprado para mezclar batidos  de proteínas.  A destacar: vienen dos vasos, q no todas lo traen, para eso tiene suficiente potencia. Lo que menos me gusta: - que la dirección para apretar los vasos a las cuchillas es la misma que para encajarlo al motor, con lo que hay que apretarlo mucho a las cuchillas si no quieres que al desencajarlo cuando este hecho se te derrame encima del motor, rompiendolo.  - solo trae la medida de 600 ml  - pone que es del mismo material que los biberones, pero los biberones si de pueden meter en el lavavajillas pero los vasos no.  Uno de los vasos venia con una rajita donde se engancha, pero a mi eso no me importaba porque no me hace falta</t>
  </si>
  <si>
    <t>Calidad Muy buena calidad</t>
  </si>
  <si>
    <t>Ligero, cómodo y "barato" Pantalón muy cómodo. Es Ajustado, prácticamente como unas mallas. Es elástico y ligero. Lo he usado para correr acostumbrado a prendas compresivas o mallas y me ha parecido comodísimo sin rozaduras. Precio BRUTAL, he comprado 2, para ser una prenda under armour muy barata. Tal vez si hace frío se queda corto de capa.</t>
  </si>
  <si>
    <t>Buen dispositivo. Funciona bien y rápido. Solución perfecta para intercambiar archivos entre dispositivos. Robusto y bien acabado. Si fuese un poco más pequeño sería perfecto, aunque el tamaño entra dentro de lo razonable/manejable. Soporte en español.</t>
  </si>
  <si>
    <t>Todo bien Todo perfecto</t>
  </si>
  <si>
    <t>Buenas zapatillas Buen precio para estas maravillosas Saucony.He tenido que pedir1\2 número más eso si.</t>
  </si>
  <si>
    <t>Regreso al futuro 1 Hay q pedir una o dos tallas más grande, por lo demás perfecto.... Quedan genial</t>
  </si>
  <si>
    <t>5 estrelas Ótimo produto!</t>
  </si>
  <si>
    <t>Más eficiente que otras batidoras antisalpicaduras. Mucha potencia, pero con control Me parece de momento, una de las mejores batidoras del mercado que se pueden encontrar por este rango de precios, ya que auna las 3 cosas más importantes que puede tener una batidora bajo mi punto de vista y experiencia de más de 25 años metido en cocinas, tanto profesionales, como domésticas.  1.- El diseño del brazo antisalpicaduras, es efectivo (quizá no tanto como otros), pero los agujeros que tiene, haces que puedan pasar por ellos los líquidos o alimentos que trituremos, con lo cual, a diferencia de las que no llevan estos agujeros y con plenamente antisalicaduras, ésta Taurus, sí que crea un vórtice al batir, lo que hace que los alimentos queden más finos en menos tiempo, castigando así menos la máquina, pero sobre todo, mejores acabados.  2.- La alta potencia de la máquina, que para ser de brazo, es de lás más altas que he visto, hacen que sea apta para todo tipo de alimentos y preparaciones, con especial mención a los más duros. Por ejemplo, una crema de almendras, la deja casi como el caldo de la sopa. Pero lo mejor, es que tiene un regulador de 20 velocidades, así que, no sólo es potente, sino que si necesitamos que sea cuidadosa con otro tipo de alimentos, o cuando le conectamos accesorios, podemos bajarla al mínimo o a un término intermedio, y conseguir los resultados exactos. Mahonesas, batir claras a punto de nieve, emulsionar, purés, salsas, incluso hielo casero, nada se le resiste y para cada cosa, su punto en la batidora.  3.- El brazo de acero inoxidable, tiene dos grandes ventajas respecto a otros modelos. Una, es que es más largo de lo habitual, lo que nos permitirá usarla en ollas hondas sin ningún problema, y la otra, es que la conexión del brazo con el motor, en la parte del eje, es lo suficientemente robusta para que dure años.  Esas son las cosas por las que creo que este es un gran producto. Potencia, buena regulación de velocidad y buen enganche del brazo.  Ahora bien, para que sea duradera en el tiempo, sobre todo, por la cantidad de watios que tiene, yo tendría en consideración varios factores. -No usar la máxima potencia durante largos periodos de tiempo, máxime si estamos en épocas de calor. Al no estar ventilado el motor, puede resultar mortal para la misma. Usar con cuidado y no someterla a grandes ciclos de trabajo a máxima potencia. Con menor potencia, no es problema el uso continuado. Lo digo, porque he quemado unas pocas por esto mismo 😂 - Intentar lavar el brazo siempre a mano. Aunque aguante temperaturas extremas, el lavavajillas, sobre todo si se usa a 70ºC, termina dañando las cuchillas con el tiempo. Mejor lavar en agua templada a mano. Tampoco es tanto trabajo y durarán las cuchillas años afiladas.  Para terminar, yo he recibido para probar la que lleva los accesorios de vaso picador y varilla de batir. Ambos me parecen buenos accesorios, sobre todo el vaso picador, que tiene las paredes ovaladas, y hace que, por ejemplo, al picar cebolla, no se quede tanto resto en las paredes y retorne abajo para seguir picándola. Me parece un diseño más que acertado.  La varilla, flexible, de buena calidad, en la media de las que he probado hasta ahora. No destaca en esto, pero es bastante buena.  Por último, el vaso, es tan estrecho como la base de la batidora, con lo que se adapta perfectamente para picar todo tipo de alimentos, y especialmente bueno para hacer mahonesa, ya que sólo tienes que ir subiendo el brazo ligeramente, con lo que es casi imposible cortarla.  En definitiva, creo que por este precio, no vas a encontrar muchas batidoras con este nivel de potencia y con regulador de tanta intensidad. Si hubiera una palabra para definirla, sería “polivalente”, porque ni te falta potencia para nada en especial, es delicada si se pone a bajar revoluciones, y su brazo antisalpicaduras, es mejor que otros, por dejar fluir entre los agujeros y crear vórtice.  Compra recomendada. 5 estrellas.</t>
  </si>
  <si>
    <t>Cómodo y bonito Muy bonito y bien acabado del zapato. Van más cómodo de lo que imaginaba</t>
  </si>
  <si>
    <t>Calidad precio muy buena Me llegó muy rápido y todo perfecto la verdad que muy contenta con el producto.</t>
  </si>
  <si>
    <t>Muy buenas Tengo una amplia coleccion de consolas y queria los cables bien colocador y compre estas bridas de velcro y me han ido muy bien, son de calidad buena y queda muy bien puestas</t>
  </si>
  <si>
    <t>buen producto Muy buen producto, se puede lavar en lavaplatos, a mi hija le costó dejar el pecho, solo con estos biberones ha aceptado la leche de fórmula.</t>
  </si>
  <si>
    <t>Muy bien Suena mucho mejor que otros micrófonos que tenía. Para mi, muy recomendable.</t>
  </si>
  <si>
    <t>Cómodo Era para un regalo y ha sido un acierto. Es cómodo, de algodón bueno, y tiene un corte muy bonito.</t>
  </si>
  <si>
    <t>Perfecto Era lo que quería un exprimidor que no ocupase mucho. No se traba uando exprimes las naranjas. Funciona correctamente y además tiene la opción de tener más pulpa o menos, así que estoy encantada porque ya no me tengo que colar después el zumo.</t>
  </si>
  <si>
    <t>Recomendable calidad-precio En perfectas condiciones, funciona perfectamente</t>
  </si>
  <si>
    <t>No es calzado puramente de invierno con este acabado Ha llegado todo perfecto. El producto es tal cual se ve en las imágenes y es producto original. La parte de tela es aireada, por lo que si lo que se quiere es un calzado de invierno, aconsejo mirar este modelo pero que sea más cerrado y no tenga este tipo de tela, los hay en piel y en tela no aireada, así no entrará aire frío en los pies</t>
  </si>
  <si>
    <t>Cascos Bluetooth deportivos Son muy cómodos,  ya que el apéndice que rodea la oreja es muy flexible,  pero sujeta muy bien el casco al hacer ejercicio.  Tienen buena potencia y calidad en el sonido.  Buena compra para hacer deporte.</t>
  </si>
  <si>
    <t>Mejor de lo esperado Supera las expectativas, calidad de los materiales, potencia, ruido, por el momento cumple con todo. Fantastica batidora de mano mas q suficiente para un hogar.</t>
  </si>
  <si>
    <t>De seis iguales comprados en un año han llegado dos rotos He comprado a lo largo del pasado año 6 unidades de este disco duro y dos han llegado rotos. El último hoy mismo. El primero con un claro ruido metálico y no pudiendo hacer el spin-up. El último de hoy mismo (ya en proceso de devolución) emitiendo un pitido cada dos segundos y tampoco girando.  Realmente no sé si es baja calidad de estos discos o si Amazon está re-enviando como nuevos los devueltos por otros compradores. En el caso de hoy me llegó en una caja que dejaba mucho que desear y sin nada de papel de burbuja como los demás.  Agradezco la facilidad de devolución de estos DOA pero crea un inconveniente cuando no tienes tiempo para perder en todo este proceso</t>
  </si>
  <si>
    <t>Buenos auriculares, pero... Son exactamente los mismos auriculares que venían en mi Samsung S3 Neo, y que se me estropearon al quebrarse el cable que llega al auricular. Tienen buena calidad de sonido y me gusta que pueda manejarse desde el control que lleva el propio cable (permite dar volumen, pausar, avanzar y retroceder, así como hablar cuando te llaman, o dar instrucciones vocales al asistente), pero.... llevan camino de estropearse de nuevo, pues un auricular ya comienza a fallar. Su punto débil es el cable cerca de los auriculares y del propio jack, y aunque sabiéndolo, nada más comprarlos los reforcé con cinta aislante, simplemente he alargado un poco más su duración.  Aunque también hay que tener en cuenta, que por el precio que tienen, puedes cambiarlos cada año ;-)</t>
  </si>
  <si>
    <t>Reebok princess Los Reebok tienen dos meses y medio y se le levantó toda la piel y ahora voy a hacer la devolución y me dice que ya se acabó el plazo. Me parece que un mes solo para devolver no es correcto.</t>
  </si>
  <si>
    <t>Chafado y doblado Me llego chafado y doblado no lo volvería a comprar</t>
  </si>
  <si>
    <t>Los auriculares son una BASURA Una compra muy mala. Tardaron casi tres meses en llegar y duraron exactamente dos días. Al segundo día de utilizarlos el auricular izquierdo dejó de funcionar sin ningún motivo (golpe, caida, etc). No los recomiendo para nada, los 3 euros que cuestan no merecen la pena, ni la espera.</t>
  </si>
  <si>
    <t>Similar al producto original El producto es correcto, aunque el color de la cinta es un poco más amarillento que el original blanco. Por lo demás, es un producto completamente satisfactorio</t>
  </si>
  <si>
    <t>un poco grande Material perfecto, lo unico que destacaria es que pudiese ajustarse un poco mas, tengo la muñeca bastante estrecha y ajustandola al maximo que da me sigue quedando un poco floja.</t>
  </si>
  <si>
    <t>genial Tallaje perfecto, y calidad esperada. Se nota que es un producto bueno. Además lo compre a buen precio 115 euros</t>
  </si>
  <si>
    <t>Buena calidad precio Bonitos, bien en calidad precio aunque algo pequeños</t>
  </si>
  <si>
    <t>Buen producto Es de un buen tamaño y de momento aguanta el trato todo terreno que le doy cada día, muchos bolsillo para meter muchas cosas sólo le tengo que dar un comentario negativo, la correa para contarle es demasiado corta tendría que llevar unos centímetros más,  por lo demás está muy bien.</t>
  </si>
  <si>
    <t>Ideales Bonitas y muy cómodas. Saucony es acierto seguro. Ya es el tercer par que compro.</t>
  </si>
  <si>
    <t>Tela muy fácil de limpiar, impermeable y muy buena capacidad A mí pareja le ha encantado. La capacidad para poder llevar tablet y demás es perfecta. La tela se limpia con un panorama húmedo y queda perfecto.</t>
  </si>
  <si>
    <t>Comodidad Perfectas y muy cómodas! Tallan un poco más del número habitual</t>
  </si>
  <si>
    <t>ideasles si tienes el saca leches La bolsitas que vienen de congelación son perfectas, porque vienen con una tira que cuelgas en el saca leches, y directo a la nevera/congelador, y  te ahorras el esterilizar biberones, por otro lado los recipiente me han venido de perlas para guardar la leche que el bebe iba a tomar ese dia, o incluso congelarlo, ahora la tetina calma, tengo que decir que mi bebe no se hizo a ella, le costaba mucho succionar, y al final se cansaba de no sacar nada, y nos fue imposible que te tomara un biberón con esa tetina.</t>
  </si>
  <si>
    <t>muchas gracias por el envio, vino en perfecto estado gracias me gustó mucho y es perfecto vino en muy buen estado y las cápsulas caen perfectamente estoy muy contenta</t>
  </si>
  <si>
    <t>Muy buena batidora Se trata de una batidora de vaso de una marca de referencia en electrodomésticos y con unas buenas prestaciones.  El conjunto se conforma de dos piezas, base y vaso. Desde el primer contacto con ella, se nota que estamos ante un producto de buena calidad, fundamentalmente por los materiales y la robustez que a simple vista parecen tener todos los componentes. Incluye un libro con el manual y algunas recetas.  Las cuchillas vienen incluidas en el propio vaso, de mas de 2l de capacidad, mas que suficiente. El vaso pesa bastante, es de cristal y aguanta altas temperaturas. Me ha resultado en general bastante discreta, no es demasiado voluminosa, ya que el conjunto jarra-base ocupa bastante menos que otros modelos que he podido probar.  Respecto a su funcionamiento, se comporta como se esperaba, puede sin problemas con cualquier alimento que he probado. Dispone de una ruleta con la que podemos controlar la potencia y tiempo de batido de forma manual, o bien seleccionar alguno de los presets de los que dispone.  Como mecanismo de seguridad, la batidora no funciona si la jarra no se encuentra bien situada en la base y asegurada. Para ello, hay que encajarla y girarla hasta que el tope. Es útil para evitar que la batidora se ponga a funcionar accidentalmente y podamos tener un susto.  La base es muy estable y no se mueve nada, aun a máxima potencia. Cuenta con unas ventosas que evitan que se deslice por la encimera.  Poco mas que añadir, por el momento, todo lo que he intentado hacer con ella, ha salido como esperaba, por lo que de momento estoy muy contento con ella.</t>
  </si>
  <si>
    <t>Comodas, practicas y bonitas. COMODAS Y PRACTICAS Són muy COMODAS, practicas y bonitas faciles de limpiar.Muy contenta con la compra...voldria a comprarlas otra veu</t>
  </si>
  <si>
    <t>Muy buen producto Es resistente y tiene buena relacion calidad/precio.</t>
  </si>
  <si>
    <t>buena potencia me ha sorprendido la velocidad y potencia que tiene la batidora, de momento muy contenta con ella y recomiendo totalmente su compra porque relación calidad precio es insuperable</t>
  </si>
  <si>
    <t>Muy satisfecho Muy buena relación calidad - precio .</t>
  </si>
  <si>
    <t>Perfecto para Yamaha Clavinova cl-625 Justo lo que necesitaba para manipular los controles de mi piano Yamaha Clavinova cl-625 funciona perfecto con el iPhone XS. Recomendado y barato.</t>
  </si>
  <si>
    <t>Bien Cumple con las características.</t>
  </si>
  <si>
    <t>Practico y barato Funciona como uno de categoria superior pero es mas economico</t>
  </si>
  <si>
    <t>Relación calidad-precio superior! No pesa nada, tiene mucha fuerza y va muy muy suave. El mejor exprimidor con diferencia que he comprado. Y relación calidad precio superior!</t>
  </si>
  <si>
    <t>fantástico sujetador deportivo muy cómodo y, además, mono</t>
  </si>
  <si>
    <t>Cómodo y útil Pequeño y perfecto para sujetar los apuntes</t>
  </si>
  <si>
    <t>Pequeños y ultrafinos Estos adhesivos de doble cara son perfectos para fotografías ya que son pequeños y ultrafinos, además la propia caja incluye un dispensador que hace más práctico el sacar los adhesivos.</t>
  </si>
  <si>
    <t>Lo que esperaba Son muy bonitos, tal y como se ve en la foto. Son de tamaño medianos y no pesan nada!! Quedan muy bien!</t>
  </si>
  <si>
    <t>Zapatillas de deporte Muy cómodas y buena calidad</t>
  </si>
  <si>
    <t>Quedan super chulos Me encanta el diseño. Tamaño perfecto porque más grandes no quedarían bien. Da igual la edad que se tenga para llevarlos porque lo bonito queda bien a cualquiera. Soy super alérgica y no tengo problemas.</t>
  </si>
  <si>
    <t>La imagen es mejor que la realidad La imagen publicitaria es muy atractiva. Luego resulta pequeño. Por lo demas esta muy bien. A pesar de la crítica es recomendable con la advertencia que el tamaña en la foto engaña</t>
  </si>
  <si>
    <t>Aparatoso pero bien Funciona muy bien y se conecta al dispositivo bluetooth fácilmente. El cargador va bien. Carga rápido y dura aceptablemente. A demás avisa bastante rato antes de acabarse la bateria con una locución que va repitiéndose periódicamente. Como negativo diré que no es muy ergonómico, y a pesar de que se sujeta bastante bien en la oreja, sobresale mucho por lo que no es ni mucho menos disimulado. Al tocarlo , cae fácilmente.</t>
  </si>
  <si>
    <t>se caen con facilidad Se oyen bien, pero se caen con facilidad. Ni ventosa ni nada, a poco que te muevas se van al suelo. Me imagino que por el precio que tienen no se puede pedir mas</t>
  </si>
  <si>
    <t>Ni parecido a la foto Ha llegado con 18 días de retraso y nada q ver con la foto, pequeño y no es ni parecido a la foto</t>
  </si>
  <si>
    <t>mal cable Se despelacha, tienes que mover el cable para que funcione porque tiene orgura y lo compre hace 7 meses, si un cable no te dura ni un año yo que se que quieres que te diga bueno no es.</t>
  </si>
  <si>
    <t>Muy buen sonido, materiales un poco malos Por lo general perfecto, funcionan muy bien. La estructura es un poco endeble, pero son muy cómodos y suena muy muybien. Recomiendo amplificador.</t>
  </si>
  <si>
    <t>Camiseta muy justa Camiseta pequeña se ponen en contacto conmigo y se soluciona el error</t>
  </si>
  <si>
    <t>Unas buenas fundas a muy buen precio Son unas fundas transparentes, fuertes y grandes, a muy buen precio, así que son estupendas. Las compraré de nuevo cuando acaben.</t>
  </si>
  <si>
    <t>TAL COMO SE ESPERABA se recibio dentro del plazo anunciado, sin demoras. Medidas de acuerdo con la talla solicitada. Calidad aceptable, no se encoje ni se destiñe con el lavado.</t>
  </si>
  <si>
    <t>todo correcto Voy a escribir algunas cosas pero se resume todo en que son iguales que los originales, pero como la opinion no puede ser tan corta pues dire que el color es igual, el tamaño igual, el pegamento que pega la etiqueta es igual y yo creo que con esto sera ya bastante largo el comentario.</t>
  </si>
  <si>
    <t>Excelente Por su estética y su precio, resulta una de las memorias USB más atractivas en el mercado.  Su diseño simple, en el que solo te tienes que preocupar de enchufarlo y no tienes que andar lidiando con tapas o cualquier otra cosa del estilo, lo hace extremadamente práctico.  Además, 32 GB de memoria por menos de 10 € es un chollo.  Resumen: - Diseño atractivo y práctico. - Relación capacidad almacenamiento/precio inmejorable.</t>
  </si>
  <si>
    <t>Tetera Muy bonito y practico, exactamente lo que yo esperaba.</t>
  </si>
  <si>
    <t>Grandes auriculares Muy buenos auriculares. Calidad de construcción muy robusta y muy cómodos. Sonido muy bueno, ligeramente perfil en U, buena separación de instrumentos. Necesitan amplificación sí o sí. En el portátil utilizo un Asus U3 y en el xduoo un topping nx1a. Suenan mejor con el topping, ya que es más potente y neutro en la amplificación. Sin amplificación suenan muy, muy bajo y con una calidad de sonido deficiente.Venía de unos Takstar hi2050, que se estropearon y he notado mejora en el sonido.</t>
  </si>
  <si>
    <t>La calidad Calidad precio inmejorable</t>
  </si>
  <si>
    <t>Preciosas Perfecta descripción, comodisimas, muy bonitas, quedan genial y envio muy rapido, no tengo nada más que añadir, las recomiendo 100 x 100</t>
  </si>
  <si>
    <t>Calidad aceptable Tiene buen tamaño y es cómoda de llevar. La calidad del material es muy básica, pero suficiente para hacer su función.</t>
  </si>
  <si>
    <t>Álbum de calidad Lo he comprado ya varias veces para reportajes de bodas, concretamente para un Fotomatón y es perfecto para ello.</t>
  </si>
  <si>
    <t>O.K. Todo correcto y a muy buen precio.</t>
  </si>
  <si>
    <t>Recomiendo Bueno</t>
  </si>
  <si>
    <t>Buenos cascos para el dia a dia Genial fue un regalo y la persona quedo encantada, pude personalmente probarlos un poco y tienen una calidad increible de sonido.</t>
  </si>
  <si>
    <t>Originales Eran para regalar,la talla es la que se utiliza normalmente, cumplía totalmente las expectativas.. cómodos y bonitos</t>
  </si>
  <si>
    <t>Perfecto Un gran libro, que te consigue enganchar para el segundo</t>
  </si>
  <si>
    <t>MUY PRÁCTICO. RUSSELL HOBBS LLEVA MUCHAS DÉCADAS HACIENDO FÁCILES EL DÍA A DÍA EN LA COCINA. BUEN EJEMPLO DE ELLO SON SUS HERVIDORES DE AGUA. CÓMODOS, PRÁCTICOS, SENCILLOS.</t>
  </si>
  <si>
    <t>Precisión. Venía descargado porque el segundero se movía cada 2 segundos. Le  coloqué cerca de la ventana  todo el día y se cargó. Luego cuando  puedo, de vez en cuando le pongo frente a la ventana,  ya que viene con protección de sobrecarga. Lo más impresionante es su precisión. Se ha adelantado 1 segundo en 1 mes. Si sigue esta progresión serán unos 12 segundos al año.</t>
  </si>
  <si>
    <t>Buena compra! Son muy cómodos, pequeños y pasan muy bien desapercibidos, se ajustan muy bien al oído, ideales para hacer deporte. Los he estado usando para ir al gimnasio y no se me han soltado en ningún momento.  La calidad con la que se escucha es muy buena y limpia y la batería hasta el momento me ha estado aguantando, tiene pinta de que dura bastante.  También me parece muy cómodo poder responder mensajes si tener que sacar el teléfono para nada, igual que para las llamadas y que se conecta super rápido al teléfono, es un puntazo!</t>
  </si>
  <si>
    <t>Excelente memoria de 128GB 3.0 Conector USB retráctil Excelente memoria de 128GB (3.0) Conector USB retráctil Sólo puedo decir, que he hecho una buena compra. La pieza recibida apenas se calienta cuando la utilizo cargando datos o viceversa. El pendrive es retráctil, y para mi gusto es un acierto por parte del fabricante ya que así no coge tanto polvo el conector USB y no molesta la parte metálica. Atte. Fran P. 17/Noviembre/2018</t>
  </si>
  <si>
    <t>Me ha gustado Muy facil de montar y con muchos detalles.</t>
  </si>
  <si>
    <t>Ha dejado de sujetar algunos libros. Al principio, cuando lo compré, las patillas inferiores sujetaban firmemente los libros, pero con el paso del tiempo, una de ellas se ha aflojado y ahora se me cierran los libros. Lo mejor, los distintos niveles de inclinación que tiene. Pero el mal resultado de las patillas hace que no lo aconseje.</t>
  </si>
  <si>
    <t>Panama Jack aviator A mi hijo le encantan pero son frías a pesar de tener borreguito por dentro</t>
  </si>
  <si>
    <t>No son muy buenas Se sueltan y se rompen muy rápidamente, ya no me queda ninguna que se pueda usar. El hilo es muy corto y fino</t>
  </si>
  <si>
    <t>Nada Parecen de bebé y vienen sin tuercas</t>
  </si>
  <si>
    <t>Los mejores biberones, pero... Compré este pack de biberones a un precio estupendo. Tuve que sustituir las tetinas por las de latex, por gusto de mi bebé. No le doy 5 estrellas por este asunto y porque tiene los números de las medidas en blanco y no se ven muy claramente</t>
  </si>
  <si>
    <t>Buena pizarra La pizarra funciona bien, la relación calidad precio es genial. El montaje, sino estas acostumbrado a montar nada... Cuesta un poquillo, pero al final lo consigues! NO le he dado el máximo de puntuación porque tardo unos 9 días en llegar. ¡Os lo recomiendo!</t>
  </si>
  <si>
    <t>Celia Muy bonita, y tela gruesa, y con vuelo. No es muy corta ni muy larga, un poco arriba de las rodillas. Esta genial. Recomiendo.</t>
  </si>
  <si>
    <t>compacta y te la puedes llevar de viaje esta almohadilla electrica me viene bien para las contracturas musculares,  tiene 3 niveles de calor, hay q esperar un poquito para el calor idoneo, se  apaga sola a los  90 minutos</t>
  </si>
  <si>
    <t>Muy recomendable Ha cumplido nuestras expectativas. Mi hija está acostumbrada al pecho y cuando ha empezado con biberón es la única tetina de las que hemos probado que no ha rechazado. Tetina muy flexible y que imita perfectamente al pezón. La recomiendo sin llegar a dudas</t>
  </si>
  <si>
    <t>Estupendas Ya tenia otras zapatillas de la misma marca y la verdad que no defraudan, quedan estupendas. Yo me cogí mi numero y es el correcto</t>
  </si>
  <si>
    <t>Totalmente recomendable. Compras lo que ves. Perfecto. Precio. Plazo entrega. Producto. Todo genial. Quizás ncluso compre otros modelos</t>
  </si>
  <si>
    <t>que el producto llegue en buenas condiciones buen calectador de agua para viajes,casa etc....</t>
  </si>
  <si>
    <t>Buena compra Comodas y chulas</t>
  </si>
  <si>
    <t>Converse originales y perfectas Perfectas!! Uso siempre conversé así que se la talla. Recomiendo que te las pruebes en una tienda Antea y luego hagas el pedido por aquí. Están muy bien de precio.</t>
  </si>
  <si>
    <t>Gran aspirador Una grata sorpresa, funciona mejor de lo esperado.  Viene con varios accesorios que ayudan a llegar a todos los sitios en el interior del coche.  También viene con una funda para poder guardar todo y tenerlo a mano en un momento.  Aspira muy bien y es muy fácil de desmontar y poder limpiarlo.</t>
  </si>
  <si>
    <t>Genial Va genial para hacer la espuma del cafecito de la mañana.</t>
  </si>
  <si>
    <t>Comodísimas Tienen muy buena calidad, con una licra excelente. Son muy elasticas y resistentes. El color es un azul metalizado precioso. La talla viene bien, osea que el tallaje es igual que la Europea. En la parte superior tiene una tela plateada en el interior de la malla que es la que hace de efecto sauna y que sudes y pierdas peso. Cuando la he lavado ha quedado igual, como nueva. Yo destacaría lo cómodas que son, se pegan tanto a la piel que parece que no llevas nada puesto.</t>
  </si>
  <si>
    <t>mirigc Muy contenta con el pedido. Parecen de muy buena calidad y súper cómodas. Y ni que decir tiene lo muuuy bien de precio que están... súper recomendable! Repetiré seguro!</t>
  </si>
  <si>
    <t>La rapidez de limpieza y desincrustante Me a gustado la rapidez de quitar la grasa incrustada en la sartén de mucho tiempo en realidad Funciona de verdad</t>
  </si>
  <si>
    <t>Muy bien Muy buen disco arranca como una ssd y es lo que buscaba resistente y buena marca por desgracia me se rompió la pantalla táctil del ordenador y lo tengo al servicio técnico</t>
  </si>
  <si>
    <t>muy bien ya veremos cuando lo lave.</t>
  </si>
  <si>
    <t>disco curo Enchufar y usar. No se porque el disco duro que tenía dejo de funcionar con la tele nueva samsung, así que me tuve que compra uno nuevo. Es una maravilla, muy rápido y sin problemas de conexión. Es 3.0 con lo que la transferencia de películas al disco duro es muy rápida.</t>
  </si>
  <si>
    <t>Auriculares perfectos para el libre movimiento Es la primera vez que tengo este tipo de auriculares y me han parecido buenísimos, dispone de base cargadora con un buen acabado y los auriculares vienen con imán lo que hace que vayan siempre a su sitio en la carga. Puedes usar uno solo o los 2 emparejándose perfectamente y los 2 tienen micrófono, que lo he probado también y te oyen perfectamente. He usado varias horas los 2 auriculares oyendo música y me han aguantado muy bien. Si eres de los que se te suelen caer este tipo de auriculares viene una bolsita con distintas almohadillas según tamaño para elegir el que mejor se adapte. En general muy buena impresión.</t>
  </si>
  <si>
    <t>Eran para un regalo. Tiempo de entrega 24h. Quedan tal cual el anuncio. Si usas la 39 es la talla tal cual, no como con las zapatillas deportivas, que tienes que pensar en 1 o incluso 2 números más, del que calzas.  Como todo lo de Superga, con unos acabados muy buenos, con todos los detalles bien cuidados.</t>
  </si>
  <si>
    <t>Bonita Muy elegante</t>
  </si>
  <si>
    <t>Buena calidad precio pero algo grande Pues la verdad sue la calidad del tejido es buena no es para nada las típicas estas que en dos días están rotas. Lo que si la talla viene algo grande de las de España sobre todo de la cintura, pero no mucho tampoco. si lo quieres muy ajustado es mejor pedir una talla menos</t>
  </si>
  <si>
    <t>Excelente Muy buen producto.</t>
  </si>
  <si>
    <t>Mejor de lo esperado Aunque en un principio me parecieron un poco excesivos y grandes, la verdad que puestos quedan muy bonitos y aparentes y alegran mucho.</t>
  </si>
  <si>
    <t>Fallo Llevo menos de una semana con el robot y de repente me puso "actualizando firmware" y no ha vuelto a funcionar. Se queda la luz rojo parpadeando, le das a limpiar, pita y nada más.</t>
  </si>
  <si>
    <t>Normal Tiene un buen precio para los 32 gb que tiene,el problema es la velocidad de escritura,tuve problemas con ella,la usaba para almacenar vídeo y capturar a 4k y me daba fallo por el problema de velocidad de escritura lento que tiene,gracias a amazon que me devolvió el dinero y no me hizo devolver el producto.</t>
  </si>
  <si>
    <t>Bastante bien Es muy chulo, vale para guardar cosas importantes aunque si te fijas no cuela tan fácil que sea un libro. Pero cumple bastante con su función</t>
  </si>
  <si>
    <t>Se sale la leche Aunque el sistema anticolicos va bien, se sale la leche a chorro.</t>
  </si>
  <si>
    <t>Es una esrafa Es una estafa La caja pone 1TB pero el disco duro es de 256 MB</t>
  </si>
  <si>
    <t>Buen producto calidad-precio La calidad del producto es buena calidad-precio. El cable es corto por lo que será necesario un adaptador. Por otra parte el sonido no es independiende por cada canal, es en estereo.</t>
  </si>
  <si>
    <t>perfecto Ligero y buena potencia. Solo tiene unas velocidad de uso. Buena relación calidad precio</t>
  </si>
  <si>
    <t>Cómodo y se oye bien Se escucha bien, con los que hablo si no me engañan, dicen que también me escuchan bien, no lo notas que lo llevas puesto tu, los demás si ya que es bastante grande, pero si quieres una batería decente que aguante el día, y un micrófono que te escuchen bien, todo eso necesita espacio</t>
  </si>
  <si>
    <t>Alicia Recoge perfectamente los pelos de las mascotas.Hace un poco de ruido,pero es bastante eficaz.Le falta un sistema para vaciar comodamente</t>
  </si>
  <si>
    <t>Funciona El producto esta bien. Me parece un poco caro para lo que es, un trozo de tela con pelo. El tamaño va perfecto para el Rodevideo Mic, no el Pro. Es más blanco que gris. En la foto parece más oscuro de lo que es en realidad.</t>
  </si>
  <si>
    <t>Muy comodas Satisfecho con la compra. Muy cómodas y resistentes.</t>
  </si>
  <si>
    <t>Su díseño y sonido para la música Auriculares con radio que van perfectos para el deporte.Diseño bueno y resistente.</t>
  </si>
  <si>
    <t>Vans no decepciona. Perfectas y bien de precio, me ahorré unos 20€. De las pocas marcas que hacen números grandes (mi hijo tiene un 47 y un pie ancho) y salen bastante buenas.</t>
  </si>
  <si>
    <t>Perfectos para trekking Si te gusta el trekking o hacer senderismo o simplemente salir por el campo a dar una vuelta estos botines de la marca Salomon son una elección perfecta. Salomon es una marca de primer nivel mundial en la fabricación de productos para hacer trekking y senderismo. Su buena fama en la hechura de botas, botines y otros materiales diseñados para resistir los estragos de la intemperie viene de lejos. Estos magníficos botines están forrados en su tela exterior de Gore-Tex, un conocido material que aísla el interior de los efectos de la humedad con lo que tus pies siempre estarán secos. Como en todos los botines de trekking y senderismo una de las cosas en las que primero se fija uno es el dibujo de la suela y los tacos de goma que presentan este par de botines están muy bien colocados a destacar los dos que tienen la puntera como parte del refuerzo de la pisada cuando estás intentando pasar por terreno escarpado. Tanto en el talón como en la parte delantera el botín está bien protegido pero echo en falta un recubrimiento de piel en la puntera puesto que en el empeine solo está puesto en el lateral y en más de una ocasión me he tropezado con alguna piedra, ramas o troncos y el golpe se lo ha llevado el empeine por lo que sea y si la zona es toda de tela es propensa a sufrir arañazos que desgarran el tejido. Aunque reconozco que por otro lado izquierdo tienes tuviera enteramente forrado de material no transpiraria tan también y la experiencia sería diferente.  El diseño es otro punto destacable siendo este muy agresivo y queda esteticamente muy chulo una vez puesto y combinado con unas mallas cortas de las que no llegan al tobillo. Te dan un look muy bonito. Hay que reseñar también que los botines tienen una horma un tanto estrecha así que si tienes el pie un poquito más gordo de la cuenta te va a costar ponértelos y caminar con ellos pero con el tiempo se ahormaran a tus pie y podrás disfrutar los cómo se merecen.  Muy buenos.</t>
  </si>
  <si>
    <t>Son muy bonitas Las compré para mi marido y él está muy contento con ellas</t>
  </si>
  <si>
    <t>Muy Buen reloj calidad precio Muy buen G-shock de uso diario, lo uso para trabajar, el reloj esta expuesto ha vibraciones, polvo, suciedad, líquidos, y sobretodo golpes y aguanta como nuevo. estoy muy contento con el y ahora mismo es mi favorito :), lo recomiendo mucho en mi profesión, dado que la función de cuenta atrás con alerta por vibración la uso entre 25 y 100 veces por día ya que debo estar controlando tiempos de soldaduras y este reloj me ayuda mucho. lo mejor dentro de lo que yo buscaba con unos resultados muy satisfactorios, muy buena calidad-precio.</t>
  </si>
  <si>
    <t>Calidad-Precio Calidad-Precio de 10. Buen acabado y funcionalidad perfecta. Era lo que buscaba y a un precio mas que asequible. Recomendable</t>
  </si>
  <si>
    <t>Los mejores auriculares que he tenido Por este precio se me ocurren pocos auriculares mejores. El sonido es perfecto para el tipo de música que escucho, que no requiere unos bajos potentes martilleando la cabeza. Son muy cómodos y, además, de pueden plegar.</t>
  </si>
  <si>
    <t>ESTUCHE AMPLIO Estuche amplio para guardar todo lo necesario. Producto de buena calidad y espero que dure mucho!!! Fenomenal para mi hijo</t>
  </si>
  <si>
    <t>Muy contenta con el producto Todo bien: las tetinas tienen el flujo perfecto como para que el bebé no se atragante y las botellas son las típicas de Medela. De hecho, a mi personalmente, la calidad Medela me gusta mucho, así que cada compra es un acierto.</t>
  </si>
  <si>
    <t>Ok Como esperaba</t>
  </si>
  <si>
    <t>Muy buena calidad/precio. La verdad es que me han sorprendido mucho estos cables, los acabados son realmente buenos y el sonido muy limpio, es justo lo que estaba buscando, muy recomendados.</t>
  </si>
  <si>
    <t>Comodidad y buena limpieza Lo que más me gusta es que no ay que hacer fuerza adominal me la compre por que me operaron de ernia de ombligo y ingle y con esta fregona solo ay que apretar un poco con la palma de la mano y dar al pie..primeros dias con agujetas jajaja pero me a encantado y deja muy bien el suelo mango pequeño para gente alta..</t>
  </si>
  <si>
    <t>Pequeño, resistente y manejable Es un SSD muy pequeño de gran capacidad y rapidez (500gb - 550mb/s). Muy útil para llevar cantidad de GB de aquí para allá.  La única pega es que no funciona es soportes como TV o Reproductores multimedia, eso si, en Windows 7, Windows 10 y Mac todo perfecto.</t>
  </si>
  <si>
    <t>Muy cómodas Al principio te extraña un poco el efecto rebote de la suela, pero luego te acostumbras y resultan muy cómodas. Una buena compra</t>
  </si>
  <si>
    <t>Bonito Está genial calidad precio como todos los productos de UA. Recomendable y bonito.</t>
  </si>
  <si>
    <t>Todo perfecto y rapido Lo usare para los archivadores este año. Separar temas o asignaturas Ha llegado muy rápido.</t>
  </si>
  <si>
    <t>Ideal para regalar Muy bonitas y cómodas. Número ajustado pedir una talla más y acertarás</t>
  </si>
  <si>
    <t>Comodidad máxima Muy cómodas, incluso para pies muy delicados y que siempre han de calzar con ortopédicos.</t>
  </si>
  <si>
    <t>No para copas pequeñas Tejido rígido y no se adapta a copas pequeñas tal y como indican. No me ha gustado.</t>
  </si>
  <si>
    <t>Buen controlador, pero quizás demasiado pequeño y con lag El teclado en sí esta bien tiene buen tamaño quizás tirando a demasiado pequeño pero el mayor problema es que a mi al menos me va con Lag al presionar varias teclas o teclear rapido la siguiente nota se escuchaba más flojo así sucesivamente hasta que practicamente no se escuchaban o se saltaba esa nota, pensé que podría ser cosa del Software (FL STUDIO ) o el hardware pero al cambiarlo por otro controlador de otra marca esto se solucionó, el nuevo suena sin problema y sin practicamente lag y al mismo nivel sonoro.</t>
  </si>
  <si>
    <t>Bonito Es sencillo pero cumple lo que necesitaba es bonito y bien acabado . Tarda bastante en llegar. Precio muy asequible no se puede pedir más. Muy correcto</t>
  </si>
  <si>
    <t>No son originales Tengo los originales que venían con el S9 y estos no tienen nada que ver en calidad de sonido y materiales. Entiendo que por el precio no lo sean, pero eso lo sé ahora cuando he visto lo que cuestan, tras comprar estos. Pero que no pongan originales, que pongan falsificación barata.</t>
  </si>
  <si>
    <t>no me ha servido No escompatible con otras marcas de biberones. Solo sirve para los biberones Avent. No he podido hacerlo servir ya que tengo otra marca de biberones.</t>
  </si>
  <si>
    <t>Fiasco ! Mucho cuidado con usarlo sin unos guantes gruesos, ya que las fibras del producto se clavan como finísimos alfileres provocando mucho dolor y son prásticamente imposibles de quitar. No lo recomiendo, pués además no limpia ni mucho menos como explica el vendedor.</t>
  </si>
  <si>
    <t>Muy útil De momento he usado dos unidades y todo bien. Lo único que quizás sería muy útil unas 'recetas' también🙂</t>
  </si>
  <si>
    <t>Rasca bien, y no es posible que haga daño Útil. Seré breve, práctico, no pincha por lo que no puede herir, y rasca lo justo sin hacer daño ni dejar marcas.</t>
  </si>
  <si>
    <t>Cómo se esperaba!!! Exlente, gran calidad y el producto llegó un día antes.</t>
  </si>
  <si>
    <t>lo que esperaba correcto</t>
  </si>
  <si>
    <t>estoy feliz la verdad, que aunque me quedan un poco flojas, se han superado mis expectativas. estoy muy contenta</t>
  </si>
  <si>
    <t>genial para preparar batidos Lo uso muy a menudo para preparar mis batidos de proteina, y además lo que mas me ha gustado es que es muy fácil de limpiar.</t>
  </si>
  <si>
    <t>comodidad Una pasada , binitas y comodas , no se puede pedir mas a unas zapatillas.</t>
  </si>
  <si>
    <t>Mejor ayudante de cocina 😘😘😍 La mejor máquina la amo me lo hace todo Definitivamente me la quedo 🚨😍😍😍 Hace unas zanahorias rapadas muy fina al estilo francés me encanta la ensalada de zanahorias con esta máquina gracias Amazon</t>
  </si>
  <si>
    <t>Tajetas rapidas UHS II Ya son varias las tarjetas que tengo de este tipo y frabricante. De momento no me han fallado y cumnplen con mis espectativas. Necesitaba mas almacenaje</t>
  </si>
  <si>
    <t>Muy bueno y ocupa poco espacio, muy bien para transportar Compré este atril para estudiar tanto en casa como en la universidad y fue todo un acierto, de echo tengo 2, uno para mi y otro mi pareja, muy contentos, aguanta libros normales sin problema, y si lo cierras ocupa más o menos el mismo espacio que un libro, cabe en mochila sin problemas.</t>
  </si>
  <si>
    <t>Me encantan Muy cómodas, lindo diseño y duraderas. Muy originales . Las puedes usar con todo , no se las he visto a nadie . Muy contenta con la compra . Las tengo hace 3 años aproximadamente , las he metido en la lavadora Mil  veces , y están intactas</t>
  </si>
  <si>
    <t>Fantástico Parece mentira lo rápido que se limpia todo con esto. Es muy cómodo de usar porque va rotando intuitivamente. También compré un que hay para los cristales y no me gusta nada porque no gira como éste, con lo que uso también éste para los cristales.  Cuando me sale muy sucio lo lavo a mano si requiere frotar. Si no, también se puede meter en la lavadora.</t>
  </si>
  <si>
    <t>Regalo Lo he adquirido para un regalo de reyes, he necesitado ayuda con el tema de las tallas, pero no he tenido ningún problema con ellas. Recomendable.</t>
  </si>
  <si>
    <t>Cómodo y práctico, montaje sencillo. Lo recomiendo. Estoy muy contenta con esta compra, no sólo porque pude aprovechar una oferta del prime day, es muy práctico. Realmente  cómodo para tener a mano y sin ocupar espacio los tres tipos de papel. Ayuda a cortarlos más fácilmente. El montaje y la colocación son muy sencillos. Lo recomiendo</t>
  </si>
  <si>
    <t>Tal cual la descripción Llegaron bien y en el tiempo esperado. Van genial y se adapta perfectamente la pulsera a la medida de la muñeca con un artilugio que trae.</t>
  </si>
  <si>
    <t>No conocía Deebot y me ha sorprendido mucho! Estaba indeciso entre otros modelos similares como el robot de xiaomi roborock s50, pero me decidí por este porque tiene dos cepillos frontales y aunque de normal este vale algo más, si lo compras en oferta flash sale más económico.  Cuando recibí el Deebot se nota nada mas abrirlo que se trata de un producto de calidad y robusto, muy fácil de poner en marcha, solo hay que quitarle un par de gomas y encajar los cepillos y la mopa si la quieres utilizar.  Puedes utilizarla sin la opción de fregado, pero una vez que llenas el depósito de agua y lo encajas en el deebot este ya está listo para fregar, en la app te aparecen unas gotitas y en opciones puedes seleccionar la cantidad de agua que quieres que vaya dosificando. En mi caso con la tarima selecciono el mínimo y la verdad es que es muy efectivo y no deja el suelo con exceso de agua gracias al sistema ozmo que solo lo equipa este robot.  El vaciado del depósito de residuos es muy sencillo, se levanta la tapa superior y se extrae por arriba de forma muy fácil. Tiene gran capacidad, en un mes que la tengo y utilizándola a diario en unos 80m2 lo vacío una vez a la semana y no está lleno todavía. Lo que es recomendable es limpiar el cepillo inferior al menos una vez a la semana porque suelen quedarse pelos largos enredados, pero si tienes animales trae un accesorio que elimina el rodillo central y barre con los cepillos rotativos y en el centro solo aspira, así evitas atascos con los pelos manteniendo la efectividad. Por otra parte en la app tienes un apartado que te indica el uso que tienen tus accesorios cepillos, filtros etc....la app te avisa cuando tengas que sustituirlos. En mi caso utilizándola casi todos los días en un mes me quedan un 93% de uso con lo que supongo que avisará en un año aproximadamente, aunque eso también dependerá del aspecto visual que apreciemos en estos consumibles para determinar cuándo sustituirlos.  En cuanto a la autonomía no la he llevado al límite pero con 80m2 no llega a consumir la mitad de la batería.  El tema del mapeado es una pasada, cuando la pones en marcha recorre toda tu casa y dibuja un mapa virtual en la app, puedes ver en cada momento donde está y lo que le queda, puedes seleccionar la habitación o habitaciones que quieres que limpie y luego vuelva a su base. Gracias a este mapeo hace una limpieza de forma eficaz y eficiente ahorrando energía y evitando quedarse atascada horas en una sola habitación.  Puedes controlarla desde la app estés donde estes y ves por donde va trabajando. Cuando está en reposo le salen unas zzz indicando que está durmiendo. Y si no sabes donde está pulsas localizar deebot en una opción y te habla indicándote donde está.  En resumen, el mejor robot aspirador relación calidad precio.</t>
  </si>
  <si>
    <t>Todo correcto Buenas zapatillas. Excelente relación calidad-precio.</t>
  </si>
  <si>
    <t>Muy bueno Muy buena la calidad y se Corresponde con la oferta y la compra. Es reversible. Tiene una muy buena caída al ponérselo</t>
  </si>
  <si>
    <t>Buenas Muy bien hechas y con buenos materiales</t>
  </si>
  <si>
    <t>Me saca trabajo Me ha sorprendido gratamente. No pensé que realmente fuera a funcionar bien. Exteriormente no parece muy robusto pero a mí me hace un papel estupendo pues me va fregando la casa por sectores. Un día toca el salón el otro día toca el pasillo y así me lo voy organizando y me saca faena y además de fregar lo deja seco y sin manchas. Hay que tener la precaución de qué se tope con los menos obstáculos posibles por lo que cuando lo pongo en un espacio antes aparto las mesas las sillas del lugar para que él pueda fregar a su aire y lo deja todo bien limpio. La única pega es que la batería dura 2 horas muy poco para hacer varias salas en un mismo día por lo que estoy pensando en comprarme otra batería más e intercambiarlas mientras la una se carga la otra trabaja</t>
  </si>
  <si>
    <t>Ideales Son chulisimas, comodas y practicas. Le encantan a todo el mundo q se las enseño. Un saludo</t>
  </si>
  <si>
    <t>Todo perfecto El envio llego cuando debia llegar y el producto es simplemente el que se vende. Original, bien acabado y con el numero perfecto (que era lo que me asustaba un poco). Todo pefecto !!</t>
  </si>
  <si>
    <t>Da muy poca talla. El tejido bien pero da muy poca talla. Aún siendo delgada queda demasiado pegado.</t>
  </si>
  <si>
    <t>Muy grande Buen tamaño, quizás demasiado grande. Muy plasticoso  y lo que no soportaba de él es la luz de fondo, pues se notaba una luz fuerte en el medio que apenas iluminaba el resto  que me mataba. La unidad que me llegó tenía un digito que no encendía completamente así cque lo cambie por otro un poco más pequeño</t>
  </si>
  <si>
    <t>Problemas con la clonación del disco Un 10 para el SSD pero un 0 para WD.  La aplicación que te descargas desde la página de WD para poder clonar el disco duro no funciona (Acronis edición WD). El ordenador se bloquea y da errores en sectores de SSD. Después de intentarlo todo y perder 1 día completo  he tenido que recurrir a un amigo que tiene el Acronis 2018 completo, y así, sin problemas. He estado a punto de devolver el SSD, pensado que estaba defectuoso. Por cierto, mi portátil a resucitado, es increíble lo me mejora con la instalación de un disco sólido.</t>
  </si>
  <si>
    <t>Lo mal tallado A venido deforme y con el estampado diferente</t>
  </si>
  <si>
    <t>decepcion Mala calidad, se borran las marcas de corte y de autorrepararse, nada de nada</t>
  </si>
  <si>
    <t>Sujeta perfectamente Queda muy justo pero para hacer deporte es fantástico. Sujeta de maravilla</t>
  </si>
  <si>
    <t>Cafetera excelente &lt;div id="video-block-R1TWCFZPNA19P6"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src="https://images-eu.ssl-images-amazon.com/images/I/B1x-ifmBRxS.mp4" style="position: absolute; left: 0px; top: 0px; overflow: hidden; height: 1px; width: 1px;"&gt;&lt;/video&gt;&lt;/div&gt;&lt;div id="airy-slate-preload" style="background-color: rgb(0, 0, 0); background-image: url(&amp;quot;https://images-eu.ssl-images-amazon.com/images/I/91+mU3yHvtS.png&amp;quot;);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value="https://images-eu.ssl-images-amazon.com/images/I/B1x-ifmBRxS.mp4" class="video-url"&gt;&lt;input type="hidden" name="" value="https://images-eu.ssl-images-amazon.com/images/I/91+mU3yHvtS.png" class="video-slate-img-url"&gt;&amp;nbsp;Buena compra para olvidar las capsulas. Hace muy buen café. Facil de usar, limpiar y mantener. Ahorras en dinero en café, es mucho mas barato que las capsulas. No me gusta que cada vez que la pones en marcha se auto limpia y tira agua, y que es un poco grande. Pero son inconvenientes menores.</t>
  </si>
  <si>
    <t>Muy bien De momento me van muy bien son cómodos y quedan perfectos si no se rompen en poco tiempo los volveré a comprar sin duda</t>
  </si>
  <si>
    <t>Grata sorpresa. Pesan poco, suela blandita.... son cómodas y de momento no tengo malas palabras para ellas.  Si tardara menos el envio le daba 5 estrellas.</t>
  </si>
  <si>
    <t>Bandolera grande con varios compartimentos Bolsa bastante grande con un montón de bolsillos donde guardar cosas.</t>
  </si>
  <si>
    <t>Muy versátil Me gusta que sirva tanto para el ordenador como para el smartphone. Lo uso en la smartTV, en la tableta y en el smartphone. Descargo películas con la tableta y las veo con la TV.</t>
  </si>
  <si>
    <t>robot de limpieza Llevaba mucho tiempo deseando un robot de limpieza ya que varios de mis amigos tienen y les va genial. La ECOVACS DEEBOT OZMO 900 me lo ha recomendado uno de mis amigos. Lo puse ayer y la verdad es que me gusta mucho cómo deja la casa. Tiene la posibiilidad de elegir las zonas donde quieres que pase a hacer la limpieza que me parece un puntazo! y llo mejor es que puedo estar haciendo otras cosas mientras un robot me limpia la casa jajajaja Es genial</t>
  </si>
  <si>
    <t>Buen producto Basicas para los niños. No pringan, no huelen ni manchan. Bien en general. Calidad precio muy buena. No se secan demasiado aunque tardes en usarlo</t>
  </si>
  <si>
    <t>Suficiente Buena compra para lo que necesitaba, buen tamaño y facil de fijar a la pared. Caben documentos tamaño din A4 y lleva un estante...</t>
  </si>
  <si>
    <t>Muy bueno Excelente calidad y olor, me ha ayudado a recuperarme de una tendiditis.</t>
  </si>
  <si>
    <t>Muy resistente y flexible Esta cinta trae muy buen adhesivo por lo que una vez que esta pegado por ambas caras resiste muy bien cualquier peso. La cinta es más gruesa que las cintas de doble cara normales, es flexible y al ser transparente no se nota casi que está puesta.</t>
  </si>
  <si>
    <t>Muy bonito y buenas cálidas Precioso</t>
  </si>
  <si>
    <t>buena batidora &lt;a data-hook="product-link-linked" class="a-link-normal" href="/Bosch-ErgoMixx-MSM66110-Batidora-de-mano-600-W-regulador-de-velocidad-y-función-Turbo-cúpula-con-cuatro-cuchillas-con-vaso-de-mezclas-color-blanco-y-gris/dp/B00A925G3A/ref=cm_cr_getr_d_rvw_txt?ie=UTF8"&gt;Bosch ErgoMixx MSM66110 - Batidora de mano, 600 W, regulador de velocidad y función Turbo, cúpula con cuatro cuchillas, con vaso de mezclas, color blanco y gris&lt;/a&gt;,es justo lo que necesitaba es potente y muy practica</t>
  </si>
  <si>
    <t>buen hervidor buen producto y buen precio</t>
  </si>
  <si>
    <t>Encantado Genial. Super cómodo y muy útil para llevar objetos como el móvil... El tabaco... Mechero... Cartera... Alguna cosa de tamaño medio... Muy contento con la. Compra. Calidad buena. Lo recomiendo.</t>
  </si>
  <si>
    <t>Comodos y con buenos acabados Los compré desconfiando un poco, ya que este tipo de auriculares no me termina de convencer mucho.  Pero han sido una sorpresa, son cómodos y no pesan practicamnete nada. De momento solo los he usado un par de veces en el Gym y solo tengo buenas palabras.  Respecto a la batería no tengo quejas (de momento), va bien. Tienen una pequeña pega y es que se cargan por USB en lugar por un conector por imán o algo similar, lo que significa que tiene una tapita para el USB...veremos lo que dura.  Traen una funda muy correcta, con dos tamaños más grandes para los oídos.  De momento todo ok.</t>
  </si>
  <si>
    <t>Exprimidor excelente Calidad/Precio El producto es tal y como se describe en la descripción.  Funciona muy bien, es fácil de desmontar y limpiar.  El único inconveniente que he encontrado ha sido la dificultad de encajar las naranjas pequeñas para la extracción de zumo, teniendo que colocarlas con cuidado y bajando la tapa muy despacio para que no se muevan.</t>
  </si>
  <si>
    <t>Imprescindible para la cocina No se como podía vivir sin esto. El motivo de compra fue para preparar infusiones más rápido por la mañana en el termo. Pero ahora lo uso a diario cocinando para agregar agua caliente al cocinar o bien para poner agua a hervir más rápido. Un producto genial para la cocina.</t>
  </si>
  <si>
    <t>Muy bien. Perfecto. Muy bien. Funciona bien y no hemos tenido problemas con el producto. Perfecto para una cocina chiquita. Es muy básico.</t>
  </si>
  <si>
    <t>Tal cual la foto. Tal cual la foto. Muy bonito.</t>
  </si>
  <si>
    <t>bien perfecto y se adapta a nuestras expectativas y es de muy buena calidad se ajusta a lo que necesitábamos perfecto</t>
  </si>
  <si>
    <t>Buena compra. Buena compra.</t>
  </si>
  <si>
    <t>Genial Mejor de lo que esperaba</t>
  </si>
  <si>
    <t>Compacto Buen producto, pequeño y fiable. Solo he tenido problema con un tv, shark que no lo reconoce. Es rapido</t>
  </si>
  <si>
    <t>No me gusto No era lo que me esperaba al ser la correa tan delgada tuve que regalarla me gustan de correa más ancha y no era como se ve en la pantalla</t>
  </si>
  <si>
    <t>Problemas de conexión No sé qué pasa con este disco que a veces consigo verlo y a veces es imposible. En este momento funciona pero tuve que desinstalar el controlador, hacer limpieza en el registro y un par de cosas más. Espero que todo siga igual, tengo el Goflex Cinema de esta marca y es la mejor compra que he hecho, espero que este no me decepcione.</t>
  </si>
  <si>
    <t>Un Poco Olgado No se ajusta bien a las líneas del cuerpo. Es un poquito olgado y queda algo grande cuando lo llevas puesto.</t>
  </si>
  <si>
    <t>No las recomiendo para nada Las he estado usando 8 horas al día y me han durado 3 meses, y eso que trabajo en un taller de chapa y pintura. Un mes después de comprarlas tuve que ponerles plantillas de gel  porque la suela se había hecho bastante dura y ahora a los 3 meses de usarlas las he tenido que tirar porque la suela se había deshecho por dentro y ya era imposible pasar 2 horas con ellas puestas. Muy decepcionado con ellas, las ultimas  que tube de 20€ me duraron mucho mas y eran mas comodas. No las recomiendo si vas a trabajar caminando mucho o si pasas bastante tiempo de cuclillas.</t>
  </si>
  <si>
    <t>Llegado funcionando Quería saber por que me viene en hora y funcionando... No tendría q venir con una pestaña para quitar y así poder programar el reloj... No se si a alguien Le ha pasado... Si ha venido funcionando o lo habéis puesto en marcha vosotros... Gracias</t>
  </si>
  <si>
    <t>Como  en la foto Las  compré para mi marido  y está  encantado, cómodas, el color combina con todo y además  la calidad  de puma.</t>
  </si>
  <si>
    <t>Pequeña pero fuerte He recibido estos imanes esperaba que fuera un poco más grande, porque no hay ninguna imagen comparando los tamaños entre un artículo regular y este imán. En otras palabras, son muy pequeñas.  De todos modos, aunque son muy pequeñas, son fuertes. No puedo utilizar éstos para la razón original que lo compré, pero estoy seguro de que encontrar otras cosas que utilizarlo.  Otra cosa es que son un poco frágil. Estaba probando que cuando se rompió uno.  Os adjunto las fotos para que pueda ver lo pequeños que son.</t>
  </si>
  <si>
    <t>Bueno,Bonito y Barato..y 10 años de Pila!! Lo compré para un amigo por las características que tiene.Es un reloj de marca fiable y conocida (Casio),completo y bonito,se ilumina en color verde y la pila tiene una garantía de 10 años. No le doy la quinta estrella..porque aunque en la foto el dial se ve bien,en realidad la hora se ve como si la pila estaria un poco gastada,aunque supongo que será así para que pueda aguantar 10 años,y porque aunque la correa es de acero..el cuerpo del reloj es de plástico pintado de color gris,y aunque en la foto no se nota..al natural se nota bastante,y no sé cómo envejecerá dicho plástico (si se irá más adelante el color de la pintura..) El tiempo lo dirá.</t>
  </si>
  <si>
    <t>Muy grande. Buena calidad pero mut grande.</t>
  </si>
  <si>
    <t>Buena calidad pero muy grandes Son de buena calidad, pero el tallaje es grande, pedí un 35-38 Y más bien es un 40-42</t>
  </si>
  <si>
    <t>Excelente relación precio/capacidad/prestaciones. Siempre busco capacidades mayores pero, en las muy buenas marcas como ésta, el precio se dispara desde los 256 GB. La usaré para fotos RAW de máxima resolución o vídeos cortos con la cámara fotográfica. Hasta ahora, sólo la he probado en fotos y la respuesta es muy positiva: guarda una ráfaga de 8 fotos de unos 70 MB en menos de 3 segundos y, apenas a las 3 décimas de segundo del último disparo, puedo comenzar otra ráfaga. La recomiendo a quienes necesiten altas prestaciones sin que se dispare el precio.</t>
  </si>
  <si>
    <t>Lo que esperaba Perfecto cómodo y muy bonito puesto</t>
  </si>
  <si>
    <t>Genial! Genial, de una calidad estupenda y muy buenos acabados. La talla genial.</t>
  </si>
  <si>
    <t>Perfecta Muy bien, y genial de tiempo</t>
  </si>
  <si>
    <t>Muy util Genial. Para ir rápido va muy bien. No estoy de acuerdo con los comentarios que se calineta mucho. Lo unico malo lanlongitud del cable</t>
  </si>
  <si>
    <t>Buen controlador de agua para pecera Compré este articulo para regular los niveles DC y pH, reduce el nitrato (NO3) y el fosfato (PO4.^Añade vitaminas y minerales valiosos esenciales para la salud de peces y plantas. (No sirve para eliminar el color de agua de grifo!!!)  La verdad después de probarlo ha estabilizado todos los valores anteriormente descritos. Y la marca es muy conocida en todo lo que respecta a acuarios. Muy recomendable.  Viene con tapón medidor y las instrucciones en español en el reverso de la etiqueta despegándolo.</t>
  </si>
  <si>
    <t>Zapatillas cómodas Zapatillas cómodas y bastante duraderas</t>
  </si>
  <si>
    <t>Para videos lo he comprado para videos y no hay quien se lo acabe</t>
  </si>
  <si>
    <t>Va perfecto todo correcto</t>
  </si>
  <si>
    <t>Talla correcta Llegaron antes del tiempo indicado, quedan perfectas</t>
  </si>
  <si>
    <t>Muy buen alcance y comodidad La calidad de sonido es la esperada en su gama de precio pero el alcance bluetooth y la comodidad me han sorprendido para bien. La caja de carga no se ve muy sólida pero por el momento aguanta perfectamente. Se emparejan fácil pero no logro controlar el volumen desde el auricular, aunque en mi caso no es un inconveniente, lo regulo desde el móvil.</t>
  </si>
  <si>
    <t>Utílisima Muy sencilla y práctica.</t>
  </si>
  <si>
    <t>Muy buena calidad y original sus mensajes Un collar muy bonito de plata, queda bien con todo , a mi pareja le encantó, aparte de original y su mensaje oculto de TE AMO en 100 idiomas el cual es fácil de ver si acercas la luz de la cámara del móvil a su circonita te reflejará en cualquier superficie la palabra te amo en 100 idiomas, ideal para sorprender a tu pareja.</t>
  </si>
  <si>
    <t>Bien Estan bien solo que en la descripcion pone que las tetinas tienen 2 agujeros pero solo tienen 1</t>
  </si>
  <si>
    <t>Limpieza de barbacoa Se limpia muy bien</t>
  </si>
  <si>
    <t>Para echar unos buenos ratos Muy divertido. Tiene varios moduladores de voz, eco,se puede conectar por Bluetooth y usarlo como karaoke. Tiene buen sonido y es de buena calidad. Lo volvería a comprar.</t>
  </si>
  <si>
    <t>Cumpliendo lo esperado. Compré para mi esposa, ella ha dicho que está funcionando bien, a ella le gusto el aparato.</t>
  </si>
  <si>
    <t>Perfectas. Totalmente recomendable, son zapatillas de calidad, y son informales, me valen para todo, incluso para ir a la oficina. Últimamente me da por comprarlas negras, y estas han sido un acierto. La talla se corresponde bien.</t>
  </si>
  <si>
    <t>De momento bien Producto de calidad buena marca. De momento contento.</t>
  </si>
  <si>
    <t>No funciona bien para conectar con una caja en el portátil,se oye ,todo fatal,deseo devolverlo. Amazon se merece 10 en entrega es muy rapido,pero el producto no alcanza las espectativas esperadas ,respecto al precio.esto iba con una caja alimentador o como se llame ,todo fatal era para un microfono que compro mi hijo y tambien lo quiere devolver.</t>
  </si>
  <si>
    <t>Buena relacion calidad-precio Es evidente que un producto de este precio solo puede ser comparado con otro de baja gama. En cuanto a construcción, el cable es bastante aceptable y los auriculares parecen estar hechos de un plastico corriente. Si hablamos de sonido, el auricular se comporta bien para escuchar poscast , television, radio,etc. En cuanto a musica, he de decir que suenan bien para su precio aunque tengo algun JVC de precios similares y estos ultimos suena mejor. El sonido, aun siendo aceptable, no es limpio y ensucia y opaca bastante en los medios. En resumen, suenan bien para su precio y no es mala compra. Pero tampoco se puede esperar el sonido de unos Senheisser momentum M2 , o los mismos Sony MDR-EX650APT, porque juegan en ligas diferentes. Pido perdón a quien esto ultimo le parezca una simple obviedad.</t>
  </si>
  <si>
    <t>Son falsos Se ve de lejos que son falsos ni la caja es de puma ni trae etiquetas ni nada son de imitacion no lo recomiendo para nada.</t>
  </si>
  <si>
    <t>Basura. Es basura. Funcionan fatal, se escuchan peor. Parece de juguete. Las instrucciones se explican fatal. Es dinero tirado a la basura.</t>
  </si>
  <si>
    <t>Buen reloj Perfecto muy bien acabado y fácil lectura lo recomiendo te olvidas de tener que cambiar la pila o darle cuerda</t>
  </si>
  <si>
    <t>Muy cómodo Me gustó, sí. Es solo que si eres de tallas pequeñas en apariencia se ve un poco distinto a lo que esperaba.</t>
  </si>
  <si>
    <t>solicitar la devolucion del producto por ser demasiado grande, por otra talla menor. el pantalon de yoga me ha gustado mucho, pero es demasiado grande. solicito su devolución y pedirás otra talla menos.</t>
  </si>
  <si>
    <t>Buen producto Cumple perfectamente con lo indicado. Compré el de 4 TB, porqué es el que necesitaba y viene perfectamente. Windows 10 me lo reconoció sin problemas. No es ruidoso. Buen producto. Lo recomiendo.</t>
  </si>
  <si>
    <t>Ana &lt;div id="video-block-R2JR8UQSO7R196"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src="https://images-eu.ssl-images-amazon.com/images/I/81W8+zP10lS.mp4" style="position: absolute; left: 0px; top: 0px; overflow: hidden; height: 1px; width: 1px;"&gt;&lt;/video&gt;&lt;/div&gt;&lt;div id="airy-slate-preload" style="background-color: rgb(0, 0, 0); background-image: url(&amp;quot;https://images-eu.ssl-images-amazon.com/images/I/71HALLPJOPS.png&amp;quot;);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center;"&gt;0:06&lt;/div&gt;&lt;div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value="https://images-eu.ssl-images-amazon.com/images/I/81W8+zP10lS.mp4" class="video-url"&gt;&lt;input type="hidden" name="" value="https://images-eu.ssl-images-amazon.com/images/I/71HALLPJOPS.png" class="video-slate-img-url"&gt;&amp;nbsp;Es preciosa, pagas el diseño, porque hace bastante ruido. Es más grande de lo que parece. Buenos acabados! Bien! Buen uso</t>
  </si>
  <si>
    <t>Una buena tarjeta de memoria por ese precio. Siempre he usado tarjetas de la marca SanDisk y nunca me han decepcionado. Esta, aunque no es muy rápida, es una buena compra a ese precio.</t>
  </si>
  <si>
    <t>Me encanta Precioso colgante, muy fino y queda precioso puesto</t>
  </si>
  <si>
    <t>Pequeño de gran capacidad Como oferta, he quedado muy satisfecho de su calidad respecto al precio. Son unos articulos que hoy dia se usan tanto como se pierden... Los pros es la gran capacidad. Los contras, que dado su pequeño tamaño, es igual de estupendo para transportar como facil de perder. Gracias.</t>
  </si>
  <si>
    <t>Portátil Lo mejor que tiene la licuadora es que no es necesario estar enchufada a la corriente asi que puedes llevartela donde quieras, la utilizo mucho para los niños y de esa manera comen fruta a diario</t>
  </si>
  <si>
    <t>Masajeador potente recimendado Muy buen masajeador exelente. Era justo lo que esperábamos llegó en solo un día .  Tiene una buena potencia y se ve duradera además de contar con sus accesorios y buena duración de bateria</t>
  </si>
  <si>
    <t>Ademas huele bien Envio rapido y producto de buena calidad,realmente nutre el cuero no es prigoso y deja un buen acabado y ademas huele bien</t>
  </si>
  <si>
    <t>Sorprendido gratamente Sorprendido gratamente, yo era reacio a los auriculares sin enganche en al oreja por el miedo que se caigan haciendo deporte y perder el auricular, y compre este modelo por su precio y porque estéticamente me parecen bonito y discretos el color negro es muy elegante. Lo primero que me gusto fue la presentación una caja negra con mucho gusto. Después la caja de carga también tiene un diseño muy bonito y elegante, me encanto los bordes redondeado que hace que el tacto al cogerlo sea mejor. Los auriculares dentro encajan con un sistema de magnetismo que hace que sea imposible meterlo en la caja mal y evitar sorpresas después, la caja de carga tiene una pequeña batería que se carga en 90 minutos más o menos y los auriculares tardan más o menos lo mismo en estar listo para usarlo. También puede cargar los auriculares sin necesidad de estar en la corriente, la batería puede durar 4 horas que no está nada mal. Los dos auriculares son discretos y pequeño con un tacto agradable se emparejan sin problemas y rápidamente entre ellos y luego en el móvil o tablet es muy sencillo como cualquier otro auricular. A la hora de usarlo encaja perfectamente en la oreja y no te puedes equivocar por que no encaja si no es su lado. Yo lo he usado con la bicicleta y sin ningún problema no se han caído en ningún momento que era lo que yo tenía miedo. En los auriculares tiene un botón central que se encarga de todo del encendido y apagado, coger llamada o no , si pulsamos doble clip en el derecho es siguiente canción y lo hacemos en el izquierdo es anterior canción. si lo que hacemos triple clip en el derecho sube volumen y si es en el izquierdo bajamos volumen. En resumen me ha encantado su larga vida de batería el tacto en la oreja que es muy cómodo para deporte está muy bien no se cae fácilmente, fácil de usar.</t>
  </si>
  <si>
    <t>Buenos auriculares Caundo llegó no las tenia todas consigo , parecia a primeras el tipico producto chino sin mas pretensiones, pero aqui la primera sorpresa: el manual estaba en perfecto español.  Facil el emparejamiento, tal cual los saque practicamente con aceptar en el telefono ya estaban emparejados  Facil el cargarlos, tan solo con dejarlos en su base ya dan para unas 2 o 2,5 horas  Sonido espectacular para lo que parecen unos graves bastante buenos (consejo: cambiar las almohadillas de serie por otras más gruesas para tener una experiencia de sonido brutal)  La base da para 2-3 cargas por lo que en una jornada entera de trabajo tienes de sobra  Para mi han sido la revelación: trabajo en una fabrica y tengo que llevar auriculares tipo 3M para amortiguar el ruido, pues bien ahora puedo llevarlos y ademas escuchar musica sin hacer inventos de cables y super comodos, para mi trabajo ha sido la leche la verdad, no se como seran otros mas caros pero estos van y suenan genial.</t>
  </si>
  <si>
    <t>Una maravilla Me encantan estas zapatillas, son mejor de lo que me esperaba. Son comodisimas y quedan súper bien puestas con un vaquero. La talla viene deacuerdo al tamaño europeo.</t>
  </si>
  <si>
    <t>Calor agradable durante horas Tras dos meses de uso estamos encantados. Con diez minutos de carga alcanza una temperatura relativamente alta. Luego se desenchufa y mantiene el calor durante horas. Nosotros la ponemos en la zona de los pies en la cama y nos está haciendo muy llevadero el frío. También la he usado para aplicar calor seco para el dolor de espalda y va perfecto. Muy recomendable, aunque compré otra en una tienda física más barata que en amazon.</t>
  </si>
  <si>
    <t>Muy contento con mis Salomon Servicio de Amazon iloecable, como siempre. Gran producto, precio inmejorable, me quedo con eso. No entraré a valorar uso o desgaste, que eso ya lo hacen otros usuarios, y yo no soy muy pro.</t>
  </si>
  <si>
    <t>Muy practico Encantado. Al fin he podido sacar todos los vídeos de mi iPhone sin necesidad de contestarlo al PC.</t>
  </si>
  <si>
    <t>ADIDAS DURAMO Me ha gustado todo. La zapatilla bonita, es comodisima y puedes andar todo lo que quieras con ella o sea que perfecta</t>
  </si>
  <si>
    <t>Cómodos y duros. Ofrecen un sonido de primera calidad. La calidad es bastante clara y fuerte, perfecto para música, ver películas e incluso llamadas telefónicas. Tiene una llave de control, que sirve para contestar una llamada pulsando una vez,  Funcionan a la perfección, se escuchan muy bien。Son unos auriculares robustos y con una calidad excepcional, por la que la relación calidad/precio es muy buena. Totalmente recomendables。</t>
  </si>
  <si>
    <t>Batidora de vaso Batidora de la marca Philips, de calidad. La batidora es sencilla, pero se ve un producto sólido, y resistente.  El cuerpo principal de la batidora, está acabado en acero inoxidable, en la parte frontal, tenemos un botón giratorio, con el que encenderemos apagaremos la batidora, ye iremos seleccionando la velocidad de batido. En la parte inferior, cuatro ventosas, que nos sujetan la batidora a la encimera de la cocina, estás, evitan que se mueva cuando estamos trabajando.  La jarra, fuerte y pesada, con capacidad para de 2 litros. La tapa, lleva en la zona de contacto con la batidora, un filo de silicona, para evitar que se derrame nada.  Como accesorio, nos viene un vaso para hacer batidos de fruta, muy práctico, viene con su juego de cuchillas, en un accesorio aparte, y otro accesorio, que es la tapa, por la que verteremos los zumos, una vez triturados.  Excepto el cuerpo principal, el resto de piezas y accesorios, podremos introducirlo en el lavavajillas.  Como detalle decir, que no es muy ruidosa, bastante menos que mi antigua batidora.  Philips, nos pone en nuestra mano, un montón de recetas y batidos. Podremos acceder a estos, instalando en el móvil la aplicación "Healthy Drinks" , que podemos encontrar en Play Store.  La potencia es de 700 W.  El selector de velocidad, tiene muchas posiciones.</t>
  </si>
  <si>
    <t>Un reloj de culto El reloj no tiene a mi parecer ningún defecto, por calidad el precio es un regalo, lo recomiendo totalmente. Solo un aviso : Es un reloj grande, si tienes, como yo, una muñeca pequeña a lo mejor no te acabará de ser cómodo, pero claro esto no es un defecto del reloj .</t>
  </si>
  <si>
    <t>Sonido excepcional Sonido excelente a la altura de lo esperado por este precio. Son algo calurosos así que después de aldededor de una hora de uso continuo tengo que quitármelos. La cancelación de ruido es genial, aisla completamente de los ruidos y sonidos externos. De momento ningún problema con la conexión Bluetooth o la batería. La batería aguanta bastante de momento, para mí más que suficiente.</t>
  </si>
  <si>
    <t>Poquisima comodidad.no he podido salir a la calle con ellas Hay que coger 1 talla mas las he estrenado y no son comodas el 2 par que e como de xti incomoda no las puedo llevar las devuelvo son insufribles es el 2 par que pido mi numero y hacen muchisimo daño</t>
  </si>
  <si>
    <t>Poco aconsejables Muy bien la sujeción al oído gracias a los adaptadores incluídos (de tres formas distintas) y a los tres tamaños de almohadillas suministrados. La duración de la batería de los auriculares un poco justilla, aunque se pueden recargar desde el estuche, pero tardan una hora y media en hacerlo. Poco cómodo el sistema de mando de operaciones (subir/bajar el volumen, adelante/atras, etc) ya que, al no ser táctiles, hay que apretar el auricular 1, 2 o 3 veces, lo que acaba haciendo daño en la oreja. El sonido, bastante deficiente: graves poco profundos y agudos resquebrajados, pero el defecto principal, para mí, el que se desconectava intermitentemente, durante todo el tiempo de uso, el auricular derecho, con lo que se dejaba de disfrutar la música y ha sido el motivo de haberlos devuelto.</t>
  </si>
  <si>
    <t>Limpio pero .. Es un material cómodo de utilizar. Pero a pesar de ser limpio no tiene mucha capacidad adherente.</t>
  </si>
  <si>
    <t>Arturo. Se me ha roto. Con 16 meses. Se ha empezado a apagar la pantalla. Ya no se ve ningún número ni letras. MUY DESCONTENTO,  pensaba que me duraría bastante ya que viene grabado que dura la batería 10 años. Que puedo  hacer?</t>
  </si>
  <si>
    <t>Lo pedi. En negro Lo pedi en negro.</t>
  </si>
  <si>
    <t>mala calidad No carga bien la bateria, los botones se desarman y se mueven. El micro solo capta la voz por la parte superior, no por los laterales y la regilla del micro esta aboyada... mal... quiero devolverlo!</t>
  </si>
  <si>
    <t>Buena opcion como micro de diadema inhalambrico Funciona perfecto, recoje la voz muy bien y se escucha nitido y alto. Buena autonomia de las baterias, al menos 3 horas sin problema .</t>
  </si>
  <si>
    <t>Casi perfecto Cancelacion de ruido, se escuchan muy bien, el unico pero que le pongo es que si tienes gafas resultan un poco mas incomodos. Materiales buenos y la bateria le dura muchisimo.</t>
  </si>
  <si>
    <t>Imanes Hola, cuando pedí este articulo no me fije bien en la medida, cuando las recibí me quedé... Pero todo y siendo muy pequeños engancha mucho</t>
  </si>
  <si>
    <t>Cassio Llevo 3 años con el y perfecto. Casio es mi marca favorita de relojes ya que se que son duros de narices. Lo utilizo dia a dia y en el trabajo dandole mucha caña.  El Cristal es irrompible no tengo ni un pequeño arrañazo nada, los bordes de resina/caucho si tienen rayas pero normal. Hoy en el trabajo por primera vez se me ha soltado el cierre de hebilla, lo volví a poner y arreglado</t>
  </si>
  <si>
    <t>Collar muy bonito Lo compré para estas próximas fiestas de Navidad y es precioso. El copo de nieve puede resultar algo pequeño, pero el collar es muy elegante.</t>
  </si>
  <si>
    <t>Cumple su funcion Pegar lonas en el exterior</t>
  </si>
  <si>
    <t>Perfecte Todo muy bien</t>
  </si>
  <si>
    <t>Buena compra Da un buen servicio, se nota que no es la original pero cumple satisfactoriamente.</t>
  </si>
  <si>
    <t>Muy estable incluso si suda Este auricular Bluetooth es perfecto para mis hijos. A menudo va a hacer ejercicio por la mañana. Pensó que el sonido sin música era un poco aburrido, así que se lo compré en Amazon. La logística lleva tiempo, así que no tengo prisa. Cuando lo recibimos, encontramos el sonido muy bueno, muy claro, cuando mi hijo estaba sudando en casa, este auricular Bluetooth es muy estable en la oreja y no se caerá.</t>
  </si>
  <si>
    <t>Zapatos de estrella, cómodos, bonitos y funcionales Geniales, bonitos, ajustados a mi pie con el número que uso siempre, el 38, aunque es verdad que mi pie es quizás delgado, pero cómodos y prácticos para bailar, no se clava nada y para el precio que tienen son perfectos. Quedan como si hubieras salido de Dirty Dancing, una gran elección, a ver si duran un tiempo suficiente.</t>
  </si>
  <si>
    <t>Encantado. Fue amor a primera vista desde que lo vi me gusto y muy feliz ahora con mi Gshock</t>
  </si>
  <si>
    <t>Bueno!? No huele tan fuerte,a my me gusta el olor mas intenso,tengo que poneer 20gotas a 200ml de agua y huele poco,calidad precio un 5 en una escala de 1 a 10</t>
  </si>
  <si>
    <t>Genial Lo que esperaba . Tiene 2 volumene de vapor , es programable 1,3,6 horas o funcionamiento hasta que se termina el agua . Es super silenciso</t>
  </si>
  <si>
    <t>son muy buenos el sonido y la comodidad</t>
  </si>
  <si>
    <t>Su comodidad E ha gustadouchp lo uso para caminar</t>
  </si>
  <si>
    <t>Sencillos y buenos Unos auriculares a buen precio que cumplen bien su función. Son sencillos, pero de buena calidad para su precio. Son los terceros que compramos para mis hijas, en distintos colores. Los usan cada día y resisten perfectamente. Si volvemos a necesitar otros, volveremos a repetir.</t>
  </si>
  <si>
    <t>Perfecto para médicos y enfermeras Mi hermana es enfermera y está todo el día andando de un lado para otro, por lo que necesitaba un calzado cómodo. Muchas compañeras suyas llevan Skechers, un calzado cómodo, pero algo más pesado que las Crocs. Es cierto que para el invierno las Crocs no suelen ser muy acertadas, pero para verano son un acierto total.  Son cómodas hasta decir basta, transpiran mucho y conseguiremos que el pie no sude. Es ideal para hacer caminatas entre las plantas de los hospitales, sin tener que cargar los gemelos por el peso, ya que son de una goma muy ligera que hace que vayamos caminando entre nubes.  La verdad que en este terreno hay que comprar Crocs, no hay otras iguales.</t>
  </si>
  <si>
    <t>Perfectos Eran para regalar. Ha quedado encantada con la calidad .</t>
  </si>
  <si>
    <t>Perfectas Cómodas y perfectas</t>
  </si>
  <si>
    <t>Perfecto La verdad que me queda como un guante gracias a los comentarios y opiniones de la gente he acertado completamente con la talla. Es de esos tobilleros que quedan ajustados por los tobillos y los bolsillos tienen cremallera lo cual se agradece.</t>
  </si>
  <si>
    <t>Supercompra Va increíble!!!. Lo recomiendo totalmente. La presión como un equipo profesional, nada que envidiarle. Espero que sea duradero. Encantada con esta compra.</t>
  </si>
  <si>
    <t>Biberón Es el único biberón que quiere mi hija la retina es la única que agarra bien</t>
  </si>
  <si>
    <t>Mal producto por su pésimo plegado Ocupa poco espacio plegado, pero yo que utilizo casi todo de esta marca, fregonas, escobas etc... es lo peor q he comprado de esta marca, ya que se sale continuamente del palo.</t>
  </si>
  <si>
    <t>Lozada Recibí el producto hace una semana, tengo una duda , pasado unos minutos de estar en funcionamiento se pausa, y tengo que volver a darle nuevamente , las cuchillas no cortan muy bien Algunos trozos de la piña, aunque los purés los deja bastante bien, probaré una semana más y sino la devolveré, me gustaría saber si a alguien más le ha pasado lo del pausado automáticamente . Gracias</t>
  </si>
  <si>
    <t>No se puede pedir mucho por 20€ Los auriculares cumplen su función con creces. Aíslan súper bien del exterior, son bastante cómodos y te dejan en tu mundo, pero la calidad del sonido es muy mejorable (lógico por 20€). Aparte, el sonido es muy bajo y aún poniendo el teléfono con el volumen a tope se seguía oyendo muy poco, por eso decidí devolverlos al día siguiente de comprarlos. Buscaré algo un poquillo mejor aunque haya que pagar un poco más</t>
  </si>
  <si>
    <t>Poca durabilidad No los recomiendo. Uno de los auriculares a dejado de funcionar a los dos meses. Y eso que solo se han usado para un uso esporádico</t>
  </si>
  <si>
    <t>Buenos auriculares bluetooth Me han gustado mucho son muy parecidos s los de Apple. La calidad de sonido muy buena incluso mejor que otros de más alto precio suenan genial. Te lias un poco con el táctil me h encantado todo de ellos . Lo malo es que no permiten subir y bajar el volumen solo avanza y retrocede de pista. Envio muy rapido</t>
  </si>
  <si>
    <t>Bastante bueno Es un aparato bueno y facil de usar. Quizas hecho de menos entrada microfono ya que solo tiene una entrada mini JAC y seria util uno de microfono o mesa... pero bueno coincide con la descripción y tiene muy buena calidad si lo sabes usar/configurar. Es muy sensible y tiene bastantes opciones. A mi me resulto util grabe cancion para videoclip. Muy bien</t>
  </si>
  <si>
    <t>Lo esperado Lo esperado.</t>
  </si>
  <si>
    <t>Buen humidificador Buen humificador. Apenas ruido. El único pero que le pongo es que en la programacion sólo ofrece 2/4 horas, cuando otros tienen para una hora. Por lo demás bien. Y cómodo tener el mando a distancia</t>
  </si>
  <si>
    <t>Buenos y bonitos Buenos zapatos, comodos y bonitos. Como en las fotos.</t>
  </si>
  <si>
    <t>Que calienta Contenta calienta la cama y al poder graduarla mejor Buena compra</t>
  </si>
  <si>
    <t>cristales claros Mi luna estaba con rayas de los parabrisas. Casi todo he podido eliminar! Tenia miedo pulir el crstal, pero ha salido muy bien</t>
  </si>
  <si>
    <t>Microfono + kit No está nada mal la calidad que ofrece al precio que tiene más los accesorios que se suministran  De momento hace su papel, le doy un 7 / 10. Desde luego  no me imaginaba poder adquirir a ese precio un micrófono tan bueno.</t>
  </si>
  <si>
    <t>Buen material y fiable. Buen producto, facilita poder usar cada conector independiente y con fiabilidad. Excelente</t>
  </si>
  <si>
    <t>Muy útil Es un dispositivo súper útil. Sobre todo con IPhone que es muy complicado de sincronizar con el pc. Lo pones, copias, y lo pasas al pc. Más fácil imposible. También vale para Android. La única pega es que cuando no lo estás usando, las ranuras quedan poco protegidas, por lo que hay que guardarlo para evitar roturas accidentales. Eso si, viene con su cajita metálica para ello.</t>
  </si>
  <si>
    <t>Estoy contenta Muy bien, no aprietan la cabeza, se oye muy nítido y ningún problema en la conexión de cascos con tv</t>
  </si>
  <si>
    <t>Un excelente jack para guitarra. En general su textura, sonido y por el miedo a que se enrede no hay ningún problema. Por lo que cuesta es buen producto.</t>
  </si>
  <si>
    <t>Que es de plata Es muy bonito y fino</t>
  </si>
  <si>
    <t>todo correcto Envío inmediato y todo correctisimo, lo devolví porque era un regalo repetido</t>
  </si>
  <si>
    <t>Estoy muy contenta Elegí este herbidor por precio y por valoración del resto de compradores, y estoy muy contenta con la elección. Lo utlizo en mi oficina y es suficiente. El diseño es bonito, tiene una capacidad de 1.2 l. y es muy rápida calentando el agua. El servicio de amazon fue rapidísimo, en apenas un par de dias.</t>
  </si>
  <si>
    <t>Esme Medina Son muy comodos,totalmente antideslizantes y bonitos. Los recomiendo y volveria a comprarlos si fuera necesario. Aconsejaria q diseñaran mas modelos.</t>
  </si>
  <si>
    <t>Muy buen producto Muy buen producto! Tengo la batidora está desde hace dos semanas y la uso convenientemente para batir la comida de mi bebé de 6 meses. Mucho más practica q la batidora normal xq es más pequeña y además al ser pequeña te la puedes llevar de viaje si te hace falta.  Genial calidad - precio. Un día me atrevi incluso ha hacer hummus y le costó trabajo, está claro que no es para eso, pero lo hizo!</t>
  </si>
  <si>
    <t>comodidad muy buenas</t>
  </si>
  <si>
    <t>Por ahora, funciona bien Lo tengo enchufado a una televisión Sony y por ahora funciona bien. La televisión lo formateó sin problema y las peliculas se ven. Está todo el rato enchufado.</t>
  </si>
  <si>
    <t>CALIENTA RAPIDO &lt;div id="video-block-R27Z00T7JPCX3V"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id="110" preload="auto" src="https://images-eu.ssl-images-amazon.com/images/I/91PtKk4tmnS.mp4" style="position: absolute; left: 0px; top: 0px; overflow: hidden; height: 1px; width: 1px;"&gt;&lt;/video&gt;&lt;/div&gt;&lt;div id="airy-slate-preload" style="background-color: rgb(0, 0, 0); background-image: url(&amp;quot;https://images-eu.ssl-images-amazon.com/images/I/81R98CNofxS.png&amp;quot;);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value="https://images-eu.ssl-images-amazon.com/images/I/91PtKk4tmnS.mp4" class="video-url"&gt;&lt;input type="hidden" name="" value="https://images-eu.ssl-images-amazon.com/images/I/81R98CNofxS.png" class="video-slate-img-url"&gt;&amp;nbsp;Perfecta manta eléctrica. Me gusta mucho, es muy fácil de utilizar y lo que más me gusta es que trae temporizador de 30 a 120 min, lo cual lo considero muy útil que la hora de acostarme no tener que apagarla. Su tela es muy suave, es muy cómoda y calienta enseguida.</t>
  </si>
  <si>
    <t>Converse Originales A mi me parecen las originales. Las he comparado a otras que tengo y no encuentro ninguna diferencia.  La numeración es correcta.</t>
  </si>
  <si>
    <t>Cristina Muy bien ,esta marca nunca me falla, eran para una niña y le quedan como  un guante. está encantada y yo también, claro</t>
  </si>
  <si>
    <t>Sin sorpresas Sin sorpresas. Conozco el producto y lo único que uno pide en estos casos es que no haya sorpresas.</t>
  </si>
  <si>
    <t>Bolso perfecto Para mi el bolso perfecto!! Tiene un montón de bolsillos, es espacioso y tiene el tamaño perfecto. Buen acabado. Muy contento con la compra</t>
  </si>
  <si>
    <t>Defectuoso Uno de los pendientes nada más ponerlo se rompió, el enganche parece ser que venía defectuoso, uno venía más rígido que el otro,</t>
  </si>
  <si>
    <t>No termina de cumplir mis expectativas Para ser de una marca tan conociera, la calidad no termina de ser la adecuada. En dos meses de uso empieza a perder el dibujo.</t>
  </si>
  <si>
    <t>Para no repetir La puntera es estrecha y acaba haciendo daño,cría fama...</t>
  </si>
  <si>
    <t>Parecía potente... Parecía muy potente, pero ya el primer día vi el anclaje de la varilla era de plástico y efectivamente se ha estropeado por ahí. Mal fabricado. Espero la devolución del importe...</t>
  </si>
  <si>
    <t>malísima de mala calidad, la cremallera se engancha, la tela es muy mala... no merece la pena</t>
  </si>
  <si>
    <t>Muy bien Se ven nuy bien de calidad y quedan muy bien</t>
  </si>
  <si>
    <t>recomendados son super comodos y de muy buena calidad, el problema que la tela es muy delicada y cualquier liquido que le caiga que no sea agua, se queda la marca, sera por el color tan claro, pero por lo demas super comodas</t>
  </si>
  <si>
    <t>José.a. Buena merece la pena comprarlo calidad precio esta bastante bien. Es recomendable para personas principiantes que empiecen a moverse en este mundillo</t>
  </si>
  <si>
    <t>Buen producto Cumple con lo que se le puede pedir a este producto. Es còmoda,calienta bien..etc</t>
  </si>
  <si>
    <t>Buena calidad Me he decidido a comprar este modelo, ya que en mi casa hay una almohadilla electrica de esta marca que era de mi abuela y aun funciona. Buena calidad, solo hecho en falta una funda, por lo demás, perfecto. Se apaga sola a los 90 minutos, comprobado.</t>
  </si>
  <si>
    <t>Es práctico Es práctico</t>
  </si>
  <si>
    <t>Super novedoso Este reloj despertador es la caña tiene luz de varios colores e  intensidades, de tiene incorporada la radio y la alarma se puede regular el volumen de ambas y es fácil de instalar y me encanta.</t>
  </si>
  <si>
    <t>Muy buen micro Perfecto para smartphones si quieres poner, por ejemplo, una voz en off en directo. Si lo acoplas a un resorte lo puedes usar de micro normal y de lujo.</t>
  </si>
  <si>
    <t>Casio G SHOCK inteligente Una maravilla, un casio con las funciones y resistencia de un G SHOCK, con el extra de ser un reloj inteligente, con contador de pasos y actividad, conectable por Bluetooth al móvil, actualizando al instante todas sus funciones, y permitiendo la administración de las mismas desde el teléfono. El servicio de Amazon, como siempre, rápido e impecable.</t>
  </si>
  <si>
    <t>Son cómodas Me han gustado mucho, pero no parecen unas deportivas, son zapatos de seguridad y a mi me gusta que parezcan unas deportivas. Las usó para el trabajo</t>
  </si>
  <si>
    <t>perfecto Este batidor cumple todo lo que esperaba con mucha eficacidad, uso bastante la mini picadora tambien no solo para hierbas pero para cortar muy fino verduras.</t>
  </si>
  <si>
    <t>Recomendable Muy cómoda y calentita . Color  y tacto muy agradable</t>
  </si>
  <si>
    <t>Un pantalón cómodo y bien confeccionado por muy buen precio. Era lo que esperaba, talla correcta ( escogí una S para 1.57 y 50 kilos) y buena calidad. Lo he lavado varias veces, encogió un poco la primera vez como es lógico pero ya está. Muy cómodo y el tejido es agradable al tacto.</t>
  </si>
  <si>
    <t>Perfecto Funciona correctamente, grapa bien</t>
  </si>
  <si>
    <t>Orgullosos de su producto Muy buen cable con una muy buena calidad/precio, y tienen el detalle de mandar un juego de púas de regalo, recomiendo 100% está compra</t>
  </si>
  <si>
    <t>Buena mochila Creo que le falta algún otro bolsillo para guardar pequeñas cosas o poder organizarlas mejor</t>
  </si>
  <si>
    <t>KabelDirekt Excelente producto, buena relación calidad precio, cumple perfectamente su función, buen cable para altavoces, perfecto,  muy contento con la compra.</t>
  </si>
  <si>
    <t>conectividad excelente bluetooth y aux en un mismo casco excelente tacto del material, buen sonido y conectividad multiple. son ligeros para ser unos cascos grandes, incluye un estuche para transportarlos, buen detalle. puedes conectarlos por bluetooth y ademas por cable, ideal por si te quedas sin bateria o si los utilizas en un estudio como es mi caso.</t>
  </si>
  <si>
    <t>Muy buenas Quedan muy bien, y son iguales que como se especificaban, aguantan bien el desgaste y depues de unas semanas de uso siguen igual.</t>
  </si>
  <si>
    <t>Rapidez entrega Funciona correctamente. Rapidez en entrega</t>
  </si>
  <si>
    <t>Un bonito detalle. A mi mujer le ha encantado.</t>
  </si>
  <si>
    <t>Aromas muy agradables. Buena selección de aromas, y todos muy agradables, nada extravagantes ni empalagosos.  Me encanta el de limón especialmente. Da una sensación de frescor a la habitación muy buena.  Yo estoy usando 3 gotitas en un humidificador de 100 ml, y el olor es suave y agradable, no me gusta demasiado intenso.  Ojo, que son aceites, no sirven para cualquier humidificador, muchos sólo funcionan con aromas hidrosolubles.</t>
  </si>
  <si>
    <t>Colgante de plata Es muy fino y la cadena es preciosa, me a hencantado el diseño.</t>
  </si>
  <si>
    <t>Caja destrozada Caja destrozada y golpeada por todos los sitios...</t>
  </si>
  <si>
    <t>Bien. Exprime bien y al hacer dos a la vez, es más rápido. Ne se puede lavar en el lavavajillas, por lo que tienes que estar frotando con un cepillo si quieres limpiarlo bien. No sé lo que durará, pero no parece que sea una calidad muy alta.</t>
  </si>
  <si>
    <t>Como un aspirador de bolsa, nada En sí es un buen aspirador que cumple su funcion. Pero me dejo de funcionar al año y medio. Solo hay un servicio técnico en Valencia y la atención al público deja mucho que desear. Se me atascan mucho los pelos de los animales en el cepillo de abajo. Hay que cambiar los filtros cada medio año para que succión bien. Como un aspirador de bolsa, nada</t>
  </si>
  <si>
    <t>ojo que necesita phantom de 48v.. Pues le pongo 3 estrellas porveso mismo. Lo compré porque me hacia falta para una grabación y no pude usarlo pq sin phantom no fuciona. No es que capte poco es que sin phantom es como cantarle a una piedra. Mi mesa tiene phantom pero no tenia a mano un doble xlr (canon,) y sin xlr no hay phantom.. asi que no lo pude usar hasta que no fui a mi local de ensayo a por uno. El cable que viene además de ser de nefasta calidad no vale para alimentarlo... para que incluyen ese mierdon de cable?? Seguiré infirmando de como graba pq aun no lo he usado.</t>
  </si>
  <si>
    <t>No hace slime. No comprar para hacer slime porque no funciona Yo se lo compre a mi hijo porque quería hacer slime y no le ha salido. Ha probado de todas las formas y no funciona</t>
  </si>
  <si>
    <t>Abalorio El abalorio es muy bonito pero venía en una mini bolsa trasparente eso me a Delgado mucho que desear ya que era para regalar</t>
  </si>
  <si>
    <t>Neli Muy cómodo, fácil de llevar por su elasticidad, relación calidad precio resulta sorprendente y más al ser un pack con 3 unidades</t>
  </si>
  <si>
    <t>PERFECTA PARA LA CASA. NO HACE MUCHO RUIDO, ASPIRA MUY BIEN Y ES MUY MANEJABLE PARA REALIZAR LAS LIMPIEZAS. ROWENTA NUNCA ME DECEPCIONA. OK</t>
  </si>
  <si>
    <t>Muy buena elección Creo que se trata de una buena elección: buenos materiales, buenos acabados y detalles a tener en cuenta, como la abertura más ancha que facilita la entrada del agua. El tamaño es perfecto (aprox. 2 litros). Espero que dure más que otras y así se justifique el precio algo más elevado.</t>
  </si>
  <si>
    <t>Correctas Las botas son como esperaba , la talla no se corresponde con la Europea o la americana que son las mas utilizadas</t>
  </si>
  <si>
    <t>Buenas memorias Buen relacion calidad precio en su tiempo, contento con esta compra, el diseño elegante y material resistente. Aunque ha subido bastante desde que yo las compre en 2015.</t>
  </si>
  <si>
    <t>Buena compra Buen precio y buena calidad , cómodas y bonitas , estoy satisfecha con la compra . La talla la esperada</t>
  </si>
  <si>
    <t>Muy bonitas-cómodas Aunque para gustos colores, me gustan bastante, negras,piel lisa de calidad,relativamente flexibles,buena suela...personalmente uso un 42, en este caso pedí el 41,5 y acierto total, ajustan como un guante. No son waterproof así que no sé cómo se comportaran con el agua. Si la pillas a buen precio,compra más que recomendable.</t>
  </si>
  <si>
    <t>Buena calidad Muy adecuado para el ratón de MAC</t>
  </si>
  <si>
    <t>CASIO Un reloj bonito, ni muy grande ni muy pequeño  con muchas funciones. Un reloj múlti función de gama básica muy completo</t>
  </si>
  <si>
    <t>me gusta Excelente Es igual que tenía yo se lo recomiendo a todo el mundo y no sé que más poner ya</t>
  </si>
  <si>
    <t>Relación precio calidad 100% recomendada</t>
  </si>
  <si>
    <t>Es larguita, para llevar unas mallas Camiseta muy cómoda y bonita</t>
  </si>
  <si>
    <t>Una maravilla Calidad excelente...supercomodas no defrauda el dinero que gastas en ellas...no es la primera no será la última zapatilla que me compré de esta marca</t>
  </si>
  <si>
    <t>Muy bueno Muy buen producto, se ajusta a la descripción. No es tan ajustado como parece en la zona del tobillo no queda totalmente ajustado. Abriga bastante con lo cual es indicado para invierno y por este precio esta muy bien.</t>
  </si>
  <si>
    <t>Buen precio y entrega super rápida excelente.... Buen producto para el uso que le doy estupenda no tiene mucha potencia pero a mi me va estupenda tal cual.....</t>
  </si>
  <si>
    <t>Autoesterilizables. Están muy bien. Es la marca que más le gusta al peque. No se bien por qué, pero es así. La ventaja de que sean autoesterilizables nos ha venido muy bien para viajes. No tener que llevar el armatoste de esterilizador.</t>
  </si>
  <si>
    <t>Amplio espacio para hacer copias de seguridad Por 99,9 euros ahora tengo 2,7 TiB de espacio adicional para hacer copias de seguridad: amplia capacidad... que se terminará quedando pequeña. ;-) La velocidad es razonable, 80 a 100 MB/s conectado a un puerto USB 3.1 Gen. 1, funcionando con un nivel de ruido bajísimo.  Globalmente, muy bien. Estoy satisfecho con la compra.</t>
  </si>
  <si>
    <t>Bonito difusor! Estoy muy contenta con él, tiene un diseño muy bonito, aunque es de plastico parece de madera!. Funciona de maravilla!. Tengo la casa perfumada!!.Ha llegado muy bien empaquetado!!</t>
  </si>
  <si>
    <t>Buena alfombrilla Los materiales son buenos y la iluminación excelente.</t>
  </si>
  <si>
    <t>Correcto Poco se puede decir de este producto ya que es conocido por casi todo el mundo. Pegamento eficaz, resistente y muy duradero.</t>
  </si>
  <si>
    <t>bueno muy bueno el producto. yo utilizo una 39 y según la prueba que hice me aconsejaron una 40 y la verdad que genial.</t>
  </si>
  <si>
    <t>Cumple plenamente con su objetivo el producto muy bueno, de buena calidad, ya tenia otro y este lo compre para tener un repuesto ya que estoy muy contenta con este producto. cumple muy bien su funcion</t>
  </si>
  <si>
    <t>Relacción calidad precio Cumplen perfectamente por el precio que tiene incluyendo los adaptadores de silicona de recambio. Buena calidad de materiales y tambien buena calidad de audio.</t>
  </si>
  <si>
    <t>NO ES LO QUE ESPERABA sirve para nadar pero los numeros de la hora no se ven, es decir, lo pongo en la opcion caminar porque nadar no la tiene y si quiero ver la hora no puedo verla, en primer lugar porque los numeros no se ven ,no son fluorescentes, solo me sirve para ver las pulsaciones y los pasos dados, si quiero ver la hora en ese momento mientras estoy nadando tengo que salir de la aplicacion para ver la hora .</t>
  </si>
  <si>
    <t>Regular A veces se entrecorta uno de los auriculares y no se escucha del todo bien</t>
  </si>
  <si>
    <t>Va a lo loco He tenido q devolverla porque no me gustaba. Chocaba contra todos los muebles de forma brusca y se pasea sin ton ni son. Podía estar toda una hora en la misma habitación y no iba a las demás. Ahora tengo una con mapeo y no hay color. Sin mapeo no compraría nunca alguna.</t>
  </si>
  <si>
    <t>Nada comodidad No tiene nada de comodidad , son muy duro ,resbala con nada son un peligro con el suelo mojado ,por el precio tenían que ser mas de calidad ,plantilla muy dura</t>
  </si>
  <si>
    <t>Tan bien como esperaba El tamaño es genial y tiene una velocidad bastante buena, pero el paquete venía dobladl y se ha despegado el pendrive de su carcasa, lo he pegado yo manualmente y sin problemas.  A disfrutarlo</t>
  </si>
  <si>
    <t>Buena calidad precio Van muy bien lo que pasa que son trasparentes aunque se le bien la letrada bien</t>
  </si>
  <si>
    <t>Impresionado por su bajo precio Llego antes de tiempo y se ve muy bonito este reloj, precio super economico</t>
  </si>
  <si>
    <t>Calidad-prefio Es algo ruidosa y no mide el agua. Por lo demás, estupendo.</t>
  </si>
  <si>
    <t>Me ha sorprendido gratamente Realmente me ha sorprendido mucho lo bien que va con W7. Lo recomendaría por que la relación de calidad precio es fantástica</t>
  </si>
  <si>
    <t>Muy buena compra Necesitaba un termo para hacer los biberones fuera de casa y de verdad que fue un acierto.  Agua se mantiene caliente muchas horas. Ahora lo hago servir hasta por las noches para no esperar hasta que se calienta el bibi y así no hago a mi peque llorar de hambre.</t>
  </si>
  <si>
    <t>10/10 Precioso, con una muy buena presentación, mi pareja quedó encantada con el, volveré a comprar de esta marca seguro</t>
  </si>
  <si>
    <t>Excelente reloj. Ha superado mis expectativas. La cadena es algo ligera. Pero el mecanismo NH35A es muy preciso. Supera a relojes mucho más caros.</t>
  </si>
  <si>
    <t>Correcto Los calcetines perfectos, super transpirables y comodos. Muy contento</t>
  </si>
  <si>
    <t>Buena calidad Algodón bueno. No tira pelusas. Muy cómodos y tacto suave. Quedan muy bien puestas a media pierna. Los usa mi hijo cuando entrena al fútbol y no se le caen</t>
  </si>
  <si>
    <t>Cumple con las espectativas &lt;div id="video-block-RK01YHFJ4H8YZ" class="a-section a-spacing-small a-spacing-top-mini video-block"&gt;&lt;/div&gt;&lt;input type="hidden" name="" value="https://images-eu.ssl-images-amazon.com/images/I/B1g8YV+h8IS.mp4" class="video-url"&gt;&lt;input type="hidden" name="" value="https://images-eu.ssl-images-amazon.com/images/I/A1UktqTjIVS.png" class="video-slate-img-url"&gt;&amp;nbsp;Tengo problemas de espalda y empece a buscar este tipo de esterillas, despues de ver la de Pranamat y ver que valia mas de 100€ decidi probar con una mas barata, es ligera y bastante completa ya que lleva tambien una almohada para las cervicales, de momento cumple con lo especificado, yo la uso 10 minutos y es mas que suficiente.</t>
  </si>
  <si>
    <t>Genial Tenía otro modelo con mas accesorios y se me rompió y esta va genial y me valen el resto de accesorios</t>
  </si>
  <si>
    <t>Super higiénico Me encanta este biberón, al ser de cristal es mucho más fácil de limpiar y más higiénico para el bebé. La única pega es que Al ser de cristal el bebé no lo.puede sostener sólo por el peso. Para mí el mejor biberón de todos.</t>
  </si>
  <si>
    <t>Altavoz portátil Ibiza Genial. Perfecto para fiestas y eventos. Buen sonido. Los micros muy buenos. Calidad precio muy bien. Lo único q las instrucciones son muy escuetas.</t>
  </si>
  <si>
    <t>Seiko snzg15k1 Reloj Seiko SNZG15K1 automatico 5 sport hombre military, con calibre 7S36 23 rubies, con tres agujas con doble calendario en ingles/alemán.  Con caja de acero mate, esfera negra y brazale textil negro. El cristal es mineral hardlex. Resistente al agua 100 metros. Diametro de la caja 41 milimetros (solo corona).</t>
  </si>
  <si>
    <t>Bonitos y baratos. Compre estos pendientes a juego con un colgante con tonos azules y la combinación a sido genial. Son muy bonitos y elegantes. Le han encantado.</t>
  </si>
  <si>
    <t>Es super comoda Soy entrenador personal y me a gustado mucho</t>
  </si>
  <si>
    <t>Velocidad Brutal. Nueva vida para tu ordenador. Bien de precio. Sin entrar en complicadas especificaciones técnicas, este disco duro de última generación tiene muy buenas prestaciones, principalmente porque:  Tiene una excelente velocidad de escritura y grabación, con muy bajo consumo y poco calentamiento.  Es ideal para ampliar la memoria de tu portátil o tener un pequeño disco duro exterior ( necesitas una carcasa, eso es barato).  IMPORTANTE. No vale para equipos "antiguos", hay que comprobar que nuestro ordenador tenga un slot NVme Pcle. ( NO VALE EL TIPO SATA DE TODA LA VIDA).  Sin duda la marca es una tranquilidad de garantía y confianza, poco más hay que decir al respecto.  El precio: Los ssd, están bajando continuamente, y ahora mismo esta memoria tiene un precio razonable, en mi opinión.  La instalación. Sencilla y rápida. En mi caso no he tenido problema, todo ok.</t>
  </si>
  <si>
    <t>perfecto tal y como se indica en la foto</t>
  </si>
  <si>
    <t>Me encanta . Práctico, pequeño y sencillo: es perfecto</t>
  </si>
  <si>
    <t>Muy prácticas Comodisimas las uso para todo, van genial para ir a la playa</t>
  </si>
  <si>
    <t>Excelente regleta Cumple perfectamente su función y presenta una terminación bastante bien acabada. Se agrade la existencia de los dos puertos USB para cargar dispositivos electrónicos a través de ellos, sin necesidad de tener que hacer uso de uno de los enchufes. Absolutamente recomendable.</t>
  </si>
  <si>
    <t>Practico Mola</t>
  </si>
  <si>
    <t>Decepcion La calidad  deja algo que desear, son muy finos, sin material antideslizande en dedos y talón, por lo que no se fijan bien en el suelo. Resultan pequeños.</t>
  </si>
  <si>
    <t>Decepción La zapatilla genial pero cuidado me llego con la suela de colores r blanco</t>
  </si>
  <si>
    <t>FUNCIONARON MAL DESDE EL PRIMER DÍA Nada más sacarlos, los probé y solo funcionaba el lado derecho. Toqueteando la clavija, conseguí que funcionaran los dos auriculares. Pero pensé que podía ser cosa de la conexión del portátil donde los había conectado (¡Los acababa de comprar!). Pues no. Los probé en otro ordenador y un teléfono móvil, y les pasaba lo mismo.  Desde entonces, ahí están. Que a veces funcionan solo por un lado y hay que ir toqueteando la clavija para que funcionen por los dos.  Pasé de cambiarlos porque por lo que cuestan es que ni merece la pena hacer la devolución.  Las 3 estrellas son porque quiero pensar que el problema con mis auriculares es algo puntual. Y porque hace muchos años ya tuve el mismo modelo y me funcionaron bien. Si no se tiene el problema de que deje de sonar por un lado, la relación calidad de sonido/precio es más que aceptable.</t>
  </si>
  <si>
    <t>Le doy un cero No tiene nada que ver con la fotografía, son de pésima calidad. Es un engaño total.Me decepciona totalmente que te presenten un producto y que después no tenga nada que ver. A eso se le llama engañar al consumidor</t>
  </si>
  <si>
    <t>Pantalón hombre Muy ajustado en la piernas y muy flojo en la cintura, la tela no hera lo que me esperaba</t>
  </si>
  <si>
    <t>Lo que se ofrece, sin engaños Parecen originales y funcionan igual que ellos. No engañan, suenan bien y prestan el servicio que se espera de estos auriculares. Buena compra por un precio muy ajustado. El único pero, tardan bastante en llegar</t>
  </si>
  <si>
    <t>Funciona Útil</t>
  </si>
  <si>
    <t>Lo esperado, pero embalaje doblado No es gran cosa, porque lo que quería era la tarjeta de memoria, pero lo que es el plástico en el que venía envuelto estaba como doblado, arrugado, lo cual no es de buen recibo.</t>
  </si>
  <si>
    <t>Funciona Me permite usar el bajo con auriculares o conectarlo a un equipo de música casero. Los ritmos son un poco complejos para practicar con ellos.</t>
  </si>
  <si>
    <t>Bastante caro Bastante caro</t>
  </si>
  <si>
    <t>La entrega Muy bien</t>
  </si>
  <si>
    <t>CUMPLE LAS EXPECTATIVAS Lo compré para un regalo a un legionario y le gustó mucho. No es tan "armatoste" como se ve en las fotos.</t>
  </si>
  <si>
    <t>Me sorprende que Funcione con el telefono... Es pequeño, portatil , y con muchos Pros. - Sensibilidad en las teclas( al principio estan un pelin duras, pero despues de darle caña, vas a disfrutar tocando). - los pads, Knobs , joystick, estan bien diseñados y son muy suaves en su funcionamiento.  - Funciona con Smartphone, mediante un adaptador  que no viene incluido (Universal) puedes usarlo con tu telefono para controlar mediante midi el Daw que tengas instalado. y esta es una de las caracteristicas que destaco.  Contras: Las teclas son palancas literalmente, y al tacto un poco raras. El joy esta muy bien pero echo de menos la rueda de Pitch y Mod.  Conclusion: Se nota que es un teclado para Performance, Inicio de estudio de produccion por el tamaño y esta bien diseñado. No te arrepentirás de la compra.</t>
  </si>
  <si>
    <t>Relación calidad/precio OK Ni auriculares baratos del montón ni cascos cerrados algo más caros, me decidí por estos normalitos (recomendados por un conocido que ya los tenía) y la verdad es que hacen su función de sobra. Se adaptan bien al oído, se escuchan bien y los puedes llevar cuidados en su fundita.</t>
  </si>
  <si>
    <t>Cómodos para hacer ejercicio Son muy cómodos, vienen con varios tipos de auricular para que escojas el que mejor se ajusta a tu oreja, se vinculan rápido e incluso puedes ponerte solo uno, la cajita es una pasada ya que te indica la carga que tiene cada uno y una vez cargados puedes apagarla del todo, son bastante discretos y se escuchan muy bien, el sonido va a corde con los videos, lo recomiendo 100%.</t>
  </si>
  <si>
    <t>todo perfecto todo ok</t>
  </si>
  <si>
    <t>Lucia Buenos auriculares,sonido muy bueno, no se escucha nada del exterior, te aislas del mundo exterior .Muy buena compra. Todo correcto</t>
  </si>
  <si>
    <t>Muy completos, buen sonido, plegables y baratos. Muy completos, buen sonido, plegables y baratos. ¿Qué mas se puede pedir? Tienen hasta radio y ranura para microsd, enganchan por bluetooth enseguida y la cobertura abarca todo el puiso, con lo que puedes emitir desde cualquier sitio y moverte con libertad por tu piso. Gran autonomía.</t>
  </si>
  <si>
    <t>100% recomendable Llego todo muy bien!!! 100% recomendado el producto es original y trajo lo que se ve en la foto ...</t>
  </si>
  <si>
    <t>Muy recomendable Muy recomendable tanto por calidad como por precio. Es muy difícil encontrar un producto con este formato en otro lugar. Además te envían una guía de cómo utilizarlo de manera óptima.</t>
  </si>
  <si>
    <t>Esther Muy utiles. Vienen un monton y de diferentes colores y muy vivos. A mi me ha servido de gran ayuda para encontrar el punto por el que voy sin problemas de que se camufla entre la lana. También para ir marcando puntos. Están genial</t>
  </si>
  <si>
    <t>Transpirables y muy ajustables Cómodo</t>
  </si>
  <si>
    <t>Lleva tus datos a donde necesites Muy buen precio, capacidad de almacenaje hasta 128gb, es 3.0 por lo que es rápido. Para mí tiene el tamaño y el diseño perfecto, lo he puesto en mi llavero, nunca se sabe cuando hace falta un pendrive. Muy contento, repetiré compra.</t>
  </si>
  <si>
    <t>Me encantan Para mí los mejores biberones. Tanto mi hijo cómo mi hija lo han usado.</t>
  </si>
  <si>
    <t>Nada que objetar Son los náuticos de siempre, quizá con un color algo más rojizo que otros que he usado. Extraordinariamente resistentes y cómodos. Se han adaptado perfectamente desde la primera puesta.</t>
  </si>
  <si>
    <t>Cómodos y ligeros Buscaba cascos ligeros y cómodos para niños y cumplen su función</t>
  </si>
  <si>
    <t>Bien La primera limpieza ha sido correcta. Esperaba que las rejas quedaran con una limpieza más profunda.</t>
  </si>
  <si>
    <t>A medias!! Las zapatillas bien lo que había pedido,pero las pedí por segunda vez y me costaron 10 euros más que la primera y se creen que me tomaron el pelo.Eso no se puede hacerealizar, si hacen una rebaja y no me las envían me tenían que haber mantenido el precio poesía el fallo de ellos y así se llevaron 10 euros más.</t>
  </si>
  <si>
    <t>No me han gustado nada No había comprado nunca aceites esenciales pero al comprar un humidificador compre estos. No se si todos son igual pero no tienen casi aroma. En el frasco concentrado Aún huelen algo pero al añadir las gotas al agua apenas huelen y se va el Aroma enseguida. Yo estos no volveré a comprarlos</t>
  </si>
  <si>
    <t>Buenos por unos meses Fueron muy buenos pero no me duraron lo suficiente. Los he tratado igual que cualquier otros audífonos que he tenido y otros me han durado años y estos a los pocos meses se me dañaron. Suenan un poco aún pero es como si estuviese escuchando las canciones en instrumental y me imagino que se le dañó cerca del jack. Pero fueron buenos mientras duraron, se les cae las almohadillas un poco fácil pero más que eso vienen con un estuche muy útil y fácil de guardar en donde sea.</t>
  </si>
  <si>
    <t>Mala calidad Malísima calidad , licra mala calidad y el 1 día salen ilos.. y dan mucha talla</t>
  </si>
  <si>
    <t>Mala calidad El relleno térmico se mueve para todos los lados y no se distribuye bien por todo el pie</t>
  </si>
  <si>
    <t>No recomiendo su compra Muy descontenta. El primer día de uso ya se rompió la palanca.</t>
  </si>
  <si>
    <t>CONTENTO Bueno de momento funciona perfectamente, es decir cuando no lo utilizas tiene una autonomía de carga de 48 horas que esta dentro de lo normal, su funcionamiento hasta la fecha no retrasa nada, y a simple vista esta muy bien, estoy contento con la compra.</t>
  </si>
  <si>
    <t>Satisfecho Buen producto que cumple con la descripción a buen precio. Recomendado</t>
  </si>
  <si>
    <t>Precio calidad Buen tamaño buena calidad muy práctico para cámara un par de objetivos y algunos complementos</t>
  </si>
  <si>
    <t>Posibilidad de ampliar indirectamente memoria del movil Los terminales USB deberían tener más proteccion</t>
  </si>
  <si>
    <t>Un disco duro que cumple las espectativas A pesar del venir muy mal embalado, el disco duro funciona correctamente. Sin ser de la mejor familia de western el disco duro tiene una tasa de transferencia correcta.El ruido es prácticamente nulo y ha sido fácil de instalar.</t>
  </si>
  <si>
    <t>Estupenda Me gusta que no lleve la resistencia en contacto con el agua, asi no se llena de cal y el herbidor está siempre limpio. Lo tengo siempre sobre el pollete de la cocina porque con su color plateado me convina estupendamenete y la uso todos los dias varias veces. Es rápido para calentar el agua de cualquier cosa y mantiene el agua caliente bastante rato</t>
  </si>
  <si>
    <t>Perfecta para llevar mi tablet de 7" Es perfecta para llevar la tablet, teléfono ,carteras, etc... gracias a sus múltiples bolsillos. Se puede poner de bandolera perfectamente y es cómoda de llevar.</t>
  </si>
  <si>
    <t>Servido rápido. Se ajusta a lo ofrecido por el fabricante</t>
  </si>
  <si>
    <t>perfecto para cualquier fiesta Después de probarlo unas cuantas veces, nos hemos dado cuenta porqué tiene tanto éxito. Funciona perfectamente, se sincroniza con el móvil y es muy divertido cantar en plan karaoke con él. Para nosotros, perfecto!</t>
  </si>
  <si>
    <t>Calidad superior Las calidades de la mochila merecen el extra en el precio, buenas cremalleras, buenos tejidos. El diseño y color son iguales que las fotos, cabe un portatil de 15,6”.</t>
  </si>
  <si>
    <t>potente. Yo diría que demasiado potente para un vaso tan pequeño, se desborda si vas a tope. Este "defecto" para mi es una virtud, utilizo un recipiente mas ancho y listo.</t>
  </si>
  <si>
    <t>Buenos y cómodos Desde que los compré, los uso más de 8 horas diariamente, y como si nada.  Se escuchan perfectamente, tienen bastante volumen, para los que les guste sentir la música, y como digo, no se notan para nada que los llevas puestos.  Otra cosa bastante buena que le veo es que el cable es como trenzado pero con una cubierta, lo que hace más dificil el que se pueda romper o doblar y que deje de funcionar alguno.</t>
  </si>
  <si>
    <t>Calidad precio inigualable. Son realmente cómodos y la calidad del sonido es increíble. Te aísla de todo y te quedas inmerso en lo que escuchas.  Vienen muy bien presentados con base de carga, que evita tener problemas de donde están los cables etc. Además, si tuvieramos una urgencia, tambien sirve para cargar el móvil. La batería dura bastante.  Recomiendo estos auriculares a todo el mundo, ya que en relación calidad precio muy pocos le equiparan.</t>
  </si>
  <si>
    <t>Lo recomiendo Después de usarlo mucho tiempo puedo decir que va estupendamente bien al principio duele un poco pero cuando te levantas ufff es una alivio de la tensión yo que sufro de cervicales, puedo decir que va súper bien</t>
  </si>
  <si>
    <t>Talla M ajustada Para una 40 la talla M queda bien, pero ajustada, así que si prefieres que quede más holgada la prenda mejor la L. Por lo demás una camisa súper chula, tejido de algodón fino para la primavera. Envío perfecto, el día que indicaron.</t>
  </si>
  <si>
    <t>Comodidad Relacion calidad precio las mejores zapatillas deportivas despues de las Babolat, que he tenido, las utilizo para el gimnasio y son perfectas. El material de la suela es adaptable al talon y aporta gran comodidad.</t>
  </si>
  <si>
    <t>COMODIDAD Son buenas para correr</t>
  </si>
  <si>
    <t>Ligera y cálida. Me encanta lo ligera que es y lo que abriga. Es muy cómoda...talla bien, un poco pequeña pero similar a otras marcas.</t>
  </si>
  <si>
    <t>Muy buena calidad Tal cual dice. Prenda Adidas de total calidad</t>
  </si>
  <si>
    <t>la calidad y el diseño Bonito y de buena calidad.Sienta muy bien.Para el frio y la lluvia ideal</t>
  </si>
  <si>
    <t>Elegante colección de 6 aromas o aceites esenciales. En principio no tengo opinión al no haberlo utilizado todavía, pero viene muy bien embalado y con su caja perfectamente íntegro yls los 6 aceites: cereza, gardenia, jazmín, rosa, te blanco y otro que no sé ahora mismo qué aroma es. Me refiero al frasquito denominado Ylang yYlang.</t>
  </si>
  <si>
    <t>Mopa Todo bien</t>
  </si>
  <si>
    <t>Muy buena compra Las tallas de panama Jack este año son algo más grandes de lo habitual. Normalmente tengo un 44 pero he pedido un 43 y queda perfecta.</t>
  </si>
  <si>
    <t>El título no coincide. Todo bien. Buen precio. Pero en la portada pone MY ADVENTURE WITH YOU, en lugar de lo que pone en las fotos. Me parece una forma de engañar.</t>
  </si>
  <si>
    <t>Mas o menos..... No esta mal? Pero no me acaba de convencer, no veo resultados óptimos, talvez a otras personas siente mejor. Supongo sea en dependencia del tipo de piel.</t>
  </si>
  <si>
    <t>Manillas poco contrastadas Los números que identifican las horas son suficientemente grades y realizan muy bien su función cuando la luz es escasa. Las manillas deberían ser mas contratastadas, con poca luz cuesta trabajo ver la hora.</t>
  </si>
  <si>
    <t>Están bien Lo único es que con el uso el reborde de atrás se dobla y puede molestar</t>
  </si>
  <si>
    <t>Me esperaba MÁS para ser un micrófono RODE La calidad del soporte es pésima. Es endeble, el audio del micrófono no lo he probado pero para ser un micrófono tan caro me esperaba más. Parece un micrófono chino de 20 euros pero con la marca "RODE".</t>
  </si>
  <si>
    <t>No tengo palabras Es papelina y súper pequeño. Yo uso una L XL y esta talla casi ni cerraba. No voy a comprar más.</t>
  </si>
  <si>
    <t>Buena relación calidad-precio. De momento funciona bastante bien, aunque no llevo mucho tiempo con él. No tiene tanta potencia como un aspirador con cable, pero hace muy cómoda la limpieza del suelo para el día a día. Para limpiezas más profundas o cuando hay que aspirar arenilla hay que recurrir a otro más potente. pero es muy cómodo y en definitiva es para lo que es y por ese precio no se puede pedir más. Los aspiradores con cable dan más pereza.</t>
  </si>
  <si>
    <t>Está bien, pero no deslumbra Está bien, pero lo esperaba algo más grande. De momento funciona perfectamente</t>
  </si>
  <si>
    <t>MUY BUENA COMPRA Muy recomendable para ambientes lluviosos. Además no pesa y es fácil de transportar. El gorro cubre perfectamente la cabeza y funciona de cortavientos también. No le pongo 5* porque los bolsillos son abiertos, podían cerrarlos. Talla equivale a la tuya. Pedí 38 y uso S-M de arriba.</t>
  </si>
  <si>
    <t>G.j. Calidad precio, excepcional. La correa regular, para el precio total del reloj es correcta. Por la noche,apenas se ven las manecillas. Totalmente recomendable por el precio que tiene.</t>
  </si>
  <si>
    <t>Ok Pedi una 44 q es lo q suelo usar las trajeron y eran grandes Contacte con el vendedor y en menos de una semana ya tenia otras d una talla menos asi q todo ok</t>
  </si>
  <si>
    <t>Cómodos y buen material En un principio tenía pensado devolverlos,pues ponía que eran de mujer,de eso nada valen para cualquier sexo,además de cómodos los cogí de velcro,pues tengo el empeine del pie derecho muy alto y así los puedo regular, estoy encantado y solo puedo recomendarlos.</t>
  </si>
  <si>
    <t>Perfecto para limpiar el interior de botellas Lo uso para quitar la cal de las botellas de cristal con un poco de&amp;nbsp;&lt;a data-hook="product-link-linked" class="a-link-normal" href="/Fairy-Original-Lavavajillas-a-mano-2-5-l/dp/B00PJTHUMI/ref=cm_cr_arp_d_rvw_txt?ie=UTF8"&gt;Fairy - Original - Lavavajillas a mano - 2.5 l&lt;/a&gt;&amp;nbsp;y&lt;a data-hook="product-link-linked" class="a-link-normal" href="/Viakal-Antical-Gel-limpiador-antical-750-ml/dp/B00XJSZQRC/ref=cm_cr_arp_d_rvw_txt?ie=UTF8"&gt;Viakal Antical - Gel limpiador antical, 750 ml&lt;/a&gt;&amp;nbsp;, queda como nuevo, así como del deposito de agua de la cafetera&amp;nbsp;&lt;a data-hook="product-link-linked" class="a-link-normal" href="/Bosch-TASSIMO-Vivy-TAS1252-Cafetera-multibebidas-automática-de-cápsulas-diseño-compacto-color-negro/dp/B00MOADPQ0/ref=cm_cr_arp_d_rvw_txt?ie=UTF8"&gt;Bosch TASSIMO Vivy TAS1252 - Cafetera multibebidas automática de cápsulas, diseño compacto, color negro&lt;/a&gt;  Muy recomendable</t>
  </si>
  <si>
    <t>Muy recomendable Es muy sencillo de usar, tiene un buen precio y ademas su estilo es bonito. Lo uso todos los dias y para mi esta genial!</t>
  </si>
  <si>
    <t>Supersilencioso La verdad que despues de haberlo usado varias semanas, es una pasada, muy facil de limpiar y muy silencioso, nada que ver con el otro que tenia. Logicamente no es cero ruido, pero si que no molesta en absoluto al hacer los zumos, se pueden hacer en mitad de la noche que no despiertas a la familia... :-) Muy recomendable.</t>
  </si>
  <si>
    <t>La calidad precio. El producto hasta el momento funciona perfectamente y es facilísimo de manejar. Además cuenta con un libro de instrucciones en español muy explicativo.</t>
  </si>
  <si>
    <t>genial funciona muy bien, es correcto y bien embalado y con su funda de polipiel da un estilazo al pack, por otra parte no funciona como micro para grabar el audio de los videos del movil, no se si haya que hacer algo en la configuracion del movil, probare a ver si se resuelve sino tendre que devolverlo</t>
  </si>
  <si>
    <t>Buena potencia Batidora muy completa ya que trae una serie de extras intercambiables, su propio brazo, un vaso, un picador, unas varillas para batir e incluso un soporte para instalar en tu cocina y dejar apoyada tu batidora y tenerla siempre a mano. Yo estoy muy contento con su potencia. Espero que dure mucho. Envió perfecto y vendedor de confianza</t>
  </si>
  <si>
    <t>PENDIENTES Los recibí dentro del plazo que me indicaron, aunque la espera fue algo larga. Lo que más me gusta es su original diseño y su precio. Los he puesto de momento solo un par de veces, asi que están tan lindos como cuando los recibí. Los recomiendo.</t>
  </si>
  <si>
    <t>Muy útiles para ir a trabajar Cómodos y elegantes, lo que necesitaba para ir a trabajar. Contento por la compra, deseando que me duren mucho tiempo.</t>
  </si>
  <si>
    <t>ZUMOS MUY RICOS Al principio hacer olor, a medida que la utilizas desaparece, fácil limpieza, se desmonta muy fácilmente. Tiene bastante fuerza y no se calienta en exceso</t>
  </si>
  <si>
    <t>Fantástico Es un hervidor potente,rápido y de muy buena calidad</t>
  </si>
  <si>
    <t>Excelente. Sin un pero. Me funcionan perfectas, no sabría decir nada malo sobre ellas. En comparación con otras tienen la mejor relación calidad precio que pude encontrar. Compra recomendada.</t>
  </si>
  <si>
    <t>j.a. domene Muy practico y comodo de llevar lo recomiendo es espacioso y sobretodo por el precio es bastante asequible nada mas.</t>
  </si>
  <si>
    <t>Compra recomendada El producto funciona fenomenal, se conecta rapidísimo, en cuanto lo sacas de la caja está preparado para conectarse.  Lo he utilizado en viajes de más de dos horas sin parar sin problemas de batería ni interrupciones.  La calidad de audio es muy buena, no son unos auriculares profesionales pero por el precio que tienen están a la altura de unos buenos. No tiene ruidos electricos ni ecos, en general una compra muy buena.  Volvería a comprarlos</t>
  </si>
  <si>
    <t>Contenta Calzo un 36 y medio 37 y me quedan justas. Si tenéis entre 37 y 38 mejor pedid el 38. Por lo demás todo perfecto</t>
  </si>
  <si>
    <t>calidad Buen servicio</t>
  </si>
  <si>
    <t>Los mejores Van muy bien pero difíciles de limpiar</t>
  </si>
  <si>
    <t>Navidad Regalo</t>
  </si>
  <si>
    <t>Recomendable Muy efectivo y rápida mejoría en un señor de 90 años dentro unos límites debido a su estado de desgaste de la articulación</t>
  </si>
  <si>
    <t>que  tengan más calidad Esta rota y estando cuidadas . Nuevas  por todo y ya cortadas Una sobre todo a salido malisima</t>
  </si>
  <si>
    <t>Bonito, pero cintura ancha Leggins muy bonitos de estampado y de tejido agradable, pero la cintura es demasiado ancha y se te van bajando.</t>
  </si>
  <si>
    <t>bodrio de reloj Ya se que por ese precio no se puede pedir peras al Olmo, pero decir que es un robusto reloj es mucho decir para un reloj que es totalmente de plàstico. Da el pego a la vista, pero al mas ligero movimiento, la pila se sale de su sitio y se para. En definitiva, un reloj que como mucho es para que jueguen los niños, y con suerte durara unos 5 minutos. Es un engaño total</t>
  </si>
  <si>
    <t>Me duro menos de 2 meses. Lo recibi el 1 de Agosto y ayer, 24 de Septiembre se le fue la unión de donde sale la cinta para colgar. No 2 meses ha durado.   Es un tanto pequeño, pero correcto.</t>
  </si>
  <si>
    <t>Cumple su función. Tengo un blue yeti, y aunque sean compatibles al cabo del tiempo el soporte no aguanta el peso de dicho micro, luego la base que aguanta todo, empieza a soltarse pero poco a poco.  Cumple su función.</t>
  </si>
  <si>
    <t>Buen cable a precio asequible. Cumple perfectamente con su cometido. El cable proporciona sonido nítido con suficiente calidad. Por el precio de venta, no se puede pedir nada mejor.</t>
  </si>
  <si>
    <t>Calidad/precio Esta marca me gusta mucho, por ser muy cómodas</t>
  </si>
  <si>
    <t>comodísimos Me han llegado esta mañana, me he puesto uno y no me lo he quitado. Los quería para andar por casa y creo que van a llevar buen trote! Son suaves y no te olvidas rápidamente de que los llevas puestos. Además, sujetan bien el pecho y lo hacen hasta bonito. Yo pedí una XL porque tengo la espalda ancha (uso una 95B, pero me pedí la equivalente a una 100B) Muy contenta con la compra.</t>
  </si>
  <si>
    <t>Esta bastante bien. No le doy las cinco estrellas porque los fondos de los bolsillos interiores se descosieron a la tercera utilización. Por lo demás, muy bien, muy cómoda y duradera en lo demás (salvo lo de los fondos de los bolsillos interiores). Para mi gusto agradecería que tuviera la correa unos diez o quince cm. más larga (para llevarla cruzada por fuera de la prenda exterior), pero eso puede ir en gustos.</t>
  </si>
  <si>
    <t>Comodísimas ¡Una maravilla!</t>
  </si>
  <si>
    <t>Queda bonito De momento no veo que se ponga feo</t>
  </si>
  <si>
    <t>Muy bonito Para mi marido le encantó</t>
  </si>
  <si>
    <t>Muy buen producto Mucho más cómodas de lo que esperaba dado su precio, pero estoy muy conforme con ellas además con las ventajas de PRIME es realmente recomendable!!</t>
  </si>
  <si>
    <t>Perfecto, fiel a la fotografia Genial</t>
  </si>
  <si>
    <t>La calidad Muy llamativo y bonito</t>
  </si>
  <si>
    <t>Contento con la compra! Queda muy bien, tiene un diseño bastante elegante. Se puede combinar con todos los estilos. Ha sido una buena elección!</t>
  </si>
  <si>
    <t>Relación calidad precio buenísima Bastante sorprendido. Suenan muy bien para lo que cuestan, llevan funcionando perfectamente desde que los compré y son bastante cómodos. Eso sí, son grandes comparados con los demás que he visto. La batería dura bastante, yo no los uso mucho y aún no los he cargado</t>
  </si>
  <si>
    <t>PARA MIS MP3 Por tamaño y velocidad es un pendrive ideal para llenarlos de MP3s y llevarlos en el autorradio. Es muy compacto y su color rojo hace que sea difícil de perderlo. Además cuando está leyendo se enciende una luz roja muy potente. La velocidad de transferencia como podeis ver es bastante aceptable y su capacidad de 32 GB lo hacen imprescindible para llenar de discografías favoritas.</t>
  </si>
  <si>
    <t>Muy buena cafetera. Muy buena cafetera. Puedes regular sabor y cremosidad. Usa café en grano y molido. Puedes regular la cantidad de café. El grifo de vapor funciona perfectamente. Solo un pero. Como se limpia cada vez que se enciende y seba paga, tira mucha agua, pero en cambio, siempre se mantiene limpia.</t>
  </si>
  <si>
    <t>No defrauda Muy buena incluso para picar hielo al principio huele un poco a quemado pero luego desaparece</t>
  </si>
  <si>
    <t>Perfecto. Encanradisimo con la compra. Fue para realizar un regalo a un familiar, y llenarme nuevamente el disco de fotos de sus hijos... se le rompió el único disco duro que tenía y yo le facilite todas las fotos de una copia de seguridad que tengo yo de toda la familia. No se lo esperaron.  Funcionó sin problemas. 100% recomendado.</t>
  </si>
  <si>
    <t>Buena compra Cómodo y con espacio para muchos documentos.</t>
  </si>
  <si>
    <t>muy bien. volvere a comprarlos me gustan mucho para hacer deporte. los volvere a comprar pues su precio calidad  es muy atractivo. espero que  sigan a la venta mucho tiempo porque con tantos calcetines tengo para una buena temporada</t>
  </si>
  <si>
    <t>Geniales Me van un pelín grandes pero con una plantilla solucionadísimo. Tengo el 39 y aun sabiendo que calzaba grande me compré el 39 porque era más barato. Mi novio las tiene y me hacía ilusión tenerlas igual, pero yo con plataforma. Son comodísimas. Las estrené para un viaje y contra todo pronóstico no me hicieron nada de daño.</t>
  </si>
  <si>
    <t>Muy funcional Es perfecta , robusta ,buen funcionamiento y de muy buena calidad.</t>
  </si>
  <si>
    <t>Magnífico calzado. Precioso, comodisimo, acabado ideál</t>
  </si>
  <si>
    <t>Cable MIDI OK! Era lo que buscaba!</t>
  </si>
  <si>
    <t>Skecher Bellos pero muy grandes</t>
  </si>
  <si>
    <t>Muy flojo. Muy flojo, no aguanta bien peso Algo p120 y los fijadores se pasan con facilidad...</t>
  </si>
  <si>
    <t>Te oyen mal. EDITADO a 16/10/19 Leyendo las opiniones de otros compradores es posible que mi unidad esté mal. Si bien la recepción del audio es aceptable, el micrófono es pésimo. En las llamadas de teléfono siempre se quejan de que me oyen fatal, y cuando lo conecto al ordenador para hablar por skype o cualquier otro programa de comunicación, lo mismo. Hay que pelearse un poco para que se conecte al bluetooth, pero bueno, al final se conecta. Me arrepiento de mi compra, la verdad. Una pena. EDITADO a 16/10, la unidad estaba mal. El servicio de atención al cliente, muy atento y me ha resuelto el problema rápidamente.</t>
  </si>
  <si>
    <t>Talla Marque la talla 36 1/3 y me ha llegado 36 2/3... un poco justas pero son muy bonitas.</t>
  </si>
  <si>
    <t>Muy malas Las compré por los comentarios y me han decepcionado bastante. Las botas PESAN MUCHÍSIMO Y SON MUY RÍGIDAS no os recomiendo comprarlas</t>
  </si>
  <si>
    <t>No es plata 925 Ha llegado un mes tarde, y la calidad no coincide con lo ofertado. No es plata de Ley 925, lo ha comprobado un joyero.</t>
  </si>
  <si>
    <t>Entrega muy rápida y en perfecto estado. Zapatillas perfectas, entrega muy rápida.</t>
  </si>
  <si>
    <t>Encuadernadora Cumple con su objetivo</t>
  </si>
  <si>
    <t>Está bien, funciona correctamente. Está muy bien, resistente y grapa un buen número de hojas.</t>
  </si>
  <si>
    <t>Barato pero con calidad La calidad en comparación con otras del mismo precio es muy superior. A pesar del precio no es frágil, es resistente, función como suponía. Lo uso con Native Instruments Maschine y Ableton Live y funciona perfectamente, plug&amp;amp;play.  Ha venido con un serial number para el Ableton Live 9, que cuesta 80€ foi una sorpresa agradable.</t>
  </si>
  <si>
    <t>Diferent e Original, i funciona bé, pel preu poca cosa es pot demanar</t>
  </si>
  <si>
    <t>Perfectos para el gimnasio Me han gustado mucho estos auriculares, vienen perfectos para salir a correr o ir al gimnasio. La cajita que trae para cargarlos tiene un panel LCD para ver el estado de la batería y eso me ha sorprendido. La duración de la batería te puede aguantar todo el día en un uso cotidiano. Emparejarlo es muy fácil y se emparejan los dos a la vez, he tenido otros que eran mas complicados de emparejarlos, y eso se agradece para gente torpe como yo. Un detalle curioso es que la cajita es tambien una powerbank de 2500 mah y me ha salvado en alguna ocasión.</t>
  </si>
  <si>
    <t>Casio El casio de toda la vida!</t>
  </si>
  <si>
    <t>Buenos pero MUY BUENOS Mi PC es para trabajar y suelo utilizar multiple paginas web a la vez, más Word, Publisher, XL a la vez más grabacionnes de voz y video y empiezaba a ir lento. Ya he comprado y install¡ado esto y va MUY BIEN y gracias a toda la gente quien repondio a mis preguntas :)</t>
  </si>
  <si>
    <t>Auriculares para trabajar Estoy muy sorprendida con tanta evolución en este tipo de dispositivos. Compre otros hace tiempo para mi novia y estos se notan mas avanzados y nuevos. Bastante buena calidad de sonido. Solo puedo decir que, si no eres un purista en calidad de audio, desde luego, que te va a gustar mucho su sonido, es espectacular la mezcla entre graves y agudos. Se controlan con el tacto, para parar la música, recibir llamada, encender, apagar, etc muy cómodo. Vienen con tecnología de Control de Ruido CVC 6.0 y se nota mucho como te aísla del exterior, siendo el sonido más limpio sin interferencias del exterior. El micrófono que trae incorporado es bueno y cuando te llaman se escucha batsante limpia la voz. Otros dispositivos similares no incorporan micro. La conectividad es muy rápida e intuitiva y se puede conectar a más receptores como al móvil, pc, etc. Se adaptan muy bien al oído y se sujeta perfectamente, aunque te muevas mucho, por eso los uso mucho y son geniales para el deporte¡ Se recargan dentro de la su caja, que también tiene carga como para recargarlos sobre 3 veces y eso es muy cómodo. Me ha gustado mucho su diseño y como quedan en el oído y puedo recomendarlos al 100 x100. Normalmente los uso para trabajar por su buena calidad para la voz y las calls.</t>
  </si>
  <si>
    <t>Todo correcto Muy cómodo y bonito</t>
  </si>
  <si>
    <t>Buen precio La calidad de siempre en tamaño XL a un precio inigualable. La caja está en alemán</t>
  </si>
  <si>
    <t>Zapatillas Todo perfecto</t>
  </si>
  <si>
    <t>Necesario para "rejuvenecer" un viejo ordenador Le da más velocidad de inicio los procesos son más rápidos tengo 2 idénticos uno en un portátil y otro en sobremesa y funcionan muy bien rápido fiable y a buen precio</t>
  </si>
  <si>
    <t>SUDADERA ADIDAS Talla correcta</t>
  </si>
  <si>
    <t>Genial... De muy buena calidad, se ajusta perfectamente a la cabeza y no se mueve nada, muy cómodas, las utiliza mi mujer para punto de cruz y yo para la Electronica, recomendadas.</t>
  </si>
  <si>
    <t>Gran accesibilidad Manejable para limpiar sitios dificiles</t>
  </si>
  <si>
    <t>Marca reconocida El producto por los momentos es satisfactorio, habrá que esperar a que no falle, por tanto, mi opinión inicialmente es muy subjetiva pues llevo un día de uso.</t>
  </si>
  <si>
    <t>Lo que estaba buscando Funcional y economico.</t>
  </si>
  <si>
    <t>Dos tripodes y una bolsa de transporte economicos. No se puede pedir mas por este dinero, yo lo uso para un Behringer B615D que es bastante pesado y lo aguanta sin problema. Muy contento con la compra.</t>
  </si>
  <si>
    <t>Satisfacción Producto en perfecto estado y cumplimiento de las perspectivas .Es lo q esperaba</t>
  </si>
  <si>
    <t>Buen Tejido Es una buena prenda para los días de frío, abriga bastante  y queda bastante bien puesta. la recomiendo  en este color</t>
  </si>
  <si>
    <t>Es lo que se anuncia. Recomendable No son baratas pero es lo que se anuncia: Comodas y de buena calidad. El color es quizás más claro del que se aprecia en la foto.</t>
  </si>
  <si>
    <t>no hace ruido Movilidad y muy buen prasporte también</t>
  </si>
  <si>
    <t>Misma talla y diferente anchura según color Compre uno gris y me pareció perfecto así que hice una segunda compra de otro gris y uno verde y la sorpresa ha sido que a pesar de ser todos la misma talla el verde es más estrecho de cintura, de ahí mi baja valoración para el verde</t>
  </si>
  <si>
    <t>Diseño Hola, en general va bien pero tiene un grave problema y es que el cierre no encaja bien y se abre sólo fácilmente, hay que llevar cuidado con eso. Saludos.</t>
  </si>
  <si>
    <t>👍 Creo que están bien aunque no los he usado mucho porque los compré a la vez que otros mejores. Supongo que los usaré cuando se rompan los buenos hasta que me compre otros mejores</t>
  </si>
  <si>
    <t>ENGAÑOSO NO FUNCIONA NI SIQUIERA EN LA PS4</t>
  </si>
  <si>
    <t>Para devolver literalmente Se desconecta constantemente. Funciona muy mal.</t>
  </si>
  <si>
    <t>Mal El reloj ha dejado de funcionar en tan solo 2 semanas sin causa aparente y de repente. Da problemas de conexión con el bluetooth y el pulsómetro ha fallado varias veces. Completamente decepcionada. Veremos a ver la devolución...</t>
  </si>
  <si>
    <t>Recomendable Este producto se perdió por el camino,culpa de la compañía de paquetería, me resolvieron el problema muy rápido dándome a elegir entre mandar otro o devolverme el dinero. He de decir que he pedido más ropa con este vendedor y la calidad del producto no está nada mal para el precio que tienen.</t>
  </si>
  <si>
    <t>Bien Llego en plazo. Pedí una L ya que utilizo una 42. Aún no la he utilizado ya que la compré para esos días que cuando salgo de pilates ya refresca por lo que no puedo valorar su resultado una vez lavada. Si fuera necesario en el futuro lo añadiré comentarios al respecto. Las mangas son muy ajustadas</t>
  </si>
  <si>
    <t>Son cómodas Cuando te las pones da una sensación rara en la planta del pie pero supongo que será por la plantilla que tiene. Al rato se pasa la sensación</t>
  </si>
  <si>
    <t>Muy cómodos a buen precio Buena calidad del calzado. Es un poco de horma estrecha. Muy cómodos.</t>
  </si>
  <si>
    <t>Excelente relación calidad precio Excelente relación calidad precio. Puedes cortar para aprovechar el papel, no es necesario usar toda la hoja para algo pequeño.</t>
  </si>
  <si>
    <t>Buenas Acerté en la talla. Es la que usa mi padre</t>
  </si>
  <si>
    <t>Calidad y confort Muy buena calidad</t>
  </si>
  <si>
    <t>Me encantan Muy bonitas y comodas</t>
  </si>
  <si>
    <t>Muy bonito El color muy bien y la calidad también</t>
  </si>
  <si>
    <t>Precio razonable Calidad</t>
  </si>
  <si>
    <t>Muy buen producto. Muy buen producto.</t>
  </si>
  <si>
    <t>Adri Un relos sencillo, pero robusto. Aguanta los golpes muy bien y las condicioned poco favorabled. Un producto bueno y resistente a un precio economico.</t>
  </si>
  <si>
    <t>Se escucha genial Se  escucha genial y se conecta al móvil sin problemas . Súper cómodo y divertido</t>
  </si>
  <si>
    <t>Excelente Completisima en cuanto a accesorios y funciones y a buen precio para la potencia y accesorios que tiene.</t>
  </si>
  <si>
    <t>Producto fantástico Las he comprado porque ya tengo unas en rojo desde hace años y son muy comodas. Calzan un poco pequeñas pero con el tiempo se estira un poco el contorno que sujeta el pie ( no la suela). Se ajustan perfectamente al pie y son duraderas y elegantes. Recomiendo el producto y al vendedor</t>
  </si>
  <si>
    <t>Buenos Sonido bueno, según la fuente puede ser hasta muy bueno (TV, PC, Móvil) aunque los prefiero para la  tarde noche para no molestar. Perfecto el sistema de dos cables, el  corto ideal para el móvil  y con la extensión puedes moverte libremente (mesa despacho) mientras los usas. Preferiría un tamaño algo mayor de cascos y almohadillas , por comodidad aunque los he empezado a usar en verano y no dan un calor excesivo. La diadema con su arco metálico en ocasiones  resuena si vibra , la tocas o meneas la cabeza. La relación calidad precio muy buena.</t>
  </si>
  <si>
    <t>Buenos Estoy encantada súper cómodos, para hacer ejercicios genial y los llevo a diario. Recomendados.</t>
  </si>
  <si>
    <t>Potencia y autonomía Una pasada de aparato. Comparado con el anterior el doble de potencia. Estoy encantada, mí casa es grande y tiene autonómia de sobra para terminarla entera. Por ponerle un pero quizás un poco ruidoso, pero es algo secundario. Buenísima compra</t>
  </si>
  <si>
    <t>fantastica relacion calidad precio! 2 tijeras buenas por 8€</t>
  </si>
  <si>
    <t>Primera impresión muy buena Me ha llegado y he puesto el nombre de mi hija, ya que es para marcar la ropa para la guardería. Realmente por ahora genial, y se puede ir quitando y poniendo según se desee</t>
  </si>
  <si>
    <t>Cómodas Como siempre la skechers son garantía de comodidad. Encajan perfectamente y tienen un color muy bonito</t>
  </si>
  <si>
    <t>Muy bueno. Ha llegado tal y como indica la descripción y la foto. Por una taza, en nada esta hirviendo. Va genial! Recomiendo la compra si es lo que estas buscando.</t>
  </si>
  <si>
    <t>Gran sonido, baja calidad El sonido es de gran calidad y son conodos, pero a la semana de uso se rompio. Amazon respondio bien a la devolucion</t>
  </si>
  <si>
    <t>Bueno pero mejorable Cumple la función de masajear pero al utilizar la vibración llega a ser un poco molesto pasado un rato. Difícil de usar por el peso del producto,  el calor no se llega a apreciar,  pero la verdad que el producto es de buena calidad y siempre te salva de un apuro,  también decir que gracias al mango puedes llegar a zonas de la espalda sin necesidad de que nadie te ayude. Creo que relación calidad precio es positiva.</t>
  </si>
  <si>
    <t>Pequeños y pican Más pequeños de lo esperado. Voy a proceder a la devolución porque además el material del que están compuestos pica la piel y es incómodo, es como un abrigo de lana para los pies.</t>
  </si>
  <si>
    <t>Se rompieron con menos de 10 usos Muy malas, dudo que sean originales. Tengo Converse de hace 14 años que están mejor que estas, se despegó la suela en los primeros meses. Eso sí Garantía 0. Me dicen que fue por mal uso.... Una vergüenza de vendedor... 90€ tirados a la basura</t>
  </si>
  <si>
    <t>No sirve No hace nada. Parece que difumina el arañazo pero no. Solo ensucia la hendidura y luego al desaparecer el producto vuelta a lo mismo. No sirve para nada.</t>
  </si>
  <si>
    <t>Cumplidas expectativas Cumplidas expectativas</t>
  </si>
  <si>
    <t>Comodidad Es una pieza muy comoda, se adapta perfectamente, es como si no llevaras nada</t>
  </si>
  <si>
    <t>lo que esperaba me ha resultado problemático la extensión del palo de la fregona, soy alta y lo necesito al máximo, se suelta bastante a menudo</t>
  </si>
  <si>
    <t>Es muy buen producto Al bebe le gusta esa tetina especialmente y la forma del biberón es muy cómoda para sus manitas, creo  haber dicho rodo</t>
  </si>
  <si>
    <t>Cómodas sandalias Son bastante cómodas para andar. Y el tamaño de la talla es el correcto. A mí me van bastante bien.</t>
  </si>
  <si>
    <t>Muy recomendable Recomiendo saber la talla antes ( yo me fui al corte inglés para asegurarme) sujeta el pecho perfectamente, para hacer deporte, tener en cuenta que lleva unas costuras en diagonal del pecho que según que gente le puede resultar molestas o no. a mi me encantó!</t>
  </si>
  <si>
    <t>Unas zapatillas comodas Lo compre porque me gustaron</t>
  </si>
  <si>
    <t>Muy bien calzado s1p muy cómodo Muy buena zapatilla de seguridad S1P, con puntera de composite  muy comoda yo le di un producto impermeabilizante para mejorar su resistencia al agua y suciedad yo le puse una plantilla de gel y pedi un número mas del que yo utilizo y todo perfecto</t>
  </si>
  <si>
    <t>Genial Lo seagate los conozco y a mi me gustan. Buen disco para el pc.</t>
  </si>
  <si>
    <t>Funciona Estoy super contento. Este material no huele. Sella bien y parece que tendrá durabilidad (sólo llevo un par de semanas usándola).</t>
  </si>
  <si>
    <t>Buena compra Quedan según la talla. No se transparenta para nada. Muy cómodos.</t>
  </si>
  <si>
    <t>Bien Excelente.</t>
  </si>
  <si>
    <t>Comodidad Máxima comodidad. Una delicia para los pies</t>
  </si>
  <si>
    <t>Simple y básico Un reloj sencillo con lo básico. Cronometro y cuenta atrás. Funcionamiento perfecto. Números grandes y bien visibles. Fantastica luz que ilumina por completo la pantalla en oscuridad</t>
  </si>
  <si>
    <t>Es muy conveniente de usar y muy simple. Super auriculares con micrófono y cable para máxima comodidad, sonido claro, agudos y balance de graves. Es muy conveniente de usar y muy simple.</t>
  </si>
  <si>
    <t>Buena compra Muy práctico para todos los días, para el trabajo, muy cómodo de llevar en todo momento, se ve para cualquier ocasión. Me está saliendo bastante bueno, he comprado otro para regalar</t>
  </si>
  <si>
    <t>Alta potencia a buen precio &lt;div id="video-block-R3I8TVS9NK0W3B"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id="37" preload="auto" src="https://images-eu.ssl-images-amazon.com/images/I/C1Ucp5NHVwS.mp4" style="position: absolute; left: 0px; top: 0px; overflow: hidden; height: 1px; width: 1px;"&gt;&lt;/video&gt;&lt;/div&gt;&lt;div id="airy-slate-preload" style="background-color: rgb(0, 0, 0); background-image: url(&amp;quot;https://images-eu.ssl-images-amazon.com/images/I/71nyqd8AVES.png&amp;quot;);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value="https://images-eu.ssl-images-amazon.com/images/I/C1Ucp5NHVwS.mp4" class="video-url"&gt;&lt;input type="hidden" name="" value="https://images-eu.ssl-images-amazon.com/images/I/71nyqd8AVES.png" class="video-slate-img-url"&gt;&amp;nbsp;Batidora-licuadora con muchas opciones. Me gustan mucho diferrnted preparaciones que requieren este tipo de máquinas, smothies, creps, hummus,pasta para canelones... Tenia una batidora de mano que se me quedaba siempre pequeña, con la capacidad de esta (2l) y su potencia ahora tengo la versatilidad que necesito, además es muy fácil de limpiar, la llenas de agua hasta la mitad, le pones 2 gotas de lavabajilla, la enciendes y solo queda enjuagarla. Muy práctica!</t>
  </si>
  <si>
    <t>Queda impecable! Muy Chula y buenas calidades. Producto verdadero de la marca y queda muy Chula.</t>
  </si>
  <si>
    <t>Es un Casio... Poco que aportar a algo que ya sabemos todos. Un Casio es infalible y eterno... Un reloj fantástico como todos los que hacen desde esta corporación.</t>
  </si>
  <si>
    <t>Perfecto Es perfecto, igual que en la foto los colores y todo, queda muy bien y no pesa mucho. Me alegra haberlo comprado</t>
  </si>
  <si>
    <t>Es lo que esperas Es lo que esperas y además ha llegado antes de lo previsto. Se puede comprar con confianza.</t>
  </si>
  <si>
    <t>Perfecto! El reloj muy bien, buena calidad, lo unico es que pense que era negro quizas vi mal la foto pero en realidad es marron! Pero del resto muy bonito</t>
  </si>
  <si>
    <t>Justo la medida 👍🏻👍🏻</t>
  </si>
  <si>
    <t>Fantasticas mallas de deporte Estas son las mallas mas comodas que he tenido. Quedan perfectas (y favorecedoras), son muy comodas, y sujetan bien la zona del vientre. Me encantan. La talla es fiel a la descripcion. Yo me pedi la XL y me quedan bien (con otros productos, la XL equivale a una L y me quedan pequeñas, pero estas genial). Lo único negativo que comentaria es que dan un poquitin de calor en reposo.</t>
  </si>
  <si>
    <t>No es rapido Tarda demasiado en copiar o mover archivos, pensé que era fallo pero pedí uno prestado y lo mismo. Uso Mac y no se si sera por eso no lo creo pero puede tardar hasta 7 min por pasar 1GB</t>
  </si>
  <si>
    <t>Muy pesados La calidad de sonido es bastante buena pero son bastante pesados. Sobresalen mucho del oído así que no los recomiendo para hacer deporte. Si los introduces bien hasta hacer un poco de vacío aíslan bien del exterior pero si haces algo de ejercicio ligero no son nada cómodos e incluso se puede caer.</t>
  </si>
  <si>
    <t>Tamaños muy pequeños Son excesivamente pequeños, parecen realmente de plata, veremos con el tiempo si conservan su brillo.</t>
  </si>
  <si>
    <t>Mal hecha Muy mal acabado, los círculos de debajo sobresalen porque no caben en el hueco q tienen en la suela y mal acabado el logotipo, devuelta</t>
  </si>
  <si>
    <t>Mal articulo Se me rompio el primero al mes de tenerlo , hay un problema en el anclaje de la base y el resto de elementos, hace que pierda potencia y no se pueda utilizar. Me la cambiaron por otro igual y le ha sucedido lo mismo.</t>
  </si>
  <si>
    <t>Parece buena calidad Estoy contenta</t>
  </si>
  <si>
    <t>buena opción para aliviar el dolor los parches son fáciles de colocar y proporcionan bastante calor desde el principio. A mi me han ido muy bien y no he tenido que tomar ningún calmante cuando los he llevado puestos. Me parecen un poco caros pero son efectivos</t>
  </si>
  <si>
    <t>Era más o menos lo que buscaba Un poco más pequeño de lo que pensaba. La función de imán un poco escasa pero válido para lo que es</t>
  </si>
  <si>
    <t>grande la malla es grande para ser M, la he tenido que devolver, la verdad es que no esta mal por el precio que tiene,pero al quedarme grande no se como quedaría una mas pequeña, la devolución por parte de Amazon sin problemas como siempre rápido.</t>
  </si>
  <si>
    <t>Geniales Son funcionales y muy prácticos</t>
  </si>
  <si>
    <t>Comodidad Todo perfecto</t>
  </si>
  <si>
    <t>Buena calidad Diseño y calidad</t>
  </si>
  <si>
    <t>Muy buena compra Reloj de calidad y a un precio insuperable. Lo uso a diario y para el trabajo. Se ha llevado bastantes golpes y es muy resistente.</t>
  </si>
  <si>
    <t>Originales y perfectas en talla Son originales y a mi hija les encanta, nos han salido por 82 euros,</t>
  </si>
  <si>
    <t>Calidad-Precio Son tal cual se anuncian, son cómodas y las utilizó todos los días, el precio también perfecto.</t>
  </si>
  <si>
    <t>Su bajo precio y calidad muy bonita Haber no es una sudadera de primera calidad,pero por el precio que tiene,la verdad es que esta perfecta</t>
  </si>
  <si>
    <t>Práctico y ergonómico. &lt;div id="video-block-RVEJLSI3ZSJU8" class="a-section a-spacing-small a-spacing-top-mini video-block"&gt;&lt;/div&gt;&lt;input type="hidden" name="" value="https://images-eu.ssl-images-amazon.com/images/I/81ISGIrU50S.mp4" class="video-url"&gt;&lt;input type="hidden" name="" value="https://images-eu.ssl-images-amazon.com/images/I/A1W-ZkaT1HS.png" class="video-slate-img-url"&gt;&amp;nbsp;Me ha encantado esta licuadora/exprimidora portátil, es muy facil de usar y su aspecto es muy buena ( se vé muy robusta y con materiales de buena calidad). Las cuchillas están afilidasimas y hacen papilla la fruta en un momento, es muy práctico al poder desmontar la cuchilla y con el tapón llevarte la exprimidora como si fuera un termo para el trabajo.  He hecho varios batidos y no he conseguido terminar la carga completa de la bateria, así que hay bateria para rato. La limpieza del cacharro es muy sencilla y rápida, simplemente tiene una rosca y ya estaría lista para limpiar.  Sinceramente, no puedo estar más contento con esta compra, me encanta echar cubitos de hielo en el batido y tomarmelo luego más tarde en el trabajo, se puede llevar el exprimidor entero pero yo solo me llevo la parte del depósito por si acaso.</t>
  </si>
  <si>
    <t>No,se Muy buena y ex nivelsble, me gusta</t>
  </si>
  <si>
    <t>Buena calidad y buen precio. Lo esperado. Recambio perfecto para la fregona perfecta. Yo muy contento con este sistema de limpieza y la calidad de los productos.</t>
  </si>
  <si>
    <t>potencia de sobra muy buen aspirador, ye llevo comprados cuatro para varios familiares y todos están contentísimos, manejo sencillo, aspira muy muy bien, con los dos cepillos vale para todo tipo de suelos y alfombras, un aspirador de 10.</t>
  </si>
  <si>
    <t>Bonitas y cómodas. Te las pones con un vaquero y quedan estupendamente. Las he usado en días de lluvia y pensé que entraría agua pero para nada. Muy contenta con su compra y su comodidad.</t>
  </si>
  <si>
    <t>Tijeras Necesitaba unas tijeras que cortaran bien y la verdad,que he acertado</t>
  </si>
  <si>
    <t>Disco muy rápido y pequeño. Fantástico disco SSD. Muy rápido y pequeño. Si lo vas a emplear en un Mac tienes que activar el TRIM a través del terminal. Muy sencillo.</t>
  </si>
  <si>
    <t>Chulisimas Me han sorprendido gratamente, son muy chulas, y el número que yo uso el 39  es el que es, quedan genial ,  eso sí, si tienes el pie un poco ancho mejor que te las metas abrochadas, con un calzador que no cuesta nada porque luego las cremalleras cuestan un poquito de subir, es mi caso,  pero al ser tan blanditas entran perfectamente .</t>
  </si>
  <si>
    <t>Zapatillas. Comodísimas.</t>
  </si>
  <si>
    <t>Calidad-precio Me compré estos cascos para mis viajes y así poder eliminar el ruido de alrededor. Claramente he acertado. No se escucha casi nada los ruidos de alrededor. Yo no soy una experta en el sonido de la música, así que en mi opinión tiene un sonido muy bueno estos cascos. Lo mejor de todo es que puedes conectarlos vía bluetooth y así no te molesta ningún cable. De todos modos, viene también el cable por si en algún momento lo quieres. La sincronización vía bluetooth es rápida y sin ningún problema. La batería dura bastante. Son muy cómodos ya que tienen unas buenas almohadillas y se adaptan perfectamente. Después de estar muchas horas con ellos puestos no tengo ningún tipo de molestia.  Tienen tres botones, el botón de encendido hace las funciones de play-pause y los botones de vol. más y vol. menos sirven para avanzar canción dependiendo de la pulsación que hagamos. Vienen en una funda semirrígida negra con cremallera y dentro tiene una tira elástica para que no se muevan los auriculares.</t>
  </si>
  <si>
    <t>la adherencia me gusta porque la veo resistente y lo único que tiene es que por los laterales es demasiado pegajosa y otras que he usado no eran así por lo demás todo bien</t>
  </si>
  <si>
    <t>No deberían ser tan justas ya que llevan cordones Aparentemente se las ve cómodas ya que no pesan pero imposibles de meter ya que no ceden lo suficiente. Tuve que descanbiarlas ya que no conseguí metermelas para probarmelas. Una pena porque se las ve cómodas. Me gustan por el tipo de cordón que llevan pero me quedé con las ganas.</t>
  </si>
  <si>
    <t>No estan mal. No estan mal, son bastante comodos, el problema que le veo es la bateria, no dura ni 2 horas, en hora y cuarto mas o menos se termina, y supongo que con el tiempo esto ira a peor, si es para una charla un poco larga pues te quedas a medias, lo demas no esta mal.</t>
  </si>
  <si>
    <t>Ni venía en caja, y la calidad mala Para nieve, desde luego que no, para estar en casa quizás. Calidad mala</t>
  </si>
  <si>
    <t>No cumple con mis expectativas Se calienta el motor enseguida, por lo que se para, tampoco es cómodo de limpiar. Pensaba que era de mejor calidad, no lo recomiendo</t>
  </si>
  <si>
    <t>Buena calidad La calidad del producto es buena. La Talla, sin embargo, es un poco más grande de lo esperado.Prácticemente la Talla L (pedida) se encuentra enmarcada entre una L y una XL.</t>
  </si>
  <si>
    <t>Tal y como se explica en la web Muy comodos y genial para que no se queden los dedos helados</t>
  </si>
  <si>
    <t>Batidora de tres en una Muy limpia y muy bien en su trituración</t>
  </si>
  <si>
    <t>Funciona fenomenal. Estoy encantada , mantiene mi encimera igual q el primer dia cuando me la montaron.</t>
  </si>
  <si>
    <t>Son las originales Al ser bastante más baratas que las que veía por las tiendas tenía miedo que no fuesen las originales, pero sí lo son. Mi hija las compró en Londres en la tienda oficial este verano y, comparándolas,  son exactamente iguales. El número ha sido el adecuado  : gasto un 38 y un 38 pedí. Me quedan perfectas. El pedido me llegó rápidamente y en perfectas condiciones. Totalmente recomendables.</t>
  </si>
  <si>
    <t>Calidad Perfecto para runing</t>
  </si>
  <si>
    <t>Calidad Precio..... Los pedí para mi hija y de momento está encantada,por el precio que tienen no se les puede pedir más.....</t>
  </si>
  <si>
    <t>De calidad ! Me gustó mucho , la aconsejo</t>
  </si>
  <si>
    <t>Tenia mis dudas, pero.... Tenia mis dudas sobre la compra de esta bandolera por las características, el precio y el tamaño, pero fue todo un acierto. Tanto por tamaño como por sus características me resulta muy útil (resistente al agua y a arañazos). Vi varias bandoleras mas baratas pero sin duda esta fue la mejor elección.</t>
  </si>
  <si>
    <t>De lo mejor Calidad precio.  Todo el acabado en plástico pero bueno.</t>
  </si>
  <si>
    <t>Buen producto LLegó a tiempo y muy buena relación calidad precio.</t>
  </si>
  <si>
    <t>Compra acertada Lo uso en actividades deportivas (bicicleta, senderismo, carrera continua) pienso que me será de gran utilidad en mis objetivos  (reducir un poco esos michelines sobrantes)</t>
  </si>
  <si>
    <t>Almohadilla electrónica El tacto me parece agradable. Y lo que más me gusta es que tiene apagado automático, no tienes que tumbarte o dormirte con el miedo de que esta enchufada.. Mando con 6 potenciass diferentes, lo mejor ponerla a tope y luego cuando se caliente regular.</t>
  </si>
  <si>
    <t>Buena calidad La jarra funciona muy bien,calienta el agua en muy poco tiempo y la mantiene el tiempo que quieras,además el tamaño del recipiente es bastante grande y los materiales y la estética son muy buenas.parece que durará bastante tiempo.</t>
  </si>
  <si>
    <t>Me quedan muy bien Las zapatillas son muy ligeras y cómodas, además respiran muy bien</t>
  </si>
  <si>
    <t>excelente Me ha encantado... ha llegado rapidísimo y en buen estado de embalaje. En cuanto al aspirador en si, es la bomba... muy bonito, potente y cómodo. Como único dato negativo, añadir que es un poco mas ruidoso de lo que esperaba</t>
  </si>
  <si>
    <t>Buen resultado Ya llevo unas cuantas semanas con ella y no ha dado ni Un problema. Ligera, cómoda y plancha bien. Recomendable</t>
  </si>
  <si>
    <t>Gran conpra Muy cómodas ligeras y además son bonitas.  Trabajo en el exterior y son completamente impermeables.  Un 10</t>
  </si>
  <si>
    <t>Aspiradora genial! Viene genial para casa, se desliza y mueve muy bien. Es un precio genial para la calidad y el poder de absorción que tiene. Además los otros cabezales vienen genial para los sitios pequeños o para el coche</t>
  </si>
  <si>
    <t>Buena calidad precio Es un gran producto, tiene muy buen audio y micrófono. Se adapta muy bien la diadema, además al estar acolchada hace que no te moleste en la cabeza. Lo único malo, a veces los acolchados de los auriculares molestan un poco a las orejas, supongo que es cuestión de adaptación.</t>
  </si>
  <si>
    <t>Muy efectivo y natural. Pensaba que no iba a funcionar pero va muy bien. Sobre todo se nota al pasar unos días. Tenía mal olor en un local cerrado hace muchos años y no quería echar ambientador. Ha quitado casi todo. Muy efectivo.</t>
  </si>
  <si>
    <t>Calidad precio muy bueno Por el precio, es muy bueno, lo utilizo todos los días y es muy bueno</t>
  </si>
  <si>
    <t>Descontento con la calidad del producto El paquete llego a tiempo de un dia para otro, pero el producto, el precio no se corresponde con la calidad del producto, Parece mas un reloj de 4 euros, que de 13 como pagamos por el.  Lo unico bueno es que si tienes una muñeca grande te ira bien</t>
  </si>
  <si>
    <t>Dan poca talla Entiendo que es un producto que debe quedar pegado al cuerpo, pero el tallaje va un poco corto, yo uso la talla S habitualmente en camisetas y camisas, y en esta no podia entrar (bueno si, pero me apretaba mucho la cintura y los brazos). Recomiendo coger una talla mas.</t>
  </si>
  <si>
    <t>Celo de mediana calidad Un celo no muy bueno, pero tampoco que se rompa a la primera, lo bueno era el precio que venian 8 rollos, tenemos celo en casa para unos cuantos años.</t>
  </si>
  <si>
    <t>No sirve para slime Mi hija lo compró para hacer slime y no funciona. Así que mi compra no la puedo calificar como positiva.</t>
  </si>
  <si>
    <t>No es Blanco es transparente Muy mal Lo compré por qué ponía que era blanco y no es blanco es transparente como en todo los demás.</t>
  </si>
  <si>
    <t>Bonito reloj Buen reloj Casio con un precio ajustado con varias opciones para guardar tiempos, vueltas, etc. Se ajusta bien incluso en niños. Mi hijo de 8 años se ha quedado con él.</t>
  </si>
  <si>
    <t>Bien Bien en amplitube iphone6s suena bien en amplificador o incluso una minicadena.entretenido para ensayar y buena relacion calidad precio.recomiendo para iphone</t>
  </si>
  <si>
    <t>EXCELENTE! La mejor compra que he podido hacer. Hasta ahora todas las tarjetas de memoria que compraba no me duraban mas de dos semanas, se eliminaban todos los datos, pero con esta no he tenido ningún problema. La compatibilidad con otros dispositivos Samsung es excelente, mucho mejor que con tarjetas de otras marcas. La sincronización de datos es rapidísima, y gracias al adaptador SD que trae, es compatible con prácticamente cualquier dispositivo.  Realmente es una compra muy recomendable si buscas una tarjeta muy funcional, compatible y duradera.</t>
  </si>
  <si>
    <t>Es como se ve No me a servido para la lámpara de estudios.</t>
  </si>
  <si>
    <t>Si al final, si dan buen resultado, buena compra. Los segundos que compro. Los primeros fueron para un regalo y le ha encantado, los segundos para mi señora que también le gustaron. Buenos acabados y buena relación calidad precio. Quizás un poco pequeños.</t>
  </si>
  <si>
    <t>Totalmente recomendable Después de más de un año escribo la opinión y si pudiera comprarlos de nuevo, supongo que compraría los de 2gb o más. Compré dos discos para instalarlos en un NAS que lleva encendido desde entonces (mayo 2013), lo apago algunas noches, pero por la mañana vuelta a funcionar, ahora mismo he realizado un test de los discos y ningún error, a parte de ser bastantes silenciosos. Por lo que solo puedo decir que encantadisimo. Leí algunas opiniones negativas de los discos pero me "arriesgué" WD es una marca fiable pero es imposible que el 100% de los productos salgan sin errores. Resumiendo producto muy recomendable. Por parte del envío, paquete, fecha, etc, pues qué decir... como siempre Amazon un 10.</t>
  </si>
  <si>
    <t>Bonito y barato. Da un masaje agradable al cuero cabelludo. Las puntas están protegidas para que no arañe.</t>
  </si>
  <si>
    <t>Increíbles. Calidad y funcionamiento de 10 Un lujazo de cascos. Perfecto en todo de momento. Encajan bastante bien en la oreja y no se caen. Ideal para cualquier tipo de deporte o actividad. Se enlaza perfecto y de momento no pierden la señal . El táctil es increíble y responde perfecto. Tuve uno con botón físico y estos son inmensamente más cómodos. Nada que ver. La autonomía están entre 3:30 y 4h sin cargar. La caja es un poco débil pero va muy bien y quedan perfectamente. La caja es la más pequeña que he tenido perfecta para un bolsillo.</t>
  </si>
  <si>
    <t>Son top!! Perfectas!!</t>
  </si>
  <si>
    <t>Trevol A llegado antes de lo esperado , es tal como se muestra en el imagen .Me a gustado pues mola un montón ,cuando cambia de color, mi madre me a pedido otro para ella y mi hermana .</t>
  </si>
  <si>
    <t>Genial De las mejores compras que e realizado. Muy buena calidad y presentación. Destaca sobre otros relojes de la misma gama.</t>
  </si>
  <si>
    <t>Auriculares correctos buena relación calidad precio Nos han gustado mucho estos auriculares, los he comprado para mi novio que los utiliza en el trabajo tanto para escuchar música como para recibir llamadas y está encantado, dice que se escuchan genial y no le han dado ningún problema los días que lleva usándolos, los utiliza a diario.  El sonido es correcto, el material parece de calidad, tiene pinta de que van a durar  bastante y el diseño es sobrio pero son bonitos. Vienen con una pinza por si te los quieres enganchar.  Vienen muy bien presentados en una cajita, se puede usar como detalle con alguien :)  No hay nada que no nos haya gustado de momento.</t>
  </si>
  <si>
    <t>Perfecto Perfecto igual o mejor que las originales. Volveré a comprarlo.</t>
  </si>
  <si>
    <t>Calidad-Precio Para el precio que tiene está a la altura de otros productos de mayor precio y de más renombre. Nada negativo, al contrario, cable de calidad testado en un Fender Hot Rod Deluxe III junto a pedalera y Gibson Les Paul y ningún ruido de fondo, todo queda dicho. PD: Entrega como siempre perfecta tanto en tiempo y en empaquetado y detallazo del vendedor que no me esperaba para nada.</t>
  </si>
  <si>
    <t>Simple de usar y gran calidad desonido Gran calidad de sonido</t>
  </si>
  <si>
    <t>Muy satisfecho por la compra Muy contento con la descripción e imagen del producto para encontrarlo. Entregado antes de lo esperado. Tracking perfecto Muy recomendable.</t>
  </si>
  <si>
    <t>Mucha Utilidad Me ha encantado este producto. Tengo otros duros extraíbles, me son de mucha utilidad,.  Estoy probando esta marca,  pero hasta ahora todo va estupendo,  Mis cinco estrellas para esta marca y el vendedor.</t>
  </si>
  <si>
    <t>Una gran compra Ya había comprado anteriormente otro disco igual, pero de 500GB, para sustituir el disco interno de un iMac de 21" y el funcionamiento ha sido muy bueno, así que compré este para sustituir el disco interno de un portátil HP Pavillion que iba muy lento y se calentaba mucho. Con este disco los problemas de lentitud han desaparecido por completo y la temperatura de funcionamiento (y, por tanto el ruido del ventilador) ha bajado varios grados. Muy recomendable, sobre todo cuando haya alguna oferta de precio porque si no, es algo caro.</t>
  </si>
  <si>
    <t>Muy contento. La recomiendo encarecidamente. Potente, preciosa y hace poco ruido. Muy contento. La recomiendo encarecidamente. Potente, preciosa y hace poco ruido. Me encanta verla encima de mi encimera. El vaso es muy grande.</t>
  </si>
  <si>
    <t>Almohadilla confortable, práctica y económica. La compré para aliviar mis dolores de espalda, ha sido todo un acierto. El envío fue correcto y dentro del plazo, con su caja , envoltorio e instrucciones. En cuanto a los materiales de la almohadilla son suaves y agradables al tacto, una vez en funcionamiento se puede regular la intensidad de calor.Muy buena relación calidad precio. Recomendable.</t>
  </si>
  <si>
    <t>Me ha sorprendido mucho, para bien. Muy contento con la compra. Me ha sorprendido para bien. Son muy bonitos y elegantes. Se conectan muy fácilmente con el móvil a través de Bluetooth además tienen micrófono por lo que podemos usarlo como manos libres. Cada auricular tiene 2 botones táctiles. Con estos botones se enciende y se apagan, se sube y baja el volumen y se puede parar la música que estamos escuchando. La cajita  donde se guardan es súper pequeña y con la parte de arriba en cuero. Esta caja en la parte frontal trae 4 luces LED por lo que podemos medir el nivel de bateria.</t>
  </si>
  <si>
    <t>Fantastico, cumple de sobra, La verdad que tenia mis dudas entre sony o.... Pero al final cogi sony WH1000M3 se puede emparejar a mas de un didpositivo, el sonido es muy muy bueno bajo mi parecer CLARO, se empareja a la primera conexión  muy estable, la cancelacion de ruido de las mejores y muy muy comodos, los accesorios como la funda es fantastica y de calidad, la app con muchos muchos parametros y configuraciones de sonido, ecualizador, cancelacion de sonido, etc... GRATA SORPRES Y ESTOY MUY CONTENTO Y MUY MUY RECOMENDABLE</t>
  </si>
  <si>
    <t>Compacto, ligero y práctico Necesitaba un pen drive para llevar los documentos, fotos, planos.. del trabajo, pero al final acababa con un montón de pendrives, caros, que aun siendo de bastante capacidad siempre se quedaban cortos y tenia que repartir los archivos entre dos o tres y luego volverme loco buscando cual tenia la segunda parte o justo el archivo que me hacia falta. Este disco duro me ha hecho la vida mas facil, ya que en un solo dispositivo puedo llevar todo lo que necesito y más. Es muy finito y compacto, apenas pesa nada y es facil de llevar en cualquier bolsillo, cartera, mochila o maletín, sin molestar y sobresalir demasiado. La capacidad es estupenda para mis necesidades. Realmente muy contento con este disco duro,</t>
  </si>
  <si>
    <t>Es lo que esperaba Es un regalo para mi hija. Espero que le haga volar en la carrera que hará el 17 de noviembre en Barcelona.</t>
  </si>
  <si>
    <t>Es comoda No queda para nada como en la foto , pero es cómoda y por precio esta bien.</t>
  </si>
  <si>
    <t>Por el precio y la marca que tiene esperaba más Bueno no me han durado mucho solo 4 meses y ya empezaron los boquetes y a partirse el material</t>
  </si>
  <si>
    <t>bueno el producto tendria que tener otros aromas algunos de los aromas no son muy buenos, pero los de eucalipto y limon huelen tela de bien</t>
  </si>
  <si>
    <t>No es el último modelo NO son el último modelo de carga inalámbrica.</t>
  </si>
  <si>
    <t>Todo parecia  funcionas bien esta que murio El  disco duro aprecia funcionar bien  y después de instalarse lo a mi cliente  con todo cargado y estar tres horas de funcionamiento  trabajando  murió de repente  pantallazo negro  el  portátil no detectaba disco duro menudo jaleo  lo compre basándome en las opiniones pero a mi concreta-mente me a salido malo esperando a que me lo entregue el cliente y cambiarlo por otra marca</t>
  </si>
  <si>
    <t>Descripción errónea Los voy a devolver, no tienen las tachas en el tacon ni en la punta, tal y como indican</t>
  </si>
  <si>
    <t>livianos con todo prácticos livianos tienen de todo. pero a mí personalmente al rato a la hora o más se me hacen molestos y algo de daño. pero lo recomiendo</t>
  </si>
  <si>
    <t>calidad precio para lo que han costado merecen un notable alto en calidad /precio</t>
  </si>
  <si>
    <t>en general bueno cuando se calienta se convierte en un peligro ya que transmite todo el calor  es de acero hay que tener mucho cuidado con los niños.</t>
  </si>
  <si>
    <t>Una ayuda genial para dormir Tengo insomnio desde hace años y me decidí a probarlo. Lo cierto es que realmente funciona, te ayuda a relajarte y caes frito en cuestión de minutos. A diferencia de otras opiniones, que dicen que necesitas unas cuantas noches para acostumbrarte, conmigo funcionó desde el segundo día.  Merece la pena probarlo si eres de los que dan mil vueltas en la cama, es un sistema muy sencillo pero a la vez muy eficaz, y creo que también puede ser muy útil para reducir la ansiedad.  Como únicos puntos negativos, añadiría un nivel más tenue de luz (en habitaciones muy oscuras puede ser demasiado fuerte), definiría un poco el círculo (en el techo no ves un círculo, sino más bien un borrón de luz) y bajaría el precio, que es un poco elevado. Por lo demás, es una buena solución para el insomnio y que funciona de verdad en cuestión de minutos. Enhorabuena a sus creadores :)</t>
  </si>
  <si>
    <t>Buen reloj con cristal muy normalillo. El reloj cumple muy bien. Personalmente no entiendo lo de poner correas de Nilon a un reloj, pero eso cada uno con sus gustos, yo ya la he cambiado por una de piel. Mas importante para mi, este reloj viene con un cristal de Hadlex que según seiko es mas resistenre a abrasiones que uno mineral normal. pues bien, mi experiencia no ha sido nada positiva y se ha rallado en pocos dias de uso muy cuidadoso. Ni un golpe, ni una salida a la playa, montaña ni ningún lugar donde resulte normal que se ralle. Si asumimos que por este precio poco mas se puede pedir, es un gran reloj, pero si la resitencia es una prioridad, mejor buscar uno que tenga un cristal de zafiro.</t>
  </si>
  <si>
    <t>Buena calidad Perfecta, era para un regalo. Envío muy rápido por el vendedor.</t>
  </si>
  <si>
    <t>Buen producto Funciona correctamente</t>
  </si>
  <si>
    <t>Genial Me encantan, muy cómodas. Normalmente soy una L pero pedí un M y me quedan perfectas. Tiene un tejido suave y van genial para hacer cualquier tipo de deporte. Tiene un bolsillo por dentro lateral para el móvil o el mp3, lo acabo de descubrir ahora, estoy encantada</t>
  </si>
  <si>
    <t>Muy comodas Muy cómodas</t>
  </si>
  <si>
    <t>Perfecta Es chiquitina y es lo que buscaba, únicamente la necesito para mí por lo que coge muy poco espacio y aunque hay personas que se quejan que toda va en una pieza pues para mí es mucho mejor. Es un aparato que por su tamaño permite enchufarse en cualquier sitio, me refiero en la cocina, y que no necesita más largura del cable ya que en el mismo lugar se vierte el agua y ya está, incluso pienso que más largo resultaría hasta engorroso. El modelo es muy bonito, blanquito.</t>
  </si>
  <si>
    <t>Es cómoda y no me da alergia Muy chula y cómoda</t>
  </si>
  <si>
    <t>Por encima de la media en su categoría. Increíble. Lo he comparado con otros micrófonos de la misma gama, y da unos resultados bastante por encima de la media. Muy satisfecho con la compra. Lo recomiendo encarecidamente.</t>
  </si>
  <si>
    <t>Muy buena calidad a buen precio Elegi este modelo de tarjeta por que la cámara que compré no soporta 64Gb, tengo varios Samsung PRO SSD y varias teles y teléfonos también Samsung, esta marca nunca defrauda, todo funciona siempre como se espera, sin sorpresas.  La velocidad de trasnferencia es óptima, grabo todos los vídeos de mi action camera sin problemas y el adaptador de microSD me viene de perlas por que lo enchufo al portátil y puedo sacar fácilmente los vídeos y fotos grabados, simplemente genial.</t>
  </si>
  <si>
    <t>Lo más importante es que puedo jugar gratis a casi todo el catálogo de ps2 El producto me llegó hace unos días, aunque sólo he sido capaz de probarlo ahora mismo en mi vieja PS2. Solo me queda decir que funciona a la perfección y que, gracias a esta tarjeta de memoria, podré rememorar viejos títulos muy buenos de los que apenas me acordaba. Su compra queda más que recomendada para todo aquél que tenga una ps2 en el olvido.</t>
  </si>
  <si>
    <t>Muy cómodas Son chulísimas y muy cómodas, aunque se ensucian rápido. No me dolieron nada el primer día y al ser blancas te hace la pierna más morena.</t>
  </si>
  <si>
    <t>De tamaño reducido esta muy apañao Suena bien tiene entrada de auriculares, los modos de rock distorsion y reberberacion se hacen de notar esta genial, el chorus es el que se nota un poquito menos pero hace el apaño. Estoy contento con este articulo lo recomiendo si no tienes espacio,si quieres moverte con el o tocar en estéreo sin armar un gran follon ché y de altavoz para móvil también funciona con un auxiliar de audio de dos machos es una buena makina de pocos V</t>
  </si>
  <si>
    <t>Perfectos Tal y como esperaba Siempre uso esta marca para entrenamiento en sala. Entrega en el tiempo indicado.</t>
  </si>
  <si>
    <t>Para mi Mejor de lo esperado</t>
  </si>
  <si>
    <t>estupendos son mejores que en la foto, super comodos, muy ligeros, muy bontos. siempre comprar un numero mas grande considerando que en invierno se llevan calsetines gordos</t>
  </si>
  <si>
    <t>un juguete para los peques he comprado para mi hijo ,porque le gusta cantar la musica ,este micrófono le ha gustado muchisimo,es un Micrófono Inalámbrico con conexión de bluetooh y integrado con altavoz  y grabadora ,sirve para reproducir música y cantar en cualquier momento. es muy compatibilidad se pueden conectar con todos los dispositivos Bluetooth etc, es un buen regalo para los peques ,</t>
  </si>
  <si>
    <t>Buena compra Ha llegado igual q la foto</t>
  </si>
  <si>
    <t>Original Estupendo, al ser de baja intensidad 0.8A es perfecto si dejas el movil por la noche ya que lo carga mas despacio y calienta menos la batería.</t>
  </si>
  <si>
    <t>Mucho mejor de lo que esperaba Excelente material, muy bonitas y super cómodas. Mucho mejor de lo que me esparaba cuando lo compré</t>
  </si>
  <si>
    <t>Poco me dais, menos llevais. Obviamente el precio es bajo y por lo tanto no se puede pedir mucho, no es que este mal pero mucho me temo que el hilo (pues no es otra cosa) poco va a resistir, es una pena que aunque en vez de tres solo te enviasen uno, el hilo fuese de mejor calidad, pero bueno, haber cuanto resiste.</t>
  </si>
  <si>
    <t>Algo corta Algo corta para una L.  No pesa nada. Es todo poliester</t>
  </si>
  <si>
    <t>Comodidad con velocidad baja Me ha gustado el tamaño y peso. No me ha gustado la velocidad de escritura y de lectura que es inferior a pendrive similares de otras marcas. Tampoco me ha gustado que se calienta mucho. Solo lo he probado con USB 2.0.</t>
  </si>
  <si>
    <t>compre dos veses esta maqina compre dos veses esta maqina primera vez de usada 2 meses roto y luego compre nueva y realmente no era nueva ahora esta sonado tamben el motor pensaba que la marca era muy buena pero no</t>
  </si>
  <si>
    <t>De 100 grapas nada. 100 grapas? No llegan a 80. Me lo quedo por no estar con paquetes para ya y para ka.</t>
  </si>
  <si>
    <t>Muy buena opción para un disco duro externo La carcasa es metálica y tiene las tapas atornilladas sobre unos apoyos robustos, así que dudo que acaben partiéndose en un futuro.  Lo único que no acaba de convencerme es que la placa queda ligeramente suelta, pero es algo muy fácil de solucionar con un poco de imaginación.</t>
  </si>
  <si>
    <t>Igual que en la foto El bolso es igual que en la foto. Tiene cremalleras exteriores. Dentro una cremallera y otros dos bolsillos abiertos, idóneos para cosas que utilizas con asiduidad como el teléfono móvil. Es de tamaño adecuado, ni pequeño ni tipo cartera. La tela parece resistente.</t>
  </si>
  <si>
    <t>Siempre me ha encantado este modelo Las recibí antes de lo esperado (genial como siempre por parte de Amazon) y el estado de las mismas es perfecto. No tengo nada que decir salvo que escogiendo la talla que siempre uso en la mayoría de zapatillas me quedan algo (un poquito solo) grandes, pero el resto genial.</t>
  </si>
  <si>
    <t>Son perfectas Hola! son las típicas converse de toda la vida pero con plataforma y SON VERDADERAS. os animo a tenerlas porque vienen muy bien de fonde de armario. Las quiero también en blanco, pero me da miedo porque se ensucian muy rápido. Las uso las 24 horas del día. son muy cómodas.</t>
  </si>
  <si>
    <t>Buen coste calidad producto. Descripcion del vendedor adecuada con la realidad. Buen producto</t>
  </si>
  <si>
    <t>Algo lento pero valió la pena, la camara de aire es verdadera Las compre para mi madre,  y aunque el paquete llego lento (teniendo en cuenta que soy Prime), pues le doy 5 estrellas porque la camara de aire es verdadera. y mi madre dice que son comodisimas, faciles de poner y muy bonitas. Relacion calidad/precio un 9 sobre diez jeje.</t>
  </si>
  <si>
    <t>JUERGA GARANTIZADA UN APARATO GENIAL. NO LE FALTA DE NADA. ALTAVOZ POTENTE, MP3, BLUETOOTH, DOS MICROFONOS, TROLER PARA TRANSPORTARLO, SÓLO LE HACE FALTA QUE DURE VARIOS AÑOS PARA SER PERFECTO</t>
  </si>
  <si>
    <t>Hace su función Un despertador casio fantástico, como no se podria esperar de la marca. Suena fuerte, se ve bien la hora. Fantástico.</t>
  </si>
  <si>
    <t>El termómetro Esta muy bien</t>
  </si>
  <si>
    <t>Cómodas y quedan bien con todo Estas zapatillas,como todas las que he usado de esta marca, me han dado un resultado genial. Las compré para viajar y me han resultado muy cómodas.</t>
  </si>
  <si>
    <t>Faciles de conectar y se oyen muy bien Los auriculares estan muy bien y estan muy bien presentados dan sensacion de ser muy premium. La caja donde van parece de joyeria,muy bien presentada,y la cajita-bateria es pequeña y va muy bien para llevarla incluso en el bolsillo de los pantalones. Para emparejar los dos auriculares lo que he hecho yo a sido apagar el Bluetooth del movil,sacar los dos auriculares,las luces se encenderan,en ese momonto se estan emparejando entre ellos,a los 10 segundos encender el Bluetooth del movil y buscar los altavoces y darle a conectar,a mi me a funcionado a la primera y funcionan los dos a la vez. He probado a poner el movil en una habitacion y ir a otra habitacion para ver si aguantan la distancia,y me han funcionado sin problema incluso con dos paredes entre medio. Tiene almohadillas de recambio incluye el cable de carga. Para mi por el precio es una muy buena compra,ademas son muy bonitos.</t>
  </si>
  <si>
    <t>Muy manejable y pesa poco Gran soporte, se acopla perfectamente a la mesa y queda bien sujeto.  El filtro anti pop es grande y se nota mucho la diferencia. El soporte para el micro es bueno, en mi caso tengo un samson meteor y se acopla perfectamente a la rosca, y a pesar del peso del micrófono queda firme.  Muy recomendable, por el precio es perfecto y muy cómodo de usar.</t>
  </si>
  <si>
    <t>Sujetador para ejercicio suave Aunque lleva aros no es un sujetador para alto impacto. Yo lo empleo para aerobics y zumba y el pecho se mueve mucho cuando saltas  o cuando haces movimientos fuertes.</t>
  </si>
  <si>
    <t>PEQUEÑO Y MUCHA CAPACIDAD Estaba buscando un lector USB de gran capacidad y me topé con este SANDISK en una oferta de Amazon. Tengo que decir que al final lo devolví pero debido a que se calentaba mucho y apareció una oferta mejor.  La velocidad de escritura no es muy allá pero la de lectura es rapidísima por lo que estoy satisfecho en su conjunto. El precio, por menos de 15 euros, es una ganga. Yo lo recomiendo a cualquiera que quiera tener miles de documentos en su llavero o como copia de seguridad en sus viajes de vacaciones.  Para mí, que quería darle un uso intensivo, el calentamiento excesivo no me gustó y me decanté por un USB clásico por ver si no se calentaba tanto. Algo es algo.  Si alguien lo quiere para tener datos guardados y fácilmente accesibles tengo que decir que la relación calidad/precio es de más de 5 estrellas.</t>
  </si>
  <si>
    <t>Fantásticas!!! Increíble bota original. Cómoda, bonita y de muchísima calidad. Calza el número excato. El diseño de toda la vida, con la plataforma de diseño más actual.</t>
  </si>
  <si>
    <t>Peefecto Perfecto! Pedí un número menos del que calzo habitualmente. Creo que no hay nada Maas que añadir, son las converse de toda la vida.</t>
  </si>
  <si>
    <t>Práctico Buen funcionamiento</t>
  </si>
  <si>
    <t>cool megustomucho</t>
  </si>
  <si>
    <t>Fantastico.producto y barato Para ollas, fuegos, alumunio....va genial para quitar esas manchas que cuestan un poco. lo unico q se paga el envio por cada uno q se pida, no por envio...pero sale por dos euros. Muy recomendable, a mi me va genial.</t>
  </si>
  <si>
    <t>Botas Martens Producto como me esperaba</t>
  </si>
  <si>
    <t>Cañas frescas Hay que partir de la base de que la cerveza no es precisamente barata (sin ofertas, 5,99 el recambio de 2 litros), pero el resultado final es excepcional, como tomarse una caña a buena temperatura y con espuma "de verdad". Las variedades son demasiado caras, pero si a uno le gusta la Heineken de barril, es una excelente elección. Recomendable tener los barriles ya frescos en la nevera para que la máquina no trabaje tanto y para tenerlos listos casi en el momento de meterlos (si se meten en el congelador media hora antes, mejor). Importante respetar el espacio que recomienda el fabricante para la ventilación (expulsa aire caliente que puede terminar por averiar el aparato si no se ventila bien). También, pasarle una aspiradora cada tres o cuatro meses por el ventilador que tiene en la parte inferior, porque se puede acumular pelusa e impedir que haga su función de refrescar el motor. Muy buena cantidad los 2 litros de los recambios (los de otros aparatos son de 5 litros y pueden resultar excesivos). Sería deseable más lugares para adquirirlos. Que yo sepa, se pueden comprar por Amazon, supermercado de El Corte Inglés, Ulabox y en la propia web de The Sub</t>
  </si>
  <si>
    <t>Buenas Muy bonitas, cómodas y útiles, en amazon las puedes encontrar a mejor precio que en otros muchos lugares, y además tienes todas las ventajas de ser amazon</t>
  </si>
  <si>
    <t>Gran Capacidad y Velocidad No soy ninguna experta en tarjetas pero su capacidad de almacenaje me convence y su velocidad se adapta a mis necesidades. La utilizo para mi cámara reflex Canon 2000D.</t>
  </si>
  <si>
    <t>No recomendable Me gusto lo comodos que son. El sonido regulero, si modificas el equalizador mejora bastante, pero sino, vienen por defecto con una equalizacion horrible, esta sonando el bajo y no parece un bajo, sino un sonido digitalizado, es como si distorsionara la realidad de los sonidos. Pero lo peor de todo es que envien unos cascos que ya nada mas abrir la caja ni se encendian como pone en la descripcion. Tuve q cargarlos y encenderlos manualmente, se le agoto la bateria y ya no volvieron a cargar mas. Muy mal, porque realmente no vienen con ningun precinto ni nada, es decir que podria perfectamente comprobar que funcionan antes de enviarlos. Esto pinta perfectamente a que vuelven a vender los que estan mal para asi probar suerte si consiguen colarselos a alguien. Y esto por desgracia tiene toda la pinta de que lo hacen muchos vendedores.</t>
  </si>
  <si>
    <t>O. Isla Sudadera estéticamente bonita. No recomiendo el color blanco, es muy sucio. A destacar que a la primera puesta salen bolas.</t>
  </si>
  <si>
    <t>Presentación y protección baja La tengo desde hace poco y lo único a comentar es que para la marca que es, el envoltorio era muy cutre. Venía en un plástico y prácticamente sin protección. Sobre la calidad, es pronto para opinar.</t>
  </si>
  <si>
    <t>Demasiado pequeñas Demasiado pequeñas tamaño infantil No cumple las expectativas</t>
  </si>
  <si>
    <t>ES FALSO Estoy convencido de que es una copia, es falso. Detalles de la esfera, las letras de SCHOCK RESIST están parcialmente tapadas, al igual que la indicación de que es sumergible 20bar. Además, el material de la caja y la correa se ve malo, y la correa no cierra con suavidad, cuesta cerrarlo. Por último, cuando miras desde arriba la esfera se ve el mecanismo del reloj entre el hueco de las 6 y de las 7. FALSO.</t>
  </si>
  <si>
    <t>Gran versatilidad si necesitas mucha potencia Solo hace 1 mes que la tengo, de momento muy bien, muy buena potencia si se quiere triturar algún tipo d frutos secos. El picador (accesorio) tiene un soporte d la cuchilla que crea un doble fondo muy molesto cuando se usa con líquidos, ya que estos se quedan debajo y no se incorporan a la mezcla. Supongo que está pensado para cuando se pica hielo, pero para otras elaboraciones es un inconveniente.</t>
  </si>
  <si>
    <t>Cumplen su función. Es una zapatilla de acabados sencillos pero parece resistente. Válidas para múltiples usos (ir al gimnasio, running, incluso para el día a día de forma informal). Son cómodas, pero da la sensación que el pie se te queda un poco fuera del zapato, sobre todo cuando te las pones las primeras veces pero luego te acabas acostumbrando. Por eso no le pongo 5 estrellas, pero es un buen producto por el precio que cuesta (las compré rebajadas al 25%).</t>
  </si>
  <si>
    <t>Pasable Calidad pasable por el precio que tiene. La rebaja que dicen que hacen, es exagerada ya que el reloj no cuesta ni vale eso. Las palabra "Invicta" que se encuentran dentro de la caja, pegadas a la esfera, tiene alguna letra torcida.</t>
  </si>
  <si>
    <t>AEG WUB 5647 Estoy contenta con el Calientacamas. Es supercaliente. El precio me parece muy barato para la calidad del producto. Lo recomiendo</t>
  </si>
  <si>
    <t>Práctico bolso de viaje Permite viajar con ropa para un par de días (hombres) en un espacio suficiente y me permite incluir un portatil de 14 pulgadas. Le falta un asa de mano pues solo tiene la cinta para colgar en el hombro.</t>
  </si>
  <si>
    <t>Recomiendo Llego en un dia, 2 semanas con la tarjeta y encantado yo q tenia 8g de kigston desde q salieron , preferi comprar esta marca de nuevo q nunca me ha dado problemas y 18€ no me parece nada caro, irme a otra marca por ahorrar 2 € no compensa .. Los que le dan una extrella diciendo que solo tiene 115 , creo que deberian de saber antes de hablar haciendo calculo de bits te sale unos 119 , teniendo encuenta que la cantidad varias de un 8 a 10% ...  o incluso un menda que dice que tiene 20 gb y lo tiene formateado a fast32</t>
  </si>
  <si>
    <t>Encantada Muy bien, rápido y el producto es perfecto</t>
  </si>
  <si>
    <t>Prwciosos Preciosos</t>
  </si>
  <si>
    <t>Un disco rápido, eficiente y con bajo consumo energetico Comprado para sustituir el disco de una unidad portátil que utilizo para descargar tarjetas de fotografía en viajes y salidas evitando tener que llevar muchas tarjetas o el ordenador portátil. El disco llegó perfectamente embalado y protegido. La instalación y formateo del disco sin problemas. Lo utilizo en un Nexto N2700 para descargar tarjetas SD y CF con fotos y vídeos. El consumo de batería es bastante reducido. El nivel de ruido no es apreciable. La transferencia gracias al caché es muy rápida, transfiere de CF 32GB a HD en unos 14 minutos. El disco es de 5400rpm y al mantener la transferencia constante por no hacer spin de disco, no se producen fallos de copia. Con un disco SSD el consumo de batería y la transferencia sería más rápida, pero un SSD de 2TB con estas características cuesta 4 veces más</t>
  </si>
  <si>
    <t>Lo que quería Si a mi hija le encanto</t>
  </si>
  <si>
    <t>muy refrescantes Son unas mascarillas para los ojos para reducir las ojeras y también las bolsas. Se sujeta a la perfección y no es para nada incómodo, de hecho te puedes llegar a olvidar que lo llevas.Para pieles secas se nota al primer día de uso y gracias al numero elevado de parches que contiene tenemos para muchos días.Te deja la piel super hidratada!!! Lo recomiendo</t>
  </si>
  <si>
    <t>Buen Cable Muy buen cable para el precio que tiene. Cumple con lo esperado. No tiene ruido, de momento no se me enrosca.</t>
  </si>
  <si>
    <t>Resbalan bastante pero son muy resistentes Perfectos, después de 3 meses están como el primer día</t>
  </si>
  <si>
    <t>Menuda sorpresa!! Tengo que reconocer que este producto me ha sorprendido. Sufrí una lesión deportiva y mi fisio me recomendó realizar ejercicios de suelo pélvico, a poder ser con un ejercitador. Yo era bastante escéptica, pero me recomendaron probar con este y ha sido todo un acierto. Poco a poco voy mejorando de las molestias y ahora ya he regresado a la práctica deportiva, cuando hace apenas un mes me era casi imposible. Es un producto que merece mucho la pena.</t>
  </si>
  <si>
    <t>Agarre y comodidad El producto parece de buena calidad, es pronto para decir si es duradero puesto que solo me lo he puesto varias ocasiones, la verdad que cumple su cometido, se agarra bien el suelos de parque para ejercicios de sala, bonitos y elegantes, no tengo nada negativo que comentar.</t>
  </si>
  <si>
    <t>compra maestra Muy robusto, mecanica a prueba d bombas, despues de 6 meses sigue funcionando con gran precision. Muy bonito, fondo visto, y queda muy bien. Muy recomendable por unos 100 euros</t>
  </si>
  <si>
    <t>Sonido bastante decente Suelo ser bastante exigente con el sonido, y estos auriculares de Sennheiser tienen un sonido que no me deja insatisfecho, se escuchan decente, además se ven resistentes y tienen un diseño atractivo</t>
  </si>
  <si>
    <t>AURICULARES ESPECTACULARES; MUY CÓMODOS Y CON BUEN SONIDO Los auriculares Orit son espectaculares, porque tienen una calidad en los acabados asombrosa, utilizan una compatibilidad de muy alta fidelidad, lo que los permite reproducir el mismo contenido independientemente de la distancia a la que se encuentren.  El contenido del paquete es muy bueno, incluye un cable de carga tipo USB-C, perfecto para una carga rápida del estuche de carga (donde se introducen y guardan los auriculares inalámbricos para su carga) y una pequeña pantalla LCD que indica la batería del estuche en tanto por ciento, y cuando introduces los auriculares, indica que están dentro.  A su vez, emplean el uso de imanes para para el cierre de la estación de carga, y también para atraer los auriculares a su lugar dentro de la misma.  Respecto a la calidad de reproducción y la duración de la batería, hay que destacar primero la larga duración de la batería, como también la rápida carga de la misma.  Por otro lado, la calidad del audio es bastante buena, sobre todo si desde donde estas reproduciendo el audio te permite ecualizar el sonido y adaptarlo a los auriculares. Por ultimo, destacar la cantidad de recambios y elementos para que los auriculares se ajusten a tu oreja sin que se caigan.  Por ello recomendaría estos auriculares a cualquiera y es daría una nota de 9'5/10.</t>
  </si>
  <si>
    <t>Comodisima Tal y como esperaba</t>
  </si>
  <si>
    <t>Perfectos Llegaron el la fecha indicada y son de diferente color, exactamente los mismos que se ven en la foto. No son muy grandes pero yo los querìa justo asì, entran un buen puñado de bolis o rotuladores. Sobre la calidad depende del uso que se le de, en mi caso creo que me van a durar mucho tiempo. El forro los que me llegaron a mi van ben no es más pequeño que el exterior como vi en algún comentario. Repetiré seguro</t>
  </si>
  <si>
    <t>Muy recomendados Yo siempre compto esta marca de biberones. Son perfectos ademas de bonitos</t>
  </si>
  <si>
    <t>Geniales para regalo Se los he regalado a un familiar que siempre se quejaba de que sus auriculares bluetooth eran malos, y ha quedado encantado. Suenan bien, son muy cómodos, y aíslan del ruido muchísimo. Él los utiliza para el trabajo, y no tiene que moverse mucho, por lo que no sé si los recomendaría para deportes de alta intensidad, no sé si se agarrarían bien, aunque imagino que sí (yo no he tenido problema con ellos).  El estuche parece frágil, y digo que lo parece porque no lo es. Se le ha caído mil veces (cosas de tener niños pequeños) y están sin un rasguño. La batería dura bastante, unas seis horas con uso intermitente, y la cajita permite cargarlos unas cinco-seis veces más, así que bastante contento. Si lo usas de contínuo la batería debería durar entre dos y tres horas.</t>
  </si>
  <si>
    <t>contento con la eleccion buenas y a buen precio,me encantan y edemas hechas en España.Eso me dio el empujón definitivo.Además muy bonitas.Volvería a comprarlas</t>
  </si>
  <si>
    <t>Demasiado caros y poca batería Tras 6 meses de un uso de unas 3-4 horas diarias...  Lo malo: La batería rara vez me ha durado más de 6 horas. Las gomas de las orejas hacen daño y al principio llegan a hacer heridas en la piel de la oreja. No merece el precio que pagué por él. La calidad de sonido es normal tirando a aceptable. El micrófono falla muchas veces o no se escucha casi.  Lo bueno: Aíslan muy bien del sonido exterior, creo que rara vez les ha caído alguna gota por lluvia o por mis manos mojadas, pero por ahora, no parece haber tenido ningún problema por filtración de agua. Salvo algún ejercicio de abdominales, creo que nunca se me han salido. Fácil de configurar. Acabado en materiales de calidad.</t>
  </si>
  <si>
    <t>No está mal Un reloj sencillo a un precio ajustado, a la hora de comprar relojes con este tipo de correa tenemos que tener muy presentes que debemos casi con seguridad quitar algún que otro eslabón.</t>
  </si>
  <si>
    <t>Nada satisfecha La verdad que la he utilizado muy poco porque arruga todos los plásticos y no los acaba de plastificar bien y cada dos por tres se enfría y se apaga la luz verde. No la recomiendo.</t>
  </si>
  <si>
    <t>Le gusta el calorcito y no ser tan rápida cómo deberia Se calienta que da gusto, el plástico se raya a la primera que lo insertes en un puerto USB, y no es tan rápida para ser 3.0 Creía que iba a ser mejor por marca y concepto, pero me quedo con que tiene 64 gigas y poco más .</t>
  </si>
  <si>
    <t>Parece pequeña pero entra mucho Todo bien</t>
  </si>
  <si>
    <t>Para más de una taza. Funciona muy bien. Buena relación calidad precio. Estupendo para hervir hasta 1.7 l rápidamente. El único pero es que tienes que poner 1/2 litro como mínimo con lo que no es práctico para preparar una sola taza de agua.</t>
  </si>
  <si>
    <t>Sirven para hombre Es mas barato que el modelo masculino y funcionan igual de bien.</t>
  </si>
  <si>
    <t>Cumple Cumple por calidad precio. Me gusta mucho el acabado de la tapas. Única pega que siendo cartulinas negras me gustaría que los vegetales que protegen la fotos fuesen negros en vez de blancos.</t>
  </si>
  <si>
    <t>Me gusta Hasta ahora, y llevo un año con ellos (siempre reviso tras un tiempo) me van genial. Los usos para ir a correr y conectan perfectamente con el telefono. El sonido bastante bien (por este precio mas que de sobra). Se me adaptan bien a la oreja y no se caen. Ademas he salido a correr con ellos lloviendo y no ha habido problema</t>
  </si>
  <si>
    <t>Ya estan puesto Perfecto, buena calidad y mejor precio, ya esta puesto el cable y el sonido ha mejorado mucho con respecto al cable anterior</t>
  </si>
  <si>
    <t>Muy buena calidad El amplificador va bastante bien, lo utilizo principalmente para jugar en casa al bingo, ya que somos muchos, y siempre tenemos problemas con hablar alto para que todos los oigan, y con este amplificador se solucionó el problema de golpe. Me ha gustado mucho. Ademas, aun no lo probé pero tiene un puerto de USB donde imagino que se podrá escuchar musica desde ahí, ya que tambien dispone de ranura de tarjeta, por lo que es un gran acierto para poder poner nuestra musica favorita. Respecto a la diademas con microfono es muy comoda y bastante agradable, teniendo gran flexibilidad para colarte el microfono como mejor te venga, Estoy muy contento con este amplificador.</t>
  </si>
  <si>
    <t>Muy contenta Mis niños ya no usan bibe pero cuando los compré me encantaron. Los usaron a tope y son muy cómodos</t>
  </si>
  <si>
    <t>Cumple con todo Todo perfecto. El producto cumple con todo lo indicado en la descripción. Me preocupaba la talla (suelo usar una 37) pero como me daba la opción de cambiarla si no me quedaba bien pedí la 37 y por suerte no he tenido que cambiar nada porque me quedan perfectas. Entrega rapidísima, 100% recomendable.</t>
  </si>
  <si>
    <t>Còmodes i resistents. Són Adidas, m'agrada tot.</t>
  </si>
  <si>
    <t>Yolaine Espectacular!!! Les encantan,  justo lo q buscaba. Relación calidad precio muy buena,  número correcto y super cómodos.  Seguimos comprando, gracias.</t>
  </si>
  <si>
    <t>Calidad y sonido de 10 Pues nada más llegar he deseado abrirlos y para mi sorpresa son muy muy guapos. Ya al cogerlos he notado que son de buena calidad, se cargan automáticamente cuando los metes en la cajita que trae y además tiene usb para poder cargarlo a la corriente. Se ajustan genial en el oído ya que es pequeño. No se caen, ni te los tienes que meter a fuerza para que te entre bien como me ha sucedido con otros auriculares anteriores. Se emparejan con el dispositivo móvil súper rápido y se oyen genial. Sin duda, de los tres que tenido estos son los mejores. Demás te marca digitalmente la batería que le queda. Lo recomiendo!</t>
  </si>
  <si>
    <t>Bien Todo correcto</t>
  </si>
  <si>
    <t>Precioso El tamaño es manejable, aunque solo si quieres poner las fotos como se te indica. De otra forma queda mucho hueco. La cobertura es preciosa y suave y parece bastante resistente. Las hojas negras no son de gran calidad, pero los adhesivos de doble cara se quedan pegados (y se pueden despegar con cuidado si te ha quedado torcida la foto). Una de las cosas que me hicieron decidirme por este álbum en vez de otros de Amazon fue que entre página y página hay una hoja blanca transparente muy fina que protege las fotos para que no se dañen entre sí.</t>
  </si>
  <si>
    <t>Antonio Esta bonita espero ponermela sienpre está muy bien y además es barata y de muy buena calidad compraré más me gusta</t>
  </si>
  <si>
    <t>Ok Según descripción todo perfecto</t>
  </si>
  <si>
    <t>Fenomenales Don para mi hijo, tenía otras botas que le cansaban mucho los pies y con éstas está encantado, la marca es una garantía, así que muy bien, hace un mes que las tiene.</t>
  </si>
  <si>
    <t>Sonido bajo y comodos Los cascos parecen cómodos y mis hijas están encantadas. El producto viene perfectamente envuelto y protegido, el sonido no es alto y está bien a mis hijas les ha gustado.</t>
  </si>
  <si>
    <t>Pendrive con muy buen acabado El diseño del pendrive es muy minimalista. En cada cara tiene un tipo de entrada: USB o usbC. El usbC es el estándar que se está imponiendo actualmente por lo que es necesario tener un pendrive donde pasar documentos de tu móvil al pc y en esta función este pendrive cumple de forma eficaz y sin calentarse. Un buen acabado y un diseño vanguardista marcan a este modelo que compaginan muy bien con su amplia gama de color.</t>
  </si>
  <si>
    <t>Elegante y cómodo Tuve que cambiarlo de talla porque pedí un número mas pensando que quedaría apretado.. Al final lo cambié por la talla que es... Queda perfecto y la devolución fue muy rápida.. Sin problema.</t>
  </si>
  <si>
    <t>Increíblemente cómodas. Me queda perfecta. Pedí un 42.5 y calzó un 42. Decir que son cómodas es quedarse corto. Muy buena calidad.</t>
  </si>
  <si>
    <t>Silencioso, muy poco peso Muy contento, el producto llegó muy rapidamente, en los plazos previstos, bien presentando en su caja y con su cable. El disco duro es muy recomendable ya que apenas pesa, es muy ligero muy comodo de llevar a cualquier parte y muy silencioso, no se nota cuando esta trabajando, es conectarlo y poder usarlo en cualquier sistema. Esta muy bien la relacion calidad precio, compré el de 160GB que se quedan en 149GB (normal, pasa en todos los discos) y la velocidad es muy buena, al ser usb 3.0. Ideal como disco de copias de seguridad y con un diseño y acabado muy bueno. Recomendable</t>
  </si>
  <si>
    <t>Daniel No es muy pitillo, un pelin ajustado, pero no mucho. Yo mido 1,85 y peso 79kg, y pedi la M, la L la pedi antes y queda grande.</t>
  </si>
  <si>
    <t>marcos e comprado estos zapatos de tabrajo yo calzo el 43 pero ay qe pedir un numero menos porqe vienen bastantes grandes</t>
  </si>
  <si>
    <t>Buena calidad Seagate. Embalaje deficiente Buena calidad propia de Seagate pero viene envuelto en papel de burbujas sin caja original. Presentacion muy pobre.</t>
  </si>
  <si>
    <t>Bonito pero muy muy pequeño No es feo pero es un tamaño  para niñas pequeñas, imposible ponerlo en un cuello adulto y que se vea</t>
  </si>
  <si>
    <t>Baja calidad Cable de muy baja calidad</t>
  </si>
  <si>
    <t>Calidad cero El tejido malisimo,calidad cero</t>
  </si>
  <si>
    <t>Muy práctico para pequeñas contracturas &lt;div id="video-block-RB00MHVG08ULI"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id="63" preload="auto" src="https://images-eu.ssl-images-amazon.com/images/I/91hf2hkyyrS.mp4" style="position: absolute; left: 0px; top: 0px; overflow: hidden; height: 1px; width: 1px;"&gt;&lt;/video&gt;&lt;/div&gt;&lt;div id="airy-slate-preload" style="background-color: rgb(0, 0, 0); background-image: url(&amp;quot;https://images-eu.ssl-images-amazon.com/images/I/B1kSk53PNAS.png&amp;quot;);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value="https://images-eu.ssl-images-amazon.com/images/I/91hf2hkyyrS.mp4" class="video-url"&gt;&lt;input type="hidden" name="" value="https://images-eu.ssl-images-amazon.com/images/I/B1kSk53PNAS.png" class="video-slate-img-url"&gt;&amp;nbsp;Dolores de espalda desaparece en 10 minutos si no son fuertes</t>
  </si>
  <si>
    <t>buen producto calidad</t>
  </si>
  <si>
    <t>Producto adecuado Producto adecuado</t>
  </si>
  <si>
    <t>Bonito Me ha gustado la calidad del producto y su buen precio</t>
  </si>
  <si>
    <t>Comodidad Comodo</t>
  </si>
  <si>
    <t>Excelente ! Pedí el micro y venia con defecto el botón de la voz/radio, contacté con el vendedor y sin ningún problema me lo remplazo en muy poco tiempo. Excelente!!</t>
  </si>
  <si>
    <t>Sin mentiras Es exactamente lo que pone</t>
  </si>
  <si>
    <t>Relación Calidad Precio Aun siendo mi Mac de Mediados del 2009 y solo con 3 Gigabits,este disco SSd le ha dado vida,  sin poder aprovechar toda su capacidad por lo anteriormente mencionado.menos de un minuto en iniciar el sistema operativo,gran mejora en la apertura de aplicaciones y navegar por Internet muy sorprendido,también mejora en el consumo de batería TODO ventajas,muy contento y su precio casi diría ridiculo para lo que me a aportado 36,00 eur  en oferta ,Bien empaquetado y entrega muy rápida todo un regalo de Navidad para mi MacBook Pro de mediados del 2009 Muy Recomendable.</t>
  </si>
  <si>
    <t>Cómodos Ya tenia un par de asics (los patriot 8), me gusta mucho la marca. Son super cómodos y ligeros. Tallaje correcto, los recomiendo</t>
  </si>
  <si>
    <t>José A. Perfecto, muy contento. Envío rápido y producto que cumple las expectativas 100%. Reloj muy bonito, duro, preciso. Perdecto para el día a día o para vestir</t>
  </si>
  <si>
    <t>Perfecto para Power Point Si eres una de esas personas que haces presentaciones habitualmente, por el precio que tiene, sin duda es una compra muy pero que muy satisfactoria. Se lo regalé a mi pareja que lo utiliza muy a menudo, y está contentísima.  Tiene forma de bolígrafo elegante con lo que a la hora de tenerlo en la mano no llama demasiado la atención ante el público. Tiene un clip muy útil por si quieres guardarlo en un bolsillo!!!  En cuanto a conectividad, dispone de un USB integrado, que en un Windows 10 lo reconoce de manerá instantanea. Puedes desplazarte por todo un aula o despacho de grandes dimensiones sin ningun tipo de interferencia o problema. El USB tiene succión imantada con lo que dificulta su posible pérdida. El laser en sí alcanza grandes distancias, apreciandose con nitidez. Tiene una pila, por cierto, incluida!!!  Para presentaciones en Power Point es perfecto, incluso para reproducir enlaces multimedia directamente. Para archivos en PDF, tambien puede visualizarse y controlarse, aunque quizás no sea el mejor producto para esa funcionalidad.  Hecho muy en falta una funda o bolsita para guardar el producto mientras no se está usando. Por lo demás, muy recomendable!!!</t>
  </si>
  <si>
    <t>Resistente y potente Una potencia increíble. Incluso bato el hielo. Además tiene una buena cantidad de complementos. Se ve resistente. Envío super rápido</t>
  </si>
  <si>
    <t>Muy practico Buen producto a buen precio . Muy cómodo en mando a distancia que tiene y al tener hasta 500 ml te olvidas de estar pendiente constantemente de rellenarlo.</t>
  </si>
  <si>
    <t>Muy practica Es una batidora muy practica y cómoda de usar, me la llevo al trabajo todos los dis. Lo mejor es que se limpia muy fácilmente y no mancha.</t>
  </si>
  <si>
    <t>Perfecto Artículo muy versátil,discreto y cómodo 100% recomendable</t>
  </si>
  <si>
    <t>Calidad precio Cumple su función</t>
  </si>
  <si>
    <t>Los auriculares tienen buena calidad de sonido Es muy ligero y los orejas se quedan dentro de las almohadillas para que no te canses de usarlas. El material de los auriculares es bueno y parece duradero. El emparejamiento con mi teléfono androide se hizo en sólo 10 segundos. Por la comodidad y la calidad del sonido y por lo que pagas, creo que es una opción real a considerar. Los auriculares tienen buena calidad de sonido, el sistema que tiene cancelación de ruido es bueno, no se oye nada. Por cierto, viene en una caja muy elegante y también puede ser un buen regalo para cualquiera que le guste este tipo de auriculares.</t>
  </si>
  <si>
    <t>Recomiendo 100% palabra de cocinera Recomiendo comprarlo lo tiene mi madre desde que no tengo memoria y teng 20 años, por casualidad tambien la tienen en la cocina que trabajo y me la compre hace unos dias por que de todas las que e tocado en tantas cocinas no hay ninguna que se le parezca en lo bien que va y lo que dura( trabajo de cocinera)</t>
  </si>
  <si>
    <t>Su precio Su cometido lo vale</t>
  </si>
  <si>
    <t>Comoda Ideal para guardar tus ahorros. Trae un cajoncito para las monedas y viene con 3 llaves.</t>
  </si>
  <si>
    <t>Excelente!!! Funciona de lujo junto al micrófono de condensador. Increíble que por un precio tan bajo, se pueda tener un producto con calidad y tan buen funcionamiento. Su tamaño es pequeño, casi no ocupa espacio y tiene las entradas necesarias. Estoy muy contenta con este producto</t>
  </si>
  <si>
    <t>Envío rápido, Comodidad asegurada Perfecto estado y acabados sin errores.  Algún pequeño rasguño pero sin rastro de haber sido utilizada.</t>
  </si>
  <si>
    <t>BUENA COMPRA Bien de calidad. El conector me sorprendió por la dureza. Buena compra, además de traer incorporado las horquillas para desmontar la radio</t>
  </si>
  <si>
    <t>Amazing No puedo decir nada malo de estos cascos, el uso que le estoy dando es para jugar y escuchar musica y la verdad que la calidad de sonido es buenisima. Mis cascos anteriores eran "Gaming" unos steelseries 650 y la diferencia de sonido es enorme tanto en la musica como en los juegos todo eso de gaming y 5.1 es marketing.  Que mas le puedes pedir a unos cascos de 120-150 pavos sin contar los 70 del ampli pero sinceramente no hay cascos mejores calidad/precio.</t>
  </si>
  <si>
    <t>pequeñas¡¡¡¡¡ De nuevo las Merrell pequeñas, hay que comprar por lo menos 2 tallas mas.</t>
  </si>
  <si>
    <t>Bonita Es bonita pero se hace nudo con la doble cadena, el diseño no es muy bueno</t>
  </si>
  <si>
    <t>suena bien se caen muy falcil de los oidos</t>
  </si>
  <si>
    <t>No lo recomiendo Estos zapatos de baile son d muy mala calidad. Vienen con hilillos descosidos. Los dedos de los pies se salen hacia fuera y tocas el suelo con ellos, y eso que pedí una talla menos porque tengo el pie pequeño. Imposible usarlos.</t>
  </si>
  <si>
    <t>Producto de imitación (o lo parece) Llega el producto en una caja blanca bastante chunga, en lugar de en la caja original. ambas zapatillas tenían la marca All star de los talones en la parte de la goma despintadas. Estoy casi seguro al 90% que son de imitación. Las devolví al instante. La devolución fue sin problemas.</t>
  </si>
  <si>
    <t>comodos baratos y bonitos buena calidad de sonido, y bastante bonitos, el único problema es el cable que apenas se dobla un poco deja de sonar por uno de ellos</t>
  </si>
  <si>
    <t>Bonito y práctico Me encanta. Decir que los cosidos podrían mejorar ya que alguno se están rompiendo. En general es muy práctico y bonito. Repetiré sin duda</t>
  </si>
  <si>
    <t>Funciona OK Calienta el agua de manera muy rápida, en mi mini cocina ocupa demasiado y hay que tener cuidado porque quema por fuera.</t>
  </si>
  <si>
    <t>Buen tamaño, potencia y control de temperatura Todo perfecto. Es grande, lo cual es perfecto para mí. Tiene 6 intensidades de potencia y apagado automático al cabo de un tiempo de uso. No le pongo un cinco porque, a veces, no funciona bien el botón de apagado/encendido y un par de veces se ha quedado "colgada", siendo necesario desconectarla de la corriente y volverla a conectar. El cable es bastante largo y puede desconectarse de la almohadilla.</t>
  </si>
  <si>
    <t>Perfectos Los biberones son perfectos para dar de comer al bebé,ya que con estos biberones no les da cólicos</t>
  </si>
  <si>
    <t>Perfectas Tengo casi un año usándolas A DIARIO y se mantienen impolutas. Han soportado lluvia, polvo y barro y no entra nada a la bota.  El único “fallo” que le conseguí, es el parche protector lateral que se reseca y rompe rápido. Aún así, siguen protegiendo al 100%</t>
  </si>
  <si>
    <t>Compra acertada 100% excelente y extraordinario producto Microfono excepcional producto extraordinario gran calidad de microfono lo mejor de los mejor. El sonido de la voz 10/10, tanto para cantar como para locución. La calidad del producto impresionante los terminaciones maravillosa. Un micrófono profesional en todos sus aspecto. Recomiendo 100% un micrófonos extraordinario. No tengas dudas si busca un micrófono profesional.</t>
  </si>
  <si>
    <t>Hervidor útil!! Es un hervidor típico, poco se puede decir de él.  Cumple con su cometido, la calidad es tal y como se describe. Bastante bueno en mi opinión.  Muy útil el indicador de una, dos o tres tazas para no desperdiciar agua ni electricidad.  Si el diseño te gusta, no dudaría en comprarlo. Lo recomiendo!!!</t>
  </si>
  <si>
    <t>La relación calidad-precio La sudadera es preciosa y tiene un tacto muy agradable. Francamente muy recomendable.</t>
  </si>
  <si>
    <t>Están chulisimas ......está con ellas encantada Como esperaba</t>
  </si>
  <si>
    <t>Relajante Relajante</t>
  </si>
  <si>
    <t>Una compra perfecta! Genial!!!quedan perfectos en la pulsera y me llegaron perfectamente empaquetados y rápido. Muy contenta con la compra!</t>
  </si>
  <si>
    <t>Acerté Hice una buena compra. Todo como esperaba. Las zapatillas responden con exactitud al las medidas de las tallas, no como sucede con otras marcas, como por ejemplo Havaiianas.</t>
  </si>
  <si>
    <t>La mejor compra que puedes hacer Llevo comprando en Amazon 5 años. Este producto es o el mejor o de las mejores compras que he hecho. Es impresionante. Tiene buena calidad y masajea muy bien descontracturando. Hay que agarrar para hacer presión pero no cansa nada . Quizás es más incómodo para la parte de los lumbares pero con unas cuantas veces le coges el truco. Es perfecto este producto me encanta</t>
  </si>
  <si>
    <t>Perfecto Hace 2semanas que lo tengo y perfecto es como se ve buenos acabados</t>
  </si>
  <si>
    <t>Calidad y elegancia. Excelente reloj. Llevo con él un mes y funciona con exactitud suiza. Estética sobria pero muy elegante. Material de calidad. Cómodo, y al tener  la esfera oscura, combina con cualquier color de ropa y complementos.</t>
  </si>
  <si>
    <t>Perfecto. Gran compra. Es rápido y gran almacenaje de datos.</t>
  </si>
  <si>
    <t>Awesome Buen y útil producto</t>
  </si>
  <si>
    <t>Calza algo pequeña hay que pedir un número más del habitual. Recomiendo esta zapatilla, muy cómodo y sienta muy bien. Me encanta el color. Queda bien para llevar un estilo casual con unos vaqueros.</t>
  </si>
  <si>
    <t>perfecto estoy muy satisfecho con esta compra, todo los materiales y los acabados merecen la categoria de muy buen producto y sus 5 estrellas</t>
  </si>
  <si>
    <t>Muy bonito y sencillo El collar puesto queda más bonito de lo que es. Es pequeñito, muy brillante y tiene unas formas que destacan cuando se lleva.  Me gusta mucho el acabado que tiene la joya, ya que la forma metálica que genera la plata en forma de corazón da el punto y final a cómo brilla la circonita en el centro. La verdad es que me ha gustado comprarlo porque parece pura poesía. La plata simulando la pureza y la luz de la circonita la intensidad.</t>
  </si>
  <si>
    <t>comodidad me han gustado, son prácticos y cómodos, los zapatos que me daban en mi empresa me estaban matando de dolor, ahora la sensación de dolor se ha ido, son cómodos buenos y calidad precio genial</t>
  </si>
  <si>
    <t>muy buenas muy chulas  y comodas. además el precio un 10, solo que en este color y talla, si te gustan otras la cosa cambia. Con todo sigue ganando la oferta de AMAZON.100%</t>
  </si>
  <si>
    <t>No esta mal El bolso es como el de la imagen pero los bolsillos interiores son muy cortos, prácticamente no se puede guardar nada.</t>
  </si>
  <si>
    <t>Buen funcionamiento pero escaso tamaño viene encolada y se adihere muy bien a la prendas, es muy fino con lo que dobla muy bien. Ojo, no es impermeable. Un poco escaso de tamaño</t>
  </si>
  <si>
    <t>Sencillos y funcionales En general están bien, tenemos que tener en cuenta el precio. Qué más se puede pedir por ese precio. Partiendo de eso, la conexión con el dispositivo fue rápida, se escuchan perfectamente. La verdad no los uso para hacer deporte, para eso en concreto no me perecen muy funcionales. El cable es muy corto y la zona donde va la batería me parece pesada para el cable de los auriculares. Los materiales en general son bastante sencillos, pero para el uso que pretendo darle, para mí es más que suficiente. En cuanto a la batería, de momento me aguanta bastante bien, los uso para ver series y un par de capítulos me los suele aguantar.</t>
  </si>
  <si>
    <t>Debilidad del producto Se deshace enseguidad</t>
  </si>
  <si>
    <t>Me gustaría cambiarlo por una talla más grande El zapato según la talla, es más pequeño y ajustado de lo esperado, se tendría que pedir una talla mas para poder usarlo cómodamente..</t>
  </si>
  <si>
    <t>Un sistema de biberon distinto... Estoy contenta con el producto porque quería evitar que rechazase el pecho y ha sido así.  Pero con menos de un mes de uso la tetina cede un poco, así que tengo que escribir a Medela para hacer la reclamación.  A mi suegra le cuesta mucho usar este tipo de biberon porque está acostumbrada a los de toda la vida.</t>
  </si>
  <si>
    <t>Diseño CALIDAD BUENA. Recomendable pedir un número mas para que no apriete.</t>
  </si>
  <si>
    <t>Buena batidora!! Batidora Braun con un par de accesorios! Buena batidora, de momento todo perfecto, envío de amazon rápido como siempre, y sin ningún problema, las cuchillas parecen de calidad y sus múltiples velocidades es un valor extra! No me gustaron los botones de plástico, esperare a ver que tal tras unos meses de uso!</t>
  </si>
  <si>
    <t>Estan bien Zapatillas bonitas y comodas, un poco mas pequeñas de lo normal. Faciles de limpiar.</t>
  </si>
  <si>
    <t>Lo aconsejo Estos cabezales van muy bien, son prácticos, fregan y se escurren perfectamente dejando un suelo super limpio y brillante. Seca rápido.</t>
  </si>
  <si>
    <t>Huele muy bien Huele super bien con muy pocas gotas</t>
  </si>
  <si>
    <t>Adhesión Buena adhesión</t>
  </si>
  <si>
    <t>Muy bueno Muy bueno</t>
  </si>
  <si>
    <t>Lo que me esperaba Es lo que me esperaba, perfecto para lo que buscaba, que era unos cascos con limitaciones de volumen para un niño de 9 años.</t>
  </si>
  <si>
    <t>Los pendientes son tal y como vienen en la imagen Me han gustado mucho los tres pares de pendientes.</t>
  </si>
  <si>
    <t>Bonitas Son exactamente como se indica</t>
  </si>
  <si>
    <t>Comodos Son bastante anchos y eso esta bien en vez de ser largos y tienen mucha capacidad para cuando empiezan con los cereales.</t>
  </si>
  <si>
    <t>Buen producto &lt;div id="video-block-RHSPCMLW8K19X" class="a-section a-spacing-small a-spacing-top-mini video-block"&gt;&lt;/div&gt;&lt;input type="hidden" name="" value="https://images-eu.ssl-images-amazon.com/images/I/A1p9M2L9ZMS.mp4" class="video-url"&gt;&lt;input type="hidden" name="" value="https://images-eu.ssl-images-amazon.com/images/I/B1X1BfB0auS.png" class="video-slate-img-url"&gt;&amp;nbsp;Un difusor elegante y fácil de usar.  Es sencillo de preparar y montar para que preste un servicio y decorativo tanto por su forma y material como por las luces.</t>
  </si>
  <si>
    <t>excelentr pense que seria pesado y es lo maximo! super bello elegante y ademas con un diseño extraordinario me encanta! recomendado</t>
  </si>
  <si>
    <t>¡¡Super agradable, cómodo y relajante!! Es maravillosa, lo he probado y me ha dejado super relajada, es como llevar la calefacción encima. Entre mis primos y yo hemos comprado 5 unidades para regalar a los abuelos y a una tía. Estoy segura de que estas navidades triunfaremos con este regalo, además ellos lo van a agradecer muchisimo.</t>
  </si>
  <si>
    <t>La rapidez La pena es que se calienta por fuera mucho y para niños o personas mayores es un peligro, por lo demás excelente calienta muy rápido</t>
  </si>
  <si>
    <t>Muy comoda de llevar... Genial y bien hecha...</t>
  </si>
  <si>
    <t>Prefecto Buen precio y nuena calidad</t>
  </si>
  <si>
    <t>Con diferencia el mejor para todo tipo de reparaciones rapidas y duraderas A diferencia de otros pegamentos de cianocrilato que prometen buen pegado y luego no pegan más que tus dedos , en este se nota la CALIDAD. Es la primera vez que pego dos cosas complicadas( la goma de la puerta de la lavadora y un semaforo de juguete que lleva mil reparaciones) y a la primera, sin esfuerzo y en segundos han quedado perfectos.  La lavadora ya no pierde por la goma rota que ha quedado muy bien y el juguete esta como nuevo ( es un decir porque lleva mucho tute no asi el pegado que esa perfecto).  Lo recomiendo sin dudar , rapido , limpio, efectivo, flexible,  Ahora solo me queda usarlo para poner un parche en la cubierta tubuless de la bicicleta de montaña que parece que quedará como nueva.  El precio lo veo más que correcto sobre todo con el ahorro que supone arreglar cosas complicadas.  Recomendado al 100%</t>
  </si>
  <si>
    <t>Estupendas Las compre para mi marido y está encantado, son muy cómodas por que  por la puntera y empeine son algo mas anchas de las deportivas normales, lo cual hace que si tienes el pie ancho lo lleves comodomente,</t>
  </si>
  <si>
    <t>Naba Muy bien</t>
  </si>
  <si>
    <t>Enamorado de los Smoothies Empecé a probar este verano los smoothies y me han encantado tanto que he decidido comprar está picadora, creo que es ideal ya que tiene un propio vaso donde poder llevarlo sin tener que manchar otro recipiente. Tiene fuerza suficiente para poder picar fruta y verdura cruda, además incorpora dos sistemas más lo cuales necesitaba, uno para moler el café y el otro para picar carne y hacer hamburguesas. Creo que es un precio muy bueno para lo versátil que es.</t>
  </si>
  <si>
    <t>Buena compra Sonido espectacular, cómodos y fáciles de colocar. Echo en falta un pequeño estuche para guardarlos. Contento con la compra, muy bien.</t>
  </si>
  <si>
    <t>Funcionan bien Compré dos uno venía bien el otro venía rallado paresia usado. De resto bien funcionan bien son para lo q son uso rústico o deportes.</t>
  </si>
  <si>
    <t>Puma Muy cómodo, lo único que talla bastante grande yo pedí una XS y parece un S</t>
  </si>
  <si>
    <t>Poco rígida Me gusta pero poco rígida.</t>
  </si>
  <si>
    <t>Provocan dolor del oído Provocan dolor de oídos, al usar un rato, me provocaron dolor que no se me ha ido en 5 horas, incluso pensé ir al médico porque nunca me pasó con ningún otro auricular. Desaconsejo su compra totalmente, lo pasé muy mal, no podía dormir muchas horas por molestias</t>
  </si>
  <si>
    <t>Deja negro por todo. Me a estropeado bastantes cosas en casa. ¡¡¡Deja todo negro!!! Un producto muy mal hecho - 0/10 Aconsejo no comprar</t>
  </si>
  <si>
    <t>Abriga Buena calidad. Abriga bastante, no es una sudadera de entretiempo es más estilo forro polar. De talla bien elegir una M y yo uso una talla 50 52. La talla americana siempre es más grande que la española</t>
  </si>
  <si>
    <t>Bien Suficiente para todo lo que quería</t>
  </si>
  <si>
    <t>New Balance a buen precio Las conseguí a 39€. Son bonitas y New Balance ya sabemos que duran mucho. Tienen bastante tejido de ante que seguro que se pondrá feo con el tiempo. La N brilla en interiores cuando les da la luz. Contento con la compra</t>
  </si>
  <si>
    <t>Muy cómodos y buen tamaño Los biberones están muy bien. Lo único que me gusta menos, por poner un pero, es que cuando los lavas, a veces quedan como empañados, a causa del material del que están hechos. Por lo demás, el tamaño es perfecto y son muy cómodos, y las tetinas tienen la apertura perfecta para la introducción de los primeros cacillos de cereales.</t>
  </si>
  <si>
    <t>No resbalan Buenos calcetines para pilates. No resbalan y despues de unos cuantos lavados siguen igual que la primera vez que los usé</t>
  </si>
  <si>
    <t>muy practico estupendo</t>
  </si>
  <si>
    <t>Relación calidad-precio inmejorable Escogí el negro, y no puedo estar más contenta. No es fácil encontrar un álbum de este color por un precio tan asequible! Por cada página hay una pequeña lámina de papel fino, tipo cebolla, que hace que las fotos que se coloquen no se peguen entre ellas. Definitivamente recomendable.</t>
  </si>
  <si>
    <t>Genial Genial justo lo que esperaba</t>
  </si>
  <si>
    <t>Buen agarre Buena compra, gran agarre y sujeción para la montaña</t>
  </si>
  <si>
    <t>Muy contenta Muy buena compra, primero compré otros inalámbricos de los pequeños para hacer deporte de la misma marca y como estaba tan contenta, decidí comprar los grandes también y fue todo un acierto, es escuchan de maravilla y enlazan a la primera tanto en móviles como en ordenador sistema mac y Android, los tengo hace más de un año y los pequeños más de 3 y nunca me han dado ningún problema ninguno de los dos. Aconsejo está marca 100%</t>
  </si>
  <si>
    <t>El INVENTO útil a 100% 👏 Hace años ya que SWIFFER tenía la IDEA de ☆☆☆☆☆ y todavía hoy lo mejor del mejor  ... ENHORABUENA y GRACIAS  (11-07-2019)</t>
  </si>
  <si>
    <t>Ideales para el día a día Ha sido un regalo para mi madre y han sido ideales porque no tienen cordones y esto le facilita mucho. El tejido es transpirable y no pesan nada. La plantilla es muy cómoda y además son fáciles de colocar.</t>
  </si>
  <si>
    <t>Tan pequeño que cuesta agarrarlo. Se trata de un pendrive ultra pequeño, no sobre sale nada de metal, solo un fino plástico.  Me lo compré para mi coche, está siempre conectado al usb y no molesta en absoluto, practicamente desaparece.  La música se escucha perfecto, no se corta, y no puedo decir nada más al respecto.  Muy contento ya que lo pillé a mitad de precio que ponían, aun así merece la pena, la marca lo dice todo.</t>
  </si>
  <si>
    <t>Cumple Yo le iba añadiendo pegamento líquido, la cogí para pasar un cable de red plano por la pared y así ha quedado muy sujeto.</t>
  </si>
  <si>
    <t>Chanclas doradas. Tallan justo. Son muy ligeras y me encantan en dorado. Pienso usarlas mucho este verano. No hacen roces y son cómodas.</t>
  </si>
  <si>
    <t>Kit de accesorios deco regalos Mi hija necesitaba para un evento de las fiestas por parejas un set para regalitos para bastante gente y buscando encontramos este que está bastante bien, muy completo y elegante.</t>
  </si>
  <si>
    <t>Ideal para PS4 Lo compre para mi PS4 puesto que otro disco duro que tenía continuamente me daba problemas para reconocerlo. Llevo con este varios meses y ni una sola vez me ha dicho que no lo reconozca. Parece hecho a propósito para PS4</t>
  </si>
  <si>
    <t>Q me relaja mientras veo la tele, me doy un masage sin apenas darme cuenta. No da nada de pereza Pues este aparatito no se si hará algo xq hace poco q lo tengo, pero me gusta pasármelo por la cara y el cuello mientras veo la tele. Me gusta el frescor de la piedra</t>
  </si>
  <si>
    <t>me gusta perfecto, hasta ahora perfecto se siente super bien. vamos a ver si reduce las ojeras con los dias</t>
  </si>
  <si>
    <t>Araceli Es tal y como se describe en la pagina web. Lo compré para regalar y le encantó. Un regalo práctico y original.</t>
  </si>
  <si>
    <t>Son muy bonitos La calidad del sonido es bastante buena son muy cómodos y muy bonitos. Mi hijo me lo ha dejado caer ya un par de veces y siguen perfectos.</t>
  </si>
  <si>
    <t>Buena, lo que buscabamos. Buena relacion calidad precio. La volveria  acomprar Buena, lo que buscabamos. Buena relacion calidad precio. La volveria  acomprar. Bate y tritura muy bien. Nada de complementos innecesarios.. Muy recomedable. El servicio de Amazon perfecto como siempre</t>
  </si>
  <si>
    <t>Samsung no defrauda Samsung no defrauda</t>
  </si>
  <si>
    <t>deja bola con solo el uso de pocos dias va dejando mucha bola .... y no me agrada la sensacion de tener que estar sacando continuamente las bolas que se hacen del roce.</t>
  </si>
  <si>
    <t>Producto bonito Esta fabricado con un materia que produce olor desagradable</t>
  </si>
  <si>
    <t>Corta mejor un cuchillo de juguete Las cuchillas no cortan bien y después de pelearme con el en varias ocasiones finalmente, el ocupa su espacio en la pared de la cocina solo con el papel de cocina, y el papel transparente y el aluminio han vuelto a su cajón. Muy decepcionada. Ahora tengo un trasto colgado en la pared....</t>
  </si>
  <si>
    <t>No se notan los 800 W, no encajan las piezas y difícil de limpiar Yo creo que la batidora que me enviaron no estaba bien ya que si no es eso, es que Bosch va muy mal. Primero no encajaba bien el pié con el motor, tenia algo de juego, segundo, no se notaban los 800 W, le faltaba fuerza y tercero, la cúpula de las cuchillas con esa pieza de plástico con ollitos cual pelota de golf es difícil de limpiar (la tuve que limpiar a mano después de sacarlo del lavavajillas). Decepcionado con el aparato, no he querido repetir pidiendo el mismo, probaré con otra marca a ver. Lo devolví y en un principio sin problemas por parte de Amazon.</t>
  </si>
  <si>
    <t>Que no las puedo usar Es demasiado grande,y estoy cansada de pedir cambiarlo por una talla menos y no me hacen caso...ahí las tengo para el año que viene</t>
  </si>
  <si>
    <t>perfecto deja el pelo suave, eso si usar 10 gotas contadas y en cabello, no en la raíz, si no te engrasa. ademas dura mucho por lo que el precio esta bien para el tiempo que dura el aceite</t>
  </si>
  <si>
    <t>Muy bueno Una pena que caja y cristal sean de plástico, creo que se van a rayar fácilmente. Tal y como dijeron otros usuarios, es muy ligero. Añadir y quitar mallas me resultó fácil.</t>
  </si>
  <si>
    <t>Si no quieres gastarte 800€, esta es perfecta La tengo desde hace pocos días, pero el café es muy bueno, es fácilmente ajustable y el único pero que le pongo es el agua que utiliza en cada limpieza... Pero por todo lo demás, un 10!</t>
  </si>
  <si>
    <t>Buena calidad Cumple su objetivo, buena calidad a buen precio</t>
  </si>
  <si>
    <t>Perfecto Bien</t>
  </si>
  <si>
    <t>Es diminuto y casi escamoteable. Me encanta para usarlo en el coche. Adquirí este pendrive para poder escuchar música sin límite en el coche. Estoy muy contento, porque la velocidad de lectura y escritura es muy buena y al ser tan pequeño no molesta nada. Encantado al haber estado rebajado su precio y al ser una marca de la que me fío estoy por ahora muy tranquilo. Recomiendo 100%</t>
  </si>
  <si>
    <t>Bueno y barato Decidí comprarlo por el precio y aunque varias personas no me lo recomendaron yo opino lo contrario, es muy fácil de instalar además de que es rápido, yo instale el so en este ssd y al encender el portátil me tarda unos 5 segundos respecto al minuto que me tardaba antes</t>
  </si>
  <si>
    <t>Ok Todo bien</t>
  </si>
  <si>
    <t>Tarjeta almacenamiento Tarjeta de memoria pequeña microSD de 32GB y el adaptador SD para utilizarla en cualquier equipo. Nosotros la hemos adquirido para almacenamiento de fotos de una cámara y nos viene genial. Cumple perfectamente su función.</t>
  </si>
  <si>
    <t>Precioso, elegante, económico, funcional, buen material Que decir que no se vea, es impresionante, el diseño precioso, elegante, muy economico, la correa de acero, es sumergible a 30 mtrs, la verdad que cuando lo recibí y lo abrí quedé satisfecha no, lo siguiente, espectacular lo recomiendo sin lugar a duda, no necesita pilas, va a cuerda, no se adelanta ni se atrasa, funciónamiento correcto, En fin, Le doy un 11 de 10</t>
  </si>
  <si>
    <t>Reloj muy practico. Reloj con carga solar, por lo que te olvidas de la pila durante un monton de años. Al ser radiocontrolado siempre lo llevas con la hora exacta, al menos en mi caso que conecta todas las noches a las 3,02 h. El tamaño para mi gusto es correcto, es un tamaño medio y sirve para muñecas grandes y mas pequeñas, la mia tiene 16,5 cm. En fin estoy contento con la compra y como siempre el envio de Amazon perfecto me llego al dia siguiente.</t>
  </si>
  <si>
    <t>Calidad precio Para regalo</t>
  </si>
  <si>
    <t>Buenas pulseras Compré estas pulseras para regalo y gustaron mucho. Tienen buen acabado y son de piel auténtica. Contento con ellas.</t>
  </si>
  <si>
    <t>Funciona perfectamente Va perfecta la campana y a un precio increíble</t>
  </si>
  <si>
    <t>Preciosos y con una calidad de sonido increíble Buscaba unos auriculares de diadema bluetooth que tuviesen cancelación de sonido para hacer un regalo, ya que mi pareja se pasa horas estudiando y necesita no tener distracciones de su alrededor.  En casa tenemos otros auriculares de la misma marca y estoy encantados con ellos, de modo que no me lo pensé dos veces.  Nada más llegar, nos encontramos con una funda protectora bastante dura para proteger por completo los auriculares. Mediante una cremallera accedemos al interior de la misma, donde nos encontramos los auriculares perfecatmente colocados gracias a su rotación de 90º, la cual permite que ocupen poco espacio y sufran menos cuando están guardados.  Son muy cómodos, ocupando toda la oreja para aislar del exterior. Se conectan al teléfono móvil o al portátil sin problema, cuando se ha sincronizado oimos un mensaje que nos lo confirma.  En la funda nos encontramos también un cable jack para conectarlos por cable y un cable micro-usb a usb para cargarlos. La carga se completa en poco más de una hora y permite escuchar más de doce horas ininterrumpidas de música, perfecto para viajes en tren o metro.  La calidad de sonido es espectacular, con buenos graves y nitidez en los agudos, no distorsionan y permiten disfrutar de música y películas a la perfección.  Sin duda es un gran producto, recomendable al 100%</t>
  </si>
  <si>
    <t>Un clásico Qué decir de esta perfección de la joyería. Gran marca, cuida al máximo los detalles, con 2 bornes incorporados para que impedir la pérdida de los elementos y abalorios a modo de tope de seguridad. Diseño elegante, cómoda y ágil de llevar. Broche fácil pero seguro. Compra y envío excelentes</t>
  </si>
  <si>
    <t>Todo lo esperado cazadora perfecta, sienta muy bien y es de bastante abrigo.  recibí lo que esperaba en talla color y sensaciones de calidad  calidad muy buena</t>
  </si>
  <si>
    <t>Muy bonitas. Mallitas un poco finitas pero quedan bastante bien puestas, son cómodas y las recomiendo dan mucho de si asi que un 10.</t>
  </si>
  <si>
    <t>Perfecta Calidad Precio No decepciona. Perfecta para la Gopro, se nota la diferencia. Totalmente aconsejable. No duden en adquirirla, precio ideal y calidad contrastada.</t>
  </si>
  <si>
    <t>Los mejores cd vírgenes del mercado en relación calidad-precio. No se deterioran con los años. Seguramente la marca de cd vírgenes más vendida, ya que su relación calidad-precio es inmejorable. Lo más importante es que no se deterioran con el paso del tiempo y los datos están seguros.</t>
  </si>
  <si>
    <t>Excelente Buen soporte, engancha bien el microfono, y la base pesa, por tanto aguanta perfectamente el micro. Lo recibi enseguida de pedirlo.</t>
  </si>
  <si>
    <t>Recomendados. Aproveché una oferta que los dejaba por debajo del precio de la competencia. Los zapatos son muy cómodos, de buena calidad y la talla es correcta.</t>
  </si>
  <si>
    <t>Funcional y de calidad Si buscas algo al nivel de la tecnología de navegación de hoy en dia, olvidate de este reloj. Si lo que buscas es un reloj sencillo, funcional y que además señala el norte, y tiene termómetro, este es tu reloj. Funcional, un poco retro y calidad Casio.</t>
  </si>
  <si>
    <t>cumple espectativas todo según lo esperado</t>
  </si>
  <si>
    <t>MAL OLOR Hola, las zapatillas como esperaba, pero el olor es insoportable, como  a humedad , "plástico"etc.. Entiendo que son originales por el precio , tengo otras similares de otras marcas y nunca me ha pasado. ¿qué solución me pueden dar? Gracias Un saludo</t>
  </si>
  <si>
    <t>bonitas tengo un 42 y quedan muy justas, de largo y de ancho en la zona de los dedos. el 42 de hombre mucho mejor</t>
  </si>
  <si>
    <t>Sobrevalorado Me decidí comprar estos auriculares por lo bien que hablaban de ellos, pero personalmente están sobrevalorados. Estando rebajados desde los 110 a 50€ es una oferta muy atractiva. Son cómodos y muy prácticos, pero mi baja puntuación es por la baja calidad del sonido, todo el mundo habla super bien de la calidad del sonido pero no sé si serán los mios que no suenan tan bien o que la calidad de sonido es así siempre. Falta algo de nitidez y faltan graves. El sonido optimo está mas o menos a la mitad de la potencia, y según vas subiendo el volumen pierde muchisima calidad de sonido. Lo dicho, merecen la pena por los 50€.</t>
  </si>
  <si>
    <t>Buen pendrive pero se calienta Tengo más pendrive de esta marca y siempre han funcionado bien. Este también lo hace de momento, pero el problema es que se calienta bastante cada vez que lo meto en el movil,incluso estando 2 minutos sólo.</t>
  </si>
  <si>
    <t>Pesima calidad Nada recomendable, despues de 3 meses no queda rastro del color dorado, ni de la parte de ls ojos, las piedritas apenas se ven de lo opacas que se han puesto. No es una pulsera de uso diario. En definitiva no lo recomiendo para nada.</t>
  </si>
  <si>
    <t>Se ha roto pronto No ha durado un año</t>
  </si>
  <si>
    <t>Un reloj clasico Aunque llega en una confección de cartón que seguramente no es la original, está bien protegido y no presenta daños. El reloj es un clasico, bien conocido. Se nota su robustez y un buen funcionamiento. Único defecto es la diferencia entre el material de la caja y de la correa. Arriba la caja hay plastico plateado mientras por debajo de la caja y la correa está acero inoxidable. Este aspecto perjudica no solo el color del reloj (sutil diferencia inicialmente, pero se nota con los dias..) si no la durabilidad de los componentes. Seguramente estoy satisfecho por el compromiso calidad-precio de este reloj.</t>
  </si>
  <si>
    <t>Estupendo Me gusta su diseño.</t>
  </si>
  <si>
    <t>La marca No me pareció, la calidad del producto con el precio q he pagado, me he comprado 2 y un modelo ha sido por 23€ y está bastante mejor que este modelo</t>
  </si>
  <si>
    <t>Sencillo y Eficaz Calidad/Precio correcto se oye con claridad la unica pega que le veo es que el cuerpo del reloj es bastante grueso asomando bastante de la muñeca.</t>
  </si>
  <si>
    <t>Conga 4090  !! Fantástica !! Estábamos indecisos entre coger este robot u otro de diferente marca de similares características y la verdad,.. que hemos acertado, estamos muy contentos y satisfechos con el conga 4090. De momento solo lo hemos usado con el cepillo para mascotas, ya que tenemos una y deja la casa impecable, no deja un pelo. La limpieza de  la casa la hace en poco tiempo, a mi parecer no es muy ruidosa, la otra lo era mas y tenia menos succión; Una vez que a delimitado el contorno de la casa, no golpea para nada ni los rodapiés ni los muebles,.. otra que nos dejaron de diferente marca si lo hacia. El sistema de mapeado, la app del móvil y el mando a distancia funcionaron sin ningún problema desde el principio. De momento no hemos tenido ocasión de utilizar el sistema de fregado, lo haremos en breve,.. pero como aspiradora  !! FANTASTICA !!</t>
  </si>
  <si>
    <t>Sustituto perfecto de un disco duro tradicional (HDD) en un portátil en mi caso. Va muy rápido tanto en lectura como en escritura ( unas 10 veces más velocidad que el HDD), gasta menos batería (si lo usas en un portátil y genera menos calor). Es muy fácil sustituir tu antiguo Disco Duro por un SSD Recuerda que debe ser de 2,5" para que tenga el mismo tamaño que los HDD de los portátiles.</t>
  </si>
  <si>
    <t>Frank Marti Muy buen reloj, conocia el modelo. La descrpcion de amazon no corresponde con el modelo, deberian describirlo correctamente, es necesario</t>
  </si>
  <si>
    <t>Capricho caro Muy chulo para fiestas pero lo único q los barriles salen muy caros,</t>
  </si>
  <si>
    <t>almohadilla ratón El  producto se ajusta a lo que se ve en las imágenes y esta muy bien rematado estoy contento con</t>
  </si>
  <si>
    <t>Buena relacion precio/calidad Lo esperado. Ninguna queja. Creo que incluso se pasan los archivos más rápido que la que tenía antes. Muy recomendada</t>
  </si>
  <si>
    <t>Me gusta mucho Lo que con las plantillas no me fue bien. Esto lo tengo en mi casa en el cajón del ordenador, y cuando me siento me los pongo y voy cambiando de pie, me va genial. Para descansarlos, me gusta mucho</t>
  </si>
  <si>
    <t>Perfecta y duradera La tengo ya un par de años y va a la perfección. Se limpia con un chorrito de vinagre al agua, porque acumula cal después de unos tres meses de uso continuado (dos tres veces al día), un uso menor no acumularía cal. Muy bonita y compacta, va perfecta.</t>
  </si>
  <si>
    <t>Vale la pena Mi hija le encantó el artículo</t>
  </si>
  <si>
    <t>Perfecto Llegó pronto, y es justo lo que necesitaba. Muy fácil de usar y más vale que sobre cable para ir cómodos.</t>
  </si>
  <si>
    <t>Un básico de Adidas a muy buen precio. Chaqueta clásica de Adidas, válida para hacer deporte o bien para vestir en plan informal. Calidad propia de la marca. En un pelín más larga que otras tallas L incluso de la misma marca.</t>
  </si>
  <si>
    <t>No esperaba menos, acabados y comodidad de 10 Ya había comprado otro reloj muy parecido de la marca. A sabiendas de su buena calidad y acabados por el precio que tiene, decidí comprar otro para el cumpleaños de un familiar. Es un reloj muy cómodo, bien acabado y con un cristal de buena calidad que proporciona una sensación de estar delante de un reloj de mucho más valor.</t>
  </si>
  <si>
    <t>Diversión asegurada. Lo compramos para los días en los que nos reunimos con la familia y amigos, ya sea para celebrar un cumpleaños o para una fiesta y ha sido un éxito total. Al principio cuesta un poco, pero una vez que empezamos a usarlo se quitan todos los miedos y todos quieren ser el siguiente en usarlo. Su uso es muy sencillo, además de ser más ágil y económico que los sistemas de karaoke de las consolas de videojuegos que usábamos antes. Basta con encenderlo y emparejarlo por Bluetooth con el móvil, ordenador o Tablet, buscar la canción que queramos a través de cualquier programa o buscador en internet en modo karaoke, y……. a cantar. El micrófono en si está construido con materiales de calidad, no es pesado y su tamaño en muy parecido a cualquier micro, excepto en la zona de los altavoces, el sonido es fuerte y claro, suficiente para usarlo en una habitación, salón, o incluso ahora en verano al aire libre. Funciona con baterías de iones de litio, fácilmente recargables mediante el cable USB incluido, y se puede conectar por Bluetooth o por cable de audio por conexión Jack de 3,5 mm también incluido. En la parte central de los altavoces posee el botón de encendido/apagado y pausa, controles de volumen de voz y de música, y adelante/atrás de las canciones, otro para poner o quitar eco a nuestra voz y uno más para amortiguar la voz de la canción original y que se escuche mejor nuestra propia voz al cantar, así como una ranura para tarjeta SD, otra de conexión Jack 3,5 mm y la última para recargar las baterías, todo ello. Por los 35€ que nos costó, es un artículo muy recomendable para usarlo en fiestas, cumpleaños o reuniones y tener asegurada la diversión de todos los asistentes.</t>
  </si>
  <si>
    <t>RJB Buen tacto y bonita sudadera. Me queda un poco ancha, lo malo de comprar así. Pero la verdad que su sencillez y tacto de la prenda me ha encantado.</t>
  </si>
  <si>
    <t>Correcto Cepillo para el interior de las botellas o lugares con la boca estrecha.</t>
  </si>
  <si>
    <t>Cinta americana de calidad Calidad Tesa en una cinta americana de 50 mm. Resulta útil para muchas reparaciones. El pegamento es de calidad y la trama de la cinta es consistente</t>
  </si>
  <si>
    <t>Monisima Vino muy bien empaquetada, y es muy bonita, me a gustado bastante, volveré a comprar otra porque puesta queda preciosa!!</t>
  </si>
  <si>
    <t>Un regalo muy agradecido xD Lo compré para un regalo de cumoleaños y por lo que me han contado está muy bien XD Tiene diferentes modos de vibración y distintos grados de intensidad, y un led que se ilumina siguiendo cada modo.</t>
  </si>
  <si>
    <t>Mejorable Es compatible con XP SP3, pero para formatearlo en NTFS necesitas Windows 7 o posterior.  No lleva LED para indicar su estado.  Demasiado ancho, no puedes conectar otro dispositivo en el puerto USB más cercano.  Por lo demás correcto.</t>
  </si>
  <si>
    <t>Entrecortado Lo he devuelto porque la voz se cortaba cuando escuchaba audios o música. La experiencia hablando por teléfono OK. En cuanto al material es de calidad, lo he cambiado por un aukey y no tiene nada que ver, los botones van muy suaves en el plantronics.</t>
  </si>
  <si>
    <t>Para tirarlas Converse compradas el 9 de Agosto del 17, practicamente sin usar, podeis verlo en las fotos y despegadas por el lateral desde el primer dia, el año pasado intente pegarlas sin resultado, cada vez estan peor. Mi hermana compro unas identicas en tienda y estan nuevas y sin despegar. A veces lo barato sale caro, una pena y ahora a quien reclamo yo?</t>
  </si>
  <si>
    <t>error de tallaje Por segunda vez las pido y el tallaje es incorrecto 39/40 EU no corresponde ni con 38 EU son muy pequeñas</t>
  </si>
  <si>
    <t>Buena compra Genial calidad de sonido en relacion al precio. Llevo muchos años comprando cascos de esta marca y siempre es un acierto. Unica pequeña pega, y por lo que no le doy 5 estrellas, es que la diadema puede llegar a ser algo molesta cuando se llevan mucho tiempo. En cualquier caso los recomiendo al 100%</t>
  </si>
  <si>
    <t>Bien por el precio No tienen mucha calidad, estéticamente son muy bonitas pero el material es regular y el interior no tiene casi mullido. No creo que duren mucho porque en un día ya están marcadas. Dan bastante talla al no tener mucho relleno interior, pero no para pedir una menos de la que calzas. Le pongo 4 estrelles porque son baratas y muy cómodas.</t>
  </si>
  <si>
    <t>Zapatillas Adidas Buen valor por lo que pagas. Son suaves y cómodos.Son excelentes para caminar largas distancias.</t>
  </si>
  <si>
    <t>Sonido increíble. Graves profundos Sonido increíble. Graves profundos. Quizás la única pega sería que molestan un poco después de llevarlos un tiempo. Se pueden intercambiar almohadillas según tamaño de oreja</t>
  </si>
  <si>
    <t>Recomendable Buena compra, tal en la foto, cómodo al no tener cable, el diseño es como en la foto y la funda es genial. La calidad del sonido es buena acorde con el precio.</t>
  </si>
  <si>
    <t>Muy util Cumple perfectamente con su objetivo. Estéticamente queda muy bien.</t>
  </si>
  <si>
    <t>Buena relación calidad-características-precio. Funciona muy bien y tiene las características que necesito para grabar en la cámara de fotos.</t>
  </si>
  <si>
    <t>Muy buenas zapatillas Fenomenal</t>
  </si>
  <si>
    <t>Correcto Tal cual lo que esperaba, en perfecto estado, y el tamaño justo, comodas y muy útiles para andar por el campo</t>
  </si>
  <si>
    <t>Excelente calidad de sonido Excelente calidad de sonido, además con el adaptador que trae me han venido genial para salir a correr. Aparte se adaptan muy bien al oido que viene ideal para que no se muevan mientras vas andando o corriendo.</t>
  </si>
  <si>
    <t>El diseño del pendrive es muy minimalista. A menudo pierdo mis pen drives, es por eso que compro productos como este, que puedo poner en mi llavero.Puedo guardar todo lo que necesite y llevarlo siempre conmigo ya que además trae un agujero para poder engancharlo en el llavero, maleta o donde desee.Cumple además bien su función.</t>
  </si>
  <si>
    <t>Relacion calidad-precio insuperable Es muy comodo y sencillo de usar. Calienta el agua mucho mas rapido que el microhondas, y ademas no tienes que estar pendiente ya que cuando rompe a hervir el agua se apaga automaticamente. Relacion calidad precio inmejorable 100% recomendable</t>
  </si>
  <si>
    <t>La sencillez de su uso Muy fácil de usar con 5 velocidades y turbo varillas para amasar muy importante para nosotros ya que ese modo lo utilizamos mucho  otra cosa a resaltar es su limpieza es apta para lavavajillas</t>
  </si>
  <si>
    <t>Cable de alta calidad Desde luego que estoy gratamente sorprendido con esta compra. Si tenéis cualquier tipo de duda sobre este producto podéis preguntarme aquí debajo de esta review.</t>
  </si>
  <si>
    <t>contento perfecto, mejoras respecto al modelo anterior y volumen de entrada físico para una manipulación mas rápida, lo unico en contra es que usa dos pilas en lugar de una</t>
  </si>
  <si>
    <t>Buena calidad. Recomedable Bajo mi punto de vista, hay que valorar el producto por su calidad, ya que cada niño es un mundo y lo que para uno puede resultar para otro puede ser un fracaso. Este producto está en línea con otros productos de la marca. Buena calidad y buenos acabado. Recomendable</t>
  </si>
  <si>
    <t>Parches hidratantes ojera Muy hidratantes. Se aplican fácilmente, se quedan adheridas a la ojera. Al principio se mueven un poco pero a los pocos minutos se van secando y se quedan fijas. No notas que las llevas.</t>
  </si>
  <si>
    <t>Excelente Muy útil</t>
  </si>
  <si>
    <t>Buena relación calidad/precio Es un buen producto. Llegó perfectamente embalado y se aprecia calidad en su fabricación. Se ha comprobado realizando grabaciones con un micrófono de condensador con resultado excelente.</t>
  </si>
  <si>
    <t>Buena compra la recomiendo Genial me han encantado muy cómodas talla perfecta y muy bonitas compra perfecta vamos</t>
  </si>
  <si>
    <t>Como las originales Están muy bien</t>
  </si>
  <si>
    <t>Quitapelusas Mejor de lo que pensaba, muy útil.</t>
  </si>
  <si>
    <t>Confort Comodidad</t>
  </si>
  <si>
    <t>Fundas utiles. Muy buena calidad de funda y a un precio sin competencia, tienen la calidad necesaria para poder plastificar los trabajos que hagas.</t>
  </si>
  <si>
    <t>Incomoda para andar Lo que es calentar el pie. ..genial. ..pero olvidate de andar por casa con ellas...la suela el relleno de semillas y no es firme y pesa muchísimo cada vez que las mueves para dar un paso</t>
  </si>
  <si>
    <t>Por el mismo precio hay GRAN variedad de 3.0 Bueno, he comprado este pendrive para la entrega de un trabajo. En el momento de pasar los datos a toda prisa me he dado cuenta que va MUY lento...  Por el precio daba por hecho de que era un 3.0 y resulta ser que es un 2.0, tengo varios Sandisk 3.0 con la misma capacidad y el mismo precio. En definitiva, el precio me parece caro por ser un 2.0.  En si es un pendrive correcto, pequeño y sencillo. Funciona correctamente y ha hecho la funcion que queria, pero con sorpresa......</t>
  </si>
  <si>
    <t>Todo correcto menos que faltan los adaptadores de corriente Todo correcto menos que faltan los adaptadores para la corriente de pared. En la descripción pone que hay 2 pero en la caja no hay ni sitio para ellos. Aunque si enchufas el phantom al cargador del movil funciona bien igualmente. La calidad del micro es relativa a su precio y sin el phantom, el filtro y una fuente de alimentación el sonido será igual o peor que el micro de un móvil.</t>
  </si>
  <si>
    <t>No me ha parecido buena calidad el plástico. No es ruidosa. Buen diseño. Lamentablemente no me ha parecido de buena calidad el plástico. Estaba muy interesada por apoyar una marca Valenciana y además me había agradado su diseño y su tamaño.</t>
  </si>
  <si>
    <t>Dejó de funcionar igual que los relojes de AliExpress Un mes y un día después de comprarlo ha dejado de funcionar ¿Esto es un Casio de verdad? Tengo otros y han funcionado durante décadas</t>
  </si>
  <si>
    <t>Esta bien El micrófono está muy bien pero estaría bien que trajese Pilar recargable</t>
  </si>
  <si>
    <t>Buena compra El producto bien, la calidad es la misma que uno comprado en joyería. Las únicas pegas, la garantía no viene sellada y, por otro lado, el reloj no traía cajita ni nada, venía en un cartón fino, como en mi caso era para regalo, he tenido que buscar una caja.</t>
  </si>
  <si>
    <t>Perfecto Perfecto. Va muy bien. Vale la pena su precio</t>
  </si>
  <si>
    <t>Muy fina pero perfecta Vino un poco de rayada, y es muy fina! Pero va perfecta para las labores de patronaje con curva francesa!</t>
  </si>
  <si>
    <t>Bonito, pero algo pequeño para mi gusto. Es un reloj muy bonito, la correa es de acero, pero la caja no estoy seguro si es de metal o plástico. Para mi gusto es algo pequeño, más bien tirando a reloj de mujer, pero eso va en gustos. Por lo demás estoy súper contento con él. Sirve para diario o para ocasiones especiales. Tiene 10 años de garantía CASIO.</t>
  </si>
  <si>
    <t>muy bien es un producto muy aconsejable, de excelente calidad. los aromas son intensos y muy acertado para cada ocasión. lo volvería a comprar sin duda.</t>
  </si>
  <si>
    <t>Muy buenas Geniales</t>
  </si>
  <si>
    <t>geniales Me han gustado bastante tal y como esperaba y satisfecho</t>
  </si>
  <si>
    <t>SanDisk Extreme SDSDXVE-032G-GZEIN La utilizo con mi cámara fotográfica Nikon,  se adapta a la perfección y es rápida en la transferencia con el PC. Misma opinión con la de 16 GB. Buena compra.</t>
  </si>
  <si>
    <t>Excelente relación calidad-precio y velocidad Posiblemente la mejor elección de disco HDD que puedes hacer actualmente. Buena calidad e increíble velocidad para el precio (mi anteior disco apenas llegaba a 60MB/s)  En cuanto al envío, se retrasó, pero llegó muy bien protegido, con muchas capas de papel de burbujas y una buena caja</t>
  </si>
  <si>
    <t>Ligeros y cómodos En superficies resbaladizas (como cocinas industriales) resbalan un poco pero nada preocupante, pero resultan cómodos y ligeros durante las horas de trabajo, los pies descansan bien en ellos durante largas jornadas.</t>
  </si>
  <si>
    <t>Cómodo Lo he utilizado ya en unas cuantas ocasiones y por ese motivo puedo destacar la gran comodidad que ofrece. Perfecto para entrenar en el gimnasio. Muy recomendable.</t>
  </si>
  <si>
    <t>Geniales Auriculares de muy buena calidad y un precio realmente asequible.  Los uso en el trabajo y la verdad que se escuchan muy bien pudiendo subir y bajar el volumen sin necesidad de usar el terminal con un solo click, pudiendo grabar audios gracias a su micrófono incorporado.  Compra muy recomendable.</t>
  </si>
  <si>
    <t>L Ideal para la montaña</t>
  </si>
  <si>
    <t>Imanes muy potentes Los compré para poder dejar papeles en la pizarra magnética. Funcionan de maravilla.</t>
  </si>
  <si>
    <t>duracion bateria se oyen bien y la bateria dura mucho</t>
  </si>
  <si>
    <t>Comodidad  y seguridad...es posible!!! Rápida  entrega...según lo establecido. Calzado cómodo y seguro y de muy buena calidad. Ideal para mi trabajo. Contenta  con la compra!! Todo un acierto.Lo recomiendo.</t>
  </si>
  <si>
    <t>muy cuqui Me encanta, es super chulo. No hace ruido, tiene diferentes luces muy suaves. Humidifica de manera fría. Lo recomiendo para habitaciones de los niños sobre todo para que no tengan miedo, y respiren mejor.</t>
  </si>
  <si>
    <t>Es muy fino Muy bonito pero a mi novia no le gusto</t>
  </si>
  <si>
    <t>Buen SSD Llevo aproximadamente un par de meses con el disco ssd y hasta el momento funciona de maravilla. Pincharlo en el slot correspondiente y a funcionar. Instalé el sistema operativo y los juegos, suficiente por ahora con 500gb para mi, dejando el disco mecánico que venía con el Pavilion Gaming 690-xxxx para otros menesteres. Se nota el cambio de velocidad, eso si, parece que se calienta según el programa CrystalDiskInfo.</t>
  </si>
  <si>
    <t>Calidad Sin duda es el regalo perfecto. Es elegante, bonito y con muy buena calidad</t>
  </si>
  <si>
    <t>Amortizable Un pelin grueso por ser automatico, pero funciona muy muy bien, y cumple con lo que promete, en principio.</t>
  </si>
  <si>
    <t>Buena compra Estoy encantada con mi compra la verdad no la esperaba tan bonita y además el agua se hierve bastante pronto</t>
  </si>
  <si>
    <t>Regular Algunos dispositivos no lo reconocen, además son lentos para grabar.</t>
  </si>
  <si>
    <t>Normaly básico Compre 5 y en uno de ellos tuve problemas. Creo que son poco fiables.</t>
  </si>
  <si>
    <t>Cortan Cortan pero esperaba un corte mal limpio y suave</t>
  </si>
  <si>
    <t>dejo de funcionar a los 3 meses La peor compra que he hecho en años. 3 meses y se estropeo. no repito.</t>
  </si>
  <si>
    <t>La estructura fija del propio vaso tiene un fallo de hermetismo Hemos tenido que devolverlo. La compramos para hacer un batido al día y en el segundo batido empezó a salirse la leche por la propia estructura del vaso. No por la goma de estanqueidad, que esa funciona bien. Sino por el propio vaso, Justo en la unión entre el cristal y la base de plástico blanco, que configuran una misma estructura. La estructura del vaso es fija, pero la hermética falla, ocasionando el derrame del contenido del vaso. Una lástima porque la máquina se ve que tiene potencia, y el resto de piezas fusionan como deben. No así el vaso, que derrama todo.</t>
  </si>
  <si>
    <t>Bueno y a buen precio Estos auriculares son estupendos en relación calidad precio, ofrece sonido claro y limpio en agudos y potente en bajos, viene con bolsita para guardarlos y tapones de tres medidas S, M y L, se adaptan perfectamente al oido y aislan lo suficiente, lo he probado en mi mp3 donde tenia unos sony que me costaron mucho mas y suenan igual de bien por lo que los recomiendo, buena calidad de sonido y a un precio estupendo, el envio como siempre muy rapido</t>
  </si>
  <si>
    <t>Excelente Muy bien</t>
  </si>
  <si>
    <t>Contento Están bien h cómodos</t>
  </si>
  <si>
    <t>Compatibilidad en portatiles. Cuidado si queréis instalar el sistema operativo aquí en un portatil, muchas veces son solo compatibles para almacenar pero no para meter windows. En mi caso tras comprarlo y tirarme 2 días intentandolo acabé contactando con el servicio de Acer y me dijeron que solo son compatibles los M2 NGFF, vamos de los primeros que salieron. He tenido que devolverlo.  Acer Aspire E 15 / E5-575G-50R4</t>
  </si>
  <si>
    <t>Rápido Rápido para ser reconocido por los equipos y para grabar datos. Lo malo es que como todos los USB 3, se calienta bien.</t>
  </si>
  <si>
    <t>Bueno, bonito y barato Es exactamente tal y como aparece en las imágenes y la descripción.  Cómodo y elegante. Perfecto para sustituir al CASIO F91 en ocasiones especiales.</t>
  </si>
  <si>
    <t>Buena relacion calidad-precio. Cómodas.</t>
  </si>
  <si>
    <t>Calidad precio bastante buena Lo único en contra que le veo, es que es muy pequeño y en la muñeca se ve chiquito. Por lo demás todo bien. Bastante exacto.</t>
  </si>
  <si>
    <t>original me encanta es precioso y auténtico</t>
  </si>
  <si>
    <t>Que llego a tiempo Bien pero grande</t>
  </si>
  <si>
    <t>Gran puntero Funcionamiento muy sencillo con plug&amp;amp;play, es enchufarlo y empieza a funcionar perfectamente. El láser también va de maravilla, es muy muy ligero y no tiene ninguna complicación en su funcionamiento.</t>
  </si>
  <si>
    <t>Auriculares para todo tipo de oreja Se adaptan genial a la oreja. Mi mujer tiene problemas para encontrar unos auriculares que no se le caigan y estos van geniales. Respecto al sonido es bastante bueno y el emparejamiento con el móvil no crea dificultades, fácil e intuitivo</t>
  </si>
  <si>
    <t>Recomendables Calidad y comodidad. De momento perfectos.</t>
  </si>
  <si>
    <t>PERFECTO EN TODO ERA LO QUE BUSCABA Y EL PRECIO CALIDAD INMEJORABLE, Y COLOR,BLANCO, QUE RESALTA Y LA HACE MAS VISTOSA.TODO OK LA COMPRA Y QUEDA EN SU SITIO.</t>
  </si>
  <si>
    <t>Mola el diseño, desde que se los regalé a mi chica me enseña mas las orejas y esoooo... Me pone Muy bonitos para contino</t>
  </si>
  <si>
    <t>Buen artículo. Este artículo fue solicitado por una familiar y está muy satisfecha con él.</t>
  </si>
  <si>
    <t>Me encanta! La mejor crema para dolor muscular que he probado nunca.. se absorbe rápido, no mancha y efecto calor intenso.</t>
  </si>
  <si>
    <t>Maravillosa En casa sustituimos la licuadora por esto! Es fenomenal: fácil de limpiar, potente para la elaboración de recetas sencillas como: salsa de tomate, masa de pancakes, smoothies de frutas congeladas, batidos con hielo y sin hielo. Muy cómodo para usar sobretodo después de entrenar y llevar tú batido contigo.</t>
  </si>
  <si>
    <t>Cumple su función Es lo que puedes esperar de un metro. Parece sólido y de momento bien.</t>
  </si>
  <si>
    <t>Lo que estabas buscando para definir bien el tronco Lo mejor de todo es que es cómodo. Transpira muchísimo mejor que otras fajas de neopreno que había utilizado antes. Y es eficiente. En menos de dos semanas estoy  consiguiendo definir lo que no he definido en meses. Se lava muy facilmente con agua fria a mano y se seca en un suspiro. No me ha hecho falta ni comprarme otra de repuesto. La única pega: tuve que devolver el producto y volverlo a pedir nuevamente por el tallaje. Si de por sí no tienes un gran volumen abdominal y lo que quieres es definir, pide al menos dos tallas menos. Yo utilizo de normal un M/L, pedí la S y en la zona abdominal no ajustaba nada. Se quedaba fofo. La devolví, pedí la XS y como un guante. Si por el contrario conaideras que tienes exceso de volumen abdominal, la tabla se ajusta más a la realidad. El señor Capitan América de la foto estará utilizando dos tallas menos de lo que dice la tabla...  Compradla que va muy bien.  PD: ojo, cuesta de sacar. Esta es la versión sin cremallera.</t>
  </si>
  <si>
    <t>Encantada Muy buen material. Son justo lo que quería. Los he usado para hacer deporte pero son lo bastante finos como para usarlos tb para Calle</t>
  </si>
  <si>
    <t>Es muy cómoda Me la compre pra un viaje a Huelva pero con llegada a sevilla y muy cómoda para llevar bastante rato en la espalda. Tiene muchos habitáculos y muy buena calidad. Perfecta pra viajes a pie</t>
  </si>
  <si>
    <t>Incómodos y exageradamente anchos Es increíble porque  hace años compré, en un bazar chino, unos de estos por 5 euros y no he vuelto a encontrar otros tan cómodos. Ni siquiera en los propios bazares, donde todos los que encuentro ahora son "Made in Portugal".  En cambio, los que tengo, están hechos en China, y son lo más cómodo que han calzado mis pies. Pero claro: están descoloridos del todo, por el sol y el paso del tiempo y dan pena... Y aún así, siguen siendo comodísimos.  Compré estos, que valen bastante más, tras leer las reseñas, y esperando que fueran igual o al menos la mitad de cómodos que mis moribundos zuecos chinos. Pues no.  Mientras que los que tengo tienen forma anatómica por dentro, y carecen de "púas",  estos son completamente planos, no se adaptan a  forma del pie y las gomitas que sobresalen me resultan muy, muy molestas.  Otra cosa: si yo tengo el pie ancho, y estos zuecos se me salen, de lo anchos y holgados que son, no quiero imaginar cómo le deben ir a alguien con pie normal o estrecho.  No los devuelvo porque mira...  Pero vaya: desde luego no es la mejor compra que haya hecho en Amazon.</t>
  </si>
  <si>
    <t>tarda demasiado tiempo en hervir y la jarra no se acopla fácilmente a la base Al tener menos capacidad, cerca de la mitad, que el hervidor anterior que tuve, pensé que ello supondría, al menos, el mismo tiempo para el punto de hervor. sin embargo, tarda más. Además, la jarra no es de fácil acoplamiento a la base.</t>
  </si>
  <si>
    <t>Pendientes Tirar dinero</t>
  </si>
  <si>
    <t>No se ven los 100 nombres de ninguna de las maneras No veo los nombres por mucho que alumbre y se ha roto enseguida</t>
  </si>
  <si>
    <t>Casio Caballero sumergible Es perfecto a excepción de su grueso: un poco más alto de lo que yo esperaba. El reloj  cumple mis espectativas.</t>
  </si>
  <si>
    <t>Buena calidad/precio Aunque parezca cara comparada con otras de igual capacidad, el hecho de que sea v3 mejora muy notablemente la velocidad. La utilizo con una camara deportiva 4k y funciona muy bien. He tenido algún problema a la hora de conectarla al pc, pero en general va muy bien.</t>
  </si>
  <si>
    <t>Lauriky Esta muy bien, limpias el biberon con el cepullo y la tetina con el extremo en espiral. Todos los rincones quedan limpios</t>
  </si>
  <si>
    <t>Lo recomiendo Me encantan , son preciosos</t>
  </si>
  <si>
    <t>Buena compra. Totalmente satisfecho con el reloj. Es tal como se anuncia, cómodo y fácil de usar. Su precio muy ajustado a la calidad del producto.</t>
  </si>
  <si>
    <t>Buena por ese precio Buena batidora</t>
  </si>
  <si>
    <t>Precioso reloj para hombre que no pasa de moda Le regalé este reloj a mi pareja y la verdad es que quedó muy contento. El reloj es un clásico, que en mi opinión, no pasa de moda. Es tal cual se ve en la foto y de tamaño ideal. Viene con su estuche original para guardarlo y su certificado de garantía y autenticidad.  Un buen regalo al mejor precio en Amazon. La diferencia de precio se nota bastante respecto a la web de DW.</t>
  </si>
  <si>
    <t>100 fundas transparentes platificado Buena relación calidad precio.</t>
  </si>
  <si>
    <t>Su forma de corazón Pues se lo regale a mi novia y le encantó</t>
  </si>
  <si>
    <t>Maravillosa cadena de plata La cadena de plata tiene un acabado precioso , por lo que queda muy fino en el cuello y es un producto de muy buena calidad. Perfecta. Muchas gracias . Ha llegado el envío muy pronto y muy bien empaquetado . Recomiendo este producto .</t>
  </si>
  <si>
    <t>Me encanta Me ha gustado mucho tiene un tacto muy suave, calienta muy rápido. Tiene un mando muy fácil de usar, es programable y se apaga automáticamente. Para calentar la cama es ideal.</t>
  </si>
  <si>
    <t>Practico llavero extensible Son 3 llaveros con cuerda extensible muy practico para colgar del pantalon y llevar llaves o tarjetas que usas habitualmente. Traen un porta tarjeta y un gancho para llaves.</t>
  </si>
  <si>
    <t>Auriculares Ya tengo nuevos auriculares,funcionan muy bien, vienen bien envasados y con su bolsita para guardarlos. Incluye ademas una guia y almohadillas de recambio.</t>
  </si>
  <si>
    <t>Era tal y como esperaba, ya que las compré como repuesto de otras que había en casa. Funcionana muy bien calentándose un par de minutos al microondas.  Hay que tener en cuenta la potencia del microondas para ajustar el tiempo de calentamiento,</t>
  </si>
  <si>
    <t>Descanso para los ojos Llevo usando este producto más de usa semana y es muy agradable. Descansa mucho la zona bajo el ojo y desparecen las bolsas. Al día siguiente vuelven a estar, entiendo que no es milagroso, pero a largo plazo creo que sí las rebaja. La ojera no tanto (pero en mi vida he encontrado nada que me las quite, es genético). Estoy muy contenta con este producto y seguro que repetiré</t>
  </si>
  <si>
    <t>Llegó a tiempo y perfecto Una maravilla</t>
  </si>
  <si>
    <t>Relación calidad-precio Se oye bien. Esta marca no machaca los oídos como otras y es de buena durabilidad.</t>
  </si>
  <si>
    <t>Van genial Bastante buenas, quitan manchas de la pared y las deportivas las deja nuevas, las mojas un poco y listo. Trae un montón, así que la compra es buena. Contento</t>
  </si>
  <si>
    <t>El de toda la vida Se ha vuelto a poner de moda entre los jóvenes y lo he comprado para un regalo. El servicio perfecto como siempre y el reloj sin sorpresas, es el de toda la vida y lo entregan en una caja metálica que está muy bien. Un acierto</t>
  </si>
  <si>
    <t>Pedir una talla menor Genial como esperaba</t>
  </si>
  <si>
    <t>Duradera y de calidad Es una cinta muy resistente y se adhiere enseguida a la superficie, yo la utilizo para embalar cajas de cartón y algún que otro regalo y seguro que tiene funciones más interesantes en las que cumpliría a la perfección.</t>
  </si>
  <si>
    <t>Calidad Me ha gustado mucho el indicador de batería pq así sabes cuándo hay que cargarlo. Además es una caja cargador robusta y fuerte muy fácil para llevarla en el bolso. Trae una funda para transportarla y que no se raye además de varias almohadillas de diferentes tamaños para que se adapte a tu oído. Se parea muy fácilmente y el sonido muy nítido.</t>
  </si>
  <si>
    <t>Todo como promete Necesitaba un hervidor para la oficina y este al ser de más capacidad de lo normal (1,7l en lugar de 1,5 que trae otros) me pareció perfecto. Es bastante rápido calentando, para que os hagáis una idea tarda 5 minutos exactos en hervir los 1,7 litros de agua. Tiene varias cosas que me gustan: - El acabado en acero pulido, que parece bastante duradero y limpio. - La apertura de la tapa, que abre bastante y tanto para rellenarla como para limpiarla facilita las cosas. - La rápidez para calentar  Muy satisfecho con el resultado para el precio que tiene. Lo recomiendo</t>
  </si>
  <si>
    <t>Rápido desgaste.... Zapatillas de andar por casa cómodas (o por lo menos no son incomodas para mi.....), pero en menos de un año y con muy poco uso, ya quiere salir el dedo gordo del pie izquierdo a "mirar la luz".</t>
  </si>
  <si>
    <t>Es muy útil para recuperar tu antigua música Es para pasar cintas de antigua musica años 70 y 80 a mp3. Es facil de usar pero el problema esta en que si la cinta que quieres pasar a mp3 no esta en buen estado, este aparato se para y deja de realizar su transferencia. Todo depende del estado de la cinta, si es buena, no tienes problemas en reproducir todo en un unico archivo.</t>
  </si>
  <si>
    <t>Producto básico Cada almohadilla esta partida en dos piezas con ángulo para ajustar inclinación. El logotipo llegó despegado y el otro se cayó al ajustar levemente la posición. Cumplen su cometido aunque me parecen caras para lo que son.</t>
  </si>
  <si>
    <t>mala calidad Viene de compra con tara en el tejido, esto hace pensar que quizas no sea un material muy bueno, Calienta muy poco y el mando es tosco, para dos personas se queda justa y para una es muy grande.</t>
  </si>
  <si>
    <t>paulo fernández El reloj me llego color negro.... y el k pedi es.rosa  son colores completamente diferentes. Necesito k me lo cambien. Ya se ve en la foto muy diferente el color.</t>
  </si>
  <si>
    <t>Amazon no me da solucion Solo lo he utilizado un par de semanas y a dejado de funcionar</t>
  </si>
  <si>
    <t>Lo que me esperaba. Esta bastante bien para el precio que tiene la verdad, el filtro pop nose como actuará pero bueno... el brazo cumple con su función por lo tanto bien. La rosquita que trae para enganchar el micrófono supongo que será universal, así que si no os sirve el soporte que trae le ponéis la rosquita que trae al vuestro y os debería de ir bien, en mi caso ha sido así. Si queréis algo barato está muy bien la verdad.</t>
  </si>
  <si>
    <t>Regalo Eran un regalo y cumplieron con todo lo esperado</t>
  </si>
  <si>
    <t>Sonido correcto pero un poco pequeños El sonido es correcto, buenos graves (incluso un poco demasiados) pero se ajusta con ecualizador. Se pliega bien,  no es complicado. El tamaño es lo que menos me gusta, quizás un poco pequeños, si fueran más grandes que cubrieran mejor la oreja estaría mejor.  Esto hace que se proyecte demasiado sonido al exterior.</t>
  </si>
  <si>
    <t>satisfaccion cumple con mis deseos para el verano.</t>
  </si>
  <si>
    <t>Hervidor rápido Muy contenta, no tarda nada en calentar el agua y se apaga automáticamente evitando sobrecalentamientos. Por poner una pega....parece que el enganche de la base pueda estropearse con el paso del tiempo, pero por ahora funciona estupendamente.</t>
  </si>
  <si>
    <t>magnífico Le doy 5 estrellas porque es un reloj magnífico a un precio increíble,este era para regalárselo a mi sobrina yo tengo uno igual desde hace 15 años y funciona como el primer dia,es una maravilla,sirve para todas las tallas.</t>
  </si>
  <si>
    <t>Múltiples funciones de karaoke Lo regalé a una amiga y está encantada con el micro</t>
  </si>
  <si>
    <t>Perfectas Comodas y preciosas</t>
  </si>
  <si>
    <t>Muy satisfecho Perfecto</t>
  </si>
  <si>
    <t>Zapatillas de muy buena calidad Zapatillas de muy buena calidad, quizás el diseño de la puntera seda algo feo pero es mucho más resistente que una gran mayoría de zapatillas actuales. A mi hija le ha encantado. Las recomiendo para niños porque la puntera no se la van a cargar.</t>
  </si>
  <si>
    <t>fantástico Buena capacidad, buenos materiales. Para el precio que tiene, es de una calidad muy buena. No se puede pedir más, me hace la función perfecta, es grande pero no ostentoso, caben muchas cosas. He llegado a meter una tablet de 10,8" con teclado y todo. Capacidad para fundas, llaves, powerbank, etc. Muy completa.</t>
  </si>
  <si>
    <t>Buena navaja Muy bonita y de una calidad que victorinox nos ofrece siempre con sus navajas Es una navaja ideal para llevar siempre sobre todo si eres de los míos y haces muchos almuerzos con los amigos Única cosa que le pondría sería un seguro aunque esta tiene el cierre duro no sé si por nueva o por qué hace un poco de seguridad</t>
  </si>
  <si>
    <t>Muy Buenos auriculares, gran rendimiento y Versatilidad. UMI són unos auriculares de botón inalámbricos que vienen con un estuche metálico que funciona como base de carga y te permiten una autonomía de más de 24 horas. De bonito diseño y gran calidad tienen una conexión muy estable y antiinterferacias que funciona a la perfección. El sonido es impecable y resultan cómodos y confortables en su uso. Al ser totalmente impermeables són muy versátiles para realizar cualquier actividad deportiva. Muy buen rendimiento y muy dinámicos como el estilo de vida actual.</t>
  </si>
  <si>
    <t>Me encantan Son los calcetines que se llevan ahora. Los he comprado cuando han bajado de precio, a 10€ justos. Por ese precio están fenomenal.</t>
  </si>
  <si>
    <t>Espectacular! Para mí es el mejor que he tenido. Viene con todos los accesorios posibles para pelos de mascotas, para sofás e incluso para rincones con un tubo que es algo flexible.  En cuanto a potencia aspira muchísmo y los acabados están muy bien. La calificación energética es A.</t>
  </si>
  <si>
    <t>producto muy buena calidad Era lo esperado.. muy bueno</t>
  </si>
  <si>
    <t>Lo bonita que es Genial. Mejor que en la foto</t>
  </si>
  <si>
    <t>100% recomendable Es ideal lo pega todo ya lo he probado en varias cosas y muy contenta con la compra</t>
  </si>
  <si>
    <t>Fabulosos Me gusto todo, quedan maravillosos, El color es exacto, son cómodos y se pueden poner para caminar y no solo nadar</t>
  </si>
  <si>
    <t>Barato pero funciona genial! Lo llevé a viaje conmigo dentro de la maleta. Es muy compacto y fácil de usar. No tarda mucho para hervir la agua. Estoy muy contenta con este producto. Muy recomendable!</t>
  </si>
  <si>
    <t>Perfecto Cumple las expectativas</t>
  </si>
  <si>
    <t>Ideal para una casa fría. Se ha convertido en un indispensable en mi casa que es fría. Es cómoda, suave y da un calorcito increíble.</t>
  </si>
  <si>
    <t>Tal cual la foto. Preciosos</t>
  </si>
  <si>
    <t>cris Si no es para regalar está bien amí  me vino con bolsita pero conpré otra en la joyeria y tampoco me dieron certificado solo la cajita</t>
  </si>
  <si>
    <t>Menos de lo que aparenta en la foto En vivo más pobre que en la foto piel marrón negra y unos hilos como de plástico gris. Es ancha de muñeca pero decepcionada  al verla físicamente.</t>
  </si>
  <si>
    <t>Defecto en el diseño Se rompe el plástico que une el brazo al motor</t>
  </si>
  <si>
    <t>No es tan eficiente Esta versión es peor que la clásica, la aplicación es muy cómoda pero no pega tan rápido como el clásico tubo.</t>
  </si>
  <si>
    <t>Decepcionante Decepciónado , quise confiar en esta marca ya que me gusta probar cosas nuevas y tiene un buen precio .  Lo que me encuentro ?  Un SSD que por lo menos en mi portátil Lenovo y520 me lo detecta como génerico , que no sale ni el nombre del producto en la BIOS....  Las velocidades ?  Pues muy variadas a veces como se ve en la imagen de rápido y otras veces peor que un disco duro normal  he actualizado todo tipo de controladores y sigue igual .  Conclusion?  Le voy a dar unos días haber si encuentro el posible fallo sino definitivamente lo devolveré .</t>
  </si>
  <si>
    <t>No las recomiendo No me han durado ni 5 meses no las recomiendo ,,sin nisiquiera darles un uso medianamente extremo se me han roto por todo lado fatal</t>
  </si>
  <si>
    <t>Proporciona un excelente ambiente. A diferencia de otros sistemas de ambientadores que están todo el rato emanado vapor con olores que al final hacen un ambiente enrarecido por la cantidad de olor tan intenso que lanza al aire, este ambientador de Air Wick nos proporciona un sistema de configuración de tiempo que tu puedes elegir, no proporcionando un aroma que nos fatigue al ser tan intenso el olor que flota en la estancia.  Sobre el olor que tiene esta unidad, decir que es igual que huelen las colonias de Nenuco, y éstas me encantan, me transporta a otra época de mi vida.  Con el sistema de energía no estoy muy conforme, hubiese preferido un sistema de batería recargable, y no por el contrario con 3 pilas del tipo AA que vienen incluidas.  El sistema de configuración del dispositivo viene muy bien explicado en la parte trasera de la propia caja envoltorio.  Las recargas las puedes adquirir en esta plataforma, y existen en olores de Nenuco, Explosión Cítrica, y Brisa Marina.  Sobre mi experiencia con este aparato debo decir que es buena, y el ambiente que deja en la casa es estupendo.</t>
  </si>
  <si>
    <t>eficacia, comodidad Muy acertada</t>
  </si>
  <si>
    <t>Casio DQ-583-1EF - Reloj con alarma Un reloj pequeñito de 11x8 por redondear el tamaño para poner en la mesilla o similar. No es para andar poniendo la alarma a diario dado que el boton para desactivarla es mas bien pequeño y endeble.  Para lo que ocupa, funcion de alarma "ocasional" y lo que vale en €, perfecto. Si buscais algo solido para uso de alarma diario subid a una gama superior con botones de tamaño "aporreable" ;)</t>
  </si>
  <si>
    <t>Alfombrilla económica pero de buena calidad Por el precio que tiene es muy recomendable. Se adhiere perfectamente a la superficie y queda muy estable.</t>
  </si>
  <si>
    <t>Zapatillas perfectas. Buen producto.</t>
  </si>
  <si>
    <t>Perfecto Ideal</t>
  </si>
  <si>
    <t>Buena compra, zapatillas muy chulas y a buen precio Tal y como se indicaba en otras opiniones, tallan pequeño. He tenido que cogerme una talla más y de esta manera me quedan perfectas.</t>
  </si>
  <si>
    <t>Talla perfecta, muy comodas y ligeras Son muy cómodas. Las pedi para trabajar y son perfectas.</t>
  </si>
  <si>
    <t>Uno para cada día. Tengo un difusor de aromas y siempre utilizaba la misma fragancia. Ahora tengo 6 a elegir según como me encuentre cada día. Se ponen una gotas en el difusor y la habitación se llena de una agradable fragancia. El de eucalipto para los días que estás costipado viene bien. Lavanda para sentirte relajado.</t>
  </si>
  <si>
    <t>Almacenamiento de sobra Con 4 Tb puedes guardar series y películas en 4k y no se te acaba. Si no vas a descargar en 4k recomiendo uno con menos capacidad</t>
  </si>
  <si>
    <t>Milucky Facil de usar</t>
  </si>
  <si>
    <t>fundas plastificar muy buenas fundas quedan muy bien y con una buena calidad</t>
  </si>
  <si>
    <t>Es lo que esperaba Esta muy bien</t>
  </si>
  <si>
    <t>Perfecta Perfecto.No pierde agua,mantiene el calor durante cuatro o cinco horas.Cierto que la funda que te envían es al azar y la que me ha llegado no la hubiera escogido,pero que era al hazar ya te informan al hacer la compra así que no engañan a nadie y eres consciente de ello..Volvería a comprarla sin dudarlo</t>
  </si>
  <si>
    <t>Acierto!!!!! Se adaptan perfectamente y son muy comodas. Importante coger un numero mas de lo que normalmente uses, en mi caso uso un 44 y el 45 que pille con merrell ma van perfectas</t>
  </si>
  <si>
    <t>Lo esperado Calidad precio perfecto, para los niños que necesiten unas deportivas para el colegio.</t>
  </si>
  <si>
    <t>Muy bonitas cómodas Espetacular muy contenta</t>
  </si>
  <si>
    <t>Que son Buena Calidad. Me gusta y lo uso a diario.</t>
  </si>
  <si>
    <t>Excelente producto Estoy muy satisfecho con esta compra. Es un buen producto. Estaba buscando una batidora de vaso pero con bastante potencia. Y esta con sus 1800 vatios de potencia va genial. La descripción se ajusta a las características del producto.</t>
  </si>
  <si>
    <t>Me ha gustado mucho La presentacion del regalo esta muy bien dentro de su caja. El album es muy bonito y con las paginas muy gordas, donde se puede  incluso pintar con pintura. A mi hija que le encanta la peli de Up se quedó flipando al ver el album. Los complementos que lleva son de poca calidad, muy de los chinos... Pero bueno a mi lo que me interesaba era el album</t>
  </si>
  <si>
    <t>Perfecto para repasar soldaduras SMD Perfecto para soldar SMD. Permite incluso trabajar con gafas reajustando la distancia de la lente. Cómodas con un peso pequeño. Viene con una caja para guardar las lentes clasificadas. Muy contento con la compra.</t>
  </si>
  <si>
    <t>Perfecto Lo he camprado para un dolor lumbar.Viene perfectamente embalado,es muy suave al tacto.Tiene un mando en el cable con 6 niveles de calor.Yo siempre lo pongo al 6.Ademas si te quedas dormido se apaga solo en 1.5 horas.</t>
  </si>
  <si>
    <t>La comodidad Muy comodo</t>
  </si>
  <si>
    <t>Geniales Pero UN TERRIBLE FALLO Sonido y tamano IMPRESIONANTES realmente suenan muy bien se sienten muy bien pero POR QUE 2 ESTRELLAS Como es posible que siendo tan completos compactos eficientes no tengan control se volumen en el.auricular Senores de soundpeats esto es un gran fallo so quiero compartir el audifono con mi esposa y ver una pelicula en el tv el auricular coje el maximo volumen cuando se enpareja al tv y asi baje el volumen del.mismo el.audifono no bajar por que no tiene control autonomo de sonido SENORES DE SOUNDPEATS SI AGREGAN ESTA CARACTERISTICA VAN A VENDER MUCHISOMOS TRUEWIRELESS POR QUE RELAMENTE SON GENIALES SUS AUDIFONOS</t>
  </si>
  <si>
    <t>Correcto Tal cual la foto</t>
  </si>
  <si>
    <t>Calidad/ precio  muy buena Mucha variedad pero adhesión un poco floja. Pero a mi me sirvió para el trabajo que tenía que realizar</t>
  </si>
  <si>
    <t>Falló al poco tiempo de uso A los dos meses de uso, solo para tocar la gjitarra en ensayos, un uso bastante relajado, el cable empezó a hacer ruidos. Hay algún problema con las clavijas. No lo recomiendo.</t>
  </si>
  <si>
    <t>No funciona después de 3 meses Después de 3 meses ya no funciona. Es muy pequeña también. Y no va muy bien con frutos congelados. Estoy muy desagradecido qué ya no Prende la batidora... De verdad no recomiendo comprar de marcas desconocidas en Amazon</t>
  </si>
  <si>
    <t>Justito Ha hecho su función, pero ruidoso y se despega con facilidad, me ha servido, pero cuidado con el peso</t>
  </si>
  <si>
    <t>Cómodos y ligeros Llevo algo más de un mes utilizándolos casi a diario. Son bastante cómodos para el oído (y eso que yo tengo una oreja pequeña y dura) y se ajustan bien. Por ahora nunca les he apurado la batería al máximo pues los uso de seguido poco más de una hora, pero en más de 30 días sólo he tenido que recargar la base de carga 2 veces.  La única pega que les pondría sería que cuando la base de carga se queda sin batería no tienes una forma inmediata de saberlo y al dejar los auriculares (apagados) para que carguen, hacen cosas raras (como encenderse solos y conectarse al último dispositivo al que estuviesen enlazados).</t>
  </si>
  <si>
    <t>Molan Están bien</t>
  </si>
  <si>
    <t>Batidos muy finos Batidora de vaso de cristal, ha sido la gran adquisición de la temporada primavera - verano en casa. Hemos empezado a preparar batidos y zumos caseros más allá del zumo de naranja. Deja una textura muy muy fina, los niños se los toman mucho mejor y tomamos más variedad de frutas. No puedo compararla con otras, es la primera que tengo de este tipo, hace años tuve una licuadora y no hay comparación, la batidora de vaso ofrece muchas más posibilidades, un uso más fácil y rápido y mejor resultado.</t>
  </si>
  <si>
    <t>Cumple su función Cumple bien su función y estéticamente es bonito, nosotros lo tenemos para limpiar las mamparas</t>
  </si>
  <si>
    <t>Ideal para presentaciones. Lo compré para mi hijo, para una presentación de su trabajo fin de grado. Le ha resultado muy útil y está muy satisfecho con el puntero laser. Facil de manejar y conectar.</t>
  </si>
  <si>
    <t>Buen acabado Perfecto, justo lo que esperaba</t>
  </si>
  <si>
    <t>No he tenido ningún problema Buen precio. Llego rápido y he grapado cosas algo gruesas sin problema, para manualidades como varios folios, cartulinas y  espuma</t>
  </si>
  <si>
    <t>Perfecto Mejor marca</t>
  </si>
  <si>
    <t>Bien Tal y como esperaba aunque no tiene luz</t>
  </si>
  <si>
    <t>Cristina Son unas etiquetas de papel idóneas para poner en los tarros y botellas de cositas caseras hechas por mi para mi familia y amigas.</t>
  </si>
  <si>
    <t>Nunca nadie dio algo por tan poco. Imponente 46mm con correa metálica de eslabones macizos. Calibre mecánico automático SII (producto de Seiko para otras marcas) NH35A de 24 rubíes. La firma Seiko lo monta en sus relojes como 4R36.  El mío se está atrasando unos 5 ó 6 segundos al día, lo que creo que no está nada mal en un automático. Una pequeña lupa en el cristal favorece la lectura de la fecha la cual se ajusta con remonte manual. Otro punto interesante es su corona roscada y parada de segundero. ¿Que mas se puede pedir por 117€?. Cuando lo llevas, sientes que portas un buen reloj con una excelente construcción.   Como punto negativo por mencionar algo, el doble cierre, es un poco duro de abrir. Preferiría que incorporase unos pequeños pulsadores laterales como otros modelos.</t>
  </si>
  <si>
    <t>Buen cable de sonido. Va perfecto</t>
  </si>
  <si>
    <t>Una auténtica pasada Es una sudadera chulísima, mi hijo está encantado con ella. Es de buena calidad y queda genial puesta. La talla viene perfecta. Muy recomendable.</t>
  </si>
  <si>
    <t>Perfecto Me ha gustado! Calidad precio bueno , lo unico que tendria que esperar bastante.</t>
  </si>
  <si>
    <t>Reloj resistente Muy bonito y cómodo</t>
  </si>
  <si>
    <t>Calidad/precio bien Envío ràpido. Es finita y ligera pero de tamaño està bien, yo je comprado la de 1.8 que es la que veis en la foto.</t>
  </si>
  <si>
    <t>Buen producto Buena calidad y la talla correcta. Quedan muy bien y cuando la lavas no hace bolitas. Aconsejo su compra</t>
  </si>
  <si>
    <t>Buena calidad precio Hace tu trabajo</t>
  </si>
  <si>
    <t>La facilidad de la compra Me ha gustado está muy bien relación calidad precio</t>
  </si>
  <si>
    <t>Muy buen sonido y muy bonitos Muy buena calidad de sonido, me ha sorprendido gratamente como se oyen, no distorsionan no a volumen máximo. Son unos auriculares muy cómodos de llevar, se adaptan muy bien gracias a los varios tapones que lleva y ya los he probado corriendo y en el gimnasio y en ningún momento he tenido la sensación de que se fueran a caer. El panel táctil responde muy bien y rápido y la estética es una pasada, el estuche es muy muy bonito y cómodo para llevar en el bolsillo del pantalón o en el bolso.</t>
  </si>
  <si>
    <t>La comodidad El color y modelo</t>
  </si>
  <si>
    <t>Rapidez impresionante! Lo he usado para un hackintosh que tenía un disco mecanico de 7200 rpm y osx high sierra tardaba mas de 2 minutos en iniciarse. Despues de clonarlo a este ssd el tiempo de arranque es de unos 20 segundo, una autentica pasada y a un precio magnífico, por fin los SSD empiezan a tener un precio normal!</t>
  </si>
  <si>
    <t>De momento falla uno, no lo reconoce Bueno, no los he probado todos, pero de momento el segundo que he querido usar no funciona, ni siquiera lo detecta, completamente muerto. Voy a probarlos todos y ahora actualizo con lo que pase para ver si pido devolución o no.</t>
  </si>
  <si>
    <t>Es transparente. Es un producto medio transparente, si no tienes problema con eso, es un buena. Para mi si es un problema.</t>
  </si>
  <si>
    <t>Bien pero lento Buena contrucción, envió rápido y muy pequeña. pero aunque la verdad que dice las velocidades no me percaté lo lento que era hasta usarlo.eso que es 3.1 es una burla. va como un 2.0 de los de siempre. devuelto</t>
  </si>
  <si>
    <t>OTROS PENDIENTES QUE HAN IDO A LA BASURA Cuando los he recibido y los he sacado de una bolsa de plástico sin protección los he mirado y parecían hechos de una aleación negruzca y las piedras no brillan nada y encima mal colocadas</t>
  </si>
  <si>
    <t>Poco ajustable Muy poco ajustable. No me ha resultado útil pues tiene pocas opciones para cambiar la separación entre los agujeros. Finalmente tuve que comprar otra diferente. tampoco permite taladrar muchos folios a la vez.</t>
  </si>
  <si>
    <t>Excelente Excelente me encanta la licuadora hago jugos, avena sopas, cremas, me  gusta que puedo colocar bastante cantidad lo único es que la tapa es muy dura por eso no le pongo cinco estrellas, muy dura pero del resto va bien</t>
  </si>
  <si>
    <t>Buena bandolera Bolso para hombre de estilo informal. La calidad es correcta, y la capacidad es bastante mayor de lo que parece por su tamaño exterior. Es un bolso correcto para usar a diario.</t>
  </si>
  <si>
    <t>Regalo perfecto Regalo perfecto, fácil de montar, podría tener más opciones de decoración</t>
  </si>
  <si>
    <t>Excelente micro, soporte (trípode) penoso. Lo mandan en su caja comercial a la vista. Estupendo en todo menos en el ridículo trípode que trae. Imagino que han querido ahorrar costes en una pieza que muchos no usarán porque tendrán un pie extensible o algo así, pero hay quien sí lo va a usar en su mesa. Además, solo por la mala imagen que da poner una pieza de mala calidad ya es un error de marketing. No me arrepiento de la compra en absoluto, pero ahora tengo que añadir al coste el de algún pie decente, con lo que la relación precio prestaciones se reduce. Olvidaba comentar algo más: lamentable que llegue en la caja del producto a pelo, si llega a ser para un regalo me lo hubiera chafado, además de penalizar el precio de reventa por las pegatinas de Amazon.</t>
  </si>
  <si>
    <t>Jesús Memoria rápida, no se calienta como otras ni baja el rendimiento, funciona muy bien. Su tamaño no es reducido pero si lo que necesitas es rendimiento es un buen artículo.</t>
  </si>
  <si>
    <t>perfectas zapatillas perfectas y comodas para andar,de las mejores marcas que he utilizado .el nuemro es el mismo que utilizo en todas</t>
  </si>
  <si>
    <t>Justo lo que necesitaba Estoy contento con la compra de esta hervidora. Estaba buscando una con esa capacidad (1,7 litros, para aprovecharla para hervir el agua de la pasta, etc.) y las que veía en las tiendas o eran muy caras o no me gustaba el diseño. Esta tiene buen precio, su diseño es bastante sencillo y limpio, sin macarradas, lo que empieza a ser complicado de encontrar. En cuanto al funcionamiento, es muy sencillo y calienta el agua razonablemente rápido. Es una compra recomendable.</t>
  </si>
  <si>
    <t>Recomendable Un regalo estupendo. Calentitas y cómodas</t>
  </si>
  <si>
    <t>Comodas Muy comodas un poco raro los bultos de aire de la suela pero me an sorprendido lo comodas y lijeras para ser zapatos de protecion</t>
  </si>
  <si>
    <t>Estoy encantada me encantan. Muy cómodas y bonitas.</t>
  </si>
  <si>
    <t>Muy bonitos. Bonitos juegos de pendientes de hombres y a buen precio, pudiéndome poner cada día un par diferente como buen gentelman</t>
  </si>
  <si>
    <t>Estupenda calidad La calidad de la sudadera es baste buena, es de algodón, la talla pedir una mas ya que queda justa pero queda bien si la quiere un poco más suelta pedir una más</t>
  </si>
  <si>
    <t>Muchas gracias Perfecto</t>
  </si>
  <si>
    <t>Perfecto Es la mejor compra que he hecho. En casa lo usamos un montón de veces al dia. Es  práctico y rápidisimo. Estoy supercontenta con él.</t>
  </si>
  <si>
    <t>Sólido y con maquinaria contrastada A primera vista parece un tocho de acero con dos cristales, uno para ver la hora y otro que muestra el mecanismo. Una vez acortada la cadena, es bastante amplia, (los pasadores salen bien, no llevan casquillo) asienta con comodidad en la muñeca. Si se está acostumbrado a llevar divers el volumén y el peso no son problema. La maquinaria automática es de origen SEIKO calibre 4R36 que monta en sus monster, aquí se llama NH35A-SII con sus 24 rubies, cuerda manual y bloqueo del segundero; si viene bien afinada anda con un error diario menor de 10s. El color azul de la corona y de la esfera es discreto, ver la hora es fácil , el día del mes con la lupa incorporada tampoco tiene problema, sin luz su luminiscencia es potente, no se si aguantará toda la noche como en los Seiko mencionados, yo tengo uno y lo he comprobado. La calidad y robusted de los materiales es buena, yo diria que superior a lo que se espera por el precio. Ahora sólo falta ver como se desenvuelve este reloj con el tiempo, en cuanto a la precisión y posibles rayones. Esta opinión es de la toma de contacto, con el tiempo entraré a actualizarla ya con un uso y disfrute realizado con este reloj :)</t>
  </si>
  <si>
    <t>Muy buen producto Compre la talla L , mido 1'87 y peso 84 y es perfecta. Buena calidad de material y acabado .</t>
  </si>
  <si>
    <t>Mi novia está encantada Es cierto que en algunos sitios no alcanza bien la radio y para hacer ejercicio si hay mucho trote se puede caer. Por lo demás y el precio que tiene pues utilizarlas en casi todo momento y son muy resultonas</t>
  </si>
  <si>
    <t>Vale lo que cada centimo Un buen soporte rígido y resistente, que hace que su función de mantener un micrófono (en mi caso el Blue Yeti) a la altura que uno le parezca debido a su sistema de tensión con muelles a los lados. El filtro pop es una verdadera maravilla, se nota un montón la diferencia. Recomiendo satisfactoriamente este producto.</t>
  </si>
  <si>
    <t>Excelente producto Excelente producto aunque el color no es el mismo, es mas claro pero me encantan son muy comodas lo recomiendo</t>
  </si>
  <si>
    <t>Tritura de maravilla Es una maravilla, deja las cremas y salsas muy finas</t>
  </si>
  <si>
    <t>Rubén G. Llevo más de diez años calzando botas Panama Jack, son botas cómodas, duraderas y excepcionales, y una vez que das con tu talla, es para toda la vida. Recomendadas.</t>
  </si>
  <si>
    <t>Muy comodos Compre los cascos como complemento a un regalo que le he hecho a mi madre de un MP3 que me lleva pidiendo hace mucho tiempo. A ella le encanta la música y sale a caminar todos los días, pero no puede utilizar auriculares de los que se meten dentro del oído porque se le crean tapones, así que decidí comprarle unos buenos cascos. Me gustó el diseño de estos y ofrecían calidad por lo que me decante por ellos y tengo que decir que he acertado, son muy cómodos, la posibilidad de la conexión por bluetooth los hace más manejables y no se oye la música cerca a un volumen normal. Además mi padre agradece que ahora en vez de poner la música en la radio alta utilice sus cascos y le deje ver la tele</t>
  </si>
  <si>
    <t>Muy contento Perfecto, buen sonido</t>
  </si>
  <si>
    <t>Calcetines ciclismo baratos y de buena calidad De lo mejor que vi en Amazon. Gran calidad y bastante baratos. Compré un par de ellos y creo que repetiré si siguen en venta</t>
  </si>
  <si>
    <t>Viene sin manual de instrucciones Viene sin manual de instrucciones. Donde puedo obtenerlo?</t>
  </si>
  <si>
    <t>Conforme Bien</t>
  </si>
  <si>
    <t>Defectuoso He comprado dos frascos y uno viene, en la parte negra plastica de la pipeta, por donde de ejerce presión, con una perforación en la misma, produciendo un mal funcionamiento. Hace unos meses compré un frasco de este aceite y todo estaba perfecto. Espero que esa perforación no haya influido en la calidad del producto al no estar hermético. Tengan cuidado con estos detalles por favor.</t>
  </si>
  <si>
    <t>No venden el forro por separado! No se os ocurra comprarlo, el forro se puede lavar pero si se rompe o deforma hay que comprar la zapatilla entera porque nadie lo vende por separado.</t>
  </si>
  <si>
    <t>La conexión de un auricular con otro es pésima. Compré este producto tras 6 años de uso intesivo y maltrato injustificado de mis Aukey EP-B4 (modelo de 2012). Cansado de los auriculares inalámbricos unidos por una cuerda entre sí, decidí dar el salto a unos absolutamente independientes, y estos me parecieron una alternativa razonable a los 180 euros que cuestan unos AirPods. No obstante, y citando a Fairy, "al final, lo barato acaba saliendo caro". No me han hecho falta más de 30 minutos de prueba para devolverlos. Mientras se hace deporte (en cinta ergonómica, y manteniendo el teléfono inmóvil a 4o cm de distancia) se pierde la conexión continuamente (cada 10 o 15 segundos)  en uno u otro auricular y, cuando es estable ocurre que, de repente, se producen pequeños desfases entre uno y otro, lo que provoca diferencias de hasta 1 segundo en la información que llega a cada oído. Vaya, una auténtica baratija.  De nuevo, tramité la devolución con Amazon y todo se desarrolló sin problemas.</t>
  </si>
  <si>
    <t>Buen producto Me gusto bastante, con las lentes tienes que buscar la distancia adecuada, y la luz que trae ayuda mucho a la hora de fijarte en las cosas, para mi que ya necesito gafas para ver de cerca, a la hora de soldar o reparar algún circuito me van bastante bien.</t>
  </si>
  <si>
    <t>Buen puntero para pasa diapositivas Ligero. Buen alcance Permite pasar diapositivas adelante y hacia atrás. Permite poner la presentación en modo "presentación" Lo he probado en Windows 10  NO permite usar el puntero que incorpora powerpoint NO permite resaltar con las herramientas de powerpoint NO permite manejar el cursor del ratón El puntero laser que incorpora, en mi caso, no aporta dado que en monitores con antireflejo, no vale.  Peso ligero. Puedes manejarlo sin tener contacto "visual" con el receptor.</t>
  </si>
  <si>
    <t>Color no exacto El color no es el exacto de la foto, es verde. Por lo demas bien, esta marca es la que uso siempre ya que es el unico biberon que quiere mi hijo. La rejilla que tiene ayuda a que se disuelva todo bien y no lleva muchas piezas para limpiar.</t>
  </si>
  <si>
    <t>Muy buen precio Ni siquiera en un bazar chino tenían un precio tan bueno para un consumible como éste. Lo cierto es que vale mucho la pena. De momento me han fallado un par de cd de los muchos que he planchado, pero probablemente mas por error de mi grabadora que por la calidad de los CD's</t>
  </si>
  <si>
    <t>Bien Por el precio esta bien</t>
  </si>
  <si>
    <t>Auriculares para correr Necesitaba unos auriculares para salir a correr, no quería seguir luchando con los cables de los auriculares normales y me decidí por estos y me van perfecto, son muy cómodos de llevar y flexibles, el material es suave, por lo que no lastima al usarlos. Se conecta muy rápido al Bluetooth del móvil y el sonido es bastante nítido. Tienen un estuche chulo para guardarlos que está muy bien para protegerlos, y también tiene diferentes almohadillas, así que puedes elegir la que te vaya mejor.</t>
  </si>
  <si>
    <t>Limpia lo que los ojos no ven &lt;div id="video-block-R2ZN4UYERXZO07"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src="https://images-eu.ssl-images-amazon.com/images/I/B1XhxEAbtXS.mp4" style="position: absolute; left: 0px; top: 0px; overflow: hidden; height: 1px; width: 1px;"&gt;&lt;/video&gt;&lt;/div&gt;&lt;div id="airy-slate-preload" style="background-color: rgb(0, 0, 0); background-image: url(&amp;quot;https://images-eu.ssl-images-amazon.com/images/I/71eu2NrCnHS.png&amp;quot;);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center;"&gt;0:47&lt;/div&gt;&lt;div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value="https://images-eu.ssl-images-amazon.com/images/I/B1XhxEAbtXS.mp4" class="video-url"&gt;&lt;input type="hidden" name="" value="https://images-eu.ssl-images-amazon.com/images/I/71eu2NrCnHS.png" class="video-slate-img-url"&gt;&amp;nbsp;Me gusta la facilidad de uso y el trabajo que te quita. Es increíble, pensaba que lo tendría que devolver por ineficacia y estoy muy sorprendido.</t>
  </si>
  <si>
    <t>Por un precio como este no se puede pedir más La verdad es que me esperaba menos por este precio, estos auriculares son muy prácticos no sólo por el hecho que no molestan nada puestos, sino que también tienen una buena forma de plegarse para guardarlos. Los bajos se oyen bien, comprobado con un directo de los Stray Cats (uno de los integrantes solea con contrabajo) y con algun rap con muelles de bajo de fondo. Además el sonido es nítido, y si tu móvil/reproductor tiene una buena calidad que sonido, estos cascos son tus mejores aliados para el consumo de música en cualquier lado.  Sin duda los recomiendo, ahora falta ver lo que duran.</t>
  </si>
  <si>
    <t>Muy bien Hay que pedir medio número menos del que se suele llevar, dan más número. Tuve que hacer cambio por esto del número y todo genial con Amazon, rápido y eficiente. La zapatillas muy bonitas y quedan muy bien. Muy buena experiencia</t>
  </si>
  <si>
    <t>Buen humidificador Humidificador que combina genial con cualquier armario de madera por su estética exterior imitando la madera. Gracias al mando, de fácil uso, permite cambiar los colores y modelos de vapor, graduarlos al gusto y programarlos para que se apaguen al tiempo de usarse. Viene de regal con 4 pequeños botes de aceites esenciales de 4 olores distintos y súper potentes que dan un ambiente al cuarto increíble.</t>
  </si>
  <si>
    <t>bueno la cadena un poco grande pero fui a una relojería y me lo ajustaron por lo demás muy bien de momento</t>
  </si>
  <si>
    <t>genial tal como se ve en la foto, fiel a su descripción, no los he probado todos todavia, pero parece que funcionan</t>
  </si>
  <si>
    <t>Calidad precio esta bien perfecto para pechos grandes</t>
  </si>
  <si>
    <t>Son la gloria! Me sorprendí a mi misma en cuanto las estrené prefiriendo mantenerme en ellas por lo cómodas y cálidas que son, en lugar de cambiar a mis zapatillas de estar por casa (Y eso que estas últimas son muy confortables).</t>
  </si>
  <si>
    <t>Buena elección Me lo compré para ir a juego con una sudadera de la misma marca y he hecho una buena elección. Pantalón elástico, pero con cinta para ajustar. Fino y cómodo.</t>
  </si>
  <si>
    <t>Lo que esperaba Velocidad y capacidad en lo esperado, no veo mucho mas para valorar. Vino antes de lo esperado y perfectamente embalado, he comprado 2 y perfectas. Espero que la duración tambien  la esperada, pero la marca es la que vengo usando desde hace mucho tiempo y no suelen dar problemas nunca.</t>
  </si>
  <si>
    <t>Muy práctico Muy práctico, el plastico es resistente y tiene una pestaña para  guardar documentos</t>
  </si>
  <si>
    <t>Repuesto fiable Funciona pwrfectamente</t>
  </si>
  <si>
    <t>Correcto Bonito detalle para regalar, cumple expectativas calidad precio</t>
  </si>
  <si>
    <t>EXCELENTE SONIDO Para mi en general me gustan estos cascos. Me quedan muy bien adaptados, pesan poco, se toleran muy bien durante bastante tiempo usándolos y el material de que están compuestos es bueno. El uso mayoritario con ellos es escuchar por bluetooth, quiero resaltar la durabilidad de la batería. El sonido es excelente sobre todo con el ANC activado. Con el ANC activado algunos ruidos externos se dejan oír, es algo que encontré negativo, pero aun así se escucha muy bien. Recomendaría su compra, con estas prestaciones y su precio para mi son excelentes.</t>
  </si>
  <si>
    <t>Buena calidad, buen precio Es una bandeja de buena calidad y buen precio. Cumple con lo que se necesita y es fácil de montar</t>
  </si>
  <si>
    <t>Buen y bonito producto Impresionante collar que compré para regalo y el cual gustó mucho. Viene en una caja muy bonita.</t>
  </si>
  <si>
    <t>buen producto Ocupa todo el espacio de trabajo habitual, se adhiere bien y no recoge excesivo polvo. El ratón va fenomenal sobre esta superficie</t>
  </si>
  <si>
    <t>Nada a destacarse Exageramente ruidosa  el compresor al salir el café, los soportes de apoyo los he cambiado para tener más contacto en el mármol y no moverse en el momento de poner la maneta porta filtros</t>
  </si>
  <si>
    <t>Nuevas? pero manchadas Me ha extrañado que las zapatillas estaban "probadas" por alguien. Parece que sea una devolución pues tienen algunas manchas. La caja viene destrozada, quizá por el transporte.</t>
  </si>
  <si>
    <t>Sin potencia La aspiradora en sí no está mal para limpieza de mantenimiento, para el polvo va bastante bien pero para cosas más pesadas no tiene potencia. La batería dura no mucho tampoco mejor la del lidl me parece</t>
  </si>
  <si>
    <t>PARA JUGAR MIS SOBRINAS Por el precio que tienen no están mal. La chica de la foto debe tener unos dedos superfinos, estos anillos les vendrán a mis sobrinas y puede que no en todos los dedos. Ya veis en la foto por donde me llegan a mí. Son de varios tamaños, he puesto lo que mide el más grande y el más pequeño, y luego lo que mide mi alianza para que más o menos calculeis si os puede venir. Ya os digo que parecen de niña no de adulto. Por el precio no voy a protestar, lo dicho, para jugar mis sobrinas.</t>
  </si>
  <si>
    <t>Fallo en poco más de un año Compre este reloj en noviembre 2016, y lo uso todos los días. Desde hace un mes ya no se ven bien los números en la pantalla. Pensé que era la batería, que según la publicidad dura 10 años, pero el relojero me ha dicho que es debido a un fallo en el circuito. No me esperaba esto de Casio. Espero que lo cubra la garantía, porque si no comprar el reloj es tirar el dinero. Como se ve, las líneas se difuminan, y no se ve bien la hora</t>
  </si>
  <si>
    <t>Me ha salido malisimo Compre dos disco duros de el modelo de un 1tb el 1º lo devolvi a la semana porque funcinaba mal(dejaba de detectarlo la bios). El ultimo me ha durado 5 meses, al principio bien, ahora mismo me esta dando tasas de lectura, escritura bajisimas y se cuelga en ocasiones. No vuelvo a comprar estos disco ni los recomiendo.</t>
  </si>
  <si>
    <t>Zapatillas SALOMÓN Speed Cross 4 Estupenda zapatilla oara correr x barro o x terreno suelto, eso sí pedir un número más x que es una forma algo estrecha.</t>
  </si>
  <si>
    <t>Buen sonido, que es lo importante En general los auriculares no me acoplan bien, éstos tampoco. Buen sonido</t>
  </si>
  <si>
    <t>Bonitos Un poco pequeños, pero muy bonitos</t>
  </si>
  <si>
    <t>Buen cable para altavoces Estoy contento con el cable, no pongo 5 estrellas porque la sección es un poco menor de 2,5mm. Es de cobre</t>
  </si>
  <si>
    <t>Me encanta Esta camiseta es genial para cualquier ocasión, ya que lo puedes usar para vestir casual o elegante. La tela es super suave, y en cuanto al tallaje me queda como lo esperaba</t>
  </si>
  <si>
    <t>Buena compra Muy bonito y muy cómodo. Estoy encantada.</t>
  </si>
  <si>
    <t>Fue un regalo y Le gustó mucho Relog de Calidad, muy bonito.</t>
  </si>
  <si>
    <t>Utilidad máxima Lo utilizo en mis clases tanto para powerpoint como prezi. Estoy encantada con el producto</t>
  </si>
  <si>
    <t>Buena calidad y servicio de envío El filtro es de calidad y cumple perfectamente su función</t>
  </si>
  <si>
    <t>Comodidad Muy cómodos, buen material, como esperaba.</t>
  </si>
  <si>
    <t>Magnifica estera y cojín de acupresion La estera y el cojín están muy bien. La presentacion es excelente y el color es verde fosfórico que me parece muy mono. Se echa de menos un manual de uso en español, aunque sí tengo que decir que enviaron un ebook que aunque en inglés lo veo muy práctico con muchos ejercicios muy recomendables. El envío ha sido súper rápido. Mi mujer y yo estamos muy contentos con el producto</t>
  </si>
  <si>
    <t>Se ve de calidad Perfecto..</t>
  </si>
  <si>
    <t>Douglas Es un producto elegante y con acabados muy buenos. A mi juicio un buen artículo con relación calidad precio!!! No pesa!!!</t>
  </si>
  <si>
    <t>Me gusta mucho Me gusta mucho, mi niña lo a cogido bien desde el primer día. Fácil De limpiar</t>
  </si>
  <si>
    <t>BBB (Bueno, bonito y barato) Como siempre la entrega muy rápida a pesar de estar en festivos. Llevaba días tras comprar un humidificador y comparandolo con el otro que tengo que me costo el doble en una tienda de mi ciudad este lo supera con creces. Para mi los puntos fuertes son, tener mando a distancia, que la luz se puede apagar y variar la intensidad en los colores, que ademas tiene temporizador y controla la intensidad del vapor que sale. Para mi desde que llego lo tengo puesto con el aceite esencial de naranjo de forma intermitente y aun no se me ha gastado el agua (2 días). Limpia muy bien el aire de la zona y quita todo el olor a tabaco. Me parece un buen producto para el precio que tiene.</t>
  </si>
  <si>
    <t>Genial He probado otros de marca y no conectaban este a la primera.lo recomiendo. Lo que no me gusta es lo de las tapitas se pueden perder pero si se guarda en la bolsita que viene no hay problema que se estropee o se ensucien el USB o micro</t>
  </si>
  <si>
    <t>Ponle uno de estos a tu ordenador añejo y no lo va a reconocer ni la madre que lo trajo Aprovechando que ahora los SSD están muy bien de precio, me he pillado este para darle una nueva vida a un antiguo portátil del 2009 con un Core 2 Duo y un disco mecánico que ya estaba en las últimas y había acumulado una ingente cantidad de archivos basura a lo largo de años de uso intensivo. Me dio pena jubilarlo porque por lo demás funcionaba perfectamente, así que pensé que cambiándole el disco por un flamante SSD me quedaría un equipo de apoyo muy apañado para un uso básico de ofimática e internet.  Y así ha sido. Una vez instalado el SSD y hecha una instalación limpia desde cero del sistema operativo, el ordenador VUELA. Arranca el escritorio en 20 segundos, el Office y el navegador los mueve como un tiro. Todo son ventajas, porque aparte de que el disco no suena nada de nada, los ventiladores no saltan tanto como antes porque apenas se recalienta. En definitiva, me ha quedado un ordenador rápido, fresquito y silencioso sólo cambiando un disco mecánico por otro de estado sólido.  Sin duda, una de las mejores inversiones tecnológicas que he hecho en mi vida. Por poco dinero, le puedes dar una segunda oportunidad a un ordenador antiguo que tengas por casa.</t>
  </si>
  <si>
    <t>Recomendable. Siempre se necesita almacenamiento extra o para copiar o llevar archivos sin tener que cargar con el ordenador o llenarlo de archivos. Buen precio y más si pillas oferta.</t>
  </si>
  <si>
    <t>restones y bien de precio Para el inicio escolar. Lleva ya un mes y va bien. Buen precio y buen resultado. Tampoco hará falta explicar el mecanismo no? Va bien, confía.</t>
  </si>
  <si>
    <t>OK Chif Buena compra, todo de buena calidad</t>
  </si>
  <si>
    <t>Cómodo y bonito Muy bonito, queda genial. El negro tiene bolsillos. La talla correcta</t>
  </si>
  <si>
    <t>Buen producto Espaciosa, cómoda y muy " para todo".. a mi pareja le ha encantado</t>
  </si>
  <si>
    <t>Buena compra La pulsera llegó en del tiempo previsto, es muy bonita, tal y como se muestra en la imagen, viene en cajita de Tous y con bolsa de Tous también!</t>
  </si>
  <si>
    <t>Cierres complicados No me ha gustado ya que para cerrarlo hay que encajar en una pequeña perforación que cuesta ponerlo y luego cerrar con un seguro que viene incorporado</t>
  </si>
  <si>
    <t>Esta bien Un pie de microfono normalito para situaciones en las que no se les de mucha caña, cumple su proposito para el precio que tiene</t>
  </si>
  <si>
    <t>No cumple su objetivo Lo compré para usarlo en la ps4, al principio no lo detectaba, tras intentarlo una y otra vez funcionaron pero de repente un día dejó de funcionar y no hay medio de que vuelva a funcionar, he tenido que formatear con todos los juegos y partidas guardadas, no cumple bien.</t>
  </si>
  <si>
    <t>ES FALSO SanDisk tiene al menos dos versiones del producto, una de calidad y otra que parece más falsa que el máster de Pablo Casado. Te montan un USB2.0 pintado de azul para dar el pego pero va más lento que Echenique subiendo una colina. El montaje es mediocre y el sistema de cierre no encaja bien.  Chistes políticos aparte, es una vergüenza que una marca como SanDisk aproveche su buen nombre y la plataforma de Amazon para vender semejante basura. Si tienes suerte y te mandan el bueno a la primera, eso que te llevas. Pero tiene pinta de que te mandan la copia a ver si te quejas y sólo te mandan el bueno al descambiarlo. Si no te das cuenta, no lo sabes mirar o no te importa la velocidad, pues esa estafa que te comes.  Mi recomendación es que hagáis algún test para probarlo antes de nada. Hay montones de programas gratuitos que te permiten hacerlo, no tardan nada y te ahorran una estafa. En cualquier caso, a este se le ve de lejos. Ya hay fotos de otros compradores que ponen la comparación entre el original y la copia. Os dejo la foto del benchmark</t>
  </si>
  <si>
    <t>Cómodas. Revisa las plantillas antes de usar Son unas zapatillas súper cómoda, transpiran bastante y se ajustan al pie aportando la sujeción necesaria para que no baile el pie dentro. El único inconveniente que les veo es que tras salir a probarlas detecté que una plantilla era más pequeña que la zapatilla, lo que me ha llevado a comprar unas para reemplazarla.</t>
  </si>
  <si>
    <t>Suficiente como tracker de tu día a día En primer lugar indicar que el aspecto general es muy agradable. La duración de la batería depende de los sensores que se utilicen.. normal. Quitando que se encienda la pantalla cuando mueves la muñeca, y el sensor de frecuencia cardiaca, se puede mantener casi 2 semanas sin cargar. Si ya empiezas a usarlo... pues eso, no tendrás que olvidarte de cargarlo al menos 1 vez a la semana. El uso de la actividad de paseo (no soy más activo) es bastante razonable, el barómetro y la brújula lo hacen atractivo para usarlo al aire libre, lejos de la ciudad. ¿Qué le falta? Pues yo le pondría una aplicación para poder seguir un track. ¿Qué me parece diferente a otros? Me ha gustado el algoritmo para el análisis de sueño. Por el precio creo que merece la pena, aunque seguro que en los siguientes 12 mese veremos muchas novedades.</t>
  </si>
  <si>
    <t>Converse Ok Buenos, es un poquito grande, pero tampoco me hubiese cogido otro nr. lo que pasa que me hace el pie más grande de lo normal y no me gusta. pero son cómodas y bueno para ese dinero igual hubiese preferido ir a una tienda y probarlas. pero la comodidad es lo que tiene. jeje  en general, buen calzado!</t>
  </si>
  <si>
    <t>Buen precio Fácil de usar para ver la televisión sin molestar a los vecinos.</t>
  </si>
  <si>
    <t>Muy bueno Es un producto muy bueno y, sobre todo, cómodo. Es genial para gente con cardiopatías o patologías respiratorias que se cansen mucho, ya que no requiere mucho esfuerzo para estrujar la fregona. El único pero que le veo es que el mango del cubo está en un lado, y eso lo hace un poco incómodo, pero es cuestión de acostumbrarse :D</t>
  </si>
  <si>
    <t>buen transito Muy bonito y se mancha.</t>
  </si>
  <si>
    <t>Chulada Creo que sin ninguna duda puedo decir que es la sudadera mas chula que he llevado, sin duda me encanta y es llamativa tal cual me gusta la ropa, aparte es super cómoda y es muy fina perfecta para esas tardes que hace muy poco viento</t>
  </si>
  <si>
    <t>Alta calidad Producto de alta calidad y prestaciones.</t>
  </si>
  <si>
    <t>Todo ok Muy buena camiseta</t>
  </si>
  <si>
    <t>Perfecto en talla color y calidad muy buen sueter Igual que en la foto la talla perfecta sin quejas</t>
  </si>
  <si>
    <t>Fantastico Smartwatch Calidad / precio es invatible, por el precio que tiene no se le puede pedir que tenga un "wearOS" y iguale a otros de 300/500 euros, pero lo cierto es que para una gran mayoria de mortales es perfecto, puedes tirarte mas de una semana sin cargarlo y te ofrece la mayoria de funciones de un smartwatch, algunas que incluso no ofrecen relojes mas caros. Tiene sus carencias a nivel de "software" aunque cumple perfectamente aquello que promete el fabricante, y la calidad de materiales es estupenda. Si no eres un "superprofesional" de los smartwatch :-P este es un reloj estupendo que no querras quitarte de la muñeca.</t>
  </si>
  <si>
    <t>Gran descubrimiento Llevo ya más de 2 meses usándolos y no podría estar más contenta. Lo que más aprecio es que aisle el ruido exterior.</t>
  </si>
  <si>
    <t>Comodidad Entrega muy rápida  y en perfectas condiciones. El producto genial</t>
  </si>
  <si>
    <t>Calor y alivio en hombros y espalda Genial, funciona perfectamente y el tamaño es adecuado. La compre para aliviar las molestias de articulaciones, cuando llega el frío duelen al empezar a moverlas, con la manta se alivia muchísimo esas molestias, además trae una cinta velcro para ajustarlas bien</t>
  </si>
  <si>
    <t>Regalo con encanto!! El álbum es precioso!! Lleva dentro pegatinas y marcos para decorar las fotos. Ideal para regalar</t>
  </si>
  <si>
    <t>Teclado mini pero muy útil. Me ha sorprendido gratamente, hay que entender que es un teclado mini y las teclas, obviamente, son pequeñas, pero da mucho juego, muy portable y lo puedes utilizar cómodamente con tablet o portátil si no quieres estar todo el tiempo delante del estudio.  Funciona perfectamente en puertos usb 2.0 y 3.0 (a velocidad de 2.0 evidentemente).  En resumen, muy contento con la compra.</t>
  </si>
  <si>
    <t>Comodidad El producto me ha gustado por el tamaño y la facilidad de uso</t>
  </si>
  <si>
    <t>Buena bonita y barata. Muy bonita, suficiente pa llevarme un sándwich, un zumo y el material del trabajo.</t>
  </si>
  <si>
    <t>Bonitos Bonitos aunque un poco pequeño</t>
  </si>
  <si>
    <t>sonido perfecto para conversaciones largas, trabajo ...etc... es perfecto. el sonido es muy bueno y el interlocutor me oye perfectamente y aisla ruido de entorno. recomiendo la compra.</t>
  </si>
  <si>
    <t>Por ahora contento con ellas La verdad esq llevo un mes con ellas y estoy bastante contento por su comodidad y peso. Ahora haber cuánto duran, ya que trabajo en la construcción y el trato a las botas es bastante duro.</t>
  </si>
  <si>
    <t>Disco de grupo mítico En este disco tienes las mejores canciones de Def Leppard. Les salió un disco, nunca mejor dicho, redondo.  Gran idea la de poder descargar las canciones en formato digital en el momento de la compra, aún no habiendo recibido el disco aún.  Gran servicio.</t>
  </si>
  <si>
    <t>Muy Resistente Buena relación calidad precio</t>
  </si>
  <si>
    <t>Magnífica A estas alturas, poco se puede decir de la marca Moulinex, todo un referente en equipos de cocina. Esta equipo, es muy completo, y su relación calidad precio es muy buena.</t>
  </si>
  <si>
    <t>Acabado regular Parecía todo bien, calidad, práctico... Lo he usado unas 6 veces y sin hacer deporte ni someterlo a mucho uso. Pues la tela de la trasera se ha dscosido. Le voy a dar unas puntadas... Pero vaya...</t>
  </si>
  <si>
    <t>bonitas muy bonitas pero la M grande</t>
  </si>
  <si>
    <t>Se ajusta a muñeca pequeña. Se rompió al mes. Buena calidad, llego antes de lo previsto. Mi muñeca es muy pequeña y se ajusta perfectamente. Cierto es que la vibración se nota un poco menos pero se nota muy bien. Elegí correa plateada de rejilla y he acertado. Lo recomiendo. Actualización. La pulsera duró un mes. Empezó a teñir mi muñeca y después se rompió el cierre. He de decir que se mojaba a diario.</t>
  </si>
  <si>
    <t>no me sirvio Muy malo. Se despego el mismo dia que lo puse. Y volvi a ponerlo y volvio a despegarse. Lo use para la rodilla de un pantalon. A lo mejor en otro sitio si funciona pero si hay movimiento se despega.</t>
  </si>
  <si>
    <t>Son bayetas Son bayeta, no son paños para secar.</t>
  </si>
  <si>
    <t>Cumple su función Va bien , perfora limpiamente.</t>
  </si>
  <si>
    <t>Bieb Va perfecto</t>
  </si>
  <si>
    <t>Buena relación calidad/precio Son sencillamente perfectos para un usuario medio. La relación calidad/precio es imbatible. Sólo echo en falta la posibilidad de utilizar baterías externas standard en caso de urgencia por encontrarse descargados. Eso es algo común hoy en día pero a mi parecer indeseable.</t>
  </si>
  <si>
    <t>Preciosas Preciosas tal y como se ven en la foto muy buen material, rápida entrega y en perfecto estado</t>
  </si>
  <si>
    <t>El material y que tiene nivel de volumen El articulo me a gustado todo en general,calidad precio muy buena,comodo y muy bien para niños. Lo recomiendo.</t>
  </si>
  <si>
    <t>super comodas muy cómodas ligeras, una buena elección para el verano y las compre a super chollo de 7,99 he vuelto a pedirlas lo bueno si es dos veces mejor.</t>
  </si>
  <si>
    <t>que funciona muy bien con este he tenido tres y este es el mejor que me a funcionado, se conecta siempre a la primera y muy rapido, la bateria me dura todo el dia y se carga en muy poco tiempo</t>
  </si>
  <si>
    <t>Volveré a comprar Perfecto y muy cómodas</t>
  </si>
  <si>
    <t>Genial Me encanta, no pesa nada, abriga y el color me encanta. De talla genial</t>
  </si>
  <si>
    <t>Encantada y me ha ayudado muchísimo Calienta bastante, pero con ponerla al nivel 1 o al 2 mantienen el calor y para mí es más que suficiente, no he probado el nivel 3 porque creo que sería demasiado. Me ha calmado muchísimo y gracias a su apagado automático he podido dormir tranquilamente además de notar cómo relaja mogollón los músculos lumbares.</t>
  </si>
  <si>
    <t>Esperaba algo más Muy suave por dentro aunque el material de fuera no me ha gustado mucho, por lo que vale me esperaba algo mejor</t>
  </si>
  <si>
    <t>Muy bonito Está chulisimo, la correa que parece de piel es muy bonita, pero lo mejor es la esfera, con colores super bonitos como se puede apreciar en la imagen.</t>
  </si>
  <si>
    <t>No dan alergia Q a mi hija no le dan alergia</t>
  </si>
  <si>
    <t>Versátil muy bueno, lo mejor su versatilidad, para usarlo tanto usb 2.0 usb 3.0 y micro USB. Genial para instalar sistema operativo, a pcs, portátil, o tabled.</t>
  </si>
  <si>
    <t>Práctica, sencilla, rápida y respetuosa con las normas sanitarias Tienen el metal oculto bajo el fondo, en ningún momento entra en contacto con el agua. Pese a ser de viaje la usamos en casa, no es algo por lo que la hayamos elegido vamos. Aún así el juego de tasas es muy práctico y compacto.</t>
  </si>
  <si>
    <t>Geniales Un quinto de lejía y el resto de agua. Lo dejas unas horas, le metes las bolas, cierras y sacudes es todas direcciones. Mucho cuidado al recuperar las bolitas en el agua, son muy resbaladizas y es fácil perderlas. Yo usé un colador para recuperarlas. Las botelllas quedan como nuevas. Un gran invento.</t>
  </si>
  <si>
    <t>Buena bonita y barata Miy bien si la pillais bien de precio. Menos de 20€.</t>
  </si>
  <si>
    <t>Útilísimo!!! Va fenomenal, se escucha y te escuchan con mucha claridad. El móvil prácticamente se me queda olvidado en las habitaciones. Una compra muy recomendable y muy práctica, sobre todo pq yo lo compré por la tendinitis que tenía en el brazo (hablo muchísimo por teléfono y el dolor se volvía insoportable). Lo uso a diario y es una gozada poder hablar y tener las manos libres para tus quehaceres. Tiene calidad profesional y ni te das cuenta que lo llevas, es cómodo y no pesa nada. Buenísima y recomendadísima compra. No sé cómo he podido estar sin él todo este tiempo.</t>
  </si>
  <si>
    <t>Muy bien Son perfectas y cómodas, el número talla bien, muy contenta con la compra....bueno en general ha cumplido todas mis expectativas.</t>
  </si>
  <si>
    <t>Buena compra. Mejor que la que tenía que me costó 300€. Después de 3 semanas desde la compra, solo puedo decir que la cocina está muy bien. No hay problemas con el encendido automático y la cocina funciona muy bien.</t>
  </si>
  <si>
    <t>Muy buen aparato Buenisimo</t>
  </si>
  <si>
    <t>Estupendos Muy prácticos y cómodos de usar. Las cerdas de los cepillos son resistentes y cumplen bien su función. Ideales para limpiar pequeños resquicios como juntas de muebles y sillas en que la suciedad es difícil de sacar.</t>
  </si>
  <si>
    <t>Le encantó Muy bonitos</t>
  </si>
  <si>
    <t>Pequeño,va bien para limpiar por zonas bajas Es algo pequeño, pero manejable,lo único es que es muy recto y las superficies altas ,desde una distancia ,no la puedes doblar y no limpia toda la superficie,para las pastes bajas genial</t>
  </si>
  <si>
    <t>llegó muy tarde, ya no lo esperaba. recibido muy tarde. el articulo bien por el precio.</t>
  </si>
  <si>
    <t>No es esponjoso, si suave y fino Muy suave pero no es esponjoso comlmparece en la foto,el tejido es muy fino</t>
  </si>
  <si>
    <t>Decepcionada Durante 1mes o así funcionó perfectamente y una vez que mi bebé se acostumbró a él empezó a sufrir perdidas de leche x la junta. Y no es una gota, es que literalmente acabas empapada tu, el bebé, y cuando lo pones en vertical acabas dejando leche x todo el suelo de la casa. He sufrido horrores despues para encontrar otro bibe anticolicos en el que encaje la tetina y no se le haga el vacío al bebé.</t>
  </si>
  <si>
    <t>Decepción Sale el sonido invertido, es decir, lo que debería salir por la derecha sale por la izquierda y viceversa. Al final lo barato sale caro</t>
  </si>
  <si>
    <t>Excelente batidora Me gusto mucho el aparato viene muy completo y muy potente, lo malo es que al 3 batido dejo de funcionar asi que he tenido que devolverlo y se me reembolsado sin problemas, no obstante he vuelto a comprar el mismo ya que un fallo de fabrica lo puede tener cualquier aparato. Ya os contare como me va con el próximo. Pues lo volvi a comprar y esta vez de momento genial lo recomiendo.</t>
  </si>
  <si>
    <t>Eficaz Optimo</t>
  </si>
  <si>
    <t>Esta bien Son buenos para gente que no tenga mucho busto</t>
  </si>
  <si>
    <t>Cumple su función Los utilizo en una pedalera bastante modesta, no son de una calidad extraordinaria pero cumplen con su función perfectamente. Eso sí, tiende a desenroscarse la tapa donde va soldado el cable. Es un problema que se da en muchos conectores completamente metálicos, que tampoco es demasiado grave si no tocas el cable de forma continuada.</t>
  </si>
  <si>
    <t>Para salir del paso Hasta que le pillas el truco cuesta montarlo. , hay vídeo en YouTube, pero para tener un sello de empresa sencillo vale.</t>
  </si>
  <si>
    <t>Buen servicio, cómo siempre con Amazon Muy bonito , el reloj qué usábamos hace años. Me encanta, funciona muy bien</t>
  </si>
  <si>
    <t>Huele bien El aceite esencial está muy bien, pero tambien es verdad que antes he tenido mejores ya que dejaban un buen aroma en el salon en cuestion de segundos, y este en concreto tarda.</t>
  </si>
  <si>
    <t>Clips de siempre Pues como se puede ver la imagen, unos clips de siempre, metálicos, acompañados con su tarro para guardar y la utilidad de estar imantado la parte de arriba,  que hace que siempre se puedan tener a mano.</t>
  </si>
  <si>
    <t>Es lo que buscaba. Perfecto Es perfecto</t>
  </si>
  <si>
    <t>Calidad y Durabilidad Las zapatillas me quedaban super cómodas, del tallaje que se indicaba en la descripción. El color no se ha ido a pesar de los años y aún sigo usandolas, por lo que la calidad es máxima.</t>
  </si>
  <si>
    <t>Es preciosa!! Ha llegado super rápido!!! Es igual que en la foto, hace tiempo que quería una así, lo que me venia un poco grande pero como tiene muchos enganches le quitado el último y queda perfecta en la muñeca, muy contenta con la compra!! Recomendadisima!</t>
  </si>
  <si>
    <t>CALIDAD Estilo moderno y su precio</t>
  </si>
  <si>
    <t>Bastante bien a pesar de su bajo precio. No estaba seguro de si lo iba a usa y me decidí por este que era de los más baratos. Evidentemente no parece la construcción más solida y de mejores materiales del mundo pero funciona correctamente y puede hacer todos los movimientos que se le presuponen y mantener la posición sin el menos problema.   Se engancha a la mesa como un "sargento" y tiene 3 partes principales articuladas en dos puntos. A su vez cuenta con una araña para enganchar el micro. En mi caso lo uso con un microfono Blue Yeti y se queda algo pequeña teniendo que hacer alguna chapucilla para meterlo pero al final entra.  En definitiva contento. Si vas sobrado de dinero evidentemente los hay mucho mejores. Con este aunque funciona correctamente tendrás que tener cierto cuidado al hacer los movimientos. O al menos esa es la sensación que da.  Te adjunto unas fotos por si te son útiles y si ha sido así no olvides dejarme un LIKE!</t>
  </si>
  <si>
    <t>bien En general bien, tiene todas las tonalidades en modo fuerte y mas claro, puedes o no ponerla. En cuanto al ruido hace un pequeño remor que no molesta.</t>
  </si>
  <si>
    <t>Excelente! Buenísimos. Justo lo que estaba buscando y de muy buena calidad.</t>
  </si>
  <si>
    <t>Cumple su función Queda bastante bien y sobre todo sujeta que es lo que iba buscando de este producto. Se deteriora demasiado con los lavados.</t>
  </si>
  <si>
    <t>Maravilloso Me encanta poder desayunar batidos y más si son de fruta. Los vasos son muy útiles con su asa para poderlo coger bien. Tritura bastante bien tanto fruta como hielo. En menos de 1 minuto, paso de tener la fruta en mano a un batido. El motor hace menos ruido que el de un amigo mío. Fácil de limpiar y de transportar. Me gusta mucho.</t>
  </si>
  <si>
    <t>Buena calidad de sonido y materiales. Excelentes auriculares. Buena calidad de sonido y material. De buena dimensiones y cómodos de usar. Soporta tarjeta de memoria y conexion Bluetooth.</t>
  </si>
  <si>
    <t>Estupendo. A mi hija le ha encantado. Debe ser porque la tetina tiene una forma que le agrada. No es muy grande, con lo que lleno no supone un peso considerable. Fácil de lavar y barato. Libre de BPA. Genial. Compraré uno más.</t>
  </si>
  <si>
    <t>Muy bien Por el precio que tiene está genial. Es pequeñito, pero viene muy bien para pizarras magnéticas. Borra estupendamente, no deja marcas, aunque creo que los rotuladores tambien ayudan a eso.</t>
  </si>
  <si>
    <t>Perfectas Las compré para cortar pizzas y estoy megacontento con ellas :D</t>
  </si>
  <si>
    <t>Muy buena calidad Perfecto, me ha gustado mucho y buena calidad.</t>
  </si>
  <si>
    <t>Calidad precio excelente Realmente sientes que compras un cable de calidad, por su precio es de lo mejor que puedes encontrar, muy recomendable.</t>
  </si>
  <si>
    <t>PERFECTO Perfecto</t>
  </si>
  <si>
    <t>Baja calidad No me ha gustado porque se ve poca calidad y es más estrecha por los extremos.</t>
  </si>
  <si>
    <t>Es lo que me esperaba Son muy cómodos y pesa poquísimo</t>
  </si>
  <si>
    <t>con picadora los vasos para picar y triturar estan muy bien.  no tiene regulador de velocidad lo mismo pica que tritura</t>
  </si>
  <si>
    <t>Decepcion No volvere a comprarlo...decepcion toral...he probado otros aceites de argan buenisimos y quise probar este por su precio y ahi lo tengo muerto de risa ...muy grasiento para el pelo</t>
  </si>
  <si>
    <t>El ANC no funciona tan bien como promete y sube el volumen de la musica al usarlo Me los compré por las buenas opiniones que tenía y tengo que decir que son cómodos y ligeros. Además la música suena bien, el problema es en ANC. Yo los compré básicamente por la cancelación de ruido y lo buena que era según las opiniones y la descripción del producto, pero lo cierto es que al usarla sin musica no hace gran cosa. La he probado tanto en casa, como en la biblioteca y en el coche, y he de decir que disminuye nada o casi nada el ruido de fondo, escucho todo, tanto sonidos graves como agudos. Cuando activo el ANC con música lo único que hace es disminuir mínimamente los sonidos graves, pero es que aunque estén lejos sigo escuchándolos todos, y los sonidos agudos del ambiente incluso se escuchan mejor. Además, al estar escuchando música sube el volumen de está, y se escucha bastante desde fuera aunque el volumen no este a tope. Desde luego esto hace que no los pueda usar fuera de casa, en bibliotecas o similares, con el ANC activado, ya que molestaría a los demás. En resumen, que por el precio que tienen no tienen nada que no tengan los que tenía antes de 7-8€ de Xiaomi. - El ANC realmente no cancela ningún ruido, si eso disminuye mínimamente algún sonido. - Al usar música con el ANC sube el volumen de está y se escucha bastante desde fuera, por lo que no puedo usar la cancelación de ruido en lugares públicos. - Son cómodos y ligeros, y la calidad de sonido en cuanto a música es buena, pero no compensa el precio por lo que da realmente el producto.</t>
  </si>
  <si>
    <t>Rigidos Poco transpirable</t>
  </si>
  <si>
    <t>Cómodo tiene un buen diseño y es muy comodo, para durabilidad,  lo revaluare dentro de meses, para tallas, me cogi el 41, viene algo grande y con bastante espacio en la puntera, pero encaja y sobra espacio para una plantilla comoda y grusa, ya que el zapato mismo trae uno, hace como doble amortiguación que eso es increiblemente comodo.</t>
  </si>
  <si>
    <t>Está bien Está bien para cuando vas de viaje y eres de esas personas que quieren tener las fotos de la cámara en el móvil cuanto antes. La app funciona correctamente aunque a veces le cuesta conectar (al menos con mi Iphone 7 - Fuji X100). A la hora de pasarse las fotos una vez las has seleccionado va rápido, pero en general igual se hace un poco pesado entre que conectas, miras, buscas, seleccionas etc. Por eso para trabajar, recomendaría pasar las fotos por otro sistema.</t>
  </si>
  <si>
    <t>Bueno Lo único que le falla,es que los nombres de los países pequeños, están como distorsionados,en resumen,que el dibujo no está perfecto, como debería de estar,pero en todo lo demás un 10.</t>
  </si>
  <si>
    <t>recomendable por precio/prestaciones Reloj que tiene como diferencia a los demás la alarma vibratoria la cual va muy bien a la hora de marcar las horas en punto ya que no hace ruido para avisar de que son en punto, vibra de forma notoria.</t>
  </si>
  <si>
    <t>La camiseta es de gran calidad y la talla indicada. La camiseta llegó correctamente. El color es el que aparece en la imagen exactamente. La talla es muy precisa y me queda perfectamente. La calidad es óptima, aunque no esperaba menos de Nike. Recomiendo esta camiseta para cualquier tipo de deporte. Yo la he usado para jugar a fútbol y para entrenar en el gimnasio y es perfecta para ello. Transpira a la perfección y es muy cómoda, incluso con lluvia, no absolvía el agua a penas.</t>
  </si>
  <si>
    <t>Reloj bastante completo El reloj es bonito y deportivo. La correa metálica con cierre de seguridad se ajusta fácilmente y no se deteriora. La puesta en marcha de todas sus funciones y calibración de algunas de ellas es un poco complicado, hay que leer muy bien el manual. Reloj muy completo, por ponerle un "pero" el sensor de presión y temperatura que sobresale a la izquierda a veces es un poco molesto al engancharse con las mangas de la camisa o jersey por ejemplo. En definitiva un buen reloj con múltiples aplicaciones. Satisfecho con la compra.</t>
  </si>
  <si>
    <t>Cada uno para una cosa Son duraderos y tiene mucha variedad, olores muy buenos. Cada una te sirve para una cosa, la de lavanda me gusta ponerla en el humidificador para descansar mejor. El árbol del té  la uso para ahuyentar mosquitos. Para cuando estoy resfriada la de eucalipto. Cómo ambientador el de naranja.</t>
  </si>
  <si>
    <t>Buena grapadora Es de tamaño mediano, no se ve tan buena como las de toda la vida pero se ve resistente, siempre que no quieras desmontarla que ya se ve que luego no habrá manera. Muy buena relación entre calidad y precio.</t>
  </si>
  <si>
    <t>Gran memoria RAM Todo se ajusta a la descripción. Todo fue muy bien y rápido. Grandes memorias y con estas el ordenador ya está en perfectas condiciones una temporada más.</t>
  </si>
  <si>
    <t>Comodidad Genial y es verdad q son invisibles porque no se ven</t>
  </si>
  <si>
    <t>Perfecto Buena compra y buen envío, volveré a comprar más.</t>
  </si>
  <si>
    <t>Cómodos y bonitos Trabajo en una clínica dental, los uso a diario y son muy cómodos, además de bonitos, si estáis entre dos tallas pedir una más, yo uso la 39, pedí la 39-40 y quedan bien, justos.</t>
  </si>
  <si>
    <t>Potente y elegante Funciona correctamente y tiene unas dimensiones que me permiten calentar todo tipo de envases. Ademas su diseño en negro es muy elegante, no es el típico microondas blanco y su potencia hace que los alimentos se calienten en muy poco tiempo. No tiene grill pero tampoco lo echo mucho en falta ya que al tener horno le daba poca utilidad a esa función. Era exceptúa de comprar este tipo de aparatos de una marca china, pero he tenido problema alguno.</t>
  </si>
  <si>
    <t>Compatible Moppy Polti Complatible con la Moppy de Polti buena calidad igual que original es un poco mas ancha pero va muy bien</t>
  </si>
  <si>
    <t>Perfectos para archivo Uso estos discos con un dock para archivar de ficheros de video, en años nunca me han dado problemas. Seagate es calidad/precio de los mejores discos duros internos (mecánicos), son rápidos pero no tanto como los de memoria flash. Como he dicho, los uso de archivo, para trabajar en ellos recomiendo memoria flash.</t>
  </si>
  <si>
    <t>Batidos de frutas Suelo preparar batidos prácticamente a diario, ya que los tomo post entrenamiento en el gimnasio. Suelo hacerlos con frutas naturales, frutos secos y verduras. Este pack de batidora y envases es muy completo, ya que trae varios Shaker para poder llevarte los batidos y beberlos. La batidora tiene un sistema súper intuitivo y es fácil de utilizar. Todo en caja fenomenal y solo con enroscará y presionar y girar lo ínstalas. Además, me encanta que cuide los detalles y traiga ventosas para que se quede inmóvil sobre la encimera.</t>
  </si>
  <si>
    <t>Hermoso Mejor de lo que creia, no parece barato</t>
  </si>
  <si>
    <t>Gran compra. Perfecto.como en la foto. Compre la talla L y queda perfecta.</t>
  </si>
  <si>
    <t>Gran producto recomiendo su compra al 100% Funciona muy bien pero tened en cuenta que teneis que tener la rosca de abajo para que podais colocarlo en el tripode</t>
  </si>
  <si>
    <t>Calor y fuerza Esta muy bien porque da con fuerza, da bastante calor y viene muy bien, la verdad es que es útil, pero buscar algún método de sujeccion mejor. Y si hiciesen alguno de más tamaño pero con la misma fuerza sería perdecto</t>
  </si>
  <si>
    <t>Muy bien Apta para video, y casi 800 fotos en doble formato jpg.y raw. Facil de formatear y recuperar, calidad y buen precio.</t>
  </si>
  <si>
    <t>Mejora mi fascitis plantar Comodisimos</t>
  </si>
  <si>
    <t>Buenísimo Facil limpieza y mojtaje. Funciona muy bien</t>
  </si>
  <si>
    <t>Mala Se ve muy endeble, no me gusta como deja las cremas. Esperaba más de esta marca. Tengo una de otra marca de solo 300 w y deja mejor los purés que esta Bosch.</t>
  </si>
  <si>
    <t>Satisfecho. Bonitas,  pero no muy cómodas,  ni muy resistentes.  Calidad precio están bien.</t>
  </si>
  <si>
    <t>Un clásico con sus pros y sus contras Hay poco que decir sobre un modelo que lleva tantos años en el mercado. Se trata de unas zapatillas inspiradas en el calzado de baloncesto y predominantemente empleadas como calzado de moda o de diario. El exterior está realizado completamente en cuero, los interiores en material textil. La suela es gruesa (le hará ganar un par de centímetros) y no especialmente flexible o blanda, lo que se suma a una plantilla más bien corriente para ofrecer una amortiguación muy rígida. La horma es bastante ancha, sobre todo a la altura del talón y el tobillo, lo que puede hacerlas indicadas para personas de pies anchos y suponer para los demás un problema a la hora de dar con la talla justa. Por si mi experiencia personal pudiera servir de algo, opté por un 43 a causa del largo, pero es verdad que la zapatilla se siente un poco suelta a la altura del tobillo. Son zapatillas pesadas y de transpiración mejorable, quizá más adecuadas para otoño/invierno y, en mi opinión, inadecuadas para usos prolongados.  Lo que comento a continuación en relación a la estética será obviamente muy subjetivo, pero igual tiene algún valor para alguien. Lo cierto es que es una zapatilla grande, «bulky» dirían los anglosajones, y puede parecer demasiado aparatosa (he llegado a oír «zapatos de payaso» en algunos comentarios). El ancho de la suela es notable, y habrá a quien le lleguen a parecer zapatos con plataforma. Esto último me lleva a considerar las Air Force 1 un calzado unisex que tiende más hacia el lado femenino. Para acabar, puedo constatar que, como es previsible, el modelo en color blanco tiende a ensuciarse y hacer evidente el deterioro más rápidamente.  En fin, un clásico del mundo de las «sneakers» con varios puntos en contra (más o menos importantes en función de cada uno) y uno principal a su favor: su estética original. Sobre gustos no hay nada escrito.</t>
  </si>
  <si>
    <t>Producto Falso de Pesima calidad Falsificación de baja calidad, ni el empaquetado coincide con el empaquetado de Xiaomi en los Auriculares Piston. Pedidos en color negro, recibidos en color azul clarito. El packing horrible una caja de carton con celofan pegado, ni rastro de la caja de plástico en la que van los Xiaomi y que te sirven para guardarlos despues. Tuve unos xiaomi piston anteriormente y no tiene ni punto de comparacion.</t>
  </si>
  <si>
    <t>Pésima calidad: se deforma y se sale el asa Con sólo hervir muy poca agua tres veces, el calor hizo que el mango se deformara y se saliera. Pésima calidad y precio altísimo para lo que es. Realmente es lamentable que esta empresa venda productos así. Los comentarios positivos son inexplicables.</t>
  </si>
  <si>
    <t>Buen producto Cómodas y baratas</t>
  </si>
  <si>
    <t>Muy bonitos A mi hijo le encantaron</t>
  </si>
  <si>
    <t>No es perfecta, pero es de la mejor que he probado. Me gusta porque deja los alimentos bastante bien triturados en poco tiempo. Este modelo es un poquito mejor, pero no sé si compensa la diferencia de precio. No me gusta que las tapas no se puedan meter en el lavavajillas. Hay una pieza de plástico en el interior del brazo que se suelta. Recomiendo su compra si es con una buena oferta. Compré otra de Braun de 750w que se me estropeó 2 veces en 2 años de garantía. Me la sustituyeron por otra que sólo ha durado  2 años. Espero que con esta no me pase lo mismo.</t>
  </si>
  <si>
    <t>Auriculares geniales Me llegaron incluso antes de tiempo, hasta el momento funcionan genial. Se cargan super rápido y la duración de la batería aguanta muchos días. De hecho yo llevo como dos semanas usándolos prácticamente a diario y aun aguantan. Buena calidad-precio. La única que pega que veo es que a veces hace amago de entrecortarse si tienes cerca otras personas que puedan tener conectado otros cascos inalámbricos. También son muy cómodos de llevar.</t>
  </si>
  <si>
    <t>Carmen morale s Un regalo para mi padre. Los números se ven súper bien me llego al día siguiente de hacer el pedido. La única pega que no venía en ninguna cajita</t>
  </si>
  <si>
    <t>Práctico y fácil de usar Lo usé para un smartwatch</t>
  </si>
  <si>
    <t>Ottimi Ottimi</t>
  </si>
  <si>
    <t>Perfecto Buen producto, funciona muy bien y fácil manejo y limpieza</t>
  </si>
  <si>
    <t>Buena Igual que la original, gran autonomía</t>
  </si>
  <si>
    <t>Buena pizarra magnética. La pizarra es de muy buena calidad, se borra estupendamente y es magnética, lo cual va estupendo para aguantar un borrador. Llegó en perfectas condiciones, lleva una bolsa con "esquinas" de colores para tapar los 4 tornillos que van a la pared.</t>
  </si>
  <si>
    <t>Cómodas Muy cómodas. Espero que no se rompan en pocos meses. Recomendables</t>
  </si>
  <si>
    <t>Muy buen producto Son muy cómodas y excelentes para caminar y hacer Running</t>
  </si>
  <si>
    <t>Lo uso a diario en mis clases Muy sencillo de usar y cumple perfectamente su función. Soy profesor, y lo utilizo a diario en mis clases para las presentaciones en Powerpoint y Keynote. Tiene incorporado un puntero láser rojo muy útil como apuntador.</t>
  </si>
  <si>
    <t>util lo utilizamos el otro día por un enganchon, y con solo pegarlo nos valió, no hace falta plancharle. Lo único ,por poner una pega, que casi nunca te va a coincidir con tu color original. Pero sin duda muy buen producto y muy recomendable.</t>
  </si>
  <si>
    <t>Isabel Rita Me gusta mucho, lo tecido, lo color y la talla quedo perfecta... Fuerte material y muy original. Solo lamento tener solamente 3 colores disponibeles.</t>
  </si>
  <si>
    <t>Pedir una talla menos Tengo un 41 en todos los zapatos, y era la talla que iba a pedir, pero gracias a los comentarios de otros clientes pedí una talla menos y acerté, quedan perfectas.</t>
  </si>
  <si>
    <t>Correcta relación calidad precio Muy bueno, calidad precio. Para habitaciones medianas. No sirve de humificador pero como ambientador, muy bien.</t>
  </si>
  <si>
    <t>Maravilloso Perfecto el colgante es precioso y el vendedor muy bien le pedí si podía llegar antes de la fecha que ponía y así a sido, lo recomiendo.</t>
  </si>
  <si>
    <t>Comodísimas Perfecto. Cómodos y muy prácticos, recomiendo pedir 1 o 2 tallas más de la que normalmente usas, pedendiendo también de si tienes el pie acho.</t>
  </si>
  <si>
    <t>muito bonito mui bonito</t>
  </si>
  <si>
    <t>¡Viva la vida! Teniendo problemas graves de cervicales y buscando algo que palíe las constantes molestias y dolores decidí probar este aparato. Después de ojear las breves instrucciones y enchufarlo ¡Ay! -pensé- ¡ya me han vuelto a dar el timo con este incomodísimo molinillo loco que me hace daño! Perseveré, que no "perverseré" con la ayuda de una almohada, buscando la postura correcta y empezando con más prudencia el cielo se iluminó. Después de cinco minutos todo era flotar en una ola de calor, un estar sin estar, ser el sonido del arbol que cae en el bosque sin que nadie lo oiga. Nirvana debería llamarse este modelo. Si le añaden una dulce voz que susurre dulzuras y algo que haga de vagina en lata digan adiós a la extinción de la raza humana. Meraviglioso, colosal, ayurvédico ♥</t>
  </si>
  <si>
    <t>Braun en batidoras es una Garantia. Según mi mujer le encantó, tenia otra más antigua que se la llevó mi pequeña a su piso y tanto esta como la anterior cumplen con su cometido dignamente. Sigue tan contenta como antes con ella.</t>
  </si>
  <si>
    <t>Excelente relación calidad-precio Auriculares bien construidos con una estética un tanto retro. Plegables muy cómodos para transportar e ir de viaje con ellos. Son unos auriculares circumaurales que cubren completamente la oreja así que aislan bastante bien . Son cerrados así que la escena musical no es su punto fuerte. Están diseñados para sonido de estudio pero esto no quita que tengan una respuesta en graves buena muy buena respuesta en los medios y agudos con mucho detalle aún resultando bastante planos ya que son para estudio. Son unos auriculares de referencia en el mundo del audio. Yo los recomiendo</t>
  </si>
  <si>
    <t>Normal, tirando a malo. Sudadera barata, tejido normalillo tirando a malo. Juraría que esta marca antes tenía mejor calidad, al menos eso recuerdo de cuando era pequeño. La talla muy justa. Pedí una M, mido 1,71 y cuando me agacho paso frío en los riñones. No creo que vuelva a comprar otra igual.</t>
  </si>
  <si>
    <t>el precio Me ha gustado su respuesta por el precio que tiene,  Falta de un poco de cuerpo</t>
  </si>
  <si>
    <t>Decepcionada Al primer intento de copiar archivos de unos 20 G ya me dio error y no pudo completar la grabación. Así que lo devolví.</t>
  </si>
  <si>
    <t>Más problemas, así que los he devuelto - ACTUALIZADO La verdad que por el precio de estos auriculares me esperaba algo más. Es cierto que enlazan muy rápido y se ajustan bien a la oreja, pero por otro lado, el micrófono recoge el sonido fatal. Para estar tumbado en casa se escuchan muy bien, pero si empiezas a moverte o sales a la calle, recoge todo el sonido ambiente y nada de lo que dices. Además, el sonido es bueno en frecuencias medias, si subes el volumen empieza a apreciarse ruido y sonido no nítido.  No vale la pena gastarse 36€ porque las funciones que deberían ser mejores (sonido y micrófono) no funcionan como deberían.  ________________________________  A parte de los errores evidentes que ya expuse, tras casi un mes de uso es mejor devolverlos: - A veces siguen sincronizados en la caja o se sincronizan solos estando en la caja, por los que no sabía por qué no me funcionaba el audio del móvil y era porque estaban sonando estando guardados (cosa que no debería suceder). - También me ha ocurrido de guardarlos en la caja y cuando he mirado estaban encendidos, sin ponerse a cargar y gastando batería.  Todo esto, sumando que el sonido podría ser mejorable y que el micrófono en movimiento no sirve para nada (si lo usas sentado en el sofá te escucharán, como te pongas a hacer cosas ya olvídate y si es fuera de casa coge todo el audio ambiente y no se te escucha).</t>
  </si>
  <si>
    <t>Suave y eficaz. Buen cepillo básico para vinilos y aguja. Son dos cepillos, uno muy suave y grande para los vinilos, y otro de pequeño tamaño para la aguja. El de vinilos, abarca casi por completo éstos, de manera que en una pasada se puede retirar el polvo y pelusas acumuladas en los discos.  Muy buen producto.</t>
  </si>
  <si>
    <t>Cómodo Evita que el compás se abra o cierre, lo único que no me gusta es que la punta no clava demasiado</t>
  </si>
  <si>
    <t>Los he regalado No me entiendan mal. Los compré para mi, y después he comprado dos más para regalarlos. La calidad es buena, y el pantalón cómodo... y a buen precio</t>
  </si>
  <si>
    <t>Lindo modelo La talla es como se espera, el modelo y la tela estan muy bien...pero me parece algo caro. En tiendas podria encontrar lo mismo por menos dinero, sin embargo le pongi 4 estrellas porque me ha gustado.</t>
  </si>
  <si>
    <t>Es sencillamente perfecta Buen acabado, buenos materiales. Muy contento con esta compra.</t>
  </si>
  <si>
    <t>Un clásico para nostálgicos super completo Tenía un Seiko digital modelo A158-5060 (de los buenos y caros), con muchas funciones que me duró muchísimos años. Buscando unas características y prestaciones similares, topé con este reloj digital: barato, probado, seguro y con una multitud de funciones que no tienen otros relojes digitales de mayor precio. El módulos 2515, según he podido leer en algunos sitios es de los más fiables y completos. Algo friki, si queréis, pero es lo que yo estaba buscando. Aun está en catálogo en la web de Casio dónde podéis encontrar toda la info en español. Para mi perfecto y lleno de funciones. Entre otros, algunos puntos fuertes son: el día de la semana en español; poder ver la hora en todo momento, aún utilizando el cronómetro; duración de la pila de 10 años; DataBank (pequeña agenda con 30 memorias); resistente al agua; muy poco peso (27 g). Una pequeña limitación: el calendario solo es hasta el 2039. Estéticamente es algo pequeño comparado con la moda de ahora. Lo recomiendo. Por este precio pocos tienen estas prestaciones.</t>
  </si>
  <si>
    <t>El envío un poco caótico. El producto muy bien Lo que se ve en las fotos</t>
  </si>
  <si>
    <t>Me ha gustado Me ha gustado</t>
  </si>
  <si>
    <t>José Manuel Pérez Guillén Muy profesional,lo que esperaba,con mucha potencia.DIseño ergonómico solo una pega: difícil de montar y desmontar.A base de hacerlo aprenderemos.gracias una vez mas</t>
  </si>
  <si>
    <t>Excelentes Muy cómodas.  Las uso casi a diario. Tendré  que comprar alguna parecida para poder combinar.</t>
  </si>
  <si>
    <t>Recomiendo, muy buena calidad He comprado desde que adquirí los primeros muchos mas. Me encanta el tamaño y lo que mas me gusta es la calidad y que no aprietan, cosa muy importante, que la mayoría de calcetines te dejan todo marcado en la pierna de lo que aprietan, estos no. Lo recomiendo.</t>
  </si>
  <si>
    <t>Funciona muy bien Llegó rapido, la uso para las papillas de mi bebe y mis batidos,  hace su función,  talvez no valla a durar tanto como otras mas caras,  pero la relacion calidad-precio es muy buena.</t>
  </si>
  <si>
    <t>Hermoso Muy bello el collar. No se ha oscurecido ni perdido color. No lo limpio seguido pero cuando lo hago queda como nuevo</t>
  </si>
  <si>
    <t>Además es súper cómodo de poner y súper confortable de llevar en el día a día. Lo recomiendo totalmente. En eligió del producto Fantástico producto, lo estoy usando ahora mismo y el calor analgésico que da es fantástico para cuando estás con molestias en las lumbares.</t>
  </si>
  <si>
    <t>Nike Muy bien</t>
  </si>
  <si>
    <t>Amplia Es facil de llebar, y me cabe de todo, el unico problema es que si metes demasiadas cosas va pesar bastante, pero no se puede uno quejar, no se puede mejorar en ese aspecto. Tiene un monton de bolsillos.</t>
  </si>
  <si>
    <t>Eco Solo usado la mitad de las planchas y el eco de mi pequeña oficina bajó inmediatamente!</t>
  </si>
  <si>
    <t>Los mejores que he probado Hace poco había comprado unos auriculares de este tipo, que originalmente eran para mí pero los acabé regalando. Para no tener los mismos decidí probar con otro modelo y la verdad... La diferencia es abismal. Estos son un poco más caros pero se nota la calidad en el sonido y la conectividad. El micrófono también funciona fenomenal y se puede usar perfectamente para llamadas. Sin duda, los mejores auriculares inalambricos que he usado hasta la fecha</t>
  </si>
  <si>
    <t>buen micro sin cables Suena con calidad media pero es estupendo para karaoke. El no tener cables hace que sea muy comodo de utilizar. No pesa mucho y es robusto. Muy contento.</t>
  </si>
  <si>
    <t>Muy elegante para una oficina. La compramos para la oficina y además de ser elegante y bonita funciona muy bien. Muy content@s con la compra.</t>
  </si>
  <si>
    <t>Rápido Me gusta el diseño y las rapidez, si que hubiera preferido que la tapa fuera de mayor diámetro. Pero por lo demás un fantástico hervidor, rápido, y sus paredes no queman aunque acabe de hervir el agua.</t>
  </si>
  <si>
    <t>Muy buenos Muy buenos</t>
  </si>
  <si>
    <t>Resulta un tanto pequeño Midiendo unos 37cm cada parte del brazo resulta un tanto pequeño, he de tenerlo sujeto a la parte frontal del escritorio pues su altura no daría para estar por encima de monitores de 24 pulgadas, dicho eso, asegurad bien que no gastáis más de 35cm de altura si pensáis ponerlo en dicha posición.</t>
  </si>
  <si>
    <t>Bonito collar El collar ha llegado muy tarde pero está bien y le ha gustado mucho a mi hija</t>
  </si>
  <si>
    <t>Tapon roto El producto bien, cumple su función pero el bote llegó con el tapon roto, de haber recibido un golpe y algo de líquido fuera</t>
  </si>
  <si>
    <t>La derecha es mas estrecha que la izquierda! Tienen ambas la talla 40.5, la izquierda esta bien y confortable, pero la derecha es mas estrecha y me hace daño al dedo pequeño y he descubrido que en la zona con el problema se nota que le falta un poco de material, y la izquierda tiene mas que la derecha si se puede ver en la foto. Es posible que no son verificadas o han sido rehusadas y me las enviaron a mi. Es que tengo mas de un mes y no puedo cambiarlas.</t>
  </si>
  <si>
    <t>Lo barato ....... sale caro compre 3 unidades de 64 gigas ...me deje guiar por el precio ( mal echo) , la marca ( en teoría conocida) y los comentarios( positivos).....resumen:  DEVOLUCIÓN.....no lo reconoce la mayoría de los dispositivos¡¡¡¡¡  me fallan los 3 por igual....ni formatean dolos¡¡¡¡  UN DESASTRE¡¡¡</t>
  </si>
  <si>
    <t>REGALO Y CONTENTO FUE UN REGALO Y ESTÁ MUY CONTENTO CON ÉL</t>
  </si>
  <si>
    <t>Increíbles Son los true wireless perfectos, no le doy 5 estrellas porque el microfono no funciona bien (la gente no te escucha) y cuando le escribes a sony te dicen que son microfonos optimizados para noise cancelling y por eso no captan bien el sonido que produces tu</t>
  </si>
  <si>
    <t>cumple las espectativas no estan mal por el precio que he pagado, son comodas y la suela es vibram. La calidad es inferior a otras Merrel que tengo y tambien el precio. Ahora lo que hay que ver es el resultado, si es tan bueno como las otras.</t>
  </si>
  <si>
    <t>Eastpak, sinónimo de garantía Discreta, resistente i sobre todo ¡útil! Un buen producto en relación a su calidad-precio La marca posee gran variedad de diseños para elegir. ¡Gracias!</t>
  </si>
  <si>
    <t>tacto bueno carga bien y estado perfecto, mejor de lo que esperaba, gracias</t>
  </si>
  <si>
    <t>Muy practica Estoy encantada. Muy cómoda de usar. La batería dura bastante y la Potencia de succión buena no te hace falta usar el turbo.</t>
  </si>
  <si>
    <t>comodos los usos en en el gym . Me gustan y son comodos. Ideal para ponertelos el dia de tu rutina de piernas, para ver como trabajan tus cuadriceps.Los volveria a comprar.</t>
  </si>
  <si>
    <t>Imprescindible para controlar lumbalgias y dolores musculares en general Según las estadísticas, las lumbalgias son uno de los problemas de salud que provocan más horas de baja laboral. Los que hemos sufrido de problemas de espalda/lumbalgias sabemos dos cosas: (1) lo invalidante que puede llegar si no se coge a tiempo, (2) lo bien que suele funcionar el calor seco.  Este invierno, en un episodio de lumbalgia, un fisio me puso un parche thermacare y me hablo del beneficio del calor de baja intensidad y larga duración que precisamente es su método de trabajo. La verdad es que me funcionó muy bien.  Thermacare son unos parches de tejido de algodon sin tejer, que en su interior tienen unas celdas blandas (al tacto parecen gominolas) con una composición peculiar, no tóxica, básicamente de hierro, agua y sal (de forma muy simplificada). Los parches vienen en bolsas individuales precintadas. Al abrirlas, entran en contacto con el aire, y el oxígeno produce la oxidación del hierro (acelerado con la sal). La oxidación produce calor, y esto calienta el parche de una forma autónoma durante varias horas. El calor producido es de sólo unos pocos grados superior a la temperatura del cuerpo. Suficiente para relajar la musculatura de la zona y mejorar el riego sanguineo, lo que tiene un efecto muy positivo en reducir las contracturas. El calor dura en total unas 8h, y otras horas más "de inercia". Durante ese tiempo se puede hacer vida normal (si lo permite el dolor), incluso no molesta para dormir.  La dosificación de relativamente baja temperatura, con larga duración es más beneficiosa que el calor más intenso que conseguimos con métodos "tradicionales" (manta eléctrica o bolsa de agua caliente), y la reducción paulatina de la temperatura evita la sensación de "contractura" cuando te quitas la manta eléctrica en plena crisis (para ir al baño -por ejemplo-).  Esta variante de los parches son de tamaño grande, aptos para la espalda, cadera... (zonas grandes).  Ahora mismo no los voy a usar (toco madera), pero son mi "fondo de botiquín" para cuando me haga falta.</t>
  </si>
  <si>
    <t>auricular ipad ya tengo auriculares!!!!! Son los originales, vienen con funda de plástico protectora para que nadie los abra. Son caros pero veremos la duración de los mismos.</t>
  </si>
  <si>
    <t>Ideales Lo máximo</t>
  </si>
  <si>
    <t>Buen producto Buena calidad precio . Cumplió las expectativas</t>
  </si>
  <si>
    <t>Estupenda oferta Es la cuarta que compro.  Esta la he comprado en pleno verano porque estaba en oferta y merecía la pena. Casi a mitad de precio de las anteriores. Se pone un rato antes de acostarse y tienes calentita la cama.</t>
  </si>
  <si>
    <t>La recomiendo Compre ste reloj para diario y para trabajar y me va muy bien ... Llevo mas de un mes con el y todo va genial</t>
  </si>
  <si>
    <t>Cumple lo que se espera Es lo mismo que podrías encontrar en Carrefour, Media Markt... pero a un precio rebajado. Tiene las mismas funcionalidades, instrucciones... todo igual. Incluso la caja en la que viene es la que se ve normalmente a la venta.</t>
  </si>
  <si>
    <t>Muy buenas zapatillas Tal y como esperaba, igual que en las fotos</t>
  </si>
  <si>
    <t>Calidad / precio excelente Muy buen material , bastante cómoda y espaciosa muy elegante le he obsequiado a mi marido le gusto mucho ! La recomiendo , los materiales de muy buena calidad ! Precio bien !</t>
  </si>
  <si>
    <t>Potente Tritura de forma magistral y rápida. Fácil de limpiar y muy pequeña en tamaño por lo que se guarda en cualquier lugar.</t>
  </si>
  <si>
    <t>Las clásicas zapatillas Me gustan estas zapatillas porque dan un toque moderno a la vez que retro a mi vestuario. Son muy cómodas. Leí las opiniones que aconsejaban pedir una talla menos de tu talla habitual, hice bien porque calzan grandes. El color rojo es muy bonito al natural. Como siempre, el servicio de Amazon muy rápido y eficaz.</t>
  </si>
  <si>
    <t>Buena Buena calidad precio</t>
  </si>
  <si>
    <t>Genial Es el segundo que compro me encanta saca toda la grasa</t>
  </si>
  <si>
    <t>Muy comoda El tejido se nota de calidad, y es muy cómoda. Las tallas se ajustan a la realidad.</t>
  </si>
  <si>
    <t>Gran calidad/precio Estos auriculares Sony tienen un diseño sobresaliente, una calidad notable y un sonido que no corresponde al precio, de verdad que, calidad-diseño-precio, es de lo mejorcito de Amazon. Completamente recomendables</t>
  </si>
  <si>
    <t>ESTUPENDO ARTICULO ELEGANTE Y DEPORTIVA ES GENIAL PARA EL DIA A DIA LA PIEL ES UNA PASADA ESTOY MUY CONTENTO. ME ENCANTA AMAZON PORQUE TIENE COSAS QUE NO LAS ENCUENTRAS EN NINGUN OTRO SITIO</t>
  </si>
  <si>
    <t>Vasos de plástico y no cristal La única pega que le veo a parte de la poca potencia es que los vasos son de plástico y ya podían haber sido de cristal</t>
  </si>
  <si>
    <t>Buena oferta Por el precio que tiene esta bandolera, no está mal. Es de lona de dureza media, forrada por dentro con tela. Tiene dos bolsillos exteriores y uno interior, con cremallera los tres; y otros dos bolsillos interiores más pequeños sin cremallera. Está bien cosida por todos lados, por lo cual parece resistente. Me llegó un poquito arrugada. Pero creo que esto quedará solucionado con el vapor fuerte de la plancha.</t>
  </si>
  <si>
    <t>La mitad de las conchas rotas Vino roto</t>
  </si>
  <si>
    <t>un desastre Lo siento, lo de 'un desastre' no va por el micro sino por los productos reacondicionados de Amazon. Lo compré reacondicionado porque la descripción del mismo decía litralmente: "Paquete dañado. El producto puedo presentar daños estéticos menores, pero funcionar correctamente." Ves eso y lo compras por 20 euros menos, carajo! Resulta que me llega el pedido y ¡¡falta el filtro antipop, el cable canon de 6m y la bolsa!!  Vino el paquete con la caja hecha pedazos, que encima no era la del Rode NT1A sino la del kit Rode SM6 (soporte y filtro antipop) Venían el micro y el soporte metidos en la caja, ya ensamblados y sin ninguna protección. Es decir, el micro montado en el soporte, todo metido tal cual en la caja de cartón sin porexpán, pompas ni nada!!  No entiendo cómo Amazon se deja tomar el pelo así con las devoluciones. Alguien devolvió el producto en pésimas condiciones y ellos lo aceptaron. Encima con una caja que no era. Señores, viendo esto me dan ganas de comprar algo de 1000 euros y devolver un lápiz!! Y vaya mi protesta absoluta contra la gente que hace esto con las devoluciones. Pues esa gentuza van a lograr que pongan controles exhaustivos que luego sufriremos todos: si no devuelves hasta el alambre de atar los cables, no te aceptarán la devolución!  Siendo yo Premium, esto a Amazon le supone un gasto de envío, una devolución y un reenvío del nuevo. Sinceramente no lo entiendo.  Cuando me llegue el NUEVO que ya he comprado, ya opinaré sobre el micro, pues cualquiera se fía de este o de otro reacondicionado... El micro suena estupendo, desde luego (no soy pro)  Siento poner la queja negativa por el producto, pero a ver si así Rode y otras marcas aprietan las tuercas a Amazon, que ganan millones con esto! También escribí mi queja para el vendedor (Amazon-reacondicionados), pero quiero que se lea aquí también, pues uno no suele leer la reputación de un vendedor. Menos si es Amazon-reacondicionados!!</t>
  </si>
  <si>
    <t>Calidad baja En la imagen parecen buenos, robustos y de calidad. Cuando los abres, en cambio, te encuentras unos cascos de plástico duro cualquiera que han ensamblado con un bonito diseño y la marca xiaomi. Calidad baja.</t>
  </si>
  <si>
    <t>Todo bien El pie es muy bueno y tiene varias posiciones para poner. El único inconveniente es que no te viene manual para saber donde poner las roscas y demás.</t>
  </si>
  <si>
    <t>Muy contento con la tostadora. Me costo mucho decidirme por la compra de este tostador, de momento estoy muy contento con él, funciona muy bien, tuesta por los dos lados y largo y ancho para que entren gran variedad de panes. Lo único que me hubiera gustado otro color pero no había, en el acero inox, se ven mucho las huellas.</t>
  </si>
  <si>
    <t>La pantalla Cumplió todas las expectativas, muy contento.</t>
  </si>
  <si>
    <t>Buen agarre, sonido y duracion de bateria &lt;div id="video-block-R3MIJLTV7I95XK"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id="23" preload="auto" src="https://images-eu.ssl-images-amazon.com/images/I/B1r9jJJxekS.mp4" style="position: absolute; left: 0px; top: 0px; overflow: hidden; height: 1px; width: 1px;"&gt;&lt;/video&gt;&lt;/div&gt;&lt;div id="airy-slate-preload" style="background-color: rgb(0, 0, 0); background-image: url(&amp;quot;https://images-eu.ssl-images-amazon.com/images/I/910VW1RaHlS.png&amp;quot;);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value="https://images-eu.ssl-images-amazon.com/images/I/B1r9jJJxekS.mp4" class="video-url"&gt;&lt;input type="hidden" name="" value="https://images-eu.ssl-images-amazon.com/images/I/910VW1RaHlS.png" class="video-slate-img-url"&gt;&amp;nbsp;Me han gustado bastante, pero lo que destacaria de lo mejorable seria que le faltan un par de botones para subir y bajar volumen, un indicador led de bateria en el estuche ( solo indica la carga) y que las patillas de la oreja fuesen algo menos rigidas, pero son puntualizaciones q buscan la perfeccion, para lo que lo uso (Trabajo) y lo que cuestan, estan muy bien.</t>
  </si>
  <si>
    <t>carles el producto es fiel a lo que yo queria, perfecto en su estado i realmente cumple con lo esperado, satisfecho i recomendable</t>
  </si>
  <si>
    <t>Funciona perfectamente y es sencillo de usar. La verdad es que lo compré porque vi una promoción, no sé si me costó como 14€ o así los dos y dije pues venga me los llevo, en realidad sólo quería uno pero por este precio dije venga, y nada más llegar lo probé y aún no lo he quitado, es maravilloso, es muy fácil de usar, lo guay es que tiene temporizador, que eso por ejemplo lo veo bien si te quieres ir a dormir, te lo dejas un par de horas y ya se apagará. Con poquitas gotas que eches ya huele de maravilla, la verdad que le doy un 10/10.</t>
  </si>
  <si>
    <t>perfecto muy contento aparte de practico es muy utiul y muy buena calidad nos ha gustado mucho y estamos contento con el</t>
  </si>
  <si>
    <t>buen sonido e insonorización Tengo unos auriculares superlux HD y pensaba que se escuchaban bien.tras mirar varios decidi comprar otros para aprovechar la tarjeta de sonido con amplificador. Me decidi por estos ATH-M50x y el cambio fue radical. Yo creo que son los mejores auriculares de gama media. Nada mas abrir la caja se ve que son de calidad. Se pliegan y giran los altavoces. Es muy util para guardarlos y super comodo una vez puestos. Tiene una almohadilla en la diadema tan comoda que no la notas. Las almohadillas son super comodas y te cubren toda la oreja.Son cerrados, por lo que no escuchas casi el ruido externo. El sonido es muy bueno y nitido en cualquier frecuencia que lo pongas. Tanto para musica como peliculas. Conectados a pc por una Asus Xonar con funcion 7.1, sencillamente incrible. Los bajos suenan hasta donde quieras configurarlos, y sin alterar el resto. Con música, las voces e instrumentos se diferencian bien y nitido. No me apetece quitarlos. De 10</t>
  </si>
  <si>
    <t>Alba Las zapatillas son tal y como las esperaba. Vienen en su caja con sus correspondientes pares de cordones y en el color adecuado. A la hora de probarlas me han resultado muy cómodas. Compra totalmente recomendable.</t>
  </si>
  <si>
    <t>Zap Son preciosas y muy cómodas</t>
  </si>
  <si>
    <t>Bandolera con varios compartimentos Me gusta el tamaño y el tejido impermeable del nylon pero las cebollas son de plástico espero que aguanten el peso de las cosas dentro tiene 1 compartimento tipo bolsillo abierto para móvil y fuera tiene varios uno trasero con cremallera y la parte frontal la solapa tiene otra cremallera y al levantarla esconde otro bolsillo con cremallera</t>
  </si>
  <si>
    <t>Compra perfecta. Mejor de lo que esperaba, me hizo recordar mis tiempos jóvenes. En cuanto me lo vio mi hija de 13 años, me lo quitó, me dijo que donde voy yo con algo tan moderno... jajjajajaj.</t>
  </si>
  <si>
    <t>Bonito y original Llegó más rápido que prevé el Amazon. Fue un regalo para mi sobrina de 10 años . No es mal el colgante por el precio que tiene . Aceptable</t>
  </si>
  <si>
    <t>Buena relación calidad-precio Estoy contenta con la compra del hervidor Koenig, es de buena calidad, y además es bonito. Volvería a comprarlo, gracias.</t>
  </si>
  <si>
    <t>Buena manta Es una manta muy larga, se calienta rápido y es ideal para estos dias que la cama esta fria. Se desconecta sola a las 2h.  Es lavable, se desconecta fácilmente y puedes ponerlo a la lavadora.</t>
  </si>
  <si>
    <t>perfecto para el trabajo Lo compre para trabajar y tener fecha y hora siempre a mano. Por ese precio cumple sobradamente aunque la esfera puede arañarse con facilidad. Para trabajar es perfecto y tiene un diseño agradable. Lo volvería a comprar sin dudar.</t>
  </si>
  <si>
    <t>Original Además de original cumple su función perfectamente, pero personalmente pereferiría que los agujeros fueran algo más pequeños. He comprado otro para regalar</t>
  </si>
  <si>
    <t>CHULOS LOS PENDIENTES SON MUY MONOS Y QUEDAN MUY BIEN PUESTOS. LO RECOMIENDO TANTO PARA NIÑAS COMO PARA MAYORES. TODO CORRECTO.</t>
  </si>
  <si>
    <t>Recomendables 100% Están geniales, tuve los JBL-E50BT, superiores y mucho más caros y me duraron dos meses, un auricular dejó de funcionar y la diadema rompió por donde se abre y cierra sin llevar golpe o mal trato.  Uso estos económicos para el gimnasio y estoy encantado. La batería es infinita, el sonido más que aceptable y la sujeción perfecta. Los recomiendo.</t>
  </si>
  <si>
    <t>Correcto. Pantalón de chándal básico, para el día a día a un precio muy correcto, tejido fino, hay que tener cuidado ya que se engancha fácilmente.</t>
  </si>
  <si>
    <t>La estoy usando a diario No se nota que la llevas puesta. Ha cumplido mis expectativas. Y sin problemas de entrega, llegó en la fecha prevista.</t>
  </si>
  <si>
    <t>Buen acabado y calidad Me ha gustado mucho el sistema de Ventosa ajustable y el acabado del producto, lo recomiendo  M</t>
  </si>
  <si>
    <t>Los uso quizás demasiado Tengo que aceptar que me encantan estos zapatos, la tela es super cómoda y no pesan nada. Muy fáciles de lavar y perfectos para el día a día.</t>
  </si>
  <si>
    <t>No es un buen masajeador. Pense que era mas comodo de utilizar. No es lo que esperaba. No es un buen masaje. Me he arrepentido de comprarlo.</t>
  </si>
  <si>
    <t>Azul muy claro Es azul muy chillón. Pensaba que era más oscuro. No aparecía en la.foto el tono de la correa. Por lo demás, bien</t>
  </si>
  <si>
    <t>Muy bonito y cómodo Cogí la talla habitual que yo uso en deporte que es la L y es un poco grande. Creo que con la mediana me hubiese bastado, así que coger una talla menos de la que tengáis en mente.</t>
  </si>
  <si>
    <t>Manchan Huelen bien pero manchan mucho.</t>
  </si>
  <si>
    <t>Mala No me ha gustado nada, aunque parece que tenga potencia mucha comida se queda colada en el espacio que hay debajo de las cuchillas sin triturar. No tiene la potencia que esperaba, cuando pongo el pan duro para hacer pan rallado parece que se sature totalmente... no me atrevido a usarla con hielo.</t>
  </si>
  <si>
    <t>Se a roto demasiado pronto Ya se ha roto me ha durado un año, la pedí porque tuve otra de esta marca y me duro 4años o más a salido mala malisima</t>
  </si>
  <si>
    <t>Good product with plenty of useful pockets This product arrived after a few days ...delivery a bit slow but the product is satisfactory with several useful pockets</t>
  </si>
  <si>
    <t>Sirve para el primer modelo Ambit Bien. Sirve para el Ambit (primer modelo) q es el mio. Viene con tornillos. Y un botecito de loctite sellador.</t>
  </si>
  <si>
    <t>Buena calidad precio Probado dos veces, y en principio bien. Buena potencia, y calidad de lis materiales</t>
  </si>
  <si>
    <t>No es muy rapida pero es ideal para el llavero. La memoria no es rapida (3-4 MBps en escritura). Una vez tengas eso claro, lo que vale la pena de esta memoria es el cuerpo metalico que te permite llevarla en el llavero sin miedo a que se rompa. Tengo otra igual unos 6 meses y salvo 4 arañazos de rozar con las llaves sigue como el primer dia. Para llevar esos documentos que siempre tienes que llevar encima es perfecta. Para copiar archivos grandes tipo pelis y demas no te la recomiendo salvo que te armes de paciencia.</t>
  </si>
  <si>
    <t>Un desajuste de tallaje inexplicable, no es que vengan pequeños, es que vienen varias tallas por debajo de lo esperado Por lo demás, diseño y calidad buenos, una piel suave al tacto y mejor aspecto. La comodidad, después de cambiar el tallaje, claro, lo mejor.</t>
  </si>
  <si>
    <t>perfectas, y bonitas algo duras los primeros días , después muy cómodas. al ser gore tex no necesitan grasa. en lluvia no las probé  pero panama jack en eso no defrauda. son bastante calientes , aunque pensé que serian  mas. tengo unas que compre en decatlon para la nieve por 50 euros y son mas calientes. pero es una bota perfecta para vestir. compra redonda y en el corte ingles están  a 189 euros</t>
  </si>
  <si>
    <t>Angel Luis Producto original tal cual en las fotos Ha venido en su caja original de adidas Todo correcto y ajusta perfectamente</t>
  </si>
  <si>
    <t>muy contento!!! Estoy muy contento con el reloj, me lo regalo mi novia y es de muy buena calidad. Lo uso todos los dias en el trabajo y recibe golpes y raspones con la pared y aun no tiene ni una sola marca, la hora se actualiza automáticamente sobre las 03:00h y es increible siempre lleva la hora exactamemte como el movil que se actualiza por internet.  Totalmente recomendable!</t>
  </si>
  <si>
    <t>Funciona perfectamente Funciona perfectamente, un poco caro</t>
  </si>
  <si>
    <t>Tinta de calidad La tinta es la de siempre, los productos de Pelikan siempre son buenos. Un frasco sirve para dos rellenos de la almohadilla y la duración es larga. La entrega superrápida en un día.</t>
  </si>
  <si>
    <t>CALIDAD A EXCELENTE PRECIO excelente producto, perfecto en acabados y muy buen precio</t>
  </si>
  <si>
    <t>Cumple con lo anunciado Cumple con lo anunciado, en cuanto a tamaño, color y  entrega del producto.</t>
  </si>
  <si>
    <t>Bonito y sencillo. Fue para un regalo y viene envuelto con su cajita típica y su bolsa para regalo de Tous. Muy bonito.</t>
  </si>
  <si>
    <t>Perfecto Mantiene el calor perfectamente. Este modelo es grueso pero muy cómodo. Lo utilizo enganchado a una chaqueta impermeable y se une como si fueran una sola. Pedir una talla menos</t>
  </si>
  <si>
    <t>Buena calidad Muy buenos productos, rápida llegada a casa.</t>
  </si>
  <si>
    <t>Está chula y son baratas Las uso para pasear y poco más. No las uso para hacer deporte. Pero son cómodas y baratas.</t>
  </si>
  <si>
    <t>Están bien A mi hijo han dejado de gustarle</t>
  </si>
  <si>
    <t>Mi reloj Lo que esperaba me gusto</t>
  </si>
  <si>
    <t>Lo que buscaba. Se ve buena calidad y tiene mucho espacio. Me ha gustado mucho</t>
  </si>
  <si>
    <t>una maravilla envio rapido zapatillas comodisimas</t>
  </si>
  <si>
    <t>Buena compra Después de un tiempo usándolas siguen cortando bien y siguen ajustadas. Son cómodas de utilizar. Las usamos en la cocina y las lavamos en el lavavajillas. Las recomiendo.</t>
  </si>
  <si>
    <t>Cumple con su función. Son baratos y su calidad no es mala. Cumple con su función. Son baratos y su calidad no es mala. Una buena solución.</t>
  </si>
  <si>
    <t>Muy util Sencillo, útil, eficaz para ordenar pendientes largos. Me ha solucionado el problema de los enredos! Un buen regalo para chicas!</t>
  </si>
  <si>
    <t>Las zapatillas más comodas de Vans (para mi) Tengo otros modelos de Vans (Old Skool, Era y alguna edición especial) y estas son de LEJOS las más cómodas que he tenido de la marca (anteriormente tenía otro modelo con la suela blanca). Totalmente recomendadas!</t>
  </si>
  <si>
    <t>Pantalon de punto El pantalón es muy calentito, y la calidad es buena, pero en una semana de uso, se empieza a dar desi y a encoger el largo de la pierna, por lo que queda pesquero, y muy bombacho... no se, no me había pasado nunca, no se a que se debe. Esa es mi opinión del producto. (no volvería a comprar, la verdad)</t>
  </si>
  <si>
    <t>Bonito diferente Es muy grande en la foto parece más pequeño pero a mi marido le gustó aunque esta acostumbrado a llevar más pequeños.</t>
  </si>
  <si>
    <t>Tapones no para tetina lenta de Medela Por lo que se refiere a la logística del pedido: perfecto. Respecto al producto, ya que son botes de Medela que podrían valer de biberón, los tapones deberían ser compatibles con la tetina de flujo lento ya que no lo son y no te da opción a utilizarlos con algo que no sea la tetina calma o el sacaleches.</t>
  </si>
  <si>
    <t>K Es mas grande de lo que esperaba, edta bien quitando el problema de la cremallera que se terminó estropeando una pena</t>
  </si>
  <si>
    <t>Basura nada mas intentar ponerlo en hora saltó un boton, el otro (compre dos) no hubo manera de ponerlo en hora</t>
  </si>
  <si>
    <t>Ligero, buen acabado, buena pantalla y con mucha autonomía Lo primero que me gustaría comentar es que si estás buscando un reloj con muchas funciones de smartphone, este no es tu reloj, pero es eso precisamente lo que yo estaba buscando: no tener un teléfono en el bolsillo y otro en la muñeca. Buscaba un reloj que lo pudiese usar para registrar actividades físicas, con un GPS rápido y un pulsómetro fiable, y que además lo pudiese llevar a diario para recibir notificaciones, contabilizar pasos, poner alarmas y poco más, y todo ello sin cambiar de reloj o llevar uno con aspecto muy deportivo.  LO MEJOR: - Es muy ligero y cómodo de llevar, no molesta ni para dormir - Buena construcción - La batería, muy buena autonomía, por ejemplo con medición de ritmo cardíaco contínua 24h y 3 salidas de 30-35 mins con GPS activado, me ha durado alrededor de una semana. Eso me garantiza poder salir a hacer senderismo y no quedarme sin batería, o salir de fin de semana sin estar pendiente de recargarlo antes de acabar el dia. - La pantalla se ve muy bien - Correas intercambiables de 22mm: La que veis en alguna foto es una Archer de silicona negra - Registra gran variedad de actividades físicas - Sumergible de verdad, no puedo decir como registra las brazadas, no lo he probado - Pulsómetro fiable,  lo he comparado con un medidor OMROM de brazo y da más o menos lo mismo - Incluye datos de presión atmosférica , brújula y altímetro  LO PEOR: - Notificaciones muy básicas. - Poca variedad de watchfaces, además de que no se pueden añadir más o sustituir los que lleva por otros - La App de Huawei donde se registra la actividad es completa pero no puede sincronizarse con Strava, Endomondo o Garmin, solo con la App de Google Fit - Un poco más de capacidad de RAM para almacenar audio y que se pudiese reproducir via auriculares BT, si fuese de Spotify mucho mejor</t>
  </si>
  <si>
    <t>Calentito Casi del todo contenta con el producto. Fácil de manejar, tiene las dos tomas y no tiene la tapadera que siempre acabo perdiendo. Perfecto cuando lo uso en el ordenador Samsung, sin embargo en el Mac se calienta mucho. La primera vez que lo usé me asustó cuando lo toqué. Luego es cuestión de acostumbrarse a la temperatura que llega a tomar. No creo que sea motivo de alarma, pero ahí lo dejo.</t>
  </si>
  <si>
    <t>Perfecto Va perfecto, tiene idioma en español. Se escucha perfectamente lo tengo conectado con el teléfono y el coche y no me ha dado ningún problema. Si tengo que ponerle algún pero es solo que cuando lo tengo configurado com un teléfono para poner otro tengo q borrar el primero. No me deja configurarlo con varios dispositivos a la vez.</t>
  </si>
  <si>
    <t>Buena compra si buscas un reloj de los ochenta Todo perfecto, lo único que no es resistente al agua, ni siquiera a salpicaduras. Por lo demás, excelente revival de los 80.</t>
  </si>
  <si>
    <t>Producto muy útil LO recibi en los plazos establecidos. Funciona perfectamente, la verdad que creia que se iba a escuchar peor cuando lo compre</t>
  </si>
  <si>
    <t>Acierto Fue para un regalo y encantó.</t>
  </si>
  <si>
    <t>Son muy cómodos. Uso un 44 me pedí un 46. PERFECTO EL DISEÑO NEGRO Y ROJO. Lo uso solo para la cinta de correr y son muy cómodos, tanto que me compraré  otros idénticos para la calle.</t>
  </si>
  <si>
    <t>👍 muy comoda</t>
  </si>
  <si>
    <t>Una idea genial Muy eficientes, una gran idea para que no se acumule cal y otras cosas en esa zona difícil de limpiar.</t>
  </si>
  <si>
    <t>Muy buena calidad precio. Todo perfecto. Gracias</t>
  </si>
  <si>
    <t>El sonido es claro Lo he probado y se oye bien, sin ruido. El cable es muy largo por lo que da mucha movilidad.</t>
  </si>
  <si>
    <t>Buen sonido y funcionan perfectamente Auriculares Bluetooth de calidad, funcionan perfectamente. El embalaje ya denota que es buen producto y está conseguido. Compuesto por la pareja de auriculares, su base / estación de carga, el cable de conexión vía USB y el manual de instrucciones en varios idiomas (incluye el idioma “español”, un detalle a tener en cuenta). Respecto al funcionamiento, son de muy fácil emparejamiento con el teléfono móvil (o tablet), muy intuitivo. Una vez conectados, de muy fácil manejo (órdenes básicas colgar / descolgar, canción hacia adelante / hacia atrás con una o dos pulsaciones. Un acierto el que se puedan independizar los 2 auriculares, pudiendo utilizar uno, el otro o ambos. Suenan muy, muy bien y la duración de la batería me ha sorprendido, la parte que se introduce en el oído es similar a los de Apple. Perfecto para utilizar en movimiento, en casa y en la oficina siempre llevo puesto uno como mínimo, si te llaman descuelgas con una sola pulsación y listo, sin sacar el móvil del bolsillo. 100% recomendable, relación calidad-precio genial.</t>
  </si>
  <si>
    <t>Batidora completa Es potente, fácil de montar y se ve de buena calidad, tiene 6 niveles de potencia pero permite niveles intermedios lo que me parece muy buena opción aunque  al mínimo ya te bate cualquier alimento y como encima tiene el modo turbo, me parece completa.  Por otro lado, la picadora tiene una sola cuchilla pero aún así pica la carne y la fruta congelada sin ningún problema y en muy poco tiempo. Algo que tambien me gusta es que la liquadora  tienen un medidor tanto en onzas como en mililitros. Tambien inlcuye espumadera y un cilindro.</t>
  </si>
  <si>
    <t>Me encanta Hace un año que la compré, la he usado diariamente, a veces más de una vez al día. Es bonita, tal cual las fotos, y pequeña, para una persona sola es estupenda. Era reticente a comprarla porque antes calentaba el agua en el microondas, pero realmente vale la pena, calienta el agua en menos de 1 minutos. Hace ruido cuando está calentando, como una olla de presión, pero no dura nada, porque es súper rápida, además aunque es ruidosa, no llega a ser escandalosa.</t>
  </si>
  <si>
    <t>No los cambio por otros Bueno,bonito, barato. Estoy super contenta con los cascos, no me esperaba para nada que por este precio fueran tan buenos, yo estaba acostumbrada a los típicos cascos gamer, pero quería calidad de audio y aproveche que se me estropearon para cambiar y pasarme a unos de estudio y así poder conectarlos a mi interfaz de audio; QUE ME TIENE ENAMORADA porque escucho mi voz sin necesidad de quitarme un auricular (que es lo que hacia siempre para poder escuchar mi voz) y ahora no me hace falta, es muy sutil y natural. Y el cable es larguísimo y se agradece (se puede estirar mucho gracias a ese espiral).  Recomiendo la compra 100%</t>
  </si>
  <si>
    <t>Un gran acierto Lo compre para mi mujer que tiene una contractura en la espalda. A ella le funciona muy bien, le alivia el dolor y le calma la espalda, además el efecto calorífico es un plus añadido. El temporizador automático que lleva le viene muy bien para saber el tiempo de masaje Ha sido una compra muy acertada, recomendable para aliviar dolores de contracturas</t>
  </si>
  <si>
    <t>Bonito regalo Tiene un bonito acabado y esta muy bien para regalar. El tamaño es para una muñeca de mujer q no sea muy grande aunque es elástica y se adapta sin problemas.</t>
  </si>
  <si>
    <t>EL DISEÑO ES MUY BONITO Y FUNCIONAL Lo mejor del micrófono, además de la calidad del audio que transmite, es el diseño, es muy bonito y con el soporte orientable le hace muy funcional pues se puede mover 360 grados prácticamente en cualquier dirección. Para usarlo solo tienes que conectarlo al usb del ordenador y seguir las instrucciones del manual, es muy sencillo, a mi me ha llevado un minuto. El micrófono incorpora botón de volumen y la calidad del audio que transmite es muy buena.</t>
  </si>
  <si>
    <t>adecuado a la expectativa un buen pantalon de chandal</t>
  </si>
  <si>
    <t>Contento con la compra Cumple bien su función, en la opción 1 que es la única para dormir se apaga a las 8h, y el resto calienta muy bien</t>
  </si>
  <si>
    <t>Una alfombrilla para el ratón decorativo Alfombrilla para ratón bastante amplía. Cabe un teclado, el ratón y aun tienes espacio para poner las gafas, bolis o lo que necesites.  Era exactamente lo que estaba buscando. Quería un tapete mono para la mesa porque es de madera natural y no quería que se estropease, pero a la vez quería que fuera algo que quedara mono y que fuera funcional.  Lo recomiendo. Seguramente compraré uno más para el otro ordenador</t>
  </si>
  <si>
    <t>Batidora multifuncional &lt;div id="video-block-R2O8RZY1RLI9KU" class="a-section a-spacing-small a-spacing-top-mini video-block"&gt;&lt;/div&gt;&lt;input type="hidden" name="" value="https://images-eu.ssl-images-amazon.com/images/I/A1F14FkeBSS.mp4" class="video-url"&gt;&lt;input type="hidden" name="" value="https://images-eu.ssl-images-amazon.com/images/I/81QGjz3u3QS.png" class="video-slate-img-url"&gt;&amp;nbsp;Soy adicta a los batidos y smothies y con esta batidora multifuncional tengo multitud de posibilidades. Lo primero es que ocupa poco espacio porque no tiene un tamaño perfecto lo que es ideal para tenerla encima del mármol de la cocina. Puedes utilizarla como batidora normal, como licuadora, picar y hasta moler café. Batidora de 220w. Con gran potencia. Me encanta porque te puedes hacer un smothie con la batidora y queda directamente en un vaso que puedes guardar en la nevera con su tapa y beberlo más tarde. Viene con la jarra mezcladora, 2 botellas, tapas, otro vaso más pequeño para moler, accesorio para licuar. La batidora tiene dos bases de cuchillas. Una cruzada para los batidos y otras planas para moler y triturar. Tiene dos velocidades para escoger. Muy contenta con la compra. Relación calidad - precio mas que buena.</t>
  </si>
  <si>
    <t>Funciona perfecto! Funciona perfecto!</t>
  </si>
  <si>
    <t>Correcto Manejable  y saca el polvo pero debe insistirse diversas veces.</t>
  </si>
  <si>
    <t>Correcta relación calidad / precio No son de una calidad extraordinaria, pero para el precio que tienen son recomendables (especialmente para hacer deporte)</t>
  </si>
  <si>
    <t>DECEPCIONANTE Viene sin adaptador a la corriente y sin mando a distancia. Yo lo necesitaba para una estancia grande y pensé que este estaría bien, pero es muy pequeño y tiene aspecto de ser bastante malo, no se corresponde con la foto. Gastaré algo más de dinero y compraré uno bueno. Decepcionante.</t>
  </si>
  <si>
    <t>Desgaste prematuro. Hemos comprado está licuadora hace 6 meses, y desde hace tres ,ltiene un ruido rarísimo. Los engranajes ni van bien y tienen un desgaste muy prematuro. Por el precio me esperaba un poco más de calidad. No la recomiendo en absoluto.</t>
  </si>
  <si>
    <t>Números más grandes que los típicos Casio Es un reloj digital sencillo, con las funciones de los típicos Casio, pero con los números algo más grandes. Lo recomiendo por relación calidad-precio y su durabilidad.</t>
  </si>
  <si>
    <t>Es muy bonito Se trata de un reloj precioso, con un aire Omega, pero muy asequible. Es un gran compra, la pila dura mucho y la correa tiene un aspecto robusto. Me encanta!</t>
  </si>
  <si>
    <t>Bueno Ideal para pilates</t>
  </si>
  <si>
    <t>Biberones para un largo tiempo Son faciles de agarrar, de transportar y como tienen tetinas intercambiables hay biberon para rato. Son muy faciles de limpiar</t>
  </si>
  <si>
    <t>Regular Regular</t>
  </si>
  <si>
    <t>Perfectas Muy bonitas y muy cómodas.</t>
  </si>
  <si>
    <t>Bonitas Solo puede decir que están muy bien Los numeros pedi el mismo que usa y le estaba grande por si sirve de referencia</t>
  </si>
  <si>
    <t>Jonathan Hola,recientemente he adquirido estos magníficos zapatos para trabajar (en cocina) y estoy súper satisfecho con ellos,son súper cómodos,los puedes lavar muy fácilmente y no desprenden ningún olor,antes,durante y después de su uso. Los recomiendo para gente que trabaja muchas horas de pie ya que son súper ligeros y se adaptan perfectamente al pie.En resumen un 10!Gracias Croks!</t>
  </si>
  <si>
    <t>Sudadera hombre Sudadera de hombre Adidas. Talla ajusta a la descricion. Bonita</t>
  </si>
  <si>
    <t>La rapidez Muy rápido y mantiene el calor</t>
  </si>
  <si>
    <t>Auriculares deportivos Perfectos, se ajustan muy bien a las orejas, buen sonido.</t>
  </si>
  <si>
    <t>Cumple perfectamente con su proposito Para la reposición de la correa original de un buen reloj de pulsera. No presento ningún tipo de problema, y el resultado final es totalmente satisfactorio. Gracias por el material complementario, que permite efectuar el montaje de forma muy fácil. Excelente presentación del material enviado.</t>
  </si>
  <si>
    <t>MUY CONTENTO Llego pronto el  producto, muy agradable al tacto, lo he lavado en varias ocasiones y se mantiene como el primer día, lo que indica que parece de buena calidad</t>
  </si>
  <si>
    <t>Chulos pero con las almohadillas estropeadas por el embalaje... Pues con el cuidado embalaje y la presentación tan chula es una pena que no vengan protegidas las almohadillas de viscoelástica. La caja más la funda hace que vaya todo comprimido y las almohadillas lleguen marcadas con el formato de la funda. Y de estar tanto tiempo así no creo que recuperen su ser. Me da rabia que uno de los alicientes por los que los compre no lo vaya a usar. Y por eso en general solo le doy 2 estrellas. El sonido no está mal y el control de volumen está bien.  Editado 23/10/19 Subo la valoración porque realmente el vendedor se preocupa por sus productos, y me han enviado unas almohadillas de repuesto sin ningún coste. Ademas creo que la idea sobre el embalaje para que el producto no venga dañado lo va a tener en consideración. Realmente los cascos los recomiendo, que el detalle de las almohadillas no os eche para atrás!!</t>
  </si>
  <si>
    <t>BATIDORA FACIL DE USAR Y POTENTE Me ha gustado su potencia y facilidad de uso. Calidad-precio immejorable. Su peso podria ser menor.</t>
  </si>
  <si>
    <t>Auriculares bluetooth buena calidad Unos auriculares excelentes en cuanto a la relación calidad-precio. Resultan bastante cómodos y se sujetan bien a la oreja, el sonido es muy bueno y la conectividad via bluetooth también. La caja para cargarlos es bastante elegante, teniendo indicacion de luces del nivel de carga del conjunto y de cada auricular en particular</t>
  </si>
  <si>
    <t>calidad de la camiseta nos ha encantado la camiseta. Muy buena calidad y diseño</t>
  </si>
  <si>
    <t>Todo perfecto reloj lo especificado y envio a tiempo Reloj segun lo que iba buscando, se ajusta perfectamente a la especificaciones y el envio justo a tiempo para el regalo.Un reloj para las salidas de senderismo. Realmente Perfecto!!!</t>
  </si>
  <si>
    <t>Encantado Muy contento, buena potencia, fácil manejo, encantado con ella.</t>
  </si>
  <si>
    <t>Estupendos Identicos a la foto. Lo único es que cuesta un poco ponerle la tuerca. Me han encantado. Están genial para el precio que tiene.</t>
  </si>
  <si>
    <t>Biem LO que queria</t>
  </si>
  <si>
    <t>Recomendable Material de calidad y envío perfecto es muy recomentable</t>
  </si>
  <si>
    <t>Bonitos y baratos Muy buena relación calidad precio</t>
  </si>
  <si>
    <t>No hay variación Variación muy poca. No creo que vuelva a pedir</t>
  </si>
  <si>
    <t>Correcto Es un brazo de soporte correcto. Se agarra bien a la mesa y no se suele mover mucho. Si el micrófono es pesado puede que tengas que apretar los tornillos para que quede mas fijo.</t>
  </si>
  <si>
    <t>Útil Buena máquina pero ruidosa</t>
  </si>
  <si>
    <t>Estafa tota reloj pirateado Mala calidad en 3 meses se cambio de color y no funciona bien las Abuja mal calibration</t>
  </si>
  <si>
    <t>Manchas en la goma Son cómodas y prácticas! Pero a los pocos días de ponermelas en la puntera le salió un color amarillento bajo la goma, y justo en las dos. Es algo raro.</t>
  </si>
  <si>
    <t>Funciona, vienen en formato Fat32, no problema se puden formatear en NTFS Los serigrafie y los estoy regalando...todo bien.</t>
  </si>
  <si>
    <t>Genial calidad-precio Es un álbum perfecto para llenarlo de fotografías o añadirle todo tipo de complementos como telas, papeles pintados y pegatinas. Yo particularmente lo compré para hacerle un detalle a unos amigos que se casaban. Lo llené con fotografías instantáneas hechas durante la boda con una Instax Mini, lo decoré con adhesivos vintage y comentarios de cada momento. Quedaron encantados de tener un recuerdo tan particular, al día siguiente de la ceremonia.</t>
  </si>
  <si>
    <t>Subjección sin aplastar Tiene buena sujeción no como algunos que parecen un adorno! Y no te aplasta los pechos. Yo me pedí mi misma talla y me va bien, un poquito justo pero creo que ese es el objetivo de un sujetador deportivo.</t>
  </si>
  <si>
    <t>Muy bien Muy contento, calidad-precio genial. A mi novia le han encantado.</t>
  </si>
  <si>
    <t>Cumplen su función Lógicamente no es un zapato de baile profesional, pero por el precio que tienen la calidad no está mal. Es el segundo par que compro y para dos horas de clases semanales aguantan perfectamente. No se ha desgastado la suela ni se ha estropeado el material. Son cómodos y la tira de goma no aprieta. Eso sí, recomiendo pedir una talla más.</t>
  </si>
  <si>
    <t>TAL COMO VES EN LA FOTO Super comodas, se las regalé a mi mejor amigo, y son estupendas, encantado está con sus vans y llegaron antes de tiempo</t>
  </si>
  <si>
    <t>Recomendadisimos !! &lt;div id="video-block-R2WZHFUMX51HO7" class="a-section a-spacing-small a-spacing-top-mini video-block"&gt;&lt;/div&gt;&lt;input type="hidden" name="" value="https://images-eu.ssl-images-amazon.com/images/I/B1-qYgF66LS.mp4" class="video-url"&gt;&lt;input type="hidden" name="" value="https://images-eu.ssl-images-amazon.com/images/I/91ugPx7595S.png" class="video-slate-img-url"&gt;&amp;nbsp;Estos cascos me encantan, con diferencia de los demás el micrófono capta muy bien la voz a la hora de hablar con ellos, si vas por la calle te quita todos los ruidos para que se escuche de forma clara la música, cómo digo en el vídeo se puede pausar o iniciar la música con un toque, subir o bajar el volumen con una presión prolongada, se puede usar un solo auricular, si algo se podría echar en falta es la opción de pasar la canción desde los cascos, aunque para mí están en mi top 3 de mejores auriculares bluetooth.</t>
  </si>
  <si>
    <t>Funciona incluso hasta con PDF Es exactamente lo que promete. Funciona hasta con pdf. Yo suelo llevar así las presentaciones para ahorrarme disgustos.</t>
  </si>
  <si>
    <t>Normal Buen producto</t>
  </si>
  <si>
    <t>Practica Viene preparada, lista para introducir los juegos y disfrutar.</t>
  </si>
  <si>
    <t>Compacta y muy útil Hacía tiempo que estaba buscando una mochilita pequeña de estas, porque odio andar cargando con bolsos en la mano. No llevo demasiadas cosas, por lo que no quería nada grande, y esto me ha venido al pelo. No soy muy alta, así que, para llevar al lado de bandolera a la altura de la cintura, me va bien. Es perfecto para meter la cartera, estuche de las gafas, etc. Tiene más compartimentos de los que necesito (tiene montones de ellos, como veréis en las imágenes), pero eso también me sirve para no tener todo mezclado, y así pongo cada cosa en su lugar. Llaves por un lado, cartera por otro, gafas en otro, movil... (que es básicamente para lo que lo uso). La tela me ha sorprendido, en la imagen no parece tan fuerte, pero es como tela vaquera, gordita y se ve duradera. Quizá lo más endeble es la correa, me parece un poco estrecha, pero al menos viene bien sujeta a los lados, por si se mete algo de peso (un cargador externo, por ejemplo, o incluso un disco duro externo -he metido ambas cosas-). Así que, en conjunto está todo muy bien.</t>
  </si>
  <si>
    <t>Confortáveis Perfeitas</t>
  </si>
  <si>
    <t>rápido Rápido, muy rápido. No es un SSD pero se nota muchísimo la diferencia con disco normal. Y 2 terabytes de espacio es perfecto para un portátil y así aumentar tanto espacio como velocidad de sistema con su cache de 8 gigas</t>
  </si>
  <si>
    <t>Portarollos todo en uno Muy buen producto, colocado con tiras adhesivas y queda perfecto.  El hueco del celo es un poco pequeño y solo caben los rollos a medio gastar, los de aluminio y transparente son grandes, sin problemas. Y cortan de lujo las cuchillas.</t>
  </si>
  <si>
    <t>Perfecto para las uni Lleno uno con folios y lo llevo a clases. Después en los demás clasificó los apuntes. Así voy sin mucho peso en el bolso y mis apuntes están bonitos y ordenados</t>
  </si>
  <si>
    <t>MÍNIMO ESFUERZO, MÁXIMO RENDIMIENTO Solo tienes que escoger el cepillo adecuado y junto con un buen producto limpiador, la tarea se realiza con facilidad y eficacia.</t>
  </si>
  <si>
    <t>Las descripción de las tallas Me ha gustado. Perfecto</t>
  </si>
  <si>
    <t>Muy versátiles Cascos que ofrecen muchas funciones por un precio muy bajo, no se les puede pedir más! Se conectan a través de bluetooth (lo suyo es conectarlo al móvil). También sintoniza radio, pero sin ver la emisora lo que lo hace un pelín complicado sintonizarlas.. Lo suyo es tener la APP de la radio que quieres sintonizar en el móvil y conectarlos a través de bluetooth. Además, ofrece la posibilidad de conectarlos al ordenador u otro dispositivo que no tenga bluetooth mediante un minijack y una ranura para una tarjeta microsd...más completo imposible. La batería dura unas 5-6 horas sin parar, así que si solo los usas para escuchar música en el metro, andando o corriendo, te dura varios días. Ocupan poco espacio porque se pueden plegar, así que están optimizados para guardarse en lugares pequeños. Son económicos, multifuncionales y cumplen con su función por un precio muy bajo, así que recomendables 100%.</t>
  </si>
  <si>
    <t>Una buenisima compra Fueron un regalo y la persona que lo recibió quedo super satisfecha. Buenisima compra de  las zapatillas. Recomendadas sin lugar a dudas.</t>
  </si>
  <si>
    <t>Buena calidad-precio Buena carpeta por su precio, las ilustraciones muy chulas y los materiales se ven duraderos. Volvería a comprarla.</t>
  </si>
  <si>
    <t>muy buen reloj es original de casio. siempre me han encantado esta marca.  y sigue sin defraudarme</t>
  </si>
  <si>
    <t>Avalorio mundo para pandora Perfecto para la pulsera.un poco más pequeño de lo que esperaba. Tal y como se describe. Viene con una bolsita para guardar.</t>
  </si>
  <si>
    <t>Todo bien Si lo que quieres es una tarjeta para un uso normal, sin meterle mucha caña, donde no te importa la velocidad y a buen precio, ésta es tu tarjeta. Garantía Kingston. Si lo que te interesa es usarla con archivos grandes mejor una tarjeta clase 10 que tampoco están mal de precio.  Ventajas: -Calidad -Precio -Garantía de la marca  Desventajas: -Velocidad (aunque depende del tamaño de los archivos, quizás no lo notes)</t>
  </si>
  <si>
    <t>Cumple su función a la perfección El sujeta libros es perfecto, lo he usado para manuales de 300 páginas y los aguanta a la perfección. También se puede modificar la inclinación, lo cual es un plus. Totalmente recomendable!</t>
  </si>
  <si>
    <t>Es una pena El palo se desprende con facilidad cuando se pasa de la posición recta a la inclinada. Por lo demás cumple su función y le daría una mayor valoración,pero con el precio que tiene y teniendo en cuenta la garantía que te dá una marca conocida como es Vileda mi recomendación es negativa y no la recomiendo.Una marca como es ésta tiene que cuidar mucho las calidades</t>
  </si>
  <si>
    <t>bien La talla acertada (pedi la M), suelo gastar la S pero pedi la M y acerté. Por poner un pero, pense que el material por fuera es como lana pero no es así. De todos modos cumple el cometido que es que fuese calentita y como por dentro va forrada lo es.</t>
  </si>
  <si>
    <t>MUY MALO , ME QUEDE MUY DESILUSIONADA VILEDA ES LO MAS PARA MI EN MI CASA , PERO ESTA MOPA DEJA MUCHO QUE DESEAR, PRIMERO DEJA FATAL EL SUELO MUY MANCHADO, SEGUNDO ES MUY INCOMODA PARA ESCURRIRLA, Y VA DEJANDO RAYAS , EN FIN QUE QUISE PROBARLA Y ME ARREPIENTO MUCHO NO PUEDO DEVOLVERLA PORQUE YA LA USE UNA VEZ Y TIRE LA CAJA, PERO NO LA RECOMIENDO, NO HAY COMO LA MOPA DE SISTEMA GIRATORIO ESE SI QUE ES UN BUEN PRODUCTO EL FALLO ES QUE EL CUBO AL AÑO Y POCO SE ROMPE SU SISTEMA DE PEDAL ME PASO YA DOS VECES CON EL MISMO PROBLEMA.</t>
  </si>
  <si>
    <t>Faral Nada recomendable. Se parte al sacarlo y hace un ruido tremendo. No me hubiera imaginado que un celo fuera tan malo.</t>
  </si>
  <si>
    <t>Me a durado un mes Hola la verdad k me a durado un mes</t>
  </si>
  <si>
    <t>Bien Muy bien pero pensaba que era más ajustada, un poco suelta.</t>
  </si>
  <si>
    <t>Contenta Para el precio que tiene está muy bien Deja bastante limpias las cacerolas y sartenes La verdad que bastante contenta</t>
  </si>
  <si>
    <t>Comodidad a buen precio Instalación de altavoces</t>
  </si>
  <si>
    <t>todo perfecto Lo utilizo habitualmente porque es lo mejor que he encontrado para mis pies</t>
  </si>
  <si>
    <t>Aconsejable. Es perfecta y a muy buen precio. Se desmonta la parte de abajo para su mejor limpieza. Solo un pero. Al estar más de 10 minutos continuados, se calienta un poco.</t>
  </si>
  <si>
    <t>Recomendable Buen material. Para su precio esta bien.</t>
  </si>
  <si>
    <t>Encantada Ya lo he usado varias veces y ayuda muchísimo a descargar los músculos de cuello y espalda.</t>
  </si>
  <si>
    <t>Pega muy bien Pega muy bien. Me esperaba una barra de pegamento normal, pero la verdad es que tiene una calidad que me ha sorprendido muy gratamente. Volveremos a comprarlas seguro</t>
  </si>
  <si>
    <t>APUESTA POR LA RELAJACIÓN El reloj nos ha gustado mucho. Es muy fácil de manejar. Solo le pondría dos pegas: que el despertar con luz, en lugar de 30 minutos antes, fuera en rangos inferiores, por ejemplo de 10 minutos antes; el otro detalle, es programarlos de lunes a viernes. Salvo esos dos detalles, el reloj es un gustazo.</t>
  </si>
  <si>
    <t>No es compatible con iPhone Bueno, calidad precio es bueno. No compatible con iPhone. Pequeño, ligero</t>
  </si>
  <si>
    <t>Genial Es justo lo que andaba buscando. Funciona perfectamente, muy práctico y funcional. Buena calidad, buena capacidad de almacenamiento, buena velocidad de transferencia de archivos y buen precio. Está genial.</t>
  </si>
  <si>
    <t>Lo recomiendo. Ya conocia el producto, en cuanto a la entrega del pedido, justo a tiempo!</t>
  </si>
  <si>
    <t>El mejor cable alargador TRRS Cuando me surgió la necesidad de alargar el micrófono SmartLav Plus que tengo, no me lo pensé dos veces, me comrpé este alargador porque es el mejor. Tengo todos los cables y adaptadores de esta marca y no los cambiaría por nada, ya que tienen una calidad que muy pocos cables pueden dar. 10/10</t>
  </si>
  <si>
    <t>Satisfecha Tengo una lavadora Bosch, es bastante ancha, ... Le queda como un guante. Buena calidad</t>
  </si>
  <si>
    <t>A la carrera. Preparados, listos, ya… Estoy súper-sorprendido de la calidad de estos cacharritos. Sólidos, con una buena batería y cómodos, muy cómodos. Los enganches en las orejas son para mí imprescindibles para esta cuestión, ya que mantienen los aparatos fijos en posición. Su sonido es óptimo y la conectividad eficaz y rápida, sin retardos, ni asincronías. Mola!!!</t>
  </si>
  <si>
    <t>Excepcional En mi opinion personal estos cascos tienen una calidad extraordinaria. Hay que tener en cuenta que no los uso para estudio ni para temas profesionales. La calidad de sonido que tienen es alucinante y los matices que se escuchan... No se como explicarlo... Es como si anteriormente con los otros cascos me estubiera perdiendo un 20% del total de la musica.</t>
  </si>
  <si>
    <t>Un buen stand a un gran precio La verdad es que estoy encantado con el stand, el brazo es bastante grande, así que si piensas usarlo en un lugar con poco espacio, deberías tener en cuenta las medidas. Me anime a comprarlo a pesar de que no había apenas referencias, solo encontré un video en youtube y me pareció lo suficientemente bueno como para arriesgarse, y la verdad que ha merecido la pena.  Se le ve robusto y estable, yo lo uso principalmente con un micrófono condensador con pop (Rode nt1) en mi home studio, la duda que tenia era si iba a poder aguantar bien el peso, pues he visto que algunos stands baratos no consiguen mantenerse fijo mucho tiempo cuando el brazo esta completamente extendido. Después de haberlo probado varios días no he tenido ningún problema, es bastante solido y aguanta el peso sin problemas, lo he dejado incluso varios días con el micrófono colocado para ver si cedía, y no lo ha hecho se quedo tal como lo dejé.  Asi que en mi opinion merece una buena puntuación, la relación calidad / precio es muy buena.</t>
  </si>
  <si>
    <t>Que es, transpirable Son unos zapatos muy cómodos y anatomicis</t>
  </si>
  <si>
    <t>Ligero y muy completo Es mucho más que un puntero láser. Uso a menudo el PowerPoint para presentaciones a mis trabajadores, usando este puntero puedo darle otra dinámica y moverme por la sala mientras explico las diapositivas. Puedes incluso subir el volumen de los vídeos dentro del PowerPoint. Súper ligero y muy cómodo de usar. Otra curiosidad es que el puntero alcanza una distancia enorme, unos 300 m fácilmente.</t>
  </si>
  <si>
    <t>Original Cumple totalmente con las expectativas, super contento con la compra!! Original 100x100</t>
  </si>
  <si>
    <t>Contenta Buena calidad</t>
  </si>
  <si>
    <t>Genial. Sencillamente genial!! Es pequeño, compacto, ergonómico y con un tacto increíble. El conector usb va incorporado en el compartimento de de la pila, lo cual se agradece para tenerlo siempre a mano y no perderlo. Viene en una cajita sencilla pero muy bien presentado. Lo recomiendo encarecidamente.</t>
  </si>
  <si>
    <t>Pizarra, imanes y rotuladores. Bien embalada. Llego bien, esta bien embalada, sin daños y cumple con sus funciones, el kit es muy completo, rotuladores, borrador e imanes.</t>
  </si>
  <si>
    <t>Hervidor bonito pero defectuoso. El hervidor es muy bonito estéticamente, compacto y útil para una sola persona. Pero la decepción ha sido al nada más abrirlo ver que la luz led de detrás no se enciende. Ni roja, ni verde. Nada. Creo que antes de enviar el producto deberían mirar que el producto esté en perfectas condiciones porque sino es un ajetreo todo el rollo de tenerlo que volver a empacar, ir a correos para devolverlo y pedir otro. Hace de la experiencia algo desagradable y pesada.</t>
  </si>
  <si>
    <t>Muy simple No tiene tapa de atras</t>
  </si>
  <si>
    <t>Imprescindible si compras el Smartlav+. Si queréis dar un uso correcto del Smartlav+, lovais a necesitar porque si no, a la mínima que os alejéis del móvil o del dispositivo al cual os vais a conectar no os dará el cable.  Se ve muy fino pero en teoría de gran calidad (cuidado con gatos y sillas que puedan romperlo).  El inconveniente es que no venga incluido de base con el Smartlav+ y el precio desorbitado. Os tocará pasar por aro.</t>
  </si>
  <si>
    <t>Pasable Pasable</t>
  </si>
  <si>
    <t>Muy mala calidad Rota ya, no me ha salido buena, puesta dos días literalmente y no consecutivos . Quitándomela para dormir y para ducharme</t>
  </si>
  <si>
    <t>Pica potencia Poca potencia</t>
  </si>
  <si>
    <t>Muy cómodo Se adapta muy bien al cuerpo. Cumple mis expectativas.</t>
  </si>
  <si>
    <t>Colgante bonito Bonito y ligero . Me gusta mucho el diseño</t>
  </si>
  <si>
    <t>Cómoda y confortable Muy práctica. Un poco pequeña para personas grandes,pero muy útil para cualquier zona cervical....</t>
  </si>
  <si>
    <t>Bonito bolso Bueno y bonito bolso.  Muy útil.  Es igual a las fotos. Se lo regalé a mi padre y está encantado.</t>
  </si>
  <si>
    <t>Interesante Tal como se describe</t>
  </si>
  <si>
    <t>Rápido y furioso Lo más rápido del Oeste, encender el pc en 2 segundos es una maravilla</t>
  </si>
  <si>
    <t>ESTA MARCA ES LA MEJOR PARA PECHOS GRANDES LA PILLE A PRECIO REBAJADO...UNOS 20€</t>
  </si>
  <si>
    <t>Calidad Me gusto bastante. Gracias</t>
  </si>
  <si>
    <t>EXTRAORDINARIA COMPRA. ES FANTÁSTICO, JUSTO LO QUE BUSCABA  Y AL MEJOR PRECIO. SOY MUY AMANTE DE LOS RELOJES Y ESTE ME LO QUITO MUY POCO. ES MUY, MUY BONITO.</t>
  </si>
  <si>
    <t>Consumidora habitual de este producto Lo compré para iluminar e hidratar mi pelo y ya he extendido su uso a la cara. Creo que suaviza las pequeñas arrugas gesticulares. Mi experiencia con los aceites de Argán se limita a dos marcas y me quedo con esta: no huele y es económica!</t>
  </si>
  <si>
    <t>DoGeeK Son muy cómodas y para ahora que aun hace calor van muy bien. Son tal cual esperaba y idénticas a la fotos.</t>
  </si>
  <si>
    <t>Una maravilla de portabilidad &lt;div id="video-block-R23YFFMSASY512" class="a-section a-spacing-small a-spacing-top-mini video-block"&gt;&lt;/div&gt;&lt;input type="hidden" name="" value="https://images-eu.ssl-images-amazon.com/images/I/B1zC6KM-n8S.mp4" class="video-url"&gt;&lt;input type="hidden" name="" value="https://images-eu.ssl-images-amazon.com/images/I/514kv7tODUS.png" class="video-slate-img-url"&gt;&amp;nbsp;Como fotógrafo profesional, me gusta poder trabajar en cualquier lugar y situación, sea con sobremesa y con portátil. Hoy en día como la conexión de un disco SSD por USB 3.1 es igual de rápida que SATA ya que la mayoría de los SSD tienen la limitación en lectura y escritura de 500 MB/s, lo tuve claro. En vez de usar un disco interno, lo voy a tener externo porque la velocidad prácticamente no va a variar.  El disco en si es una pasada, super pequeño, con buen diseño, con tacto de goma en laterales y base, y plástico duro en la parte superior. También tiene una mueca para enganchar algún tipo de correa.  Su conexión es USB-C y luego incluye un cable que conecta también a USB-C o le podemos poner el adaptador a USB3.1 que también se incluye.  No pesa nada, lo podemos llevar en cualquier bolsillo de un pantalón vaquero y la velocidad que he conseguido en las pruebas, es la misma que el SSD conectado a SATA en mi torre.  Ahora ya puedo trabajar en cualquier lugar, llevando mi trabajo actualizado y sin tener que preocuparme de sincronizar los datos en otros dispositivos. Y la velocidad a la que se transfieren las fotografías y se mueve Lightroom entre bibliotecas de miles de fotos, no hay color con respecto a un disco mecánico.  Trabajo con más de 200.000 fotos al año, usar un SSD me parece primordial.  BENCHMARK (1 GB):  LECTURA: 516 MB/s ESCRITURA: 420 MB/s TIEMPO ACCESO: 0,100 ms Lectura y 0,106 Escritura</t>
  </si>
  <si>
    <t>Les gustó. No eran mí eran para mí sobrino le gustaron</t>
  </si>
  <si>
    <t>Pega muy bien La utilice para una luces led con botones pegadas en un armario muy oscuro y enorme. Pega muy bien y ya van varios meses sin que se despegue ninguna de las luces. He pegado 6 y funciona como debe ser.</t>
  </si>
  <si>
    <t>Buenisimos Calidad, comodidad,elegancia, un poco de modernidad,facil de limpiar,durabilidad asegurada, buen precio. Usables sin molestias desde el 1r minuto. Os los recomiendo.</t>
  </si>
  <si>
    <t>Increibles auriculares Los auriculares llegaron muy rápido. Cuando los probé nada más llegar me sorprendió la rapidez de uso y la calidad del audio. Cuando los enciendes tienen una función de auto emparejamiento entre los dos auriculares , esto es por si solo quieres utilizar uno de ellos. Los emparejé con el mobil y el sonido me pareció realmente bueno. No se si será por que los auriculares entran perfectamente en la oreja  y se encajan de tal manera que bloquea casi todo el sonido exterior y reproduce un sonido claro y limpio con unos bajos aceptables. Lo que más me gustó fue la manera de controlar tactilmente el volumen las canciones , muy útil para cuando haces deporte. La batería no la he probado a gastar la del todo , pero los he usado para ir a correr una hora y media hora de estiramientos y han aguantado perfectamente. He de decir que son los mejores k he probado que no sean de diadema...Ya k encajan tan bien que no se caen y además son resistentes al sudor. Luego la caja cargador que traen es una pasada...trae una batería de 3000 mah muy útil para poder llevárselos a cualquier sitio. El alcance del Bluetooth es bueno . En mi casa a uno a 8 9 metros funcionan perfectos sin cortes. Y la función de auto apagado también me gustado. En definitiva todo un acierto. Recomendados</t>
  </si>
  <si>
    <t>muy comodos muy buenos</t>
  </si>
  <si>
    <t>Buen producto a un buen precio Igual a la original</t>
  </si>
  <si>
    <t>Es Adidas Muy buena oportunidad, la relación calidad precio ha estado bien, recomendable</t>
  </si>
  <si>
    <t>Muy buena calidad!! Necesitaba una manta eléctrica para calentar una cama matrimonial y la verdad que con esta acerté por completo. Por sus medidas 130x180, es ideal para una cama doble, el tejido es muy agradable al tacto y muy calentito. Tiene dos caras, una clara y otra oscura... y al poderse quitar el cable se puede lavar sin problemas en la lavadora y se coloca más fácilmente en la cama ya que no te molesta el cable, una vez bien colocada se enchufa y lista para funcionar. Lo que más me gusta es que a las 3 horas se apaga ella sola y así no me preocupa si nos quedamos dormidos con ella encendida. Tiene 6 niveles de calentamiento para elegir según el frío que haga o el calor que quieras. De momento nada negativo que reseñar. Igual con el tiempo me compro otra, ya que también me parece ideal por su tacto aterciopelado para estar calentitos en el sofá.</t>
  </si>
  <si>
    <t>Buen producto Buena chaqueta. Tejido excelente.</t>
  </si>
  <si>
    <t>Buen teclado!! Si necesitas un teclado midi para comenzar, sin duda este es tu teclado. Sin embargo en la descripción pone que hay una promoción que incluye una serie de Plugins de los cuales Xpand!2 no aparece a la hora de registrar el teclado en la página de M-Audio, deberian arreglarlo. Por lo demás todo correcto.</t>
  </si>
  <si>
    <t>Bien Esta bastante bien por el precio</t>
  </si>
  <si>
    <t>Sergio El sistema que tiene para aguantarse en la superficie no vale para nada.  Tras dos o tres minutos aunque parece que no se moverá...  Siempre me lo encuentro caído al rato.  Lo ponga yo o el carpintero de mi primo. La verdad que muy decepcionado tener que dejarlo en el suelo como lo hacia con el anterior.</t>
  </si>
  <si>
    <t>Desilusion Poca vida inalámbrica, al de un a lo tengo que enchufar a la red eléctrica, cintinuamente sino no funciona.</t>
  </si>
  <si>
    <t>Falta de calor Siempre he tenido esterillas daga, por eso compre otra de la misma marca,pero esta vez me han decepcionado,no calienta ni una tercera parte de lo que siempre habian calentado</t>
  </si>
  <si>
    <t>Horrible No tiene nada que ver con lo que se ve. Es de algodón. No me ha gustado nada. Además la talla es muy pequeña</t>
  </si>
  <si>
    <t>Versátil y útil Hace su trabajo correctamente. Un plis poder utilizar ambos puertos (USB-A y USB-C). La velocidad de subida no es ninguna maravilla.</t>
  </si>
  <si>
    <t>Buena presentacion producto de calidad Muy bien embalada</t>
  </si>
  <si>
    <t>BUEN PRODUCTO Me ha parecido de buena calidad. Lo he usado para varios rasgados en un barbour. Parece muy resistente y pega perfecto. Me ha parecido un poco pequeño pero me ha dado lo suficiente.</t>
  </si>
  <si>
    <t>Cumple con lo esperado Funciona muy bien,pesa muy poco y de momento mantiene su color. El silbido no es muy alto pero se escucha perfectamente</t>
  </si>
  <si>
    <t>Aspecto de calidad Tiene buen aspecto de calidad, pero me lo imaginaba con la esfera mas grande.</t>
  </si>
  <si>
    <t>Rapidez y producto como deseaba Me gustado todo</t>
  </si>
  <si>
    <t>Altas prestaciones a tamaño reducido Gracias a la gran capacidad así como a su reducido tamaño resulta ideal para llevar música en el coche. Las copias son realmentes rápidas gracias a que cumple con el standar USB 3.1</t>
  </si>
  <si>
    <t>Zapatillas El producto es tal cual se anuncia. Tallas correctas. Son cómodas y muy cálidas. Estamos encantados con la compra.</t>
  </si>
  <si>
    <t>Pegan bien y se puede escribir en ellas Si lo que necesitas es unos marcadores que sean duraderos es una buena opción ya que son de plástico y es mucho más dificil arrugarlos o doblarlos que los de papel. Además pegan muy bien tanto la primera vez como si después quieres cambiarlos de sitio. El hecho de que parte de su cuerpo sea transparente permite que no tapes texto. Otra características que buscaba y que cumplen a la perfección es que se puede escribir sobre ellos sin problemas.  Si realmente se quiere unos marcadores buenos es una opción a tener en cuenta por su calidad y por su precio.</t>
  </si>
  <si>
    <t>Fenomenal! Funciona perfectamente. Es muy elegante y facíl a mantener limpio. No se produce mucho ruido y los tamaños son perfectos para una cocina grande o pequeña.</t>
  </si>
  <si>
    <t>Buena calidad Los auriculares vienen en una caja muy bonita y perfectamente protegidos, además llegaron enseguida y se oyen muy bien, los uso para hacer deporte</t>
  </si>
  <si>
    <t>Muy buen reloj Fantastico reloj con una calidad precio sobresaliente. Muy ligero, buen aspecto, solar con indicación de reserva de carga y con la garantía de que es un casio.</t>
  </si>
  <si>
    <t>Pequeña y compacta Práctico y útil para quien no quiera cartera</t>
  </si>
  <si>
    <t>Contentísima Además de cumplir su función, ser adherentes, a mí me parecen muy bonitos y cómodos, tamaño perfecto, y eso que tengo un pie grande.</t>
  </si>
  <si>
    <t>Como zapatillas de andar por casa Soy fanático de Merrel por calidad de materiales, comodidad y durabilidad, y éste no es una excepción. Como siempre, hay que pedir un número más porque da poca talla.</t>
  </si>
  <si>
    <t>Perfecto Precio y calidad</t>
  </si>
  <si>
    <t>Calidad muy buena Para ser un artículo de bajo precio la calidad de terminación es excelente. El exterior es parecido a la piel y da una sensación muy buena al tacto.</t>
  </si>
  <si>
    <t>Son muy bonitos y gran calidad Son perfecto me encanta y ultra comodos</t>
  </si>
  <si>
    <t>Skercher go Walk 3 Ha sido un regalo muy afortunado, son cómodas, bonitas, una calzado y una marca que nunca falla...aconsejo su compra sinceramente</t>
  </si>
  <si>
    <t>cumple su proposito su tamaño es pequeño llevo un mes utilizándola y esta muy bien</t>
  </si>
  <si>
    <t>Buena experiencia de compra Impermeables, cómodos, de fácil manejo.  Relación calidad precio muy buena, garantía por parte del vendedor.  Escucho todo tipo de audios, música y libros y la verdad es que tienen muy buena calidad de sonido.  Se sincronizan con cualquier teléfono y sirven para llamar como micrófono también.  Son de mucha utilidad ya que permiten ir hablando sin tener el teléfono pegado a la oreja.  La batería me ha sorprendido, duran más de 4h sin cargar y más de 12 con la caja de carga, me encanta esto!!</t>
  </si>
  <si>
    <t>Tienen un buen dise?o, buenos acabado. Tienen un buen dise?o, buenos acabado. La autonomía cumple sobradamente teniendo en cuenta su reducido tama?o y que no llevan ningun tipo de cableado. La calidad del sonido es buena, con un volumen que al maximo se escucha bien no distorsiona. Al ser in ear aislan bien del ruido.La conectividad es buena, facil de enlazar y no se me han desconectado en los dias que los llevo probando.La caja donde vienen tiene la funciona de transporte y de base de carga, con una bateria incluida que nos permite cargarlos cuando estamos en el exterior.</t>
  </si>
  <si>
    <t>Puma El me quedo perfecto tal y cual.</t>
  </si>
  <si>
    <t>Maravillada con mi kettle Me decidi a comprar una kettle por mi gran afición al te, he tenido varias antes y esta es sin duda la mejor. Yo y mis compañeros de piso estamos encantados, ya no solo para el te sino que tambien para cocinar es mil veces mas rapido al calentar con ella. Ademas con su temporizador y su luz te indica cuando el agua esta en su punto. Muy recomendable.</t>
  </si>
  <si>
    <t>se descosen las asas es bonito, de tamaño un poco pequeño para mi gusto pero el problema principal es que se ha descosido la cinta bandolera por los dos lados del bolso.</t>
  </si>
  <si>
    <t>Normal, no es un Tissot, es Casio :-) El reloj es normalito, pero da el pego, lo que no da el pego es que  viene en una caja de carton nada original si lo quieres regalar. Si solo fuese por la caja, no pasaba nada pero lo que me molesto es que venia en funcionamiento, algo tan básico que hasta los relojes chinos de 2 euros no te pasa. Le pondria 2 estrellas por que no es mi estilo, pero como no lo voy a usar yo, lo dejo  en tres.  Saludos By Flype</t>
  </si>
  <si>
    <t>Perfecto Muy bueno y con rebaja más aun</t>
  </si>
  <si>
    <t>No me gusta No me ha gustado, lo he usado para limpiar sartenes y no me gusta como Limpia</t>
  </si>
  <si>
    <t>Nada satisfecha No es lo que describe un engaño son de tela en la descripción pone piel no es lo que esperaba</t>
  </si>
  <si>
    <t>Cumple con lo esperado Muy buena terminación y calidad de producto.</t>
  </si>
  <si>
    <t>Casiono defrauda ni en un articulo barato Atiende mi necesidad con un buen producto a un precio facilmente amortizable</t>
  </si>
  <si>
    <t>Sudadera de la calidad de la marca Sudadera de calidad de Jack Jones Core, de algogón y polyester. Ha sido como comprarla en la tienda pero sin moverme de casa y más barata, sin necesidad de esperar colas en las tiendas. La talla se corresponde perfectamente con otros modelos de esta marca. Está perfecta sin ningún problema, excepto algún hilo suelto que he cortado y ya está.</t>
  </si>
  <si>
    <t>Perfecto Buen pantalón, muy cómodo. justo lo que quería.  La talla es la que promete ni mas ni menos.Seguramente compre otra unidad pero en diferente color.</t>
  </si>
  <si>
    <t>Buena compra. Calidad precio, muy bueno.</t>
  </si>
  <si>
    <t>Buena Me gusta el estilo,no me gusta que se raya fácilmente</t>
  </si>
  <si>
    <t>Calcetines HEAD Son perfectos en tacto, transpirables , una maravilla, los mejores que he tenido, muy recomendables, desde luego los volveré a comprar.</t>
  </si>
  <si>
    <t>Útil y divertido Genial para niños de diferentes edades, se entretienen coloreándolo y luego es útil para guardar todo tipo de juguetes o pinturas. Original y útil para regalar</t>
  </si>
  <si>
    <t>Muy rápido El diseño es muy bueno porque permite esconder el conector USB aunque puede quedarse un poco atascado a veces. Lo protege de golpes pero no lo protege del polvo (está abierto).  Al ser 3.0 se nota que es mucho más rápido que los 2.0. No se como podía vivir usando USB 2.0.</t>
  </si>
  <si>
    <t>Muy bonito y de buen tamaño Me encanta. Esta muy bien sobretodo por el tamaño que tiene, ya que me cubre practicamente toda la mesa. Y me deja con un espacio de trabajo grande. Me gusta tambien que la parte de abajo sea antideslizante, ya que una vez puesto hay que levantarlo para menearlo, y eso se agradece para cuando muevas el brazo encima de la mesa no te lleves la alfombrilla detras. Todo perfecto.</t>
  </si>
  <si>
    <t>Cómodas y ligeras Talla grande pero en mi opinión no como un número menos, medio número sí.</t>
  </si>
  <si>
    <t>Lo suaves que son y cómodas Las zapatillas vienen muy bien protegidas, son muy calentitas y muy cómodas y lo mejor es que son anti deslizantes, el tacto es muy suave y proteja tus pies cuando hace frío ya que son muy descansadas</t>
  </si>
  <si>
    <t>Muy seguro, altamente recomendable La he probado en una tienda, es imposible que se lea la tarjeta bancaria con la funda puesta, así que puedes ir tranquilo llevando tus tarjetas en estas fundas porque no te harán cargos a través de App de móvil cuando vas en el metro o por la calle. Muy recomendable</t>
  </si>
  <si>
    <t>Cómodas y calientes mejor de lo que esperaba, son unas botas cómodas y calientes, el color es muy bonito y si las recomiendo.</t>
  </si>
  <si>
    <t>Muy buena Cinta americana de toda la vida</t>
  </si>
  <si>
    <t>Genial Fue un regalo perfecto</t>
  </si>
  <si>
    <t>Accesibilidad a todos los recovecos del bibe Tal cual se describe el producto. Mango cómodo para su manejo. Solo viene cepillito de cerdas, no trae esponja como otros modelos. Limpia muy bien, el extremo de plástico estriado es útil para limpiar la tetina a fondo y rascar posibles restos.</t>
  </si>
  <si>
    <t>Recomendables Las calidades me han impresionado no esperaba tanto por el precio, las recomendaría sin dudarlo</t>
  </si>
  <si>
    <t>Relación calidad-precio más que razonable. Bueno, pues tras usarlo todo el día para probarlo, debo decir que, en cuanto a sonido, y por este precio, está genial. Lo he usado para llamada, escuchar música y juegos, tanto en el portátil, como vinculado al móvil. He tenido algo de retardo en cuanto al juego en el móvil, pero mañana probaré si tiene retardo en otros juegos en el ordenador, todo esto mediante bluetooth. El tacto al tocar los botones del lateral hacen presagiar que no durarán mucho, pero habrá que esperar. Trae solo un juego de almohadillas, se agradecería que trajeran otros más. Cable para carga y cable para toma mini jack.</t>
  </si>
  <si>
    <t>Buena compra Va perfecto en la pizarra, con un precio buenísimo y el envío llegó en tiempo. No suelo confiar en este tipo productos pero esta vez ha sido una buena compra</t>
  </si>
  <si>
    <t>Me encanta Le doy 5 estrellas porque estoy maravillada con este producto. Lo compre para regalar y al final me lo he quedado yo ....Le tengo en el frigorifico y el masaje con mis cremas es una pasada ....lo volvería a comprar</t>
  </si>
  <si>
    <t>una talla más de la usual Buena calidad y muy calentito</t>
  </si>
  <si>
    <t>Muy contenta. Me ha gustado mucho esta muy bien ya que puedes ver todos tus pendientes a la vista sin tener que sacar trastos, ahy los ves todos perfectos.</t>
  </si>
  <si>
    <t>Estupendo regalo de Reyes Sabiendo los gustos de la persona a la que pensaba regalar este producto, no alcancé a pensar la ilusión que le hizo el recibirlo</t>
  </si>
  <si>
    <t>No merece la pena Es agradable al tacto aunque demasiado fino, me llamó la atención que cuando quise mirar el material de la prenda no pude porque no trae ninguna etiqueta.</t>
  </si>
  <si>
    <t>Sin mas... Esta bien sin mas... no se si sera mi esencia en concreto pero a mi por muchas gotas que eche no me huele casi... asi como el Cotonet me huele muchisimo mas este en concreto no es lo esperado.</t>
  </si>
  <si>
    <t>Muy sencillos Muy sencillos</t>
  </si>
  <si>
    <t>No todo es vender.... Compré un vaso batidor de OSTER concretamente el modelo Oster 4655 y realmente para las veces que la he utilizado no puedo decir que sea un articulo bueno. Dejó de funcionar justamente poco después de acabar la garantía (casualidad) yo creo que no . Ni la marca Oster ni  Amazon han querido saber nada del asunto. Avisado estaiissssssss!!</t>
  </si>
  <si>
    <t>Producto dañado El producto me ha llegado en malas condiciones,la caja,esta aplastada y como el lógico, el producto tambien.</t>
  </si>
  <si>
    <t>Mi bebé no lo quiere Intentaré más adelante a usarlo. Lo intente ahora que tiene dos meses y no lo quiere</t>
  </si>
  <si>
    <t>Soporte Micro Muy fácil de instalar. En mi caso para un micro SnowBall.</t>
  </si>
  <si>
    <t>Fácil y práctico Fácil de emplear, los batidos se hacen muy rápido y tampoco se tarda mucho en limpiar.</t>
  </si>
  <si>
    <t>Para una temporada Podría tener mejor calidad, pero no están mal.</t>
  </si>
  <si>
    <t>Calidad del producto y plazo de entrega Es fiel reflejo del anuncio</t>
  </si>
  <si>
    <t>SIN CÓLICOS Muy buen producto y la verdad que a diferencia de otros biberones (normales) se nota el cambio en todos los aspectos ya no tenemos problemas de tripita con el bebe,  por las noches un alivio usar este biberón:)</t>
  </si>
  <si>
    <t>ok Genial. Como debe ser.</t>
  </si>
  <si>
    <t>Buena calidad Zapatillas de buena calidad. Envío rápido</t>
  </si>
  <si>
    <t>Perfecto Perfecto cómodo y caliente</t>
  </si>
  <si>
    <t>Bien Un Buen producto sin más y una buena sujeción para brazos neewer. Es muy flexible y firme a la vez</t>
  </si>
  <si>
    <t>Muy recomendable Llegó muy rápido! El producto muy bonito tal y como se muestra en la descripción</t>
  </si>
  <si>
    <t>Increíble Es muy bueno, la verdad que Samsung a hecho muy producto, llevo usandolo un tiempo y ésta como el primer día, jamás a dado un problema. Yo alucino con la velocidad que arranca el ordenador y con los programas que abren en el inicio, ya ni contar con la velocidad con que abre cualquier programa y a la hora de instalar. Estoy muy sorprendido, compra más que segura.</t>
  </si>
  <si>
    <t>Encantada Es muy bonito, si te gusta por foto te encantará. Sí que es piel, de hecho huele claramente a piel. Tiene muchos bolsillos y departamentos: móvil, cartera, llaves, reproductor y espacio para algunas cosillas más. Pero ojo, es más pequeña de lo que aparenta por foto, mira la descripción porque ahí salen las medidas. Yo me interesé en este producto precisamente porque es pequeño, el tamaño justo para las cosas del día a día.</t>
  </si>
  <si>
    <t>Buena compra Perfecta para entrenar en invierno. 1,73 y 80 kilos, me pedí un L y me está perfecta.</t>
  </si>
  <si>
    <t>MUY ÚTIL FUNCIONA PERFECTAMENTE, FÁCIL DE USAR Y MUY PRÁCTICO. rECOMENDABLE</t>
  </si>
  <si>
    <t>Un clásico actual Me encanta. Ya tengo un Casio clásico negro y los alterno. Pantalla y números grandes. Buen tamaño para las que no nos gustan los relojes de "señora" pequeños. Lo recomiendo.</t>
  </si>
  <si>
    <t>Raquel Estoy encantada. Lo utilizo sobre todo para las arrugitas de debajo del ojo y se nota un montón el antes y el después. Mantiene la zona super hidratada sin quedar pegajosa y puedo maquillarme encima y genial. Lo uso también para las puntas del pelo y bien. Estoy encantada</t>
  </si>
  <si>
    <t>super contento Bonisto sencillo y robusto con la garantia de CASIO una marca de toda la vida la correa facilito de acortar muy contento, calidad precio buenisimo entrega tres dias.</t>
  </si>
  <si>
    <t>Calidad/precio y buena atención Muy buen producto a buen precio. Sumado a una muy buena atención. Repetiré</t>
  </si>
  <si>
    <t>Libertad de movimientos Es el primer manos libres de este tipo que uso y la verdad es que me ha sorprendido gratamente. Nunca imaginé que me pudiera producir esta libertad de movimientos mientras hablo. Lo uso cuando necesito hablar mientras hago las tareas de la casa. Se escucha perfectamente y el alcance del Bluetooth es lo suficientemente amplio como para andar por casa sin que se desconecte. No notas que lleves nada en la oreja a diferencia de algunos auriculares que molestan cuando llevas un rato usándolos.</t>
  </si>
  <si>
    <t>Regulador ventanilla BMW Me pedían 300 euros en la bmw por arreglar las ventanillas del coche y con esta pieza lo arreglé yo mismo,fácil de instalar y te ahorras mucho dinero. Yo lo utilicé para un bmw compact y son idénticos que los de fábrica.recomendable.</t>
  </si>
  <si>
    <t>Lo recomiendo Me encanta...junto con el de corteza de canela, son mis preferidos. Sin duda volveré a comprar ambos. Mi casa huele genial.</t>
  </si>
  <si>
    <t>0 El microfóno cunple con las espectativas que se esperan. no es excesivamente aparatoso y el diseño es divertido.</t>
  </si>
  <si>
    <t>Bien elaborada, pero enfocada para gente baja. Bueno, la bolsa esta bastante bien esteticamente, pero tiene un defecto enorme, la cinta para colgar en el hombro es muy corta, todo y alargandola al maximo, mi esperanza era ponermela cruzada y q m llegara un poco mas baja que en la cintura, pero me queda casi a la altura de la barriga, y prefiero no decir que parezco con ella puesta ^^, asi que la he tenido que llevar a la modista, para que me cambie la cinta y ya de paso se la coloque con un color gris y no en ese azul que viene q no le queda bien, los acabados y la estetica son decentes, lo escogi x su forma y x ser mayoritariamente en color gris. No la recomiendo para personas que midan mas de 1.80, no sirve.</t>
  </si>
  <si>
    <t>Es bueno Muí suave</t>
  </si>
  <si>
    <t>Correcto Demasiado brillo detras</t>
  </si>
  <si>
    <t>Producto de imitación No son 64 gigas, ni es 3.0. He comprado carias llaves USB de este fabricante de diferentes capacidades y este producto tiene un envoltorio que no es igual, ni el plástico de la carcasa es el mismo. Parece falso, y es de 32 gigas, y no es 3.0. Lo he devuelto y me han enviado otro producto falso.</t>
  </si>
  <si>
    <t>Decepción. Lo compré hace un mes y hace dos semanas que empecé a usar esporádicamente para que la niña se fuera acostumbrando al biberón, dos semanas más tarde con apenas 10 usos la tetina se ha roto o algo porque sin succionar sale a chorros la leche que tuvimos un susto porque se atragantó. No lo recomiendo a nadie, 10 usos y de desmontar la tetina y montarla para limpiar y demás y ya se ha roto, y pagas lo suyo por ello para que en dos semanas se rompa.</t>
  </si>
  <si>
    <t>Regalo Perfecto Llego a tiempo y aparentemente todo bien</t>
  </si>
  <si>
    <t>Muy buena relacion calidad/precio Marca la hora tanto en digital como en analogo en pequeño. Puedes guardar a mano varias zonas horarias aparte de acceder a todas las disponibles en otra pantalla. Buena luminosidad en color naranja y el mapa mundi que marca la franja horaria es todo un puntazo. El brazalete es de plastico con simil de metal, de buena calidad y sin mucho juego. Ademas es el famoso reloj que uso James Bond que eso tambien gusta.</t>
  </si>
  <si>
    <t>Rapido Una vez instalado muy rapido! Software de clonaje rapido y facil. Instalacion dificil. Hay que utilizar cables adequados ( sata 3-usb). De otro modo no lo logre clonar. Poca informacion en lo que toca a este aspecto. Espacio dispinible inferior a 1 TB.</t>
  </si>
  <si>
    <t>Txatxe Preciosos y muy cómodos. El algodón buenísimo..... He cogido un talla más pequeña q la q utilizo Lo recomiendo....... Me comprado en varios colores</t>
  </si>
  <si>
    <t>Buena calidad Precio bueno</t>
  </si>
  <si>
    <t>Pulsera Pulsera muy bonita, como en la foto</t>
  </si>
  <si>
    <t>Reembolso 👍🏻 Me llegaron y todo perfecto! Pero las devolví ya que gasto en Adidas un 44/5 y en esta marca o modelo no sabia que necesitaría un 45! Reembolso y todo perfecto! Gracias</t>
  </si>
  <si>
    <t>Botas de montaña Se adaptan a mis necesidades. Se adaptaron perfectamente a mi número</t>
  </si>
  <si>
    <t>BUENA CALIDAD Las zapatillas están muy bien, un poco más grandes de lo que me esperaba, pero quizás el fallo fue mío. La calidad es buena y llegaron el día indicado</t>
  </si>
  <si>
    <t>buena compra Los he comprado para mi pareja. Llegaron antes de lo previsto y muy bien empaquetado. buena calidad y no es cara. contenta con la compra.</t>
  </si>
  <si>
    <t>Va perfecto Lo uso para hacer streaming y va de lujo, buena calidad de audio, muy profesional.</t>
  </si>
  <si>
    <t>Cómodos He tenido que coger la L, usando la M en otras marcas. Pero remarcar que quedan muy bien. Ideales para cualquier actividad.</t>
  </si>
  <si>
    <t>Relación calidad precio muy buena! Perfectas, una zapatilla super equilibrada tanto en peso, amortiguación, respuesta, estructura... Son perfectas para moverte en ritmos de entre cuatro y cuatro veinte, el único pero sería la suela que no se ve muy duradera, de todos modos tendré rodar mucho más con ellas para saberlo, para terminar el servicio de Amazon muy bueno como siempre y con este precio aún más! 😃</t>
  </si>
  <si>
    <t>Rápido y efectivo Ha sido ponerlo en la cocina y ya no poder guardarlo. Mi mujer lo usa todos los días para llevarse el batido al trabajo.  Trae dos botellines, uno transparente y otro verde, y dos refrigeradores que quedan atornillados en la tapa. Una vez rellenado el botellin con la fruta/zumo/helado/etc se pone la tapa con las cuchillas y se encaja en la base, y se gira para activar el motor. Se mantiene el tiempo que se quiera (se puede encajar para que siga funcionando solo o hacer que gire solo el tiempo que lo mantengas activado con la mano) y acto seguido se cambia la tapa y listo. Muy rápido y estable, puesto que tiene ventosas en la base para fijarlo al banco.  Como contra, indicar que cuando se activa, el motor hace bastante ruido y que la tapa de la cuchilla debe tener alguna filtración o fuga, puesto que al poco tiempo de usarlo descubrí que se mancha de un líquido grís por la parte que encaja con la base.</t>
  </si>
  <si>
    <t>Sudadera para mujer Me encanta esta sudadera porque tiene un tejido muy suave y ligero. Esta muy calentita, cómoda es ideal para otoño e invierno. Tiene capucha con cordones, cremallera pequeña delante dos bolsillos laterales y estoy encantada de tenerla.</t>
  </si>
  <si>
    <t>Calidad excelente He tenido varios auriculares de este tipo, pero puedo decir que estos son de los mejores. Muy cómodos, no se nota que los llevas puestos. Tienen una calidad muy buena para su precio, y la batería dura muchísimo. Además, la base se carga con un cable type C, mucho más moderno y con el mismo adaptador que el móvil, por lo que se hace más cómodo. Trae otras almohadillas y otras sujeciones para la oreja.</t>
  </si>
  <si>
    <t>Geniales Todos los pen funcionaron correctamente, detectados por el pc sin problemas y la capacidad la correcta. Buenos materiales usados y la descripcion exacta. LLegaron a su tiempo y bien embalado.</t>
  </si>
  <si>
    <t>Pega muy bien Muy buena compra. En poco segundos queda pegada y sujeta muy bien. La he utilizado para pegar una mosquitera en la ventana del comedor.</t>
  </si>
  <si>
    <t>skechers Las regale, según la persona le van genial y esta super encantada con ellas, al tener que estar mucho rato de pie me comento que le van super bien.</t>
  </si>
  <si>
    <t>GENIAL Super anatómica , la aconsejo 100%</t>
  </si>
  <si>
    <t>Buen hervidor de agua. Buen hervidor de agua por buen precio. Es justo lo que buscaba: hervidor de acero inox con la resistencia escondida, facil de usar, facil de llenar, facil de limpiar, etc. Puesto en la cocina tiene muy buena pinta, se nota un producto de buena calidad. Se calienta bien rapido, no hace un ruido excesivo, mas bien un tipico ruido de éstas maquinas. Estoy contento con la compra.</t>
  </si>
  <si>
    <t>Lo mejor de lo mejor Son unos buenos cables. Los uso para sacar audio de una controladora a una mesa de mezclas, son útiles y la calidad de sonido es muy buena. Como es lógico no son iguales que otros cables de mayor precio, pero hacen lo que prometen. Tienen pintas de ser bastante resistentes y aguantar muy bien los años. Está muy bien que sean largos. Sin duda alguna los mejores por el precio, incluso únicos. Ya que si buscas otros por el estilo no hay mucha variedad. Los conectores son de colores para poder diferencial el canal. La manguera tiene pintas de ser bastante resistente y es bastante gruesa, y los conectores son de metal y muy buen construidos. No da la sensación de costar menos de 20 euros. Sin dudarlo los recomiendo!!</t>
  </si>
  <si>
    <t>Muy buena relación calidad-precio Magníficas!!</t>
  </si>
  <si>
    <t>Mas oscuras de lo que esperaba Talla pequeño, es mejor pedir media talla más. No son del color rosa que se ve en la foto, es mas bien un beige rosaceo. Aún así no son feas.</t>
  </si>
  <si>
    <t>Delongui no te hace socio si compras en Amazon. Esta cafetera es una maravilla. Vengo de cafeteras de cápsulas y me iban a arruinar. Si bebes mucho café, la amortizas rápido y si usas café en grano todavía puedes ahorrar más.</t>
  </si>
  <si>
    <t>Corazon Bastante pequeño. La fotografía engaña mucho</t>
  </si>
  <si>
    <t>mala calidad se rompen a los dos dias las zapatillas son muy bonitas, pero a los dos dias se ha roto la tela de la parte de arriba. compre dos pares y a las dos les ha pasado lo mismo.</t>
  </si>
  <si>
    <t>Muy mala Malo malísimo, se atasco en la primera vez que le pusimos las grapas y ya no pudimos hacerlo funcionar de ninguna manera, aún después de limpiarla y desatascarla por completo........ no la recomiendo de ninguna manera.</t>
  </si>
  <si>
    <t>FUNCION PERFECTA Son unas botas de agua, no hay que pedirle mucho.. y por ese precio menos todavía. Solo las usos para salir un rato con el perro los días de lluvia, no creo que valgan como botas de todo un día en zonas lluviosas. Creo que sufrirían los pies. Y si dan bastante talla... seguramente para quitarlas y ponerlas bien, con calcetines gordos</t>
  </si>
  <si>
    <t>Rapidez y producto Si</t>
  </si>
  <si>
    <t>Comodidad Como siempre, esta marca en cuestión de comodidad perfectos, y súper llevaderos. En cuanto al tallaje está un poco grande, así que recomiendo que dependiendo de la talla que seas, se pida una menos. Y horma súper bonito!</t>
  </si>
  <si>
    <t>Conforme a lo esperado, aunque podría mejorar. La máquina funciona según lo deseado y esperado. Parece resistente en general, aunque por su base tiene una hendidura, parece que para que ventile el motor o algo parecido, que da aspecto de poca resistencia. Además, trae sólo dos patas de goma, apoyando en tres, la tercera sin goma, lo cual hace resbalar un poco el aparato. Por lo demás, hace lo que dice, es decir, corta, desgaja, etc... Quizás, el cuello por donde entran las verduras debería ser un poco más grande, para permitir tamaños más manejables, pero bueno, va bien...</t>
  </si>
  <si>
    <t>Bonito para regalar y bien acabado aunque un poco pequeño Muy bonito pero deberia ser un poquito mas grande</t>
  </si>
  <si>
    <t>El mejor precio. Con una impresión frontal cómoda para escribir el título del disco. Usado con grabadora LG..y me van perfectos, de momento nunca me ha fallado ninguno ni a máxima velocidad.</t>
  </si>
  <si>
    <t>Perfecto!!! Magnífica opción para realizar los ejercicios de Kehel. Se hace práctico,  divertido y fácil.  En cuanto al servicio postventa: insuperable. Ante cualquier consulta o problema que pueda surgir te contestan de inmediato de manera cercana y agradable. Lo recomiendo muchisimo!!!</t>
  </si>
  <si>
    <t>Monica Chanclas súper bonitas y de muy buena calidad. Son muy cómodas. La única pega que les pondría es que la parte interior de donde está la marca tiene como una esponja y se empapa de agua y tarda en secar.</t>
  </si>
  <si>
    <t>Me encanta Ya la había usado antes y me gustó así que la pedí para mí hermana</t>
  </si>
  <si>
    <t>Estupenda y cómodo Me ha encantado, muy fácil de poner, que era lo que buscaba pero también muy agradable de usar y calentita, perfecta para los días fríos.</t>
  </si>
  <si>
    <t>Un gran acierto Muy buena calidad, cepillos súper prácticos y muy recomendables para la limpieza diaria. Me gustan mucho. Se ven muy consistentes . Desde luego los volvería a pedir.</t>
  </si>
  <si>
    <t>Buena batidora Buena. Elegante y fácil de utilizar.</t>
  </si>
  <si>
    <t>Tus pies lo agradecerán Para senderismo muy cómodas es el segundo par que compro</t>
  </si>
  <si>
    <t>Igual que la foto Igual que la foto</t>
  </si>
  <si>
    <t>Fuerte Me gusta porque su sujeción es muy fuerte, y por lo que veo duradera. Como ejemplo diré que lo he utilizado para sujetar un par de tapas de luz que se habían caído y algún que otro cuadro. Me niego a hacer más agujeros. Ah, en una ocasión  lo utilicé para pegar la suela de un deportivo de mi sobrina hasta que regresara a casa unas horas después, y ella, con la tranquilidad de la adolescencia lo llevó varios días hasta que su madre se los tiró.</t>
  </si>
  <si>
    <t>Compactos Son compactos y faciles de guardar. Almacena bien los datos, tiene buena velocidad de traspaso de datos. Tiene un buen tacto metalizado que le da un punto de calidad. Tienen bastante espacio para meter canciones y poner las en el coche. Pulsa en “UTIL” si te ha resultado interesante mi comentario. Gracias</t>
  </si>
  <si>
    <t>Buen calentador Buen producto, rápido y eficiente. Tiene buena capacidad. Justo lo que esperaba.</t>
  </si>
  <si>
    <t>Vuelta a los 80 Radio cassette moderno, con todo lo k hace un MP3, ideal para ver tus cintas antiguas</t>
  </si>
  <si>
    <t>Buen producto Muy buena lámpara, cumple con todas sus funciónes y el sonido de la alarma suena muy bien ya que puedes modificarla para que sueneas alto o más bajo y lo de la luz es una pasada 👍</t>
  </si>
  <si>
    <t>Excelente bolsa de agua Excelente bolsa de agua. El tacto es muy suave y es fácil de rellenar. Tiene buen cierre y parece resistente. Me ha sorprendido lo bien que conserva el calor.</t>
  </si>
  <si>
    <t>Perfecta Me ha encantado,buena calidad y la uso para hacer deporte.</t>
  </si>
  <si>
    <t>Buenos auriculares y gran calidad de sonido Compré estos auriculares como regalo, ya que mi pareja necesitaba unos auriculares con un diseño similar a los de iphone. La verdad es que por el precio que tienen suenan bastante bien y lo mejor de todo es que traen una funda con cremallera y varios accesorios que completan a la perfección este regalo. A destacar el manos libres y la posibilidad de subir y bajar volumen. Contento con la compra.</t>
  </si>
  <si>
    <t>Cómodas y clásicas Las Gazelle son un modelo que casa con cualquier prenda de vestir y adémas son realmente cómodas. Cuentan con una buena plantilla que hace que el pie no esté una posición completamente recta. Las recomiendo siempre que las encuentres a un precio competitivo.</t>
  </si>
  <si>
    <t>No me funciona el OTG Lo devuelvo. No me funciona en ninguno de mis dispositivos OTG. Le pongo dos estrellas porque la velocidad de transferencia desde el PC no parecía mala.</t>
  </si>
  <si>
    <t>No son muy cómodas No son tan cómodas como otras zapatillas de esta marca. Algo decepcionado. No las compraría de nuevo</t>
  </si>
  <si>
    <t>Velocidad No lo he utilizado suficientemente como para dar una valoración sólo lo he utilizado como almacenamiento y ha funcionado bien con el .Mac va bien</t>
  </si>
  <si>
    <t>Muy mala calidad Al segundo uso empezó a rajarse el pie, solo pasando puré de verduras, al cuarto uso se desprendió un trozo del plástico, en 4 meses a la basura</t>
  </si>
  <si>
    <t>Etiqueta tamaño DinA4 Muy útiles. Etiquetas tamaño DinA4 muy útil para impresión gráfica. Las uso en mi impresora de inyección de tinta marca Brother, antes la usaba en una Epson. La impresión tarda bastante en secar y se borra con bastante facilidad pero bueno, no está nada mal. El precio en Amazon de lo mejor que he visto.</t>
  </si>
  <si>
    <t>Muy bonitas, pero aprietas mucho los dedos. Muy bonitas y demas pero no las he probado mas que el dia que me han llegado, y me apreta mucho en el dedo pequeño, sera porque estan muy diras aún, sera cuestion que se den de sí.</t>
  </si>
  <si>
    <t>Buen producto a buen precio Por ponerle algún fallo, decir que el termómetro no es muy exacto, y en ocasiones las manecillas no dejan ver los dígitos.</t>
  </si>
  <si>
    <t>Elegante Potencia justa para un diseño retro que hace resaltar en nuestra cocina Se agradece los accesorios que incorpora por el precio que se paga por ello.</t>
  </si>
  <si>
    <t>Muy bueno Es perfecto, la verdad, tamaño se ve grandecillo y robusto en cuanto a material.</t>
  </si>
  <si>
    <t>Funciona bien Un disco como otro más, porque son todos similares, es muy silencioso, pero sobre la capacidad, siempre estamos en lo mismo, no son 4tb como indica el anuncio, son 3,64, que corresponde a 40000....000 bits. En esto todas las marcas nos engañan. Si se habla de teras, deberían poner la cantidad exacta.</t>
  </si>
  <si>
    <t>Ideales para el trabajo y pasar muchas horas de pie. Se los regalé a mi pareja, ya que está muchas horas de pie en su trabajo y no puede estar más contenta con ellos. Desde que los lleva no tiene dolores de piernas ni de pies como con las zapatillas normales y cumplen su función con creces. Está encantada. Es una buena compra si vas a usarlos durante mucho tiempo estando de pie o si tienes problemas de fascitis plantar, etc.</t>
  </si>
  <si>
    <t>Funcional y buenos materiales La verdad que estoy muy contento con la compra. Para el precio que tiene los materiales son muy buenos y los compartimientos geniales para billetes y monedas. El diseño también es bonito y no abulta mucho.  Me gusta también que si dejas levantados los amarres de los billetes, al cerrar la caja registradora se bajan y atrapan los billetes sin tú tener que bajarlos uno a uno.</t>
  </si>
  <si>
    <t>Buena cs Buena calidad, cumple las ezpe tativas de la marca</t>
  </si>
  <si>
    <t>Tallaje americano Hay que tener en cuenta que es talla americana, es decir que da más talla que en europa</t>
  </si>
  <si>
    <t>Fantásticos Van muy muy bien. Totalmente recomendables!</t>
  </si>
  <si>
    <t>bambas de primera a un buen precio son super comodas!! me ha sorprendido la calidad del material, extremadamente bueno y con un precio muy ajustado y barato para su altisima calidad . estoy super contento con ellas :-) se adaptan perfectamente a mi pie y es como si no llevases nada, no pesan, no molestan y son chulisimas</t>
  </si>
  <si>
    <t>Marca y calidad Me ha gustado la calidad del producto pero la tardanza en el pedido NO</t>
  </si>
  <si>
    <t>Buen producto Buen producto. Hasta ahora funcionando perfectamente. Lo único malo es su tapón un poco endeble. Pero el sellante es de muy buena calidad</t>
  </si>
  <si>
    <t>calidad precio extraordinaria reloj con una calidad precio espectacular. bueno, bonito y barato. eficaz envio y gran transación. muy recomendado. Sin dudarlo lo compraria.</t>
  </si>
  <si>
    <t>Increible Increible, mejor de lo esperado. Ideal xa parquet xq no deja el suelo mojado como con la scooba, lo humedece y se seca rapidamente.  Además, es súper silencioso. Desterrada la fregona y la mopa en mi casa...</t>
  </si>
  <si>
    <t>Cumple con su función Hervidor de agua de buena calidad, es fácil de usar y tiene una capacidad más que suficiente para 5 tazas. El material es muy cómodo para limpiar y su funcionamiento simple, conectas la.bade a la corriente, pones el hervidor sobre esta y pulsas el botón para encender.  Satisfecho con la compra sin lugar a dudas.</t>
  </si>
  <si>
    <t>No defraudan Se emparejan al instante y es un placer escuchar cualquier fuente con ellos, el sonido es magnífico para ser abiertos y de estas dimensiones, no se puede esperar que compitan con unos auriculares cerrados in-ear de gama alta profesionales que cuestan varias veces más, no tienen ese ancho de banda ni transparencia pero sorprende lo bien que suenan, no son los típicos auriculares chinos que son un suplicio para los oídos.En cuanto a la comodidad es bastante buena, hay que acostumbrarse a ellos como todos los in-ear, pero no molestan, ni se mueven una vez bien colocados ni tampoco pesan. La autonomía también es más que decente dada la peque?ísima batería que llevan no solo estos sino cualquier auricular de estas características, poco se puede hacer a este respecto sin aumentar el peso o el tama?o.Lo mejor sin duda es el dise?o, son preciosos y la caja de transporte y carga es peque?ísima y funciona a la perfección. Una excelente eleccion en este rango de precios, muy contento con ellos.</t>
  </si>
  <si>
    <t>Genial con mi Xiaomi La compré para mi móvil y funciona perfectamente. Nada más insertarla este la reconoció y no necesitó ninguna configuración o formateo. Menudo cambio. Una buena elección con una relación capacidad/precio inmejorable! Como siempre, Amazon entregó antes de plazo!!</t>
  </si>
  <si>
    <t>Perfecto sonido y muy cómodos Hace tiempo que estaba buscando unos auriculares sin cables para ir de camino al trabajo, pero ninguno terminaba de convencerme y he decidido probar estos. Lo primero que sorprende es el tamaño y el peso, ya que son muy ligeros. El auricular se empareja muy rápido con el móvil y cada vez que lo sacas de su funda, se sincronizan al momento. La propia funda es una especie de powerbank que recarga los auriculares cada vez que los guardas. Puedes recargarlos unas 10 veces y cada carga dura unas 3 horas largas de uso intensivo. Los auriculares tienen micrófonos individuales para hacer llamadas y con su único botón puedes pausar la canción, siguiente, sacar el asistente del móvil, etc. La conexión para recargar la funda es microusb, incluido en la caja. Llevo poco con ellos pero ya puedo decir que son geniales por la relación calidad - precio. El rango de conexión creo que es superior al que dicen de 10 metros, a mí me siguen funcionando aún superando esa distancia. El sonido es bueno, no aíslan del exterior pero se escuchan bien. La ventaja es que los auriculares se pueden usar por separado cuando normalmente en otros modelos el izquierdo depende del derecho para que se pueda usar. Aquí puedes usar uno y cuando se acabe la batería el otro. El único problema es saber desconfigurarlos cuando quieres usarlos al mismo tiempo habiéndolos usado por separado. Por defecto se conectan ambos solos, y si quieres usarlos por separado tienes que primero conectar el auricular izquierdo con el dispositivo que te interese y luego el derecho, pero si luego quieres volver a usarlos al mismo tiempo tienes que “resetearlos”. Añado que la batería dura bastante, unas 4 horas escuchando música que es para lo que los uso. Los he probado cuando salgo a patinar y se sujetan bien, no se caen ni patinando ni entrenando en el gym. Cuando hayan pasado unos meses haré otra reseña a ver si siguen funcionando igual de bien.</t>
  </si>
  <si>
    <t>Bueno, bonito, barato Eran un regalo y han sido la elección perfecta. Aunque sean de plástico, son muy bonitos y no parecen fáciles de romper. La almohadilla es muy suave y cómoda. En cuanto a la calidad del sonido, también contento, se escuchan muy bien. No se pueden comparar con auriculares o cascos de más alta gama, pero son unos auriculares perfectos para el día a día y sin miedo a que, si llegan a romperse, te vaya a costar mucho reponerlos gracias a su precio. Recomendados totalmente.</t>
  </si>
  <si>
    <t>Calidad Perfecto</t>
  </si>
  <si>
    <t>Vanesa Me a encantado por su precio no se puede pedir mas estoy muy contenta con ella la recomiendo de verdad</t>
  </si>
  <si>
    <t>Dudas de si son autenticas Han llegado en una caja blanca sin identificacion de la marca y luego han llegado con roces blancos las dos zapatillas, unas zapatills de color negro y la suela interior no se parecen a otras que tengo de la misma marca y modelo</t>
  </si>
  <si>
    <t>Tamaño engañoso El colgante parecía ser de mayor tamaño en la web. Es bonito, però me decepcionó un poco por ese motivo.</t>
  </si>
  <si>
    <t>Bien Buenos</t>
  </si>
  <si>
    <t>Ana Aunque marcaban mi número eran como dos números menos. Ya tenía otras de la misma marca, otro modelo y nada que ver, los acabados malos, la suela rígida, el encolado de la suela embadurnado...en fin, descontenta</t>
  </si>
  <si>
    <t>Se atraganta con esta tetina No me gusta porque con la retina que tiene mi bebé se atraganta con la leche</t>
  </si>
  <si>
    <t>Hermosas Son hermosas, me han encantado. La talla tal cual</t>
  </si>
  <si>
    <t>Muy buenas Buena compra, indudable calidad de chanclas, son las enésimas que tengo y no quiero otras. Duran unos 4 años dándoles mucho uso en verano.</t>
  </si>
  <si>
    <t>Muy bonitos Igual a la foto. Son muy bonitos</t>
  </si>
  <si>
    <t>ROSEÉ COLLAR DE PLATA LO ELEGÍ POR SU ORIGINAL  DISEÑOY ES MUY BONITO ESTOY CONTENTA CON LA COMPRA, LO QUE SI DEBO DECIR QUE LA CADENA ME PARECE UN POCO FINA EN LA FOTO APARENTA SER UN POCO MAS GRUESA</t>
  </si>
  <si>
    <t>Buena compra Es sencillo pero bonito. Pesa bastante pero supongo que todos pesarán igual. Es el primer reloj de bolsillo que compro. Funciona. Esta muy bien. Y muy buen precio.</t>
  </si>
  <si>
    <t>BBB Buena, bonita y barata. La uso para una camara de alta calidad y la verdad es que es bastante rapida que es lo que queriamos, buena compra</t>
  </si>
  <si>
    <t>Buenos para hacer deporte Calidad de sonido Sennheiser en auriculares de botón, a coste relativamente bajo por si se te estropean al sudar mientras corres.</t>
  </si>
  <si>
    <t>Perfecto Un producto de mucha calidad.. Cremalleras fuertes y resistentes, infinidad de bolsillos y huecos para guardar tus cosas sin peligro de romperlas.</t>
  </si>
  <si>
    <t>Producto que facilita el fregado de suelos sin esfuerzo. Muy buen producto, a mi madre le ha gustado tanto, que se ha comprado otro. Lo único que se rompe enseguida el pedal pero por lo demás para gente mayor que no tenga fuerzas en las manos va genial. Lo recomiendo.</t>
  </si>
  <si>
    <t>muy buenas Estuve viendo varios modelos y me gustó éste, porque tengo las manos grandes. Y es muy cómodo, además de cortar muy bien. He podado con ellas incluso. y el precio es bueno.</t>
  </si>
  <si>
    <t>Perfecta para un regalo Fue para un regalo y ya gustado mucho. Es igual que la descripción y las imágenes.</t>
  </si>
  <si>
    <t>Me encanta 😍 Micrófono muy completo y de muy buena calidad!</t>
  </si>
  <si>
    <t>Envío muy rápido Envío rapidísimo y precio ajustado</t>
  </si>
  <si>
    <t>Súper recomendable Nos ha encantado se lo compre a mi marido y esta súper contento. es original y a buen precio.</t>
  </si>
  <si>
    <t>Recomendables 100 x 100 Perfectas. Son preciosas. Tal cual se ve en la foto</t>
  </si>
  <si>
    <t>Rápido y ligero Es super ligero y muy manejable y absorbe con mucha fuerza pero solo lo he probado un rato, ya veremos mas adelante</t>
  </si>
  <si>
    <t>Muy practicas Prácticos de colocar!Calidad, diseño eterno y garantía de confort y aguante.Es una muy buena compra.Son comodisimas,ligeras,te las puedes poner con lo que quieras por qué van bien con las minifaldas,con los vaquero,con los pantalones cortos...Ideales para cualquier tipo de ropa, además súper cómodas y confortables.</t>
  </si>
  <si>
    <t>Resistente y buena calidad Hermosa</t>
  </si>
  <si>
    <t>Comodos Son comodos,tallan bien y quedan perfectossss. Llegaron antes de la fecha indicada.</t>
  </si>
  <si>
    <t>Volvería a comprarlo Me gusta mucho</t>
  </si>
  <si>
    <t>Decir que es muy rápido es poco Mul alta velocidad de transferencia sobre usb 3.0, encantado con la compra.</t>
  </si>
  <si>
    <t>Buena relación calidad-precio No soy una usuaria experta que mida las velocidades de inercambio de los datos, pero puedo decir que transmite los ficheros más rápido que un USB 2.0, y que el precio es excelente dada la calidad y capacidad.</t>
  </si>
  <si>
    <t>Se lava y se queda como nueva. Es una malla para hacer deporte, bonita, estética y que sienta muy bien. Ya la he usado varios días y es transpirable, y se lava y sobre todo se seca en un momento quedando como nueva. cuidado porque la talla es un poquito más grande de lo normal y si te la coges en tu talla te hace muy buena figura.</t>
  </si>
  <si>
    <t>¿Originales? Dudo que sean originales.... venían en una caja blanca impoluta... no aparecía la marca por ningún lado</t>
  </si>
  <si>
    <t>Calidad precio aceptable No es un mal producto, pero podría ser mejor, me cuesta dejarlo perfecto sin que salgan burbujas. Aún así, calidad-precio no está mal, puesto que vienen 3 cristales, con sus toallas y muy bien empaquetado.</t>
  </si>
  <si>
    <t>ME ESPERABA UN CAFÉ MÁS RICO Es una cafetera eléctrica más o menos como todas, dentro de un rango de precios entre 30 y 40 euros (La compré por 29 en estado como nuevo y ha venido nuevo, embalada por completo), y no destaca en nada en concreto, excepto que la jarra es muy grande, más de lo normal, entra mucho café, pero me esperaba un café más rico y sabroso pero no, lo hace como todas. Eso si, es muy chula de diseño, AEG se lo curra un poco. Un hándicap que tiene es que si la dejas enchufada y se te olvida apagarla, a los 40 minutos se desconecta sola.</t>
  </si>
  <si>
    <t>Estafa Muy lenta cuando funciona, y después de sobrepasar cierta capacidad empieza a dar errores y todo se corrompe. No se puede ni reformatear y las herramientos de chequeos muestran enormes cantidades de zonas defectuosas y corruptas.</t>
  </si>
  <si>
    <t>Horrible, estafa. Yo confío en Neewer, no me parece una mala marca. Soy vídeografo y la verdad que me salen las cosas bien con ellos. Pero este brazo es cutre, construcción pésima y el própio metal se va doblando hasta no resistir ni un micrófono.  Leo comentarios sobre que por 10€ que vale no te puedes quejar. Vale sí, no me quejaría si no estubiese roto y si no fuera una estafa.  Lástima que ya he tirado la caja, porque lo quiero devolver.</t>
  </si>
  <si>
    <t>Se corta el auricular izquierdo El auricular derecho funciona genial pero, el izquierdo con tan solo alejarlo un metro o menos se empieza a entrecortar y se apaga No funcionaban mientras iba caminando al trabajo , porque cada dos por tres el auricular izquierdo dejaba de funcionar...se apagaba....y se entrecortando Sinceramente muy decepcionado , pensaba que Xiaomi hacia buenos productos .... Pero ya veo q no... En fin....</t>
  </si>
  <si>
    <t>Guapísimos los pendientes. Me encantaron son muy lindos.</t>
  </si>
  <si>
    <t>Estar contenta con una compra Me ha gustado todo</t>
  </si>
  <si>
    <t>Muy buena crema Es muy buena crema pero creo que viene menos producto del que anuncia. Cómo si tuviera más aire que crema. Pero su calidad es indudable</t>
  </si>
  <si>
    <t>no me funciona con el iphone X lo e estado usando con un iphone 6 y muy bien.  Al cambiar de telefono por un iphone X no me lo reconoce y no me deja hacer nada.- Lo e formateado y no hay manera, no me deja hacer nada cuando copio del pc al wi¡stick,  cuando lo pongo en el telefono no se a quedado nada. Agradeceria me pudiesen dar alguna solución para poder usarlo . gracias</t>
  </si>
  <si>
    <t>bonitos bonitos en relación calidad-precio</t>
  </si>
  <si>
    <t>Muy satisfecha Era lo esperado y bastante contenta</t>
  </si>
  <si>
    <t>Calidad de sonido y Gran diseño Llevo todo el fin de semana con ellos y hasta el momento son los mejores cascos bluetooth q he tenido. Lo son por ergonomía, duración y calidad y volumen del sonido. El diseño, tanto en los cascos como en la caja de carga, me parece bastante bonito y práctico ya q cabe sin molestar en casi cualquier parte. Buena compra!</t>
  </si>
  <si>
    <t>Espectaculares!!!! Los acabo de recibir y he de decir que el sonido és buenísimo.He ajustado el sonido mediante el aqualizador del movil y el resultado ha sido brutal. Yo escucho,por si os sirve de referencia,grupos de death metal como Arch Enemy o Amon Amarth y el sonido de los graves,las guitarras,las voces y el doble bombo de la bateria suena espectacular. Superfacil el enparejamiento con mi movil,un samsung j7 2017 y con mi tele,una samsung también. He probado el micròfono durante una llamada de wasap y he escuchado y me han escuchado perféctamente. Quedan bién sujetos a la cabezaby el tacto de las almohadillas es perfecto. El único pero es el alcance del bluetooth,unos 7 metros desde donde està el dispositivo dentronde casa ,pero eso para mi no és un problema. A poco que duren y no den ningún problema,una compra acertadísima.</t>
  </si>
  <si>
    <t>Encantada!! Justo como esperaba, el de la foto! Es que una semana antes pedi este reloj a otro proveedor y me enviaron otro modelo diciendome que este es la version asiatica y ellos no la tenian. Despues de este disgusto y su pertinente devolucion, cuando me llego este quede encantada. Es cierto que la luz no es muy buena, pero me da igual, me encanta! Llevaba tiempo detras de el.</t>
  </si>
  <si>
    <t>Gran conjunto Tienen una pinta estupenda. Se nota que estan hechas en serie porque el nombre de la marca sale desplazado. Las grandes son ideales para el portatil. Y las pequeñas para el.movil.</t>
  </si>
  <si>
    <t>buena calidad y diseño Llegaron en un día y son perfectos. La talla coincide con la pedida y la tela es fuerte y reforzada en el interior de los muslos. El detalle del estampado le da un toque diferente y aunque tiene unas pequeñas transparencias encima de las rodillas, puestas apenas es imperceptible. Muy contenta, volvería a compralo-</t>
  </si>
  <si>
    <t>Si me han gustado mucho Lo que no me hace gracia es que se me vienen para abajo pero lo he solucionado poniendomelos colgando hacia abajo  quedan chulis y no molestan</t>
  </si>
  <si>
    <t>Reloj formal Reloj formal con una excelente calidad precio. La correa es de buena calidad y la esfera elegante</t>
  </si>
  <si>
    <t>Perfecta La mejor hervidora que he tenido en mucho tiempo. La compré en verano y desde entonces me bebo cuatro o cinco tés al día. Te hierve el agua en unos 20 segundos. Una gozada, vaya. De muy buena calidad y llegó rápidamente y en perfecto estado.</t>
  </si>
  <si>
    <t>Muy contenta con el producto Muy satisfecha con la compra. Ha llegado muy rapido y el producto es de calidad. Lo recomiendo.</t>
  </si>
  <si>
    <t>Tetina medela no interfiere en lactancia. Una maravilla Set para recogida de leche materna, de buena calidad, la tetina de medela permite pasar del pecho a biberón sin interferir en la lactancia. Ya lo hemos probado, y siguiendo consejos en la red y de su página oficial, sin problemas. Las bolsas de recogida me vinieron de 180ml y un tapón extra. Dinero que me ahorro.</t>
  </si>
  <si>
    <t>Pantalón invierno Por si le vale a alguien talla XXL para 100 k. Y 120 cintura</t>
  </si>
  <si>
    <t>Tetera versátil Calienta rápido el agua, y viene genial tanto para prepararse infusiones o cualquier otra bebida que requiera de agua caliente como para acelerar el tiempo a la hora de cocer por ejemplo la pasta: en vez de esperar a que hierva en la olla, pongo el agua caliente del hervidor y tardo mucho menos en cocinar.</t>
  </si>
  <si>
    <t>Unos auriculares geniales Unos auriculares espectaculares. La caja donde vienen tiene un tamaño perfecto para poder llevártelos a cualquier parte, además que hace también de cargador. Vienen con su cable para cargarlos y además traen varias almohadillas diferentes para que se adapte a cualquier oreja. Tienen muy buen sonido, tanto como para escuchar música como para hablar por teléfono. El que sean táctiles los hace también muy prácticos para poder pausar o reproducir las canciones o también para descolgar las llamadas. Estoy muy contenta con ellos, merecen mucho la pena.</t>
  </si>
  <si>
    <t>Bianca Perfectas, me encanta comprar por Amazon, mi talla es una 36 pero cogi una 35 y me quedo super bien!</t>
  </si>
  <si>
    <t>Como se esperaba Rapidez y calidad</t>
  </si>
  <si>
    <t>Santiagi Muy contento con la compra por que con todos los accesorios que vienen se pueden hacer muchas cosas. Yo tenía una igual y esta la e comprado para mi cuñada y esta muy contenta</t>
  </si>
  <si>
    <t>Buenas velocidad a buen precio. Para mí, de momento un buen producto a muy buen precio. No he tenido problemas de temperatura con el de momento y rinde como indica el fabricante. Lo utilizo principalmente para tener los videojuegos principales.</t>
  </si>
  <si>
    <t>Engaño Dice que tiene 320G pero solo tiene 290 me siento un poco engañado</t>
  </si>
  <si>
    <t>Buena calidad Muy buena calidad, pero tuve que limar un lateral para que encajase en el reloj, 22 mm pero la pulsera, de uno de los lados, tenía más de 22, por eso tuve que limarlo. No lo devolví porque ya lo había limado.</t>
  </si>
  <si>
    <t>Poco práctico... no quedan bien los cristales La goma dificilmente limpia bien cuando está todo extendidoy no puedes hacer presión correctamente</t>
  </si>
  <si>
    <t>2 Usos y ya no funciona . . . . . . Me duro 2 Usos . . . . . ya no funciona .</t>
  </si>
  <si>
    <t>es pequeño no me a gustado porque es mas pequeño de lo que me esperaba</t>
  </si>
  <si>
    <t>Cronografo de tipo low key. Un cronógrafo de cuarzo práctico y elegante, pero con las manos y esfera poco contrastados. Para vestir de sport elegantemente pero discretamente.</t>
  </si>
  <si>
    <t>Los volvería a comprar Fue para un regalo y estaban encantados con ellos.</t>
  </si>
  <si>
    <t>Un diseño retro muy bonito pero... &lt;div id="video-block-R3HQIHR5U1IXNO"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src="https://images-eu.ssl-images-amazon.com/images/I/A1Ex+uyCmAS.mp4" style="position: absolute; left: 0px; top: 0px; overflow: hidden; height: 1px; width: 1px;"&gt;&lt;/video&gt;&lt;/div&gt;&lt;div id="airy-slate-preload" style="background-color: rgb(0, 0, 0); background-image: url(&amp;quot;https://images-eu.ssl-images-amazon.com/images/I/91zzmzTFkHS.png&amp;quot;);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center;"&gt;0:31&lt;/div&gt;&lt;div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value="https://images-eu.ssl-images-amazon.com/images/I/A1Ex+uyCmAS.mp4" class="video-url"&gt;&lt;input type="hidden" name="" value="https://images-eu.ssl-images-amazon.com/images/I/91zzmzTFkHS.png" class="video-slate-img-url"&gt;&amp;nbsp;Me encanta el DISEÑO RETRO de este hervidor, y el color rosa pastel (que particularmente no encuentro cursi).  Tiene un FILTRO que se quita muy fácilmente para limpiarlo y PROTECCIÓN CONTRA HERVIDO EN SECO.  Tiene RECOGECABLES en la base, y va bastante bien para cuando queremos guardar el hervidor. Y el interruptor de encendido/apagado tiene un LED de color azul que indica cuándo está el hervidor en marcha.  Cuando viertes el agua hirviendo, no se cae ni una gota fuera del caño  PERO aquí se acaba todo lo que me gusta.  Es un HERVIDOR UN POCO LENTO. Tarda 4 minutos en hervir los 1,5 l de agua, que es su capacidad máxima.  Tiene INDICADOR DE CAPACIDAD MÁXIMA pero no tiene indicador de capacidad mínima. En el manual pone que es una taza, así que si sólo queremos hacer infusión para una persona, tenemos que usar la taza o un medidor.  Aunque la tapa y el asa, que son de plástico recubierto de una goma un poco rugosa que es antideslizante y no se calientan, el cuerpo del hervidor SE CALIENTA MUCHÍSIMO ya que no tiene una capa aislante, así que hay que ir con cuidado para no quemarnos en un descuido. ¡Ah! El borde de la tapa es de acero inoxidable y también se calienta mucho.  El asa va bien tanto para diestros como para zurdos, sin embargo resulta un poco molesta para quitar y poner el filtro y para llenar el hervidor de agua.  Cuando pones el agua hirviendo en la taza para la infusión hay que ir con cuidado para que no nos quememos con el vapor que sale por el caño junto con el agua.  CONCLUSIÓN - Con este hervidor tengo sentimientos encontrados. Por un lado, me gusta mucho su diseño retro y el color rosa pastel. Sin embargo, creo que algunos aspectos del diseño son mejorables. Así que después de darle muchas vueltas, le pongo tres estrellas porque el precio me parece excesivo vistos los peros que le he puesto.</t>
  </si>
  <si>
    <t>Ciao tortícolis Cuando eres universitaria y tienes que leer y usar 50 mil libros para estudiar y hacer trabajos... Te salva la vida, el cuello y la espalda.</t>
  </si>
  <si>
    <t>útil Muy útil y versatil</t>
  </si>
  <si>
    <t>Correcto Ofrece lo que correcto</t>
  </si>
  <si>
    <t>Buena fijación Me ha servido bien para lo que necesitaba, se sujeta fuerte a muchos tipos de superficie donde lo he probado, gracias a las bridas que  trae las puedo graduar acorde al grosor del elemento a sujetar</t>
  </si>
  <si>
    <t>Genial Producto de muy buena calidad, comodo y me salio por 24€ en black friday asi que no puedo pedir mas</t>
  </si>
  <si>
    <t>Calidad top Fue para regalar y la persona está encantada. Las usa casi a diario y aun así están como el primer día. Talla algo grande así que recomiendo coger una menos.. por lo demás son perfectas.</t>
  </si>
  <si>
    <t>Recomendado La relación calidad precio es impresionante, los hay mejores, pero el precio es muy bueno</t>
  </si>
  <si>
    <t>Originales y nuevas. Talla perfecta. Botas Dr. Martens Jadon Black en talla 38, todo como esperaba. Nuevo y original con caja y etiqueta oficial de Dr. Martens. El tallaje es correcto, ni grande ni pequeño como había leído por ahí. Si hubiese pedido un número menos me estarían pequeñas.</t>
  </si>
  <si>
    <t>Smoothie Máquina smoothie muy práctica, es de tamaño reducido para poder tener en la cocina, y con la suficiente capacidad para unos dos zumos más o menos, la que tenía anteriormente no la usaba por lo grande que era. Con mecanismo de seguridad, viene preparada para que puedas llevar directamente el envase para beber. Tritura estupendamente y para el precio que tiene me parece de bastante buena calidad. Genial para hacer zumos en verano en pocos segundos. Muy contenta con la compra, buena para tener o regalar.</t>
  </si>
  <si>
    <t>Muy adecuado Los auriculares, son cómodos y se escuchan aceptablemente por el precio que tienen no merece la pena gastar más por otros más caros que se escuchan igual y además estos vienen con micro incluido. Lo recomiendo.</t>
  </si>
  <si>
    <t>Cómodas Me gustan porque son muy cómodas y quedan bien con todo. Contento con la compra.</t>
  </si>
  <si>
    <t>Práctica Batidora práctica, tenemos una más grande pero en esta hacemos el zumo y bebemos directamente de ella, es más fácil de limpiar que la grande. La fruta conviene echarla algo troceado, hay que tener en cuenta que va a batería y eso le ayuda a triturar mejor.</t>
  </si>
  <si>
    <t>Buen sonido A mi me han gustado mucho , tienen buen sonido, a ver cuanto duran. Por el momento están perfectos y los utilizo mucho, los volvería a comprar</t>
  </si>
  <si>
    <t>IDEALES Preciosas, cómodas y muy ligeras. Talla grande osea que pedir una talla menos,a mí por lo menos me pasó.. Las recomiendo 100%</t>
  </si>
  <si>
    <t>Auriculares buenos, cómodos y perfectos para trabajar Buena calidad de sonido, el micrófono reduce muy bien ruidos exteriores. El control de volumen y micrófono funciona correctamente y es muy útil cuando en llamadas para controlar la configuración del dispositivo y audio.  Tienen un buen diseño, perfecto para ambientes de trabajo. El cable es bastante largo lo que permite movilidad.  Muy buena relación calidad/precio.</t>
  </si>
  <si>
    <t>Todo ok, caja muy util Tras comprar unos para mí mi padre me pidió unos para el pero no le gustaba la caja de los míos por lo que me decidí por estos y ha sido un acierto, el por lo menos está contento</t>
  </si>
  <si>
    <t>Originales y cómodas Quedan perfectas. Los numeros corresponden a los españoles. Son originales!!</t>
  </si>
  <si>
    <t>Perfecta Tal y como se especifica.</t>
  </si>
  <si>
    <t>De momento, cumple! Lo adquirí para una PS3 modelo FAT, y de momento va bien. Al tener que instalar el firmware en el disco duro, va mucho más rápido que el original. Antes, realice un test en pc y cumple con la velocidad que anuncia el fabricante. Espero que dure su tiempo... De momento, lo recomiendo.</t>
  </si>
  <si>
    <t>Calidad de marca garantizada Siempre compro esta marca porque es garantía de calidad de sonido y del material de los cascos que a mi por lo menos me duran mucho salvo si soy muy patoso y los rompo yo, y nada más que añadir he probado otros cascos y en calidad los de esta marca es insuperable, sin distorsión de ruido y el sonido muy limpio. Garantía de una buena marca de cascos</t>
  </si>
  <si>
    <t>Parece que ya ha sido usado. Parece que ya ha sido usado. Al abrir la caja, el cepillo estaba sucio, con una especie de polvo o serrín. La suela tiene unas manchas, no parece nueva. Ver fotos. Aparte de eso, funciona correctamente</t>
  </si>
  <si>
    <t>Cómodos sí, pero sonido regular. Por los muchos comentarios ensalzando estos auriculares, me decidí por ellos. Realmente son cómodos y ligeros, pero la calidad de sonido, para escuchar música, es pobre. Muy poca definición en cualquier frecuencia. Sí que tienen buena resonancia, (que no definición de graves o bajos); en el resto de frecuencias, (medios o altos), peor aún. Si buscas unos auriculares de diadema, con micrófono incorporado, para juegos, o televisión; pueden ir bien. Seguramente por su precio no hay nada mejor. Ahora bien, si buscas unos auriculares para escuchar música, a menos que no tengas referencia alguna para comparar; estos sony se quedan cortos.</t>
  </si>
  <si>
    <t>garantia de compra Hola el producto se me averió al poco tiempo (6meses) de comprarlo sin más el ordenador no lo reconocia, y un hijo mío me comentó el mes de agosto que como todavía le quedaba garantía  reclamase mi derecho, y lo hablé con Amazon y como siempre trato esquisito. Me facilitaron el correo de fabricante y tras 2 mails y uanas fotos la marca me ha repuesto el pendrive un 10 para Amazon y otro para kingston</t>
  </si>
  <si>
    <t>MUY MALA CALIDAD El producto no se si sera el fixo autentico, es de muy mala calidad, al intentar sacarlo para pegar algo , se raja y no sale la tira completa, no lo devuelvo porque evidentemente he tenido que usar 1 rollo y ya no esta el paquete completo. No recomiendo a nadie que lo compre. Lo compre creyendo que era "fixo" además de romperse, he intentado usarlo para pegar Precios en frutería y con el único peso de una minicartulina del tamaño de una tarjeta de crédito se despega y se cae si todos son como los que yo he recibido es una estafa , no por parte de AMAZON sino por parte del proveedor de este producto.</t>
  </si>
  <si>
    <t>No me gusta No me gusta es pequeño y la correa es para otro tipo de reloj.  no  lo volveria a comprar .</t>
  </si>
  <si>
    <t>Son preciosas Son preciosas y calzan estupendamente. Yo gasto un 39 y me quedan perfectas. Las recomiendo. Y no tengo nada más que añadir.</t>
  </si>
  <si>
    <t>Buen precio De momento funcionando.</t>
  </si>
  <si>
    <t>Muy cómodo Lo compré para mi madre que tenía problemas de fuerza en los brazos y es perfecto. Muy recomendable. No volveré a los cubos tradicionales.</t>
  </si>
  <si>
    <t>bolsa apañada No es una bolsa que aparente mucha calidad. Sin embargo su forma y sus espacios te permiten llevar teléfono y cartera con llaves de manera cómoda. Tiene buen precio. El bolsillo que se ve en la asa es muy pequeño para los móviles actuales</t>
  </si>
  <si>
    <t>Perfecta para foto y vídeo profesional Es estupenda, tengo 4 iguales y funciono de manera profesional con ellas. Rápidas tanto para foto como para vídeo. Recomendable 100%</t>
  </si>
  <si>
    <t>Todo ok tal como describe el vendedor Todo ok tal como describe el vendedor</t>
  </si>
  <si>
    <t>Seguro que no son las últimas Ya había probado las anteriores y estás son mucho mejores. Más estables e igual de cómodas</t>
  </si>
  <si>
    <t>Muy buena Suelta y fresca... camiseta ancha</t>
  </si>
  <si>
    <t>Buen producto Muy buen producto. Aunque solo lo he usado para hacer la papilla de fruta de los niños. Pero con sus dos marchas, va perfecto. Tiene ventosas para que se agarre a la mesa.</t>
  </si>
  <si>
    <t>Quizás sea pronto para opinar Llevo con él, escasamente un mes. Lo pille de 2º mano por 84€ el de 4Tb en rojo. He de decir que aunque en la descripción parecía que iba a tener arañazos por todas partes, cuando lo abrí no tenía ni uno. Completamente nuevo. Se veía que era de 2ª mano por el embalaje, pero poco mas. En este mes lo he utilizado apenas 10 veces y aunque he metido y sacado ficheros de gran capacidad en ningún momento me ha dado problemas. La velocidad que a mi me llega de media son unos 70Mb/s que está bastante bien comparado con otros que tengo. Lo mejor de momento la relación calidad/precio. Por cierto, aunque no tenía predilecciión por ningún color, el rojo es muy bonito</t>
  </si>
  <si>
    <t>El producto es muy bueno y recomendable El producto es muy bueno, la calidad de audio es muy buena la presentación del estuche es estupenda, pero lo mejor es que pesa muy poco y es super cómodo. El proveedor no entendió como hacer la factura, pero lo resolvió y todo terminó bien, por lo que recomiendo este producto y a este vendedor.</t>
  </si>
  <si>
    <t>Tarjeta de memoria micro sd Se trata de una tarjeta de memoria micro SD con multitud de aplicaciones  En mi caso fue para una cámara deportiva que soportaba un máximo de 32GB  El funcionamiento de la tarjeta de momento es impoluto y Samsung no creo que me defraude ya que no lo ha hecho en el pasado  Personalmente, recomendaría su compra si encaja en las capacidades que buscan. Se trata de un buen producto</t>
  </si>
  <si>
    <t>Cumple su función, buena relación calidad-precio Calienta todo el agua bastante rápido, aunque esté llena. Hace lo que tiene que hacer. Después de 6 meses de uso diario sigue como el primer día. El color gris metalizado combina con cualquier cocina.</t>
  </si>
  <si>
    <t>para caminar valen basicas pero para caminar sobra.Sencillas ..no es para hacer deporte.plantilla no.muy blanda pero he caminado bastante y he estado comoda</t>
  </si>
  <si>
    <t>Calida precio Muy comodo y bonito, cumple con las expectativas</t>
  </si>
  <si>
    <t>Tal cual aparece en la fotografía Es tal cual aparece en la fotografía. Es bastante fina y flexible, pero está bastante bien y más teniendo en cuenta el precio que tiene. La recomiendo.</t>
  </si>
  <si>
    <t>Listo para disfrutar del Scrap!!! Es un conjunto muy completo para hacer tu exploding box de recuerdos. Personalmente me ha encantado no tener que medir, troquelar y cortar. Ya había hecho alguna y esto es un avance importante para centrarte sólo en la parte creativa y emotiva de la elaboración. El montaje viene muy bien explicado. Fácil y muy bonito. Listo para disfrutar del Scrap.</t>
  </si>
  <si>
    <t>Facil de limpiar Va genial! Es super mono, y no hay problemas para meterlo al lavavajillas</t>
  </si>
  <si>
    <t>Buen PENDRIVE. Muy buenos acabados, USB 3.0 y gran velocidad de copia de ficheros del USB al ordenador y viceversa, muy recomendable su compra.</t>
  </si>
  <si>
    <t>Mejor precio imposible Son lo que se esperaba a un precio estupendo</t>
  </si>
  <si>
    <t>Calidad precio buena Muy buena</t>
  </si>
  <si>
    <t>No merecen la pena no me han gustado, todavia no los he usado, pero cuando compare el grosor con otros paños pensaba iban a se mejores. Son muy finos</t>
  </si>
  <si>
    <t>Poco fiable Difícil de limpiar se atasca con facilidad</t>
  </si>
  <si>
    <t>Mal vendedor Tanto el vendedor como amazon me han tomado el pelo,y han ignorado mi queja de que se me desgasto la suela en menos de dos semanas provocándome una lesión en la pierna izquierda</t>
  </si>
  <si>
    <t>mal Le faltaba el libreto de ejercicios, que lo pone en la caja que lo lleva, el rulo se notaba que estaba usado</t>
  </si>
  <si>
    <t>El día de la entrega Me a gustado todo. La prenda está en buen estado y entregada en el día acordado</t>
  </si>
  <si>
    <t>Bonitas Están bien sobre calidad precio</t>
  </si>
  <si>
    <t>Seguridad y poco consumo Estilo +++ Base  un poco endeble</t>
  </si>
  <si>
    <t>Para pasar un buen rato Funciona muy bien y se oye por el altavoz del micro tanto la voz como la música sincronizada. No es un micro profesional, pero da el pego. El único pero, es que los botones (palancas) de los volúmenes y eco, podrían ser un poco más precisos. Para pasar un buen rato con amigos, fiestas, etc.</t>
  </si>
  <si>
    <t>Es bastante rápida y no se calienta cuando la usas de manera intensiva Esta es una memoria de 128 GB con la carcasa de plástico y conector USB 3.1. Por tanto es compatible con cualquier dispositivo puerto USB (es compatible con el USB 3.0, 2.0 y 1.1).  Tiene un tamaño de 56,7 × 18 × 9 mm y es “plug and play”, es decir, no necesita ningún driver para funcionar correctamente. Mientras la estás utilizando puedes poner el capuchón detrás para que no se pierda. Y tiene  Viene formateada en FAT32 lo que limita el tamaño de los archivos que podemos transferir a 4 GB. Si quieres transferir archivos más grandes tendrás que formatearla a NTFS o a exFAT. Yo no lo he hecho porque los archivos que paso de un lado a otro son de menor tamaño (básicamente documentos, imágenes y pequeños vídeos que hago con el teléfono).  Tiene unas velocidades nominales de lectura y escritura de hasta 400 MB/s y hasta 100 MB/s respectivamente.  En la práctica la memoria es un poco más lenta pero hay que tener en cuenta de que la velocidad de transmisión depende también del otro dispositivo. En cualquier caso, es muchísimo más rápida que una memoria USB 2.0 y eso se nota cuando tienes que transferir archivos grandes.  No se calienta aunque la uses de manera intensiva. Y es resistente a los golpes porque se me ha caído alguna vez al suelo y sigue funcionando correctamente.   PERO No se enciende ninguna luz para indicar que está funcionando o que ha dejado de leer o escribir datos, así que hay que ir con cuidado. Y siempre extraer la memoria con seguridad.</t>
  </si>
  <si>
    <t>RECOMENDABLES 100% Son perfectas,tal y como aparecen en la foto,súper cómodas!!las uso para hacer cycling en el gimnasio y van genial.</t>
  </si>
  <si>
    <t>Buena durabilidad Compré estos auriculares sin muchas expectativas ya que a mi me gustan con cable. Son los primeros que tengo de este tipo (bueno, compré otros más pero de las ofertas que suele haber por 5€...) y he de decir que me han sorprendido. Lo que más me preocupaba es que no duraran los suficiente, me paso el día escuchando música y necesito que duren MUCHO tiempo para no tenerlos que cargar cada dos por tres. Estos duran hasta varios días, dependiendo las horas de uso que le de cada uno. En cuanto al sonido decir que ni es excepcional ni de los mejores que he probado pero desde luego cumplen bien su función y lo primero solo lo va a notar gente muy puesta en el tema de sonido. (Para mi de hecho, suenan muy bien). Compra recomendada si no quieres gastarte mucho dinero y tampoco eres un friki del sonido. Para un usuario medio.</t>
  </si>
  <si>
    <t>Todo correcto. Funcionamiento correcto en ráfagas de foto RAW, embalaje y plazo de entrega correctos. Vienen con sus estuches individuales. Volveré a comprarlas si necesito mas capacidad.</t>
  </si>
  <si>
    <t>Buena aspiradorA Buena aspiradora. Tiene potencia de succión y una comodidad a la hora de hacerla funcionar.</t>
  </si>
  <si>
    <t>Muy buena calidad y muy caliente. Camiseta de muy buena calidad. Es muy caliente usada para lo que es, como primera capa. Merece la pena si se va a usar en temperaturas frías. No es 100% lana merina, pero sigue siendo muy cálida y a la vez transpira mejor que otras que tengo 100% lana merina. La recomiendo.</t>
  </si>
  <si>
    <t>Pantalla con buen brillo y a color Buena pulsera, ofrece de todo. Tenía la miband de xiaomi y compré esta porque la miband se ve bastante mal en verano. Sin embargo en esta la luz es más potente(se puede regular) y además es a color(ver en la última foto la comparación). Tiene todos los modos de ejercicios que hago y cuenta con bastante precisión.</t>
  </si>
  <si>
    <t>Sudadera Calidad precio bien</t>
  </si>
  <si>
    <t>forma muy ergonomica forma muy ergonómica y fácil de limpiar. aunque la tetina de cereales es demasiado grande, mi bebe tiene 6 mees y medio y aun no la puedo utilizar pues se atraganta</t>
  </si>
  <si>
    <t>Pizarra Buena</t>
  </si>
  <si>
    <t>LA mejor marca Los compre para intrudir la leche con cereales a mi hijo. Si le echas demasiados cereales se tapona. Es cojerle el punto. Va muy bien</t>
  </si>
  <si>
    <t>Funciona como esperaba, la velocidad sería algo discutible. Por ponerle un par de pegas no he sido capaz de alcanzar la velocidad prometida de lectura escritura al conectarlos a usb 3.0. Es tan pequeña que resulta fácil perderla, no se si estoy es una ventaja o un inconveniente. Fabricada el aleación metálica real, no es plástico pintado. El envio por parte de Amazon, perfecto, como siempre.</t>
  </si>
  <si>
    <t>Muy buen producto Me ha gustado mucho para el precio que tiene hace una buena función, cómodo de usar y de manejar y ocupa poco espacio, por poner un pero diré que cuando le pones la tapadera al vaso para beber hay que poner bien la boca para que no te manches, pero haciendo eso, perfecto</t>
  </si>
  <si>
    <t>Q lo puedes llevar en casa y cada uno hace su función Lo comodo q son mientras estas en casa haciendo cosas.</t>
  </si>
  <si>
    <t>muy buena La velocidad de transferencia se sostiene perfectamente (aunque el autoradio no la aprovecha), pero se agradece mucho cuando se trata de cargar la música en ella. En cuanto a su resistencia a la temperatura, algo que no debemos obviar si vamos a usarla para este cometido, es la primera que encuentro que: a) No se calienta aunque lleve horas conectada al ordenador b) Ha soportado las temperaturas que se alcanzan dentro de un vehículo aparcado a pleno sol. Otras que usaba antes se estropeaban con frecuencia.  Y por el precio que tiene siendo de 64Gb... es un regalo</t>
  </si>
  <si>
    <t>La vida es más agradable En una caja muy bonita, hay 12 aromas diferentes. Huelen muy bien, se relajan, seguiré comprando ... Muchas gracias por hacer que la vida sea más agradable ...</t>
  </si>
  <si>
    <t>Un regalo más. Lo compré para regalárselo a mi hija de 17 años. Por su aspecto me pareció elegante y discreto para ella, no me equivoque, le gusto. Vino en una bonita presentación y tiene un buen acabado.</t>
  </si>
  <si>
    <t>Buen producto Muy buena presentación y aspecto de componentes, cumple con todo lo que publicita, producto muy recomendable sobre todo para personas que lo instalen en cajas transparentes.</t>
  </si>
  <si>
    <t>Buena calidad Buena calidad</t>
  </si>
  <si>
    <t>Desilusionado Las zapatillas son muy bonitas. La talla que me pedí es la correcta y me queda bien pero me aprietan por encima. Nunca me ha pasado con ninguna otra zapatilla. Por eso estoy desilusionado.</t>
  </si>
  <si>
    <t>Sorpresa en el mismo número Tengo un problema con estas zapatillas , mi hijo ya tiene unas y así viejas y son el número 41 1/3; pues pedí el mismo modelo y mismo número y me encuentro que le quedan grandes le sobra al menos un número , no entiendo lo que pasa pienso que puedan estar mal numeradas Siempre utiliza las mismas zapatillas por ese quede muy sorprendida , cierto es que siempre las compré en El Corte Inglés</t>
  </si>
  <si>
    <t>No son extra fuertes Había comprado otros de otra marca y eran mucho más fuertes y duraderos. La verdad es que los he ido probando y se han estropeado bastante (no tan fácil como los más senzillos, pero más rapido que los fuertes de verdad)</t>
  </si>
  <si>
    <t>Poca calidad Se me an roto en seguida, ni medio año an durado.</t>
  </si>
  <si>
    <t>Cierre mal se abre El cierre se abre y se caen todos los colgantes he tenido pegar con pegamento</t>
  </si>
  <si>
    <t>Alberto Laserna Villa Lo compré ayer y lo devuelvo hoy. La correa viene rota, con tres grietas, por lo que entiendo que el material es de muy mala calidad.</t>
  </si>
  <si>
    <t>Todo bien Las zapatillas son perfectas</t>
  </si>
  <si>
    <t>Muy buena Muy buena para el dolor de espalda y para hacer trabajos de jardinería menores.</t>
  </si>
  <si>
    <t>Cumple Cumple con lo ofertado</t>
  </si>
  <si>
    <t>Mejor de lo que esperas. Verdaderamente ha cubierto mis expectativas sobradamente. Robusto, bien acabado y llamativo. Satisfecho con la compra realizada y mejor de lo mostrado en web.</t>
  </si>
  <si>
    <t>Sirve para lo que es. Despues de llevar tantos años sin utilizar las cintas de casete de musica, ya casi olvidadas por falta de uso y de los años que tienen buscando por internet vi este aparato y me he decidido comprarlo para pasar las cintas viejas que hay todavia por casa y que me traen muy buenos recuerdos. Contenido de la caja el convertidor, con los auriculares correspondientes en color negro, pilas no trae incluidas ni tranformador para conectarlo a la luz. El diseño esta chulo es moderno, su peso es casi mas o menos 300 gramos bastante mas pesado que un movil, ponerlo en marcha es facil le ponemos dos pilas del tipo AA y metemos el casete o cinta que queremos copiar y el usb donde lo vamos  a copiar la musica. Decir que se puede utilizar para tambien reproducir la musica o para escuchar musica del usb, es una lastima que no traiga para escuchar la radio y que se pudiera cargar por usb y no tener que llevar pilas. Podemos conectarle un pequeño altavoz externo si no queremos poner los cascos.</t>
  </si>
  <si>
    <t>Genial Después de 2 semanas utilizándolo cada día estamos muy muy contentos con el producto. El control de temperatura es súper práctico, el agua hierve muy rápido y el diseño es muy elegante. Una gran compra</t>
  </si>
  <si>
    <t>Cómodos y elegantes Una buena compra; en blanco con su cajita a juego; se recargan en la propia cajita de transporte, la carga es a través de cable micro usb y la batería muy duradera;  aísla del sonido exterior y no caen aunque los uses en movimiento Fáciles de sincronizar</t>
  </si>
  <si>
    <t>Lo recomiendo Son los mismos que te vienen con el samsung s8 plus</t>
  </si>
  <si>
    <t>De los mejores biberones que hay. Buena calidad, bonitos, prácticos... lo tienen todo. Los compre hace ya meses y siguen como nuevos, los lavo en el lavavajillas y aguantan estupendamente.</t>
  </si>
  <si>
    <t>Me encanta. Parece de piel y tiene lo que necesito. Me encanta. Parece de piel y tiene todos los huecos que necesito: llaves de uso común en bolsillo inferior delantero, llaves de uso menos común en el superior y ratón para mi Surface. Y ya dentro, la Surface (o iPad) de 10" en el saco interior, cargador múltiple en bolsillo pequeño interior, cables de carga en el otro bolsillo pequeño interior, y bolsa con medicamentos en el bolsillo grande inferior. Y el resto de espacio para portagafas. No necesito más.</t>
  </si>
  <si>
    <t>ERGONOMICO EXCELENTE por su ergonomía, facilidad de uso. ideal para el trabajo en casa y en la oficina. FACIL DE MANEJAR</t>
  </si>
  <si>
    <t>Perfecta y muy fresquita!!! La compró mi mujer para ella, y de ella es la opinión. Aparte del tema de la talla en Joma (yo utilizo una S normalmente y en este camiseta tienes que pedir una L) la calidad y el tejido buenísimo, y es super fresquita para el verano. Tengo más de otros colores. Repetiré la compra sin duda.</t>
  </si>
  <si>
    <t>Genial Simplemente genial!</t>
  </si>
  <si>
    <t>Recomendable Son muy comodas , únicamente yo uso un 43 y el 42 me habria quedado mejor</t>
  </si>
  <si>
    <t>Muy buen prendrive Pendrive de gran capacidad, muy pequeño para guardar en cualquier lugar. Al principio daba un error como que estaba lleno, pero al formatearlo funcionó a la perfección.</t>
  </si>
  <si>
    <t>Buena calidad Es un producto que no hay que descubrir ahora. Lo compré en este modelo por la facilidad para aplicar con el pincel en determinados arreglos. El precio es más o menos como en el resto de tiendas</t>
  </si>
  <si>
    <t>Nutribullet Durabilidad no lo sé....se ve de buena calidad,yo la utilizo para batidos y moler la comida de mi bebé y la verdad que muy bien</t>
  </si>
  <si>
    <t>Perfecta Muy cómodas</t>
  </si>
  <si>
    <t>Excelente Excelente acabado y materiales. Gran potencia y capacidad de regulación de la velocidad incluyendo función turbo. Artículo totalmente recomendable.</t>
  </si>
  <si>
    <t>Llego en buen estado Perfecto</t>
  </si>
  <si>
    <t>RELOJ CITIZEN ME LLEGO MUY RAPIDO DESDE ITALIA EN TRES DIAS Y ADEMAS VENIA DENTRO DE UNA BOMBONA DE BUCEO DE PLASTICO BASTANTE GRANDE QUE NO APARECE EN LAS FOTOS, EL EMBALAJE ES EL MEJOR QUE ME AN MANDADO DESDE QUE COMPRO EN AMAZON MUY CURRADO Y CON LA GARANTIA SELLADA  Y TARJETA CITIZEN MAS MANUAL DESDE UNA RELOJERIA DE ROMA, EL RELOJ YO PENSABA QUE ERA MAS GRANDE  PERO TAMBIEN ES MUY LIGERO Y EL DETALLE DE QUE SE PUEDA VER LA HORA DURANTE TODA LA NOCHE ESTA MUY BIEN, YO LA MANECILLA AL SACARLA LA NOTO UN  POCO FLOJA PERO TRAS VOLVER A METERLA SE QUEDA BIEN AJUSTADA.</t>
  </si>
  <si>
    <t>Comodo Es comodo y lo principal, la beteria dura y es preciso. En otros que he tenido la bateria no duraba nada y la precisi'n dejaba bastante que desear.</t>
  </si>
  <si>
    <t>Perfecto Perfecto. Relación calidad/precio fantastica.</t>
  </si>
  <si>
    <t>cumple a la perfeccion su funcion a primera vista parece que el tubo es un poco estrecho, pero no lo es.  Va muy bien y el aspecto final queda muy elegante.  Yo compré transparente y queda muy bien.  Recomendable.  Precio ajustado.</t>
  </si>
  <si>
    <t>Pequeño El tallaje es muy pequeño</t>
  </si>
  <si>
    <t>Están bien,muy poco transparentes Bien</t>
  </si>
  <si>
    <t>Huele a petroleo Se te quedan las manos oliendo a petróleo un buen tiempo, y el artículo para el que lo he utilizado igual. Pero cumple su cometido</t>
  </si>
  <si>
    <t>Mal No tiene nada que ver con el de la foto ! El Pantalon es muy ancho y  no llega gasta el Tobillo ! Vamos no vale la pena comprarlo</t>
  </si>
  <si>
    <t>No he llegado ni ha probarla Visto los comentarios de otros usuarios mi caso no es diferente. No he llegado ni a utilizarla, fue conectarlo a la corriente, darle al boton y ya ni funcionaba. 22/11/2018:  hablé con Amazon y me la cambiaron sin problema, la voy utilizando de vez en cuando y por el momento me funciona bien, espero que me dure lo máximo posible esta vez</t>
  </si>
  <si>
    <t>Que realmente proteja de los fraudes, utilizando el chip con cualquier datáfono. Me gusta que es finito, que tenga el metal protector dentro, me gusta el color y que parece práctico. Lo mejoraría en su apertura, haciendo por ejemplo un lado más corto que el otro, cuesta un poco abrirlo al querer meter la tarjeta. Por lo demás muy bien.</t>
  </si>
  <si>
    <t>Pequeño pero maton Es mas pequeño de lo que pensaba y del que tenia antes. Aun asi esta muy bien diseñado y distribuido, me caben mejor las cosas y no molesta. Aun tengo espacio para algo mas si me hace falta. Muchos compartimentos, bien pensado. Solo un pero, la correa podria ser mejor no es muy comoda, pero no llega a molestar.</t>
  </si>
  <si>
    <t>Bonita y comodas. Son tipo licra cómodos y tallaje normal. Son negros y la línea en color le da un toque. Son cómodos para hacer deporte.</t>
  </si>
  <si>
    <t>Todo correcto Tal y como se ve en la foto.</t>
  </si>
  <si>
    <t>Justo lo que esperaba Pues he ido a por ella en un punto locker y la verdad que era lo que esperaba, he pedido mi número, un 43 y esta perfecta.</t>
  </si>
  <si>
    <t>Mejor de lo que esperaba Muy bien embalada. Color bonito(cogí naranja) y tejido bien acabado. Pesa un poquito para mi gusto, pero en general estoy contenta.</t>
  </si>
  <si>
    <t>Muy comodo Genial, como todos los de la marca comidisimo.</t>
  </si>
  <si>
    <t>muy bonita es pequeña pero muy bonita y de buena calidad</t>
  </si>
  <si>
    <t>Calidad Muy bien</t>
  </si>
  <si>
    <t>Practico y potente Aspirador potente y con una calidad aceptable</t>
  </si>
  <si>
    <t>Me encanta esta marca Este verano compre esta marca y he repetido, estoy muy satisfecho con la compra.son muy cómodos y ligeros,como en la foto.</t>
  </si>
  <si>
    <t>La rapidez que a veces tiene actualmente. Lo bien envuelto que vino y lo utilizo para almacenar música para mis equipos.</t>
  </si>
  <si>
    <t>ME ENCANTAN ME VOLVERIA A COMPRAR OTRAS PQ SON SUPER COMODAS Y SUPER Y TE LAS PUEDES PONER CON CUALQUIER TIPO DE ROPA.</t>
  </si>
  <si>
    <t>Muy buena compra Reloj con muy bonito diseño,moderno y de buena calidad,el tamaño es el adecuado según muy gusto un reloj  con esfera grande pero que no sea molesto,,me he hecho un seguimiento estos días y todo va muy bien,además es de agradecer a la hora de regalo tanto la presentación como el que traiga el paño para poder limpiarlo como el pequeño destornillador,muy buena relación calidad ,precio</t>
  </si>
  <si>
    <t>El producto en si Me ha gustado todo, muy bien entregado.</t>
  </si>
  <si>
    <t>Elegante Muy bien por el precio. Remoj con el cual vistes perfectamente.</t>
  </si>
  <si>
    <t>Cumple las expectativas El Colgate tiene como un cristal q rellena el oso.</t>
  </si>
  <si>
    <t>El mejor biberón Para regalo. Elegimos de cristal porque no coge olores y es mucho más práctico.</t>
  </si>
  <si>
    <t>Buena calidad -precio. Muy bonitas y comodas.muy buena calidad.Tal y  como lei en las opiniones compre una talla más y acerte.Salomon hace tallaje muy justo y para senderismo se recomienda que sobre un dedo por el talon.</t>
  </si>
  <si>
    <t>Versátil y cómodo para hacer ejercicio Unos auriculares cómodos y versátiles, se adaptan perfectamente a la oreja, con lo que al hacer ejercicio no se caen. Tienen una duración de 4 a 6 horas. Además viene acompañado de un cable de carga mini-usb,2 juegos completos de goma para reponer los auriculares, y una bolsa muy practica para guardarlos</t>
  </si>
  <si>
    <t>Sencillos pero prácticos Son sencillos pero muy prácticos (es lo que necesitaba de ellos). La caja cargadora es muy práctica, también tiene una salida para recargar el móvil si lo necesitas.</t>
  </si>
  <si>
    <t>Como esperado Buena</t>
  </si>
  <si>
    <t>No cumple No aguanta el peso que se supone que debe aguantar. Lo he probado en varios productos y acaba siempre cediendo</t>
  </si>
  <si>
    <t>No transpira, sí impermeabiliza Mono y hace el apaño, además lleva capucha. Impermeable estupendo pero transpirabilidad 0. Acabo con él chorreandito. Esperaba algo más de calidad.</t>
  </si>
  <si>
    <t>Clarks Vargo Plain, talla muy por encima de la habitual. Es un zapato cómodo, ligero y de diseño bonito, con aparente buena relación calidad-precio. Lamentablemente la talla (pedí un 41,5) correspondería como a un 42,5. Un tamaño enorme, tuve que devolverlo. Aconsejaría a futuros compradores tuvieran en cuenta esta circunstancia y pidieran, al menos, una talla inferior a la habitual.</t>
  </si>
  <si>
    <t>Malo Pequeñisimo uno d ellos o cerraba no lo devolví porq era mucho trabajo para el precio q tiene</t>
  </si>
  <si>
    <t>No es original El reloj que me ha llegado es una falsificación. El producto no ha llegado en su caja original y no corresponde con el producto original de Casio. Siempre que os llegue un reloj Casio en una caja que no sea la original os recomiendo que busquéis información sobre las réplicas por que es posible que tengáis una. La atención por parte de Amazon muy correcta en la devolución.</t>
  </si>
  <si>
    <t>De utilidad. Útil. Parece de buena calidad.</t>
  </si>
  <si>
    <t>Cumple su función Realmente pensaba que se quedaba mas introducido dentro del hueco del usb. Lo compre para ponerlo en la radio del coche, y esta muy bien, aunque sobresale un poco mas de lo que esperaba. respecto a la calidad, tan buena como siempre, y el precio realmente comprensivo. (mi radio es una pioneer con ranura para usb, la típica de los coches.)</t>
  </si>
  <si>
    <t>Buenos para limpieza Para limpieza son unos paños, bayetas, muy buenos. Forma rectangular. Llevan una etiqueta grande, en mi opinión, hay que quitarla, estorba cuando usas el paño, la etiqueta es demasiado grande. Vienen en una simple bolsa de plástico transparente.</t>
  </si>
  <si>
    <t>Margaritas Son bonitos pero quizá más grandes de lo que esperaba.pero me gustan igual</t>
  </si>
  <si>
    <t>Ciudadano ordinario Mochila bastante cómoda.  Acolchado poco grueso pero suficiente.  Interior moldeable. Cuida bastantes detalles. Caben dos cámaras perfectamente.  Buena opinión general.</t>
  </si>
  <si>
    <t>FINISIMO Lo que  buscaba en un disco duro externo, robustez y durabilidad en un aparato tecnologico y a la vez que sea muy fino, para que ocupe el menor espacio posible; ambas opciones las cumple este `producto. Ademas de tener los gb que dice reales. en general una magnifica compra a un precio muy economico.</t>
  </si>
  <si>
    <t>ESTERILLA MUY BIEN, Y MEVA FENOMENAL PARA ALIVIAR EL DOLOR</t>
  </si>
  <si>
    <t>No hacen daño Son exactamente lo que quería. Cómodos, no hacen daño y muy bonitos</t>
  </si>
  <si>
    <t>correcto calzado muy térmico y con buena resistencia. Ya he comprado calzado de este fabricante y estoy satisfecho con la resistencia del artículo.</t>
  </si>
  <si>
    <t>mis favoritos son para mi gusto los mejores zapatos de la mejor marca , vienen algo pequeños pero revisando las criticas ya no puede llevarse nadie una sorpresa. ahora traen las plantillas pegadas cosa que no ocurria con los modelos anteriores y habia que pegarselas . seguire comprandolos mientras los fabriquen</t>
  </si>
  <si>
    <t>Muy bueno Muy intuitivo, fácil de manejar y muy buena calidad que Salta a la vista..volvería a comprarlo de nuevo.,me ha gustado mucho y resolvió mi problema de almacenamiento en un iphone...</t>
  </si>
  <si>
    <t>Perfecto Mi hijo está encantado</t>
  </si>
  <si>
    <t>Tal y como me esperaba. Esta marca no defrauda! Buenas zapatillas a buen precio. No defraudan!</t>
  </si>
  <si>
    <t>Bien Si,Genil y comodas</t>
  </si>
  <si>
    <t>Muy contenta con la compra Conexión al móvil perfecta y muy rápida, ningún tipo de problema. Son pequeños y de buena calidad. Se cargan muy rápido y la batería dura mucho tiempo. Incluye cargador.</t>
  </si>
  <si>
    <t>Tamaño mediano Buena batidora para hacer zumos y papillas. Con un vaso portable. Facil de limpiar y transportar el vaso. La cuchilla es bastante potente y tiene potencia. Buen material y resistente</t>
  </si>
  <si>
    <t>Me envía otro Ya se puso en contacto y me envía uno nuevo</t>
  </si>
  <si>
    <t>Perfecto y práctico Perfecto y práctico.  Entran las cápsulas sin problemas.</t>
  </si>
  <si>
    <t>Silvia Perfecta !!! Muy cómoda y se agarra bien a la mesa sin resbalar. Es igual a la foto del anuncio.</t>
  </si>
  <si>
    <t>Que llegue puntual Satisfactoria</t>
  </si>
  <si>
    <t>Calidad precio perfecto Buen material. Caben muchas cosas. Pràctica y cómoda para viajar. Buena compra</t>
  </si>
  <si>
    <t>Ideal para Android Es una pasada la velocidad de transferencia cuando trabajas con un lote muy grande de imágenes a la vez y con videos HD de gran tamaño. Lo que antes me hacía perder tiempo con una microSD antigua, esa me la hace en un parpadeo. Sin duda un acierto en la compra, se acabaron los problemas de memoria y almacenamiento en mi Android.</t>
  </si>
  <si>
    <t>Los detalles de las piedras al rededor del árbol de la vida y el búho Me gusta mucho muy buena calidad</t>
  </si>
  <si>
    <t>Se acabó el popeo Para conseguir eliminar ruido y el famoso popeo si te aproximas mucho al micrófono nada como este adaptador. Muy ajustado de precio y aún así de calidad.</t>
  </si>
  <si>
    <t>Decepción La tela con la que está confeccionada no justifica su precio.</t>
  </si>
  <si>
    <t>Muy bonito El tejido es de licra satinado. Para migusto es un poco grande, cogi la xl y mido 1'74 ya que habitualmente las tallas suelen ser pequeñas pero en este caso no es asi.</t>
  </si>
  <si>
    <t>Bueno pero esfera muy pequeña Demasiado pequeño deberían advertir del tamaño puede parecer casi de niño o de señora por el tamaño.</t>
  </si>
  <si>
    <t>No parecen originales Llevo muchísimos años comprando estos zuecos y han bajado tan drásticamente la calidad, que hasta parecen una copia barata. Supongo que la culpa no es del vendedor, si no de la marca. El envío muy rápido.</t>
  </si>
  <si>
    <t>decepción La verdad que me han durado menos de un mes ya que por la parte de la derecha se dejó de oír. Compré esos porque eran muy parecidos a los que me entraron con mi móvil samsung cuando lo compré. Y los que venían con el móvil me salieron muy buenos por eso decidí comprar estos, pero la pena es que poco duraron funcionando.</t>
  </si>
  <si>
    <t>Muy útil Es muy útil y práctica. Puedes hacer turismo mientras se carga el móvil. Como punto negativo, el cable para conectar la entrada USB no es de mucha calidad.</t>
  </si>
  <si>
    <t>Esta bien, peeeeero.... El tiempo de entrega es excelente.!!!! El reloj esta bastante bien, no obstante la única pega que le podría poner, es que la aguja de las horas viene del color del reloj y por consiguiente no se ve cuando es de noche y activas la luz. Por todo lo demas, bien!</t>
  </si>
  <si>
    <t>Auriculares correctos No son la octava maravilla del mundo, pero por el precio, son un auriculares solventes. Cómodos y ligeros. No están mal si lo que quieres es no gastarte mucho dinero...</t>
  </si>
  <si>
    <t>No para profesional Bueno</t>
  </si>
  <si>
    <t>Muy bien para el pc (Skype) y no tan bien para el telefono. Por eso no le doy 5* En general estan muy bien, los compre principalmente para utilizarlos con el ordenador y hablar por Skype. Para eso son perfectos, el control de volumen es lo justo y necesario, el micro y los auriculares geniales.... Cero queja con ello. Al probarlos con el movil (phone) a veces con quien hablaba me decía que me oia muy lejos.... y era porq el movil no detectaba (a ratos) el micro y estaba recogiendo el sonido desde el micro del teléfono... en definitiva... si los necesitas para el móvil probablemente encuentres cosas mejorables, pero para el pc.... son muy recomendables!!</t>
  </si>
  <si>
    <t>Super recomendableñ Es muy potente y tal como se ofrece, silenciosa. Un vaso de vidrio resistente y es muy robusta, estoy muy satisfecha con el producto, no deja ni un grumo ni trozo de fruta o lo que se ponga sin licuar.</t>
  </si>
  <si>
    <t>Muy buen sonido Se trata de unos auriculares inalámbricos de gran calidad de sonido. Los auriculares se emparejan fácilmente al dispositivo de reproducción, se adaptan perfectamente a las orejas, vienen almohadillas de recambio para poner las que más se adapten, y desde los propios auriculares se pueden realizar muchas funciones como colgar/descolgar llamadas, reproducir/parar, adelante/atrás, volumen +/-... La base de carga tiene una batería de 2500mAh, que permite recargar los auriculares unas 10 veces y tarda como hora y media en recargarse del todo. Dispone de entrada de carga usb tipo C, y salida de carga para usar como batería externa, usb normal. Tiene un tamaño reducido y una forma compacta y agradable. Aparte de la calidad del sonido, yo destacaría la gran novedad con respecto a otros auriculares que yo he probado, y es el indicador led de nivel de carga tanto de la base como de cada uno de los auriculares.</t>
  </si>
  <si>
    <t>Fácil de colocar Es justo lo que quería, para tapar toda una pared y dedicarla a fotos y posters, en una hora, puse los 5 paquetes sin ningún problema</t>
  </si>
  <si>
    <t>Igual que las originales Siempre me he resistido a comprar estas cintas de segunda marca pero menuda tontería ya que son perfectas.  Funcionan igual de bien.  La única diferencia y en mi caso la considero positiva es que los colores no son tan fuertes como las originales.  Por ejemplo, el rojo, azul y verde del original son tan fuertes que a veces cuesta distinguir las letras.  Con estos, no pasa eso. Estoy muy contenta y repetiré seguro.</t>
  </si>
  <si>
    <t>Excelente, lo compraría con los ojos abiertos Esta zapatilla realmente son excelentes he comprado 3 zapatillas de esta misma, porque la he mostrado a 2 amigos y también han querido comprarla por la comodidad de la misma, lo que si hay que tener en cuenta es comprarla un número más porque corren pequeñas yo soy un 42 y la tuve que pedir 43 y ese número me venía correctamente</t>
  </si>
  <si>
    <t>Genial Me ha gustado, lo sacaré en mi canal de YouTube Café con Esther.</t>
  </si>
  <si>
    <t>sergio un excelente reloj aparentemente parece mucho mas caro .si los relojes baratos de esta marca duran una media de ocho años este deberia durar el doble.solo añadir que la corona para ponerlo en hora hay que desenrroscarla girando hacia nosotros y luego al contrario .un reloj excepcional lo recomiendo totalmente</t>
  </si>
  <si>
    <t>Todo como esperaba Muy buena calidad y buen diseño</t>
  </si>
  <si>
    <t>Increíble Tal cual se espera de un Casio, es un gran producto al mejor precio, no hay misterio me encanta y a mis padres también, muy duraderos, el de mi padre tiene 3 años sin cambiar las pilas y está intacto, perfecto para trabajos duros. Tiempo de entrega normal, incluso con unos días antes, con caja de plástico incluida totalmente original.</t>
  </si>
  <si>
    <t>CALIDAD A BUEN PRECIO. El producto queda bien de talla porque en esta marca siempre hay que comprar una talla más a las que usas habitualmente, son muy cómodas, no pesan casi nada, tiene buen agarre la suela, muy buenas para hacer senderismo y también para hacer el Camino de Santiago, como es nuestro caso. Ahora sólo falta ver la durabilidad de las zapatillas. Un saludo.</t>
  </si>
  <si>
    <t>El biberón perfecto Manejable y muy cómodo. Poder esterilizarlo en el microondas, es lo mejor. Seguiré usando esta marca en el futuro sin duda.</t>
  </si>
  <si>
    <t>Muy práctico. Es el segundo que he comprado y me viene muy bien para pasar datos del ordenador al móvil y viceversa.  Muy contento.</t>
  </si>
  <si>
    <t>Muy buena compra. Muy bien funciona muy bien la batería dura mucho y tiene mucha succión, lo recomiendo al 100%</t>
  </si>
  <si>
    <t>Muy recomendable! Zapatos de seguridad con punta de metal y suela de goma reforzada. son bastante cómodo y tiene un buen aspecto. Pro : - Comodidad - aspecto - transpirable Con: - peso - fácil de ensuciarse debido al color ligero  Si no te importa el peso y que es muy fácil de ensuciar es el zapato perfecto para ti .</t>
  </si>
  <si>
    <t>Muy buena Super cómoda y práctica. Al tener sólo diez cm de altura se encaja bien en cualquier hueco debajo de mesa o mostrador. Estoy super conforme</t>
  </si>
  <si>
    <t>Igual a la foto. Son muy bonitas. Son para mi marido para navidad asi que no se las a probado todavia. El envio perfecto.</t>
  </si>
  <si>
    <t>Ivan Todo genil lo esperado muy buena calidad y mi hijo no se puede beber otro biberon y la tetina de muy buena calidad</t>
  </si>
  <si>
    <t>Perfecta Robusta, muy cómoda y con buenos acabados.</t>
  </si>
  <si>
    <t>compra magnifica es un Altavoz que cubre cualquier necesidad por muy exigente que sea. Materiales y acabados de muy buena calidad. El sonido es muy limpio aun cuando lo pones a tope (no distorsiona en absoluto). Estoy muy contento con la compra</t>
  </si>
  <si>
    <t>Tallaje muy pequeño Tallaje muy pequeño suelo utizar s o m y pedí una L aún así me queda pegada</t>
  </si>
  <si>
    <t>Dan mucha talla. Uso normalmente talla 38 y pedí ese número. Al llegar, noté que dan mucha talla.  Creo que debí pedir un 36 porque incluso el 37 me quedaría grande. Los devolví, no quise estar probando tallas, así que no sé realmente cuál me quedaría bien en ese modelo.</t>
  </si>
  <si>
    <t>Decepcionante Nada recomendable. No es capaz de leer la mayoría de los archivos en el IPad. Muy decepcionado con esta compra.</t>
  </si>
  <si>
    <t>No es CASIO Al recibirlo le he hecho la prueba de presionar por cinco segundos el botón inferior derecho y no aparece la palabra CASIO. Lo voy a devolver debe ser un error.</t>
  </si>
  <si>
    <t>Madre de Dios. Excelente compra si queréis comprar un emborronador. A su descargo, he de decir que sí es magnético y se podrá utilizar para algo.</t>
  </si>
  <si>
    <t>Perfecto Creo que pocos por este precio. Presencia y calidad . El bisel giratorio tenso para no manipularse accidentalmente. Buen producto.</t>
  </si>
  <si>
    <t>exelentes Son bellos, me encantan el único detalle q le veo es q la marca deberia clasificar estos biberones por tallas de tetinas, Porq las Q vienen son de flujo 1 y tienes q comprarles las q use el bebe, pero en general me encantan y los recomiendo</t>
  </si>
  <si>
    <t>Buena relación calidad/precio Por 1'09€ está muy bien. El bote es estable, en la boca lleva imanes por lo que no es necesario volcae el bote para sacar los clips. La única pega es el no poder eligir color.</t>
  </si>
  <si>
    <t>Cumplen su función Por la marca se supone que son las de mejor calidad pero no he podido probar otras para comparar. Estas van bastante bien.</t>
  </si>
  <si>
    <t>Sandra Son muy comodas. Están bastante bien.la cuña esta por dentro en la plantilla. Calzo un 40 y corresponde muy bien</t>
  </si>
  <si>
    <t>Perfectas Perfect</t>
  </si>
  <si>
    <t>Buenos auriculares Bluetooth Buscaba unos auriculares inalambricos para usarlos mientras trabajo o hago deporte, y me llamaron la atención y me decidí a probarlos, sin duda no me equivoque. Muy cómodos al tacto, y muy ligeros, casi no se nota que los llevas puestos. Se enlazan muy rápido con cualquier teléfono. He probado a dejar el teléfono y alejarme bastante metros y no se le nota ni una perdida de señal, todo perfecto y sin cortes. Volumen más que aceptable, el tono más alto es algo más bajo que cualquier otro auricular con cable, lógico. Pero al máximo de volumen se hace un poco incómodo por la molestia. Así que todo bien en general.  Sin duda una buena compra.</t>
  </si>
  <si>
    <t>Buen precio Ideal para un bautizo</t>
  </si>
  <si>
    <t>Justo lo que buscaba Estaba buscando unos auriculares bluetooth para mí hija para cuando fuésemos de viaje en autocaravana pudiese estar viendo la tablet y escuchar solo ella la tablet y asi nosotros poder escuchar la radio a la vez sin molestarnos.Conectan por bluetooth rápidamente a la tablet,buen sonido,ocupan poco espacio ya que son plegables y la batería dura bastantes horas.Excelente compra</t>
  </si>
  <si>
    <t>Lo pequeño que es. Perfecto para recoger esas migas que quedan en el mantel y asi no hay que retiralrlo o intentar sacarlas con otra cosa. Tiene un tamaño ideal.</t>
  </si>
  <si>
    <t>El mejor Tengo que practicar más en su manejo. Es muy completo y espectacular para las presentaciones. Hay que bajar software</t>
  </si>
  <si>
    <t>bien funciona correctamente, es un gran producto y una gran marca a buen precio, sin duda lo volvería a comprar otra vez</t>
  </si>
  <si>
    <t>Espectaculares Perfectos y con gran calidad de audio. Los uso para editar vídeo y ya no quiero otros.</t>
  </si>
  <si>
    <t>Buen sonido y bonitos El sonido es nítido y se puede poner bastante alto. El packaging me parece muy chulo, trae una bolsita para guardar los auriculares. El color (yo lo elegí en rosa) me encanta. Falta ver la duración, pero por ahora genial.</t>
  </si>
  <si>
    <t>Elegante y muy bonito Lo primero ,el reloj viene en su cajita muy bien presentado,además que viene con una pulserita de regalo,la estética es muy bonita,mejor de lo esperado,grueso,en azul con colores muy bonitos y una correa a juego,el cierre es fácil y seguro,la verdad que he quedado encantado con el producto,muy recomendable .</t>
  </si>
  <si>
    <t>Buenas zapatillas. Son comodas,yo las uso a diario y estoy muy contento con ellas.Dan poca talla,recomendable pedir un numero mas del habitual(yo calzo un 46 y pedi un 47 y perfectas...)</t>
  </si>
  <si>
    <t>Relojazo por un precio muy bueno. Un G-Shock muy completo y el negativo con más legibilidad. Lo mejor, que es el módulo más completo y de los mejor diseñados que he visto en Casio digitales, y además que debe ser el pantalla  negativa que mejor se lee del Mundo, porque se lee perfectamente, incluso con poca luz. Además,  es muy bonito. Un relojazo, que con la política de subir y bajar los precios de Amazon, lo puedes pillar por precios a la mitad de lo que realmente vale. Lo he visto por más de 100 euros pero también por menos de 50...  El módulo es impresionante: enseña la  hora en todos los modos, alarmas, cuenta atrás y crono, cosa que muchos no hacen. Además, la cuenta atrás se configura desde 1 segundo, muy bien, porque en otros se configura solo desde 1 minuto. La iluminación es impresionante, como una linterna, y se puede configurar para 1 segundo, 3 segundos o 5 segundos, ahí es nada. Modo Mute para que no suenen los botones, como otros, pero en esta máquina casi perfecta, en este modo el retorno a la pantalla de inicio te lo va a indicar con una vibración, detallazo. Sientes que estás usando un G-SHOCK diferente, con "algo más", con detalles así. Tienes la opción de ponerlo en modo Vibración o Flash. En el primero, las alarmas, cuenta atrás y avisos horarios son solo por vibraciones, que se perciben perfectamente sin molestar. En modo Flash te va a avisar con los pitidos típicos y además con golpes de luz; preferiría que se pudiesen desvincular ambos, para ahorrar pilas. Esto, y carecer de cuenta atrás automática son las dos cosas por las que este módulo no es perfecto. Hay quien también se queja de que no sea solar, deberían quizá haber sacado este relojazo en versión solar también, pero con la pila para 5 años, si no se abusa de las alarmas, puede durar al menos 7 u 8 años la pila, incluso más, que no está mal. Tiene el mejor horario mundial que conozco, indicando los nombres de las ciudades enteros (van pasando como en un anuncio luminoso, precioso). El acceso directo a la cuenta atrás desde la pantalla de inicio, con el botón de acero de abajo a la derecha, es una pasada; porque además, en esta súper pantalla gigante, todo se ve indicado a la perfección, y de una manera tan cómoda y atractiva, que hay que probarlo para comprender lo que digo. Los botones son muy cómodos, infinitamente más que los de un G-Shock 5600 y otros, pero no se pulsan por error nunca. El reloj entero es muy cómodo, a pesar de su tamaño grande. No son solo sus funciones estrella de vibración y acceso directo a la cuenta atrás, es que este reloj está muy bien hecho. La comodidad de lectura es enorme, la pantalla negativa es muy legible además de bonita, el aspecto táctico es total, es cómodo y su módulo es ordenado, atractivo de ver y usar y completísimo... No comprendo por qué Casio fue dejando de fabricar tan  pronto este relojazo...¿quizá ofracía demasiado para su precio? Una pena, debería fabricarse en versiones negativas, positivas y alguna solar, y sería un  Casio G-Shock muy vendiddo y un clásico de la marca el día de mañana. Una enorme suerte haber podido comprar este, y a un precio buenísimo, gracias a AMAZON.  El envío como siempre perfecto.</t>
  </si>
  <si>
    <t>Perfectas Super chulas.Talla perfecta. Envío en tiempo estimado</t>
  </si>
  <si>
    <t>Artículo con muy buena calidad, lo compraría de nuevo y elegiría el mismo sin dudarlo Encantada con su relación calidad-precio, su calidad, su capacidad de almacenamiento. Es un gran producto, vale la pena pagar lo que vale.</t>
  </si>
  <si>
    <t>Angel Excelente relación calidad/precio. Perfecto para ambiente tanto en interior como en exterior. Respuesta muy alta y bajo nivel de ruido</t>
  </si>
  <si>
    <t>Genial Muy bonito.</t>
  </si>
  <si>
    <t>Es lo que esperaba. Es lo que quería, me gusta todo, buena calidad, la talla es la adecuada y lo recomiendo a todo el mundo.</t>
  </si>
  <si>
    <t>Buena calidad Calcetines muy buenos, no aprietan ni se bajan, muy agradable en los pies y por ahora mantienen bien la forma, tampoco hacen bolitas.</t>
  </si>
  <si>
    <t>Cojin Muy incomodo y hace daño</t>
  </si>
  <si>
    <t>No está mal No era lo que esperaba pero por el precio no se puede pedir mas.</t>
  </si>
  <si>
    <t>Elegante pero algo pequeño El color de la esfera no corresponde al de la fotografía.  Es un azul más oscuro. Aún así sigue siendo un reloj elegante aunque algo más pequeño de lo que aparenta.</t>
  </si>
  <si>
    <t>Interesante &lt;a data-hook="product-link-linked" class="a-link-normal" href="/Leifheit-41520-Duster-XXL-Cepillo-para-el-polvo/dp/B003AM89NK/ref=cm_cr_getr_d_rvw_txt?ie=UTF8"&gt;Leifheit 41520 Duster XXL - Cepillo para el polvo&lt;/a&gt;El cabezal va perfecto pero el mango se rompió el primer dia. Práctico y limpio. Lo uso a diario y lo lavo con detergente. Queda en perfecto estado de limpieza.</t>
  </si>
  <si>
    <t>No lo recomiendo Todo perfecto EXCEPTO que el exprimidor gira sobre sí mismo, haciendo imposible su uso. De verdad nadie se dió cuenta antes de sacarlo al mercado??? No lo recomiendo</t>
  </si>
  <si>
    <t>Mala calidad en la soldadura y terminación de las fichas La calidad de los conectores no es buena y su terminación y soldadura no es buena, si las arman a mano en la fabrica deja mucho que desear.</t>
  </si>
  <si>
    <t>No está mal. Es bonito pero no deja de ser un producto barato el tiempo empieza a ponerse oscuro. No está mal para uso propio pero no es muy recomendable para un regalo</t>
  </si>
  <si>
    <t>cómodo y fácil de usar Cómodo y fácil de usar , realmente cubre las espectativas que tenía ahora sólo queda utilizarlo y en un tiempo os contaré si da resultado. De momento muy contenta porque me ayuda a llevar un control de los ejercicios y la evaluación de los mismos.</t>
  </si>
  <si>
    <t>Muy buen producto, pero. Llegó en perfectas condiciones, y después de un mes de uso puedo decir que su conectividad es asombrosa. Además la vida de la batería me ha sorprendido gratamente, los cargo cada semana. Lo único malo es que en algunas ocasiones el sonido no es perfectamente nítido.</t>
  </si>
  <si>
    <t>practico regalo</t>
  </si>
  <si>
    <t>collar de plata. muy elegante y fino. me gusta. el resultado no lo se. tiene m uy buena pinta. lo recomiendo. quizas repita la compra</t>
  </si>
  <si>
    <t>Estupenda Su tamaño es ideal. La usamos para calentar agua para el té. Recomienda no usarse para calentar leche, yo no lo probare por si acaso. Se limpia fácil</t>
  </si>
  <si>
    <t>IMPRESIONANTE EN TODO He flipado. El aislamiento acustico es perfecto. Se oye que alucinas, los graves son una pasada. Los estrené pegándome una sesión de 5 capítulos de una serie que estoy viendo, así que los tuve mas de 4 horas puestos, sin molestias, no te cansas de llevarlos. Rodean perfectamente la oreja. Emparejarlo por bluetooth muy sencillo, es pulsar un botón y listo. Respecto al paquete recibido, esta muy currado y con mucho estilo, la caja, todo. En fin que la compra ha sido una acierto, recomendado sin dudas. EDITO: los tengo ya 3 semanas. Se siguen oyendo genial. La bateria no se gasta, los cargué el primer día y aún no los he vuelto a cargar, estoy esperando a ver cuando se gastan. Me he visto ya la 1ra Temporada de 3 series de Netflix y algunas películas sueltas y sigo sin necesitar cargarlos. Ah! un detalle, los he intentado enlazar con la PS4 de mi hijo y no me los ha admitido. Es la única pega que por el momento he visto, pero como no los he comprado para eso, lo cuento tan solo a modo de curiosidad. Los he enlazado perfectamente con el movil, con el iPad, con la TV, con el equipo de música Yamaha y con un transmisor de sonido bluetooth que compré aqui en Amazon baratero para equipos que no tiene bluetooth.</t>
  </si>
  <si>
    <t>Se oyen y funcionan muy bien Se escuchan muy bien. Son fáciles de configurar, solo hay que sacarlos de la caja de carga y pulsar el botón en cada uno de los auriculares para configurarlos en estéreo. Y luego conectarse con el bluetooth del dispositivo que queramos. También se puede usar uno solo en Mono. La batería dura bastante, en uso constante, unas dos horas. Y se cargan en la caja, sin ser necesario que esté conectada a la corriente, porque la caja, a su vez, tiene batería. Desde el botón del auricular se pueden pausar canciones y videos, y se pueden pasar hacia adelante o hacia atrás, por lo que podemos escuchar música sin necesidad de estar tocando el teléfono</t>
  </si>
  <si>
    <t>Me encanta Estupendo</t>
  </si>
  <si>
    <t>Todo perfecto Todo perfecto lo tenemos en la oficina y encantada para tomar nuestro té perfecto el agua se calienta enseguida y es súper práctico</t>
  </si>
  <si>
    <t>Muy práctico El artículo es bastante ligero y tiene lo básico que necesitaba. Perfecto para el uso que le estoy dando. Saludos</t>
  </si>
  <si>
    <t>Era para un regalo Mi nieta ha quedado muy feliz...bueno juguete</t>
  </si>
  <si>
    <t>comodo y practico Muy bonito, es fino, ideal para primavera, entretiempo, queda muy bien puesto, exacto a la imagen, la parte de abajo queda ajustada, repetiré en otro color.</t>
  </si>
  <si>
    <t>Excelente zapatilla Excelente. El segundo par que tengo, con eso lo digo todo. Las uso para el dia a dia, super cómodas. Las anteriores hace unos 5 años que las tengo, y la suela aunque algo gastada, esta todavía con el dibujo.</t>
  </si>
  <si>
    <t>Ligero y cómodo Reloj ligero y elegante tanto para hombre como para mujer, ideal para personas con la muñeca pequeña. Material resistente, compra recomendada.</t>
  </si>
  <si>
    <t>Un acierto Contenta con la rapidez del envío. La verdad que no estoy acostumbrada a utilizar auriculares que se introducen en el oído pero no tengo ninguna queja respecto a su comodidad, vienen con diferentes tamaños de almohadillas para diferente oídos (mejor higiene y mejor adaptación). Calidad de sonido superior a la que esperaba, con señal de luz para indicar su estado de batería. El embalaje en el que viene es correcto, bien protegidos y muy fácil de emparejar con el movil. Caja para guardar los auriculares con cierre magnético, con diseño elegante y pequeño, perfecto tamaño para llevarlos en el bolso sin ocuparte una exageración. Color negro, forma de botón. Cuando se sacan de la caja de carga directamente informan del estado de la batería en el móvil, considero que es una información útil par avisarte con tiempo del estado de la batería y así no llevarte una sorpresa ya que la señal de la luz indica la batería actual, cuando los auriculares están cargando se enciende la luz blanca y cuando ya están cargados se apaga. Cada auricular lleva un botón como se puede ver, desde donde se controlan las llamadas y la música sin necesidad de manejar el móvil. Y por último, algo importante en relación con la batería, se apagan por sí mismos si no se conectan con algún dispositivo en unos pocos minutos. Producto y vendedor recomendados.</t>
  </si>
  <si>
    <t>COMODIDAD No es facil encontrar un zapato tan comodo como este</t>
  </si>
  <si>
    <t>Muy chulas Son geniales , eran para un regalo y todo perfecto</t>
  </si>
  <si>
    <t>Compra genial Muy cómodo para raspar las placas tipo grill. Mango muy cómodo y buena compra. Volvería a comprarlo sin ninguna duda.</t>
  </si>
  <si>
    <t>Muy bueno Gran capacidad,es rápido. Buen material. Puedes elegir rango de temperatura fácilmente de 60-100 grados. Hace 4 meses que lo uso a diario y funciona muy bien.</t>
  </si>
  <si>
    <t>Gran artículo Es un artículo de calidad. Como cabe esperar de una gran marca. Ya es el tercer par que compro y seguiré comprando seguro.</t>
  </si>
  <si>
    <t>Auténticas Me gustan mucho, las conseguí a buen precio y se ajusta muy bien, pedí la talla normal y sin problema.</t>
  </si>
  <si>
    <t>Silencioso, ligero y fácil de limpiar Iba buscando un humidificador para poder poner aceites esenciales en casa y así poder conseguir mediante los olores activarse o relajarme.  Pedí este porque lo vi ligero y me gusta el detalle de que pueda cambiar de color y así jugar no solo con los olores, también las luces.  El detalle del mando está genial para poder controlarlo de lejos.  Además es muy ligero y no se siente de mala calidad.  En cuanto a las ventajas de que el humidificador sea ultrasónico frente a los otros dos tipos: son más silenciosos, y es cierto, es muy silencioso.  Lo único que si os recomiendo es que seáis muy higiénicos con el aparato, pues la humedad es un perfecto caldo de cultivo de bacterias, este aparato es fácil de limpiar, lo cual también agradezco.  En definitiva: es barato, es silencioso, tiene luces que cambian de color y generan ambiente y es fácil de limpiar, así que lo recomiendo.</t>
  </si>
  <si>
    <t>Bolsa bandolera Es chula pero es muy pequeña.</t>
  </si>
  <si>
    <t>Buenas Son muy bonitas y de buena calidad pero la parte del talón es poco profunda y se me hace incómodo.Aptas para personas con el pie ancho.</t>
  </si>
  <si>
    <t>Pésimos materiales Compré este modelo el 21 de septiembre de 2017 y en 3 meses se ha fundido la boca de plástico. La potencia bien, los accesorios bien, el motor bien pero los materiales son de risa (mi hija tiene juguetes que están mejor fabricados). En resumen: UNA PATATA</t>
  </si>
  <si>
    <t>Me ha durado un mes. Compre la batidora confiando en la gran marca que es Bosch. He comprado otros productos Bosch y siempre he quedado satisfecho. Al principio funcionaba correctamente. Sin embargo al cabo de un mes aproximadamente de uso dejo de funcionar. No hizo olor a quemado ni nada. El uso que le di muy ocasional, para hacer alguna crema de vez en cuando. Mire comentarios en Amazon y vi que mas consumidores habian tenido este mismo problema. Espero que Bosch resuelva este problema, a los demas consumidores mi sugerencia es de ser precavidos si se esta pensando en comprar este producto por el momento.</t>
  </si>
  <si>
    <t>No están mal, pero caras. Una pasada,bonitas lo son y en piel nunca las había visto, son algo más caras que las de tela.... Pero seguro que se ensucian menos y aguantan más. A probarlas y a ver lo que duran, si se comportan peor de lo esperado revisaré la opinion. Un poco caras si que son.</t>
  </si>
  <si>
    <t>Funciona bien pero ruidoso! Bonita y funciona. El único es que hace mucho ruido mientras calienta el agua! Llegó rápido.</t>
  </si>
  <si>
    <t>Buen estuche para tarjetas. El estuche llegó en una bolsa con cierre "zip". Sirve para guardar 18 tarjetas tamaño SD y otras 4 tipo CF. Es una manera de tener recogidas todas las tarjetas SD que uno nunca encuentra. Tengo un estuche impermeable y resistente, pero con menos departamentos.  Además viene con pegaitanas para identificar las ranuras. Lo úico, es que introducir y extraer las tarjetas resulta un poco incómodo.</t>
  </si>
  <si>
    <t>Muchos rotuladores bien de precio. No he tenido la ocasión aún de detectar un billete falso, pero si escribes sobre un billete y no pinta nada en él se supone que es auténtico. El precio muy barato y con bastantes rotuladores. Siempre llevo uno encima en la mochila por si en algún momento me dan alguno de dudosa procedencia.</t>
  </si>
  <si>
    <t>Una fregona evolucionada Es la fregona que estaba esperando, sólo la he usado una vez, pero se usa muy bien y a mí me va genial porque ahora mismo no puedo hacer fuerza y así es estupendo el resultado</t>
  </si>
  <si>
    <t>Precioso reloj El reloj es muy bonito y súper cómodo, lo recomiendo, compre uno para mi y otro para mi chico que también quedó encantado.</t>
  </si>
  <si>
    <t>Me encanta!!! Es muy fino el acabado,  me encanta,  buena compra,  ojala saquen otros animales, también compré la del buho y genial</t>
  </si>
  <si>
    <t>Buena relación calidad precio Me ha salvado la vida en un viaje para mi primer cafecito. Muy práctica para viajar</t>
  </si>
  <si>
    <t>Olores sutiles y elegantes. De los mejores aceites esenciales que he probado. Los recibí muy rápido, vienen con una presentación inmejorable con los 8 frasquitos muy bien protegidos. Cada uno trae una esencia diferente, muy sutiles todas y elegantes por lo que no empalagan ni cansan. Ideal para usa con el vaporizador recomendado por la marca. Recomiendo para regalo. Compraré más de cara a las Navidades.</t>
  </si>
  <si>
    <t>Ideal Perfecto. Queda estupendo con la falda. A mi hijo le ha encantado. Muy elegante, sólido, el espacio justo para un móvil y una cartera.</t>
  </si>
  <si>
    <t>Buen producto Me quedo genial y es lo mismo que en la foto. Material bueno.</t>
  </si>
  <si>
    <t>aroma concentrado Tienen distintos aromas lo cual me permite cambiar día a día  los envases son pequeños pero rinden mucho  porque el aroma esta muy concentrado, de echo lo mezclo con un poco de agua  Huelen maravillosamente y hay tanta variedad que durará esta caja bastante</t>
  </si>
  <si>
    <t>Bolso Me gusta</t>
  </si>
  <si>
    <t>Muy contenta con la compra Estoy más contenta con esta compra de lo que esperaba. La velocidad de transferencia es muy buena, tiene mucha capacidad (compré el de 2TB) y el ordenador lo detecta de manera instantánea. La única pega es que la parte inferior no es nada anti-deslizante. Yo lo utilizo sin sacar del todo de la funda, para no tirarlo accidentalmente. El cable es relativamente corto (unos 44cm +-) pero no está mal. Volvería a comprarlo.</t>
  </si>
  <si>
    <t>Despertador ideal Es un despertador ideal que recrea la luz del amanecer y atardecer para un despertar más suave y sin sobresaltos, tiene opción de poner dos alarmas, se puede elegir el tipo e intensidad de la luz que deseas, tiene varios sonidos para elegir o se puede poner en una estación de la radio como despertador. Tiene una pila de emergencia por si se va la luz. Casi no pesa y el diseño es muy minimalista. Es fácil de configurar con el manual.</t>
  </si>
  <si>
    <t>muy practico Cable perfecto para separar el audio de entrada y salida para conectar los auriculares con manos libres Son pequeñitos y las puntas y el cabezal son muy robustos</t>
  </si>
  <si>
    <t>Bueno Perfecto.</t>
  </si>
  <si>
    <t>Excelente precio Quedan perfectas y es como espera</t>
  </si>
  <si>
    <t>Buena calidad Se nota la diferencia en el grosor y el pegamento porque tienen mayor calidad que los de precio más barato.</t>
  </si>
  <si>
    <t>Perfecto muchas gracias Muy bonita solo no mojarse</t>
  </si>
  <si>
    <t>Para ponerlo en el llavero Soy informático y necesito un pendrive para llevar siempre, este se puede dejar en el llavero perfectamente y se ve robusto</t>
  </si>
  <si>
    <t>PERFECTO Es un producto simple y cumple perfectamente con su cometido, me ha gustado mucho, os dejo una foto, el micrófono no viene incluido claro jaja es el mío MUCHAS GRACIAS!</t>
  </si>
  <si>
    <t>¡¡Una gran compra!! La verdad es que estoy encantado. Funciona a las mil maravillas y no he necesitado instalar nada (a parte del software extra que trae de regalo). La calidad de audio me encanta y puedes configurar-la de muchas maneras. Todo un acierto</t>
  </si>
  <si>
    <t>Se adapta perfecto¡ perfecto¡</t>
  </si>
  <si>
    <t>El micrófono de solapa no funciona. El producto con otro micrófono funciona , el micrófono que vino con la emisora no funciona con ningún aparato del genero.</t>
  </si>
  <si>
    <t>Algunos fallos y material de mala calidad La verdad que pensaba que el pie de la batidora iba a ser acero y es plástico del malo, el giro para cerrarla no es muy cómodo y no se ve muy duradero. Los accesorios traen el enganche también de plástico y no encaja bien con la picadora. La verdad que da el apaño pero no la volvería a comprar</t>
  </si>
  <si>
    <t>Bien para niños Los compre para mi hijo y los volvería a comprar para él, porque dan poquito volumen. Pero no los compraría para mi, la calidad de sonido es bastante justa, el volumen que dan escaso. Pero esos defectos los hacen perfectos para los niños. Así que aconsejables para niños pero no para adultos.</t>
  </si>
  <si>
    <t>No recomiendo El tallaje esta mal, adjunto foto de otra zapatilla tambien del numero 40, ahí se observa la gran diferencia de tamaño</t>
  </si>
  <si>
    <t>La horma no coincide con el pie La forma de la plantilla no es cómoda, el dedo gordo no queda donde la plantilla te lo pone y no es cómodo. Lo he tenido que devolver.</t>
  </si>
  <si>
    <t>Celia Es muy bonita, queda bien. Lo único es que hubiera preferido es que la parte trasera de cuadros,  fuera más corta. Pero la recomiendo.</t>
  </si>
  <si>
    <t>lo que esperaba Es práctico para sitios donde de otra manera no llegarías. Se dobla y la funda se puede quitar para poder lavarla.</t>
  </si>
  <si>
    <t>Calentita y confortable Me gusta el poco tiempo que tarda en calentar la cama. Al final me sobra y eso que en mi casa hace mucho frío. Llevo varios días probándola y me gusta mucho</t>
  </si>
  <si>
    <t>Muy buena compra Ya la he usado unas cuantas veces desde que lo compré y estoy muy contenta. La única pega que le pondría, pero no es ni mucho menos algo importante, es que el indicador del nivel de agua se encuentra justo debajo del asa, y no se visualiza bien del todo, pero por el resto muy buen aparato.</t>
  </si>
  <si>
    <t>Muy bien Un producto muy bueno a un precio inmejorable! Lo recomiendo sin duda.</t>
  </si>
  <si>
    <t>Converse de toda la vida Cumple con lo anunciado, el modelo es clásico y perfecto</t>
  </si>
  <si>
    <t>Muy bueno Cable jack-jack para instrumentos revestido de cuerda y con un final acodado.  Terminaciones de los jacks en dorado.  Un acabado muy bueno.  Este cable tiene una relación calidad-precio muy buena.  Estoy muy contento con la compra.</t>
  </si>
  <si>
    <t>Buena compra Ningún problema, buena compra</t>
  </si>
  <si>
    <t>Rico rico Funciona correctamente y de potencia esta muy bien, no hace mucho ruido y el envase se puede usar de recipiente portátil.</t>
  </si>
  <si>
    <t>Sujetador perfecto para postoperatorio Hace menos de una semana me han hecho cirugía de reducción de pecho; en el hospital me vendieron un sujetador por 65€. No obstante, vi este y las opiniones, y por el precio, me animé a comprarlo, aunque fuera para tenerlo puesto mientras lavaba y secaba el recomendado por el hospital. Bueno, pues dónde va a parar. Este me resulta MUCHIIIIIIIIIISIMO más cómodo y agradable al tacto. Queda un poquito más escotado por arriba que el del hospital, lo que la piel agradece, y por debajo y laterales recoge y sujeta muy bien. La espalda es maravillosa de cómoda, y además va genial porque justo me salieron unas heridas en los costados, debido a la alergia que me produjo el pegamento del esparadrapo del vendaje compresor con el que salí del quirófano, y gracias al diseño de este sujetador, ahora puedo, por fin, tras varios días,  tratarlas y que se sequen al aire. Una auténtica maravilla, tanto que mañana, que me toca la revisión de la semana, lo voy a llevar puesto para que lo vea el cirujano, a ver qué le parece.</t>
  </si>
  <si>
    <t>Víctor Carrasco Buenísima relación calidad precio. Compra muy recomendable, esta gente no hace imitaciones, hace homenajes según ellos. Por este precio y con este mecanismo no hay nada mejor</t>
  </si>
  <si>
    <t>La recomiendo calidad y funcionalidad la recomiendo Estoy muy contenta con la batidora  dar las gracias a las personas que con su valoración positivas me animo a comprarla</t>
  </si>
  <si>
    <t>Que deja el suelo limpio. Es muy práctico y va bien para fregar las esquinas y duran mucho...</t>
  </si>
  <si>
    <t>Batidora portátil de mano Tiene una única velocidad que tritura fruta y demás productos blandos. El recipiente de uso tiene una capacidad de 450 ml. La batería tiene una autonomía de hasta unos 5 o 6 usos, después tendrás que cargarla mediante conexión usb a la corriente. Es portátil y muy cómoda de limpiar. Yo la utilizo para hacer batidos con fruta y proteínas.</t>
  </si>
  <si>
    <t>el buen funcionamiento del aspirador lo mas importante es el buen diseño que proporciona un buena fabricación del aspirador, este diseño facilita una eficaz y potente limpieza y el manejo es sencillo y cómodo</t>
  </si>
  <si>
    <t>Zapatillas adidas Chulisimas son super comodas</t>
  </si>
  <si>
    <t>Muy chulos Me gusta el diseño y como se Agusta al pié</t>
  </si>
  <si>
    <t>Buena relación Calidad / Precio Un producto con buena relación calidad / precio . Es muy útil , con una luz potente y la variedad de lentes lo hacen muy flexible a diferentes casos. Se siente cómodo puesto y en general cumple bien su cometido. Un producto recomendado sin duda.</t>
  </si>
  <si>
    <t>Perfecta Esta muy bien</t>
  </si>
  <si>
    <t>Muy recomendable He regalado ya tres y el cuarto me lo he comprado para mí. Es muy rápido, está bien acabado  y es muy bonito.</t>
  </si>
  <si>
    <t>Buen producto Cortes precisos y fáciles de realizar, puede cortar hasta siete u ocho hojas adhesivas sin problema, la solapa de sujeción del papel a cortar lo bloquea correctamente.  Hay cuchillas de recambio que no siempre ocurre con otros productos. Buen precio para un buen producto.</t>
  </si>
  <si>
    <t>PPM Bien, es más bonita en la mano. De talla va bien, pero incluso medio número menos también podría quedarme bien.</t>
  </si>
  <si>
    <t>Muy útil en viajes Fantastic!</t>
  </si>
  <si>
    <t>Mejorar tejido Estilo moderno pero de material de muy baja calidad..</t>
  </si>
  <si>
    <t>Etiquetas ok pero sin cuerda Las etiquetas están bien, para poder estampar tu sello o escribir los nombres pero la cuerda... Viene para dos etiquetas!</t>
  </si>
  <si>
    <t>Muy duro El cuero es muy bueno, pero no es suave lo cual hace que el manejo del bolso se convierta por momentos en algo dificultoso</t>
  </si>
  <si>
    <t>Mala calidad La he regalado porque es de calidad muy pésima. El tejido es caro para la calidad que tiene tan mala y por no pagar gastos de envío la he tenido que regalar.</t>
  </si>
  <si>
    <t>Parecian ser una buena compra pero.... -Sé que por lo que valen están bastante bien, el sonido es bueno sin ser nada del otro mundo y no son nada incómodos, es más, la sujección es muy buena y cuando los llevo al gimnasio no se mueven. Pero el mando ha durado bien un mes, ni más ni menos. Ahora cada vez que quiero cambiar de canción, tengo que sacar el móvil. No me los volvería a comprar.</t>
  </si>
  <si>
    <t>Me ha defraudado. Se ve de baratijas, me ha defraudado, esperaba más.</t>
  </si>
  <si>
    <t>Comodidad Son súper comodos, se enlazan enseguida</t>
  </si>
  <si>
    <t>El sistema de seguridad y apoyo. Lo use para el cepillado de una puerta y me ha funcionado estupendamente</t>
  </si>
  <si>
    <t>Quedan muy bien Quedan muy elegantes,lo que pasa que el cristal es blanco y según cuanta luz le dé y  en la posición que se pongan llegan a tener  un tono azulado,tenian que expecificarlo ya que devolvi unas creyendo que se abian confundido y las que me llegaron eran iguales,de todas formas me quedo con ellas porque al final te gustan como quedan puestas y dan a veces ese tono azulado,bienen en una cajita de joyeria perfecta para regalar</t>
  </si>
  <si>
    <t>reloj muy juvenil hay que ser ingeniero para ponerlo e hora!!!!!</t>
  </si>
  <si>
    <t>Encantado Después de todo un verano con ella sigo encantado con ella. Cremalleras buenas. Practica y cómoda. Montones de compartimentos para móviles, bolígrafos y demás. Encantado</t>
  </si>
  <si>
    <t>Muy buena Manta eléctrica más buena de lo que imaginaba. No es muy grande, pero para ponértela en la zona de la espalda viene genial. Además es muy blandita y al no tener plástico por dentro no se arruga nada.</t>
  </si>
  <si>
    <t>Tal como se promocionan Son igual que las imagenes para la venta y el numero es correcto.</t>
  </si>
  <si>
    <t>Perfecto Cumple perfectamente lo que andaba buscando,de piel puede llevarse con un look formal como algo más de diario.Muchos bolsillos y tamaño perfecto</t>
  </si>
  <si>
    <t>Un buén micrófono De momento la experiencia en las grabaciones es satisfactoria. Tiene un precio muy razonable y masterizando el audio permite un buén resultado. La caja de presentación es buena y cubre mis aspiraciones de cuando lo compré. Lo recomendaria para quién no desee forzar su presupuesto</t>
  </si>
  <si>
    <t>Elegante Es fino y muy bonito</t>
  </si>
  <si>
    <t>Fácil manejo Bastante bien</t>
  </si>
  <si>
    <t>muy bueno por un precio barato Son de calidad igual a un cable de 30 euros o más. No se necesita gastarse un pastón para tener un sonido de calidad.</t>
  </si>
  <si>
    <t>Todo bien Vendedor correcto todo bien</t>
  </si>
  <si>
    <t>Auriculares atractivos Son unos auriculares que tienen una buena calidad de sonido se escuchan muy altos y a mi me aíslan totalmente del ruido exterior, se ve que están fabricados con materiales de calidad, todo me funciona perfectamente en un galaxy S8 plus, también se usa en un tablet que no trae auriculares de fabrica y sin problemas. Para mi es una buena compra.</t>
  </si>
  <si>
    <t>Relación calidad precio perfecta Está todo correcto</t>
  </si>
  <si>
    <t>Esta bien Queda de maravilla en el cuerpo pero en la cintura es muy ancho</t>
  </si>
  <si>
    <t>Marca que da menos dudas de calidad Sin duda lo mejor el precio por Gb, esta muy bien teniendo en cuenta el tipo de hardware del que se compone al ser hibrido ssd y hdd, el portátil desde que lo puse a mejorado mucho, el montage lo hice ya con la clonación de mi anterior disco hdd y a la primera sin fallos.</t>
  </si>
  <si>
    <t>Zapatillas Nike a precio increíble Por lo que pagarías por una imitación de "los chinos" tienes unas auténticas Nike. Acabados perfectos, buenos materiales, comodidad y buen aspecto. Muy bien.</t>
  </si>
  <si>
    <t>Muy recomendable Tengo 6 mochilas de esta marca, CASE LOGIC, de diferentes tamaños y para situaciones diferentes, todas para, básicamente, material fotográfico, y debo decir que son perfectas. Están bien diseñadas, bien construidas, te ofrecen seguridad y comodidad. Son robustas y muy livianas de peso. Muy buen producto.</t>
  </si>
  <si>
    <t>Buenos auriculares Llevo usándolo unos meses, se escuchan perfectamente, son comodos y la batería tiene una gran autonomia.  De momento no tengo pegas, editare con cualquier contratiempo que surga.</t>
  </si>
  <si>
    <t>Muy satisfecha Rápido envío. Muy cómodo. Destiñe en los primeros lavados pero como lo lavo a mano y por separado para que no se estropee, no me importa</t>
  </si>
  <si>
    <t>El color se ve bien, el agua importante es rápido &lt;div id="video-block-R39JU4WBLZ0CNY"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id="14" preload="auto" src="https://images-eu.ssl-images-amazon.com/images/I/91C5pnEMSES.mp4" style="position: absolute; left: 0px; top: 0px; overflow: hidden; height: 1px; width: 1px;"&gt;&lt;/video&gt;&lt;/div&gt;&lt;div id="airy-slate-preload" style="background-color: rgb(0, 0, 0); background-image: url(&amp;quot;https://images-eu.ssl-images-amazon.com/images/I/71VvKxfo3VS.png&amp;quot;);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center;"&gt;0:14&lt;/div&gt;&lt;div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value="https://images-eu.ssl-images-amazon.com/images/I/91C5pnEMSES.mp4" class="video-url"&gt;&lt;input type="hidden" name="" value="https://images-eu.ssl-images-amazon.com/images/I/71VvKxfo3VS.png" class="video-slate-img-url"&gt;&amp;nbsp;Debido a que a la familia le encanta beber té, antes de comprar el hervidor eléctrico, tomó algunos años para usarlo, así que compré esto, la calidad es buena, el azul es muy bueno, el anti-escaldado, el agua hirviendo es mucho más fuerte que el original. Quemar 1 litro de agua es aproximadamente tres minutos, muy pronto, y estoy muy satisfecho.</t>
  </si>
  <si>
    <t>Su función Me encanta las capacidades que tiene para tocar y lo e usado para crear varias canciones</t>
  </si>
  <si>
    <t>Se estropeó... Se rompió al poco tiempo de uso. Menos de una semana, aunque de uso intenso. Bien por amazon, que aceptó el cambio sin problemas. Bastó con seguir las instrucciones. Recibí uno nuevo igual que de momento funciona. Aconsejo introducir los archivos ordenadamente, uno a uno, y no varios a la vez en diversas ventanas...</t>
  </si>
  <si>
    <t>Calidad precio bien. Dos cremalleras abren mucho y se puede caer las cosas la eh cosido para que no abran tanto.</t>
  </si>
  <si>
    <t>Dely Muy bonitos los pendientes pero pesan bastante.</t>
  </si>
  <si>
    <t>No son los mismos Muy mal sonido no son como los que vienen dentro de la caja del móvil , estéticamente son iguales , el sonido a años luz</t>
  </si>
  <si>
    <t>eran para mis hijos y quedaron contentos mis hijos de 11 y 14 años, muy especialitos con las zapatillas no les gustan cerradas porque terminan doblando el contrafuerte, estas no son del todo descalzas por el talón tienen una pequeña sujeción. En resumen y lo importante les han gustado</t>
  </si>
  <si>
    <t>Se adapta Se adapta perfectamente a mi taza de té, un poco endeble la parte de los agujeros, pero por lo demás perfecto. Viene con tapa.</t>
  </si>
  <si>
    <t>Buena relacion calidad Economica y util. Quien quiere buen precio sin grandes pretensiones es una buena compra. De momento funciona perfectamente para el uso basico</t>
  </si>
  <si>
    <t>Buena calidad precio Buena calidad precio, con un velcro que aunque no es el más fuerte que he visto, cumple muy bien con las expectativas.  No le doy un 5 por toda la pelusa que sueltan. Lo ideal es frotarlos cuando llegan para que la suelten toda y luego no te manche todo el suelo cuando lo vayas a usar.</t>
  </si>
  <si>
    <t>TTT Muy bonito, calidad superior.</t>
  </si>
  <si>
    <t>Muy satisfecho Muy satisfecho</t>
  </si>
  <si>
    <t>Cómodas Son muy cómodas</t>
  </si>
  <si>
    <t>Alfombra de raton A mi hija le encantó y dice es comoda</t>
  </si>
  <si>
    <t>Bien Quedan perfectas y de color muy bonitas</t>
  </si>
  <si>
    <t>Excelentes Cómodas. Pesas poco. Muy bonitas y favorecedoras. Un 10 para esta compra</t>
  </si>
  <si>
    <t>Más que un calentador Me gusta el diseño , es muy practica y tiene gran capacidad .aparentemente fuerte quiero decir que no se dañará fácilmente . Y en mi cocina queda preciosa!!!</t>
  </si>
  <si>
    <t>Tapona bastante bien Tapona bastante bien, a ver ahora con el frio si no se solidifica</t>
  </si>
  <si>
    <t>Perfecto! 5 carpetas de buen material y muy úiles. Rápido envío con descripción precisa. Recomendable para estudiantes como yo que necesitamos de fundas para los apuntes.</t>
  </si>
  <si>
    <t>Fenomenal relación calidad-precio Necesitaba una buena tarjeta a buena velocidad para mi cámara nuevo. El único problema de esta tarjeta es que es de 80mb/s, y mi cámara necesita 100 para grabar a 4K, por suerte es una opción que casi nunca utilizo y por ahora, hasta que me pueda permitir una mejor, es correcta, y al menos en las pruebas, soporta la grabación a 4K, siempre y cuando no sea mucho tiempo.   Por lo demás cumple su cometido y va muy bien.</t>
  </si>
  <si>
    <t>Útil y de calidad Perfecta para llevar la cartera, el móvil y las llaves. Buena calidad</t>
  </si>
  <si>
    <t>Suave y calentita La talla es perfecta, me va muy bien, anchita, como me gustan las sudaderas. Es gruesa y guarda muy bien el calor. Me encanta la suavidad de la tela. El diseño es chulo, moderno. El cuello alto es un puntazo para invierno.</t>
  </si>
  <si>
    <t>Buena compra Artículo fantástico, el artículo se corresponde con la descripción que aparece en la página. Muy contento con la adquisición de este artículo . Gran cantidad de compartimentos, amplio.</t>
  </si>
  <si>
    <t>Muy bueno Muy buena, ya la he probado y Lucía muy bien, además viene con un librito de recetas de batidos</t>
  </si>
  <si>
    <t>Excelente Es la primera vez que uso un SSD, me ha parecido extraordinario, he revivido un portátil de diez años y es una experiencia muy positiva poder aprovechar así la tecnología. Llegó muy rápido en el Prime Day y lo recomiendo para quienes quieran tener un disco con el sistema operativo y otros programas, pues tiene una calidad/precio superior.</t>
  </si>
  <si>
    <t>Precioso Es un colgante precioso. no se ha puesto feo ni nada.Queda muy elegante</t>
  </si>
  <si>
    <t>Nada mal para lo que he pagado He comprado este articulo por 7 euros en la sección de reacondicionados de amazon. Por ahora lo peor el tiempo que ha tardado en llegar desde alemania. El enganche de oreja es flexible y con buena sensación. Es ajustable pero esa parte no me gusta nada porque no tiene fuerza para aguantar en la posición. Lo que son los auriculares en si, parecen los de tren o autobús. Parecen muy básicos. Espero que solo por marca dentro tengan mejor calidad. El cable es demasiado fino para mi gusto y no que cuál será el resultado. El sonido es bueno (por ahora), alto y de calidad. Recomendable por lo que cuesta, al menos por ahora.</t>
  </si>
  <si>
    <t>Si quieres sudar mucho esa es la camiseta para ti La camiseta la recibí un día después de la fecha de entrega pero fue por un error en la dirección muy contento con la camiseta la uso todos los días y me hace sudar mucho que es muy bueno. No dudaría en comprarla nuevamente.</t>
  </si>
  <si>
    <t>Perfecto para regalar Fue un regalo para mi abuelo y le gustó muchísimo. Aunque el diseño es simple, queda muy bonito y funciona bien.</t>
  </si>
  <si>
    <t>No es lo esperado Pedi la talla que yo utilizo y la prenda me queda grande en el  contorno, y me dio la impresión que la sujeción no era suficiente para poder correr con el.</t>
  </si>
  <si>
    <t>Precioso, supercomodo,  Suela sintetica Incomoda Era todo perfecto.  Solo un inconveniente, el recubrimiento que envuelve el talon y tobillo roza exageradamente en el talón y produce indeseables bochas.  Una pena porque  es muy bonito y comodo.</t>
  </si>
  <si>
    <t>producto con problemas a los 10 días Finalmente lo devolví porque no cargaba daba errores de carga. La devolución sin problemas. Cuando un producto falla a los 10 días te deja muchas dudas. No puedo evaluarla mucho, lo poco que la usé decir que era un poco caótica en sus recorridos. Los hacia sin mucho sentido. Por donde pasaba si que aspiraba creo que bien. Pero hacia cosas muy raras en sus trayectorias.</t>
  </si>
  <si>
    <t>no me ha gustado no lo recomiendo ,la succion es malisima y lo compre hace ocho meses y me  da problemas ya.</t>
  </si>
  <si>
    <t>El cristal no soporta la temperatura, cable corto y mala garantia. NO RECOMIENDO ESTA MARCA Tras muy pocos usos el agua hirviendo comenzo a salir rompiendo el cristal y vertiendo dicha agua por encima del sistema electrico, me parecio bastante peligroso. La jarra no tiene garantia, aigostar no se hizo cargo. NO LO RECOMIENDO MUY MALA CALIDAD</t>
  </si>
  <si>
    <t>Aceptables Tal y como esperaba. No son una maravilla pero para el precio están bien, cumplen su función.</t>
  </si>
  <si>
    <t>Alberto Asta la fecha va bien, lo único negativo es que la temperatura es más elevada que otros SSD de otras marcas pero tampoco es excesiva y no es que suba más se mantiene en un rango más alto, la capacidad y la velocidad por el precio que tiene es más que aceptable</t>
  </si>
  <si>
    <t>bien El biberon lo he comprado mas que nada porque tenia tetina de 3meses. Es un poco grande, tiene 340ml y es un poco dificil de lavar, esterilizar. Pero por lo demas 5 estrellas.</t>
  </si>
  <si>
    <t>Rápido pero un poco ruidoso. Antes de nada aclarar que hay dos versiones, la caja retail incluye el disco duro en una bolsa antiestática sin más, la compré la primera vez y me vino defectuoso por la escasa protección que tenía el paquete. La versión Retail Boxed Kit incluye la caja del producto que se ve en la fotografía, y el disco duro viene correctamente protegido.  Este toshiba es uno de los discos duros con mejor calidad/precio del mercado y es perfecto para equipos domésticos o gaming. Tiene un buffer de 64MB y gira a 7200rpm, es rápido y con buenos tiempos de acceso. Como todos los discos de esta gama lo único que tienen de malo es el ruído, ahora mismo es lo que más se escucha en mi equipo por encima de los 5 ventiladores que tengo instalados. Cuando accedes a él también se puede escuchar el movimiento del cabezal. Recomiendo aislarlo bien con arandelas de goma para evitar vibraciones en tu torre, se nota la diferencia.</t>
  </si>
  <si>
    <t>Buena relación calidad-precio En general el artículo está más que bien para el precio que tiene. Es pequeño, se puede llevar con las llaves y el diseño plateado está muy bien. No hay tapones que perder ni es retráctil, se utiliza tal cual se ve en la imagen. Lo que no me parece bien, desconozco si esto es normal en cualquier memoria de este tipo o no porque hasta que no vi algún comentario de usuarios reconozco que no me había fijado en estas cosas, pero lo cierto es que anuncian 32 gigas y nada más conectarlo al ordenador, aún vacío, tiene sólo 29. Estamos hablando de 3 gigas de diferencia. Sobre la velocidad para el uso que yo le doy es más que suficiente (grabarme películas o series para verlas y borrarlas).</t>
  </si>
  <si>
    <t>Suero ojos Fácil de usar</t>
  </si>
  <si>
    <t>Licuadora fácil de transporta. &lt;div id="video-block-R1SGPGZ1LJBJVV" class="a-section a-spacing-small a-spacing-top-mini video-block"&gt;&lt;/div&gt;&lt;input type="hidden" name="" value="https://images-eu.ssl-images-amazon.com/images/I/A1akzzA8dIS.mp4" class="video-url"&gt;&lt;input type="hidden" name="" value="https://images-eu.ssl-images-amazon.com/images/I/A1z1F6GHEkS.png" class="video-slate-img-url"&gt;&amp;nbsp;La he comprado para hacerle los batidos de fruta a los niños.. es ideal de tamaño; fácil de limpiar.. que es lo que más me gusta...  y  una forma rápida de hacer batidos y.. batir los huevos para las tortillas. . ha sido una buena elección, estoy muy contenta con el resultado. Muy buena elección.</t>
  </si>
  <si>
    <t>Producto necesario y de calidad Descripción perfecta, producto bien acabado, funciona perfectamente en HDMI i DVI, no lo he probado en HDMI 4K pero mi intención és probarlo en un futuro y comentaré si funciona</t>
  </si>
  <si>
    <t>Cinta Cinta adhesiva de muy buena calidad, hasta la fecha no he encontrado cinta semejante a esta, no mete ruido, resistente y pega bien, la seguiré comprando.</t>
  </si>
  <si>
    <t>Despertador Casio Tenia el mismo modelo desde hace 12 años, que seguía funcionando perfectamente...hasta que sufrió un accidente inesperado. Estaba tan contento con él que decidí buscar otro igual y lo encontré en Amazon, por lo que sigo igual de satisfecho</t>
  </si>
  <si>
    <t>Perfecto Aparte del adhesivo tienes la posibilidad de colocar los soportes con tornillos genial cuando las paredes están estucadas</t>
  </si>
  <si>
    <t>Súper Es una batidora de vaso pequeña pero potente, la recomiendo 👍🏾</t>
  </si>
  <si>
    <t>Perfecto Buen filtro para el té, acero inoxidable de buena calidad</t>
  </si>
  <si>
    <t>Mejor de lo que esperaba Muy buena compra. Lo que más me gusta es que a la hora de guardarlo, la cuchilla se queda dentro(como un cúter) no como en la mayoría que he comprado anteriormente que se queda fuera y corres el riesgo de cortarte cuando metes la mano en el cajón o de que se parta. Hace bien su función. Y me encanta el compartimento que tiene para guardar las cuchillas de repuesto. La entrega muy puntual. Lo recomiendo.</t>
  </si>
  <si>
    <t>Excelente Excelente relación calidad-precio. Hierve el agua muy rápido, de manera silenciosa, y estéticamente es muy bonito.</t>
  </si>
  <si>
    <t>excelentes Excelente material para el plastificado, muy contenta. todas las fundas en perfecto estado sin manchas ni torceduras. nada que envidiar a otras marcas.</t>
  </si>
  <si>
    <t>Llego rapido Tengo buena experiencia con la marca. Lo recomiendo.</t>
  </si>
  <si>
    <t>Perfectamente De 10</t>
  </si>
  <si>
    <t>Cumple perfectamente su función Como digo en el título, tienes agua hirviendo en pocos minutos. Su acabado está realmente bien, aunque por ponerle alguna pega, el mango es de plástico y cuando viertes el agua hirviendo se tiende a calentar, pero nada que desaconseje su compra. Hace un mes que lo tengo y lo utilizo 4 ó 5 veces al día.Totalmente recomendable su compra</t>
  </si>
  <si>
    <t>WD 6TB y 8TB Vengo de los discos duros de Toshiba, pero nunca de tanta capacidad maximo de 3TB, desde que me trajeron este disco duro, estoy almacenando los discos de 2 TB de los que llevo en mi mochila fotografica, cuando lo llene, ya estoy pensando que me compro el de 8TB, comparando las 2 marcas me quedo descaradamente con WD, el ruido es incluso menor con esta marca cuando mueves los archivos, comprobado, junto a este de 6TB de WD, otro de 8TB, la diferencia es notable, tambien tengo que decir que nunca tuve ningun percance con los toshiba, quiero decir, perdidads de datos o cosas por el estilo, la fiabilidad es tremenda pero me cambio por sus precios que ultimamente estan por las nubes... Despues de comprobar la calidad del producto, y viendo que por aqui debo de esperar de 1 a 2 meses para comprarme el de 8tb, decidi pasarme por MediaMark y comprobé que el precio era exactamente el mismo, por lo tanto ahora tengo 2 discos duros de WD uno de 6TB y el otro de 8TB, ya tengo reserva para algun tiempo.</t>
  </si>
  <si>
    <t>cumple lo que promete una muy buena opcion a un precio asequible, hace bien su trabajo, ¿que más podemos pedir?es un buen producto,y trae lo que se necesita el cepillito para limpiar la aguja</t>
  </si>
  <si>
    <t>A mi no me han resultado. Leí tantas buenas opiniones ,que me decidí a adquirirlo. Decepción total en ver que pida la talla que pida,no sujeta y no queda bien. Los materiales los esperaba más finos y transpirables,un sujetador de deporte no puede ser grueso,se supone que vas a sudar,deben ser materiales finos,elásticos ,de secado rápido. Decepción total. Al dinal han sido unos de Desigual que me han quedado como un guante.</t>
  </si>
  <si>
    <t>Regular Una manga me llega por la muñeca y la otra me queda mas arriba de la muñeca y es bastante grande.</t>
  </si>
  <si>
    <t>Bien con Vaqueros Queda bien.</t>
  </si>
  <si>
    <t>decepcion a dejado de funcionar a las dos semanas made in china.mala calidad</t>
  </si>
  <si>
    <t>No practica Poco practica</t>
  </si>
  <si>
    <t>Práctica no ocupa espacio y tritura bien la fruta Genial para batidos de fruta o de lo que quieras, una pena que la 2 botella no traiga el agarre de silicona como la 1 y que las tapas de la botella sean tan endebles con ese plástico que da sensación de mala calidad, pero por el precio que tiene.. Cumple su función</t>
  </si>
  <si>
    <t>Buena calidad Queda pequeño</t>
  </si>
  <si>
    <t>Zapatillas Son muy bonitas y no tan comodas como pensaba, pero muy bien. Lo mejor de rodo el precio que es insuperable.</t>
  </si>
  <si>
    <t>Buen producto Todo correcto</t>
  </si>
  <si>
    <t>Muy buena calidad precio. Funcional. Buena batidora. Rapida y potente. Además trae completamentos utiles que otros no traen.</t>
  </si>
  <si>
    <t>Perfectas Algo duras, pero perfectas. Cómodas, bonitas, aislan del agua de maravilla... La verdad que lo tienen todo. Es una bota cara, sí, pero es que lo que ofrece y la calidad en la que lo ofrece está en el precio. Las volvería a comprar sin duda</t>
  </si>
  <si>
    <t>Buena calidad Muy buena calidad,los volvería a comprar.</t>
  </si>
  <si>
    <t>Buena Buen producto para su precio</t>
  </si>
  <si>
    <t>Típica Kettle Compré este hervidor porque en la descripción decía que calienta rápidamente el agua y ciertamente lo hace!  Me encanta su diseño y su color blanco/crema. El tamaño es similar al de las cafeteras Nespresso para que os hagáis una idea y el cable se puede enrollar en la parte de abajo discretamente.  Funciona genial y sin duda, la volvería a comprar.</t>
  </si>
  <si>
    <t>Buena zapatilla Buena calidad, cómoda y cálida.</t>
  </si>
  <si>
    <t>Perfecto Muy bonito</t>
  </si>
  <si>
    <t>Muy satisfecho con la compra. Son fantásticos, con un tacto muy suave. La talla 42-46 es perfecta si calzas 40. Mantienen el calor estupendamente. Gran compra.</t>
  </si>
  <si>
    <t>ENCANTADO 😉 Me encanta lo cómodo que es de llevar y sobre todo la funcionalidad.  Ideal para viajar, billetes de avión,  libro, iPad,  botellita de agua...etc.</t>
  </si>
  <si>
    <t>Se ven de buena calidad Se ven perfectas, no las he utilizado todavia  ya les contaré</t>
  </si>
  <si>
    <t>Mis botas Dr Martens son espectaculares!! Hola a todos! Pues mi opinión a cerca del producto y del vendedor son bastantes positivas. Las botas son totalmente increíbles y quedan geniales, tal y como esperaba. La talla viene perfecta y tanto el producto como el vendedor cumplieron mis expectativas. Lo recomiendo 100%</t>
  </si>
  <si>
    <t>Perfectas Quedan estupendas. La talla que se use es la que hay que pedir, ni más ni menos. Quedan como un guante</t>
  </si>
  <si>
    <t>Ok Vale</t>
  </si>
  <si>
    <t>Muy bonitos! Para el precio están súper! Son bonitos, brillan mucho, y tienen un estilo elegante, tamaño perfecto, espero que el material no cambie de color tan fácilmente Por ahora muy contenta</t>
  </si>
  <si>
    <t>No pueden ser más bonitas Las zapatillas son perfectas, calidad inmejorable y envío muy rápid</t>
  </si>
  <si>
    <t>Estupendas Muy cómodas y ligeras, realmente las recomiendo</t>
  </si>
  <si>
    <t>Magnífico Soy fisioterapeuta dedicada a la rehabilitación del suelo pélvico. Trabajo con un aparato similar de sobremesa de uso hospitalario y tengo que decir que a nivel de biofeedback este aparato cumple a la perfección su objetivo; ayudar a la usuaria a detectar cuáles son los músculos que debe trabajar, identificar progresos puesto que guarda los resultados y motivar para seguir mejorando la fuerza y la resistencia. ***Hay que prestar atención a la contracción únicamente de los músculos del suelo pélvico, evitando que se contraigan glúteos, aductores (cara interna del muslo) o hacer presión con el abdomen (evitar hacer pujos hacia fuera)*** La caja y la presentación son estupendas, el tacto del dispositivo es suave y agradable. Es recomendable el uso de lubricante, como es lógico, para evitar molestias al colocarlo. Es sumergible 100% lo que facilita su limpieza (agua y muy poca cantidad de jabón neutro) Viene incluida una bolsita para guardarlo y transportarlo si nos vamos de viaje, y un sobre de lubricante de una dosis para su primer uso. Se carga mediante un cable USB incluído, la batería dura unas 4 horas y la app muestra el nivel de batería restante. La antena es totalmente flexible y se queda fijada en la posición que sea más cómoda, preferiblemente orientada hacia el teléfono para la sincronización con la app. La app muy sencilla e intuitiva. Permite trabajar la fuerza y la velocidad de la contracción en ejercicios distintos, todo guiado por una voz femenina en español y por una gráfica que va mostrando la contracción realizada. El sensor mide la presión ejercida por los músculos. Los ejercicios son muy visuales y divertidos, todos funcionan por objetivos. También existe la opción de una evaluación inicial que se puede repetir, una sección de entrenamiento libre y una opción de “masaje” con 4 modos de vibración con intensidad regulable. Añadir por último, que aunque es muy recomendable para la prevención de la pérdida de fuerza (edad, postparto, sobrepeso, deportes de impacto, estreñimiento…) nunca debe sustituir a un tratamiento profesional en caso de síntomas importantes. En caso de incontinencia o prolapso de órganos, lo mejor es acudir a un especialista para que identifique la causa y asigne un tratamiento, que con seguridad incluirá el reentrenamiento del suelo pélvico, por lo que  este aparato será un complemento magnífico. En cuanto a las contraindicaciones, no debería utilizarse durante la cuarentena, en postoperatorio pélvico o abdominal bajo inmediato (muy indicado tras un tiempo prudencial, unas 6 a 8 semanas) en caso de fístulas o heridas abiertas o si existe infección vaginal o urinaria, durante la menstruación (pos posibles molestias, no es una contraindicación absoluta) y en caso de dolor al usarlo. Tampoco estaría indicado en caso de hipertonía del suelo pélvico. Por lo demás, me parece un acierto tenerlo en casa para ejercitar nuestro suelo pélvico como hacemos con cualquier otro grupo muscular en el gimnasio. Sencillo, agradable a la vista y al tacto y muy muy práctico. Una gran ayuda. Lo recomiendo sin duda.</t>
  </si>
  <si>
    <t>Buen reloj Buen reloj con funciones de brújula y temperatura. No es un pro trek pero claro, es mucho más barato</t>
  </si>
  <si>
    <t>Auricular/Batetia Soy un fanatico de este tipo de producto y de las mejoras que se van obteniendo día a día en el mundo de los auriculares bluetooth, aunque tengo mas de un auricular, decidí comprar el auricular Delinuo por su sorpréndete presentacion, además del servicio que te ofrece como batería externa, algo muy práctico debido a que el uso excesivo también consume batería del móvil, y con un simple cable usb, cargas rápidamente el móvil. Muy practica la caja/ batería del auricular, sorprende mucho también la rapide a la hora de enlazar ambos auriculares, ademas también te informa digitalmente del estado de la batería. También es muy importante que el producto tenga una buena calidad de sonido, y en realidad el producto cumple con el objetivo. Además su uso es muy sencillo, tanto a la hora de manipular cualquier función de la app de música como de cualquier llamada o mensaje recibido sin tener q manipular el auricular, simplemente  con un simple toque del dedo para activar cualquier función. Perfecta también la sujeción del auricular a la oreja y sino es así, se pueden cambiar las almohadillas. En definitiva, buen producto calidad/ precio, espero disfrutarlo durante mucho tiempo.</t>
  </si>
  <si>
    <t>Comoda Me gusta mucho el diseño  la prenda. Baja calidad del material. Saludos</t>
  </si>
  <si>
    <t>Mallas deporte. El tejido ensancha al poner y el dibujo cambia. Se vuelve la malla más transparente.</t>
  </si>
  <si>
    <t>Abriga pero es estrecha. Viene pequeña.</t>
  </si>
  <si>
    <t>Mala calidad Los auriculares en sí no están mal, pero si los usas para cualquier cosa menos para lo que están pensados: hacer deporte. No aguantan mucho y con cuatro gotas de sudor se oxidan los tornillitos y da problemas la batería. Buen intento pero mal resultado.</t>
  </si>
  <si>
    <t>Imitación de mala calidad FALSO! La iluminación de la pantalla no es como debe ser. Mañana mismo lo devuelvo. Muy mal amazon, por aceptar vendedores sin comprobar su genero, espero que hagais algo para que esto no siga pasando. Estoy muy decepcionado</t>
  </si>
  <si>
    <t>Compra perfecta Estoy super contento con la compra perfectas de todo de talla, de modelo que son realmente las que salen en la foto y sin duda las originales. Volveré como otras veces a comprar en Amazon.</t>
  </si>
  <si>
    <t>correcto correcto, es bonita y viene en perfectas condiciones viene en un estuche negro sencillo, tiene un buen acabado, lo unico que hay que tener en cuenta es la cadena, que tienes que mirar que sea del tamaño adecuado, es de tamaño medio con lo cual dependiendo de los gustos puede quedar corta o larga</t>
  </si>
  <si>
    <t>Tallas grandes. Son tal como aparecen en la foto, la talla es grande, soy 38 y me quedaron grandes, como media talla, tengo que ponerles una plantilla para que ajusten.  Son cómodos para caminar pero al cabo de un rato comenzaron a rozarme el borde de atrás, no se si porque me van grandes. Si los traen en medias tallas pediría media menos que mi talla habitual. Embalaje y envío perfecto como es habitual en Amazon.</t>
  </si>
  <si>
    <t>Lindo detalle Es un lindo detalle para regalar. La relacion calidad / precio es buena.</t>
  </si>
  <si>
    <t>Calza pequeño Lo devolvi, necesitaba un número mas</t>
  </si>
  <si>
    <t>Muy buena compra. Buenísimo. Puedes limpiar todo tipo de cristales y desde todas las posiciones posibles. Es muy cómodo y fácil de usar. Totalmente recomendable.</t>
  </si>
  <si>
    <t>Judy Es super comoda estoy encantada no ocupa espacio, facil de doblar.  Lo unico malo no haberla comprado desde el principio me hubiera ahorrado lo de la otra bañera que solo ocupaba espacio. La recomiendo sin duda</t>
  </si>
  <si>
    <t>Buena compra Buena compra Económico con respecto a la calidad del producto y sus características Producto muy recomendable Es posible que repita</t>
  </si>
  <si>
    <t>Un poco grandes Pero preciosos!</t>
  </si>
  <si>
    <t>Me ha gustado, me parece muy bonita. Batidora de vaso de la marca Moulinex que cambia un poco el concepto de batidoras de vaso ya que esta la jarra es plástico, lo que tiene una parte buena y una mala, un buena es que la jarra es muy ligera lo que está bien porque no cuesta moverse con ella y la parte mala quizás puede ser el desgaste de la jarra a largo plazo no sabemos cómo será, supongo que si la marca ha optado por el plástico es que habrán comprobado que funciona, de un tamaño es grande la verdad que me parece grande pero claro hay que tener en cuenta que el vaso es muy grande de 2 litros, la base del motor es grande, con una buena potencia de 600 vatios.  En la caja nos encontramos con: - Batidora de pie base de motor. - Vaso de plástico de 2 litros máximo sin tapa y 1,25 litros útiles. - Tapa de cierre, con un tapón medidor. - Instrucciones pero en español. El contenido de la batidora es lo básico sin nada más.  Los materiales de construcción de la batidora es todas de plástico, parecen de buena calidad, encajan unas con otras con bien.  Recomiendo echarle un vistazo al manual de instrucciones para hacernos una mejor idea del producto, como funciona y lo que podemos y no podemos hacer con el mismo.  Es lo relativamente fácil lavar el vaso de plástico como las cuchillas que son muy fáciles de desmontar de la jarra con solo un giro, la zona de las cuchillas cuentan con un junta tórica no recomiendo meterla en el lavavajillas.  La base está realizada en materiales de plástico buena calidad en color rojo muy bonito, pero es plástico está en la línea del precio del producto, h, cuenta con un única rueda que nos permite hacer todas las funciones, esta rueda podemos ajustar la velocidad desde el minino al máximo, que son en definitiva dos posiciones la I y II, está muy bien porque podemos ajustar la potencia a nuestro gusto de forma muy sencilla, en el mercado hay algunas que con más intervalos de potencia, si giramos hacía en otro lado tenemos la opción de PULSE que nos permite batir a intervalos si soltamos el botón deja de funcionar.  La jarra se coloca con un cierre sobre la base para asegurar la estabilidad, de la jarra sobre el motor.  La base cuenta en la parte inferior con dos ventosas en la parte delantera que le dan estabilidad para que no se mueva la batidora.  La potencia del motor es de 600 watios lo que está bien para este tipo de aparato, con esta potencia podremos triturar con facilidad cualquier cosa, no es demasiado ruidoso para esta potencia y que después de unos segundos.  El tiempo máximo de funcionamiento de forma continua es de 3 minutos.  Las cuchillas de trituración son 4 con diferentes orientaciones parecen de buena calidad, y en este modelo es muy sencillo desmontar las cuchillas, puede picar hielo, pero yo no recomendaría mucho por el desgaste que esto inflige a las cuchillas, si picas hielo que no sean cubitos grandes.  Pros: -Diseño bonito. -Buen tamaño. -Potencia de 600 w. -Varias posiciones de velocidad, y función pulse. -Buenas cuchillas. -Ventosas para impedir que se mueva la batidora  Contras: -¿no se si jarra?, creo que no será un problema pero no se no pongo la mano en el fuego, el uso de este tipo de jarra supone un ahora de materiales y del precio final de ventan.  Conclusión: Batidora muy bonita con un diseño en rojo muy bonito, creo que está bien construida, la única duda es como se comportara a la jarra a largo plazo, insisto que creo que bien pero no puedo saberlo, supongo que la marca no hubiera utilizado este materia si no fuera efectivo.</t>
  </si>
  <si>
    <t>BBB bueno bonito y barato jjj Muy wapo estoy contento</t>
  </si>
  <si>
    <t>Excelente Lo uso para trabajar en un taller y son super cómodas. Livianas. Van genial.</t>
  </si>
  <si>
    <t>Diseño bonito y calienta rápido Es muy bonita, para 3 tazas largas al menos. Calienta muy rápido 1 o 2 tazas (menos de 1 minuto). Cuidado porque el exterior  esmaltado se calienta. Tiene en el interior un indicador de cantidad de agua para 1 2 o 3 tazas medianas que resulta útil para no poner poco o mucho. El cable queda recogido (Se enrolla manualmente enganchando en unas pestañas, no es automatico). Muy recomendable.</t>
  </si>
  <si>
    <t>Buenos para el gimnasio Buenos pantalones para el gimnasio, con bolsillos, los utilizo para el gimnasio. Para mí gusto estupendo y la talla también.</t>
  </si>
  <si>
    <t>Reloj Llegó a tiempo en su correspondiente caja y certificado muy bonito y muy cómodo lo recomiendo muy contento</t>
  </si>
  <si>
    <t>Su almacenamiento La gran capacidad que me supone en el ordenador y la seguridad de ser un buen producto.</t>
  </si>
  <si>
    <t>Recomiendo la compra. Recomiendo la compra. Todo perfecto, ideal regalo..</t>
  </si>
  <si>
    <t>Si va diluido pulverizar bien sólo una vez y esperar un poco Lo he utilizado el suelos y como spray diluido para azulejos y campaña de cocina. Espectacular porque no hace espuma y es totalmente líquido pero el resultado asombroso Como quitamanchas perfecto ...y tb diluido. Muy diluido</t>
  </si>
  <si>
    <t>muy bonito se lo regale a mi marido y le gustó mucho, hace tiempo que lo compre y nunca ha fallado, es un reloj de vestir que queda muy bien en la muñeca del hombre.</t>
  </si>
  <si>
    <t>Discretos y cómodos Hacía tiempo que me apetecía cambiar a unos auriculares bluetooth pequeños que encajen bien en el pabellón auditivo. Estos van a la perfección y sin muy discretos y para su precio suenan bastante bien. Recomiendo seguir las instrucciones al pie de la letra porque si no sacas los dos auriculares a la vez del estuche la primera vez, no se emparejaràn bien o solo lo hará uno de ellos.</t>
  </si>
  <si>
    <t>Comodísimos Producto excelente... muy bonitos los colores..no te presiona la cabeza, es cómodo y el precio ideal. Ya no tengo qe comprar más</t>
  </si>
  <si>
    <t>Reloj Seiko Buen reloj a buen precio</t>
  </si>
  <si>
    <t>Alta calidad de sonido con la mejor cancelación de ruido Buen balance de sonido, con un poco de exceso de graves que principalmente afecta a las voces en conversación o en audios de voz tipo podcast o radio. Se diferencian muchísima variedad de tonos desde agudos a graves. La cancelación de ruido pasiva es muy buena y la activa insuperable habiendo probado los Sony mx1000. Lo q hace q no tengas que subir tanto el volumen y no te estropee los oídos. La almohadilla es muy cómoda y grande por lo tanto no hace presión encima de la oreja.</t>
  </si>
  <si>
    <t>Veremos lo que dura, la que venia con el reloj  me ha durado un año y medio Veremos lo que dura, la que venia con el reloj  me ha durado un año y medio. Veremos lo que ocurre</t>
  </si>
  <si>
    <t>Pierde la forma con el tiempo, calidad de los materiales regular, no es lo que buscaba Después de probarlo unos días, empece a notar que no mantenía la forma, la calidad de los materiales es muy justa... diseño muy simple....  Por otra parte es muy espacioso, pero demasiado grande. También es muy cómoda de llevar.  Acabe devolviéndola....</t>
  </si>
  <si>
    <t>La talla es enana, tuve que devolverlo Este producto talla enano. Yo llevo una 38-39 y, como vi los comentarios, pedí una 39-40. El producto que me ha llegado es más bien una 37-38, que es la talla brasileña. Vale más hacer caso de la talla brasileña porque está claro que la conversión a la europea no es correcta. Por lo demás bien, las chanclas llegaron en su caja y tenían buen aspecto</t>
  </si>
  <si>
    <t>Hace su función Hace su función, no tiene gancho para las llaves pero tiene un montón de bolsillos y el material es bueno.</t>
  </si>
  <si>
    <t>Calidad precio mala, al menos mi caso Se han usado en 4 ocasiones y dos cargas, y uno de los auriculares ha dejado de funcionar. A la espera deresolver dicho problema y quién se hace responsable.</t>
  </si>
  <si>
    <t>No lo puedo recomendar No voy a entrar en analizar si el disco es bueno o malo, el problema radica en que tanto los conectores de la caja como el cable usb que incluye son de pésima calidad lo que en el futuro acabará dando problemas de lectura/escritura y mermando la vida útil del disco, no entiendo como una empresa como toshiba ha sacado una caja asi y con ese cable siendo el componente mas barato del disco</t>
  </si>
  <si>
    <t>Precio Buenos para correr  Sonido normal poco aislamiento de ruidos externos</t>
  </si>
  <si>
    <t>robusta y eficiente, es baja por lo que puede pasar bajo muchos muebles robusta y eficiente, es baja por lo que puede pasar bajo muchos muebles.  pero reza para que no se te estropee, pues el servicio técnico en Murcia es un completo desastre, dejé el aparato porque no aspiraba y me dicen que una semana,  10 dias y que me avisan por sms. hasta aqui bien, 15 dias despues y no teniendo noticias llamo y me dicen que le falta una pieza y que no la cubre la garantia, acepto el precio de la pieza y  dejo que se la pongan , de nuevo 15 dias mas y tengo que llamaryo pues no dicen nada, y cuando llamo me dicen que no esta y que es cierto que deberia y que lo vera con el tecnico....2 meses sin el aparato y sin noticias....un desproposito enorme.</t>
  </si>
  <si>
    <t>Geniales Cómo todos los bibes de avent que compré...me decidí por avent leyendo comentarios y sin probar otras marcas desde un principio mi bebe se adaptó a ellos sin ningún problema.</t>
  </si>
  <si>
    <t>Lo recomiendo Después de 2 meses de uso los recomiendo para uso diario en el trabajo, son cómodos y livianos. Queda como se esperaba según la talla.</t>
  </si>
  <si>
    <t>Para usar en coches sin bluetooth Válido para conectar el móvil al coche renault</t>
  </si>
  <si>
    <t>PERFECTA Había leído opiniones de que se enredaba pero la verdad que yo me la pongo todos los días con mas cadenas y no he tenido ningún problema. Es realmente bonita. Me llego antes de lo previsto y es de buena calidad. Volvería a comprarla.</t>
  </si>
  <si>
    <t>Calidad y precio Tiene las tres B, bueno,  bonito y barato. Me impresionó, queda muy bonito puesto, muy buena calidad a muy buen precio. Es tal cual aparece en la imagen.</t>
  </si>
  <si>
    <t>Comodidad Calidad de materiales. Se adaptan muy bien para salir a correr y mejor que estar con cables</t>
  </si>
  <si>
    <t>Perfectas! Muy buen precio y buena calidad!</t>
  </si>
  <si>
    <t>Muy rápidas. Tarjetas de muy buena calidad, súper rápidas!</t>
  </si>
  <si>
    <t>Gran calzado Una buena compra en calidad / precio.</t>
  </si>
  <si>
    <t>Todo bien Funciona perfectamente, y los accesorios son muy útiles y fáciles de limpiar.</t>
  </si>
  <si>
    <t>bueno perfecto</t>
  </si>
  <si>
    <t>Muy recomendable Completamente recomendables! Son aceites con olor intenso, yo he puesto 2-3 gotas en mi difusor y con eso me basta. Todos tienen un rico aroma, pero los que más me han gustado son el de Jasmine y el Cherry Blossom.</t>
  </si>
  <si>
    <t>Los mejores aceites para humedificadores Llevo tiempo con mi humedificador y había probado varios aceites puros sueltos que no me convencian debido a que olían demasiado fuertes y un poco a químico, y sin duda estos son los que estaba buscando, todos tienen un olor suave y agradable, ahora mismo tengo puesto el de lavanda y la verdad que me encanta, el vote en el que se encuentra el aceite viene perfecto para poder verterlo gota a gota en el humedificador, además de venir muy bien presentados en su caja. Compra 100% recomendada.</t>
  </si>
  <si>
    <t>Perfectos Me ha encantado el diseño de estos auriculares, modernos y cómodos. La caja donde se guardan te muestra de forma muy gráfica la batería que le quedan a cada auricular. Esa misma caja te sirve de cargador y se colocan fácilmente porque están imantados. Tienen muy buena calidad de sonido y me resultan muy cómodos de llevar. Muy contento por la compra</t>
  </si>
  <si>
    <t>utiles perfectas</t>
  </si>
  <si>
    <t>BONITA, ELEGANTE Y MUY FUNCIONAL Lo más llamativo de esta cafetera es su aspecto, muy elegante y con un aire de otros tiempos de lo más atractivo. Tiene un manual en varios idiomas, incluyendo el español (esto no siempre sucede, como he indicado en otros comentarios). Tiene una capacidad de 1,25 litros, suficientes para preparar 10 tazas. Cuenta con un indicador de nivel de agua y una cuchara incorporada para dosificar el café. No trae los filtros para el café, que hay que adquirir a parte. Tiene también un vistoso indicador en la parte frontal superior que va indicando el proceso de preparado del café. Como nota peculiar, cuenta con un sistema de rociado de agua sobre el capé para que sea más uniforme. El resultado es de lo más satisfactorio. Bonita, elegante y con buenos resultados, ¿qué mas se puede pedir? La relación calidad-precio me parece adecuada. Producto muy recomendable para los cafeteros.</t>
  </si>
  <si>
    <t>Chulo Son chulos y de buena calidad/precio</t>
  </si>
  <si>
    <t>Eficiente Fue una muy buena compra, hace un efecto de frío muy rápido y alivia la zona en muy poco tiempo, sin duda volveré a repetir</t>
  </si>
  <si>
    <t>Buena relación calidad precio Para el precio que tienen, no me daba mucha confianza, pero se escucha súper bien la música</t>
  </si>
  <si>
    <t>Comodas y muy bonitas. Zapatillas muy cómodas. Estéticamente muy chulas. Muy contenta con la compra. Envió rápido, todo perfecto. Dan ganas de comprar otro par.</t>
  </si>
  <si>
    <t>Correctamente La medida correcta y funciona perfectamente</t>
  </si>
  <si>
    <t>Descontenta Hacen mucho ruido a plástico cuando andas... No són de muy buena calidad.</t>
  </si>
  <si>
    <t>Una grata sorpresa EStaba buscando un humidificador porque un amigo tenía uno y me recomendó comprarme uno de amazon barato; elegí este y al ser tan económico pensé que  igual no era de tanta calidad como el de mi amigo o como otros. Nada más lejos de la realidad, me he llevado un sorpresón, está genial. Tiene diferentes modos de luz, funciona super bien con un mando que está incluido que es bastante práctico y además yo he comprado a parte unas gotitas de menta y va genial para ayudar a respirar o simplemente como método aromático, de verdad, una gran compra. Recomendado 100%</t>
  </si>
  <si>
    <t>Pésimo producto La primera vez que me duché con él, le entró agua y le salió algo de óxido en la parte trasera. Increíble... Tiene toda la pinta de que el reloj era falso.</t>
  </si>
  <si>
    <t>No esta mal Es de un material rigido y se pone raro color</t>
  </si>
  <si>
    <t>No es como lo esperaba, mucho menos siendo de la marca Oster Hace un ruido extraño ...y los botones no van bien</t>
  </si>
  <si>
    <t>Muy comodo Pantalón muy cómodo pero no apto para la gente que no le gustan las cosas ceñidas, tejido confortable.</t>
  </si>
  <si>
    <t>No se refleja en el anuncio. Me gusta su forma pero me lo esperaba más tipo chaqueta. Es un polar con botones.</t>
  </si>
  <si>
    <t>lindos pendientes muy bonitos y originales, aunque el broche de cierre es poco consistente</t>
  </si>
  <si>
    <t>BLUE YETI Micrófono Lo compré para futuros proyectos, se ha oído hablar muchísimo de este micrófono, ...que si tiene la calidad de un profesional vía USB entre otras opiniones. Para uso profesional, si te dedicas al campo del sonido, no te compras este micrófono, hay muchísimas otras alternativas por precios similares o inferiores. Para alguien que no tiene idea de sonido, que quiere realizar proyectos propios etc. Lo recomiendo totalmente.</t>
  </si>
  <si>
    <t>Bonitos y perfectos para los bebés Nos van super bien para mandarle las compotas o zumos naturales o yogurt a la guardería! Se rellenan fácilmente y luego al cerrar quedan bastante herméticos con lo que diría que casi imposible que el bebé lo abra por el sitio se relleno. Se lavan fácilmente, en fin... un éxito para mandarle al bebé cositas naturales hechas en casa.</t>
  </si>
  <si>
    <t>Muy sorprendido y contento Absolutamente contento con el equipo. En calidad/precio de lo mejor que he encontrado. Se emparejan con muchísima facilidad a cualquier equipo. Una novedad que tengo con respecto a otros es que se puede pasar la canción, además de acceder a Google assistand y pausar y activar la canción. Tiene un buen micro para hacer llamadas. Son muy cómodos para hacer deporte y no se caen en absoluto. Estoy muy contento con ellos.</t>
  </si>
  <si>
    <t>un regalo excelente El reloj muy bonito, solo como detalle a destacar, que aun viniendo en la descripcion el tamaño de la correa, nos llevamos una sorpresa cuando abriamos la caja, era algo mas pequeño de lo que teniamos en mente, pero aparte de eso todo perfecto.</t>
  </si>
  <si>
    <t>Cómodos en la oreja y buena calidad Perfectos para el móvil y con manos libres, sonido de muy buena calidad.</t>
  </si>
  <si>
    <t>Justo lo que parece Es un tostador, cómodo y funcional. No tiene ningún inconveniente.</t>
  </si>
  <si>
    <t>Recomendados Buena calidad y justo lo que esperaba al pedirlos</t>
  </si>
  <si>
    <t>Mucho por poco Muchas pastillas al mejor precio, realmente no lo encontraras a mejor precio. En los supermercado las cajas de 45 cuastan más que estas!</t>
  </si>
  <si>
    <t>Rápido y a buen precio Perfecto todo y mi número incluido</t>
  </si>
  <si>
    <t>Todo bien El producto viene bien presentado y protegido. La clavija IN va en el OUT y la OUT en el IN, como ya han dicho los compañeros. Funciona bien. Al principio no iba porque tenía mal configurado el teclado, pero luego sin problemas. Lo uso con un teclado Yamaha CS1x en un iMac mid 2011 con Ableton Live, Reaper y también probé con Garage Band. Lo recomiendo.</t>
  </si>
  <si>
    <t>Muy bueno. Muy bueno.</t>
  </si>
  <si>
    <t>Opinion de un primerizo Lo buscamos sobretodo por la boca de silicona y tambien por la tapa para aguitarlo/ transportarlo. En definitva, lo recomiendo para cualquier primerizo, ya que otras marcas no nos han acabado de gustar por la tetina.</t>
  </si>
  <si>
    <t>Funcional y práctico El puntero es pequeño y ligero. Comodísimo. Incluye una funda de regalo (perfecta para dejar una pila ahí, sin tener que dejarla puesta en el puntero), y las instrucciones en inglés. Aún así, el puntero funciona simplemente conectando el USB al ordenador. Además algo que me ha gustado es que tiene 2 botones laterales que, mientras no estás en presentación, sirven para subir y bajar el volumen. Incorpora láser que se ve bien a plena luz del día. Se alimenta con una pila AAA, por lo que a parte de las ventajas de duración que incorpora frente a las de botón. Son más baratas y comunes.</t>
  </si>
  <si>
    <t>Perfectas Son las originales, llegaron en su caja correspondiente. Son blancas blancas. Leía en todos los comentarios que lo mejor era pedir una talla menos, así que no sabía qué hacer. Yo soy una 36 de toda la vida, así que no hice caso y me arriesgué y pedí una 36 y me quedan perfectas (y eso que yo tengo el pie fino y pequeño). Eso, que estoy encantada con las zapatillas.</t>
  </si>
  <si>
    <t>Alta capacidad y velocidad de lectura/escritura a un precio muy razonable. Lo uso para llevar música, películas y series y funciona muy bien. Hay que tener en cuenta que sólo es USB 3.0 cuando lo conectas al PC, aunque la conexión microUSB para móvil o tableta va también bastante rápido, sobre todo en lectura. Siendo un modelo anterior al que cuesta casi 100€, este ofrece mayor velocidad de escritura y lectura que el más nuevo y caro. Se calienta un poco cuando lleva un rato funcionando sin pausa, pero no quema cómo algún otro de formato mini que he probado. El tamaño es muy reducido para poder llevarlo donde quieras, incluso en el llavero. Sin duda, lo recomiendo.</t>
  </si>
  <si>
    <t>Va perfecta Va bién también para ambit 1. Va con tornillos nuevos y el pegamento. ¡A ver si dura más que la otra!...</t>
  </si>
  <si>
    <t>Muy buena relacion calidad precio Etsupendo, lo compre igual q.otro q tengo desde hace siglos y me rompieron los niños. Basico pero no se necesita mas y la luz no molesta al encenderla en la oscuridad</t>
  </si>
  <si>
    <t>Me encanta Parece muy resistente y es perfecta para lo que quería. Tiene incluso protector del conector de auriculares. Los botones de encendido y volumen están tapados pero no hay problema para usarlos. Vino la funda protegida en una bolsita de plástico resistente.</t>
  </si>
  <si>
    <t>Calidad y marca Relación calidad precio inmejorable. Cumple su funcion.</t>
  </si>
  <si>
    <t>Bien Muy bonitos. Le quedan bien</t>
  </si>
  <si>
    <t>Bien por la batería mal por los cortes de señal Tener una batería devrepuesto está bien, pero al ir por la calle se corta la señal de uno de los auriculares como si estuviera mal uno con cable y eso me pone de los nervios</t>
  </si>
  <si>
    <t>Talla pequeña Son bonitas, pero son un poco duras en cuanto a la suela y la talla es mas pequeña de lo normal.</t>
  </si>
  <si>
    <t>Bonito pero baja calidad Vino defectuoso, se le sale la correa porque uno de los enganches es corto. Por el precio tampoco se puede esperar más calidad, pero es muy bonito.</t>
  </si>
  <si>
    <t>Son lo que ves De paseo correctas para practicar deporte No</t>
  </si>
  <si>
    <t>Works well but made for incredibly small head, ** Update**. Stopped working even on a very small head. Funciona bien, pero está hecho para una cabeza increíblemente pequeña. No creo que las cabezas de los fabricantes sean tan pequeñas, tal vez sus hijos.  Actualizar. Después de solo cuatro meses, dejó de funcionar.</t>
  </si>
  <si>
    <t>Extremadamente débil. No recomedable en absoluto. Se ha roto a las dos semanas de uso. Y dos veces ademas, por el mismo sitio (despues de pedir repuesto) No recomiendo este producto en absoluto. Voy a solicitar la devolucion del importe.</t>
  </si>
  <si>
    <t>Funciona correctamente Funciona correctamente. Tal y como se indica en la descripción del artículo, hierve el agua rápidamente y es muy cómodo de usar por su sistema para abrir la tapa y el asa para servir.</t>
  </si>
  <si>
    <t>Anillos ajustables Estoy muy contenta, llegaron antes de lo que esperaba. Por el precio que tienen, no sé lo que durarán pero será suficiente para utilizarlos estas fiestas, si duran más, estupendo</t>
  </si>
  <si>
    <t>Carolina No son de los mas comodos  que tengo de esta marca, aun asi encantada!! La marca mas cómoda que conozco hasta ahora para mi!!</t>
  </si>
  <si>
    <t>Imita al pecho, pero no es el pecho Nosotros lo compramos a la "desesperada" para poder darle biberones a nuestro bebe (los normales no los cogía). Éste tampoco lo cogió. Me imagino que este biberón va mejor para que los bebes no se líen y no cargarte la lactancia a las primeras de cambio; pero no creas que por que imiten el pecho, a tu bebe le va a gustar y lo va a coger... Yo creo que si el bebe tiene la lactacia materna bien cogida y no quiere biberones, éste tampoco lo va a querer (aunque no quiero desanimar a nadie, porque como yo ya he dicho, nosotros también lo intentamos).</t>
  </si>
  <si>
    <t>Bien precio Perfectas</t>
  </si>
  <si>
    <t>Buenos auriculares bluetooth Buen producto para hacer deporte,ya que con su sujeción no se mueve y son muy cómodos,la cajita de carga es muy pequeña y entra perfectamente en un bolsillo y da para bastantes cargas,es magnífico poder hacer deporte sin cables y sin preocuparse de que se vaya a caer de la oreja,única pega por poner algo que la información la dice en inglés (cuando le queda poca batería...)pero la verdad que es un producto magnífico.</t>
  </si>
  <si>
    <t>El aspirador para disfrutar aspirando y mantener la casa limpia Es un aspirador fantástico sin cables, ya casi no uso el aspirador normal. Es silencioso, muy potente,  liguero y muy manejable. Una vez montado se siente muy sólido,  como de una sola pieza. He tenido otros aspiradores iguales de otras marcas de primera gama y el funcionamiento del Rowenta Air Force 460 es muy superior. Lo valoro como el mejor aspirador escoba que he tenido que uso a diario y al ser tan facil y sin cables no me da ninguna pereza aspirar y ayuda mucho a mantener la limpieza del dia a dia.</t>
  </si>
  <si>
    <t>Rápida y graduable. Calienta muy rápido y la calidad aparente es muy buena. Podría tener algún nivel de temperatura mas pero aún así es ideal.</t>
  </si>
  <si>
    <t>Buen regalo y barato Han cumplido su funcion</t>
  </si>
  <si>
    <t>Perfecto, tal y como me lo esperaba Quería un horno pirolítico para evitar tener que limpiarlo tanto - normalmente se me manchan bastante...-, y lo cierto es que la función funciona muy bien.  Los acabados son muy buenos y encima la marca es española.  Encantado con la compra.</t>
  </si>
  <si>
    <t>Perfecto Interruptores muy suaves a la hora de encender y apagar</t>
  </si>
  <si>
    <t>Buena calidad, cómodos tamaño correcto. La talla es correcta, la forma es bastante ancha por lo que no molestan y son bastante calentitos. Son unos zapatos  sport, casuales o  como los queráis llamar bastante buenos para el precio. La durabilidad no se como será, pero parecen bien hechos.</t>
  </si>
  <si>
    <t>Cómodos Son cómodísimos.</t>
  </si>
  <si>
    <t>Recomendable totalmente Excelente manta para los días de frío con un interruptor con varias posiciones para regular el grado de calor que necesites cómo seguridad se autoapaga a la hora y media la recomiendo totalmente para los frioleros de Amazon</t>
  </si>
  <si>
    <t>Reloj económico y bonito El Reloj Hombre, KOTIME es un reloj muy bonito, con una esfera redonda donde sus dos agujas y el segundero son de color rojo. En la esfera no aparecen números solo rayas. Para mí esto no es un inconveniente, lo digo porque igual a alguien le cuesta más ver la hora cuando no aparecen los números. La correa esta realizada en maya en color negro y trae un cierre de seguridad el cual te lo ajustas tú. Realmente es muy sencillo de mover con el aparatito que trae. Pero he tenido que recurrir al anuncio ya que no viene en a caja ningún tipo de explicación. (Yo lo he hechado un poco en falta). Este reloj pone que es de hombre, pero en mi casa finalmente es mi mujer la que lo utiliza y no me parece que quede mal. Esto es posible también a lo comentado antes de que su cierre se puede mover. Es un reloj de diseño sencillo, pero chulo y económico</t>
  </si>
  <si>
    <t>Fácil de usar y calienta el agua muy rápidamente Funciona muy bien para hervir agua, tarda tan solo un par de minutos y tiene bastante potencia, hace un poco de ruido al calentarlo pero no es de la máquina en sí, sino del agua hirbiendo. Tiene una capacidad de hasta 600ml y tiene también un filtro antical (que cuando lo compré no sabía que lo tenía y me sorprendió gratamente). Lo recomiendo un montón, desde que lo tengo me hago un montón de infusiones y tés, con lo que estoy bebiendo casi el doble de agua que antes.</t>
  </si>
  <si>
    <t>Mejorando año tras año! La zapatilla es cómoda ligera para mi edad y peso.</t>
  </si>
  <si>
    <t>Buenísimos Me encantan duran más la batería y oye siri de categoría</t>
  </si>
  <si>
    <t>muy bueno impresionante la potencia no lo puedo poner al maximo es una turbina muy recomendable</t>
  </si>
  <si>
    <t>PROFESIONAL Utilizamos este POP UP o Anti pop en nuestro estudio y nuestros clientes estan super contentos, si que es verdad que no es una marca muy reconocida, pero para su calidad precio es perfecto</t>
  </si>
  <si>
    <t>Muy bonitos Son muy bonitos, tal cual se ve, y llegaron a tiempo.</t>
  </si>
  <si>
    <t>Buena Calidad-Precio El sonido de los auriculares es muy bueno en relación a su precio. Consigue aislar el ruido exterior, almenos gran parte de éste. Por el tiempo que llevo utilizándolos, no he agotado su bateria (contando que cada vez que los guardo, éstos se cargan). La máxima duración que han estado conectados con música, han sido un total de dos horas a máximo volumen, restándole aún, un total de 10% de batería. La única falla que le encuentro, es que a veces éstos se me caen, seguramente porque ninguna de las almohadillas que vienen con ellos, se adaptan a mi oreja.</t>
  </si>
  <si>
    <t>Está muy bien Contenta con la compra. De momento ha cumplido su función. Lo echó en el champú del niño.</t>
  </si>
  <si>
    <t>la calidad -precio su mejor virtud como pantalón para una cofradía, de hecho les iba a hacer una petición de como mínimo tres pantalones más  , para otras personas , pero me dicen que no están disponibles las tallas , que yo pido , si los hay en otros colores, ¿ los volverán a hacer ?</t>
  </si>
  <si>
    <t>Regular La lengüeta se mueve y deja el empeine del pie al descubierto. Por eso las devolví</t>
  </si>
  <si>
    <t>No es lo que esperaba Tengo una 95D y compre una L. De copa queda bien, pero de contorno me queda grande. No podría usarlo como sujetador sin más pues no sujeta lo suficiente.</t>
  </si>
  <si>
    <t>No cumple su función Éste es resultado después de una vez pegado... mal producto. La idea es buena, pero la superficie que viene con pegamento es de mala calidad el pegamento y pequeña.</t>
  </si>
  <si>
    <t>Paco T Nada recomendable. No seca la mopa. Puedes exprimirla y sale mojada. No volvería a comprarla Mal invento para una buena marca</t>
  </si>
  <si>
    <t>Buen producto Son iguales que en las fotos, vienen muy bien rematadas y con la cámara de aire son muy cómodas</t>
  </si>
  <si>
    <t>Buenas pero no para todo el mundo Son unas buenas zapatillas, pero teniendo en cuenta que, por lo general hay que pedir 1n° más y su horma es estrecha. La suela con el taqueado que trae es muy buena en terreno blando y barro, que es para lo que yo las quiero.</t>
  </si>
  <si>
    <t>Buena cinta Buena cinta, mejor que la original. Correa flexible y comoda. Buen precio si acaba siendo resistente y aguanta el desgaste.</t>
  </si>
  <si>
    <t>Cumple su función Un poco larga para mi gusto, quizás debería ser un poco más ancha. Se agarra bien a la mesa y no necesitas utilizar una alfombrilla propia para el ratón ya que éstos van perfectamente encima del producto</t>
  </si>
  <si>
    <t>Un artículo genial Este producto es genial para los más pequeños y muy cómodos para sus papás, son fáciles de rellenar, son totalmente estancos, aunque la limpieza es un poco más complicada, pero fácil de limpiar si se usa un limpia biberones.Además tienen un diseño muy divertido y atractivo para los más pequeños. Totalmente recomendado.</t>
  </si>
  <si>
    <t>funciona La capacidad en las pruebas que he hecho hasta este momento es la  que especifica la publicidad. En mi cámara Nikon D90 funciona muy bien.</t>
  </si>
  <si>
    <t>Precioso Perfecto ideal</t>
  </si>
  <si>
    <t>Buena humidificación del ambiente Excelente cacharrito :) lo necesitaba para poder dormir ya que soy de un país tropical y donde vivo ahora el clima es muy seco. Sobre todo, cuando hay calor lo pones cerca del ventilador y enfría muchísimo la habitación. Mejor y más barato que poner el ac.</t>
  </si>
  <si>
    <t>Muy bonitas Son muy cómodas y tal como en la foto</t>
  </si>
  <si>
    <t>Son comodas, pero no blandas Para mi uso, andar y entrenamiento, me parecen muy buenas.</t>
  </si>
  <si>
    <t>Todo perfecto Todo perfecto.</t>
  </si>
  <si>
    <t>Relación Calidad-Precio De momento solo he realizado una descalcificación, y ha funcionado perfectamente.</t>
  </si>
  <si>
    <t>Perfecto cumple con la descripción.</t>
  </si>
  <si>
    <t>Elegantes y bonitos Los compré para una boda y quedaban de maravilla y los aguanté toda la boda sin dolerme los pies</t>
  </si>
  <si>
    <t>Imprecindibles Si tienes una plastificadora, este pack se va a hacer totalmente necesario, pues la plastificadora venía con algunos, pero con el tiempo se necesitan más, y este producto tiene muy buena calidad.</t>
  </si>
  <si>
    <t>Muy bien precio Fue como esperaba</t>
  </si>
  <si>
    <t>Mejor de lo que esperaba Su comodidad y acabados son muy buenos,sin embargo los cordones son demasiado largos</t>
  </si>
  <si>
    <t>muy bonitos Fueron para mi hijo y le gustaron mucho, pequeños y la pluma discreta.</t>
  </si>
  <si>
    <t>Muy útil Lo compré ahora hace un año para marcar la ropa y material escolar de mi hija. ¡Perfecto! En la ropa aguanta los lavados y en otros materiales, esperando un par de segundos, no se difumina. Volvería a comprarlo.</t>
  </si>
  <si>
    <t>PERFECTO Sellan perfectamente, lo único es que no pone de cuanto son los Micron.</t>
  </si>
  <si>
    <t>Perfecta La correa se ajusta perfectamente a mi fitbit y queda muy elegante. Bien con el kit para ajustar el tamaño de la cadena y es muy efectivo. compra satisfecha</t>
  </si>
  <si>
    <t>Casio GD 350 Reloj espectacular muy parecido al 5600 (en termos de formato quasi quadrado) pero mucho maior, la visibilidad de los números es muy buena, en termos de design es muy sóbrio (por ser todo negro).</t>
  </si>
  <si>
    <t>Compra 10 A-B-S-O-L-U-T-A-M-E-N-T-E.  F-A-N-T-Á-S-T-I-C-O. Todo lo bueno que se pueda decir de este micro es poco. Y si encima lo encuentras (como yo) prácticamente nuevo por 120 euritos, ni te lo pienses. Por cierto, lo compré en Cash&amp;amp;Company. Ya les he comprado a ellos varias cosas y siempre he quedado satisfecho.</t>
  </si>
  <si>
    <t>Solo bonita nada mas. La alfombrilla es bonita pero poco practica para su uso la compre para Magic Mouse de apple y cuando arrastras el ratón por encima parece lija y hace mucho ruido y aunque le pongas las ventosas no se mueve pero si se balancea. no la recomiendo</t>
  </si>
  <si>
    <t>Zapatos senderoo No puedo dar ninguna opinión porque me quedaban muy grandes, las devolví y aún no me han llegado las que pedí. Recomiendo pedir el número que se calza porque vienen muy grandes</t>
  </si>
  <si>
    <t>Cara por el color. Las hay del doble de capacidad el mismo precio en Amazon Tal vez un poco cara por el color, la tuve que comprar en rosa para un regalo pero las hay en amazon por menos dinero e incluso del doble de capacidad. Como memoria no es mala, como todas las verbatim, cumple su función sin más.</t>
  </si>
  <si>
    <t>No calienta nada, es como un artículo de juguete. Increíble que vendan cosas así El peor artículo que he comprado en Amazon y el único artículo que de momento me he visto obligado a devolver. No calienta nada, pero nada es nada. Un auténtico timo de almohadilla. No la compréis porque no da calor. No vale para nada.</t>
  </si>
  <si>
    <t>Ni 6 meses Me ha durado 6 meses,se ha partido la pieza que gira y encaja con las cuchillas,y encima ni lo cobre la garantía y venden repuestos,a tirar una batidora por una pieza</t>
  </si>
  <si>
    <t>Juan  Luís Las etiquetas perfectas pero el cordón algo escaso aunque es fácil de encontrar podrían poner más para las etiquetas que son! Recomendable igualmente!</t>
  </si>
  <si>
    <t>Una infusión al momento La verdad es q parece de juguete,pero funciona fenómenal, calienta el agua en pocos minutos y sobre todo q se apague cuando ternima es un puntazo. No tienes q estar vigilando todo el rato. Lo recomiendo</t>
  </si>
  <si>
    <t>Zspatillas Son cómodas están bien.</t>
  </si>
  <si>
    <t>V a muy bien para la tablet Muy buena opción para cargar en la tablet , lastima que en amazon no había muchas opciones parecidas</t>
  </si>
  <si>
    <t>Cumple calidad precio Los hay mejores pero por precio son perfectos no se puede pedir mas</t>
  </si>
  <si>
    <t>Fantástico Fantástico, cómodo y útil al poder graduar la temperatura de cada lado de la cama. Una gran elección sin duda.</t>
  </si>
  <si>
    <t>Muy bonito! Es muy bonito y algo mas grande de lo que creia, la cadena es bastante larga. El sonido es miy agradable. Satisfecha.</t>
  </si>
  <si>
    <t>producto Todo llego perfectamente en el tiempo indicado y el producto correspondia con las imagenes de la venta.</t>
  </si>
  <si>
    <t>Todo perfecto Rapido, perfecto...nada que decir.</t>
  </si>
  <si>
    <t>Calidad de sonido buena, intuitivos y larga duracion de bateria. Llevo ya una semana usandolos y me estan gustando bastante, la caja viene siendo una bteria externa que puedes guardar y cargar los cascos, es decir jamas vas tener los cascos sin bateria, y ademas si necesitas cargar el movil para salvarte en algun momento lo hara. Cargar la bateria te da para practicamente 2 semanas de uso ded los cascos e incluso yo creo que mas por como me esta yendo. El sonido es muy bueno y de comodidad perfecta yo le he tenido que cambiar la silicona de tamaño ya que los que suelo usar son los pequeños. En general es muy intuitivo y me ha gustado que puedas cambiar el volumen sin necesitar de acceder al dispositivo que se use. Ademas incluye una funda para poder llevarlo protegido si lo llevas en un bolso o en alguna riñonera como la llevo yo en la que tambien se suele llevar llaves que pudieran rayarla. Muy contento con la compra. Si os ha servido de utilidad agradezco el voto util :)</t>
  </si>
  <si>
    <t>Buena calidad Va muy bien de potencia para el hogar</t>
  </si>
  <si>
    <t>Buen artículo Zapatillas cómodas y ligeras</t>
  </si>
  <si>
    <t>Único y muy bien recibido Compré esto para mi hermana por su regalo de cumpleaños. Ella lo amaba. No he visto nada similar antes y estaba tan contento de haberlo encontrado. Ella ha puesto fotos de ella en su página y muchos de sus seguidores han mostrado interés y le han preguntado de dónde viene, así que probablemente le hayamos ganado alguna costumbre adicional.</t>
  </si>
  <si>
    <t>Bonito y cómodo. Muy bonito. Después de seis meses la correa está perfecta. La pantalla algún arañazo,  cosa común en estos Casio con plástico y no cristal mineral pero no se nota apenas. Es pequeño y ligero, al principio me parecía muy pequeño porque usaba un reloj deportivo, pero ahora lo veo "normal". Muy cómodo en la muñeca.</t>
  </si>
  <si>
    <t>Buena calidad precio Vienen dos biberones del mismo tamaño en color verde/aqua con tetina de 3 tipos de flujo.  Mi hijo tiene 6 meses y solo lo utilizamos para leche mezclado con un poco de papilla, el flujo en nivel mínimo es bastante rápido para el y leche solo sale demasiado deprisa...eso sí...cada bebe es un mundo.</t>
  </si>
  <si>
    <t>Mejor que la original Parece mentira que un reloj de 500€ venga con una correa que no dure ni un año. Eso es lo que me pasó a mi, que se me rajó la correa original. Esta correa viene es exactamente igual que la original, lo único que necesitas un destornillador "Thor" para poder quitarla, pero ya llevo casi 2 años con ella y esta como el primer dia, mucho mejor que la original.</t>
  </si>
  <si>
    <t>angela Me encanta el diseño de los dos vasos, que ahorra el paso de verter el jugo licuado a un vaso pues se puede montar directamente en ella. Es pequeño pero cumple bien su función.</t>
  </si>
  <si>
    <t>Cumple su función. Por el precio me parece una buena compra ya que cumple su función. Si es celo es muy muy grande y tiene muchos metros puede no caber.</t>
  </si>
  <si>
    <t>Mejor de lo que se ve Muy bonita</t>
  </si>
  <si>
    <t>Buena elección y envío rápido Este producto funciona perfectamente. Es fácil de usar y ocupa poco espacio. Genial para esterilizar utensilios de manicura...tijeras, alicates, empujadores, ...</t>
  </si>
  <si>
    <t>Su diseño Bien en general</t>
  </si>
  <si>
    <t>Muy bueno Decidí comprarme este reloj porque siempre me han llamado la atención los G-Shock, al ver el precio que tenía y las opiniones opté por cogérmelo. El diseño es muy bonito, grande y robusto (como me gustan los relojes), el acabado del reloj es en mate y my buena textura.  Lo que quizás esté un poco peor, es la iluminación del reloj. Le hubiera puesto una luz más potente, aun así, se ve bien. Si el digital no se ve, deslumbra en las manecillas del analógico y ves la hora igualmente.  Por mi parte, una compra estupenda y totalmente recomendada.</t>
  </si>
  <si>
    <t>Bonito y económico. Lo compré para mi mujer, aunque pone unisex yo más bien lo veo para señora, pero eso va en gustos de cada uno. Reloj bonito, con un ajuste de correa muy sencillo, levantas el clip y ajustas a tu medida.</t>
  </si>
  <si>
    <t>Talla L muy pequeña La talla L no es ni siquiera una 42. Me la puedo poner como unos leggings. No sé que pasará cuando lo lave!</t>
  </si>
  <si>
    <t>Bastante bien El reloj funciona muy bien y es muy intuitivo de programar. Lo malo las instrucciones que vienen en ingles y que viene pelado en una bolsa y si lo quieres para regalar tienes que comprar una caja aparte.</t>
  </si>
  <si>
    <t>Muy guapas Pero se rompieron rápido, la tela es muy delicada</t>
  </si>
  <si>
    <t>reconocida marca pero mala calidad Tras 3 meses de uso esporádico al ir a batir una masa para bizcocho, bien es verdad que bastante espesa, la batidora se sobrecalentó y ha dejado de funcionar. Esperaba mucho más de una marca tan reconocida. Totalmente decepcionada con la compra. No volveré a comprar nada de esta marca.</t>
  </si>
  <si>
    <t>Malo Muy malo , falla mucho y no lo reconoce ningún dispositivo , a veces va y a veces deja de funcionar . No lo recomiendo</t>
  </si>
  <si>
    <t>Calidad-Precio Malasima Elegí este producto por la calidad,marca y garantía. Pero resultó todo lo contrario a lo esperado, desde el primer día al ponerla en funcionamiento desprendió un olor a quemado sin haber pasado 20 segundos, hecho que llevaba apagar la maquina sin triturar bien los alimentos. La garantía  muy mala ya que Amazon no te mantiene el mismo precio para cambiarla y probar otra igual por el mismo precio, sino te hace la devolución y a comprarla por un precio superior.¡DECEPCIÓN ABSOLUTA!</t>
  </si>
  <si>
    <t>Es de piel Está muy bien y buena calidad. Sólo hay que tener en cuenta que es una orma un poquito más estrecha pero en dos días está perfectamente.</t>
  </si>
  <si>
    <t>Bien Perfecto es lo que estaba buscando, falta por comprobar la vida de la correa pero a día de hoy aguanta perfectamente</t>
  </si>
  <si>
    <t>Buena compra por el precio Por el precio muy buena compra. La cadena viene separada del reloj y la debes montar tu mismo ( no muy practico el montaje)</t>
  </si>
  <si>
    <t>Rapidez Está bien, lo cambie la primera vez que me llegó por roto, el segundo venia en una esquina doblado, pero bien en cuanto a precio calidad</t>
  </si>
  <si>
    <t>Relación calidad precio muy buena Llevo usándolos bastabte tiempo y siguen perfectos, son muy cómodos y el sonido va bien. Siempre he comprado auriculares de Sony y siempre ha sido buena compra. Lo recomiendo</t>
  </si>
  <si>
    <t>Excelente para un regalo Muy bonito</t>
  </si>
  <si>
    <t>Buena compra Medida estupenda y buena calidad</t>
  </si>
  <si>
    <t>BONITO RELOJ EL RELOJ ES TAL CUAL APARECE, EL MATERIAL ES AGRADABLE AL TACTO Y RESISTENTE A PESAR DE NO SER ACERO Y TIENE BUEN TAMAÑO A VECES LA ESFERA PARA HOMBRE SE QUEDA UN POCO JUSTA PERO NO ES EL CASO</t>
  </si>
  <si>
    <t>Pequeño pero matón Genial, es pequeño pero te dura bastante si lo llenas hasta arriba,  a mi me duraba de 3-4h hasta arriba,  buena difusión del aroma,  con ponerlo un rato te olía toda la habitación, (también es muy importante el tipo de aroma que compres, como sea una full eso no huele ni de broma)  muy buena calidad y mola mucho lo de que vaya cambiando de luz</t>
  </si>
  <si>
    <t>sin duda mi favorita!! esta mascarilla es lo mas!! es exfoliante y desde que la uso, noto que tengo muchos menos puntos negros y poros visibles en mi piel!! además, huele genial y es un placer ponersela!! la textura exfoliante y el olor me encantan!! super recomendable!</t>
  </si>
  <si>
    <t>Batidora frutas Batidora de fruta o cacaolat bastante potente y facil de transportar lo batido porque viene con dos vasos coon tapa de rosca y enfriador , muy bien apañado ,muy contento con la batidora espero que dure bastante</t>
  </si>
  <si>
    <t>Buen producto. Cumple con lo ofertado. El articulo llego en el tiempo acordado y sin ningún problema.</t>
  </si>
  <si>
    <t>Perfecto Zapato de buena calidad, y diseño bonito</t>
  </si>
  <si>
    <t>MUY CÓMODAS, BONITAS Y FAVORECEDORAS. TALLAJE CORRECTO. Me han encantado estas estupendas mallas de deporte para mujer. Voy a detallar los aspectos que me parecen más importantes sobre este producto: - El diseño es muy bonito. Me encantan los detalles de la forma de la cintura, además con el logo de la marca (semejante a un copo de nieve) en la parte posterior de la misma, y las franjas perpendiculares gruesas en colores blanco y morado a lo largo de cada pernera. - Quedan muy favorecedoras puestas. Se adaptan perfectamente a la figura, puesto que son muy elásticas. - El tallaje me parece correcto. Yo uso habitualmente una talla 38 y soy bajita (1’55 cm aproximadamente). Esta talla L correspondiente a una 42 me va bastante grande. Una S, equivalente a la 38, me hubiese ido bien. Aún así voy a usarlas mucho, porque me resultan muy muy cómodas. Tengo que explicar que había adquirido anteriormente dos mallas de la misma marca en talla S (una 38). Un modelo era similar a éste (modelo de pernera larga) y me quedaban estupendas. En cambio las otras que eran más cortas (como unos piratas) no me cabían. Eran como una o dos tallas menos. Así que andaba un poco despistada con la talla. Por mi experiencia empiezo a pensar que las que son largas tienen un tallaje correcto. - Son altas de cintura (recogen todo el vientre) y resultan muy cómodas para hacer ejercicio. - El material del que se componen es 83% poliéster y 17% elastano. Me encanta el tacto que tienen, no me dan calor mientras hago ejercicio y me permiten transpirar correctamente. - Pueden lavarse en la lavadora a 30º máximo, meterse en la secadora y plancharse. - Agradezco mucho que la etiqueta esté hecha en una especie de tela muy suave, como de lazo. No me molesta ni pica en absoluto. Son estupendas. Me las voy a poner mucho, tanto para hacer deporte como para estar por casa.  Espero que mi opinión sobre este producto os haya resultado útil.</t>
  </si>
  <si>
    <t>Muy buenas zapatillas Muy buena compra, la talla perfecta y el color decñas zapatillas mas bonito que en las fotos</t>
  </si>
  <si>
    <t>Perfecto Tal y como se describe</t>
  </si>
  <si>
    <t>Práctico como todos los Casio Fue un regalo para mi marido,le encanta la marca Casio, siempre la ha utilizado pero el negro de toda la vida y se le estropeaba siempre la correa y con este no.</t>
  </si>
  <si>
    <t>Buen producto Me parece un buen producto para el precio que tiene, ahora depende para que lo quieres. Cargado al maximo grava 6-8 horas de lo que tu quieras, es facil de usa ya que tiene solo encendido y apagado, para descargarlo lo conectas igual que un usb al ordenador, tiene 8Gb de memoria interna.Si esta opinión te ha sido de utilidad, no olvides dejarme un voto.</t>
  </si>
  <si>
    <t>Q es tal cual se ve Está genial, talla perfecta y el tacto súper suave,les ha encantado 😍</t>
  </si>
  <si>
    <t>buena calidad es lo anunciado</t>
  </si>
  <si>
    <t>Buena calidad precio Talla correcta para mi número 37, creo que no irían bien para alguien con un número más alto de 39... Buena calidad precio. Son cómodos y no se resbalan.</t>
  </si>
  <si>
    <t>Genial Usaba los de plástico de esta misma marca, pero al leer opiniones de calentar cosas en plástico y lo perjudicial que puede llegar a ser para la salud decidí comprar estos y estoy encantada. Aunque pesan un poco mas. Creía que iban a ser frágiles y para nada, han caído alguna que otra vez y no se han roto, tampoco se rayan al lavarlos con estropajo. Genial, muy buena compra.</t>
  </si>
  <si>
    <t>Recomendable Excelente</t>
  </si>
  <si>
    <t>USB baja calidad. Gestion de Amazon rápida y perfecta. Después de 6 meses de muy poco uso, unas 10 veces, el USB se ha desmontado, se ha soltado la cubierta metálica del USB A. Pero Amazon me ha gestionado rápidamente la devolución del dinero.</t>
  </si>
  <si>
    <t>Bonitas Está bien de estética, pero la piel o lo que parece, es algo rígida....no la utilizaría para hacer deporte.</t>
  </si>
  <si>
    <t>Buena calidad mejorable Me ha gustado el diseño y el tacto exterior. Su capacidad es buena. Aunque interiormente los compartimentos separados por tela sintética pueden descoserse. Debería ser de cuero o más resistentes</t>
  </si>
  <si>
    <t>mal, muy mal, copia china No coincide con la foto, es una copia china, no pone magicgate, parece que funciona pero en mi ps2 slim no funciona porque es muy moderno el firmware por lo que vi por internet (tampoco lo indican en el anuncio, al verlo piensas que vale para cualquier modelo), me la quedare para que la pruebe mi hermano pero muy decepcionado.</t>
  </si>
  <si>
    <t>Mala experiencia No ha transcurrido un mes de su adquisición y ya se ha averiado.</t>
  </si>
  <si>
    <t>Empeine estrecho. Todo correcto pero la cinta es de empeine estrecho. Unos pues un poco morcillones. Todo ha estado muy correcto, talla y color.</t>
  </si>
  <si>
    <t>Útiles Buen tamaño y se adhieren bien.</t>
  </si>
  <si>
    <t>Cumple su cometido Cumple mi objetivo que es un recoge hojas para la piscina.</t>
  </si>
  <si>
    <t>Masajeador Tardo bastante en llegar,en general esta bien pero si no le doy todas las estrellas es porque hay q tener en cuenta q pesa “ bastante “ y si es una persona mayor es para tener en cuenta.</t>
  </si>
  <si>
    <t>Justo lo que esperaba Un clásico aprovechando una oferta... ligero, cómodo y muy legible  Por ponerle un pero: la correa (siendo agradable al tacto), para cambiarla por el armis hay que invertir tanto como en el reloj</t>
  </si>
  <si>
    <t>Un reloj excelente Diría que es un reloj del día a día, bonito y preciso. 100% acertado en la compra,</t>
  </si>
  <si>
    <t>Sencillos de usar, comodos en el oido, tienen ajuste de volumen. Los pedí para un familiar, ya que tengo otros modelos que también me han funcionado bien. Este tiene varias ventajas respecto a los otros.  Puedes ajustar el volumen desde los auriculares, cosa que en otros modelos no es posible.  Tiene botón, no es táctil, lo cual previene pulsación accidental.  Se encienden nada mas sacarlos de la caja, también es una ventaja.  Su configuración es de los mas sencilla, una vez fuera, los buscas con el teléfono, los vinculas y ya están listos para sonar.  Tienen muy buena calidad de sonido y son cómodos en el orificio del oído aunque no tengan goma como otros modelos. No se caen cuando andas, corriendo no los probé.  Respecto a la batería. dura bastante y como se cargan cuando están en su caja, note quedaran sin batería tan fácilmente. otro punto a favor, es que lleva micro USB en vez de usb tipo C, siendo mas sencillo encontrar donde cargar cuando estas fuera y no tienes el cable.  Las operaciones del botón dependen de si le pulsas el botón izquierdo o derecho y el numero de pulsos que le das a cada botón, por ejemplo 3 pulsos sube o baja volumen según a cual le des y 2 pulsos canción siguiente o anterior.  El tamaño de la caja, no es muy grande, lo cual permite poderlo llevar en un bolso, riñonera, bandolera, etc sin ningún problema. Incluso en un pantalón ancho con bolsillos.  También te avisa cuando hay una llamada entrante y se puede tener la conversación a través de ellos sin ningún tipo de problema. facilitando así la molestia de tenerte que quitar los auriculares, desconectar bluetooth y poder atender la llamada.  En definitiva, mi familiar esta contento con ellos. Y con simples explicaciones por mi parte los sabe usar el solo sin estar preguntando constantemente como se hace o hazme esto.</t>
  </si>
  <si>
    <t>Grapadora de buena calidad! Es una grapadora de muy buena calidad que cumple con su propósito. La volveria a comprar sin duda. Recomiendo su compra!</t>
  </si>
  <si>
    <t>Reloj Muy bonito!</t>
  </si>
  <si>
    <t>Muy util para ir al gimnasio Es un calzoncillo muy útil para ir hacer deporte al aire libre o el gimnasio. Muy cómodo de llevar y te ayuda a entrar en calor rápido.</t>
  </si>
  <si>
    <t>Bonito &lt;div id="video-block-R1WBL78MZ3TQH1" class="a-section a-spacing-small a-spacing-top-mini video-block"&gt;&lt;/div&gt;&lt;input type="hidden" name="" value="https://images-eu.ssl-images-amazon.com/images/I/A1BTNert54S.mp4" class="video-url"&gt;&lt;input type="hidden" name="" value="https://images-eu.ssl-images-amazon.com/images/I/91iuN4xHO3S.png" class="video-slate-img-url"&gt;&amp;nbsp;Viene el lomo un poco doblado con lo hermosa que era la caja en que venía y es una pena que llegue así. Por lo demás esta bien. Bonito y como lo quería.</t>
  </si>
  <si>
    <t>Bonita carpeta Bonita carpeta para estudiantes, anteriormente compre otra de esta misma marca para mi hijo y le ha durado dos años espero que esta salga igual de resistente.</t>
  </si>
  <si>
    <t>Recomendable Es bastante práctico y fácil de usar. Sonido correcto para hacer algun video casero o trabajo escolar. No le pidáis más.</t>
  </si>
  <si>
    <t>Buena Compra Los compra para regalárselos a mi hermana, me parecieron sencillos y elegantes. La talla carbujón es la q mas me gusta para las gemas. A mi hermana le han encantado. Son iguales que en la foto. Se ven de buena calidad. Vienen en una cajita y con un trapito para limpiar plata.</t>
  </si>
  <si>
    <t>Le da una nueva vida a la PSVITA Con este adaptador y una micro sd tengo 64Gb para almacenar juegos en mi PS Vita, y todo por unos 15€!</t>
  </si>
  <si>
    <t>Excelente compra Muy buena mochila. Materiales de calidad, cremalleras robustas. Puede parecer que por la distribución de los bolsillos, los 35l se queden en poca cosa, pero para nada. Cumple muy bien.</t>
  </si>
  <si>
    <t>muy util el selector de temperatura Llevo utilizándolo desde julio minimo dos veces al dia sin ningún problema. Elegante, rápido y super útil la selección de temperatura.</t>
  </si>
  <si>
    <t>Grapadora Esta muy bien 👌👌perfecto pero creía que venía con más grapas de recambio pero no pasa nada pero es muy buena</t>
  </si>
  <si>
    <t>Five Stars relojazo, como siempre un placer comprar en amazon</t>
  </si>
  <si>
    <t>Victor Tal y como las recordaba, la talla como se espera y son cómodas  y de calidad. Me las volvería a comprar</t>
  </si>
  <si>
    <t>Ligeros y comodos Muy ligeros y comodos ..mi mujer esta encantada con ellos</t>
  </si>
  <si>
    <t>Funciona a la perfección Es perfecto</t>
  </si>
  <si>
    <t>Precioso Precioso collar. Color muy bonito. Acabado perfecto. Se aprecian los detalles a las perfección. Regalo perfecto para una mujer.</t>
  </si>
  <si>
    <t>Cumple su función pero no se puede lavar Cumple su función pero no se puede lavar. Tengo otro que se le desmonta el mango y se puede meter directamente a la lavadora. Este es un fastidio en ese aspecto.</t>
  </si>
  <si>
    <t>CUMPLE SU FUNCION Válido para uso ocasional, en mi caso la tengo en la casa de campo, el inconveniente más grande que tiene es que la batidora es todo una pieza y no se desmonta, lo que hace que a la hora de limpiarla es más engorroso.</t>
  </si>
  <si>
    <t>Puede ser útil Va bien pero le falta un poco de fuerza a la hora de apretar los cables</t>
  </si>
  <si>
    <t>Que funcione. El producto me gusta, si funciona. Ya lo e enviado a sus oficinas.</t>
  </si>
  <si>
    <t>El antideslizante no es eficaz No me resultan cómodos, el pie se desplaza como si llevarías un calcetín normal</t>
  </si>
  <si>
    <t>Normal En el primer uso se quedó enganchada la cinta, y estuve un buen rato  para volver a enrollarlo. Pero con un poco de cuidado y por este precio, genial.</t>
  </si>
  <si>
    <t>Muy buen producto cómodas y el material de muy buena calidad Su comodidad junto a su material es lo mejor .Deberia de haber pedido un número más aún así el producto está genial</t>
  </si>
  <si>
    <t>Bien. Lo esperado Poco se puede decir. Hace su función, velocidad de escritura y lecturas correctas. Mejoraría mucho si bajara un poco el precio</t>
  </si>
  <si>
    <t>Bien Algo más pequeño de lo que esperaba, pero muy bien relaccion calidad precio.</t>
  </si>
  <si>
    <t>Como tiene que ser Buena compra Esta marca para mi es garantia de calidad Y la calidad no es barata.Pero duran en perfecto estado y eso para mi ya lo amortiza</t>
  </si>
  <si>
    <t>Genial El producto funciona perfectamente, el color es precioso y tiene un tacto súper agradable y suave. Como ya se indica tiene un total de 12 vibraciones diferentes, en las cuales todas presentan muchísima vibración-potencia. El mando a distancia va genial y a parte, viene con una bolsita para guardarlo muy suave y bonita también. Vale muchísimo la pena, encantada con el producto</t>
  </si>
  <si>
    <t>Imprisionante Me ha gustado mucho su funcionalidad y ha llegado súper rápido</t>
  </si>
  <si>
    <t>Pedir 1/2 número menos Perfectas. 1/2 número menos. Uso un 37 y pedí 36'5.</t>
  </si>
  <si>
    <t>Bonitos Aros de plata de tamaño mediano. Son tal cual se ven en las imágenes, no parecen de mala calidad. Los estoy usando a diario.</t>
  </si>
  <si>
    <t>Talla perfecta. Leí que la talla tendía a ser pequeña, pero a mí me queda perfecta mi talla de siempre.</t>
  </si>
  <si>
    <t>Buena calidad De momento va muy bien, tiene potencia suficiente para pasar a todo el piso y quitar polvo, pelusas... La autonomía es muy buena, no se tarda más de 15 minutos en acabar un piso de unos 80 m2 por lo que te da de sobras. Tiene dos velocidades, con poco esfuerzo tienes un buen resultado y mantienes el suelo limpio.</t>
  </si>
  <si>
    <t>Aromas muy agradables ¡Estos aceites funcionaron muy bien con mi humidificador y las últimas horas! El aroma no es abrumador (si usas la cantidad correcta) pero es lo suficientemente fuerte como para que puedas olerlo en toda la habitación. Hay una buena variedad y te durarán mucho tiempo si los estás usando solo para un humidificador .</t>
  </si>
  <si>
    <t>Muzili R9000 Aspiradora de Mano para automóvil Seca y húmeda de Alta Potencia He comprado esta aspiradora por su potencia (95W). Quería una que fuese potente para no tener que estar pasando varias veces por el mismo sitio para quitar la suciedad.  Lo que me ha gustado es que es muy facil de usar, apenas pesa, por lo que es bastante ligera. El cable es bastante largo, llega perfectamente a todos los sitios del coche, incluso al maletero. También al tener mucha potencia, de una sola pasada, quita toda la suciedad de las alfombrillas (que es lo que más se mancha y cuesta quitar)  Por el precio que tiene, viene con un adaptador fino, un tubo para las zonas de dificil acceso y otro para limpiar la tapicería (por ejemplo) además de una bolsa para poder guardar todo en el coche sin que estorbe. Muy contento con la compra</t>
  </si>
  <si>
    <t>Fundamental para casa. Muy buena aspiradora, muchos extras que otras marcas no tienen, muy manejable y cómoda de llevar.  Aspectos a mejorar el depósito de suciedad y batería a potencia maxima.</t>
  </si>
  <si>
    <t>Bueno Por el precio no se puede pedir más esta bien</t>
  </si>
  <si>
    <t>Algo que llevar siempre en el llavero Excelente relación calidad-precio y de una marca reconocida. Ahora no tienes excusa para no llevar todo lo que quieras a todos lados. Este USB de 64Gb puedes llevarlo junto con las llaves con todos tus archivos.</t>
  </si>
  <si>
    <t>Perfecto Sencillamente perfecto,tal y como viene en la foto.genial,la verdad.</t>
  </si>
  <si>
    <t>Me encanta Con tornillos para colgar en pared. Magnética, bien blanca. Tamaño ideal para explicar a alguien algun concepto o para estudiar como si fuera un papel. Recomiendo el producto y que sea magnética, para colgar hojas, tus apuntes, con un imán.</t>
  </si>
  <si>
    <t>Perfecto Te ahorras mucho papel de lija. Yo de abanda.</t>
  </si>
  <si>
    <t>El tacto interior para ser calzado Chino es alucinante Perfectas</t>
  </si>
  <si>
    <t>Perfectas Buenas</t>
  </si>
  <si>
    <t>Excelente compra Excelente para las contracturas  relacionadas con el stress diario o malas posturas.Me ha sorprendido gratamente .Muy buena calidad .Con un masaje y medio amortizas la compra,si bien no es una hora lo tienes para siempre y cada vez que lo necesites .Lo usa también mi marido y mis hijos. Te ayuda a relajarte y la potencia suave ya es muy efectiva.</t>
  </si>
  <si>
    <t>Mejor de lo esperado Es estupendo no lleva filtros por lo que es aún mejor que los demás , gran capacidad y mínimo ruido</t>
  </si>
  <si>
    <t>Todo correcto Tallaje perfecto. Buena calidad de la prenda. Lo compré en oferta así q validad precio muy buena. Envío rápido.</t>
  </si>
  <si>
    <t>No era lo que esperaba No me gusto mucho como queda puesta</t>
  </si>
  <si>
    <t>No están mal No están mal pero no me parecen tan buenas, además hay que estar pendiente de la plantilla porque sin plantilla, no hay zuecos</t>
  </si>
  <si>
    <t>DECEPCION POR ESA CANTIDAD , SE ME DESPEGO LA PIEDRA AL SIGUIENTE DIA . LO INTENTARE DEVOLVER , PORQU MUY MALA MCALIAD</t>
  </si>
  <si>
    <t>horrible (por lo menos con samsung s6) Lo he devuelto, con mi samsung S6 o tablet Galaxy el resultado es horrible. Recoge todo el sonido ambiente y sólo escuchas ruido; hasta tal punto que funciona exactamente igual con el cable de la guitarra desenchufado. Una pena, tenía buena pinta</t>
  </si>
  <si>
    <t>TETINA CEREALES Está fenomenal, aunque si que la veo mas "blanda" que las tetinas classic.  Ha sido una muy buena compra. l</t>
  </si>
  <si>
    <t>Favorece No es exactamente como en la foto (sí el color), es más fino y parece que la chica lleve una talla más. Los bolsillos son un poco raros porqué en vez de estar delante están a los lados y a veces se te ponen en la espalda. No obstante, abriga, queda bien y es muy cómodo. Suficiente.</t>
  </si>
  <si>
    <t>No tiene caja Me llegó en perfectas condiciones, pero cuál fue mi sorpresa al romper el embalaje y descubrir que ¡los discos quedaban sueltos! ¡No tenia caja! Suerte que tenia una vieja. Por lo demás bien.</t>
  </si>
  <si>
    <t>biberon A mi hija no le han servido porque succionaba con mucha fuerza y tragaba mucho aire, pero se las di a mi sobrino y de maravilla, hay que ir probando hasta encontrar la que mejor se adapte a cada bebe, en mi caso ha sido la tetina de suavinex de 3 posiciones la que me a venido bien. La descubrí cuando mi hija tenia un mes y mano de santo, ahora con 5 meses sigo usando la misma marca porque tambien vale para papillas.</t>
  </si>
  <si>
    <t>Muy bien Esta bien..se queda bien puesto pero si que es un poco entretenido ponerlo..puedes juntar varios cables..también podía haber más colores</t>
  </si>
  <si>
    <t>perfecto comodisimas y no pesan nada</t>
  </si>
  <si>
    <t>Una buena opción para regalar en estas Navidades. El producto ha cumplido con todas mis expectativas. Parece un producto de calidad. Es tan bonito al natural como en las fotografías.</t>
  </si>
  <si>
    <t>El reloj Suunto 5 es un Fitbit con esteroides. Increible reloj muy facil de usar.  Puede desplazarse desde el ejercicio, la navegación, el libro de registro, el temporizador y la opción de configuración presionando el botón superior derecho. Al usar el botón inferior derecho accederá a las instrucciones de frecuencia cardíaca, estrés físico, pasos, entrenamiento, sueño y estado físico. El botón superior izquierdo le permite pasar de la hora al símbolo de% de batería. El botón inferior izquierdo es básicamente un botón de retroceso para todas las funciones.  Este reloj es de la calidad típica de Suunto, que siempre es genial. Tiene una hebilla anodizada y un anillo de bisel. El bisel en sí y las bandas son de silicona con una sensación súper suave. Estos materiales deberían resultar en un reloj muy duradero. Tengo muchos relojes tradicionales y me encanta.  Me gustan todas las funciones, pero mi favorito es el seguimiento del sueño. Pensé que estaba durmiendo lo suficiente, pero el seguimiento me dice lo contrario. Supuse que estaba durmiendo 6 horas, pero realmente estoy obteniendo 1.5 a 2 horas de sueño profundo al día, lo cual es realmente poco. La opción de ejercicio y rastreo GPS también es genial. Creo que apreciarás este reloj construido con una muy buena calidad. En mi caso intentare dormi mas y hacer ejercicio adecuadamente</t>
  </si>
  <si>
    <t>100% recomendables 100% recomendables, es mi talla y después de unos cuantos meses con ellos están perfectos, se ven de buena calidad y larga duración.</t>
  </si>
  <si>
    <t>Elegante Ligero y elegante</t>
  </si>
  <si>
    <t>Relación calidad-precio Al igual que el otro disco duro que compré, tiene un precio estupendo para un producto de calidad y capacidad de almacenamiento. El servicio de envío fue rapidisímo, casi más que ir a la tienda a por él, ahorrando unos cuantos euros.</t>
  </si>
  <si>
    <t>Perfecto envío y recepción Muy bien</t>
  </si>
  <si>
    <t>Perfecto Tal y como aparece</t>
  </si>
  <si>
    <t>Muy buena  compra Muy buen funcionamiento, calidad, pero, tamaño. Sólo una pega, las instrucciones un poco complicadas.</t>
  </si>
  <si>
    <t>Las clásicas Las compré porque recordaba esta marca tanto de la universidad como del colegio. Las necesitaba para el examen del P.E.R. y sinceramente han funcionado muy bien! 100% recomendable.</t>
  </si>
  <si>
    <t>Aroma potente y atractivo Es una cajita de aceites esenciales muy completa. Trae 12 fragancias distintas con unos aromas muy buenos, y ya sin abrir la caja se perciben los olores. Como punto a su favor trae un pequeño librito de instrucciones con la descripción de cada aroma y para que puedas hacer una serie de mezclas y así obtener diferentes fragancias para las estancias de la casa. Yo de momento lo uso con el difusor haciendo mezclas aleatorios para probar y muy bien. Aroma duradero. Muy recomendable packs de aceites.</t>
  </si>
  <si>
    <t>Bonitos Me han encantado los pendientes,pero he de decir que pesan un poco,pensaba que eran mas ligeros. Pero no es impedimento para ponermelos, combinan con todo! Llegaron antes de lo previsto.</t>
  </si>
  <si>
    <t>Muy buena sujeción Estupenda fijación, probé con varios adornos de pared que la cinta doble cara tradicional no pudo sujetar y hasta ahora está estupendo.</t>
  </si>
  <si>
    <t>Excelente producto y SI funciona Funciona de maravilla , hace ya un año que lo uso para retirar el maquillaje o solo lavar mi cara con agua y elimina las impurezas de maravilla.</t>
  </si>
  <si>
    <t>Merece la pena comprarlos. Tienen buena cañidad de sonido. Y la bateria aun ni ma he cargado. Tienen un buen precio y super facil de usar y conectar ademas de adaptarlo con varias gomillas para las orejas.</t>
  </si>
  <si>
    <t>Buen producto en cuanto cantidad precio Vienen una buena cantidad de unidades para el precio que tiene, la calidad puede que no sea la mejor pero por el precio que tienen es de lo mejor</t>
  </si>
  <si>
    <t>De momento bien &lt;div id="video-block-R37S435KJXTLPI"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id="55" preload="auto" src="https://images-eu.ssl-images-amazon.com/images/I/81+CrG0GA7S.mp4" style="position: absolute; left: 0px; top: 0px; overflow: hidden; height: 1px; width: 1px;"&gt;&lt;/video&gt;&lt;/div&gt;&lt;div id="airy-slate-preload" style="background-color: rgb(0, 0, 0); background-image: url(&amp;quot;https://images-eu.ssl-images-amazon.com/images/I/81jw+BYc92S.png&amp;quot;);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value="https://images-eu.ssl-images-amazon.com/images/I/81+CrG0GA7S.mp4" class="video-url"&gt;&lt;input type="hidden" name="" value="https://images-eu.ssl-images-amazon.com/images/I/81jw+BYc92S.png" class="video-slate-img-url"&gt;&amp;nbsp;Bastante bien, esperaba que calentará más, no te esperes una estufa, en el máximo la calor no es muy fuerte, pero bueno para personas frioleras como yo va bien, es bastante fina y tarda bastante en calentarse. De momento bien</t>
  </si>
  <si>
    <t>Calidad y rapidez De muy buena calidad en sus materiales. Lo más importante es que tiene hasta 12 velocidades y deja la comida pasada muy suave y con una textura limpia y sin grumos.</t>
  </si>
  <si>
    <t>Estoy encantada Recomendadisimo estoy encantada me sirve para todo, tanto para hacer batidos, zumos, salsas, triturar,  granizados etc .. Además se desmonta muy fácil para poder fregarlo. De las mejores máquinas de cocina que he tenido.</t>
  </si>
  <si>
    <t>Cuidado con lo de IPX7 10 meses me ha durado :-(  Supongo que se le ha estropeado la batería hoy durante el entrenamiento. Durante algunos momentos ha chispeado y más el sudor, no ha aguantado.  Al final, lo difícil es encontrar algún auricular que sea realmente IPX7.  Una pena, no lo volveré a comprar.</t>
  </si>
  <si>
    <t>No esta mal pero no lo volveria a comprar No esta mal.. aunque prefiero la silicona. Es mas comoda y anatomica</t>
  </si>
  <si>
    <t>Chollo Bonito</t>
  </si>
  <si>
    <t>Escobilla para limpiar ranuras de puertas y ventanas inútil Útil el primer día, porque el segundo día perdió la mitad de las verdad, que son de plástico, y ya no lo he podido volver a utilizar</t>
  </si>
  <si>
    <t>Un churro , no vale para nada. Horrible, plástico de baja calidad,en los chinos venden lo mismo más barato,la resistencia se oxida con solo mirarla,da mal sabor y olor al agua que calientas, totalmente desaconsejable</t>
  </si>
  <si>
    <t>Mala tarjeta A lo largo de mi vida he usado numerosas tarjetas de memoria tando sdxc, como micro y normalmetne de esta misma marca. En resumen, me compre esta tarjeta porque la necesitaba para un projecto importante, y ayer, al acceder a la tarjeta para visualizar el contenido me doy cuenta de que un video de cada 4 grabados esta o defectuoso y directamente corrupto. Ahora ya estoy de vuelta y no puedo volver al lugar a grabar los archivos corruptos... La tarjeta falla, y mucho.  La peor compra de hace mucho timpo... Esta clase de problamas hace que te considerres sereiamente el dejar una marca al lado. Espero respuesta como minimo por parte de Amazon ya que fue el vendedor.</t>
  </si>
  <si>
    <t>Bonitos Muy bonitos, un poco pequeños pero quedan muy finos, para una persona mayor le quedan ideales, asi que es una buena compra.</t>
  </si>
  <si>
    <t>Están bien Son igual q en la foto</t>
  </si>
  <si>
    <t>En general muy bien La longitud perfecta (tengo 1,68), pero en la cadera un poco anchos. Es algodón suave, y la verdad muy cómodos.</t>
  </si>
  <si>
    <t>Classic Me gusta la marca, no es la primera vez q lo compro. Lo único que a los 10 usos aprox, la goma queda algo flácida. Tejido bueno.</t>
  </si>
  <si>
    <t>Recomendables. Me ha sorprendido la calidad y textura del material, sobretodo el forro interior que a diferencia de otras botas de la competencia, está mucho mejor logrado. En las fotos os muestro como son realmente y os muestro también la suela, donde se puede apreciar que tiene muy buena calidad. En cuanto al material, no es impermeable pero se ve más resistente que otras de la competencia.</t>
  </si>
  <si>
    <t>Carpeta Muy bonita.</t>
  </si>
  <si>
    <t>Buena calidad Muy bien</t>
  </si>
  <si>
    <t>Inmejorable calidad a buen precio Son unos auriculares que se escuchan bien, me gusta que se quedan bien sujetos en las orejas y además la duración de la carga es bastante satisfactoria para mi uso (una hora aproximadamente y tras 5 horas de uso todavía sigo con la batería que traían de fabrica).</t>
  </si>
  <si>
    <t>Potencia y capacidad Buen producto, no falla y es fiel a lo que publicita. Tiene bastante potencia y todo queda con muy buena textura.</t>
  </si>
  <si>
    <t>Todo bien Todo bien</t>
  </si>
  <si>
    <t>Deja los batidos perfectos Estoy encantada con esta mini batidora, ideal para tomar un batido donde sea recién hecho! La compré para llevarla al trabajo ya que me descanso tenía tanta hambre que comía cualquier cosa, ahora me llevo la batidora un poco de fruta y me hago un batido súper bueno y sano</t>
  </si>
  <si>
    <t>Ok Muy chulo,como lo describen.lleva pila y va perfecto.</t>
  </si>
  <si>
    <t>Exsito Preciosa</t>
  </si>
  <si>
    <t>ekegante pero sencillo ha cumplido las espectativas</t>
  </si>
  <si>
    <t>Bonito y muy práctico, recomiendo 100% Me ha encantado. Le he hecho un par de cortes para ponerlo en el escritorio y que cupiese bien y ha quedado genial. Buena calidad, lo recomiendo 100%. Medida perfecta para teclado y ratón.</t>
  </si>
  <si>
    <t>Muy bueno! Genial! Hace su función y la verdad es cómoda practica y fácil de limpiar.</t>
  </si>
  <si>
    <t>Muy buena calidad! Me encantan! Lo único malo es que me pedí color dorado y me mandaron color rosa. Como no tengo ganas de ir a correos y cambiarlos, mejor me los quedo ya que el color rosa es bonito también. Lo siento por mi marido que no los va a poder disfrutar.</t>
  </si>
  <si>
    <t>Ok todo Perfectamente de calidad</t>
  </si>
  <si>
    <t>Me ha encantado Muy util y práctico</t>
  </si>
  <si>
    <t>Calidad. Cumple su cometido todo ordenadito.</t>
  </si>
  <si>
    <t>Compra obligatoria Como bien dice el titulo, este ssd es una compra obligatoria tanto en portatiles sin ssd como en equipos con placa que soporten m.2  SSD BBB (Bueno, Bonito, Barato)  No es el mejor SSD del mercado, pero por el precio y un uso simple como es instalar el SO, mas que de sobra.  El precio es de risa comparado con la mejora de rendimiento que obtienes.</t>
  </si>
  <si>
    <t>Calida Precio Brutal He comprado aprovechando el Black Friday un Crucial MX500 de 2TB para mi portátil Lenovo Legion Y520, muy bien de precio. Me llegó rapidísimo, y aunque tuve algun pequeño problemilla para usarlo (tuve que darle formato via usb con la herramienta diskpart primero), una vez reconocido funciona de escándalo, me he olvidado del problema del espacio y además para rendimiento gaming va perfecto, los tiempos de carga son increíblemente rápidos (el S.O. ya lo tenía en otro SSD a parte). Además el consumo energético es menor en estos discos SSD que en los mecánicos, ganando algo de batería.  En el último año he comprado 3 SSD Crucial para mis 3 portátiles y no puedo estar más contento con este producto, económico y de un rendimiento muy bueno.</t>
  </si>
  <si>
    <t>No funciona En el cuarto adaptador me ha funcionado pero solo en la 70D,  Y esa tarjeta no vale para esa cámara, para esta cámara necesito más velocidad, la quería para una pequeñita una Sony HX 50 y para esta no vale</t>
  </si>
  <si>
    <t>SE PODRIA MEJORAR El enganche del usb, al entrar en la ranura, muchas veces se va hacia atras, tienes que aguantar el  interruptor para que no se hunda, por otro lado, la velocidad de transferencia es muy bueno.</t>
  </si>
  <si>
    <t>Engañado por tonto. Encuanto al almacenamiento no hay nada que decir. Dependerá de la capacidad con la que lo hayas comprado, reduciéndose un poco en función del formateo. Eso sí, presume de ser 3.0  y mentira no es. Pero tonto de mí que creí que por tener conexión 3.0 el trapaso de datos sería rapidísimo. Bueno, pues una cosa es la conexión y otra la velocidad de lectura/escritura. No caí en la cuenta cuando lo compré. Sí es algo más rápido que uno 2.0, pero con respecto a otros así que tengo, si el 2.0 es capaz de llegar a 7MB/s, con este 3.0  solo he obtenido picos de 10 y una media de 7. Al menos es barato para la capacidad que tiene, por eso 3 estrellas. Pero no lo compréis por la velocidad, porque no os va a servir de nada.</t>
  </si>
  <si>
    <t>Venia con desperfectos La tuve que devolver 3 veces y las tres con el mismo problema. Se despega el forro interior. Lo bueno de Amazon que me hicieron los cambios y al final me devolvieron el dinero.</t>
  </si>
  <si>
    <t>articulo defectuoso Las primeras impresiones fueron buenas una calidad de sonido y cancelación de sonido aceptables, pero dejaron de funcionar a los dos meses. Si buscáis un bonito pisapapeles por 50 euros es una gran opción, pero si buscáis unos cascos recomendaría encarecidamente cualquier opción menos estos.</t>
  </si>
  <si>
    <t>Comodidad y buena duración de la batería Compré estos auriculares para usarlos durante mis entrenamientos (fundamentalmente, para correr). La sujeción en los oídos en mi caso es muy aceptable, en carreras de media hora no he tenido que tocarlos para reajustarlos en ningún momento. A destacar también la duración de la batería. Dado que la caja lleva una batería que recarga los auriculares mientras están en ella, la duración de la batería de los auriculares se convierte en un punto menos determinante. Con que duren en mi caso lo suficiente para el entrenamiento más largo, es más que suficiente. Respecto la duración de la batería de la caja, en más de diez días que lo tengo y usándolos prácticamente a diario, sigue a tope de carga.  Si no le pongo las cinco estrellas, es por el sonido. El sonido es bueno, pero en relación a esos comentarios de "buen sonido para el precio que tienen"... no estoy de acuerdo. En la franja de los 50 euros esperaba un sonido aún mejor, próximo a la alta fidelidad. Por supuesto mejora a los muchos auriculares que he tenido de treinta y tantos euros, pero claro, es que valen casi el doble. Tengo que aclarar que soy un purista de la alta fidelidad, vaya eso por delante.</t>
  </si>
  <si>
    <t>No está mal pero se podría mejorar Me parece una buena compra para lo que vale, no me gusta que la parte de atrás no sujeta lo suficiente y al final parece como una chancla y es incómodo. Por lo demás está bastante bien</t>
  </si>
  <si>
    <t>Buena potencia y sencilla de usar. Tiene una potencia más que aceptable y los  accesorios son muy útiles. La calidad de los materiales en el caso de los accesorios es justa y en la propia batidora están muy bien en relación calidad precio.</t>
  </si>
  <si>
    <t>Satisfecho Los pendientes son iguales que en la foto , se ven elegantes no se ven barateros como si fueran del chino , los cierres son buenos . Te llegan en una cajita muy bien presentado y cada par tiene un plástico que viene bien para no perderlos , es barato , lo tiene todo</t>
  </si>
  <si>
    <t>Es muy comoda Me lo esperaba más ceñido, aunque a gustado a todo el mundo. El azul es muy bonito, y está afelpada y abriga bastante.</t>
  </si>
  <si>
    <t>Tamaño ideal Buen tamaño, muchas paginas, los accesorios que vienen para decorar nos son muy de mi agrado, las pegatinas tienen colores muy vivos que no pegan con los tonos marrones, por lo demas bien.</t>
  </si>
  <si>
    <t>Muy buena pulsera de plata de ley Magnífica pulsera y por su puesto calidad y precio van cogidos de la mano de esta pulsera que le asombrará por lo cómoda que se va a sentir con ella puesta</t>
  </si>
  <si>
    <t>TODO PERFECTO Para empezar decir que es un electrodoméstico que es muy útil para tener la casa limpia de polvo y pelusa. Es el primero que compro y funciona a la perfección. Al principio se me atrancaba en algunos sitios y no terminaba la limpieza, pero cuando entiendes como funciona y dejas la casa con la menor cantidad de obstáculos en medio, en una hora limpia una casa de 100 m2. Hay que tener en cuenta que es incapaz de acceder donde no cabe y que el robot sólo no puede mover muebles, además de intentar no ponerle cosas que pueda aspirar parcialmente (bolsas, trapos, cables...), porque se atranca y también deja de limpiar hasta que lo desatrancas. Este modelo hace un mapa de la zona que ha limpiado, pero no lo guarda e identifica cada habitación, aunque puede ser un punto a favor, porque conozco casos que guardan el mapa y luego le han cambiado la ubicación dentro de la casa y se vuelven locos. Para terminar decir que si se le hace un mantenimiento normal (desenredar pelos y limpiar filtro y rodillos y cepillo) funciona mejor y durarán más los accesorios.</t>
  </si>
  <si>
    <t>Elegante, bonito y sencillamente espectacular. Tiene lo justo y necesario. Hora (sin segundera), dia y cronometro. Pero el diseño es espectacular. La relación calidad precio muy buena.</t>
  </si>
  <si>
    <t>Una compra de SI o SI, si tienes el Roda VideoMic Go! Es algo que deberían de vender ya incluido con el micrófono porque sin el es imposible grabar audio limpio en exteriores con mucho viento. Por lo que me lo compré, lo cambie por el que te viene de serie con el VideoMic Go y nunca lo he vuelto a quitar. Funciona estupendamente, elimina los ruidos del viento sin problema y si estas dudando en comprarlo, estas tardando! Digamos que es una compra necesaria si eres aficionado o profesional del video. Le pondría el 10 de 10 por utilidad y calidad precio.</t>
  </si>
  <si>
    <t>Fantástico A este precio está realmente fantástico, los uso mas que todo para mi canal de youtube, cumple muy bien con su cometido, muy buena calidad de materiales y diseño clásico excelente.</t>
  </si>
  <si>
    <t>Reebook como siempre,perfecto Reebok como siempre,genial.</t>
  </si>
  <si>
    <t>Genial Esta marca como siempre de lo mejor</t>
  </si>
  <si>
    <t>Recomendables Han salido muy buenas. Tamaño como el esperado</t>
  </si>
  <si>
    <t>Muy alta calidad Una pasada, como suena, como se adapta a  la oreja y la insonorizacion que tiene, que te los pones y no escuchas nada de tu alrededor, el Bluetooth la coje rápido con la aplicacion y lo mejor es que lo pliegas en su bolsa de transporte que no acupa nada, recomendable 100x100.</t>
  </si>
  <si>
    <t>Buen producto Muy bonitas recomendable.</t>
  </si>
  <si>
    <t>Es un buen regalo calidad precio Queda muy elegante y muy fino, es de buena calidad</t>
  </si>
  <si>
    <t>Funcional y calentita Me encanta esta bolsita de agua caliente. No pesa tanto como otras que he tenido y como el interior no es de caucho, no huele tan fuerte como la mayoría de bolsas. El tejido externo también es muy agradable.</t>
  </si>
  <si>
    <t>Excelente micrófono Excelente micrófono de condensador. Recomendable al 100% para uso casi profesional. Tiene varios modos de funcionamiento que lo hacen muy versátil.</t>
  </si>
  <si>
    <t>Un regalo perfecto Queda genial.</t>
  </si>
  <si>
    <t>Muy buena impresión. Se trata de un reloj despertador con radio FM incorporado. Cumple con todas las expectativas de un despertador (hora, alarma, snoze, radio, ...). más unas cuantas funcionalidades bastante utiles.  Por ejemplo la luz permite leer con las luces apagadas. Diferentes sonidos de alarma (incluidos sonidos de la naturaleza).  Además, si tienes niños, tiene una funcionalidad de puesta de sol (15, 30, 60 m) en la que reproduce una puesta de sol (va disminuyendo la luz hasta apagarse), con lo que se puede utilizar como luz de compañia. Tambiés tiene diferentes colores de luz.  En definitiva una opción interesante tanto para adultos como niños.  Una cosa mejorable sería el tacto de los botones superiores.</t>
  </si>
  <si>
    <t>Buen set para completar la compra del extractor de Medela Compra a mi parecer imprescindible si se adquiere el extractor de Medela. Viene con: - Tetina "Calma" - 5 bolsas para congelar - 2 biberones pequeños - 2 biberones medianos  La tetina "Calma" nos ha parecido muy buena, ya que al bebé le hace succionar igual que si la madre le amantase. De esta forma no se acostumbra a beber de biberones normales.</t>
  </si>
  <si>
    <t>Jorge. Grande y a la vez ligero. Lo que buscaba. Además, cuando se pliega ocupa poquísimo (muy fino). Se podría pensar por todo ello que es frágil pero no. Me caben muy bien los folios que es para lo que lo quería.</t>
  </si>
  <si>
    <t>Impresionantes Impresionantes, esa es la palabra que define a estos auriculares. Empezando por su diseño, muy moderno, elegante y atractivo, que hace que en cuanto los veas quedes prendado de ellos, como me pasó a mí. En cuanto a su funcionalidad, son de una calidad superior en todas sus características. Se emparejan con el Bluetooth de una manera muy sencilla, y puedes utilizar los auriculares de una manera individual cada uno de ellos, o los 2 juntos, en estéreo. En cuanto al sonido, tiene una gran calidad, además aíslan bantante el ruido del exterior, con el consiguiente beneficio para la calidad de sonido. Una de las cosas que más me ha gustado es la capacidad de carga de la batería, ya que estando cargada al 100% permite utilizar los auriculares durante muchísimas horas. Y la carga de la base se realiza con bastante rapidez, un poco más de un par de horas, aproximadamente. Además son resistentes al agua y al sudor. Yo, que me gusta hacer footing con los cascos puestos, lo he podido comprobar varios días, y no decepcionan. Y para finalizar vienen con una funda para guardar la base, almohadillas para los oídos de repuesto y las instrucciones en castellano. Lo dicho, IMPRESIONANTES!!!</t>
  </si>
  <si>
    <t>Es  calidad baja No está mal</t>
  </si>
  <si>
    <t>Esperaba mejor calidad No entiendo por qué es la segunda vez que me las pongo y destiñen por la parte de dentro y mancha los cordones de negro y el interior de la zapatilla... He tenido estas mismas zapatillas en este mismo modelo de años anteriores y no me ha pasado nunca. He tenido también más modelos  de vans de la misma tela y nunca me había pasado.... esperaba otra calidad por el precio que tienen No volveré a comprar</t>
  </si>
  <si>
    <t>un poco ajustadas en general bien, quizá podrían tener la opción de alargar las patillas para que dejen un poco más de espacio entre la lente y las gafas que utilizamos.</t>
  </si>
  <si>
    <t>retraso el reloj tiene unos 3 meses y ya falla se retrasa los minutos funcionan pero la hora se  atrasa por lo tanto entiendo que pila tiene, pero se atrasa  no unos minutos sino horas. dinero tirado a la basura</t>
  </si>
  <si>
    <t>Mala calidad El producto ha durado unos diez días de uso. La cremallera principal se ha roto y ha comenzado a desprenderse la piel.</t>
  </si>
  <si>
    <t>Batidora paterna versa Me gusta su potencia,también como quedan los smoothies pero me preocupa bastante que tras dos meses de uso en la base el rotor empieza a aparecer oxidado</t>
  </si>
  <si>
    <t>La comodidad Para caminar</t>
  </si>
  <si>
    <t>Buena compra, muy ligeros. Pedi un 44EU y enviaron un 45, pensamos que seria erróneo pero al llevar la chapa interior es el número adecuado. Muy buena calidad, no le doy 5 estrellas porque hay que ver lo que duran con el uso pero estoy muy satisfecha. Gracias.</t>
  </si>
  <si>
    <t>2,5 mm rollo de 20 metros Se le ve muy buena calidad al cable. Tanto la funda del cable como el propio cobre se les ve que son de calidad. Yo compre el rollo de color oscuro. es casi negro y trae una marca en uno de los cables para diferenciar ambos a fin de que no te confundas en tiradas largas de cual es el positivo y el negativo para el altavoz. Yo volvería a comprarlo</t>
  </si>
  <si>
    <t>Buena marca pero velocidad real baja Lo compré por la marca, ya que he tenido malas experiencias con otras memorias de menos nombre que han fallado de un día para otro. Esta Sandisk tiene buena calidad de construcción (algo importante para mi), y espero que la calidad de componentes interior esté a la misma altura. El conector es retráctil, algo muy útil y que además permite prescindir de tapa aparte. La velocidad de transferencia es baja, es el único inconveniente que le veo.</t>
  </si>
  <si>
    <t>Un todoterreno!! Hace años que uso este modelo de reloj y no me decepciona. Siempre lo he comprado en tienda. Esta vez me decidí a probar a traves de Amazon. Creia que podría ser una falsificación pero no lo es. Si aprietas el botón derecho 3 segundos,aparece la palabra Casio. Esa es la prueba de su autenticidad. Siempre lo he usado tanto para el deporte como para la construcción e incluso la soldadura que es mi oficio desde hace años. Es duro como una piedra!! Siempre me han durado años. La única pega es la correa pero si se rompe se pone otra y a correr No pretendas que sea un reloj lujoso,es un reloj que cumple con las funciones básicas y además sumergible. Hay malas opiniones sobre él pero es como todo,cada uno tiene su visión. Para mí y para lo que lo uso. PERFECTO!!</t>
  </si>
  <si>
    <t>Braun Minipimer Bueno, este aparato es cosa de mi esposa, y ella en estos quehaceres sabe mas que yo, pero dice que la calidad precio de este artículo va unido a sus necesidades, en fin que es un buen producto..</t>
  </si>
  <si>
    <t>Excelente Calzado cómodo tanto para hacer deporte como para salir de paseo,a mi esposa le encantan</t>
  </si>
  <si>
    <t>Son comodisimas Me encantan</t>
  </si>
  <si>
    <t>Bonitas y cómodas Las pillé en oferta hace unos dias por 32€. Me llegaron ayer y la verdad es que son muy bonitas, la calidad es bastante buena y no se ven "errores" de fabricación. Son muy cómodas para caminar. Las he llevado durante un día entero y no me han molestado, también decir que no pesan absolutamente nada, que se agradece mucho. Son bastante frescas que para el tiempo que está haciendo y el que hará próximamente vienen muy muy bien. Totalmente recomendables por un precio contenido pero por mas de 40-50 quizás no las compraría.</t>
  </si>
  <si>
    <t>Artículo perfecto y barato Perfecto! En cuanto se lo ha puesto mi suegra ha notado la mejoría en su espalda</t>
  </si>
  <si>
    <t>La mano de obra es exquisita La mano de obra es exquisita, simple y de moda, también es muy conveniente de usar, el sonido no es grande y el jugo producido también es muy bueno.</t>
  </si>
  <si>
    <t>Todo ok Todo perfecto. Repetiré la compra.</t>
  </si>
  <si>
    <t>Parece buena. Acaba de llegay y puse un poco, un poco es una pizca en el dedo indice, y me di en el cuello. Da mucho, mucho mucho calor resbala bien... buena compra, voy a comprar la de frio ahora mismo!</t>
  </si>
  <si>
    <t>BUENA CALIDAD Mo utilizo para un equipo de sonido del trabsjo</t>
  </si>
  <si>
    <t>Buen producto Buen producto y a buen precio. La talla estaba elegida por un producto similar y por tanto no puedo comparar con otras marcas. El envío llegó en buenas condiciones y en breve plazo.</t>
  </si>
  <si>
    <t>Alivia el dolor de espalda Se lo compré a un familiar porque sufre molestias en la espalda de vez en cuando, no es un dolor crónico. El masajeador le produce alivio al cabo de un rato de estar usándolo y lo utiliza tanto en la espalda como en la nuca. Viene en una caja muy bien presentado para regalar y tiene un adaptador para el mechero del coche.</t>
  </si>
  <si>
    <t>Perfecto !! El tamaño perfecto, buena calidad tal y como se esperaba !! Son para un regalo y le van a encantar !!</t>
  </si>
  <si>
    <t>Perfecto Cumple con su cometido</t>
  </si>
  <si>
    <t>Es fantástico Te permite recoger todo tipo de cables pequeños dejando, cuando se usa, la tira recogedora en el cable, para que no se pierda. La adhesión es muy buena tipo velcro y quitarlo o ponerlo facilísimo. Mucho mejor que los alambres plastificados. Lo recomiendo para ordenar cables.</t>
  </si>
  <si>
    <t>Calidad precio , buena Ok</t>
  </si>
  <si>
    <t>Mary Cumplen con su deber. He començado con las botellas mas pequeñas y he seguido con la misma linea de biberones ya que la bebe no queria con otros.</t>
  </si>
  <si>
    <t>La etiqueta pefecta Están fenomenal. El cordel de bramante es mucho mas finito que en la foto y no vienen cien cordeles pero está muy bien la etiqueta</t>
  </si>
  <si>
    <t>Aroma increíble Si te gusta el olor a musgo blanco, este ambientador es perfecto. Aroma muy conseguido, agradable, no resulta pesado. Lo utilizo con un difusor de vapor frío y ambienta toda la habitación. Me pareció un poco caro al comprarlo, pero ahora veo que cunde bastante. Pongo 5 o 6 gotas y es suficiente para un recipiente de 300ml. No ensucia el difusor como me ocurría con otros que no eran hidrosolubles.</t>
  </si>
  <si>
    <t>PALO MUY CORTO, hace que me duela la espalda (y no se puede cambiar por otro) EL PALO ES MUY CORTO: me obliga a doblar la espalda y me duele. El palo se monta con tres tubos metálicos, más el extremo y la punta de la mopa, pues yo necesitaría al menos dos tubos más. Tal cual viene es un poco más corto que un palo normal de escoba y yo hace años que cambié los normales por los largos porque te permiten limpiar con la espalda estirada en lugar de encorvada. Como este es un poco más corto que uno normal no me queda más remedio que doblarme y bajar los hombros con lo que mi espalda se resiente. Mi chico que es más alto que yo no es capaz de acabar una habitación.  La única solución sería comprar una segunda Swifer para tener los dos tubos que me faltan porque no hay forma de ponerle un palo que no sea el del kit.</t>
  </si>
  <si>
    <t>Hace el apaño El producto está muy bien! Lo único las bolitas se despegaron el primer dia!</t>
  </si>
  <si>
    <t>El primero defectuoso El primero nos dio problemas y nos supuso el perder un enorme trabajo guardado en el. Lo devolvimos y recibimos uno nuevo, crucemos dedos.</t>
  </si>
  <si>
    <t>Mala calidad Son preciosas y comodas,pero de malísima calidad la suela,se desgasta en nada,una pena</t>
  </si>
  <si>
    <t>¿2 paquetessss? Pone claramente dos paquetes y yo solo he recibido uno.... por lo que estoy muy descontenta, por lo demás son plásticos de buena calidad pero no caigan en que es una oferta y luego solo te aparece uno</t>
  </si>
  <si>
    <t>Es más ropa interior que ropa de entreno Ojo, porque si te lo compras como un short para entrenar, pincharás. EStá bien como calzoncillo largo apretado, ajusta bien a la pierna y es cómodo en la entrepierna.  Pero si lo llevas como pantalón exterior (sobre todo el blanco), entonces es demasiado evidente, marca mucho y transparenta. Tengo el gris y pasa algo parecido, aunque no tan obvio.</t>
  </si>
  <si>
    <t>Buena calidad Buena calidad,  tal cual se ve en la foto, tres llaves.  Estoy satisfecha con la compra. El tamaño lo esperaba más grande pero me viene bien.</t>
  </si>
  <si>
    <t>bien son correctas y se ponen bien</t>
  </si>
  <si>
    <t>Muy bonito Muy bonito. Da el pego. Gran relación calidad precio</t>
  </si>
  <si>
    <t>Bueno Producto de buena calidad, se ve muy resistente. Buen tamaño también.</t>
  </si>
  <si>
    <t>Aspiradora Muy bien</t>
  </si>
  <si>
    <t>BUen producto y precio! He quedado gratamente sorprendido por este equipo para sujetar microfonos y tambien por su relacion precio / calidad. El pedido llego rapido y bien embalado.Desde luego esta marca es para tenerla en cuenta.ya dispongo de otros productos de Neewer y son realmente buenos.Recomendable su compra</t>
  </si>
  <si>
    <t>Muy contento La velocidad del agua hirviendo también es muy rápida y la capacidad también es muy grande. El hervidor de agua se ve con muy buenas de calidad  y el material interno es muy bueno. no hace ruido . muy satisfecho.</t>
  </si>
  <si>
    <t>Contentisima Precioso elegante y queda muy fino en el cuello es de plata 925 para regalar es ideal 100% además viene con un estuche muy bonito y compacto</t>
  </si>
  <si>
    <t>No deslizan Perfectos muy comodos</t>
  </si>
  <si>
    <t>Buen producto. Los discos duros se sabe su calidad y buen funcionamiento cuándo cumple su función durante muchos años, evidentemente este tiene poco tiempo y no puedo opinar de él, pero en lo que llevo con él va normal, perfecto funcionamiento. No es una patata, seagate hasta ahora siempre me ha funcionado bien.</t>
  </si>
  <si>
    <t>La comodidad Utilizo este producto para caminar comodamente por todas partes, hace muchos años que utilizo productos de esta marca, por su calidad</t>
  </si>
  <si>
    <t>Limpieza en rieles de ventana Lo compre para esos lugares en las ventanas que son de dificil acceso. cumple si funcion. Es de facil agarre.  A  mi me ha gustado!</t>
  </si>
  <si>
    <t>Muy útil, ligero y de sencillo manejo &lt;div id="video-block-R34NADH5PKEIM9"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src="https://images-eu.ssl-images-amazon.com/images/I/B1uCvsxPVxS.mp4" style="position: absolute; left: 0px; top: 0px; overflow: hidden; height: 1px; width: 1px;"&gt;&lt;/video&gt;&lt;/div&gt;&lt;div id="airy-slate-preload" style="background-color: rgb(0, 0, 0); background-image: url(&amp;quot;https://images-eu.ssl-images-amazon.com/images/I/91czv64wn8S.png&amp;quot;);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center;"&gt;0:44&lt;/div&gt;&lt;div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18.2583%;"&gt;&lt;/div&gt;&lt;div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value="https://images-eu.ssl-images-amazon.com/images/I/B1uCvsxPVxS.mp4" class="video-url"&gt;&lt;input type="hidden" name="" value="https://images-eu.ssl-images-amazon.com/images/I/91czv64wn8S.png" class="video-slate-img-url"&gt;&amp;nbsp;Bastante útil y fácil de usar, lleva una pila de las pequeñas. En mi caso lo quería usar para jugar con mi garita y la verdad que le ha encantado Aemas tiene bastante alcance.</t>
  </si>
  <si>
    <t>Aceites esenciales para masajes Este set de aceites es perfecto ya que trae varios tipos de aromas y con varios usos (analgesia, antiinflamatorio, para ansiedad y estrés, etc.) Son aceites 100% naturales y puros. Es una caja ideal para regalos ya que contiene 6 botes de aceites esenciales que duran muchisimo tiempo, ya que es necesario utilizar muy pocas gotas en cada masaje.  Además es muy recomendable mezclarse con aceites de almendras para rebajar su esencia y así que tenga un efecto mas duradero en el tiempo.</t>
  </si>
  <si>
    <t>Calidad/ precio excelente Calidad / precio excelente.</t>
  </si>
  <si>
    <t>Ideal para regalar al hijo de otro. Fue un regalo para mi hija de 11 años. Está encantada y no lo suelta. Antes de la compra recomiendo tener en cuenta que nunca más volverás a dormir una siesta en silencio.</t>
  </si>
  <si>
    <t>De externo a interno Va bien. Lo he podido poner como disco duro interno siguiendo un video. Al instalarlo dentro del pc no lo reconocía, pero se soluciona buscando "fix 3.3V pin issue". Al final funciona como interno que es lo que pretendía.</t>
  </si>
  <si>
    <t>Buena compra y cómodas. Muy cómodas, el número el que uso normalmente</t>
  </si>
  <si>
    <t>Perfecto adaptador para PS Vita Maravilloso adaptador para tener mogollón de espacio en tu PS Vita y lo mejor de todo barato.</t>
  </si>
  <si>
    <t>Potente y velocidad variable. Potente y buena. El mecanismo de anclaje del vaso parece bueno y estable. El cristal parece resistente y además tiene velocidad variable.</t>
  </si>
  <si>
    <t>Muy buena qualidad Perfecto,pratico y de muy buena qualidad me encanta, mejor que esperava.</t>
  </si>
  <si>
    <t>malisimo compre uno y pensé que venia mal pero al pedir el reemplazo me di cuenta de que no era culpa de la primera unidad sino del producto en si, se queda pillado dejando aplicaciones, juegos e incluso el sistema operativo sin responder por varios segundos (20-30 segundos.)</t>
  </si>
  <si>
    <t>Es muy cómodo! Es muy cómodo pero Tiene las copas un poco pequeñas.</t>
  </si>
  <si>
    <t>USB no recomendable No cumple mis expectativas (llevo ya unos meses con él), por las siguientes razones: - la velocidad de transferencia es mucho menor de la que prometen (no es por el PC) - al utilizarlo se calienta una barbaridad - al enchufarlo en ciertos aparatos, si no entra holgado se hace imposible conectarlo, ya que el usb se introduce hacia dentro y no permite la conexión. - el tamaño puede ser una ventaja o una desventaja según lo que busques, en bastante pequeño (poco más que una moneda de 2€).</t>
  </si>
  <si>
    <t>No funciona sistema anticolicos El sistema anticolicos de este biberón no ha funcionado con mi bebe</t>
  </si>
  <si>
    <t>Buenos calcetines Calcetines originales que quedan bien , y abrigan bastante para el invierno dado que son altos , la calidad es la que esperaba puesto que gasto siempre de esta marca .</t>
  </si>
  <si>
    <t>Muy comodos Calcetines muy cómodos en cuanto pisada, la compresión es bastante alta para mi gusto. El resto todo igual que lo descrito en el anuncio. Conste que en una andaina de 100k acabaron rotos debido al desgaste, pero creo que fue culpa mas de las zapatillas, después volví a comprarlos y sigo con ellos para carreras de 10k</t>
  </si>
  <si>
    <t>Funciona bien Es tal como esperaba, cumple mis expectativas.</t>
  </si>
  <si>
    <t>Comodidad de uso Se ajusta a lo que esperaba . Buena compra.</t>
  </si>
  <si>
    <t>Que vengan en grupo de cinco, es lo mejor Son perfectos para almacenar todo tipo de archivos y al ser cinco p ustedes destinar cada uno a un tema diferente</t>
  </si>
  <si>
    <t>buena para switch buena para switch</t>
  </si>
  <si>
    <t>De buena calidad Perfectos para el mango con dispensador que tenía. Muy cómodos y duran mucho tiempo por lo que aconsejo su compra</t>
  </si>
  <si>
    <t>Aconsejable Perfecto</t>
  </si>
  <si>
    <t>bonito La talla M corresponde a una 90b-c,el tejido es muy bueno y resistente,no tiene relleno.espero que sirva mi comentario para orientarse un poco.</t>
  </si>
  <si>
    <t>Maravillosos y super practicos Es el segundo par que compro  ya que , luego de dos años de uso, se me habian roto 2 cordones. Son geniales, ajustan super bien el pie.Yo sólo uso 3 cordones por zapatilla y me va muy bien. Aconsejables 100 %, y te olvidas de agacharte para matarte las zapatillas, que en mi caso por problemas de.columna, me vino estupendo.</t>
  </si>
  <si>
    <t>Resistente Útil y resistente</t>
  </si>
  <si>
    <t>Es muy practico Siempre lo uso. Me resulta de mucha utilidad</t>
  </si>
  <si>
    <t>Relación precio calidad estupenda Una carpeta con fundas resistente y con buenos acabados. No es pesada pero parece suficientemente robusta. Estamos contentos con la compra</t>
  </si>
  <si>
    <t>Bonitas ligeras y comodas Muy comodas las regale a mi hermana y les encanto.</t>
  </si>
  <si>
    <t>Gran calidad y autonomía Compré estos cascos ya que los anteriores que tenía de este tipo los estropeé pero este formato de auriculares me ha sorprendido muchísimo desde que existen y he de decir que cada vez son mejores y este es una prueba de ello.  El diseño y calidad de los materiales es de 10. No pesan nada y se adaptan perfectamente a la oreja.  La calidad del sonido es muy buena, tanto graves como agudos. La cancelación de ruido es notable.  En cuanto a la autonomía de la batería, no entiendo como una cosa tan pequeña puede durar tantas horas funcionando.  Muy contento con el producto.</t>
  </si>
  <si>
    <t>speedcross salomon Que gran zapatilla!!!! Disfruto correr por  el monte muchísimo pero con este calzado la experiencia vivida es fantástica, los pies no sufren en absoluto</t>
  </si>
  <si>
    <t>Su cuchilla retráctil, hasta que no la empuja no corta La cortadora es sencilla y precisa, tiene guías para cortes ortogonales y cortes en ángulo, pero lo mejor es su cuchilla retráctil que evita que los pequeños de la casa puedan cortarse.</t>
  </si>
  <si>
    <t>Excelente Todo bien, buen material</t>
  </si>
  <si>
    <t>Fantástica relación calidad-precio ¿Una batidora tipo americano de acero inoxidable y vaso de cristal por poco más de 50€? Pues esta MyWave (que es la primera vez que escucho la marca) es un ejemplo fantástico de calidad a un precio contenido.   Sus 1000W de potencia son suficientes para casi todo, y sus cuchillas permiten hasta cortar hielo, de hecho hasta tiene una función exclusiva para eso. Para mejorar todavía más la experiencia tiene luces led para identificar el programa que estas usando o la potencia.    Viene en una caja perfectisimamente protegida por todos lados con corcho (poliuretano) con riesgo nulo de que se estropeé, salvo que el transportista sea un salvaje.</t>
  </si>
  <si>
    <t>Rapido el envío Pedí 2 pulseras, una para mi y otra para mi compañera, han llegado 1 semana antes,es muy bonita y acopla bien, tenemos las muñecas pequeñas y queda genial, muy contenta, con la compra.</t>
  </si>
  <si>
    <t>Precioso. Fue para un regalo y le encantó. Realmente por el precio es realmente precioso.</t>
  </si>
  <si>
    <t>Muy cómodo Lo compré porque me dolía la muñeca. Desde que lo tengo no me ha vuelto a doler, si lo sé lo compro antes. Muy cómodo.</t>
  </si>
  <si>
    <t>Genial calidad-precio Llegó al día siguiente de hacer el pedido y funciona bien.</t>
  </si>
  <si>
    <t>Perfectas Perfectas, talla correcta,  bonitas y de buena calidad.</t>
  </si>
  <si>
    <t>No es como en la foto No es igual de bonito como en la foto, además me quedaba muy grande y no podía achicarlo. Lo devolví.</t>
  </si>
  <si>
    <t>El ruido Para aumentar el nivel de humedad en una estancia muy seca. Quizás no és suficiente.</t>
  </si>
  <si>
    <t>Lara los adhesivos bien. muy funcional y queda muy bien la foto en el album. Como algo negativo: la caja venia un poco rota</t>
  </si>
  <si>
    <t>Producto equivocado No es para nada el producto que he comprado. Es otro modelo totalmente diferente y además es una talla más pequeña de la que pedí</t>
  </si>
  <si>
    <t>No es plata No es plata. Bonito diseño pero me hacdn daño porque no son plata</t>
  </si>
  <si>
    <t>Es largo y calentito La verdad esta muy bn me gustado</t>
  </si>
  <si>
    <t>Más ruido del que me esperaba Hace más ruido del que me esperaba y no sé, no termina de triturar bien del todo. Es cierto que es más silenciosa que otras, pero bueno, tampoco tanto como nos lo quieren vender desde Bosch</t>
  </si>
  <si>
    <t>Compra acertada Se trata de una zapatilla economica y urbana Habitualmente uso una talla 38 y acerté cogiendo un número 39</t>
  </si>
  <si>
    <t>Zapatos de invierno Un tanto zapatones, los tengo desde hace un mes son algo pesados, rígidos y los cordones mejorables.Tallan un poco grandes de largo pero buenos zapatos de invierno, cómodos, bien hechos, en principio buena compra haber como envejecen.</t>
  </si>
  <si>
    <t>Barato y bonito. Incluso trae caja. El pedido llegó puntual. Cadena y corazones muy bonitos. Buen acabado y buen aspecto. quizás un poco pequeño pero con el aspecto de una buena joya. relación calidad precio inmejorable. creo que compraré los pendiente a juego.</t>
  </si>
  <si>
    <t>Me encanta esta marca, aceites puros muy buenos Ya conocia esta marca y es la mejor, aceites puros muy buenos, los mejores lavanda, arnica y arbol de té</t>
  </si>
  <si>
    <t>Muy bien! Muy buena calidad y mucha capacidad. Es cómodo de usar y muy fácil de limpiar. Puede utilizarse lleno o para un par de tazas. Lo recomiendo</t>
  </si>
  <si>
    <t>Muy clásico pero muy renovado Un reloj nacido en 1983 se le tiene que considerar un clásico. El primero de la saga g-shock, y a mi juicio el más ponible a diario, ya que no es grande. Realmente pasa por un digital sin más, aunque visto de cerca se advierte sus mejores acabados. La renovación viene de la tecnología de este modelo en concreto, solar, lo que permitirá menos accesos a la caja por cambio de pilas y por tanto un mayor mantenimiento de la estanqueidad, y radiocontrolado, si bien, dependiendo de la zona de uso puede reconocer mejor o peor la señal. En mi caso, Galicia, sólo lo he conseguido en sincronizaciones manuales, no automáticas.  Quizás menos configurable que algunos hermanos de marca, en principio inferiores, como por la circunstancia de que las alarmas duran 10 segundos, no 20 como en otros, y no es un parámetro modificable, o que la iluminación se encienda 1,5 segundos, y no poder elegir 3 segundos, como otros casio. Todo ello parece enfocado a un sistema de ahorro de energía, que también "duerme" al reloj de madrugada. Si bien, esos aspectos prefería que fuesen a elección del usuario. En definitiva, calidad g-shock con imagen más contenida, clásico y eficaz, y con un plus tecnológico que lo hace singular. No defrauda en lo que vende.</t>
  </si>
  <si>
    <t>Producto recomendable Es la segunda que compro y me encanta.Buena calidad y muy duradera.Recomiendo</t>
  </si>
  <si>
    <t>Fenomenal Maravilloso suena fenómeno,se transporta genial,la funda con el bolsillo para guardarlo todo , los micros..me requeteencanta</t>
  </si>
  <si>
    <t>Preciosos Preciosa!</t>
  </si>
  <si>
    <t>Muy práctica y fácil de usar Desde que la compré no he tenido ningún problema con ella. Muy fácil de usar y con resultados excelentes. La uso en el día a día y la verdad es que me ahorra muchísimo tiempo. El recogedor, no he vuelto a saber de él. 100% recomendable.</t>
  </si>
  <si>
    <t>Rapidez Muy buena y calienta súper rápido</t>
  </si>
  <si>
    <t>Buen producto Escelente masajeador de pies, lo puedes llevar a cualquier parte por su tamaño y no hace falta enchufarlo por una batería portátil que se puede cargar con cualquier cargador USB de móvil.</t>
  </si>
  <si>
    <t>Buenísima calidad precio Buenísima calidad precio</t>
  </si>
  <si>
    <t>es como esperaba me ha gustado bastante...son muy buenas, el tacto es perfecto, y la comodidad tambien. El tamaño justo. recomendable. un saludo.</t>
  </si>
  <si>
    <t>Buena compra Me parece correcto. Hace su trabajo bien, a mi no me molesta en exceso y eso que uso velocidad 2 y apretando</t>
  </si>
  <si>
    <t>Perfecto Perfecto, facil manejo y funcionamiento muy rapido</t>
  </si>
  <si>
    <t>Reyes Esperando a los Reyes Magos</t>
  </si>
  <si>
    <t>BUENOS Y COMODOS BUENOS Y COMODOS. ESTOY ENCANTADO AUQUE TALLAN ALGO PEQUEÑOS. ACONSEJO COGER UNA TALLA MAS DE LA QUE SE USA HABITUALMENTE</t>
  </si>
  <si>
    <t>BOTAS ESTUPENDAS LAS BOTAS ESTAN BIEN, LO UNICO ES QUE EL TALLAJE ES MUY GRANDE, YO TENGO UN 43-44 Y HE TENIDO QUE PEDIR UN 42.</t>
  </si>
  <si>
    <t>Eficaz Envío rápido. Eficacia absoluta desde el primer día. Un gran descubrimiento anti humedad. Lo que estaba buscando.</t>
  </si>
  <si>
    <t>Excelente Muy fácil de usar, y graba con muy buena calidad</t>
  </si>
  <si>
    <t>Pantalón adidas Está chulo, lo único he hecho devolución porque es más grande de lo que esperaba pero es lo k pedí y a mi hijo Le gusta k es lo k keria..</t>
  </si>
  <si>
    <t>Extremadamente básicos para el precio No he quedado muy contento con estos auriculares. Para el precio y la marca, la calidad del audio es muy plana. El cable no es muy resistente y aunque para cosas muy básicas como deporte están bien, para disfrutar de música se quedan cortos.  Además, no tiene micrófono para llamadas con el móvil.</t>
  </si>
  <si>
    <t>Bonita aunque poco útil si hay más de 2 personas Además de hacer muchísimo ruido, el indicador de luz nunca llega a ponerse en verde, por lo que no se si la cerveza está lista para servir o no. La calidad de materiales no está muy allá aunque cumple su función y a quien se la regale le encanta. Eso si los barriles de “2litros” se gastan enseguida y no son nada baratos. Además o los introduces muy fríos o la máquina no es capaz de enfriarlos en menos de 10/12h</t>
  </si>
  <si>
    <t>Dinero tirado Son muy malos. Con menos de un mes ya empezaron a dar problemas. El interlocutor no te oye bien.</t>
  </si>
  <si>
    <t>Los peores zapatos Es un zapato muy malo, el enganche va suelto y no da estabilidad, malísimo</t>
  </si>
  <si>
    <t>Me arrepiento de haberlas comprado No recomiendo esta compra. Me hacen daño en el talón y también en la parte de delante, son más pequeñas de lo que esperaba. Pedí mi número porque las probé en una tienda y me quedaban bien. Estas eran más baratas, por eso las pedí. Pero nada que ver. Para mi son tan incómodas que no las puedo poner.</t>
  </si>
  <si>
    <t>No del todo satisfecho He adquirido dos micro Sd de 32 Gb y la verdad que me queda una sensación agridulce. Una está destinada a ampliar la memoria de un Motorola G4 plus de un familiar y la otra lo estaba para la tableta Amazon Fire Hd 8.  - Motorola especifica que se requiere una tarjeta UHS-I como ésta para que vaya fluido el móvil, de lo contrario saltará un aviso de tarjeta lenta, bueno pues me ha salido el mensaje avisando que debería coger un tarjeta más rápida. He probado las dos tarjetas en el móvil y en las dos me lo ha indicado. No sé qué fiabilidad tendrán las apps que miden la velocidad pero me sale 37MB/s de lectura y 18,30 de escritura. Por lo demás en el uso del móvil no aprecio cambios de fluidez pero el mensaje de tarjeta lenta me deja incómodo. - Amazon Fire Hd 8: reconoce la tarjeta pero cuando quieres descargar una serie de primevideo, salta un mensaje de error.  Parece  incompatible con esta tableta pues si formateo la micro sd desde la misma, me la deja con una capacidad de 15.9 MB sólo.  Por lo demás, las tarjetas venían correctamente embaladas y fueron depositadas en el buzón.</t>
  </si>
  <si>
    <t>Excelente reloj Buen reloj como la mayoría de Casio, solo un pero: Es dificil entender y combinar las acciones para sacarle todo el partido, el manual de usuario es bastante farragoso e induce a errores de configuración</t>
  </si>
  <si>
    <t>Expectativas cumplidas Es una camiseta que cumple bien su función térmica.Estoy contenta porque se nota que es un producto de calidad , lo he lavado varias veces y queda nueva.</t>
  </si>
  <si>
    <t>Cumple las espectativas El reloj es muy bonito y de muy buena calidad. Aunque el tamaño es de 4 cm de diametro, lo que da a entender que es grande,  la esfera es pequeña.</t>
  </si>
  <si>
    <t>Contento Comprar calzado sin probarlo siempre es un riesgo, pero afortunadamente todo ha sido como esperaba. El calzado aparenta ser de buena calidad y hechura, y me queda comodísimo. La suela se ve muy buena y tiene buena amortiguación; ya se verá su duración... Son muy cálidas, hay que tener en cuenta que es calzado para invierno, no para cualquier época del año. Por cierto, yo pedí el 43, que es el numero que calzo habitualmente y me están perfectamente</t>
  </si>
  <si>
    <t>Variado de olores El más fácil de encontrar por internet es el de limón. Buscaba otros olores para mis baños y masajes. El que más me gusta es el de naranja dulce para la creación de jabones naturales. Si conoces a alguien que le guste es ideal para un regalo. El empaquetado es bastante elegante con una caja negra.</t>
  </si>
  <si>
    <t>Mitico reloj que nunca pasa de moda un must have en toda regla, un reloj que nunca pasa de moda y que puedes usarlo para lo que quieras, aclarar a la gente indecisa que es acuático hasta 1 metro de profundidad, así que no os preocupéis por meterlo en la ducha, el precio medio del reloj ronda los 17 euros (a veces 15, a veces 20)</t>
  </si>
  <si>
    <t>INCREIBLEMENTE BUENO Me sorprendio gratamente es como si te estuviera masajeando una persona, viene genial para cualquier zona de la espalda. Incluso viene con un adaptador para el mechero del coche, lo que hace que se incluso apto para viajes.  ACTUALIZO: Se me estropeo a la semana, pero volveré a comprarlo ya que estaba muy contenta con el</t>
  </si>
  <si>
    <t>Un clásico Me encanta</t>
  </si>
  <si>
    <t>Muy bien y practica Muy bien  Todo correcto como anunciaba. Algo mas grande de lo que esperaba pero correcto</t>
  </si>
  <si>
    <t>Tardó demasiado Buen producto pero problemas con el envio</t>
  </si>
  <si>
    <t>Perfecto Cumple exactamente lo que propone, es ideal si te gustan las infusiones y no tienes demasiado espacio. Yo en particular la uso cuando viajo en moto, que quieras que no el equipaje a llevar es reducido, y va fenomenal y muy rápida.</t>
  </si>
  <si>
    <t>Tetera electrica Muy bien!!!!</t>
  </si>
  <si>
    <t>Muy bonito. Pedir una talla más de la que utilizas Muy bonitas mallas y cómodas. Talla pequeño, hay que pedir una talla más de la que utilizas</t>
  </si>
  <si>
    <t>Excelente Muy bonita la llevo desde hace dos dias no me la quito para nada y no se me ha roto</t>
  </si>
  <si>
    <t>Muy bueno La relación calidad precio es muy interesante. Sin duda una gracias compra</t>
  </si>
  <si>
    <t>Muy bien A pesar de que el pedido se retrasó algunos días, fueron muy atentos y se resolvió sin ningún problema. El producto es bueno, tal como se describe.</t>
  </si>
  <si>
    <t>Muy buena tienda Todo muy bien y como ponia en la descripcion.Buen sitio para comprar.</t>
  </si>
  <si>
    <t>Muy lindo Aunque no es totalmente circular, este limpia cepillo no tiene posibilidad de oxidarse pq es de plástico. Realmente lo compre por eso. He tenido otros que al cabo del tiempo se oxidan. Este mes pareció fenomenal y me imagino lo habrán fabricado en este material por esta razón</t>
  </si>
  <si>
    <t>Buena zapatilla Buena compra</t>
  </si>
  <si>
    <t>PERFECTOS LLegaron antes de lo previsto,  producto muy bueno, faciles de utilizar, muy contentos con este producto. Buena calidad, muy reomendaables.</t>
  </si>
  <si>
    <t>Tan buenos como los originales Son exacto como los originales, se escucha bien y el microfono funciona perfectamente para hablar por teléfono o enviar notas de voz por WhatsApp</t>
  </si>
  <si>
    <t>Muy bien Lo pedían en el instituto que se pudiera doblar los dos lados es perfecto</t>
  </si>
  <si>
    <t>Cajón grande pero con compartimentos minúsculos para monedas Me he comprado la caja más grande de 30 cm de ancho porque me parecía la más práctica. Pues la bandeja portamonedas (y billetes) no es igual que la de la foto. Tiene demasiado espacio para los billetes pero caben solo unas 10 monedas de cada tipo, por lo que es insuficiente para mí. Además, hay que mover la caja completamente plana o se mezcla todo. Por otra parte, parece robusta. Mala compra, la devuelvo.</t>
  </si>
  <si>
    <t>Bien pero... Son como en la foto, pero la suela hace ruido al andar</t>
  </si>
  <si>
    <t>Muy bonitos Era lo que me esperaba muy bonitos</t>
  </si>
  <si>
    <t>Buen producto pero el adaptador de corriente hace bastante ruido Ya he tenido un disco duro como este anteriormente y la experiencia fue muy buena. Este modelo funciona sin problema y tiene una gran capacidad, pero la fuente de alimentación hace bastante ruido (incluso con el usb sin conectar y con el disco, por tanto, apagado), por lo que es bastante molesto y da la sensación de que puede durar poco. Desgraciadamente descubrí el problema demasiado tarde para cambiarlo y con más de 2 TB de información ya almacenados.  Por lo demás, es un gran producto.</t>
  </si>
  <si>
    <t>Una devolución estarías bien Es bonito pero se cae los diamantes de corazón</t>
  </si>
  <si>
    <t>No son originales Tengo otros cascos iguales (vendidos por Amazon directamente https://www.amazon.es/gp/product/B00I3LUYNG/ref=oh_aui_detailpage_o00_s00?ie=UTF8&amp;amp;psc=1) y la calidad de sonido es peor en estos, la diadema aprieta más que en los originales. Y la calidad del cable es peor, las almohadillas son menos acolchadas... vamos una copia muy parecida pero con mucho peor calidad.</t>
  </si>
  <si>
    <t>Tallan pequeñas Normalmente utilizo un 40 y las tuve que cambiar por un 41. Tallan pequeñas, recomiendo coger un número más. La suela resbala un poquito.</t>
  </si>
  <si>
    <t>Sonido Nitido Estos auriculares son muy recomendables para los amantes del sonido puro: no disfrazan el sonido añadiendo mas profundidad en bajas frecuencias ni exageran los agudos, como en otros auriculares.En estos AKG el sonido fluye de forma natural y se pueden escuchar todos y cada uno de los instrumentos de forma clara.Por otra parte son cómodos para escuchar durante horas. Muy util, tambien, la conectividad mediante un cable que se puede desconectar del cuerpo de los auriculares, buena relacion calidad precio.</t>
  </si>
  <si>
    <t>El aparato funciona perfectamente El aparato funciona perfectamente y el alargador que viene es muy util. Esta muy bien que se pueda encender y apagar la alimentacion</t>
  </si>
  <si>
    <t>Confortables Son para una persona mayor y las encuentra cómodas, aunque quizá algo blandas en exceso. La construcción es buena, pero los materiales tan ligeros parece que pueden terminar cediendo en poco tiempo, esperemos que aguanten sin deformaciones y con rigidez suficiente para dar un buen apoyo al pie. A los precios en oferta son buena compra.</t>
  </si>
  <si>
    <t>Perfecto Me gustó por su sencillez y la verdad es que cumple mis necesidades. Aconsejable para aquellos que necesitan un bolso para móvil, llaves y monedero. Poca cosa más.</t>
  </si>
  <si>
    <t>Práctico y tamaño perfecto! Fantástico este mando para diapositivas, pesa poco, es muy fino para llevarlo en el bolsillo, el láser tiene muy buen alcance,los botones nunca fallan y es muy sencillo de utilizar. Vamos que no se puede pedir más por un mando a distancia para diapositivas por este precio. Ah! Se conecta muy bien a todos los dispositivos que he probado Compra recomendable</t>
  </si>
  <si>
    <t>Son cómodas Pide mínimo un número más de lo que tenga. Yo suelo pedir el 43 y pedí el 44 para ir más suelto y los llevo justos. No me aprietan, pero yo recomendaría pedir un número más.</t>
  </si>
  <si>
    <t>Muy bueno Excelente producto recomendable 100%</t>
  </si>
  <si>
    <t>Buen acople ,comodo. Es genial para pechos grandes , el rebote sigue existiendo , pero un 80 % menos que con otros nad caros.</t>
  </si>
  <si>
    <t>Muy buena calidad-precio!! La verdad que no le tiene que envidiar nada a la original de apple, es más, son exactamente iguales, lo único que varía es el precio, que es infinitamente más barato! Sin duda alguna recomiendo comprarla y cuando se me rompa o pierda el color,compraré otra igual.</t>
  </si>
  <si>
    <t>Magnifica compra botas super cómodas y ligeras. Tallan muy bien y los pies lo agradecen. Con vaqueros quedan muy bien y con vestido.</t>
  </si>
  <si>
    <t>Me encanta Perfecta para ponerla dentro de la bañera. Yo la compré para casa de los abuelos y es genial</t>
  </si>
  <si>
    <t>Regalo bonito Bonito ,estetica perfecta</t>
  </si>
  <si>
    <t>Bien preparado Hace perfectamente su función. En mi caso lo compré por contracturas debido a mi trabajo... Y estoy muy satisfecha con la compra</t>
  </si>
  <si>
    <t>Me encantan! Estos auriculares me han sorprendido una barbaridad! Son de buena calidad, facilísimos de utilizar. Su manual de instrucciones viene traducido al español. Además, viene con varias almohadillas para intercambiar según el tamaño que necesite cada uno. En cuanto a calidad de sonido son bastante decentes. Nada mas sacarlos de la cajita se conectan automáticamente al último dispositivo al que se conectaron. Tiene dos botones, uno en cada auricular, un toque para de reproducir la música que estemos escuchando y dos toques pasa de canción (el derecho) o vuelve a la canción anterior (el izquierdo).  Tiene la posibilidad de utilizar un único auricular, tan solo extrayendo de la caja el que queramos.  En cuanto a batería todavía tengo que probarlos más, pero promete cargar los auriculares hasta 8 veces la propia caja, que es más que suficiente si se utilizan a diario. Podría cargar la caja completa una vez a la semana.  Los veo muy completos para el precio que tienen. Estoy muy contenta con la compra.</t>
  </si>
  <si>
    <t>Hunidificador Que ganas tenia de tener uno para tener un ambiente más agradable en el hogar. Estéticamente muy chulo. Muy sencillo de preparar. Se vierte el agua con un vasito medidor que viene con unas gotitas de esencia (vienen 4 botecitos) y lo encendemos. Se puede programar poniendo las horas que lo quieres puesta. Lo recomendable es no exceder las 8h. Me encanta.</t>
  </si>
  <si>
    <t>Original Buen acabado, piel de Correa de calidad para su precio.</t>
  </si>
  <si>
    <t>Muy buenos! Muy buenos!</t>
  </si>
  <si>
    <t>Gracias nuevas ofertas por favor Buenísimo</t>
  </si>
  <si>
    <t>Genial Muy buena calidad. Ya lo he usado 2 semanas yendo al gimnasio 5 veces a la semana y abandonó a diario y esta perfex4o. Sujeta fenomenal. Eso sí, he comprado la talla que uso de normal no la.que indica con las medidas. La que me salía con las medidas me habría quedado grande.</t>
  </si>
  <si>
    <t>Si vas a lo seguro nunca fallas ! Compré esta tarjeta para una actioncam que graba a 1080p 60 FPS y el funcionamiento es excelente. Ya tengo otras tarjetas de esta marca con diferentes clases y capacidades y hasta el momento es de lo mejor que he probado (en relacion calidad-rendimiento-precio). Dado que la velocidad de lectura/escritura es muy buena, te permite usarla en gadget mas simples o en los que necesitan un buen desempeño de lectura/escritura. Hasta el momento no se me ha roto ninguna asi que la durabilidad hasta el momento, perfecta.  Un 10 al producto.</t>
  </si>
  <si>
    <t>ZAPATILLAS DEPORTE Muy buen producto, con una relación precio/calidad estupenda. La numeración queda algo justa.</t>
  </si>
  <si>
    <t>Calidad Articulo de bastante calidad, la batería dura bastante...</t>
  </si>
  <si>
    <t>Simon casado Es muy fina. Es un hilo. Yo en la foto no lo entendí o no vi que fuese tan fina. Yo soy un chico, esa cadena es para chicas. Tendrían que especificarlo en la foto.</t>
  </si>
  <si>
    <t>Buena compra No está mal para un uso básico, cumple, aunque se echa en falta que sea magnética. Incluye rotulador y púas para su instalación, lo cual se agradece. Tras unos meses de uso, los restos del rotulador no se borran.</t>
  </si>
  <si>
    <t>Decepción con esta compra Comprada a finales de noviembre. Al principio perfecta, pero tras tres meses de uso (la utilizamos sobretodo para triturar tomate por la mañana, unas tres veces por semana) hace ruidos extraños y pierde potencia. Veremos a ver si el servicio técnico lo arregla. Sin duda cuando te gasta este dinero no esperas que dure tan poco.</t>
  </si>
  <si>
    <t>Insatisfecha Nada más me lo puse, se abrió la costura lateral. Muy malo.</t>
  </si>
  <si>
    <t>Falta relleno Algo fina pero por el precio, perfecta</t>
  </si>
  <si>
    <t>Muy bonito Es fino pero queda muy bien puesto y es tobillero</t>
  </si>
  <si>
    <t>Buenas zapatillas Buenas zapatillas ,cómodas y son Puma. El color se ajusta a lo que viene en la foto.mYo suelo usar 44 en esta marca. Tengo un 43 de pie.</t>
  </si>
  <si>
    <t>ESTÁ MUY BIEN TODO PERFECTO, EXCEPTO QUE EL CEPILLO ES UN POCO DURO Y LA FREGONA TIENE POCO FLECOS... PERO POR EL PRECIO ESTÁ BASTANTE BIEN</t>
  </si>
  <si>
    <t>Sencillo y eficaz Muy útil, no pensaba que le daría tanto uso. Es práctico, compacto y rápido, cuando ya está el agua hirviendo se desconecta. Ideal para quien se hace una taza de té de vez en cuando.</t>
  </si>
  <si>
    <t>Excelente , súper recomendado Me encanto</t>
  </si>
  <si>
    <t>Good service perfect</t>
  </si>
  <si>
    <t>Perfecto Tal y como se ve en la foto, funciona de maravilla</t>
  </si>
  <si>
    <t>Bien He probado a grapar dos y se ve que cumple con su cometido. Queda bien grapado! He de decir que la utilizo con la grapadora Rapesco Minno.</t>
  </si>
  <si>
    <t>La fiabilidad Hace tiempo que utilizo esta marca para mis cámaras fotográficas y jamas he tenido ningún problema. La capacidad es para mi perfecta para una sesión de fotos con cámaras de alta definición.</t>
  </si>
  <si>
    <t>Recomendable 100% Funciona perfectamente para poder usar tus copias de seguridad. Le da una nueva vida a una consola que está muerta. Se tiene que completar con una tarjeta de memoria de alta capacidad.</t>
  </si>
  <si>
    <t>llego a tiempo como me dijeron Excelente compra, soy comerciante y es para mis clientes. Gracias</t>
  </si>
  <si>
    <t>un 10 me lo imaginaba mas pequeño, es precioso, bien trabajado y el envio super rápido...genial para un regalo... no me lo he vuelto a quitar</t>
  </si>
  <si>
    <t>Deportivos muy cómodos Zapatillas deportivas muy ligeras y cómodas, las uso en mi trabajo diario en el que estoy de pie una 8 horas.</t>
  </si>
  <si>
    <t>Genial Muy bien todo</t>
  </si>
  <si>
    <t>Perfecto Geniales justo lo que pedí quedan perfectas</t>
  </si>
  <si>
    <t>Rápida entrega y buen producto Zapatillas perfectas.</t>
  </si>
  <si>
    <t>Genial! Producto genial para plastificar. Buena calidad y ha llegado de un día para otro!!</t>
  </si>
  <si>
    <t>Buen producto Es muy divertido jugar con el micrófono , tiene varias posibilidades para interactuar con diferentes modos de conexión y también se puede grabar lo que cantas , a los peques les encanta se lo pasan de ola ,,,,,es un buen regalito cumple 100%</t>
  </si>
  <si>
    <t>Sudaderas juveniles Calidad regular,pero normal x el precio Todavía no las he lacado</t>
  </si>
  <si>
    <t>Todo perfecto Era para mi hijo que mide 1.80. Y le queda como un guante.</t>
  </si>
  <si>
    <t>TODO CORRECTO TODO CORRECTO</t>
  </si>
  <si>
    <t>Sencillos pero de buena calidad Mis auriculares acaban de dañarse y estuve buscando unos que me sirvieran. La verdad, estos fueron muchísimo mejores de lo que esperaba. Tienen buena definición, tanto con la portátil como en el móvil y no molestan para nada cuando están en el oído. Sin embargo, lo mejor que tienen es el cable, que tiene una cubierta plástica que impide que pueda enredarse. Literalmente no he visto que se enrolle ni una sola vez. Totalmente recomendados.</t>
  </si>
  <si>
    <t>Difíciles Lo tuve que devolver porque el alambre es imposible ponerlo recto, con lo cual es imposible ponerlo en tus orejas y que se quede sujeto. Difícil la sintonización de la radio etc, pues va lo tienes en la oreja, no puedes ver los botones q aprietas.. Me sabe mal,  pero no me resultaron cómodos. Tal vez fui incorporaran un altavoz para sintonizarlos, resolceria algo el problema</t>
  </si>
  <si>
    <t>Se estropean mucho Las zapatillas están hechas con buenos materiales (el cuero es de verdad y no de plástico, como las baratas), pero se estropean demasiado rápido.  Me explico: el cuero es como cuero vuelto y pierde el color negro. Se roza, sobre todo por la punta y coge un color como gris, que no se va ni cepillándolas, ni pasándoles un paño húmedo (y en la lavadora ni se pueden meter, obviamente).  Por otra parte, la suela por dentro de la zapatilla, donde va la plantilla, se rompe enseguida, incluso usándolas con unas plantillas adicionales y se ve la goma de la suela por dentro. Esto ocurre en la zona del talón.  Yo las pillé de oferta a 30€ y las uso a diario, así que me mereció la pena. Pero si están a su precio normal, que suele rondar entre los 50€-70€, ahí ya, creo que hay opciones mejores, como unas New Balance, por ejemplo.</t>
  </si>
  <si>
    <t>Preciosas Me ha gustado la calidad del calzado y esteticamente son bonitas. Lo que las tuve que devolver porque son muy estrechas de horma y no cabe depende que plantillas.</t>
  </si>
  <si>
    <t>Fallo de color No eran como la foto. Llegaron totalmente negras</t>
  </si>
  <si>
    <t>no huelen en humidificador Cuando pones las gotas que indica el humidificador no huele a nada, he probado poniendo medio bote y sigue sin apenas apreciarse. Si vienes de fuera y entras donde está puesto funcionando no se nota practicamente, he gastado ya dos botes distintos y en general no tiene pinta de que ninguno de los seis aceites meyin vayan a oler.</t>
  </si>
  <si>
    <t>El número viene bien Vino tal como esperábamos. El número es correcto y llegó perfectamente.</t>
  </si>
  <si>
    <t>Buena compra Todo correcto aunque exige cuidados para su mantenimiento en buenas condiciones. El color de la piel y la impermeabilidad requieren de quien las use unos conocimientos y dedicación para su preservación.</t>
  </si>
  <si>
    <t>Solo le falta una funda Lo único que le falta es una fundita o un maletín donde poder guardar o transportar el álbum. Es bastante robusto y aunque las portadas son gruesas y su interior se protege bien siempre estará mejor en una funda. Las fotos se pegan súper bien.</t>
  </si>
  <si>
    <t>calidad/precio Es un producto que en relación-calidad precio me parece muy bueno. Lo estoy usando para una cámara fotográfica y por el momento muy bien</t>
  </si>
  <si>
    <t>Resistencia Para trabajar el mejor</t>
  </si>
  <si>
    <t>Después de mucho buscar, la encontreeeee. Buenas, aquí os vengo a hablar un poco de lo que ha sido, aunque parezca una tontería, la odisea de buscar un bolso bandolera para hombre. Tenía varios por casa pero ninguno de ellos, ya sea por tamaño o diseño, me convencía. Necesitaba uno que fuera de un tamaño perfecto, con varias cremalleras y huecos, tanto para la cartera, móvil, gafas, pequeña cámara de fotos... Pues al final lo encontré. Mide 16 cm de ancho, 19 cm de altura y 7 cm de fondo. Tiene tres bolsillos con cremallera, dos centrales, y uno delantero con compartimento para móvil, llaves, monedas... En las fotos que he añadido podéis apreciar que en el bolsillo más grande entre perfectamente una cámara de fotos, en mi caso una sony nex c3 con objetivo 18-55, y que sobra espacio para la cartera, además de otro pequeño compartimento para algún tipo de documentación como puede ser un pasaporte. En el bolsillo intermedio hay espacio para el móvil hueco que se encuentra acolchado por una tela de tacto agradable que evita el rallado de la pantalla y otro bolsillo con cremallera de menor tamaño para poder guardar los auriculares, por ejemplo. El bolsillo exterior  aunque una entrada un poco más estrecha que las anteriores tiene un interior amplío. Está fabricado en tela de lona negra, que repele algo de agua en caso de nos pille lloviendo por la calle, bastante resistente. Es un bolso para utilizar a diario, muy informal, pero que al mismo tiempo por el color negro que tiene pasa muy desapercibido. La banda de colgar ajustable es ancha y resistente, muy cómoda pues no molesta para nada al llevarlo colgado. En general  muy satisfecho con la compra recomendando su compra con total tranquilidad a sabiendas que no va a defraudar a nadie. Saludos</t>
  </si>
  <si>
    <t>Cumplen lo que prometen Llevo lavando la ropa más de 2 meses y puedo decir que queda prácticamente como con un detergente convencional (eliminan la grasa, las manchas de sangre...). Las nueces no huelen muy bien, pero no afecta a la ropa, ésta huele solo a limpio. Lavo a 30ºC y suelo echar un par de nueces más de las recomendadas. Tambíen se pueden añadir bicabornato para las manchas, vinagre para más suavidad o aceite esencial para perfumar. También las he usado para hacer jabon líquido con la finalidad de usarlo para lavar manos y platos pero no me ha gustado porque no hacen nada de jabón (y he probado varias recetas).</t>
  </si>
  <si>
    <t>Pulsera fina y elegante. Es perfecta. Sobretodo la medida porque normalmente todas me quedan grandes pero la de 18cm. es perfecta. Ademas aunque sean finitas hacen muy bonito, Por todo yo ya he comprado varias.Buena calidad precio.</t>
  </si>
  <si>
    <t>Calentito y de calidad Es muy caliente y suave. No sé si está pensado para esto pero yo lo uso de abrigo y me va genial. Quizá no para ir de gala, pero si para el di a a día. Decían que el tallaje era pequeño, a mi me ha parecido normal. Soy pequeña y suelo usar la S, a veces la XS, en este caso la XS me va perfecta. Queda entallada pero sin ser apretada. Buena compra para el invierno!! Se electrifica un poco así que no se si es muy buena idea ponerse la capucha a riesgo de que el pelo parezca una bola eléctrica, pero por el resto bien!</t>
  </si>
  <si>
    <t>Me gusta demasiado Muy cómodo, fácil de operar, puede ser utilizado por una familia, y la cubierta se puede quitar para su limpieza.  Es maravilloso ir a casa y recibir un masaje en el trabajo.</t>
  </si>
  <si>
    <t>Buen pegamento y en buen formato Tenía que pegar varias piezas de plástico y diversos materiales (puntera de la suela de unas deportivas que se habían despegado, protectores del móvil que por un enganchón se habían quedado sueltos...) y la verdad es que pega de maravilla en esos materiales. Tenía mis dudas de comprarlo porque cuando compras un bote pequeño siempre se te queda seco o se obstruye y se desperdicia casi todo. Con este formato de 3 pequeños estoy contentísimo. He gastado uno. Utilizandolo varios días no se me había secado y podía seguir usandolo, y todavía tengo 2 sin abrir en perfecto estado para cuando los necesite.</t>
  </si>
  <si>
    <t>Muy bonito Perfecto igual q la foto</t>
  </si>
  <si>
    <t>Eficaz para masaje muscular Un buen producto para aquellos q practican deporte para relajar los músculos después de un esfuerzo</t>
  </si>
  <si>
    <t>Me va genial Es un marcador como de oficina pero para la ropa. Me va genial para cuando se van de colonias o excursión porque va super rápido marcando. Si van a algun sitio donde hay posibilidad de cambio de ropa, tb. La tinta es infinita. Hace años que tengo la misma y no la he cambiado. Las únicas pegas que le encuentro es que la letra es un poco pequeña. Yo solamente pongo los apellidos, y para el tamaño del sello podria ser letra mas grande. Y la ropa negra... la tienes que poner en la etiqueta. La ventaja es que si visten clarito o rosas,etc... va muy bien. Sin dudarlo lo recomiendo, te ahorras de planchar miles de etiquetas.</t>
  </si>
  <si>
    <t>Compacto y rápido Disco duro compacto y muy ligero que se puede transportar sin ningún problema. No necesita alimentación externa, haciéndolo muy practico. Buena velocidad de transferencia, aunque al mover archivos grandes, baja el rendimiento. Aun así, muy buena elección.</t>
  </si>
  <si>
    <t>Comodidad Me van muy bien y me gusta como quedan y son muy comodas</t>
  </si>
  <si>
    <t>Lo mejor Recomiendo 100%. Es una marca que me encanta y a mi bebe también Es el tercero que tengo y como siempre encantado con el y con su precio.</t>
  </si>
  <si>
    <t>Bien Van perfectos,no aguantan como el de origen pero calidad/precio un 10.</t>
  </si>
  <si>
    <t>Teclado alesis q49 Buen teclado y excelente software</t>
  </si>
  <si>
    <t>Robusta Nos ha gustado mucho. Es potente rápida y se limpia muy fácilmente.</t>
  </si>
  <si>
    <t>Calidad precio imbatible El reloj tiene una calidad precio insuperables. Perfecto para tenerlo como reloj de repuesto: yo lo uso para cuando voy en moto (lo engancho al manillar) o cuando me voy a ir a algún sitio al que no quiero llevar le reloj bueno. Muy recomendable</t>
  </si>
  <si>
    <t>Buena calidad. Satisfecho con la compra. Cómodos, suenan muy bien, y me puedo desplazar por toda la casa con ellos. Buena relación calidad/precio</t>
  </si>
  <si>
    <t>Comodisimas!!! Son muy cómodas, con la parte de atrás acolchada, y la plantilla muy cómoda también. He tenido muchas converse y sabes que nunca fallas. Pero este modelo me encanta porque es mas cómodo aun que las chuck taylor</t>
  </si>
  <si>
    <t>La botonera el problema El producto venia bien empaquetado y presentado con sus respectivos componentes (auriculares, cable usb para cargarlo y cable jack 3,5mm macho/macho para escucharlo sin BT. No he tenido ningun problema para conectarlo con un dispositvo BT (movil huawei p10, tablet bq10) e incluso un PC con adaptador usb BT. Pues bien, lo recibi tal que un viernes lo probe, estuve 3 dias funcionando con el de maravilla, se escuchaba bien y funcionaba correctamente, y de repente, no podia apagarlo, la botonera no respondia, es decir, ningun botón respondia al pulsarlo....Asi que lo devolvi...Aun hoy estoy esperando a que AMAZON me reintegre el dinero de la compra, que yo espero que si... La experiencia ha sido muy negativa. El aparato en si, es bonito, funciona bien, suena correctamente (pude oir peliculas y musica y el sonido fue correcto), las almohadillas cubren la casi totalidad de las orejas y aislan bien, no me gusto mucho la proteccion de la parte de la cabeza, esta forrada de una especie de plastico, no esta acolchada, pero aun asi protege y se ajusta bien, inclusive con gafas. Un saludo</t>
  </si>
  <si>
    <t>Quedan bien Quedan bien pero el color no es el que solicité es más rojo oscuro</t>
  </si>
  <si>
    <t>Marcas en el lado derecho La calidad es normal, el envío correcto, embalaje adecuado, pero tiene una marca en el lado derecho que he leído en otros comentarios que no se ha corregido.</t>
  </si>
  <si>
    <t>Ojo con el número de pie!!! Uso un 39, así que compré la talla M que va desde el 36-40. Pues bien, me están tan justas que las costuras delanteras presionan sobre el dedo pulgar. Así que no recomiendo su compra porque me parece que está mal tallado y, además, se enfrían rápido. Un 0 patatero para estas zapatillas.</t>
  </si>
  <si>
    <t>Muy pequeña Buen material pero demasiado pequeña</t>
  </si>
  <si>
    <t>Producto usado El producto llegó sin precintar y con señales de haber sido usado. No lo compré a precio de producto reacondicionado. Es la enésima vez que ocurre.</t>
  </si>
  <si>
    <t>Buen producto pero se puede mejorar Buen producto para limpiar los biberones, el limpiatetinas no es del todo bueno creo que lo deben mejorar ya que no limpia bien todos los restos</t>
  </si>
  <si>
    <t>Buen reloj Llegó un día antes. Es cual se ve en la foto. Esfera muy original y la correa de cuero muy gruesa. Su funcionamiento es perfecto hasta la fecha. Es a mi opinión un reloj para usar a diario</t>
  </si>
  <si>
    <t>Fácil montaje. Funciona bien Partiendo de que la relación calidad precio es bastante buena, bajo mi punto de vista la única pega es que hace algo de ruido al funcionar (pero muy leve). No obstante, la instalación es muy sencilla y totalmente intuitiva. Lo uso en la oficina que tengo en casa y cumple su función perfectamente, olor agradable y encima con muchas opciones de luz.</t>
  </si>
  <si>
    <t>Dentro de lo normal Cascos con cable muy dentro de lo normal, nada destacable, sonido normalito, no cubren la oreja, se quedan encima y ha en un poco de daño cuando llevas mucho rato con ellos, el diseño es bonito y no están mal para llevarlos por la calle. El cable no se enrolla, y es cómodo. Yo le hubiera puesto aconchado discreto para la cabeza.</t>
  </si>
  <si>
    <t>Cascos Son unos cascos muy cómodos y fáciles de poner el cable además es bastante largo con lo cual puedes meterte el móvil en el bolsillo y aún así te siguen llegando los cascos y que por el precio que he pagado vengan los cascos y los recambios creo que está bastante bien</t>
  </si>
  <si>
    <t>Una batidora de buena calidad . Batidora de buena calidad la recomiendo👌👌👍</t>
  </si>
  <si>
    <t>Buena operación Llegó muy rápido y con un buen precio. La calidad es bastante aceptable por lo que no se le puede pedir más</t>
  </si>
  <si>
    <t>Práctica y cómoda Una alfombrilla XL, se queda muy bonita y muy práctica. El ratón se desliza súper bien por ella dando una sensación de comodidad enorme. Y por supuesto la protección adicional a la mesa donde tengas tú teclado y tú raton</t>
  </si>
  <si>
    <t>Bien Bien todo</t>
  </si>
  <si>
    <t>De los mejores relojes que tengo Muy bueno, quizas por un poco mas podria comprar uno mas moderno con retroiluminacion en vez de bombillas, pero por lo demas es de gran calidad, cuando compras un reloj por menos de 35€ suele durar lo que la pila ya que se estropea la correa o simplemente al remplazar la pila no funciona. Super recomendado.</t>
  </si>
  <si>
    <t>Estilo retro muy bonito Esta tan bien que compre 3 en diferentes colores</t>
  </si>
  <si>
    <t>Auriculares Producto excepcional,  envio rapido y funciona muy bien.  Cien por cien recomendable</t>
  </si>
  <si>
    <t>Aromas intensos Es el primer  pack de aromas que compro y estoy contenta con el producto. Trae 6 botellitas de 10 ml. El que más me ha gustado es el de eucalipto, 3 horas en el humificador de 300ml va genial y huele bastante, gran intensidad.</t>
  </si>
  <si>
    <t>Perfecta! Es tal cual viene descrita , es muy bonita y buena calidad relación precio , lo aconsejo !!</t>
  </si>
  <si>
    <t>Buena calidad Muy bonita buena calidad</t>
  </si>
  <si>
    <t>Buena textura y transpiracion Viene en una caja bastante "mona", son muy cómodos y se adaptan muy bien (uso un 43) los uso también en el gym y no los noto sudorosos. recomendados 100%</t>
  </si>
  <si>
    <t>Lo util Hermosas</t>
  </si>
  <si>
    <t>Buena calidad Es totalmente estanco y no he tenido ningún problema con él.A simple vista es original y no imitación a mi parecer</t>
  </si>
  <si>
    <t>Me quedan Preciosos mmmm me encantan Son preciosos y no pesan</t>
  </si>
  <si>
    <t>Perfecto Lovque esperaba</t>
  </si>
  <si>
    <t>Se ve materiales de calidad. Quería una riñonera para correr duradera. Y creo que he acertado. La parte trasera es transpirable muy importante. Tiene 2 cremalleras para llaves y móvil. Y para poner una botellita la verdad que se ve buenos materiales. El enganche es de calidad esperemos que dure.</t>
  </si>
  <si>
    <t>Comodidad Comida, flexible, bonita. Es muy combinable. Le he puesto plantilla de invierno para no pasar frio. Son más para la primavera</t>
  </si>
  <si>
    <t>Ana Limpia perfectamente todos los huecos de las cuchillas, incluso la parte de debajo, que es la más complicada. Una compra excelente</t>
  </si>
  <si>
    <t>Queda tal como en la foto. La calidad de la tela es lo único que no me gusta</t>
  </si>
  <si>
    <t>Buen producto para el precio Parece que estás escuchando música dentro del inodoro, pero bueno para lo que cuesta si no te importa la calidad del sonido y la acústica tan pobre por poco tienes unos auriculares bluetooth que se conectan rápido y fáciles de usar. La batería no es muy amplia pero supongo que tampoco se puede pedir nada.</t>
  </si>
  <si>
    <t>Lo peor la correa Reloj fuerte y resistente, lo peor es la correa, en concreto la "presilla", se me rompió enseguida.</t>
  </si>
  <si>
    <t>Mala calidad No se que le paso a las zapatillas pero al mes se an partido por la mitad y eso no es de buena calidad</t>
  </si>
  <si>
    <t>Talla pequeño Pedí medio número menos del que llevo y me caía del pie. No coincide ni los cm de tallaje</t>
  </si>
  <si>
    <t>Entretenido Bueno</t>
  </si>
  <si>
    <t>Talla Teniendo en cuenta las opiniones,  pedí un número más grande para mi madre, pero le quedan un poco flojas incluso con calcetín gordo. Seguramente, en su caso, las de su  número habrían estado mejor.</t>
  </si>
  <si>
    <t>Medidas correctas pero no los litros Las medidas del producto son las indicadas, pero no los 40 litros.  En el embalaje del producto indica los litros reales que no son ni mucho menos 40... aún así tiene un buen tamaño.  Lo ideal es fijarse en las medidas para poder ubicar donde vais a poner la caja. En cuanto al producto es una caja sencilla que cumple la función a nivel domestico. Logicamente si un ladrón os quiere robar no va a tener gran problema para abrir esta caja... pero si para evitar que cualquier persona en nuestra casa pueda acceder a su contenido sin usar ninguna fuerza bruta.</t>
  </si>
  <si>
    <t>No se puede manejar el volumen por los auriculares. La batería se podría mejorar. El otro tema más importante es que no puedes aumentar ni disminuir el volumen desde los auriculares, algo que yo pienso bastante necesario. Por ejemplo de esto que estas escuchando Spotify (no premium) y de repente te salta un anuncio típico a todo volumen desagradable y tienes que ir a sacar el móvil de la mochila o cogerlo donde lo tengas para tener que bajar el volumen...</t>
  </si>
  <si>
    <t>Ok Todo ok</t>
  </si>
  <si>
    <t>Pendientes Bien</t>
  </si>
  <si>
    <t>Recomendado Me ha gustado mucho. Es compatible con mi sacaleches  eléctrico de otra marca asi que esta super bien.</t>
  </si>
  <si>
    <t>Versatilidad de uso en smartphones y ordenadores, capacidad y el fabricante Es pendrive de 128GB que se puede utilizar tan sólo para el ordenador o como almacenamiento  y unid OTG, para smartphones o tablets con conexión type-C y USB 3.0 para intercambio con el ordenador.Muy buen producto y a buen precio en comparación con otros sitios donde venden éste mismo producto Sandisk.Versatilidad de uso y capacidad</t>
  </si>
  <si>
    <t>Bueno,bonito y asequible Es un regalo para mi abuelo. Le gustan los relojes tradicionales y este es perfecto. Ademas tiene la ventaja de que es sumergible. Simplemente estupendo, recominedo su compra.</t>
  </si>
  <si>
    <t>UNA PASADA! Me llegó súper rápido y muy bién empaquetado! És preciosa esta batidora , pequeña y súper cómoda de poner en la encimera! Bate genial tanto verduras como frutas ... De momento solo batí eso! Recomiendo muchísimo esta batidora y recomiendo muchísimo este vendedor! Gracias por todo vendedor!</t>
  </si>
  <si>
    <t>¡Cambia tu escoba manual por esta escoba eléctrica! &lt;div id="video-block-R1PSTA81TH4Q3Q"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id="14" preload="auto" src="https://images-eu.ssl-images-amazon.com/images/I/A1gmxWjZu4S.mp4" style="position: absolute; left: 0px; top: 0px; overflow: hidden; height: 1px; width: 1px;"&gt;&lt;/video&gt;&lt;/div&gt;&lt;div id="airy-slate-preload" style="background-color: rgb(0, 0, 0); background-image: url(&amp;quot;https://images-eu.ssl-images-amazon.com/images/I/81+lal720LS.png&amp;quot;);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value="https://images-eu.ssl-images-amazon.com/images/I/A1gmxWjZu4S.mp4" class="video-url"&gt;&lt;input type="hidden" name="" value="https://images-eu.ssl-images-amazon.com/images/I/81+lal720LS.png" class="video-slate-img-url"&gt;&amp;nbsp;¿No te gustan las aspiradoras porque hacen mucho ruido y/u ocupan mucho espacio, pero te parece una lata barrer? Esta escoba eléctrica Vileda viene en tu ayuda.  CARACTERÍSTICAS Y DIMENSIONES  Esta escoba eléctrica tiene un tamaño reducido (27 cm de ancho x 20 cm de largo x 6,5 cm de alto) y el mango, que mide 115 cm, tiene un asa muy cómoda, de goma, que permite manejarla con bastante facilidad. Comparada con una escoba manual, ocupan más o menos el mismo espacio.  Pesa alrededor de 1 kg, su batería de litio tiene una potencia de 10W, tarda en cargarse unas 3,5 h y tiene una autonomía de unos 30-35 m aproximadamente.  Es bastante silenciosa (su nivel de ruido es de 70dB) y su eficiencia energética A+++  EFICACIA  Aunque a priori no lo parezca, la realidad es que esta escoba eléctrica limpia la suciedad del suelo (migas, pelusas, confeti, etc.) de manera mucho más eficaz que una escoba manual.  La suciedad la recogen sus dos rodillos que al girar, echan la suciedad dentro del depósito de la escoba. Los rodillos son de goma y llevan, a su vez, unas laminillas de goma que arrastran la suciedad sin dañar el suelo.  Además, al contrario que cuando usamos una escoba manual, ésta no necesita recogedor porque ya lo lleva incorporado en la carcasa.  Lo único que debemos tener en cuenta es que su depósito no es demasiado grande (160 ml), por lo que debemos acordarnos de vaciarlo periódicamente (yo lo hago cada vez después de barrer) porque si no, cuando se llena corremos el riesgo de que parte de la suciedad se salga del depósito.  Los rodillos se desmontan fácilmente y se pueden lavar con agua (o con agua y jabón, depende de lo sucios que estén). El depósito también se puede lavar con agua (o agua y jabón) y el resto de la escoba se limpia con una bayeta de microfibras.  El único PERO que le encuentro es que las esquinas no las barre bien, a pesar de que lleva dos pequeñas gomas en su base que parecen estar ahí para limpar rincones. Al final, las esquinas hay que repasarlas a mano, con un pincel por ejemplo: retiras la suciedad con un pincel y luego la acabas de recoger con la escoba eléctrica.  VERSATILIDAD  El mango tiene una rótula flexible que permite girarlo prácticamente en todas direcciones. Y como la escoba sólo mide 6,5 cm de alto (al menos un centímetro o dos menos que muchos robots aspiradora), podemos limpiar ágilmente debajo de casi todos los muebles.  Sirve para todo tipo de suelos (parquet, baldosas, terrazo...) e incluso para alfombras de pelo muy corto. Pero sólo para barrer en seco.  &amp;gt;&amp;gt;&amp;gt; CONCLUSIÓN &amp;gt;&amp;gt;&amp;gt;  Esta escoba eléctrica nos permite barrer con rapidez y eficacia. Con sus aproximadamente 30 m de autonomía, da de sobras para barrer una casa no muy grande (70-80 m2) prácticamente dos días seguidos. Aunque no tiene la potencia de una aspiradora, funciona muy bien y sustituye perfectamente a las escobas manuales (con la salvedad indicada anteriormente sobre las esquinas).</t>
  </si>
  <si>
    <t>Reloj. Muy bueno calidad precio.</t>
  </si>
  <si>
    <t>no se caen lo más importante es que no se caen hagas lo que hagas, al llevar la forma que se quedan detras de la oreja, la calidad de sonido es bastante aceptable y en principio soportan sudor y lluvia ( esto último no he podido probarlo ), por este precio están muy bien</t>
  </si>
  <si>
    <t>Llego y lo devolvi sin problemas. No era mi clavija. No puedo valorarlo, puesto que me llego una clavija distinta. No se de quien fue el error. Si mio o de ellos. Ningun problema para la devolución. Bonito y practico  era. Pero no pude comprobar el funcionamiento</t>
  </si>
  <si>
    <t>Buena compra Geniales. Muy cómodos y ligeros.</t>
  </si>
  <si>
    <t>Buen diseño y potente. Buena potencia y regulable. Los accesorios están muy bien y son las típicas. La picadora está muy bien pensada y lo peor para picar es la carne para las hamburguesas y tiene un diseño que la hace girar y no se atora . Bastante bien pensado este diseño. Para los productos más líquidos no hay problema y los bate muy bien y fino.</t>
  </si>
  <si>
    <t>Buen detalle Ha sido un regalo para mi hija y le ha gustado mucho. La unica pega es que la cadena es muy débil, pero por el precio que tiene no se puede pedir más.</t>
  </si>
  <si>
    <t>Bastante bueno CALIDAD/PRECIO El producto aparentemente se ve de calidad, el tamaño no es muy grande, puestos tienen una apatencia normal, se escuchan bastante bien y fuerte, se conectan facilmente al Bluetooth del móvil (lo he probado con samsung s7 y perfecto). Trae distintos tamaños de almohadilla para los oidos. En un casco trae un par de botones, uno de volumen y otro para encenderlos, es un poco complicado apretar cuando se tienen puestos. La carga se hace con un cable usb que viene en el producto, es típica conexión de stmarphone, la carga es rápida. Dos 'peros', una, es que la tapadera por donde se carga parece un poco frágil, no se sin con algunas cargas se terminará partiendo y dos, en el cable no trae nada para recoger un poco el cable sobrante y ajustarlo a la nuca ( yo le he hecho un nudo para fijármelo bien). En general para el precio que tienen es una buena compra.</t>
  </si>
  <si>
    <t>Muy bueno Muy elegante</t>
  </si>
  <si>
    <t>Sujeción buena. Sujeción buena.</t>
  </si>
  <si>
    <t>Buen artículo Es el segundo que me compro exactamente igual. Está bien para llevar la cartera, gafas, llaves y alguna cosilla más. El acabado es bueno. Tiene una correa para llevarlo en bandolera. Para mí es el tamaño justo. Interiormente tiene unos bolsillos para colocar cosas más una cremallera.</t>
  </si>
  <si>
    <t>Buena compra Con buen sonido, una buena relaccion calidad precio y con diferentes almohadillas para los oidos y  con bolsita para guardarlos.</t>
  </si>
  <si>
    <t>Es muy buen hervidor! Muy contento con la compra, calienta muy deprisa el agua y las luces led le dan un toque mucho chulo! Cumple todas las especificaciones y diseño es muy bonito, lo uso mucho para tomar te o calentar agua para los yatecomo! La parte de abajo tiene un conector que no esta cubierto, es la unica cosa mala a destacar, por lo demas es un producto muy completo</t>
  </si>
  <si>
    <t>Buen pen Todo perfecto</t>
  </si>
  <si>
    <t>Muy buena calidad/precio pero he tenido problemas Muy buena calidad de sonido se oyen muy fuerte a tope de volumen. A partir de la segunda semana me empezó a dar problemas el auricular izquierdo, dependiendo de cuanto lo muevas se queda sin sonido o se oye mas bajo que el derecho. Doy por echo que serán unos que me han tocado defectuosos, voy a pedir que me los reemplacen por otros nuevos y si persisten los problemas pediré la devolución del dinero y una mala reseña.</t>
  </si>
  <si>
    <t>Aceptable El álbum está bien, lo único que yo veo es que la cartulina de dentro es muy fina para mi gusto y al pegar La foto quedaría mejor si fuera más grueso el papel pero por lo demás está bastante bien para el precio que tiene</t>
  </si>
  <si>
    <t>Merece la pena Son unas zapatillas chulísimas aunque vienen un poco pequeñas.</t>
  </si>
  <si>
    <t>No m gusta Lo compré para limpiar las ventanas correderas del piso y no entra dentro de todas las ranuras. Y en las q entra no limpia bien</t>
  </si>
  <si>
    <t>SON FALSASS Son  falsas además de mala calidad</t>
  </si>
  <si>
    <t>Buen material. Pedir 1 o 2 tallas más de la qué sueles usar. Camiseta térmica de buen material. Da poca talla. Me pedí una L y me va justa, pero bien. (1:70, 75Kg) Aconsejo pedir 1 o incluso 2 tallas más. Una cosa que no me gustó fue que tiene un cuello muy grande. Demasiado para mi gusto. Por lo demás. Todo ok.</t>
  </si>
  <si>
    <t>Grandes Los que pedí (talla 38) fueron algo grandes para mí, así que si los volviera a pedir, escogería una talla menos. Solucionado gracias a la tira que se pasa por el tobillo.</t>
  </si>
  <si>
    <t>Satisfecho Queda bastante bien. Quizás una talla menos. Pero no está mal</t>
  </si>
  <si>
    <t>En fin Sabor</t>
  </si>
  <si>
    <t>Bonito Es muy parecido a lo que se ve. Igual brilla un poco más de lo que parece. Pero está muy chulo</t>
  </si>
  <si>
    <t>Encantada! Miré los comentarios , para saber si hacía viena compra y la verdad acerté. El precio ,calidad de sonido ,  comodidad y se conecta fácilmente.  Lo recomiendo</t>
  </si>
  <si>
    <t>Flexible Buena regla. Muy flexible, que siempre viene bien. Volvería a comprarla.</t>
  </si>
  <si>
    <t>Muy cómodos Son muy cómodos. La talle perfecta</t>
  </si>
  <si>
    <t>Perfectas y funcionales Buenas zapatillas y más cómodas de lo que pensaba,al igual que muchos comentarios que he leido es aconsejable pedir una talla mas. Dependiendo de la marca,yo suelo calzar o 43 o 44;Para correr,por ejemplo,uso unas New Balance 1080 Fresh Foam y son un 43,y como no me fiaba del todo por si estas me venían muy justas pedí un 44 y quedan genial</t>
  </si>
  <si>
    <t>perfecto simplemente,perfecto. este plumero si que atrapa el polvo. no es de pelo,sino estilo gamuza.</t>
  </si>
  <si>
    <t>MUY BIEN &lt;div id="video-block-R1E0Y9MP1HQOYO"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src="https://images-eu.ssl-images-amazon.com/images/I/818mPEbqrBS.mp4" style="position: absolute; left: 0px; top: 0px; overflow: hidden; height: 1px; width: 1px;"&gt;&lt;/video&gt;&lt;/div&gt;&lt;div id="airy-slate-preload" style="background-color: rgb(0, 0, 0); background-image: url(&amp;quot;https://images-eu.ssl-images-amazon.com/images/I/91ms7eLo0aS.png&amp;quot;);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center;"&gt;0:07&lt;/div&gt;&lt;div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11.1869%;"&gt;&lt;/div&gt;&lt;div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value="https://images-eu.ssl-images-amazon.com/images/I/818mPEbqrBS.mp4" class="video-url"&gt;&lt;input type="hidden" name="" value="https://images-eu.ssl-images-amazon.com/images/I/91ms7eLo0aS.png" class="video-slate-img-url"&gt;&amp;nbsp;MUY PRÁCTICA ,CON BUENA CALIDAD, MUY FACIL DE USAR. TIENE 5 CABEZAS INTERCAMBIALES,Y VARIAS VELOCIDADES ,QUITA LAS CONTRACTURAS DE CUALQUIER ZONA, AYUDA A MEJORAR LA CIRCULACION SANGUÍNEA,ALIVIA LA TENSIÓN Y PRESIÓN DEL MÚSCULO ME GUSTA MUCHO</t>
  </si>
  <si>
    <t>Perfecto Sencillo, elegante y muy suave</t>
  </si>
  <si>
    <t>Muy buenos Muy buenas carpetas para guardar todos los documentos que se necesiten sin dañarlos. Son duros y de buena calidad. Sus colores le dan alegría a los documentos y ayudan a diferenciar las carpetas. Muy útiles.</t>
  </si>
  <si>
    <t>Comodidad y calidad. Muy buena calidad,presentación genial,con bolsa de viaje incluida.supercomodas,Eso si pedir un número más del propio,porque tiene una horma estrecha.</t>
  </si>
  <si>
    <t>Muy buena calidad-precio Lo compré para mi hija y está muy contenta,llegó antes de la fecha indicada.</t>
  </si>
  <si>
    <t>Zapatillas para hombre Hola.buenos dias.me gusta todo de momento😂.muchas gracias para todo</t>
  </si>
  <si>
    <t>NO SE CAE Estoy encantada, he tenido otros y no me encajaban bien en la oreja y se me caían constantemente, pero este se acopla a la perfección, y no se cae!!!! Sonido, genial y la batería de momento lo he usado una media de 3 horas diarias desde hace 3 días y no he tenido que ponerle a cargar, así que lo recomiendo 100%si lo vas a usar para llamadas continuas</t>
  </si>
  <si>
    <t>Gran calidad Gran calidad, los utilizo para el Padel y de verdad son muy cómodos y resistentes con respecto a otras marcas que he probado, transpiración perfecta, grosor perfecto, y muy muy cómodos</t>
  </si>
  <si>
    <t>Muy contento De primeras comentar que me han regalado un cable Sata con la compra de este SSD, cosa que otras marcas de prestigio no se dignan a hacer y que le da más puntos a KingDian y para continuar se le ve un disco duro bastante rígido y de calidad, lo he probado y de velocidad va bastante bastante bien. Había escuchado cosas positivas y negativas de este disco duro pero de momento ganan las positivas. (no hay negativas)</t>
  </si>
  <si>
    <t>PERFECTO Comoda , buenos acabados, tamaño perfecto para llevar el bocadillo y bebida al trabajo con espacio suficiente para llevar movil, tabaco, cargador y demas</t>
  </si>
  <si>
    <t>Que son originales!! Me ha gustado todo, son perfectas, exactamente como en la foto. Me ha llegado a tirmpo. Gracias!!!</t>
  </si>
  <si>
    <t>Muy cómodas Perfectas</t>
  </si>
  <si>
    <t>Super Glue-3 Lo necesitaba para pegar la suela de unas zapatillas y perfecto. Me he decidido por este formato ya que pasado un tiempo siempre que echo mano del super glue este se seca. Al tenerlo en mono dosis me es más práctico.</t>
  </si>
  <si>
    <t>Talla equivocada Demasiado grande para mi de 1'65cm y 66k, me fie de la talla de las camisetas de la misma marca y patine, culpa mía. La calidad propia de la marca, fina aunque caliente y cómoda. He vuelto a pedir las mismas pero en talla "M"</t>
  </si>
  <si>
    <t>BASE DE CORTE Muy util, en algunas telas te viene muy bien para cuadrarlas....</t>
  </si>
  <si>
    <t>Biberon malo sale la leche Se sale la leche... da igual como los xiwrres son malisimos</t>
  </si>
  <si>
    <t>Pegatinas pára tirar Malisimos</t>
  </si>
  <si>
    <t>Marie Sorprendida de lo bonito que es. Tienen un acabado perfecto y parecen bueno. Brilla mucho y tienen el tamaño ideal para ser elegante y sorprendida del cambio de colores  tan chulos Muy buena compra.</t>
  </si>
  <si>
    <t>Da firmeza y forma a tus gluteos Es un short para mujer relativamente cómodo con una tecnología de electro-estimulación muscular (EMS) para actuar sobre los músculos de los glúteos y ejercitarlos.  La tela es de calidad y tiene un bonito diseño. Tiene un pequeño bolsillo en la parte superior derecha.  El mando a control puede conectar al cargador de corriente y una vez completamente cargado, se conecta al short.  Es un mando ergonómico y sencillo de utilizar. Tiene 4 programas de tonificacion y 99 niveles de intensidad.  Al ser un mando recargable no neceista de pilas, se recarga con el cargador de corriente incluido.  Es de talla única, que va de 34 a 40. Esto equivale a una cintura 61-81cm y una cadera: 81-97cm. Se ajusta bien a las tallas marcadas.  El contenido del paquete es: - Short de tonificación Bottom S7. - Cargador de corriente con toma europea y toma UK. - Un pack de 4 electrodos adhesivos. - Manuales de usuario y recomendaciones en varios idiomas incluido el español.  Los electrodos deben cambiarse cada cierto tiempo, los que emplea este short son&amp;nbsp;&lt;a data-hook="product-link-linked" class="a-link-normal" href="/Slendertone-Bottom-Electrodos-de-repuesto-para-Mini-Bottom-Toning-System-4-unidades/dp/B0015E7L16/ref=cm_cr_getr_d_rvw_txt?ie=UTF8"&gt;Slendertone Bottom - Electrodos de repuesto para Mini Bottom Toning System, 4 unidades&lt;/a&gt;.  Cuando los llevas puesto te puedes sentar y no es incómodo.  Un buen método para tonificar tus gluteos sin mucho esfuerzo. El vendedor promete resultados en un mes. Tiene buena pinta. Lo que es cierto seguro es que fomenta que esta reafirmación y moldeado de los gluteos se produzca.</t>
  </si>
  <si>
    <t>Muy bueno en ficheros grandes, falla en los pequeños. La primera imagen es del Arcanite, y la segunda de un disco SSD, ambos en el mismo puerto. En escribir 64 Gb de ficheros pequeños y grandes tardó 16' 25''; en leerlos, unos 20 minutos.</t>
  </si>
  <si>
    <t>Están bien y son lugeras El artículo es el más ligero que encontré, cumplen su función de bota de seguridad librando el pie de golpes, pero no son todo lo cómodas que desearía. No quita para que sea cómoda dentro de las botas de trabajo. Talla grande. Suelo usar un 44 en Adidas y en estas son un 43.</t>
  </si>
  <si>
    <t>Relajante La verdad que estoy sorprendido con el resultado de este masajeador, nada mas sacarlo de la caja me dio la impresión que habia comprado una alfombrilla, que no iba a hacer nada. Pero al probarlo me di cuenta de la calidad del producto. Da como unas pequeñas descargas, las cuales puedes controlar tanto el modo como la intensidad, es una sensacion "extraña" pero realmente consigue que los musculos de los pies y el gemelo se contraigan y relajen con las descargas.</t>
  </si>
  <si>
    <t>Está bien Es lo que se ve</t>
  </si>
  <si>
    <t>Quedan maravillosamente bien No me los he quitado, super comodos</t>
  </si>
  <si>
    <t>Me a encantado Es super buena de tapa dura y me. Ha encantado</t>
  </si>
  <si>
    <t>Muy buena compra Con estos cepillos llegas a cualquier rincón y todo queda muy limpio. Son fuertes y resistentes. Para cocina y baño son estupendos</t>
  </si>
  <si>
    <t>Todo Muy bien</t>
  </si>
  <si>
    <t>Muy original Fenomenal y muy contento</t>
  </si>
  <si>
    <t>Very good Me usó siempre,mi niño le gusta mucho este. Pero después de seis meses tengo que cambiar de la plástica. Para él se coge el biberón</t>
  </si>
  <si>
    <t>Muy buena Muy buena</t>
  </si>
  <si>
    <t>A mi me viene perfecto. En mi trabajo doy muchas formaciones y reuniones con presentaciones, y la verdad es que con esto es mucho mas cómodo y le da un toque muy profesional. Muy contenta con mi compra. Yo no entiendo mucho, supongo que habrá mil tipos diferentes, e incluso con mas opciones, pero yo con conectarlo y poder señalar a la pantalla tengo que me sobra.</t>
  </si>
  <si>
    <t>Monísima Es tal y como se ve en la foto. Preciosa. Fue un regalo, y le encantó.</t>
  </si>
  <si>
    <t>Que son de cristal He comprado el kit de los 3 bibi y el chupete, y si son de cristal y es lo que más me gusta</t>
  </si>
  <si>
    <t>Recomendable Buena calidad, buen tamaño. Útil y funcional.</t>
  </si>
  <si>
    <t>Buena compra Según lo descrito</t>
  </si>
  <si>
    <t>Calidad aceptable a buen precio. Buena calidad a buen.precio. No es un cable de alta gama, pero hace bien su función. Flexible. Fácil de pelar.</t>
  </si>
  <si>
    <t>Fácil de conectar y de utilizar. Estupemdo, resulta super fácil de enlazar con el ordenador. Lo he usado para pasar diapositivas de PowerPoint y también en PDF y Word. Resulta más cómodo con el primero pero con los demás también va bien. Tiene puntero láser y subir y bajar volumen. Muy práctico. Incluye pila.</t>
  </si>
  <si>
    <t>Bonitos y llegaron rapido Me han encantado, son muy cómodos y te puedes mover con total comodidad,quedan bonitos y tienen como una goma en el bajo de la pierna que le da sujecion. La única pega es que la tela no sé si es muy resistente porque en la zona de la entrepierna se ve algo desgastado por el roce y no lo he usado más que tres o cuatro veces</t>
  </si>
  <si>
    <t>muito bom funciona 5 estrelas</t>
  </si>
  <si>
    <t>Perfecta La bolsa va bien, tiene una buena boca de llenado y un buen cierre, aguanta bastante el calor y hasta el momento no ha presentado ningún problema.</t>
  </si>
  <si>
    <t>El pie se congela, es literal Se te hiela el pie. No se os ocurra comprarlo para ahora, invierno.</t>
  </si>
  <si>
    <t>TAL COMO LO ESPERABA Reloj práctico y bonito para uso diario. Sólo llevo un mes con él y no tengo quejas con su funcionamiento.</t>
  </si>
  <si>
    <t>precio y belleza sin duda un buen regalo, gusto mucho</t>
  </si>
  <si>
    <t>No se puede recuperar. Al cabo de un año ha dejado de funcionar.</t>
  </si>
  <si>
    <t>Un timo Un timo. Lo de los cólicos del bebé es todo un negocio. No funciona. Ni esto ni nada. El paso del tiempo hace que madure el sistema inmaduro del niño. Y nada más ayuda.</t>
  </si>
  <si>
    <t>Rapido. Talla correcta Llego muy rapido. Respecto a la talla es correcta; uso la M y la M pedi. Es un tejido que marca un poco, pero es muy suave y elastico,</t>
  </si>
  <si>
    <t>guay y barata Es fresquita y,de algodón muy guay ,lo unico q destiñe un poco en la lavadora al ser en blanco y negro ,tardo un mes en venir y la talla es recomendable q cojas una mas x si acasoo yo pille la Xl y tengo la 42</t>
  </si>
  <si>
    <t>Muy contenta, el 3490 es una pasada Encantada con la compra, llevo 3 días con el 3490 y no sé cómo he podido vivir sin el hasta ahora. Tengo 2 gatos que sueltan mucho pelo y 3 alfombras de pelo largo y con el cepillo que es todo de silicona se lleva todos los pelos sin enredos, una pasada. También muy contenta con la opción de fregado, pero recomiendo primero hacer un plan de aspirar, y cuando acaba, hacer después el plan de fregado. Se puede seleccionar hacer ambas cosas a la vez, lo cual reduce el tiempo de limpieza, pero el resultado es mucho mejor si los haces por separado.  El único punto complicado fue conectar el robot con la app/wifi. Si esto viniera mejor explicado y/o hubiera sido más sencillo le habría puesto las 5 estrellas. Después de mirar en varios foros y 2 horas después lo conseguí. Espero que os sirva esta guía: 1) El robot ha de estar conectado a la base de carga para poder conectarse con tu wifi 2) Tienes que cambiar configuración de tu router/wifi para que sea compatible con el robot. En mi caso, que es Vodafone, los pasos son los siguientes: 2.1) Abre un navegador y escribe la dirección IP del router (Si no la has cambiado será&amp;nbsp;http://192.168.0.1). 2.2) Introduce el nombre de usuario y la contraseña de acceso al router y pulsa el botón&amp;nbsp;"Aceptar". Si no lo has cambiado: - El&amp;nbsp;usuario&amp;nbsp;es&amp;nbsp;vodafone. - La&amp;nbsp;contraseña se indica&amp;nbsp;en la etiqueta posterior del router. 2.3) Una vez accedas a la página de configuración, ve a la pestaña de WiFi: - en la sección de 2.4ghz, si tienes la contraseña original del router, cambiala por una más corta (si es larga no se puede vincular con el robot). - en la sección de 5G,  deshabilita está opción (deja activada solo la de 2.4ghz, porque sino el robot se lía y tampoco se vincula) 3) En tu móvil/tablet: - Desconecta la wifi actual (pulsa olvidar) y seleccione la wifi 2.4ghz (metiendo la contraseña nueva) - Activa la ubicación - Activa el bluetooth 4) Ahora si, sigue los pasos que te vienen en las instrucciones: - Descargar/Instalar la app - Regístrate en la app con un correo+contraseña - Permite que la app use la ubicación cuando te pregunté - Pulsa añadir robot - Pulsar 3 segundos los dos botones (on y casa) al tiempo hasta que parpadee - Seleccionar la wifi 2.4 GHz - El proceso de vinculación lo hace automáticamente - Si has hecho previamente los pasos 1 a 3, el proceso de vinculación no debería darte ningún problema - Si no ves la Wifi que se llama CongaLaser_xxxxx, revisa los pasos 1 a 3 por si te has saltado alguno</t>
  </si>
  <si>
    <t>Producto bueno a precio imbatible El producto es estupendo pero el tiempo de espera para recibirlo ha sido muy largo.</t>
  </si>
  <si>
    <t>Verónica Suenan muy bien, lo que no podía decir con seguridad es que sean originales porque vienen sin caja de fabrica. De todas formas, por el precio no se puede pedir mas. Calidad precio, los volvería a comprar.</t>
  </si>
  <si>
    <t>casio La misma precisión,manejabilidad y robusted que su primo el fw91 pero la correa de acero le da un toque más formal y elegante,un acierto total</t>
  </si>
  <si>
    <t>Todo OK...  517 MB/sg  / 499 MB/sg Son muy nuevos en el mercado. Nuevas tecnologías de almacenamiento. Pronto para opinar. Pero hasta hoy, va muy bien. La utilidad que ofrece la pagina web "OCZ SD Utility" es perfecta para supervisar, y actualizar firmware. El tiempo dirá si es fiable , o no.</t>
  </si>
  <si>
    <t>De lujo A mi hija le encanta y es muy bien material</t>
  </si>
  <si>
    <t>Magnífico reloj a precio imbatible Buen diseño, elegante y bien acabado.Es simple, doble hora, cronómetro, alarma y Contador de segundos led. Tamaño ligeramente grande pero no exagerado, queda bien en la muñeca. Mucha gente me ha dicho que es un reloj muy bonito.</t>
  </si>
  <si>
    <t>No será el último El reloj es una pasada, queda superbien y no te tienes que gastar una pasta loca. Por cierto, ya compré el azul, el verde y el amarillo y son a cual más bonito</t>
  </si>
  <si>
    <t>Me encantan Los compré para regalarselos a mi pareja,y e decir que esta contentísimo con ellos, son muy buenos y de sonido se escuchan muy claro y fuerte perfecto .</t>
  </si>
  <si>
    <t>Durabilidad Muy dura, por mala suerte se cayó al agua salada un tiempo y después funcionó a la perfección</t>
  </si>
  <si>
    <t>Buena calidad y bonita Llevo ya un tiempo con esta mochila y la verdad que muy bien tiene buenos materiales y es bastante bonita, lleva múltiples bolsillos para guardar todo de forma organizada.</t>
  </si>
  <si>
    <t>Buen bolso y buena calidad La calidad es perfecta y el bolso es muy grande por lo que le ha gustado para quien se había comprado</t>
  </si>
  <si>
    <t>Muy buen producto!!!!! Me ha gustado mucho , tiene 3 niveles de potencia y solo lo tengo que poner en el segundo porque el primero no hace mucho y el tercero la verdad que no hace falta, llego antes de lo esperado y estoy muy contento . Aconsejable 100%</t>
  </si>
  <si>
    <t>Muy buen producto Muy buen producto</t>
  </si>
  <si>
    <t>De las mejores Tiene una fuerza de pegado muy buena. La usé para pegar unos estores enrolla les (aluminio y textil) y han funcionado perfectamente.</t>
  </si>
  <si>
    <t>Disfruto su efectividad Hace 2 días que tengo mi DEEBOT OZMO 93O, mi robot de Ecovacs y me encanta. Super satisfecha con la limpieza y, el manejo a través de la App me permite organizar la limpieza de la casa sin sufrimientos.  Ya no tengo que pensar si habrá pasado por todos los rincones,  porque la aplicación me indica que sí, y lo veo cuando llego  a casa. En la App logré que me hable en castellano.  Es genial. Por lo demás,  feliz con mi robot. No me alcanzan las palabras para describir lo feliz que estoy con Deebot. Hasta me ha pedido que no me pare a su lado porque está realizando el mapa! La he puesto a fregar con toda la cantidad de agua para fregado, al máximo y es súper eficiente.  Aspira primero y friega detrás, en un tiempo mínimo y ahorra tanta agua! Me fascina! El aspirador es increíble.  No creí que en los pisos se acumulará tanta pelusa y tierrilla. Deebot avisa si no tiene suficiente batería,  si está alguno de sus componentes mal colocado o si le falta,  como el recipiente donde acumula el polvo. Todos sus componentes son muy fáciles para limpiar y volver a colocar. El manejo de la App es muy fácil.  Le he seleccionado ciertas áreas para que pase y es exacta. Incluso puedo pedirle que limpie cuando estoy fuera de casa, o le doy al inicio cuando camino hacia el mercadillo. Sólo le falta que aprenda a subir las escaleras...</t>
  </si>
  <si>
    <t>Muy cómodas Modelo clásico de Adidas , me quede el 38 que es el que uso en zapatos pero  un 37,5 seria mejor de todas formas me las quede y estoy encantada con ellas , Ande muchísimo este verano y ni un solo día me dolieron los pies . muy muy cómodas</t>
  </si>
  <si>
    <t>Biberon perfect Se ajusta perfects ente Para El bebe muy agusto con su tacto</t>
  </si>
  <si>
    <t>Muy bien El cable ha llegado en perfectas condiciones, y en el tiempo establecido. Se aprecia buena calidad del material, tanto en el hilo conductor como en el plástico transparente que lo recubre. Yo lo he usado para los altavoces de un home cinema, y he apreciado la mejora respecto al anterior cable que tenía instalado.</t>
  </si>
  <si>
    <t>Contentísimo con los auriculares Espectacular auriculares!! No puedo estar más contento. Las funciones no tienen nada que envidiar a los originales de Apple, la presentacion esta a la altura del producto. Recomiendo al 100%</t>
  </si>
  <si>
    <t>Genial Comodisimas y muy practicas a la vez que elegantes,eso sí de talla son un poco pequeñas</t>
  </si>
  <si>
    <t>PERFECTOS Tanto la calidad como el modelo perfectos,mi mujer no se haya de contenta..el numero justo el indicado.por supuesto se aconseja su compra</t>
  </si>
  <si>
    <t>Mala relación calidad precio El mallado no es algo cutrecillo. Metía mucho ruido, tocar un conector era toda una sinfonía. Porque vivo en una zona algo aislada, seguro que en ciudad pilla la radio. Por este precio hay otras opciones mucho mejores</t>
  </si>
  <si>
    <t>Lupa con luz Están bien, bastante bien, yo las compre para hacer las moscas para pescar, con mis gafas me quedaba corto, ademas necesitaba  luz orientada y mayor aumento para hacer buenos nudos. Las recomiendo, me gustan, son cómodas, después de un largo uso no dejan marcas, pero personalmente te duelen un poco los ojos, viene una caja con lentes de varios aumentos</t>
  </si>
  <si>
    <t>Largo Demasiado largo para lo q buscaba, no mire bien las opciones de largura, lo devolví</t>
  </si>
  <si>
    <t>Para ortopedia? Dios que fealdad, parecen de ortopedia, no he visto unas zapatillas más feas que estás, alucino el ver que hay gente que les gusta, solo por ser Nike, lo dicho horribles para parecer que tienes problemas de pies, qué cosa mar fea</t>
  </si>
  <si>
    <t>Pésimo sonido El precio obviamente va parejo a la calidad. El sonido es pésimo muy grave</t>
  </si>
  <si>
    <t>Defectuosa o falsa Me gustó el precio, pero ahora entiendo porqué era barata. Yo tengo un teléfono ZTE Nubia Z11 max, que admite tarjetas mSD de hasta 256GB, y yo tenía instalada una Kingston de 64GB, sin problema alguno, pero yo quería aumentar la capacidad, y elegi esta SanDisk de 128GB.  Cuál es mi sorpresa, cuando voy a ver las fotos obtenidas con la cámara de este teléfono, y no se pueden ver, ni se puede acceder a ellas mediante USB conectado a un PC, ni siquiera extrayendo la tarjeta y leyéndola con adaptadores. Cuando estaba la tarjeta en el teléfono, vi que los archivos de las fotos sí estaban grabados en la tarjeta, aunque no se pudiesen ver las imágenes que contenían, pero luego, sacando la tarjeta e ir a ver los mismos archivos en el PC, ya no había ni archivos, ni imágenes, ni nada. Después, viendo que tenía problemas con la tarjeta, y viendo que había perdido las fotos, instalé una aplicación que se llama SD Card Test Pro (de pago) y al examinar la tarjeta me dice que puede ser falsa, y que esto ocurre mucho con SanDisk, por ser muy imitada ilegalmente.</t>
  </si>
  <si>
    <t>va bien pero ruidosa va muy bien...... en poco rato queda todo muy batido......pero hace demasiado ruido</t>
  </si>
  <si>
    <t>Buen pegamento de una marca reconocida Bien, pega bien, pero pequeño y un poco caro Cuidado con los dedos que se te pueden quedar pegados en un momento</t>
  </si>
  <si>
    <t>Buen calzado para el monte ... Aunque me quedan algo grandes (pero eso es culpa mia), son muy comodos  flexibles, incluso me han recordado ligeramente a los 'pies de gato' por la flexibilidad de las suelas. Son elegantes  y ligeros y con un buen precio. Chapó</t>
  </si>
  <si>
    <t>Buenas para el campo La verdad es que son de una robustez y comodidad estupendas, para salidas por el campo y la montaña son un buen producto.</t>
  </si>
  <si>
    <t>Muy cómodo Genial de talla. Uso una 40-42 y la M me queda muy bien. Buen género y tiene pelito por dentro. Me encanta. Comdisimo.</t>
  </si>
  <si>
    <t>Excelente Perfecto, tal y como se ve en la foto</t>
  </si>
  <si>
    <t>Buena calidad La calidad de la camiseta bien, talla perfecto, de hecho compré otra en distinto color.</t>
  </si>
  <si>
    <t>Muy Comodos Muy comodos, yo me pedi una talla mas de la que uso.</t>
  </si>
  <si>
    <t>Todo muy correcto Todo muy correcto</t>
  </si>
  <si>
    <t>Fantàstico! Hacia mucho tiempo que buscaba este zapato ya que anteriormente había consumido dos pares de las mismas características que ya no había forma de encontrar en las zapaterias de Barcelona y gracias a una vecina alemana, que las llevaba puestas, me informó que las había visto en Amazon. Estoy super contenta. Voy a comprar otras para mi marido para regalarselas para su Santo.</t>
  </si>
  <si>
    <t>CALIDAD Sandalias para andar, cómodas y de gran calidad.</t>
  </si>
  <si>
    <t>Bien Buenos biberones</t>
  </si>
  <si>
    <t>Todo perfecto El Microfono funciona muy bien, me gusta, lo he conectado a mi portátil y por el precio la calidad de voz es buena.</t>
  </si>
  <si>
    <t>Disco Nuevo Disco nuevo de Seagate auténtico. Tamaño de 3,5" Para ampliar un Pc o sustituir tu disco viejo, es perfecto Recomendado</t>
  </si>
  <si>
    <t>Excelente producto, profesional Llegada a tiempo, buena calidad y precio</t>
  </si>
  <si>
    <t>Son preciosas Han llegado según lo esperado</t>
  </si>
  <si>
    <t>Perfecto, sin pegas Los 2,5, son los mm2, de sección, no se refiere al diámetro. Incluso si tus altavoces no son muy grandes, se hace incluso gordo. Si sabes lo que compras, es muy buena opción</t>
  </si>
  <si>
    <t>COLORES MUY LINDOS BUEN DISEÑO, BUENA CALIDAD Y COLORES MUY LINDOS</t>
  </si>
  <si>
    <t>La rapideza de entrega Me a encantado</t>
  </si>
  <si>
    <t>Como la foto Muy lindo como la foto es plata</t>
  </si>
  <si>
    <t>Todo Me ha gustado todo. Proporciona a la estancia donde lo pones un ambiente relajado y un aroma estupendo. Es muy sencillo de manejar. Y su calidad precio es perfecta.</t>
  </si>
  <si>
    <t>Muy bueno Una bolsa que se va encogiendo y no permite que el bebe trague aire. Y con tetina inclinada. Muy bueno</t>
  </si>
  <si>
    <t>Muy cómodas y de calidad Buena Calidad, las más cómodas que he tenido hasta ahora con diferencia y fabricadas en España. Las volvería a comprar</t>
  </si>
  <si>
    <t>Vale unos céntimos,eso recibes Para el precio que tiene más no se puede pedir.Mis gatos a veces lo usan de juguete,no se lo pone nadie</t>
  </si>
  <si>
    <t>Caro para lo que es Es bastante comodo, sencillo y rapido para copiar las fotos del ipone. Muy sencillo e intuitivo el software que lleva preinstalado para hacer backups de fotos. La pega que le pondria es que se le ve muy mala calidad el material. En la foto el pendrive parece metalico y mucho mas robusto de lo que es en realidad.  Es todo de plastico y da la sensacion de poca durabilidad.</t>
  </si>
  <si>
    <t>Un pie pequeño Un pie es más pequeño que otro. Las compre porque en tiendas estaban agotadas y me enamoro. Siempre he usado la marca pero nunca me ha pasado de que un pie fuese más pequeño</t>
  </si>
  <si>
    <t>Taras Dos pares veces compradas y las dos con taras.</t>
  </si>
  <si>
    <t>Han durado menos de 3 meses Son cómodas, pero han durado menos de tres meses, se han roto por la parte de arriba, a pesar de que sólo se han usado para caminar y no para hacer deporte.</t>
  </si>
  <si>
    <t>Reloj básico, Buena relación calidad - precio. No tiene alarma ni luz. Buen reloj para "batallar" a diario. El segundero suena "tic-tac" como los relojes antiguos.</t>
  </si>
  <si>
    <t>Cumple su cometido. Cumple perfectamente su cometido. Relaja las zonas donde se aplica el masaje, que puede ser frío o con calor, ya que tiene las dos opciones.</t>
  </si>
  <si>
    <t>Lo uso todas las mañanas Cuando lo compré, pensé que lo usaría un tiempo y luego lo guardaría, pero ha resultado un año después que lo uso todos los días para prepararme el desayuno. Sólo le quito una estrella porque la tapa que trae no me permite llevarlo en el bolso sin que gotee</t>
  </si>
  <si>
    <t>Lo buena que ed Batir frutas y verduras</t>
  </si>
  <si>
    <t>Buenos biberones, los hemos usado con bebes de 2,2kg sin ningun problema. Buen producto.  Son de buena calidad. Por decir algo, sólo tienen velocidad 1.Son más anchos que los Philips avent. Después de unos 100 lavados con fairy siguen igual.</t>
  </si>
  <si>
    <t>Calidad y comodidad Queda super bien, no aplasta el pecho pero sujeta bastante, ademas realza el.pecho y es super comodo, seguro q repetire la compra. Por poner alguna pega da un poco de calor y al sudar es un pelin complicado de sacar, pero algo muy normal en los sujetadores olimpicos.</t>
  </si>
  <si>
    <t>Jorge f El producto ha cumplido los requisitos que yo pedía era tal y como se ce entonces el anuncio, todo perfecto.</t>
  </si>
  <si>
    <t>Es lo que esperaba Realiza correctamente su función</t>
  </si>
  <si>
    <t>Perfecto Funciona muy bien. Tal y como indica la descripción. La batería se mantiene cargada con el simple uso diario, basta que le de un poco el sol. Cuando no detecta claridad se apaga la pantalla para ahorrar bateria. Tiene cronómetro, alarma, timer de 2 intervalos y hasta 10 repeticiones.</t>
  </si>
  <si>
    <t>Que son muy cómodos y ponibles para todo Me han encantado!! Son más bonitos en verdad que en la imagen</t>
  </si>
  <si>
    <t>Perfecto! Perfecto, me encantó, muy buena calidad y lo compre a buen precio.</t>
  </si>
  <si>
    <t>Perfectos Estos auriculares funcionan a la perfección, puedes dejar el móvil en la mesa y moverte por la casa y la música se escucha a la perfección , la instalación es facilísima no me costó más que un minuto y enseguida empecé a disfrutar de ellos, la verdad por el precio que tienen funcionan muy bien o valen para hacer un regalo.</t>
  </si>
  <si>
    <t>GD-350-1BER  lo recomiendo Un reloj muy cómodo y legible, por el tamaño de los dígitos, pese a tener el dial negativo. Tiene las funciones principales que necesito, especialmente interesante la alarma por vibración. En resumen, estética muy lograda y buena relación calidad-precio. Amazon muy recomendable, por la rapidez y seriedad en el envío</t>
  </si>
  <si>
    <t>Hecha para su necesidad Tengo problemas de Hernias y me recomendaron calor. Es genial.</t>
  </si>
  <si>
    <t>Buenos Bonitos y de calidad</t>
  </si>
  <si>
    <t>Finos, elegantes y comodos Era para mi , son muy finos  y elegantes , muy comodos</t>
  </si>
  <si>
    <t>Excelente calidad Sin problemas con la velocidad, incluso con vídeos en formato  XAVCS, cuando se graba a 100 Mbps o más y se requiere Velocidad UHS Clase U3.</t>
  </si>
  <si>
    <t>¡Increíble relación calidad precio! Los compré de oferta y estoy MUY contento (no me los esperaba tan buenos). La calidad de sonido es bastante buena, pesan poco y la batería dura bastante y se recargan en la caja, cuya batería dura incluso más. No son solo auriculares, también tienen micrófono, por lo que se puede usar para videoconferencia o gaming.  Como contra le pondría que no son tan cómodos como otros, y que tienen el sensor táctil muy sensible, de forma que al ajustarlos al oído se puede dar accidentalmente al "play"/"pausa" de la música. Es el mismo sensor que se usa para encenderlos.  En cualquier caso, excelentes.</t>
  </si>
  <si>
    <t>Zapatillas Buenas Son bastante buenas me encantan, son un poco grandes, he comprobado que se necesita una talla menos. Son muy buenas.</t>
  </si>
  <si>
    <t>Perfecto. El perfecto regalo para un cumpleaños, llego rápido. Color metal, bonito en la muñeca, con luz y ligero de llevar.</t>
  </si>
  <si>
    <t>Vienen muy bien envueltos Buen precio y muy bonitos</t>
  </si>
  <si>
    <t>Servicio de amazon impresionante Es una batidora de vaso, hace ni más ni menos que lo que se espera de ella: batir. No pretendas picar hielo o carne con ella, porque no es para eso.  Pero esta opinión es para destacar el excelente servicio de amazon: tenía otra igual que esta comprada hace más de un año que se quemó, me puse en contacto con amazon y me enviaron una nueva a los dos días!  6 estrellas!</t>
  </si>
  <si>
    <t>Estupendo producto Perfecto</t>
  </si>
  <si>
    <t>Solo útil para peso ligero Decepcionante si esperas que funcione con algo de peso. Para poco peso, está bien.</t>
  </si>
  <si>
    <t>Bien para música, mal para hablar El micrófono no registra bien la voz a no ser que vayas gritando, además de que introduce un ruido eléctrico de fondo cuando están ambos auriculares emparejados. Las veces que lo he usado para llamar, me los tenido que quitar, porque no me escuchaban bien. Respecto al sonido, la calidad es bastante buena (8.5 de 10), y la autonomía estupenda. Emparejamiento fácil y rápido. Son cómodos si estás acostumbrado a los in-ear (hay quien no los tolera), y no se caen. Echo en falta saber la batería restante de la caja. Tiene 2 leds (50% y full) pero sólo se encienden al cargarla.</t>
  </si>
  <si>
    <t>Encaja bien Encaja bien con la band pero cuesta cojwrle el manejo para ponerla y quitarla sobre todo quitarla, lo único q el color no era el que me esperaba</t>
  </si>
  <si>
    <t>No funcionaba Para empezar no funcionaba de ninguna manera. La devolvimos y punto. Tardaron devolver el dinero .</t>
  </si>
  <si>
    <t>Malisimos No me gustan. El sonido va fatal como desigual, se desconecta uno de los auriculares del sonido y tengo que estar moviendo la cabeza para encontrar el sonido. Una mala compra totalmente</t>
  </si>
  <si>
    <t>Muy bien pero falta voz en español (españa) para el Assistant Ya hay mucha gente que ha comentado lo bien que van estos auriculares, y estoy de acuerdo y por eso les doy un 4.  Pero comentar que el asistente de voz incluido, se indica siempre que soporta español, pero es español de México. No he encontrado ninguna información de si están trabajando en la versión español de España.  Si lo usamos con nuestro móvil y google Assistant se pueden hacer muchas acciones, destacando la de llamar a tus contactos con la voz. Ahora también es compatible con Alexa, pero no tenemos la posibilidad de llamar por teléfono, solo a través de Alexa, lo que limita mucho su utilidad.</t>
  </si>
  <si>
    <t>Auricular normalito Poco alcance del bluetooth. A aparte , llevando encima el telefono, se entrecorta</t>
  </si>
  <si>
    <t>Esta bien Por el precio está muy bien es la primera vez que lo uso y estoy a gusto trabajando</t>
  </si>
  <si>
    <t>La tela esta muy bien pero aprieta un poquito A pesar de comprar mi talla, aprieta un poco.</t>
  </si>
  <si>
    <t>Sientan muy bien y cómodas Me han encantado son muy cómodas pero en el culo se transparenta un poco yo las llevo con camiseta larga</t>
  </si>
  <si>
    <t>Utilidad &lt;div id="video-block-RE16V3LPPNRIV"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id="109" preload="auto" src="https://images-eu.ssl-images-amazon.com/images/I/B1MQPCFHedS.mp4" style="position: absolute; left: 0px; top: 0px; overflow: hidden; height: 1px; width: 1px;"&gt;&lt;/video&gt;&lt;/div&gt;&lt;div id="airy-slate-preload" style="background-color: rgb(0, 0, 0); background-image: url(&amp;quot;https://images-eu.ssl-images-amazon.com/images/I/91efTh6LDzS.png&amp;quot;);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value="https://images-eu.ssl-images-amazon.com/images/I/B1MQPCFHedS.mp4" class="video-url"&gt;&lt;input type="hidden" name="" value="https://images-eu.ssl-images-amazon.com/images/I/91efTh6LDzS.png" class="video-slate-img-url"&gt; manta de muy buena calidad es muy suave,sin olores ,color azul oscuro ,muy manejable y ligera y fácil de utilizar,mando que te permite regular la calor tiene varias temperaturas y el tiempo de exposición al calor,lleva una banda elástica con velcro que te ayuda a sujetarla en zonas grandes como la espalda así no se te cae</t>
  </si>
  <si>
    <t>Buena calidad. Lo compré por que pensaba que el micro que había pedido no lo traía, pero sí, venía. Lo tuve que devolver, aunque el que tengo es el mismo modelo y va perfecto para el micro Neewer.</t>
  </si>
  <si>
    <t>Reloj clásico y resistente Le compré para regalo y le gustó mucho, reloj clásico de toda la vida que comparado con otros es duradero y que funciona muy bien, lo volvería a comprar.</t>
  </si>
  <si>
    <t>Talla perfecto, es calentito Lo compré para mi pareja y le queda perfecto, me guíe de la tabla de tallas y cogí una M (la que utiliza él) queda perfecto de cintura y olgado de piernas como a él le gusta. Volveré a comprar.</t>
  </si>
  <si>
    <t>Auriculares Samsung Muy buena relación calidad-precio. El sonido es bastante bueno y la adaptación al oído es perfecta. Lo único negativo es que al cabo de unos meses suelen tener algún problema de micro o de audio.</t>
  </si>
  <si>
    <t>Genial bonito y barato. No se nota a simple vista que es tan barato. El único inconveniente que hace bastante ruido al pasar los segundos. Todo lo demás perfecto.</t>
  </si>
  <si>
    <t>Excelente compra Espectacular, muy cómodos, excelente calidad a pesar de su precio, me compré 3 pares, vale la pena, incomparables, bonito diseño.</t>
  </si>
  <si>
    <t>Práctico Muy contento con este producto, fácil uso y muy practico, hace muy buenos batidos y tiene mucha potencia para lo pequeño que es</t>
  </si>
  <si>
    <t>Buena calidad Elegante y bonita.</t>
  </si>
  <si>
    <t>Con protección en el enchufe. Fundamental. Excelente compra. La temperatura dura muchas horas y sin quemar. Lo más importante, tiene un soporte para enchufarlo y el conector que está en la bolsa tiene una guía entre medio de los pines, fundamental para que no se rompa. Había comprado otra bolsa eléctrica sin esas protecciones y me duró un mes. Se quemó el enchufe. Con esta llevo tres semanas y pinta fenomenal. Espero que dure. La valoro con máxima puntuación.</t>
  </si>
  <si>
    <t>Bluetooth Todo perfecto y se oye muy buen.</t>
  </si>
  <si>
    <t>Vendedor extraordinario Del reloj poco que decir puesto que el que lo compra ya sabe que es lo que va a comprar, y de G-SHOCK Pues eso, que es de lo mejor. Lo que si quiero comentar es el vendedor y repartidor, hice el pedido un domingo y el lunes a primera hora ya lo tenía en la muñeca. Ni 24 horas, una pasada gracias.</t>
  </si>
  <si>
    <t>Buen regalo Ideal para regalo. Muy buen material y resistente. Al contrario que otros, no pesa en la muñeca y tampoco es muy grande.</t>
  </si>
  <si>
    <t>Muy calentito de buena calidad Mi talla es la L y me queda bien. Quizá el pantalón un poco largo pero me lo subo y perfecto</t>
  </si>
  <si>
    <t>Tal y cómo esperaba Muy cómodo, perfecto para tener el pie sano y salvo y fresquito en verano! Todo perfecto!</t>
  </si>
  <si>
    <t>Muy bonito - 1 numero mas grande Bonitos y buena calidad. Pero los hemos tenido que devolver. Quedaban demasiado grande. 1 numero por encima. Mi marido suele llevar talla 45 y la 45 le quedaba como un 46. Pero el color super bonito. De hecho, no lo volvimos a encontrar igual en la tienda y en Amazon quedaba en su numero y en este color agotado. Ojo, es una bota pesada y es mejor que te la pruebes antes en una tienda (con calcetin grueso!) para que pruebes lo del peso (por si acaso) y si tu pie esta hecho para esto tipo de bota. Tengo amigos cuyo peine de pie no soporta este tipo de bota, o que tiene un pie muy delicado, pero por lo habitual suele ser un tipo de bota muy muy comodo.</t>
  </si>
  <si>
    <t>Mamá Me gusta lo bonito que es, fino y brillante, lo compré para hacer un regalo y a mi mujer le encantó. Bonitas piedras. Ya lo utiliza para diario y brilla como el primer día.</t>
  </si>
  <si>
    <t>Muy contenta Artículo moderno y muy chulo. Rápido y perfecto para hacer tés e infusiones. Lo único que se nota un poco la cal en el recipiente del vaso, pero muy contenta con la calidad y precio.</t>
  </si>
  <si>
    <t>decepcionante El producto tiene buen aspecto y el sonido es normalito, nada que ver con los productos que son referencia en el sector. La anulación de ruido prácticamente no se nota. La razón para devolverlo es que la batería en mi caso se descargaba totalmente en cuatro o cinco días estando apagado.</t>
  </si>
  <si>
    <t>Por el precio y la calidad no esta mal No esta mal producto, pero para ser para niños el cable debería ser algo mas resistente, es bastante endeble, debería estar algo mas reforzado, pero en general no esta mal el producto aunque si es verdad que el niño se queja al cabo de un rato de que le molestan, posiblemente sea normal de no estar acostumbrado, y el vendedor sin ningún problemas.</t>
  </si>
  <si>
    <t>. Tiene muy muy mala calidad</t>
  </si>
  <si>
    <t>Durisimo el cierre del vaso en la base Es muy dificil ajustar y soltar el vaso de la base. Es posible pero con mucha fuerza y tecnica. De hecho de 5 personas mayores de edad que somos en casa , tres no fueron capaces de soltar el vaso de la base. He visto en las opiniones que no soy el único. Es una lástima porque hace menos ruido que las demas batidoras. Lo estoy devolviendo y viendo si compro otra marca</t>
  </si>
  <si>
    <t>MUY BIEN (pero tener en cuenta que la versión AERO es de verano) Perfectas, pero tener en cuenta que AERO es la versión de verano, sín gorotex. Por lo demás todo perfecto y envío correcto.</t>
  </si>
  <si>
    <t>Nike. Pedir el numero real! De momento ha llegafo bien y parece buen producto. El numero se corresponde con el original, he pedido uno maa por miedo en los comentarios y me esta un poco grande pero bueno... de momento estoy contenta con la compra y el material parece bueno.</t>
  </si>
  <si>
    <t>BUENA COMPRA. NECESITABA UN DISCO DURO PARA MIS VIDEOS Y FOTOS PERSONALES Y ESTE DISCO DURO HA SIDO EL PERFECTO. EN EL ENVOLTORIO DICE QUE EL DISCO ES DE 320 G, NO ES CORRECTO, TIENE 300 G. PERO ES PEQUEÑITO Y ME HA VALIDO. ESPERO QUE DURE......</t>
  </si>
  <si>
    <t>muy bonita es muy bonita y me gusta aunque la tela algo fina y el tamaño pequeño, pedi una xl y me queda justa cuando normalmente uso la m-l. para que os orienteis uso una 95b y la xl me queda justa.</t>
  </si>
  <si>
    <t>Comodas Muy cómodas aunque esperaba algo mejor</t>
  </si>
  <si>
    <t>Que le gustara Fueron para mi hija y le gustaron mucho</t>
  </si>
  <si>
    <t>perfecta Fa un any que la fem anar a la nostra botiga i mai no ens ha fallat. Perfecta. La mida i els compartiments perfectes.</t>
  </si>
  <si>
    <t>repito la compra ya tengo escoba y fregona, y como la casa es de dos plantas, en lugar de andar subiendo y bajando máquinas, prefiero tener una en cada planta y tener baterías cargadas....un gran invento. lo recomiendo</t>
  </si>
  <si>
    <t>SUDADERA ADIDAS Buena calidad del producto. La talla se ajusta a lo que pedi .Perfecto.</t>
  </si>
  <si>
    <t>Comodisimo Super comodo y facil de usar</t>
  </si>
  <si>
    <t>Aceites Son fantásticos! Vienen presentados en una cajita los 6 aceites. Cada uno es de un olor distinto y a cuál mejor. Me encanta que venga el dosificador gota a gota ya que cuando vas a echar el aceite no cae un chorro si no te puedes echar la dosis justa para el humidificador</t>
  </si>
  <si>
    <t>Muy versátil Muy útil, no sé por qué no me la he comprado antes. Es indispensable para el MacBook Pro 2016. Es muy pequeña, pero consistente. Me hubiera gustado que fuera USB 3.1 de segunda generación, pero no se puede tener todo.</t>
  </si>
  <si>
    <t>Cómodas y calentitas Regalo de Olentzero que ha gustado mucho. Tuve que cambiarlas y coger un número más, pero todo muy rápido. Son calentitas! Contenta con la compra.</t>
  </si>
  <si>
    <t>Accesorio imprescindible para gente que odia los cables Tenía una maraña de cables en el salón, en la zona donde está la tele, el ordenador y los aparatos de satélite, fibra, etc. Con esta caja ha quedado super limpio. Hay otras opciones, elegí esta porque necesitaba meter 2 regletas de 5 tomas</t>
  </si>
  <si>
    <t>Completa Es súper práctica con varios bolsillos y amplia. Es ajustable, se ve de buena calidad y fuerte. Lo mejor que veo de esta riñonera es que puedes llevar una botella con agua.</t>
  </si>
  <si>
    <t>Cojonudo. Como los espárragos. Una vez que lo configuras, te puedes olvidar de el reloj. Cuesta un poco al primer intento. Aconsejo descargar instrucciones de la web de CASIO. Cojonudo</t>
  </si>
  <si>
    <t>Todo correcto Zapatilla muy cómoda y resistente. Al estar almohadillada en toda su estructura interior, se puede usar sin problema hasta un nº más, por lo menos en mi caso, con toda comodidad. Buen precio y envío rápido. Recomendable.</t>
  </si>
  <si>
    <t>Fantástico La marca Mam, como siempre, es fantástica. Los biberones, perfectos. No me trajeron los de la foto, el que venía era todavía más bonito así que ninguna queja. Dejo la foto por si a alguien le interesa.</t>
  </si>
  <si>
    <t>Ultra rapido El mejor pen que he tenido. Lo utilizo tanto para pinchar música como almacenamiento!</t>
  </si>
  <si>
    <t>Muy bonitas , de piel. Aconsejo pedir la talla normal tirando a una menos Suelo usar un 38,5 y pedí un 39 por los comentarios que leí, pero cuando lo recibí vi que me sobraban dos dedos por lo menos. He pedido el 38 y con un calcetín normal de algodón me van perfectas, incluso me sobra un pelin, lo justo para no hacer daño. Son preciosas!</t>
  </si>
  <si>
    <t>Buenas calidades!!!! Llego muy pronto y utiliza buenas calidades</t>
  </si>
  <si>
    <t>Perfectas. Tal y como las de la foto. Cumplen con su función</t>
  </si>
  <si>
    <t>Para mascotas La compré para los pelos del perro. En ese cometido es fantástica, se ven perfectamente a ras del suelo gracias a la luz led que va en el cepillo. Se limpia muy fácil y la batería me da para darle dos veces al piso. Puntos en contra: la succión es mediana, nada que ver con una convencional. Y el filtro es como de coche, de papel, mejor tener dos y soplar el sucio, queda bastante bien. En general muy contento con la compra.</t>
  </si>
  <si>
    <t>Preciosa Muy bonita y llegó super rapido</t>
  </si>
  <si>
    <t>No cumple espectativas Es mucho mejor una esterilla convencional. La parte de las cervicales no coge bien. No merece la pena. No calienta lo suficiente, da calorcito pero no como la esterilla convencional.</t>
  </si>
  <si>
    <t>Tallas pequeñas Talla:  pedid una más , las tallas son justas y además al lavarla encoje</t>
  </si>
  <si>
    <t>muy cucos muy pequeños</t>
  </si>
  <si>
    <t>decepción son muy pequeños, y no parece en la foto lo qeu luego es en realidad</t>
  </si>
  <si>
    <t>El producto es FALSO!!! El producto es FALSO!!! La caja es más pequeña que la original, el papel del emboltorio de su interior tiene el símbolo de la marca muy flojito y por último las zapatillas se nota que no son de verdad, manchadas de verde por el tobillo...Las venden como originales pero son falsas.</t>
  </si>
  <si>
    <t>Solo dos meses de uso y rotas No es normal que no con dos meses de uso ya se me hayan roto. Tuve tres años unas Columbia y perfectas hasta el último día. En mi opinión salen carísimas si a los dos meses se rompen. Muy mala experiencia, no las volvería a comprar. No sé si será posible la devolución.</t>
  </si>
  <si>
    <t>Funcional Bonito y comodo, bastante abrigado</t>
  </si>
  <si>
    <t>Muy buen reloj Estupendo reloj de casio. Es muy bonito, el peso es ideal y las funciones que tiene son adecuadas, temperatura, altímetro, etc...</t>
  </si>
  <si>
    <t>Material ligero y confortable El zapato le queda perfecto y cómodo. Al principio se ajusta bastante al tobillo por las formas con rl uso de una semana perfecto. Es cómodo y confortable para un persona de 84 años que le gusta pasear. Es ligero su material.</t>
  </si>
  <si>
    <t>Asimétricas y bonitas Un pelín grandes y no muy acolchada la pisada. Al principio me parecieron muy básicas, pero casa día que pasa me gustan más. Buena compra. Son asimétricas, un detalle que me ha costado que me guste, pero que las hace diferentes.</t>
  </si>
  <si>
    <t>Bien La verdad pensábamos que era un abrigo pero el diseño y demás es. Tal cual la foto. A mí madre le encantó igual aunque es como una sobrechaqueta o chaqueta gorda de invierno</t>
  </si>
  <si>
    <t>Cadena Chulisima y para lo fina que es ,muy resistente</t>
  </si>
  <si>
    <t>Rapidez de transferencia, capacidad y SSD Rapidez de transferencia, capacidad y SSD. Fundamental para back-up de fotografía en zonas remotas.</t>
  </si>
  <si>
    <t>Entrega rapida Rápida entrega, funciona bien, buena relación calidad-precio.</t>
  </si>
  <si>
    <t>Olor agradable Se necesitan unas cuatro gotas en el difusor de aromas para notarse en una habitación. Huele muy bien a frutos rojos, como se indica.</t>
  </si>
  <si>
    <t>Buen precio/rendimiento Funcionando sin ningún problema en RAID 5 se notan muy rápidos, evidentemente no como un SSD pero con la ventaja del espacio.</t>
  </si>
  <si>
    <t>Guay Todo correcto</t>
  </si>
  <si>
    <t>Es como la original La he comprado como recambio, aún no la he usado, pero la original funciona perfectamente, recoge el agua, que puedes escurrir en más o menos según tus gustos gracias al mecanismo en el palo</t>
  </si>
  <si>
    <t>Muy contenta Resultó estar de oferta, cumple con las calidades, la textura por fuera es muy suave y las costuras bien acabadas.  Eso si, la textura de la tela por dentro es algo más áspera. Me compré la talla L ya que esta firma talla un poco más pequeña de lo normal</t>
  </si>
  <si>
    <t>Comodidad Muy comodo</t>
  </si>
  <si>
    <t>Muy cómodas Muy cómodas. Las compré para una persona muy delicada de los pies y está encantada. Al ser de tela y blancas no son tan fáciles de limpiar pero merece la pena</t>
  </si>
  <si>
    <t>Segunda vida a ordenador Si quieres darle una segunda vida a tu ordenador, no dudes, enciende en escasos segundos.</t>
  </si>
  <si>
    <t>Muy buena oferta El precio fue extraordinario (si no hubiese comprado otro ssd que me gustaba un poco más). Funciona bien e instalarlo en el portátil ha sido pan comido. Eso sí, para quien lo quiera poner en un portátil, necesitará un cable sata-usb. No trae software de clonación, hay que descargar uno. La web de SanDisk bastante mala.</t>
  </si>
  <si>
    <t>Me encantan Me las pongo todos los días Bonitas y cómodas Muy contenta con la compra, estoy pensando en comprarme otras blancas</t>
  </si>
  <si>
    <t>Ideal Fantástico</t>
  </si>
  <si>
    <t>Una auténtica compraza. Compraza. En el primer day, 6 TB por 100 euros, inigualable. El disco es normal, hace algo de ruido durante la escritura, pero no más que cualquier otro disco de este tipo. Estoy encantado. Sólo llevo usándolo desde el 18 Julio de 2019, en caso de fallo editaría la opinión.</t>
  </si>
  <si>
    <t>Genial para bachillerato artistico Es lo que esperavanos</t>
  </si>
  <si>
    <t>Monísimo... Me ha encantado. Muy original y bonito. Lo que no sé es cuánto durará el brillo, pero bueno, me ha gustado y ha gustado mucho, y es muy original. Lo recomiendo al cien por cien.</t>
  </si>
  <si>
    <t>CORRECTOS LE PONGO 5 ESTRELLAS PORQUE LA RELACION CALIDAD PRECIO ES MAS QUE CORRECTA, SON BASTANTE GRANDES Y LUCEN BIEN, SIN DEMASIADAS PRETENSIONES SON LO QUESE VE.</t>
  </si>
  <si>
    <t>Auricular bluetooth El que esta al otro lado comenta que se escucha mas el ruido ambiental que la voz del que lo usa, no es muy recomendable, empareja bien con el otro y con el telefono pero lo que es el sonido bastante mal</t>
  </si>
  <si>
    <t>Normalito De momento no va mal.</t>
  </si>
  <si>
    <t>Cepillo electrico No llega a convencerme plenamente. A mi enteneder le falta entre otras cosas varios accesorio. Bolsa para recoger la biruta del cepillado. Guia para fijar banda de cepillado. En caso de necesitar adquirir otro cepillo. NO seria este.</t>
  </si>
  <si>
    <t>No es 3.0 Pensé que era 3.0 es solo 2.0 pero por el precio está bien.</t>
  </si>
  <si>
    <t>Que no va Se me roto ya</t>
  </si>
  <si>
    <t>Están bien Están bien, son bonitas aunque la calidad muy normalucha. Me pedí mi número y son sueltecillas.</t>
  </si>
  <si>
    <t>Buen producto Buen producto, hace su función</t>
  </si>
  <si>
    <t>Blanco genial La zapatilla cumple las expectativas pero es un poco grande, respecto al mismo número en otro tipo de Zapatillas Nike</t>
  </si>
  <si>
    <t>Muy bueno Producto y envío muy bien . Sería bueno que incluyeran una breve descripción del parque de software</t>
  </si>
  <si>
    <t>Estupendo Lo instalé en mi viejo Vaio de 2007 que tenía un HDD (disco mecánico) de 5400 rpm y le instalé Windows 10. El cambio ha sido asombroso. He pasado de no usarlo nunca y de querer tirarlo para comprarme un portátil nuevo a trabajar con él a diario para navegar, leer correo etc, a la velocidad que me daría uno de hoy día. Mejora la velocidad de carga del sistema operativo y de la carga de programas enormemente. RECOMENDADO!</t>
  </si>
  <si>
    <t>Muy útil Práctico, útil y con una buena relación calidad/precio. Funciona perfectamente, lo he probado con el teléfono y lo lee bien y sin problemas</t>
  </si>
  <si>
    <t>Perfecto Se ajusta perfectamente al cuerpo. Precio inmejorable. Se ve que es de muy buena calidad. Transpira a la perfección. Muy cómoda.</t>
  </si>
  <si>
    <t>Buena compra Está muy bien justo lo que queria</t>
  </si>
  <si>
    <t>Precioso diseño y materiales de calidad. El diseño es precioso, es muy ligera y cómoda de llevar. Tiene varios compartimentos que la hacen muy práctica y trae salida para auriculares. El material se ve resistente y las cremalleras son de calidad.</t>
  </si>
  <si>
    <t>Almoadilla muy comoda Muy sencillo y comodo de usa, viene perfecto para las cervicales y se adapta perfectamente al cuello y hombros, tiene tres velocidades y se calienta muy rápido, para mi es muy importante el apagado de seguridad a los 90 min para asi evitar riesgos, es muy suave.</t>
  </si>
  <si>
    <t>Se puede lavar, el cable se puede desenchufar de la almohadilla Mi mujer y yo estamos encantados. Es cómodo, te olvidas de que lo llevas puesto, lo que es buena señal porque significa que hace su función correctamente al calmar dolores de cuello y hombros. Tiene 3 niveles de calor, y el 3º es capaz de traspasar varias capas de ropa. Además, la parte elevada hace que sientas calor hasta en la parte alta de las cervicales.  El cable se puede desenchufar de la almohadilla y esta se puede meter a la lavadora según pone en las instrucciones, pero con el cable quitado. El cable es bastante largo, no he echado en falta más longitud.  Se apaga solo a la hora y media y tiene 3 posiciones para ajustar el enganche del cuello. Calidad precio creo que es de lo mejor que se puede encontrar.</t>
  </si>
  <si>
    <t>Buen precio Por ahora va perfecto en canon 5d mark iv. No puedo asegurar que cumpla con la velocidad de 170mb q anuncia.</t>
  </si>
  <si>
    <t>Ha superado nuestras expectativas Varios amigos nos habían hablado bien de este tipo de aparatos, pero no imaginabamos que podía quitar tanto polvo/pelusa. Lo conectas cuando no estés en casa y el se encarga de todo. Curioso cuando vuelve a la estación de carga despues de su "jornada laboral", jeje</t>
  </si>
  <si>
    <t>Lo que buscaba Los auriculares se ajustan perfectamente a mis oídos, ya que algunos se me salían continuamente. La calidad del sonido es muy buena. Lo utilizo para salir con la bici y se adapta perfectamente a lo que estaba buscando, ya que al tener los auriculares unidos con el cable y poder sujetarlo con la pinza a la ropa no se pierden.</t>
  </si>
  <si>
    <t>Cumplen las expectativas La estética es lo de menos, las memorias funcionan bien, no he notado que se calienten y el equipo parece que responde bien. He pasado de 4 GB con latencias bajísimas a estos 16GB con latencias algo mas altas pero no las voy a usar para jugar la verdad.</t>
  </si>
  <si>
    <t>Muy buena compra Preciosas y además no se transparentan.</t>
  </si>
  <si>
    <t>Hervidor de alta relación calidad precio Es un hervidor muy bonito y queda muy bien en mi oficina. En cuanto a su función, bastante silencioso y muy rápido. Es ligero, y el filtro desmontable también es cómodo. Tras unos días de uso puede dejar restos minerales en el cristal que con un poco de vinagre se quita fácil.</t>
  </si>
  <si>
    <t>Calidad precio Calidad precio</t>
  </si>
  <si>
    <t>Muy buena memoria USB elegante y rápida 3.0 Memoria USB muy elegante, robusta, de mucha calidad y fiabilidad. Con el agujero te permite poner un llavero o cualquier adorno para no perder la memoria. Tamaño reducido para no incordiar. Perfecto para utilizar en el coche...</t>
  </si>
  <si>
    <t>Espe Muy buena calidad Tanto exterior como interior La talla es la esperada Estoy muy satisfecha con la compra Saludos Gracias</t>
  </si>
  <si>
    <t>La forma más económica y sencilla de ampliar disco Hace tiempo que quería ampliar la memoria de mi portatil Mac Book Pro de 2016, que venía con 512Gb de disco duro SSD. Muy rápido y eficiente pero sin duda pequeño. Comprar otro Mac con 1Tb o 2Tb de disco SSD es carisimo y busque discos pequeños como este Samsung.  La versión de 1Tb es ligera y robusta y por este precio tan asequible me decidí a probar. La velocidad de escritura supera los 560Mb/seg reales y la de lectura los 600Mb/s sealmente muy rápido y se calienta solo un poco, no como otras unidades SSD que casi queman. Este se conserva tibio y rinde muy muy bien. La parte práctica es que al ser tan pequeño lo he podido colocar en mi portátil de una forma artesana con un simple velcro de doble cara, el cual me soporta sin problema el disco y lo retiro para guardarlo. De esta forma no molesta por la mesa y puedo tranajar ahora con 1,5 Tb sin problemas.  Muy recomendable!!</t>
  </si>
  <si>
    <t>Muy bonito y con aspecto de calidad Muy bonito y con aspecto de calidad. Ideal para un regalo a una mujer. Muy buen precio.</t>
  </si>
  <si>
    <t>Muy buena compra Las compré para alguna ruta de senderismo por la montaña, pero también las llevo en el día a día. Son muy cómodos y mantienen el pie totalmente seco en días de lluvia.</t>
  </si>
  <si>
    <t>Demasiado grande La devolucion es porque son medias de media caña.Queria probar las medias de compresion que tambien lo decian al comprarlas.Han resultado ser equivocadas porque yo pague por dos .Me han suministrado dos paquetes con dos medias en cada pero de media caña.Osea que yo no las voy a usar tampoco puedo probarlas cuando vean el error volvere a repetir la orden.Considero que hay veces que las premuras hacen equivocarse a los interesados.Yo perdono y no guardo represalias.Atentamente Juan Carreto</t>
  </si>
  <si>
    <t>Poca potencia Poca potencia, me la esperaba mejor</t>
  </si>
  <si>
    <t>bien Cumple su función y la calidad es aceptable ( ni muy buena ni mala ) un producto recomendable para salir del paso.</t>
  </si>
  <si>
    <t>Roto Vino roto</t>
  </si>
  <si>
    <t>Zapatillas fila Mala calida passado 3 mezes se romperan por laterales .</t>
  </si>
  <si>
    <t>Cómodo Es muy cómodo de poner ya que no lleva cremalleras ni botones Yo tengo una 40 o M y he tenido que pedir una Xl y me queda bien El azul es bonito pero no como el de la foto</t>
  </si>
  <si>
    <t>efectiva es bastante facil de manejar, no deja mancha en la ropa y es efectiva, para aminorar el dolor</t>
  </si>
  <si>
    <t>Relación calidad-precio inmejorable. El uso que le doy a estos auriculares es sobre todo para conectarlos al portátil, tablet o móvil y reproducir series y películas. La calidad del sonido que ofrece es más que aceptable por el precio que tiene.Son cómodos colocados en la oreja, de tacto suave imitando a la piel y no pasa como con otros auriculares que cuando llevas mucho con ellos te duelen las orejas o sudas.</t>
  </si>
  <si>
    <t>Contenta con la compra pero sin cordones amarillos. Las botas llegaron en el tiempo indicado. La talla es correcta. Vinieron bien empaquetada y en su caja original, lo único que no estaba el par de cordones amarillos característicos :( Estoy contenta con la compra porque me salieron a la mitad de precio de lo que suelen costar.</t>
  </si>
  <si>
    <t>Iguales que las de la papelería Son iguales que las que compramos en la papelería solo que más económicas</t>
  </si>
  <si>
    <t>Maravilla Funciona de maravilla. Tenia una de los chinos y era un suplicio trabajar con ella. Con esta es todo lo contrario, funciona muy suave y corta la cinta a la primera.</t>
  </si>
  <si>
    <t>Muy bien Muy bueno y bonito, pero el primer día la profe lo tiro a la basura porque no Le comenté que era reutilizables... 😅</t>
  </si>
  <si>
    <t>Bendito invento...😊 Es bonita y no tan grande como pensaba. El funcionamiento es sencillo, cuando le coges el truco a tirar cañas te salen perfectas. Hay que mojar el vaso, inclinarlo a 45 grados y tirar de la palanca hacia tí con decisión. En copa hace menos espuma que en vaso alargado.  Es imprescindible tener los barrilitos fríos an el frigorífico, para que el cambio sea instantáneo.  He comprobado que si no están muy muy fríos sale más espuma de lo normal. También si no lo usas en un par de días la primera caña sale con bastante espuma....No hay nada perfecto.  Sobre lo del ruido: cuando la usas o cambias de barril, el compresor trabaja durante unos segundos. Después no hace NADA de ruido. Al menos a mi. Veremos en verano con el calor...  Pros: Tienes varias marcas de cerveza disponibles en su página (thesub).  Es de agradecer porque a mi la Heineken no me hace mucha gracia precisamente. Tienen una IPA austriaca que es una pasada. Y la Afliggem está muy buena también. El envío de los barriles (torp) por parte de la marca es rapidísimo. Suelen tener ofertas. A veces no tienen stock pero reponen casi todos los días .  Contras: Cada Torp te da para unas 8 cañas....ten siempre uno enfriando el el frigo, avisados/as estáis .... Tiene un peligro..... te estás rellenando el vaso sin parar.....jajaja! EDITO: Acaban de añadir Amstel y también Cruzcampo, supongo que para el verano....😊</t>
  </si>
  <si>
    <t>IDEAL Lo utilizo para dar largos paseos con mis perros por campos y montaña, protege del fresco y hacer sudar de lo lindo, poara lo que yo quería es perfecto,</t>
  </si>
  <si>
    <t>Perfecto. Todo de lujo. Cómodas y quedan espectaculares. Las recomiendo,mejor que las botas de esta marca. Y lavables facilmente !!!! .</t>
  </si>
  <si>
    <t>perfectas han llegado a tiempo y tal y como esperabamos</t>
  </si>
  <si>
    <t>Todo perfecto Todo perfecto. Se ve muy bien. Puedes poner casi en toda ropa clara. Y después de tres varados sigue igual. Mejor imposible. Buen precio. Gracias.</t>
  </si>
  <si>
    <t>Chulísimo Chulísimo y comodo, calentito</t>
  </si>
  <si>
    <t>Me encanta. Muy contenta de haberla comprado. Según mi experiencia las batidoras que más me gustan son las moulinex, hace muchos años se me rompió la que tenía, me regalaron una de otra marca conocida pero en seguida me dio problemas. Y ahora que se me ha roto, me compré ésta y va genial tanto para batir como el brazo de emulsionar las salsas. Y el sabor....y lo deja todo muy fino triturado y en pocos segundos.</t>
  </si>
  <si>
    <t>De hecho, es una versión de AirPods a bajo precio. Los auriculares son buenos, la forma es muy similar a la de Airpod, la calidad del sonido de la batería sigue siendo buena, es decir, la tapa del compartimiento de carga no es magnética, la duración de la batería de los auriculares puede considerarse correcta, el almacén de carga puede proporcionarle aproximadamente dos o tres días de electricidad.</t>
  </si>
  <si>
    <t>10/10 La calidad del producto es muy buena, y me parece una opción muy acertada si como en mi caso quieres llevar un reloj elegante sin gastar muchísimo dinero. Compra genial, totalmente recomendable.</t>
  </si>
  <si>
    <t>Bien!’ Bien!!</t>
  </si>
  <si>
    <t>Calcetines cómodos y muy ajustables. Hola, son cómodos estos calcetines la goma que lleva en la parte de arriba para sujetar no molesta ni aprieta mucho. Tienen bastantes gomas en la planta del calcetín para sujetar y no te escurres con ellos, eso es algo que me a gustado mucho. En cuanto la cálidad del hilo con el que están hechos es buena y no son calcetines muy gordos. Y en cuanto al tamaño decir que sirve tanto para un número 34 como tiene mi hija, como para un 37 como tiene mi mujer, o un 41 como tengo yo son muy ajustables. Un saludo.</t>
  </si>
  <si>
    <t>Rapido y eficaz Un gran SSD  con una velocidad de lectura/escritura, muy rápido y de una marca de confianza como Sandisk. Aunque no trae software de clonación de datos una vez que descargas el programa de gestión del SSD puedes descargar gratuitamente una versión de Acronis gratuita para realizar copias o clonar el disco duro principal del ordenador o portátil.</t>
  </si>
  <si>
    <t>Comodidad Son buenas zapatillas, las uso para trabajar a diario y mis pies no sufren al estar todo el día de pie</t>
  </si>
  <si>
    <t>Casi perfecto!! Muy buenos cascos, se acomodan perfectamente y el sonido espectacular. Por ponerle alguna pega, no se puede cambiar de canción o parar cuando se conecta con el cable de jack 3,5mm, o al menos yo no he podido! Los auriculares normalmente si permiten eso. Por lo demás, una gran compra!</t>
  </si>
  <si>
    <t>Perfecto Siempre tenía los rollos de papel aluminio, film y papel de cocina descolocados. Me daba mucha rabia porque la cocina parecía desordenada. Vi esto y es lo más práctico que he comprado en mucho tiempo, y no queda nada mal en la cocina (siempre me había parecido una horterada cuando lo veía en alguna parte, jejeje).</t>
  </si>
  <si>
    <t>Tamaño y calidad excelentes Fantastico, mucho mejor de lo que esperaba. Tamaño justo el que necesitaba.. Muy bien de compartimentos.</t>
  </si>
  <si>
    <t>Geniales para deportistas y enemigos de los in-ear Tengo varios auriculares, quizás hasta demasiados ya, pero siempre tengo el problema de que no me terminan de convencer los auriculares in-ear. Normalmente pruebo con todas las almohadillas que traen, pero nada, me cuesta mucho ponérmelos y con pequeños movimientos se me caen. Parece ser que tengo el canal del oído muy estrecho.  Para quien le pase lo mismo, encontrará que estos auriculares son ideales. Se sujetan en al parte superior de la oreja y, por tanto, no tiene los mismos problemas que los típicos in-ear. Habrá quien piense que la calidad de sonido se resentirá. A mí, que tampoco tengo un oído espectacular para la música, me parece que proporcionan una calidad de sonido muy similar a cualquier otro. Si es cierto que aíslan un poco menos, porque, aunque cubren toda la oreja, no están "bloqueando" el oído.  Finalmente, también creo que merece la pena recomendarlos para los deportistas, al estar sujetos a la oreja físicamente, en mi caso no se mueven nada, da igual los movimientos que hagas. Además, como se ve en las especificaciones, dispone de un puerto para tarjetas microSD, lo que permite salir a correr, ir a la playa, etc. y disfrutar de tu música, aunque no lleves el móvil. Tienen hasta radio FM, ¡no sé qué más se les puede pedir!</t>
  </si>
  <si>
    <t>USB lento No me ha gustado mucho, llevo un tiempo utilizándolo y para mí gusto es un poco lento, incluso en los puertos USB 3.0, no lo recomendaría.</t>
  </si>
  <si>
    <t>Zapatillas buenas pero DEMASIADO PEQUEÑAS La zapatilla en sí es linda y de buena calidad, muy parecida a las Converse originales. A primera vista creo que será al menos igual de duraderas que las Converse originales, pues todo parece ser hecho igual, el mismo material, acabado, etc. El problema es que son demasiado pequeñas! Mi esposa calza 40 pero suele comprar 41 para asegurarse de que le queda bien las zapatillas —especialmente sobre un pie que se le hincha bastante al caminar. Sin embargo, estas, siendo 41 no le entran para nada, como si fueran 39. La zapatilla dice claramente 41 dentro, de modo que o ha sido un error de que han marcado unas 39 como 41 o es el error típico de la ropa china (no sé si esta cabe en esa categoría) que las tallas son pequeñísimas y hay que comprar siempre al menos 2 o incluso 3 tallas por encima. (Y esto a pesar de que claramente dice que han puesto talla europea... pero no creo que lo sea, en realidad.)</t>
  </si>
  <si>
    <t>Pesan muy poco Han llegado en fecha...Con un diseño muy chulo...Son super comodos y no pesan nada...Calidad,precio en principio muy recomendables...De momento muy contento...Rectifico,me he dado cuenta que cada una es de un número,un 43 y un 42..Me ha pasado por probarme solo una...Las voy a devolver....</t>
  </si>
  <si>
    <t>Pésimo Muy mala calidad, al cuarto uso la pieza marrón se me ha roto cuando he apretado el botón blanco para que saliese el agua, y no encaja, ya no me sirve y no tengo el embalaje original para devolverlo...</t>
  </si>
  <si>
    <t>Poca potencia No m dio buen resultado pone q tiene mucha fuerza pero a la tercera vez q lo use se paro y ya no funciona</t>
  </si>
  <si>
    <t>me esperaba mas Le doy cuatro estrellas en vez de las cinco porque me esperaba un poco mas para el precio que tiene. Al decir mas me refiero a mas compatibilidad y mas funciones. El puntero laser igualmente no es que sea extremadamente potente</t>
  </si>
  <si>
    <t>Bueno, bonito, barato y multifuncional! A continuación analizamos el producto PUMA St Runner V2 de la reconocida PUMA.  +++ Muy cómodas, la suela es una gozada y los materiales son de mejor calidad que muchas competidoras. + La relación calidad precio es fantástica. Por ~30€ no tiene igual. PUMA es Xiaomi versión ropa y calzado! ~Después de un mes de uso constante y exhaustivo (bailando con ellas) siguen manteniendo el tipo aunque algo despegadas por la punta.  Esto ha sido todo, espero que haya podido ayudarte! Saludos y gracias!</t>
  </si>
  <si>
    <t>No deslizan Cómodos y antideslizantes, ideales para trabajar en restauración.</t>
  </si>
  <si>
    <t>Muy practico Muy practica. La compre para el verano, porque el otro tipo de mochilas dan mas calor. Es comoda y cabe todo lo necesario para pasar un dia en la calle</t>
  </si>
  <si>
    <t>La comodidad Es muy cómodo,la talla es la esperada y me adapte muy bien. Lo compré  para mí trabajo de Seguridad y está  perfecto</t>
  </si>
  <si>
    <t>Perfecto Es el segundo que compro, el otro me ha durado más de 2 años. Resumiendo, para el precio que tiene es buena compra.</t>
  </si>
  <si>
    <t>Precioso y a buen precio. Llegó en perfectas condiciones  Muy satisfecho con el producto y su estado. Lo aconsejo encarecidamente. Es bonito, pequeño y buen acabado. Muy fino.</t>
  </si>
  <si>
    <t>Práctico y Fácil de usar Es práctico y viene con instrucciones en varios idiomas. Se configura fácilmente.</t>
  </si>
  <si>
    <t>Una hoya Para WD Elements 4TB: Dentro encoraremos un WD Blue Desktop, a un precio muy inferior si compraríamos la unidad sin caja USB. Compre dos, una la desmonte y la metí en mi pc como disco duro interno (y al ser sobre conexión sata con mejor rendimiento), la otra la he dejado externa, para backup. Relación capacidad precio insuperable.</t>
  </si>
  <si>
    <t>Muy bien Muy bueno</t>
  </si>
  <si>
    <t>Buenas botas para trabajos de poda o mecánica. Las botas cumplen con su cometido, son fuertes y protegen el pie y el tobillo. Hice caso a las recomendaciones de pedir un número menos y me quedan perfectas, yo uso un 42 y pedí un 41.</t>
  </si>
  <si>
    <t>Recomendable!!!! Estoy encantada con mi rodillo, no sabía de este artilugio me lo recomendó una amiga que es esteticién, la tengo en la nevera me lo paso todas las noches fresquito por el rostro da una sensación de frescor y relajación, os recomiendo ver vídeos en YouTube para hacer bien el masaje, viene muy bien presentado con su caja y todo genial para regalo.</t>
  </si>
  <si>
    <t>Indispensable Mantiene la temperatura y sobre todo protege el cristal de una ostia de esas que dices ufff que suerte jaja.</t>
  </si>
  <si>
    <t>Eficacia probada Son las típicas máscaras para ojos que corrigen imperfecciones, ojeras... las he usado durante las dos ultimas semanas y funcionan realmente bien. No te van a solucionar la vida, pero si que te mejoran!</t>
  </si>
  <si>
    <t>el mejor modelo de merrell QUEDA COMO SE ESPERABA es sabiendo que tienes que pedir dos numeros mas que el que normalmente usas. tengo los distintos colores de este modelo y es lo que uso a diario para todo. son comodas ,robustas , seguras (en todos los sentidos) , visten casi como un zapato ,entonces solo puedo decir que para mi son perfectas. lo unico que espero es que nunca las descataloguen</t>
  </si>
  <si>
    <t>Buena relación calidad precio Nada que destacar, muy buena relación calidad precio.</t>
  </si>
  <si>
    <t>Muy útil y práctico. Biberón de uso muy cómodo, útil y fácil de limpiar.</t>
  </si>
  <si>
    <t>De piel y cómodos Son los segundos que compro. Son para mi hija, que va a clases de flamenco. El año pasado le compré estos y le fueron muy bien, así que este año le he comprado los mismos. Son de piel, son cómodos y los más importante, no le rozan.</t>
  </si>
  <si>
    <t>Comodísimos. Positivo: còmodas, elegantes y Duraderas. Negativo: No pare en de piel. Incluso son impermeables.</t>
  </si>
  <si>
    <t>Calidad precio Por el precio que tienen, no se puede pedir más, y mas siendo de marca. La talla es perfecta, escoja el número que suelas usar que te estarán bien</t>
  </si>
  <si>
    <t>Comodisimas Me gustan, son bonitas y a buen precio. Cuando las use un poco volveré que comentar ya que me han llegado hoy y no me dio tiempo a usarlas.(15 de agosto) Edito (1 de noviembre): comodisimas estoy buscando para volverme las a comprar ya que las use muchisimo.</t>
  </si>
  <si>
    <t>Fácil de limpiar y cómoda &lt;div id="video-block-R1TUQJW4E9SS1Y" class="a-section a-spacing-small a-spacing-top-mini video-block"&gt;&lt;/div&gt;&lt;input type="hidden" name="" value="https://images-eu.ssl-images-amazon.com/images/I/A1itPkCrEiS.mp4" class="video-url"&gt;&lt;input type="hidden" name="" value="https://images-eu.ssl-images-amazon.com/images/I/81nCku6MCCS.png" class="video-slate-img-url"&gt;&amp;nbsp;Esta batidora es genial. Es súper fácil de usar (colocas el vaso, aprietas y listo) y lo mejor, fácil de limpiar. Tienen espacio en la cuchilla u es imposible no limpiarla bien, porque en la thermomix por ejemplo, es súper difícil. La comodidad de poder cambiarle el cabezal para poder llevártelo tal cual es genial. Tiene el tamaño perfecto y ocupa poquísimo. Un 10 de compra.</t>
  </si>
  <si>
    <t>Algo pequeñas Compré el número 38, pero tuve que cambiarlo por medio número más. Por lo demás, perfectas!  El cambio se realizó muy rápido.</t>
  </si>
  <si>
    <t>parece de juguete Lo acabo de tirar. no se ve de buena calidad, y cada vez cuesta más limpiarlo bien. no lo recomiendo.</t>
  </si>
  <si>
    <t>Suenan bien, pero... Según múltiples criticas sobre el producto me dicidí a comprarlo pero he encontrado los siguientes puntos que a mí no me convencen: Aunque son abiertos, el espacio sonoro (o soundstage) no es lo que declaraban algunos expertos, la música la sigo escuchando dentro de la cabeza, no enfrente. Conectados directamente a un reproductor de cd's de la marca Harman kardon, a veces tiende a empastar los graves (también podría ser por culpa de la grabación, una de sus cualidades, según los expertos, es que reproducen con tanta calidad que también se oyen los fallos que se hayan podido cometer en las grabaciones. El cable en espiral es un "rollo", si no tienes el reproductor en la posición perfecta este te tira de los auriculares y resulta bastante incómodo (en mis Sennheiser de cable recto esto no pasa). Por lo demás, muy bien</t>
  </si>
  <si>
    <t>Inestable Cada cierto tiempo tengo que ir reduciendo la partición por el principio porque se va estropeando muy rápidamente con las reescrituras. No apto para datos importantes, puedes perderlos facilmente</t>
  </si>
  <si>
    <t>No es lo que esperaba El reloj se va atrasando cada dos dias hay que ponerlo en hora</t>
  </si>
  <si>
    <t>ME LLEGO ROTA. POR ESO VALORO 1 ESTRELLA. ME LLEGO ROTA, AUNQUE LA PUEDE ARREGLAR FACILMENTE, CON UN PEQUEÑO COSTO. POR LO DEMAS ES BASTANTE BONITA.</t>
  </si>
  <si>
    <t>Buen calidad precio Muy bueno</t>
  </si>
  <si>
    <t>Pero aunque llevo un día con el, parece que no está nada mal.. mañana comprobaré que es sumergible y que no tiene ningún problem Viene sin sellar la garantía, con lo cual no sé si me servirá si tuviera algún problema, tampoco he recibido la factura de compra. Y por último pensaba que la caja del reloj sería una botella de oxígeno como he visto.  Gracias</t>
  </si>
  <si>
    <t>Esta correcto Esta bien</t>
  </si>
  <si>
    <t>Cable corto Lo uso para calentar una piscina y en un par de horas ya se nota más cálida, lo malo es que tiene el cable muy corto y al utilizar un alargador este se me ha quemado por estar 2 horas enchufado...</t>
  </si>
  <si>
    <t>Muy buen producto Lo compré por la marca y la verdad es que no defrauda. Cristal muy resistente no hace mucho ruido y se limpia muy bien. Tiene botones específicos para picar hielo o hacer batidos y un buen diseño. Es un poco mas cara que el resto pero la recomiendo.</t>
  </si>
  <si>
    <t>Fantásticos Estoy muy contento con esta compra, me parecen unos auriculares muy buenos. Son muy sencillos de sincronizar con el movil o con la tablet , son muy ligeros y el sonido es muy bueno tanto la música como la voz de las personas cuando te llaman por teléfono. La caja para cargar los auriculares tambien está muy chula , la única pega que se puede poner es que no te trae cargador para la luz. Solo te trae la caja para cargar los auriculares y el cable usb, por el resto muy buen producto.</t>
  </si>
  <si>
    <t>Sorprendida Después de una primer intento he vuelto a probar  un tamaño más grande y he de decir que a resultado muy bueno!!</t>
  </si>
  <si>
    <t>Cómodos EL mundo calzado es muy particular. Ya me he llevado chascos con tallas que no ajustan, en mi caso pequeñas. Si hay una Marca que me permite comprar a ciegas es esta. En mi caso quedan como un guante, y pese a que puedan parecer aparatosos son bien cómodos.</t>
  </si>
  <si>
    <t>La comodidad Comodísimas</t>
  </si>
  <si>
    <t>Muy Cómodos Muy recomendables, muy cómodos tanto para el día a día como la práctica deportiva. Una muy buena compra. Todo perfecto</t>
  </si>
  <si>
    <t>Chandal Muy satisfecho al se chandal completo, queda ajustado y el fit esta muy bien, las lineas laterales quedan muy bien con el color negro, hace una buena combinación, la talla muy bien, la correcta, el pantalón ajusta bien en la cintura y el los tobillos, los puños están muy bien.</t>
  </si>
  <si>
    <t>Excelente Perfecto! Era para un regalo y están encantados, además el color azule es muy bonito.</t>
  </si>
  <si>
    <t>Mochila de gran calidad. Mochila de gran calidad, robusta (para lo que es) con muchos bolsillos/departamentos donde guardar cosas. Muy práctica incluso para el dia a dia: móvil, batería portátil, cargador, llaves, gafas,....</t>
  </si>
  <si>
    <t>Batidora de vaso y más Se la he regalado a mi hijo y está encantado. Me dice que va genial, y bonito diseño.</t>
  </si>
  <si>
    <t>Comodos Lo compré para sonorizar conferencias y la verdad muy bien. Ayer estuve usándolos los dos al mismo tiempo van con el mismo receptor y la misma salida y se pueden utilizar al mismo tiempo con regulación de volumen individual para cada uno. También tienen efecto de eco regulable. Los micrófonos son bastante ligeros y elegantes y la batería le duro mucho.</t>
  </si>
  <si>
    <t>Buen sonido, cómodo y con buena batería Este micrófono karaoke es genial tanto para niños como para adultos, se puede utilizar directamente como micro o añadir música a través de bluetooth para usarlo como karaoke. Es muy intuitivo y fácil de usar. Se puede cargar mediante USB con una batería de larga duración que aguanta una fiesta de cumpleaños sin ningún problema. El sonido es muy bueno tanto en la música como en la voz. Es divertido y muy fácil de usar.</t>
  </si>
  <si>
    <t>Carlos Exelente reloj con unas prestaciones estupendas el color es super guapo estoy muy contento de haber realizado esta compra por medio de Amazon os recomiendo</t>
  </si>
  <si>
    <t>Raquel Muy bueno, muy potente. Pica bastante bien y no deja cachitos que en los batidos da mucha rabia encontrar. Lo que estaba buscando</t>
  </si>
  <si>
    <t>Preciosas La mejor compra realizada de botas que puedes hacer, gasto un 42, pedi el numero y como anillo el dedo. Se nota la gran calidad de las botas, quedan muy bonitas, se adaptan en pocos dias al pie. Y el precio indiscutiblemente bueno!!</t>
  </si>
  <si>
    <t>Sujeta bien! la verdad es que sujeta bien y en cualquier superficie</t>
  </si>
  <si>
    <t>Inmejorables Ya los había comprado hace tiempo. Los uso en el trabajo, y en los conciertos (soy músico, y los uso a modo de "monitor" para oírme). El sonido y la definición, por el precio que tienen, es inmejorable. Hasta que los perdí, y me compré otros más baratos, no me di cuenta de lo bien que iba. No aguanté ni 10 minutos con los otros en el trabajo, se oía toda la gente de la oficina hablando, y se oía la música sin nada de definición, y me volví a comprar éstos.  Ahora los llevo a todas horas, en casa, en la oficina, y en el metro.</t>
  </si>
  <si>
    <t>Envío rápido, suegro contento La compré como regalo para mi suegro, y él está encantado con ella. Yo no puedo opinar en primera persona porque ni la he visto.</t>
  </si>
  <si>
    <t>al abrirlo Al intentar poner el dia, se quedo atascado con la aguja de la hora y no cambiaba</t>
  </si>
  <si>
    <t>devueltas me iban muy justas</t>
  </si>
  <si>
    <t>Algo hace Deja lustroso las superficies plásticas, pero es difícil que pueda eliminar rayones algo profundos. La cantidad es pequeña, pero el precio no es elevado.</t>
  </si>
  <si>
    <t>Tallan mal Es muy bonita pero el tallaje es pequeño. Hay que comprar un número mas</t>
  </si>
  <si>
    <t>Imitación No son las originales,no entiendo como pueden vender imitaciones. Evidentemente las he devuelto hoy mismo.</t>
  </si>
  <si>
    <t>Buena mochila Mochila hecha con materiales de calidad. Muy buenas cremalleras y bastante espacio. No le doy 5 estrellas porque cuando me la pongo en la espalda me resulta incomoda. Puede que sea un fallo de producción. Pero en general estoy satisfecho.</t>
  </si>
  <si>
    <t>buenos auriculares y economicos se escuchan realmente bien y el color es precioso. se pueden llevar a cualquier parte porque no ocupan apenas espacio, el cable es fuerte y no se ha roto o se ha dejado de escuchar un altavoz como ya me ha pasado otras veces. muy buena compra</t>
  </si>
  <si>
    <t>Material correcte Son xinxetes, no hi ha gaire cosa a explicar. La mida és correcte per l'ús que li volem donar i la varietat de colors és perfecte.</t>
  </si>
  <si>
    <t>Para uso diario Este collar lo he cogido para mi hija (adolescente), es la escusa, también lo uso. Me parece un buen complemento, para resaltar el escote, con ropa informal. Tiene baño de plata, por lo que no hay que ponernos perfume cuando lo tenemos ya puesto. Es llamativo, y más grande de lo que pensaba. Y el cristal que lleva al lado de la pluma da un toque diferente y hace que sea más elegante. El cierre parece resistente y se abre y cierra de manera sencilla.</t>
  </si>
  <si>
    <t>Precio Por su precio no se puede pedir mas</t>
  </si>
  <si>
    <t>Buena calidad precio Me ha gustado, buena calidad precio</t>
  </si>
  <si>
    <t>Un punto retro, y de color blanco. La Russell Hobbs Bubble es una tostadora con un diseño retro que no pasa desapercibida y todo ello gracias a su diseño y a su potencia para hacer unas tostadas excelentes.  A la vez comentar que el blanco es un color que se lleva mucho esta temporada, Russell Hobbs posee una familia de este diseño de productos , y todos de este mismo color.  Muy bien terminada, con magníficos detalles, su aspecto es bonito, pero a la vez es una buena tostadora, que ese es el fin de este producto.  Con esta tostadora de pan podrás hacer multitud de rebanadas muy rápidamente, gracias a su potencia.  La Russell posee un regulador de la potencia de tostado, además de modo descongelado y función 'recalentar' por si se te quedan frías y en el momento de untar la mantequilla, con este botón ya no necesitarás pelearte con la mantequilla para poder untarla.  Los módulos para insertar el pan no son independientes, por lo que al bajar las rebanadas se encenderán ambas resistencias, por lo que no ahorrarás en energía energía, tampoco posee un botón para que solo tueste por un lado.  Posee tres botones en el lateral además del regulador de potencia, las funciones de los botones son descongelado, recalentado y cancelación, también posee un indicador de tiempo restante.  Un detalle a tener en cuenta es la rejilla que podemos superponer encima de la tostadora para calentar el pan, eso me ha gustado.  Posee una bandeja de recoge migas extraíble.  Esta tostadora de dos ranuras suficientemente largas como para hacer 2 rebanadas a la vez, tiene una potencia de 1300W.  Tenía curiosidad por saber que temperatura podría alcanzar la tostadora en su interior, por tal motivo he realizado la prueba con un medidor láser para conocer estos términos, y la medición me ha sorprendido, es más he realizado la medición en varias ocasiones ya que me parecía mucha temperatura, llegando a alcanzar 528º, podéis ver la medición en las imágenes, siendo la temperatura exterior de 26º.  Los materiales de fabricación y el acero inoxidable de su carcasa exterior aparentan buenos, y el acabado es de calidad, con el aspecto retro que he comentado con anterioridad.  La tostadora tiene unas dimensiones y peso adecuadas  En definitiva, una tostadora buena, que es rápida, pero que le faltan algunos detalles, pero debo decir que realiza su función perfectamente.</t>
  </si>
  <si>
    <t>Ideal para el MP3 del Coche Me vino ideal para el mp3 del stereo del auto. El tamaño justo. Por ejemplo si antes medio grandote estaba sentado en el lado del acompañante lo rozaba y se podia romper el conector. Ahora nunca mas ese problema. BARATISIMO</t>
  </si>
  <si>
    <t>Materiales de calidad Buenos productos</t>
  </si>
  <si>
    <t>Muy contento Fue oara regalar,y esta miy contento,a sus amigos tambien les encanta,alguno tambien lo ha comprado,muy satifecho,bonita y de califad,diseño espectacular</t>
  </si>
  <si>
    <t>Buena potencia Funciona muy bien, suave pero potente!!! Ahora a ver si dura...!! Muy buena</t>
  </si>
  <si>
    <t>Hervidor muy rápido y seguro Hierve el agua muy rápido. Además a la hora de verter el agua en la taza no te quemas con el vapor para nada y tampoco escurre. Muy recomendable.</t>
  </si>
  <si>
    <t>Calidad a un precio económico Excelente pulsera de gran calidad. El corazón es de plata y las piedras granates. Viene con una bolsita de tela ideal para regalar, la compré para eso y la persona quedó encantada, no se la quita! Y está como el primer día.</t>
  </si>
  <si>
    <t>Muy contento Muy contento con este microfono Lavalier. Tiene un sonido muy limpio y bueno por el precio. Lo puedes usar con el móvil a través de la app de Rode o conectado a una grabadora o petaca si lo usas junto al adaptador Rode SC3. Lo volvería a comprar.</t>
  </si>
  <si>
    <t>calidad muy buena habia leido por aqui, que si el sonido por aki y que el sonido por alla.... para el precio que tiene funciona de escandalo... esta claro que no esperes un sonido de hollywood, pero tampoco lo consigues con cualquiera de los de los 60-70 e de las tiendas... y os lo digo de primera mano que me da este mejor resultado que uno de esos precios y encima con pilas....</t>
  </si>
  <si>
    <t>Muy buenos Muy buena relación calidad precio.</t>
  </si>
  <si>
    <t>Muy recomendable, buen producto Es Excelente! Tiene mucha potencia, tritura hielo y es fuerte. Tiene un programa de auto limpiado que va bien... muy recomendable!</t>
  </si>
  <si>
    <t>Se adaptan perfectamente al oido Me han gustado, buscaba unos auriculares sin cable que se adaptaran bien al oído y que cuando salgo a hacer deporte no se me cayeran todo el rato como otros que he tenido, creo que con estos los he encontrado, estoy muy contenta con ellos. La conexión fácil y se escuchan muy bien aunque el móvil no esté muy cerca.</t>
  </si>
  <si>
    <t>Muy buena calidad La he probado y va genial, la que yo tenía era de 600w y al ser esta de 1000w se nota bastante la diferencia, le hemos hecho los potitos a la niña y ha quedado todo muy fino, la picadura también va genial con las cuchillas a doble altura, es bonita estéticamente y se ve bastante robusta. La volvería a comprar</t>
  </si>
  <si>
    <t>Comodas Buena calidad y comodas</t>
  </si>
  <si>
    <t>Volvería a comprarlas. Producto original Puma. Por la mitad de precio de otras marcas tienes unas zapatillas con la misma calidad. Exterior en piel, interior forrado en textil y suelas muy adherentes. La talla conforme a lo previsto. Son muy cómodas. Vienen en caja de cartón, protegidas y con los cordones ya puestos. Es sacarlas y colocártelas. Sólo las tengo unos días por lo que no puedo evaluar la durabilidad del producto pero la impresión es buena dada la calidad de los materiales. El tiempo lo dirá.</t>
  </si>
  <si>
    <t>Me encanta el gancho de silicona La pestaña que lleva de silicona es genial para que no se caigan. Calidad de audio normal/buena se vinculan sin problemas</t>
  </si>
  <si>
    <t>Gran micrófono Me sorprendió cuando lo compré y lo utilicé para varios vídeos. Tiene una calidad media-alta muy buena. No tiene que envidiar a otros micrófonos de gama alta. Una compra recomendable.</t>
  </si>
  <si>
    <t>Bonitas, cómodas y un buen precio Mi Marido tuvo unas cuando salierón y después de muchos años sigue fiel a este módelo. Las he comprado para regalarselas. Acierto seguro.</t>
  </si>
  <si>
    <t>NORMALITO He usado solo el pequeño y la única ventaja respecto a usar un cepillo de dientes, es que es ergonómico.  Las cerdas no son tan duras como esperaba.</t>
  </si>
  <si>
    <t>Plástico débil Plástico muy débil, se rompió el primer día quitando una tarjeta de su hueco, aunque el estuche es práctico y caben muchas tarjetas, hay que ir con cuidado al ponerlas o quitarlas. Supongo que tampoco se puede pedir mucho más por el precio.</t>
  </si>
  <si>
    <t>Decepcionante Llegó roto</t>
  </si>
  <si>
    <t>Una baratijas Una baratijas</t>
  </si>
  <si>
    <t>vino defectuoso Al abrirlo ya no me dio buena impresion, porque se movia algo dentro de la carcasa y el pc no lo reconocia. Asi que lo devolvi. Espero no tener problemas con la devolucion, pedi otro igual de otra marca.</t>
  </si>
  <si>
    <t>Buena calidad pero demasiado pagada A medias tintas, buena calidad, es bastante rápida tanto en lectura como en escritura, perfecta para videos en 4k, la única pega es el precio, creo que con las v30 o superiores se les está inflando demasiado el precio. Pero a partir de estas empiezas a grabar en condiciones vídeos sin paradas. PD. : después de un año de uso, va perfectamente pero está la de 170mbps a mejor precio. Esta ya está desfasada y es más cara que el nuevo modelo.</t>
  </si>
  <si>
    <t>Recomendable. Se escucha bien y el material parece bueno. El conector al móvil se desenchufa sin quererlo al moverte en ocasiones,supongo que al ser recto y no en ángulo. La relación calidad/precio es muy buena.</t>
  </si>
  <si>
    <t>Todo perfecto Genial</t>
  </si>
  <si>
    <t>Diseño Perfecta, buen tacto y diseño</t>
  </si>
  <si>
    <t>Bien Aceptable Hay un poco de todo... Casi no huele el de naranja y limón Una maravilla el de menta Me queda por probar alguno</t>
  </si>
  <si>
    <t>Calidad precio bueno A mi hermana le van genial</t>
  </si>
  <si>
    <t>Lo mejor que he encontrado Sin duda, es lo mejor que he probado. Rápido y efectivo. Fácil de limpiar.  Había probado las tiras desechables, que son un rollo porque salen caras. También había probado un rodillo que se desmonta y lava, pero con dos pases, hay que lavarlo y apenas te da para una prenda. Además de no ser tan efectivo.  Este cepillo en cambio, es muy cómodo de usar, atrapa de todo y deja la ropa muy bien. Llevo usándolo un par de meses y estoy contento con la compra.</t>
  </si>
  <si>
    <t>MUY RECOMENDABLE El precio es absurdo, lo he adquirido por 100eur y aun recuerdo cuando 100eur te daba para 1tb de hhd. Muy facil de instalar aunque te puede dar problemas dependiendo de tu placa base, nada que no se solucione buscando en google un poco. Se ve solido y no se calienta mucho.  Muy recomendable.</t>
  </si>
  <si>
    <t>Comodidad La uso todos los dias para currar y son una maravilla super cómodas y ligeras</t>
  </si>
  <si>
    <t>Muy por encima de la competencia &lt;div id="video-block-RU55J1T1Z66F0" class="a-section a-spacing-small a-spacing-top-mini video-block"&gt;&lt;/div&gt;&lt;input type="hidden" name="" value="https://images-eu.ssl-images-amazon.com/images/I/A1uvry17RMS.mp4" class="video-url"&gt;&lt;input type="hidden" name="" value="https://images-eu.ssl-images-amazon.com/images/I/71NH7OYaf3S.png" class="video-slate-img-url"&gt;&amp;nbsp;Llevaba ya un tiempo deseando cambiar mis auriculares bluetooth con cable por un modelo sin cable y ya que parece que estos meses estan apareciendo estos dispositivos como setas, pensé que era el momento y me decidí debido a la alta puntuacion. Y la verdad es que despues de unos dias con ellos, me tienen enamorado. Al desempaquetar, te encuentras con una presentacion totalmente premium. Cajita con precinto, tarjeta de garantia, instrucciones en castellano, cable microUSB (quien no tiene 10 de estos ya en casa...), 2 pares de almohadillas extra de tamaño pequeño y grande, mas el par mediano que viene colocado en los auriculares. Y finalmente, el coqueto estuche-powerbank que incluye los auriculares ya precargados para poder usarlos nada mas recibirlos.  A la hora de usarlos, lo que mas destaca es su facilidad tanto de manejo como de emparejamiento. El estuche tiene un puerto microusb para cargar su bateria de 500 mA, y este a su vez tiene dos puertos magneticos que cargan los auriculares. Por tamaño, puede cargarlos unas 5 veces antes de vaciarse por completo. Tambien tiene un led azul que parpadea mientras carga y los auriculares un led blanco con la misma funcion. Si las luces estan encendidas, la bateria esta al maximo. Decir con respecto a esto que la primera carga en mi caso aguanto unas 4 horas de sonido continuo con el volumen al 50%, con lo que si te llevas la caja fuera, tendras unas 20 horas totales de bateria.  Al sacar los auriculares de la caja, se encienden y se ponen en modo emparejamiento. Mi primera prueba fue con el movil y la conexion fue instantanea, sin necesidad de pin. Buscar E18 en el apartado Bluetooth y a partir de ahi, cada vez que entran y salen de la caja, vuelven a conectarse al ultimo dispositivo emparejado sin realizar ningun paso mas. He comprobado que el auricular izquierdo es el principal y puede funcionar de forma independiente si al derecho se le acaba la bateria por ejemplo, no siendo asi al reves. El derecho es como un altavoz secundario que al encenderse permite musica en estereo. A mi me interesaba tambien usarlos con el PC asi que hice la prueba de emparejamiento tambien con ellos. Fue igual de sencillo, ir al menu de bluetooth de windows 10, buscar E18 y ahi estaban. Conectar y listo.  En cuanto al funcionamiento, permiten realizar lo tipico de estos modelos inalambricos. Cada uno tiene un unico boton que se encarga de realizar diferentes funciones. Una pulsacion corta en cualquiera de ellos pausa y continua la musica. Una pulsacion corta en el izquierdo permite contestar llamadas y una larga invoca al asistente de google o apple.Una pulsacion larga en el derecho permite avanzar de cancion. Aqui si que se echa en falta poder controlar el volumen, pero parece que estos es comun en todos estos auriculares. El volumen se controla solamente desde el movil o PC.  En cuestion de ergonomia no he tenido problema alguno. Son ligeros y se ajustan perfectamente al oido y a los dos minutos te olvidas de que los tienes puestos. Yo utilizo las almohadillas medianas y ni se mueven ni me molestan despues de llevarlos mas de 3 horas lo cual es mucho decir.  La opcion de llamada utiliza el auricular izquierdo para la voz y creo que cualquiera de los dos sirve como microfono, ya que ambos tienen un pequeño agujero. Si esto os incomoda, los auriculares son reversibles, asi que se pueden cambiar de oreja sin problemas. La calidad de llamada es perfectamente clara y segun me han dicho, mi voz tambien suena sin problemas y sin cortes, asi que un diez en este aspecto.  Y llegamos al apartado mas complejo. Evaluar el sonido, que es para lo que al final vamos a utilizar estos juguetitos. Por desgracia yo tengo unos auriculares corsair USB de 150 Euros y 7.1. Evidentemente la calidad no se puede comparar, sin embargo para ser unos auriculares tan ligeros y pequeños, la musica se escucha clara y sin ese rebufo metalico que suenan en la mayoria de cacharros chinos. Ademas el sonido es homogeneo tanto al 10% como al 90%, y al 50% es mas que suficiente para abstraerse del exterior. La reproduccion se produce sin ningun tipo de retardo entre la izquierda y la derecha, pero he podido comprobar que si existe un retardo entre imagen y sonido, por ejemplo al ver videos en Youtube. No llega ni a 200ms pero si se van a utilizar para ver peliculas, es algo que llega a ser molesto. Para evitar esto, es necesario que fueran compatibles con codecs APTx o similares. En este caso parece que no es asi.  Como final comentar que para mi sin duda lo mas util comparado con unos auriculares de diadema, es la posibilidad de quitarte uno si hay alguien hablandote (o si te parece oir fantasmas a las 2 de la mañana mientras los usas para jugar al resident evil xD), y la comodidad de poder utilizarlos sin que te duelan las orejas por la combinacion diadema-gafas (es mi caso, uno va teniendo una edad y los ojos fallan....)  El regalo de estas navidades sin duda.</t>
  </si>
  <si>
    <t>Me encanta Me encanto, es tal cual como se muestra en el anuncio. Los colores son bellos y la tela es suave. Llego a tiempo.</t>
  </si>
  <si>
    <t>Me encanta Un buen aparato potente y práctico...</t>
  </si>
  <si>
    <t>Patricia Arévalo Son los biberones normales de Medela. Son los que hemos usado con todos nuestros hijos por la comodidad de ser los que vienen con el sacaleches de Medela. La única pega que le pondría es que al ser de boca ancha, a la hora de reemplazar las tetinas tienes que usar las de Medela o las de boca ancha de Dr Brown. En una farmacia o supermercado es mucho más fácil encontrar de boca estrecha.  No es una pega importante porque aquí mismo puedes encontrar tetinas.</t>
  </si>
  <si>
    <t>Un acierto Perfecto para bailar! Muy cómodo y con el tacón perfecto.</t>
  </si>
  <si>
    <t>Todo bien Por el precio ,está muy bien</t>
  </si>
  <si>
    <t>Cómodo y muy practico Lo llevo en mi trabajo es práctico</t>
  </si>
  <si>
    <t>Recomendado Me gustan mucho y son buenas boyas, como siempre. El precio ha sido también muy bueno y el envío rápido. Gracias. Un saludo.</t>
  </si>
  <si>
    <t>Vans Originales</t>
  </si>
  <si>
    <t>Muy util Diseño muy lindo sencillo, cumple con su cometido sin que lo.notes....muy útil.</t>
  </si>
  <si>
    <t>Pequeño pero práctico.Nos ha gustado. Es más pequeño de lo que pensaba pero es muy práctico y se guarda bien en el cajón.Y se extiende lo que necesites. Era para un regalo y a gustado mucho. El pedido llegado bien embalado y rápido.Gracias</t>
  </si>
  <si>
    <t>Cumple su función Va genial! Es muy fácil de utilizar y todo queda organizado en muy poco tiempo, es flexible y fácil de manejar.</t>
  </si>
  <si>
    <t>Producto OK Buena calidad a muy buen precio</t>
  </si>
  <si>
    <t>Nada que ver con el de los chinos Compre uno rollo de los chinos y a los cinco minutos de pegarlo en las cajas de cartón, se despegaba por todos lados. Este pega perfectamente y sin esfuerzo. Una vez pegado, no se mueve, tienes que cortarlo. Además, tiene una buena resistencia. Para romperlo, tienes que cortarlo. En definitiva, que vale la pena gastar un poco más y tener un producto de calidad.</t>
  </si>
  <si>
    <t>TODO OK VA BASTANTE REGULAR PERO EL CONECTOR NO ES DE CALIDAD Y DE PASAR DE USB A MICROUSB NO VA MUY BIEN Y LA TRANSFERENCIA TAMPOCO VA COMO DEBERIA ME HACE PICOS DE 43</t>
  </si>
  <si>
    <t>Calienta bastante, aunque la caja pone que consume 60W y no lo que describe el vendedor. Calidad normal. Recibido perfectamente por parte de Amazon. El precio es competitivo y la calidad normalita. La primera impresión fue mala, ya que puse la manta sobre el sofá y después de un rato encendida no me pareció que calentase prácticamente nada. Después mi mujer, hizo una segunda prueba en la cama y ahí la opinión cambió a mejor, teniendo incluso calor en su posición máxima (mi mujer es muy friolera). Por lo tanto, dándole dos o tres primeros usos para que coja ritmo y usándola en la cama (con sábana y edredón), puedo decir que cumple perfectamente con su función.  Aspectos a destacar: - Precio, muy barato. - Tacto, muy suave y no se nota nada que está puesto cuando te tumbas en el. - Bajo consumo, eso sí, son 60W, la descripción no es correcta. - Se puede desconectar y lavar. - Según pone la descripción, dura hasta 9h en funcionamiento continuo, otras solo duran 2-3h.  Aspectos negativos: - No calienta uniformemente al 100% toda la manta, hay esquinas y partes inferiores y superiores que no se calientan igual, ya que por esas zonas apenas pasan resistencias. - El conector se sitúa en una esquina de la manta, siendo éste un poco grande y molesto (hay que ponerlo en dirección a los pies). - El material de la manta se "pela" y suelta pelusa.</t>
  </si>
  <si>
    <t>Uso una cada dos dias Podrian ajustar más el precio o más recambios. Tambien usar sprai mopa, dura un poco mas. Uso una cada dos días.</t>
  </si>
  <si>
    <t>Sólo pega en papel. Lo quería para telas (cojines, manualidades, nada complicado) y NO pega nada. Se despega constantemente de las telas. Sólo va bien en papel. Ya para cosas con algo de peso, es inútil. No lo devuelvo porque se me pasó el plazo antes de usarlo.</t>
  </si>
  <si>
    <t>Muy mala calidad. Por su material se ajusta bien a la muñeca y es cómoda. Pero..., 1º. la correa larga se queda suelta porque la hebilla no es buena, se suelta todo el tiempo con la incomodidad que produce. 2º y más importante, los tornillos en apenas unos meses se han oxidado hasta el punto que al retirar uno de ellos se ha roto en el encaje del reloj.</t>
  </si>
  <si>
    <t>No defrauda Bastante bien...sin queja</t>
  </si>
  <si>
    <t>bastante bien correcto</t>
  </si>
  <si>
    <t>Buena relacion calidad precio Buena relación calidad precio, eso si.. si llevo el teléfono  en la funda para correr en el lado contrario del receptor de los auriculares (es el R) se oye entrecortado, al cambiar de brazo sin problema.. ahoa bien.. la causa es el Bluetooth del telefono? la funda para correr?  o los auriculares... yo creo que un poco de todo pero el precio ya me esta bien...</t>
  </si>
  <si>
    <t>Muy cómodos Ya conocía la marca. A parte de cómodos, los zapatos son muy resistentes. Lo único que hay que tener cuidado con la talla dado, que en mi caso, la talla en esta marca y tipo de calzado, no se corresponde con la del número de pie que uso en otras marcas. No obstante, si eliges el adecuado para tí, son comodísimos. Pongo cuatro estrellas, porque para mi estéticamente no son nada bonitos pero esto, es algo ya muy personal. Pero insisto en que en comodidad les doy un 10.</t>
  </si>
  <si>
    <t>Muy cómodas Muy cómodas</t>
  </si>
  <si>
    <t>Muy buena compra. Auriculares geniales para hacer deporte...me encantan, muy cómodos de llevar y duración de la batería bastante buena, me encantan.</t>
  </si>
  <si>
    <t>Esterilla Buscaba una esterilla de este tipo sin que fuera a un precio muy elevado. Esta me gusto bastante por opiniones y por recomendaciones. Me encanta que viene el pack junto y una funda. Es mediana y sin duda ha sido un descubrimienro para esos días que necesitas relajarte y liberar tensión.</t>
  </si>
  <si>
    <t>Buena calidad Buena calidad, llego antes de tiempo.</t>
  </si>
  <si>
    <t>Llegaron en el tiempo k dijeron. Son perfectas son las k buscaba!!!</t>
  </si>
  <si>
    <t>Hermoso Espero conserve su color</t>
  </si>
  <si>
    <t>Bonitos Bonitos y un detalle</t>
  </si>
  <si>
    <t>Ok Perfectas</t>
  </si>
  <si>
    <t>Correa metálica para xiomi band 3 El producto está bastante curioso y queda muy bonito, pero la presentación del embalaje propio del producto deja mucho que desear, viene presentado en una simple bolsa</t>
  </si>
  <si>
    <t>Preciosas Preciosas y monisimas. Me han encantado y son comodisimas.</t>
  </si>
  <si>
    <t>Perfecto Ya había comprado 1 y por eso me decidí a comprar otros 2 y la verdad que son muy buenos se escucha fenomenal casi que mejor que los que vienen con los móviles además el envío fue rápido y todo perfecto</t>
  </si>
  <si>
    <t>Compra ideal Buena compra y buena relacion calidad/precio y colores muy agradables, sin dudarlo comprare mas para tener en casa de reserva</t>
  </si>
  <si>
    <t>Cómodas Cómodas y calientes. Como en la foto</t>
  </si>
  <si>
    <t>Los más cómodos en True Wireless que he probado Ya había probado auriculares de la marca Soundpeats y siempre me soprenden por su buena calidad tanto en materiales como en sonido. Como estos parecen ser de una serie nueva de la marca (porque llevan la nueva logo) y porque me parecían muy cómodos de llevar, he decidido probarlos (ya que, como siempre, el precio es bastante asequible).  Los auriculares vienen en una cajita pequeñita muy bonita, con algo de información de los auriculares en la parte externa. Dentro de la caja, encuentras la cajita de carga con los auriculares dentro de ella, un cable de carga (micro usb aún, Soundpeats? Porqué?), una bolsita con dos pares más de siliconas para el ajuste en el oído y un montón de papeles (entre ellos, el manual).  La primera impresión de la cajita de carga es que es muuuy ligera. Está toda hecha en plastico, pero casi piensas que no puede tener una batería dentro de ella, pq es demasiado ligera. Quizás la idea era añadir en la portabilidad de esos auriculares, porque además de ligera es muy pequeña. Los auriculares en sí tambíen están totalmente construidos en plástico, pero su diseño es muy bonito y no se parecen en nada a las copias malas de los airpods q hay por ahí. Tienen más personalidad y eso se nota en la mano.  La primera conexión con el móvil fue muy sencilla de hacer. Sin necesidad de hacer conexiones raras entre el lado derecho e izquierdo. Simplemente los sacas de la caja de carga y están en modo de conexión. A partir de ahí, es simplemente buscarlos por el bluetooth del móvil y, a partir de la primera conexión, basta con sacarlos de la caja y ya están conectados. La conexión es estable y sin practicamente latencia al ver videos. Esto seguramente es "culpa" de la versión 5.0 del bluetooth (que se agradece y mucho, ya que no he experimentado ningún corte en la conexión).  El sonido, como siempre en Soundpeats, impresiona por el precio que se paga. Un sonido con un cuerpo impresionante y, sinceramente, no me ha faltado ni en medios ni en agudos. Seguramente un audiófilo diria que falla en alguna frecuencia, pero un usuario normal no debería de echar en falta ninguna frecuencia. Los graves, como he comentado, tienen muy buen cuerpo y punch, las voces y cuerdas (medios) suenan suficientemente delante para que no tengas que tirar de ecualizadores y los agudos son claros, pero no punzantes ni molestos. Sinceramente, de auriculares de ese precio, los más equilibrados que he probado, aunque se nota claramente que están hechos para personas que escuchan música con graves (porque ahí es donde se lucen más). La musica pop es así, así que tienen un sonido comercial, pero que no desagrada en otros estilos musicales.  Otra cosa que me ha gustado mucho y es digna de mención es que son los auriculares True Wireless más cómodos que he probado. No he tenido que estar buscando la posición más cómoda y más segura para que no se caigan. Es ponerlos y se quedan super bien ajustados, pero practicamente no se nota que los llevas puestos. Y como son muy ligeros, se hacen muy cómodos de llevar. Creo que también podría salir a correr con ellos y se quedarían bien ajustados (no he llegado a probarlos haciendo ejercícios).  Una vez más, Soundpeats me ha sorprendido con un producto excelente para su precio. Lo recomiendo para cualquiera que esté buscando unos auriculares true wireless con buen sonido y cómodos de llevar. Estoy muy contento con la compra.</t>
  </si>
  <si>
    <t>CALIDAD MOULINEX:  POTENTE LIGERA, BUEN PRECIO MOULINEX ES MUY BUENA MARCA EN PEQUEÑO Y MEDIANO  ELECTRODOMÉSTICO, GARANTÍA DE CALIDAD. COMPRÉ UNA MINI BATIDORA EXCELENTE. UNA COSA MUY PRÁCTICA ES SU MONTAJE. LAS QUE COMPRÉ DE OTRA MARCA, FALLÓ POR SER DE CLICK EN LUGAR DE ROSCA COMO ESTE CASO. ES VISIBLEMENTE PEQUEÑA PERO MUY POTENTE A LA PAR QUE LIGERA, FÁCIL DE MANEJAR. PUEDES COMPRARLA CON MÁS O MENOS ACCESORIOS. MUY BUENA COMPRA EN RELACIÓN PRECIO, CALIDAD, RENDIMIENTO, Y POTENCIA. TIENE GARANTÍA, Y PUEDES SI LO DESEAS COMPRAR UNA EXTENSIÓN DE ELLA. ESTOY MUY CONTENTA CON EL PRODUCTO, LE DOY MUCHO USO Y, ESTÁ SUPLIENDO A LA BATIDORA DE VASO QUE DEJÓ DE FUNCIONAR. ESTA OCUPA POCO ESPACIO.</t>
  </si>
  <si>
    <t>La atención 10</t>
  </si>
  <si>
    <t>La comodidad He tenido una rotura de talón y con estos zapatos voy súper cómoda</t>
  </si>
  <si>
    <t>Producto de calidad. 100% recomendado! Es muy práctico y sencillos de usar.</t>
  </si>
  <si>
    <t>Muy buena Muy buena, gran potencia, muy estética.</t>
  </si>
  <si>
    <t>Poca calidad. Difícil de limpiar El diseño es bonito. Pero Se ve endeble.  No cabe la mano para poder lavarla si lo precisa. Al  primer uso ya se ha oxidado.</t>
  </si>
  <si>
    <t>Regular. No esta mal, y lo bueno es q flota si lo usas en vaso grandes, pero algunas hojas de te se escapaban entre los agujeritos....</t>
  </si>
  <si>
    <t>No lo recomiendo El producto no está mal pero buscaba un despertador más cómodo... Me gusta el modo amanecer (aunque no lo he llegado a probar) pero no me gustan varias cosas: -No se puede programar la alarma de lunes a viernes, si no que cada viernes la tienes que desactivar y volver a activarla el domingo. -El botón para ver la hora de noche no es cómodo...casi no se encuentra y encima cuando está apagado y le das, te sale en la máxima intensidad. -No me gusta el color de los números. -Las luces son demasiado "festivas", más que de un despertador.</t>
  </si>
  <si>
    <t>Marta Por la foto y la descripcion me esperaba una kettle de mucha mejor calida y mucho mas pesada .... La queria para tener siempre a la vista en la cocina pero tendre que seguir usando la vieja!</t>
  </si>
  <si>
    <t>Duda de que sea auténtica. Viene en una bolsa de plástico que hace dudar de su autenticidad. El cierre en su interior creo que lo delata pero aún tengo que compararla con una auténtica .</t>
  </si>
  <si>
    <t>Ojo, es una falsificación! La camiseta es falsisima!!!! Seriagrafia de poca calidad y en la etiqueta no aparece nada de levis. Para eso lo compro en Aliexpres que es mucho más barato</t>
  </si>
  <si>
    <t>Por el precio que tienen, genial Los utilizo para el gym y están muy bien, para el precio que tienen, claro está. Se escuchan bien, calidad normal, la esperada de unos auriculares de botón de menos de 10 euros. La calidad parece muy buena, el cable es bastante flexible al estar recubierto de goma. No distorsionan mucho al escuchar música con volumen alto. Son bastante ergonómicos. Los volveré a comprar cuando se rompan.</t>
  </si>
  <si>
    <t>que sirven para lo que lo he pedido Se adaptan muy bien y cumplen a la perfección con lo que quería, calentitos y confortables</t>
  </si>
  <si>
    <t>Bueno Le do 4 estrellas por que un dia olio a humo pero de hay perfecto potente y tritura muy rapodo</t>
  </si>
  <si>
    <t>Probando De momento funciona correctamente, he utilizado de otras marcas y me han dado problemas, sobre todo a la hora de grabar en 4K que es para lo que se utiliza. No sé si con el tiempo dará errores y saldrán archivos corruptos, pero en el tiempo que la he utilizado cumple.</t>
  </si>
  <si>
    <t>Muy buena relación calidad precio Hay unis 10 modelos diferentes en cada en cada lote. Yo pedí dos lotes y los modelos eran diferentes en cada uno de ellos. Lo utilice para regalo a los niños de la clase de mis niños y les encanto. Los usamos en casa y no han roto ninguno. Son resistentes.</t>
  </si>
  <si>
    <t>👌🏽 Una Bmw de tostadora</t>
  </si>
  <si>
    <t>Bien Comodas y bonitas</t>
  </si>
  <si>
    <t>Excelente memoria usb Para el ordenador es tan sencillo como cualquier otro lápiz de memoria; para el móvil utiliza una interfaz muy intuitiva. La trasferencia de archivos es muy rápida. Tiene mucha capacidad para liberar la memoria de mi teléfono Samsung s9 . Permite también traspasar otros tipos comunes de archivos entre el ordenador y el teléfono. Una compra muy útil y a muy buen precio.</t>
  </si>
  <si>
    <t>Calidad Caliada.</t>
  </si>
  <si>
    <t>Genial! 10 Genial! Para l@s que tengáis los pies frios por las noches y que estos no te dejan dormir, genial producto! Lo pones al microondas pocos minutos, y a los 10 min siguiente ya tienes los pies calentitos! Sin duda volveria a comprar! 😊</t>
  </si>
  <si>
    <t>Eficaz Lo use para pegar la pantalla del Apple Watch y no me ha dado ningún problema</t>
  </si>
  <si>
    <t>Skechers tipo reebok Son comodas y resistentes.</t>
  </si>
  <si>
    <t>Fantásticos náuticos de invierno Ya tenía otros similares, aunque en un tono más rojizo (estos son más bien chocolate), así que si repito es porque quedé muy satisfechos. Pese a ser la misma talla, me quedan ligeramente amplios, pero también puede ser que tengan que ajustarse un poco. Me llegaron en perfectas condiciones.</t>
  </si>
  <si>
    <t>Rapidez Todo bien</t>
  </si>
  <si>
    <t>Buenas bonitas pero poca talla. Son preciosas muy ligeras y comodas pero talla pequeño hay que pedir un numero a más... yo uso 37 pedí 37.5 y es justita. Si no llevas calcetines demasiado gordito las puedes poner bien. Ya llevo meses con ellas las uso a diario y estoy encantada.</t>
  </si>
  <si>
    <t>Válida para pandora Genial para dar otra toque a la pulsera</t>
  </si>
  <si>
    <t>Muy bonitas Tal cual las ves en las fotos del producto</t>
  </si>
  <si>
    <t>PERFECTO PARA TRABAJAR Es muy, muy cómodo, y con un diseño moderno. Se adapta muy bien al pie y no queda suelto. La numeración es un poco pequeña, lo tendré en cuenta para la próxima vez.</t>
  </si>
  <si>
    <t>MUY BONITA Chaqueta chula y puesta queda muy bien, buena calidad y hechura, me parece hasta barata por lo bien que sienta, llama la atención. El vendedor un 10, tuve que contactar con él para el color y aunque es por mail, contesta rápido. Recomiendo tanto la chaqueta como el vendedor, que ademas de esta tiene cosas muy chulas y a buen precio-</t>
  </si>
  <si>
    <t>Recomendable Envió en un día, súper rápido y súper bien masajeador. Tienen 3 cabezales intercambiable y de calor. Es muy fácil de manejarlo. Pesa un poquito pero me siento con bien calidad. Es efectivo para aliviar dolores musculares en espalda y pierna.Se trata de un aparato recomendable con un precio adecuado.</t>
  </si>
  <si>
    <t>Ka buena relación precio calidad Ideal</t>
  </si>
  <si>
    <t>Decepción En comparación con el neewer nw 700 suena mucho peor, el micrófono tiene mala calidad, lo demás está todo bien.</t>
  </si>
  <si>
    <t>es original. lo que no me a gustado es que tenga 29 gb , en vez de los 32  gb que anuncia, por lo demas estoy satisfecho.</t>
  </si>
  <si>
    <t>Bien sin más En un primer lugar la mochilita se ve buena, tiene ese material repelente al agua aunque no es resistente a la lluvia. La capacidad es correcta, para llevar pocas cosas y muy planas, por ejemplo, el móvil la cartera, alguna barrita de cacao y no mucho más, unas gafas de son no entrar a no ser que las metas a presión y se quede como un globo. Lo que no me gusta es la forma de la bandolera en si, es un poco incómoda de llevar porque es muy rígida y al ser ambidiestra no queda bien para ningún lado. La hebilla me hace daño en las costillas. Los tiradores de las cremalleras son muy útiles y las cremalleras funcionan muy bien. El bolsillo que trae en la correa no sirve para nada.</t>
  </si>
  <si>
    <t>Atascos continuos y falló a las dos semanas de compra La recibimos entusiasmados  pero no cumplió nuestras expectativas. Al no tener sistema de mapeo, No sigue ningún patrón en el aspirado lo que hace que pase muchas veces por el mismo sitio, que salga y entre en una habitación continuamente sin ir al resto de la casa...Para nosotros era la “tonta de la familia” si  se atascaba en algún sitio, al sacarla se empeñaba en volver continuamente al mismo sitio.  Nos pareció muy torpe Añadir que hace bastante ruido A las dos semanas empezó a sonar muy mal y el cepillo de las esquinas dejó de funcionar. Al ser Roomba esperábamos más efectividad y calidad, pero nos ha defraudado. Imprescindible comprar otro modelo o marca que tenga sistema de mapeo.</t>
  </si>
  <si>
    <t>Casio con estilo Buena presencia solo tiene algún problemilla en barómetro</t>
  </si>
  <si>
    <t>Ideal Precioso diseño y tamaño bueno, por poner una pega, hubiera intentado darle una forma lago más redondeada porque al estar atravesada por el agujero para que entre en la pulsera no queda simétrica a la vista. Por lo demás genial, como casi todo lo de la marca.</t>
  </si>
  <si>
    <t>Calidad precio muy buena Al principio no podía conectar el bluetooth a mi móvil En las instrucciones se les pasó explicar q la primera vez q lo conectas los auriculares debían estar apagados y yo lo intentaba con ellos encendidos y se me apagaban Hasta q probé estando apagados y enseguida se conectó Por lo demás buena compra los recomiendo</t>
  </si>
  <si>
    <t>Perfecta No será igual que las caras pero yo estoy encantada . La uso todos los días unos 40 minutos</t>
  </si>
  <si>
    <t>Como esperaba Suda mucho el pie</t>
  </si>
  <si>
    <t>Calientes, cómodas. Han sido un acierto por el calor que dan al pie y la comodidad al ponerlas. Aún así no engancha del todo bien en mi talón, pero ni me importa porque por el resto puedo decir que perfectas.</t>
  </si>
  <si>
    <t>Todo perfecto Llegaron en poquísimo tiempo, son tal y como se describen, estoy contento con la compra !!</t>
  </si>
  <si>
    <t>Calidad precio, un reloj genial El Casio de toda la vida pero con correa metálica. No incluye muchas funciones (alarma, cronómetro, cuenta atrás... lo básico), pero el diseño y su funcionalidad lo hace un reloj de diez. Recomiendo la compra</t>
  </si>
  <si>
    <t>Un buen compromiso entre velocidad y capacidad Lo he usado para "clonar" mi instalación de Linux 18.04, y el cambio es claramente evidente. No es tan rápido cómo un SSD, clro está, pero la diferencia con respeto a un HDD normal se nota y mucho.</t>
  </si>
  <si>
    <t>ideal para divertirse compre el micrófono para divertirnos en familia los fines de semana con los peques y familiares,la verdad que le estamos usando bastante,a mis hijos les ha encantado,es muy fácil de usar,lleva dos altavoces los cuales tienen un buen sonido,lo necesario para las casas e incluso para actividades al aire libre,se conecta al móvil y también por bluetooth,también tiene el botón de eco,suena muy bien,le recomiendo para los peques o para reuniones familiares,esta a buen precio,él envió fue rápido y bien envalado</t>
  </si>
  <si>
    <t>Parches Los he comprado por un dolor en la espalda , he utilizado sólo uno de momento y me ha aliviado bastante, se enganchan bien y se nota el efecto calor, lo he tenido puesto durante unas 8h sin problema</t>
  </si>
  <si>
    <t>De momento contenta Es muy bonita. La veo fuerte, pero no puedo asegurar lo 1 dure, mi hija ha empezado con ella el instituto y muy contenta, pensé que iba a tener mucho cartón. Pero no...</t>
  </si>
  <si>
    <t>TODO CORRECTO El plastico no es muy duro, yo las que solia comprar era mucho mas, pero por la diferencia de precio se perdona. Muy buena calidad-precio. Totalmente recomendables</t>
  </si>
  <si>
    <t>Buen funcionamiento Funciona bien y es cómoda</t>
  </si>
  <si>
    <t>ESPECTACULAR &lt;div id="video-block-RMWOVX0P00XUT" class="a-section a-spacing-small a-spacing-top-mini video-block"&gt;&lt;/div&gt;&lt;input type="hidden" name="" value="https://images-eu.ssl-images-amazon.com/images/I/81SSixN3yYS.mp4" class="video-url"&gt;&lt;input type="hidden" name="" value="https://images-eu.ssl-images-amazon.com/images/I/91ADrDUwcpS.png" class="video-slate-img-url"&gt;&amp;nbsp;Nunca había probado un aparato de estos y cuando vi el precio de éste me atreví a comprarlo y la verdad que no puedo estar más contenta!! Es espectacular, funciona super super bien</t>
  </si>
  <si>
    <t>Sudadera Fruit Of The Loom 62-216-0, Sudadera Buena sudadera, muy comoda, de calidad media y muy amplia para la talla que uses.</t>
  </si>
  <si>
    <t>Buena y practiva Se ve de buena calidad.  Esteticamente bonita y muy practica.</t>
  </si>
  <si>
    <t>Muy cómodas Están muy bien. Talla bien</t>
  </si>
  <si>
    <t>Perfecto Zapatillas muy cómodas y calentitas, es cierto que en verano puede ser que la calor sea excesivo. Por lo demás quedan muy bien y cómodos. Ya os diré la durabilidad.</t>
  </si>
  <si>
    <t>distintas y mejor calidad Tenía de las básicas que se venden en pack. Pero mi marido se empeñó en estas.... las recordaba buenas de cuando él estudiaba y así está siendo. Buena calidad</t>
  </si>
  <si>
    <t>Excelente producto. Completamente impermeable garantizado, muy buen agarre, no son nada pesados para la calidad que reprsenta y muy cómodos desde el primer momento.</t>
  </si>
  <si>
    <t>talla extraña Pese a que había comprado unas bambas negras de la misma Marca, por alguna razón las blancas fueron más pequeñas que las negras que me quedaron perfectas</t>
  </si>
  <si>
    <t>La comodidad No</t>
  </si>
  <si>
    <t>No carga la bateria funciono con la carga que traia, al ponerlo en carga varias horas, en 2 minutos anunciaba "low battery" desilusión total.</t>
  </si>
  <si>
    <t>buena apariencia pero mala calidad. Es el segundo que compro. De momento los dos van perfecto. Por el precio pagado lo recomiendo y el embalaje perfecto. Al cabo de dos años empezó a funcionar mal y a pararse. No lo recomendaría a nadie. También consume mucha pila. Me ha decepcionado.</t>
  </si>
  <si>
    <t>Toques el cable i fa soroll Un cop connectada la guitarra a l'ampli, si toques el cable fa força soroll, i fa d'ntena, el que indica que no està ben aillat. El torno d'immediat.</t>
  </si>
  <si>
    <t>Tamaño Es lo que esperaba. Tamaño correcto para poderlo transportar o tenerlo guardado sin problemas. I capacidad suficiente para mis necesidades</t>
  </si>
  <si>
    <t>Si la cuidas te dura, si eres un bruto no. Buena potencia Tiene muy buena potencia, ruido lo normal, viene con varillas de amasar (no suelen venir x este precio) y de montar, efectivas. Lo único malo, el vaso del accesorio de triturar y el vaso normal son de plástico maluchi que se rompe a la primera vez que se te caiga. Triturar, batir  masas y demas estupendo, para montar se calienta demasiado.</t>
  </si>
  <si>
    <t>La comodidad Buen calzado resistente y comodo</t>
  </si>
  <si>
    <t>Funcional y buen precio Cumple perfectamente con las funciones para la cuales lo he comprado. El precio es bueno, pero claro, tampoco se puede esperar grandes cosas. Es funcional, pero los materiales dejan que desear, no se ve robusto, cuando lo manipulas parece que se te pueda romper facilmente. Hay que ser delicado al utilizarlo y abrir/cerrar para abrir cassete,  la tapa del compartimento para las pilas parece super delicada... los botones no te dan una sensacion de saber que te va a durar por años... pero supongo que por ese precio no se puede pedir mas, por eso lo puntuo bien... si te dura un año, por otros 20€ te compras otro y listo.</t>
  </si>
  <si>
    <t>Talla bien. El color es gris muy claro, talla M, para mi estatura 1.70 complexion delgada bien.La calidad de la tela no es muy buena pero lo esperado.</t>
  </si>
  <si>
    <t>Lo que quería calidad precio muy difícil de superar Muy buenos 100% recomendables</t>
  </si>
  <si>
    <t>Hermosos Muy bonitos, me encantaron. Llegaron antes de la fecha prevista. El precio super económicos.</t>
  </si>
  <si>
    <t>Precioso pero... Es un hervidor precioso en aceto inoxidable, pero no entiendo como es que Russell Hobbs a veces les pone un marcador de los grados y otros no, cuando es muy útil para saber que grados tiene. Por lo demás va bien, en menos de un minuto tienes el agua hirviendo, pero si quieres más temperatura evidentemente requiere más tiempo. Sale mejor que hacerlo por ejemplo, en la inducción que tarda más y gasta más luz.</t>
  </si>
  <si>
    <t>Genial Muy bonitos, quedan perfectos</t>
  </si>
  <si>
    <t>Genial Para el precio que tienen son una pasada. Me decidí a comprarlos porque a parte de ser inalámbricos tienen cable jack para usarlo en caso de que se te acabe la batería (un gran acierto). Además tiene radio( cosa muy rara) y también puedes recibir llamadas. Vienen con un estuche muy chulo.Están genial los recomie do 100%</t>
  </si>
  <si>
    <t>La rapidez y lo buenas que son Perfecto, tal y como lo describen</t>
  </si>
  <si>
    <t>Martinera Era lo que buscaba,  muy comoda, no tienes que quitartela para cambiar el objetivo, gracias a la cremallera lateral puedes sacar lo que necesites, puedo meter la camara y dos objetivos, ademas, de lentes y mas accesorios pequeños. La recomiendo para aficionados y principiantes.</t>
  </si>
  <si>
    <t>Encontrar talla grande en calzado Cómodo, y tallades correcto</t>
  </si>
  <si>
    <t>Se oyen muy bien Después de usarlo bastante durante estos días, puedo decir que me parecen unos buenos auriculares. Vienen empaquetado tal y como se ve en las fotos, con un cable para carga, la caja de carga de los auriculares y varias almohadillas para el oído de diferentes tamaños de recambio. La caja no tiene tapadera, pero los cascos entran y se ajustan mediante una especie de imán, puesto que no se salen de ahí si tu no los retiras. El primer emparejamiento me resultó algo costoso, puesto que solo se oía por un auricular, lo resetee gracias a un pequeño video de YouTube (QCY reset) y sin problemas ya. No tiene retrasos de audio con respecto a vídeos, su calidad de sonido es muy buena y la duración de la batería es larga. De momento, estoy contenta con la compra.</t>
  </si>
  <si>
    <t>Funcional y elegante Estoy encantada, fácil de usar y de limpiar. Te preparas un batido en pocos minutos y no ocupa nada de espacio. Muy recomendable.</t>
  </si>
  <si>
    <t>Me encanta Además de barata funciona de categoría. La compré para hacer purés y la aconsejo. Hay que lavar con cuidado la barilla pues no es desmontable pero eso es lo de menos. Aconsejo compra.</t>
  </si>
  <si>
    <t>Buen tratamiento facial natural Conociendo las propiedades de los minerales, no tenía claro si comprar un rodillo de jade o de cuarzo rosa. La elección del rodillo de jade me ha parecido muy acertada.  No hace mucho que lo tengo por lo que no estoy en disposición de comentar los resultados a largo plazo, pero la sensación que deja en la piel tras utilizarlo es muy agradable. Se siente tersa y fresca como cuando se acaba de aplicar una mascarilla facial. El rascador Gua Sha libera de impurezas y tiene un agujero para poder colgar, por lo que es posible llevarlo encima a todas partes sin estar pensando si se ha metido o no en el neceser.  Quizás no sea su objetivo, pero he descubierto que fresquito, colocado sobre una picadura de mosquito, alivia bastante el picor.</t>
  </si>
  <si>
    <t>Buena compra sin duda Su diseño te entra por los ojos! Comparados con otros auriculares del mismo tipo sin duda es un plus ante sus competidores!  Buena relación calidad de sonido y buena conexión sin problema a través del bluetooth.  Estuche con carga como viene siendo habitual. Tiene una pantalla LCD que muestra el porcentaje de batería de manera individualizada.  Buena compra.</t>
  </si>
  <si>
    <t>Ayuda a tener menos cólicos Si se cierra bien no se derrama la leche. Pero hay que tener cuidado y que todo esté bien colocado. Desde que los uso prácticamente no ha tenido más cólicos de gases, con los otros biberones tenia a diario.</t>
  </si>
  <si>
    <t>Excelente La relacion calidad/precio es mas que excelente. Maravillosa presentacion y los calcetines suaves y de buena calidad. Recomendado 100%</t>
  </si>
  <si>
    <t>Comoda ME gusta. Funciona perfectamente desde la puesta en marcha (aunque no es fácil). El día a día trabaja bien en todas sus facetas. Quizá el café expreso me gustaría más fuerte, pero aun me queda margen de pruebas para mejorarlo. Puedes configurar finura d molienda, intensidad de aroma, cantidad de agua por café...Todo OK, algo más ruidosa de lo que me gustaría, pero al ser de las más baratas de su categoría, no le puedes pedir todo.</t>
  </si>
  <si>
    <t>Calidad precio es el mejor Me ha encantado, tiene muchisima potencia de sonido. Lo utilizamos para una peña en fiestas, y lo teníamos conectado casi todo el día con mucho volumen, y no dio ningún problema.</t>
  </si>
  <si>
    <t>Crear buen ambiente Nos ha gustado mucho, no ocupa mucho sitio, cumple con lo prometido, Suena muy poco... Y para la Aromaterapia perfecto</t>
  </si>
  <si>
    <t>Buena calidad,  justa para dos tazas. Me encanta mi hervidora de viaje. Las tasas caben dentro sin problemas, apenas ocupa sitio y se ajusta a mi maleta de cabina. Es genial si vas de viaje y no tienes desayuno. Calienta súper rápido.</t>
  </si>
  <si>
    <t>Vino sin Velcro La bolsita del del micro estaba como muy tocada y la caja un poco abollada, ademas de venir sin el velcro, es una pena porque ayudaba a enrollar el cable</t>
  </si>
  <si>
    <t>Hay cosas ha mejorar A mi hijo le ha gustado mucho aunque hay cosas ha mejorar</t>
  </si>
  <si>
    <t>Calienta rapido Hierve rápido,pero hace bastante ruido. Debes estar atento/a de que el agua cubre el nivel mínimo. Al tener la resistencia cubierta,facilita su limpieza.</t>
  </si>
  <si>
    <t>Correcto Buena velocidad de lectura y escritura, precio bueno (no para tirar cohetes) y es resistente. Lo uso en mi día a día y estoy más que contento. Recomendable.  Edito:  Después de un año ha dejado de funcionar de forma correcta.</t>
  </si>
  <si>
    <t>Engaño He esperado un montón para que hoy me haya llegado un solo estropajo!!! Un engaño</t>
  </si>
  <si>
    <t>De lo mejorcito por ese precio Para costar 8€ me han sorprendido bastante, son solidos, de buen material y el sonido es nítido. No tiene demasiados graves pero si una muy buena ecualización. Son desde luego una buena compra y mejor opcion que cualquier auricular del precio en una tienda al uso. Además vienen con una caja de lo mas chula y con unas pinzas que han resultado una grata sorpresa. La mayor pega que le veo es que después de usarlos mucho tiempo he notado una ligera molestia, pero es algo que me suele pasar a menudo con los auriculares, y como no, cada oreja es distinta. Le doy 4 estrellas por eso, sinó serían 5!</t>
  </si>
  <si>
    <t>Muy práctico. Es precisamente lo que deseaba para uso informal: las horas con números grandes, segundero y calendario.</t>
  </si>
  <si>
    <t>Fácil y cómodo Me gusta la facilidad de uso y la potencia que tiene. Para la fruta de mi niño es genial porque me la deja bien pasada. Lo que menos me gusta es la estrechez del vaso. Podría ser algo más ancho y más corto, pero en relación calidad-precio está genial.</t>
  </si>
  <si>
    <t>Reloj bonito, bueno y barato La verdad es que estoy muy contento con es reloj, funciona bastante bien y es de una marca de confianza, aunque al ser blanco hay que limpiar la correa de vez en cuando.</t>
  </si>
  <si>
    <t>Cómodo Me encanta, es acuático y tiene muy buena calidad.</t>
  </si>
  <si>
    <t>Comprador Amazon Duro y resistente pero más bonito. Fue un regalo y la verdad es que a la homenajeada le gustó mucho</t>
  </si>
  <si>
    <t>Muy buena compra Es tal como la descripción, llega muy rápido , bien protegido y funciona de maravilla. Lo recomiendo además buen precio para un producto que de media suele durar entre 5-10 años</t>
  </si>
  <si>
    <t>muy buena calidad! He comprado muchos hervidores de agua pero ninguno con esta relación calidad/precio, Es perfecto porque encima ocupa muy poco en la encimera.</t>
  </si>
  <si>
    <t>Buena calidad/precio Hace su función muy bien</t>
  </si>
  <si>
    <t>Bien Están bien</t>
  </si>
  <si>
    <t>Deportivas perfectas Unas deportivas perfectas. Quedan geniales y son muy cómodas.</t>
  </si>
  <si>
    <t>Muy cómodas Y me gustan bastante como me quedan, así que se han convertido en unas de las que más uso.</t>
  </si>
  <si>
    <t>Batidora profesional He comprado la batidora con la idea de utilizarla principalmente para purés y me ha sorprendido enormemente la funcionalidad de la misma. Cuenta con un vaso que tiene una capacidad aproximadamente de 2 litros. Tiene diferentes velocidades para ajustarla a los diferentes alimentos y dureza de los mismos. Los acabados son mejores que la imagen. Es muy fácil de usar y de limpiar. Además se puede meter en el lavavajillas. Se la ve robusta y muy resistente. Los purés quedan muy finos siendo imperceptible los alimentos. Es muy comparable con las denominadas profesionales.</t>
  </si>
  <si>
    <t>Muy comodos Son muy cómodos de llevar, le dura bastante la batería tanto del auricular como de la base, quedan muy escuetos y se escuchan muy bien, los uso para hacer deporte y para ver la tele por la noche desde la cama y no despertar a nadie, puedo ver películas a todo volumen sin despertar ni a mi pareja ni al bebé, ha sido un acierto.</t>
  </si>
  <si>
    <t>Vicente Exactamente lo que buscaba y esperaba. Ya tenía un Seiko 5 desde hace años y no me decepcionó. Muy bueno.</t>
  </si>
  <si>
    <t>Perfecto Me ha parecido un buen producto. lo llevo utilizando mas o menos 1 mes y a dia de hoy, no he tenido ningún problema</t>
  </si>
  <si>
    <t>Excelente calidad precio! Muy rápido en calentar y estéticamente muy bonito. El detalle de la luz led azul simulando las llamas de un fogón es muy llama-tivo ;). Simple de manejar y fácil de limpiar. Y por solo 15,99 euros, esto es una ganga! No es muy recomendable para viajar, por su tamaño y el riesgo de golpear el cristal.</t>
  </si>
  <si>
    <t>Me gustan Aun no los he estrenado pero me ha sorprendido lo poco que pesan y lo cómodos de coger que son por su forma</t>
  </si>
  <si>
    <t>Muy buena calidad Tienen una suela muy buena, gruesa, que aisla muy bien del suelo.  Son muy calientes y cómodas, perfectas para el invierno.  Increíble relación calidad/precio.</t>
  </si>
  <si>
    <t>calentitos Fueron un regalo y le encajaron estupendamente y dice que son muy agradables y calentitos.</t>
  </si>
  <si>
    <t>bonitas bonitas pero algo grande</t>
  </si>
  <si>
    <t>Suenan bien y tienen buena autonomía Fueron un regalo para mi mujer. Acude al trabajo en bus y tiene media hora para poder oir música. Le regale estos auriculares, con lo que oye música de forma discreta y sin problemas de cables y posibles caídas del móvil. No molestan nada y se escuchan perfectamente. Tienen una buena autonomía, ya que a pesar del uso diarío pasa semanas sin recargar.</t>
  </si>
  <si>
    <t>De poca confianza. Creía que el producto era nuevo y me llegó de segunda mano...</t>
  </si>
  <si>
    <t>Bonitas pero talla pequeña. Las zapatillas son muy bonitas pero siempre uso la 40 y estad me quedas muy pequeñas, he tenido que devolverlas.</t>
  </si>
  <si>
    <t>Una adherencia más fuerte no vendría mal Les falta un poco de adherencia porque en cuanto tiras un poco del cable se acaban despegando y es una lástima porque el sistema es bueno para tener bien organizados los cables</t>
  </si>
  <si>
    <t>Fiasco Producto muy malo de instalar, le faltaba parte y lo tuve que devolver. No se lo recomiendo a nadie, los hay mucho mejores.</t>
  </si>
  <si>
    <t>Jefferson No estoy satisfecho xke hice 2 pedidos uno fue entrgado y el otro no y llamo y me atendio un sr diego ke no tiene un pokito de relacione humana y es un habusibo</t>
  </si>
  <si>
    <t>Buena calidad Funciona bien y la picadora es perfecta. He leido varios comentarios que dicen que viene mal y vibra, con lonque al poco tiempo acaba partiendo los plásticos, en mi caso, esto no ha sido así.  Trae la batidora, un baso, una picadora, una cuchilla para picar hielo en la picadora y el util para batir.</t>
  </si>
  <si>
    <t>Alivia el dolor Un electroestimulador muy efectivo para su pequeño tamaño, práctico, potente, con distintos tipos de corrientes y potencia, va muy bien para aliviar el dolor de las contracturas de cervicales</t>
  </si>
  <si>
    <t>Muy bonito Muy bonito abalorio, sirve perfectamente para mi pulsera....más de un año y como el primer día</t>
  </si>
  <si>
    <t>BUENO ME GUSTA MUCHO LA VARIEDAD, HAY QUE AÑADIR MAS DE UNAS GOTITAS PERO HUELE MUY BIEN.</t>
  </si>
  <si>
    <t>Buenos. Buena relación calidad precio. Los uso para conectar mis monitores activos a una pedalera Boss y lo hace sin ruidos con con la mayor ganancia. Recomendables.</t>
  </si>
  <si>
    <t>Pantalón deportivo Muy cómodos los leggins deportivos se adaptan al cuerpo y al ser altos de cintura sientan muy bien, ideal para hacer deporte, no se transparentan nada. La talla perfecta. Tejido de buena calidad, es muy recomendable los volvería a comprar.</t>
  </si>
  <si>
    <t>Perfecto Muy cómodo, justo lo que se ve en las fotos y lo que necesitaba</t>
  </si>
  <si>
    <t>Perfecto Fue un regalo de navidad y cumple su cometido,todo perfecto,lo malo , los vecinos de abajo jejeje , por lo demás la niña encantada</t>
  </si>
  <si>
    <t>Muy bonitos y de tamaño perfecto Soy una enamorada de los pendientes en forma de estrellas y cuando vi estos me encantaron. Tuve mis dudas al pedirlo por los comentarios acerca de su pequeño tamaño. He de destacar q me han gustado mucho y además me han sorprendido porque no me han parecido tan pequeños. Os he colgado una foto para q veáis cómo quedan puestos. Me parecen unos pendientes de diseño fino y orinal, muy ponibles e ideales para las noches de verano. Su precio muy ajustado. Los recomiendo.</t>
  </si>
  <si>
    <t>Estupenda batidora Batidora con suficiente potencia para batidos, salmorejos, picar hielo o pan. De gran capacidad y variedad en modos de uso. Dispone de unas ventosas en la base para evitar que se mueva, también incluye un "vasito" tipo thermomix para poder retirar de la tapa grande y añadir ingredientes sobre la marcha. Muy buena opción calidad/precio.</t>
  </si>
  <si>
    <t>Buen regalo Comprada para regalar a mi pareja por aniversario. Le ha encantado, es fina, sencilla y elegante.</t>
  </si>
  <si>
    <t>Todo correcto me ha llegado rápido, ningun daño,funciona bien.</t>
  </si>
  <si>
    <t>Gran calidad a buen precio Es un producto de una gran calidad, viene además en un envase de cristal con cuentagotas para administrar y aprovechar mejor las dosis del producto. Lo utilizo para el pelo que lo tengo muy reseco y encrespado y el efecto es increíble, con unas gotas. Había usado otros aceites de argán, pero ninguno de esta calidad, me imagino que por su pureza. Además, el pedido llegó enseguida. En resumen, estoy muy satisfecha con la compra.</t>
  </si>
  <si>
    <t>Buena compra El plazo de entrega como siempre genial y puntual El zapato muy cómodo y ligero solo llevo un día con el pero la verdad buena compra</t>
  </si>
  <si>
    <t>Una Gozada Funciona perfecto, no hace excesivo ruido (el lógico del agua hirviendo) tiene un tamaña estupendo para un hogar o una oficina con pocos empleados. Tras seis meses de uso, funciona como el primer dia y no le he visto ni un solo punto de oxido. le doy 5 estrellas justificadisimas.</t>
  </si>
  <si>
    <t>Es muy bonita Me gusto, está muy bien por el precio que tiene</t>
  </si>
  <si>
    <t>Los volvería a comprar otra vez Unos auriculares excelentes, tanto para hacer deporte como para el trabajo de forma diaria, la batería es de larga duración, sirve también como de manos libres, además tiene una comodidad expecional, también por el precio que tienen la calidad de sonido es genial, no pensaba que tuvieran tanto rendimiento por el precio que tienen, sin ninguna duda, los volvería a comprar.</t>
  </si>
  <si>
    <t>Cómodo y acabados de buena calidad. Muy cómodo, parece material de buena calidad y agradable al tacto. Además los acabados también se ven muy buenos. Espacioso con tres departamentos principales y bolsillos interiores</t>
  </si>
  <si>
    <t>Mejor de lo que esperaba Por 15 euros menos que en el resto de tiendas, me esperaba algo raro.  Cuando me llegaron las comparé con otro modelo de Converse compradas en tienda física y no hay ninguna diferencia. Son unas Converse de toda la vida, sin sorpresas.  Eso sí, por el tallaje de Converse, hay que pedir una talla menos de la normal.</t>
  </si>
  <si>
    <t>Eficaz y sencillo &lt;div id="video-block-R2TADJVGRH3F5N"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id="103" preload="auto" src="https://images-eu.ssl-images-amazon.com/images/I/B16UraaRoSS.mp4" style="position: absolute; left: 0px; top: 0px; overflow: hidden; height: 1px; width: 1px;"&gt;&lt;/video&gt;&lt;/div&gt;&lt;div id="airy-slate-preload" style="background-color: rgb(0, 0, 0); background-image: url(&amp;quot;https://images-eu.ssl-images-amazon.com/images/I/B13Y82IUwlS.png&amp;quot;);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value="https://images-eu.ssl-images-amazon.com/images/I/B16UraaRoSS.mp4" class="video-url"&gt;&lt;input type="hidden" name="" value="https://images-eu.ssl-images-amazon.com/images/I/B13Y82IUwlS.png" class="video-slate-img-url"&gt;&amp;nbsp;Muy contenta con el.difusor .vino muy bien embalado y en perfecto estado..funciona muy bien con su mando y tiene diferentes posiciones de humidificar. .además de su cromoterapia</t>
  </si>
  <si>
    <t>Muy completo Es perfecto para aprender canciones. Yo diría que desde 4 años hasta 9 puede resultar divertido. Te vienen 12 partituras y si metes la partituta en la ranura puedes oir como suena dandole al play, para que sepan como es el ritmo. Si meten la partitura en la ranura y tocan una tecla mal suena un sonido como de croar de rana para que sepa que se confundió. Si se graban no te corrige errores pero luego al oirse ellos notan que no lo hicieron bien. Mi hija de 4 años aprendio la primera canción en dos días. Me encanta.</t>
  </si>
  <si>
    <t>Magnifico Es un producto "fino" de los que hay que tener cuando uno va con traje a exponer un trabajo en un sitio elegante. Suele haber uno igual allí, claro, pero por si acaso conviene llevarse el propio.</t>
  </si>
  <si>
    <t>Bien Bastante amplio y con bolsillos y unico malo tendria que venir con un molde por que viene un poco aplastado</t>
  </si>
  <si>
    <t>Grande, La gente opina que te cojas una talla mas de lo que gastas, pero no es cierto porque talla grande, me va a tocar devolverlo. En cuanto al pedido en si esta bien, es como en la foto, buena calidad y el envio rápido.</t>
  </si>
  <si>
    <t>excelente el forro un poco cutre, pero si lo quieres mejor hay el mismo modelo de almohadilla mejor forrado pero no vale la pena gastar ese dinero, por poco y maña te lo haces en casa</t>
  </si>
  <si>
    <t>Fácil aseso para la limpieza No es muy fuerte y la parte del cepillo es demasiado pequeña</t>
  </si>
  <si>
    <t>Muy interesante Un elemento para que todo quede bien limpio</t>
  </si>
  <si>
    <t>ESTAFA Es la segunda vez que los compro y las dos veces me ha fallado el auricular derecho nada más conectarlo, la conexión del regulador de volumen al auricular es una chapuza y desde luego los originales no son ni de lejos, tirar el dinero.</t>
  </si>
  <si>
    <t>Buen sonido, cómodos de llevar Estos auriculares blueetooth son realmente interesantes. Vienen en una pequeña caja metálica que te cabe en el bolsillo. Ésta tiene dos funciones: guardarlos/transportarlos, y cargarlos. El emparejamiento se hace sin problemas (pocophone f1 e iphone 7). Pesan muy poco y casi no se nota que los llevas puestos. Traen otras gomas por si no se adaptan bien las de origen. El sonido es bueno, faltaría una app para ppoder equalizar a tu gusto. Desde los mismos auriculares puedes pasar canciones, retroceder, subit/bajar volúmen y contestar llamadas.  Contenido de la caja: - Caja de carga - transporte. - cable de carga. - Gomas de repuesto de tamaños diferentes. - Manual de instrucciones y manual rápido.  ● Qué me gusta: ✅ Facilidad de uso. ✅ Cómodos.  ● Qué NO me gusta: ❌ Falta poder equalizar a tu gusto.  CONCLUSIÓN: Me han gustado, suenan bien, son cómodos y puedes contestar llamadas. Los recomiendo.</t>
  </si>
  <si>
    <t>Sorprendente Después de leer opiniones muy positivas en todo tipo de webs y foros, decidí comprar estos cascos para comprobarlo por mí mismo pues mis anteriores cascos estaban viviendo sus últimos instantes de vida. Al contrario de lo que leí en algunas opiniones, al menos en mi caso, proporcionan un volumen normal, no es espectacular ni escaso como decían algunos. En cuanto a la calidad de sonido, en las primeras horas de uso los agudos sonaban muy siseantes, un poco molestos, pero después la calidad es francamente excelente, apreciando matices que antes se me escapaban. El punto negativo y que me hizo no darles las 5 estrellas fue la comodidad, y es que todo lo que se ha invertido en ofrecer calidad de sonido se ha recortado en comodidad. La parte superior es cómoda pero los pabellones aprietan mucho la cabeza y continúan haciéndolo después de una semana de uso. El diseño a mí personalmente me atrajo. Son sencillos con cierto aire retro, pero es cuestión de gustos, si te gustan los LED RGB no son tus cascos. En resumen son unos cascos bastante versátiles para escuchar música y para gaming, donde también presentan una buena escena sonora, pudiéndose así utilizar en FPS tácticos si no eres exigente con la comodidad. En mi caso los he complementado con un micrófono de mesa de 6€ que compré hace años y los utilizo tanto para gaming como para música.</t>
  </si>
  <si>
    <t>Javier de León de Teresa Prácticos y buena relación calidad-precio. Recomendable para deportistas amateurs. No se tratan de productos de mala calidad. Buena compra. Recomiendo.</t>
  </si>
  <si>
    <t>Una buena compra Relación precio calidad es muy buena. Se obtiene exactamente lo que se espera lo que ya es más que suficiente. Todavía es pronto para juzgar porque apenas les he dado uso pero a primera vista parece un producto bueno, duradero y de calidad. Estoy satisfecho con la compra y es posible que compre más este producto.</t>
  </si>
  <si>
    <t>calidad precio insuperable Por ese precio no encontraras una impresora con mayor calidad de impresión. Para instalarla hay que descargarse un programa de hp(para configurar el wifi), pero si no conectando al ordenador por el cable usb (no incluido) los drivers se instalan directamente en el ordenador. Los cartuchos que traen son tamaño mini, pero podéis comprar cartuchos económicos XL mirando por internet y duran mucho mas. Por lo demas impresion rapida y limpia</t>
  </si>
  <si>
    <t>Perfecto Fenomenal. Tal y como se describe. De buena calidad. Gran capacidad y cómodo de llevar. 100% recomendable. Etiqueta eshow discreta.</t>
  </si>
  <si>
    <t>Fernando Magnífico reloj,lo recomiendo totalmente dentro de la gama g.shok es el mas humilde pero sigue siendo un gral reloj .tuve un problemilla en el envio que amazon ,me lo soluciono rápidamente un 10.gracias</t>
  </si>
  <si>
    <t>Funciona perfectamente Ha sido un regalo para mi padre y por el momento funciona perfectamente y lo que más le gusta es la visibilidad de la esfera. Parece una buena compra</t>
  </si>
  <si>
    <t>Potente, robusta, de calidad Es una maravilla, la acabo de recibir y ya la he utilizado para probarla. Es muy potente, compacta, moderna, espero que me dure mucho tiempo</t>
  </si>
  <si>
    <t>Plastifica muy bien He plastificado varios folios de 115 de gramaje y todo muy bien. Lo recomiendo.</t>
  </si>
  <si>
    <t>Buena base de carga y alargadera Muy buen producto funciona a la perfeccion, no resbala por la goma que lo cubre. Puertos usb funcionan bien y son bastante rápidos a la hora de cargar móviles y tablets. Recomendado.</t>
  </si>
  <si>
    <t>Calidad - Precio definitivo, buena compra Precio calidad totalmente aceptables y bien. Los he probado en rio sin mucho caudal y aguanta bien el velcro que trae, la suela no me ha resbalado, tampoco los he puesto al límite. Normalmente llevo una 41 y me he cogido una 42 y me va genial. Los volvería a comprar.</t>
  </si>
  <si>
    <t>Desatascador Esta muy bien. De acuerdo con lo  pedido</t>
  </si>
  <si>
    <t>Muy buena calidad Calidad precio supera la calidad para el precio</t>
  </si>
  <si>
    <t>bueno buen tono</t>
  </si>
  <si>
    <t>Como esperaba, cómodo Cómodo y bonito.</t>
  </si>
  <si>
    <t>Geniales Unas botas originales, por supuesto, y que son tremendamente cómodas. Típico calzado de invierno que te pones todos los días.</t>
  </si>
  <si>
    <t>Muy bien. Transacion correcta y sin problema. Gracias.</t>
  </si>
  <si>
    <t>Auténticas Muy bien originales y comodasimas.</t>
  </si>
  <si>
    <t>Auriculares para hacer deporte Auriculares comodos y ideales para hacer deporte. Funcionan muy bien y la bateria dura bastante. Una cosa q los diferencia de los demas es la tirita que viene , que es ideal para hacer deporte con ellos y q no se te caiga</t>
  </si>
  <si>
    <t>Me encanta!! La camiseta es más bonita que lo parece en la fotografía, el tejido es muy suave y queda muy bien. Perfecto!!</t>
  </si>
  <si>
    <t>Buen sonido, comodidad y batería Lo mejor de estos auriculares es su sonido. Ya había oído que el audio de los productos de esta marca es de calidad pero el de estos cascos, por el precio que tienen, es impresionante. Tanto los bajos como los agudos rinden muy bien incluso con volumen alto. Además, aislan de los ruidos exteriores.  En comodidad tampoco se quedan cortos, se ajustan perfectamente a la oreja y no se caen ni en el gimnasio. El control táctil esta bastante logrado.  En cuanto a la batería, con la primera carga me duró 3 días con un uso moderado, que es más que aceptable.  La caja que viene para guardarlos y cargarlos es muy práctica para protegerlos y que no se te pierdan cuando los usas fuera de casa o por ti se te acaba la batería. El estuche cabe en el bolsillo y se transporta muy bien.  En general estoy bastante satisfecho  con el producto, muy recomendable.</t>
  </si>
  <si>
    <t>Potencia Es muy potente y rápido de utilizar estoy muy contenta por la compra. La recomiendo.</t>
  </si>
  <si>
    <t>Muy recomendable La verdad que se escucha genial pero lo único malo es lo que lo sujeta se suelta muy a menudo pero creo que es el que me tocó por que el que probé anteriormente funcionaba perfectamente todo  muy recomendable la verdad</t>
  </si>
  <si>
    <t>Muy bonitas pero se estropean con facilidad Son muy chulas y muy cómodas. Tuve que devolver un par porque se despegaban los bordes muy rápido y con éstas me pasa lo mismo. Yo las tengo en color blanco y encima, amarillean porque se va saliendo el pegamento supongo. No repetiría en este color. Adjunto una foto con ellas recién lavadas. Ahora mismo tienen casi 3 meses.</t>
  </si>
  <si>
    <t>Gusben Dentro de lo esperado</t>
  </si>
  <si>
    <t>2 de 10 están estropeadas no puedo grabar nada en 2 de ellos, y la verdad es que valen un dinero como para que fallen 2 de 10.</t>
  </si>
  <si>
    <t>No sirve No sirve es demasiado lento o bajo y no sirve ni para un cuarto de 2 metros cuadranos y es muy ruidoso para lo poco o nada q sirve un error al comprar</t>
  </si>
  <si>
    <t>Horrible El biberon es el que mejor coge mi hija, pero es horrible porque sale la leche por la rosca y es desesperante dárselo. Voy a devolver y comprar otro por si el que yo tengo esta defectuoso, pero por ahora no lo recomiendo.</t>
  </si>
  <si>
    <t>Muy buena compra. Hemos comprado el producto hace una semana, al ser verano y tener las ventanas abiertas no lo hemos visto funcionar aún a pleno rendimiento. Es muy fácil de usar, le hemos añadido aceites esenciales y huelen de maravilla. Nuestra niña tiene el sueño muy ligero y aun así el humidificador no le molesta.</t>
  </si>
  <si>
    <t>MUY PRACTICA Y COMPACTA De un tamaño adecuado, lo que más me gusta, es la sujeción que, con un simple gito desde la espalda, la tienes a mano para sacar tu cámara.</t>
  </si>
  <si>
    <t>Buen producto Su capacidad y su pequeño tamaño ocupa muy pocorspacio se puede llevar en el llavero</t>
  </si>
  <si>
    <t>Bambas con plataforma Muy veaniegas aunque tallan justas</t>
  </si>
  <si>
    <t>Buena calidad/precio Perfecta, todo correcto</t>
  </si>
  <si>
    <t>Relacion calidad precio Estan muy bien de precio y parecen de buena calidad</t>
  </si>
  <si>
    <t>Su capacidad y precio Es un producto practico, pequeño y de bastante capacidad</t>
  </si>
  <si>
    <t>Muy bonita y de diseño Muy cómoda con sus diferentes medidas en el interior para 1,2 y 3 tazas. Diseño precioso</t>
  </si>
  <si>
    <t>Muy cómodos Zapatos de diseño muy cómodo de poner y llevar. Agradable sensación en los pies.</t>
  </si>
  <si>
    <t>Estoy contenta Si me gustado es como esperaba</t>
  </si>
  <si>
    <t>Perfecto Que genial, 100% recomendable</t>
  </si>
  <si>
    <t>Inmejorable para viajes cortos y/o, a diario, para gimnasio, piscina, etc. Si te organizas bien se trata de una bolsa más que suficiente para viajes de 3 o 4 días. Óptima relación calidad/precio.</t>
  </si>
  <si>
    <t>Cinturón para correr/senderismo. Buenos materiales y cómodo Con este cinturón no tengo problema en alargar las rutas de running, llevando siempre conmigo una botellita de agua fresca. Es cierto que la botella pesa y hay que acostumbrarse a llevarla cuando se va trotando. En mi caso suelo girar un poco el cinturón para que la botella quede a la espalda y voy bien. Los bolsillos son muy prácticos, el grande para el móvil y el pequeño para meter monedas. Recomendado.</t>
  </si>
  <si>
    <t>És muy bonita És un buen regalo a buen precio</t>
  </si>
  <si>
    <t>Huele a limpio Huele a limipio y el olor perdura bastante</t>
  </si>
  <si>
    <t>Muy cómodas y bonitas Muy cómodas y bonitas, las volvería a comprar</t>
  </si>
  <si>
    <t>Excelente reloj auténticamente ochentero. Lo compré llevado por la nostalgia y me reencontré con un verdadero clásico, el antecesor mas próximo del mítico f91-w, pero con mejor resistencia al agua. Es increiblemente ligero y comodo, puedes olvidar que lo llevas facilmente, y aguanta bien el agua y los golpes ligeros del uso diario. Algo pequeño para los gustos actuales, pero compensa con su comodidad y su aire retro.</t>
  </si>
  <si>
    <t>Muy chulas Perfectas</t>
  </si>
  <si>
    <t>Muy buen producto Buen producto, buena calidad. Estoy muy contento con esta compra, merece la pena. La talla se adapta perfectamente, yo compre unas 43 y no noto para nada la diferencia con mis demás calzados.</t>
  </si>
  <si>
    <t>Fantasticas Estupendas</t>
  </si>
  <si>
    <t>Barsto La mejor compra de mi vida en lo q al running se refiere</t>
  </si>
  <si>
    <t>excelente vendedor Me quedaron un poco grande de lo esperado, pero el vendedor fue muy servicial.</t>
  </si>
  <si>
    <t>Magnífico precio Cómodo uso.</t>
  </si>
  <si>
    <t>No satisfactorio. Lo necesitaba para ver datos de sellos de coleccion. No es muy preciso y no cubre mis deseos. Además llegó el embalaje abierto.</t>
  </si>
  <si>
    <t>No es bonito No le a gustado y hemos tenido que devolver pero sin problema...</t>
  </si>
  <si>
    <t>Los he comprado mejores Es cuero de este duro que a mi no me termina de encantar y cabe la cartera y no mucho mas la verdad</t>
  </si>
  <si>
    <t>Ni fu, ni fa Tras un año de intensa búsqueda , análisis , lectura de opiniones , reviews y demás artículos relacionados al tema auriculares, me decidí a probar suerte con Beyerdynamic . Había leído que eran magníficos y la mejor opción si buscabas trabajar en un estudio y prescindir de monitores . Después de engullir toda aquella información , en mi cabeza estos auriculares serían la perfección materializada. Y he de decir que me llevo una decepción. No sé si los auriculares están mal , o tienen algún tipo de fallo pero no suenan excepcionalmente bien, suenan aceptables y ya, tienen cierto espaciado entre sonidos pero sinceramente no me ha entusiasmado. Suelen hacer algun chisporroteo cuando el cable se mueve y creo que los graves están bastante saturados en general. Mi idea era comprarlos y hacer uso de ellos para mezcla y producción y así no dar tanto uso a los monitores y molestar a los vecinos, y he de decir que en ese aspecto no he ganado nada. Se llevan 3 estrellas porque son super cómodos y dentro de lo que cabe, pues una vez pagados, no queda más remedio que usarlos.</t>
  </si>
  <si>
    <t>¿Falsas? Faltan cordones y plantillas La platilla viene cortada por la mitad, (no son las platillas comodas sport clasicas). NO traen los dos juegos de cordones, los negros y los amarillos, solo viene con los negros. NO vienen marcadas en el lateral como las verdaderas.</t>
  </si>
  <si>
    <t>Entra humedad A los pocos días de tenerlo me entró humedad y dejó de funcionar</t>
  </si>
  <si>
    <t>Cumplen La zapatilla cumple con todo lo que pone, suela, puntera, el acabado es bueno, a destacar el interior que es muy cómodo desde el primer momento, de ancho la talla está bien, de largo es un poco más que lo acostumbrado a la talla y no son pesadas. Por sacarle alguna pega, la presentación es mala (vienen en una bolsa) y quizá podrían ser un poco más transpirables, sacrificando algo de fuerza en el tejido que es muy resistente, con todo, testeadas en plena ola de calor y sin problemas el pie seco al final de la jornada.</t>
  </si>
  <si>
    <t>Buena flash memory. Quiero utilizar un segundo y un tercero,... esperaré bajada de precio.</t>
  </si>
  <si>
    <t>Correcto ( más o menos) Todo correcto como dice la descripción quitando que llego sin dos de las gomas de apoyo como se ve en las fotos, y las dos que trae son tan pequeñas que el metal toca la mesa, dando la sensación de poder rayarla.</t>
  </si>
  <si>
    <t>Cumple las espectativas Razonable calidad-precio. Sencillo y elegante. Para los que no necesitan relojes con demasiadas funciones, enormes , aparentes ni excesivamente complicados.</t>
  </si>
  <si>
    <t>Perfecto Zapatos bonitos y cómodos. En mi caso los compré para trabajar 8 horas al día de pie, en sector de limpieza. Estoy muy contenta con la compra. Envío rapidísimo.</t>
  </si>
  <si>
    <t>La calidad se paga &lt;div id="video-block-R1B306Y9TNYUVM" class="a-section a-spacing-small a-spacing-top-mini video-block"&gt;&lt;/div&gt;&lt;input type="hidden" name="" value="https://images-eu.ssl-images-amazon.com/images/I/B14M-R39MXS.mp4" class="video-url"&gt;&lt;input type="hidden" name="" value="https://images-eu.ssl-images-amazon.com/images/I/712hd1LuM5S.png" class="video-slate-img-url"&gt;&amp;nbsp;Cansado de comprar imitaciones todos los años me he decidido esta vez por este modelo.  Valen el doble de las que me suelo comprar pero la verdad que sólo con sacarlas de la bolsa ya me he dado cuenta de que son mejores.  Al tacto son suaves, la goma no es endeble, la puntera algo más gruesa y en mi caso con hendiduras anchas de ventilacion, la suela interior con puntitos (comodidad y agarre), a mi parecer la banda del talón agarra adecuadamente pues me gusta sólo sentirla cuando dobla el pie. Yo soy de empeine ancho y me están bien. Tallaje perfecto. Tienen pinta de durar unos añitos al menos. Ha venido en un día y simplemente guardadas en una bolsa. Espero que esta información haya sido Útil</t>
  </si>
  <si>
    <t>Capacidad, fácil instalación, rapidez y la seguridad que da la marca de Samsung. Esta unidad de Estado Sólido de 1000GB es super-rápida, muy fácil de instalar y sus características nos dan la seguridad que no fallará en el corto plazo.  Totalmente recomendable.</t>
  </si>
  <si>
    <t>Bien,pero Hola,pues el cubo esta bien y es asi muy recogidito pero un fallo grande que tiene es que donde se mete y escurre el mocho es bastante pequeño y al meter la fregona se queda atrancada,si pusiesen un poco mas de diametro en el escurridor seria perfecto.</t>
  </si>
  <si>
    <t>Magnificas Buenas zapatillas, a buen precio. Tallan un poco largas , pero a su vez estrechas. Recomiendo medio num menos.</t>
  </si>
  <si>
    <t>Calorcito &lt;div id="video-block-R2JX6R4QLGWE3S"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src="https://images-eu.ssl-images-amazon.com/images/I/B16ct+gwnmS.mp4" style="position: absolute; left: 0px; top: 0px; overflow: hidden; height: 1px; width: 1px;"&gt;&lt;/video&gt;&lt;/div&gt;&lt;div id="airy-slate-preload" style="background-color: rgb(0, 0, 0); background-image: url(&amp;quot;https://images-eu.ssl-images-amazon.com/images/I/91O7Vw4dRvS.png&amp;quot;);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value="https://images-eu.ssl-images-amazon.com/images/I/B16ct+gwnmS.mp4" class="video-url"&gt;&lt;input type="hidden" name="" value="https://images-eu.ssl-images-amazon.com/images/I/91O7Vw4dRvS.png" class="video-slate-img-url"&gt;&amp;nbsp;No se nota que esta puesta. Me refiero a cuando está apagada.  Después cuando se activa tarda un poco en calentar pero el calor es constante y cómodo. Tiene 3 niveles de potencia de calor. Muy grande genial para toda la cama.</t>
  </si>
  <si>
    <t>Bonito reloj elegante Compré este reloj para tener algo un poco más elegante y menos deportivo para ocasiones especiales y la verdad es que he acertado con la compra.  Esfera en azul noche con las agujas en dorado y blanco, los marcadores de las horas no son números, son cuadrados dorados (dobles a las tres, las seis, las nueve y las doce) con brillante en el centro. La correa metálica es negro brillante, al igual que la caja del reloj. Todo junto hacen que el reloj luzca realmente bien, y nos da un toque elegante y distinguido.  La esfera cuenta con el día del mes, además de otras 3 esferas totalmente funcionales, que se activan cuando ponemos en marcha el cronógrafo. En las instrucciones, en inglés, se explica a la perfección todas las funciones del reloj, así como cambiar la fecha (la corona tiene dos posiciones para ésto) y activar y resetear el cronógrafo.  Se incluye, ademas de las instrucciones de uso, un destornillador y un díptico con imágenes e instrucciones para  ajustar la correa al tamaño óptimo para nuestra muñeca.</t>
  </si>
  <si>
    <t>De lo mejor para el deporte. Para mí, son los mejores que hay para correr, se ajustan a la perfección y son muy fáciles de conectar. La batería dura mucho, y cuando se va a agotar te avisa antes de apagarse, lo que es un buen detalle si los usas para hablar por teléfono. Las llamadas se escuchan muy bien. Y estéticamente son como en las fotos. Es un producto fundamental si te gusta escuchar música mientras haces deporte.</t>
  </si>
  <si>
    <t>Imprescindible Coge todo;  bolis, subrayadores, unas tijeritas, un abrecartas, gomas, clips, lapices, pos-its , lo que sea, además de que queda bonito y profesional. Al principio se ve grande pero luego es perfecto y muy útil. Obligatorio para cualquier estudiante o persona que trabaje en un escritorio.</t>
  </si>
  <si>
    <t>Botas de calidad a muy buen precio Es la primera vez que compraba calzado por internet y era algo escéptico pero no me han defraudado. Están muy bien acabadas, con el mismo color que se veía en internet y el precio pues mucho mejor a cualquier tienda. Para los que tenemos el empeine ancho, cuesta unos días que ceda la piel, pero en cuanto lo hace se notan como un guante. La suela esta genial, yo venía de unos pikolinos que cada vez que llovía sentía que me jugaba la vida caminando por la calle, con este tipo de suela, sin problemas</t>
  </si>
  <si>
    <t>EXCELENTE COMPRA Recientemente he adquirido el reloj, y me parece fantástico para lo que me ha costado, quizás la única pega que le puedo poner al reloj es que no lleva luz, pero recomedable cien por cien.  Excelente tambien la operación de compra, plazo, entrega.</t>
  </si>
  <si>
    <t>screecherts muy buen producto y muy comodo</t>
  </si>
  <si>
    <t>Muy bueno, calidad precio muy buena. Super comodos y praticos de usar, sonido super claro, materiales muy buenos, autonomía también muy buena, super contento con el producto.</t>
  </si>
  <si>
    <t>Muy eficaz! Llegó en el plazo indicado y muy bien protegido. Al principio me asustó un poco, pero tras usarlo un rato cada día voy aguantando más y notando cada vez un mayor alivio del dolor. Tanto mi hermana como yo tenemos muchos dolores en la espalda y después de usarlo nos bastante menos. Es muy buen producto, lo recomiendo.</t>
  </si>
  <si>
    <t>Bien para su precio Está bastante bien, teniendo en cuenta el precio. Me corta perfectamente papel, cartulina y papel plastificado. He de decir que no me gusta abusar y solo corto de dos en dos pero sigo yendo más rápido que con tijeras (y de forma más precisa). El único pero que le encuentro es que me gustaría que contara con algún tipo de marca para saber exactamente por donde va a pasar la cuchilla o una regla a la altura del corte para poder controlar mejor la precisión.</t>
  </si>
  <si>
    <t>comodidad un numero menos</t>
  </si>
  <si>
    <t>Te las puedes poner con vestido o con vaqueros, de lo mejor que he comprado Muy cómodas, la talla perfecta</t>
  </si>
  <si>
    <t>Organización La compré por ver la mesa de estudio  de mi hijo más desocupada,cosa que surtió efecto ahora perece más grande.</t>
  </si>
  <si>
    <t>Gonzalo L. Segundo pedido que hago de este producto y el problema que tiene es que normalmente te mienten acerca de cuando llega el pedido. Dan un mes de plazo pero se retrasan semanas y no suelen avisarte, por lo que no merece la pena esperar tanto para unos auriculares de 3 euros. Por lo demás el producto es de perfecta calidad.</t>
  </si>
  <si>
    <t>Contenta con el reloj Solamente contenta porque no tiene estuche ni caja y no lo indicaba en la descripcion. El reloj en sí mismo está muy muy bien y su precio muy bueno.</t>
  </si>
  <si>
    <t>DESASTRE NO ME HA GUSTADO NADA. VINO ROTO.</t>
  </si>
  <si>
    <t>Mala compra Zapatos con olor insoportable...se ven muy malos.el pie suda .muchísimo...parecen plástico</t>
  </si>
  <si>
    <t>Buen producto Los botellas so suave y bueno por el precio</t>
  </si>
  <si>
    <t>Reloj Casio Reloj Casio normalito. Todo funciona bien. Lo único que no me ha gustado nada de nada es que venia funcionando con lo cual no se cuanto llevaba así y cuánto le queda de pila. Debería venir parado.</t>
  </si>
  <si>
    <t>Son los mejores del mercado pero con fecha de caducidad No hay nada mejor ni más cómodo para hacer deporte sin conexiones, el problema esque se estropean y tienes ke ir comprando yo creo que es el tercero ya, 60€ en 2 años, merece la pena? Yo creo que si a menos que la competencia se ponga las pilas lo mejor la comodidad, pienso a veces que los he perdido y busco por todos lados al final me doy cuenta que los llevo puestos haha</t>
  </si>
  <si>
    <t>Sencillos pero muy prácticos Prácticos pero en un material sencillo. Poca variedad de colores para que no coincida con los tonos de lana, en cambio, son útiles y muy usados. He vuelto a comprar para regalar a mis amigos.</t>
  </si>
  <si>
    <t>Muy contenta Hace cinco meses q la tengo y de momento funciona perfectamente. Es comodisima la impresión a doble cara automática. El poder imprimir desde el móvil y el email. A veces se va la señal del wifi y le cuesta cogerla. Tarde un ratito en instalarla porque le costó un poquito coger la señal wifi.. pero sin problema. Muy contenta con la compra!</t>
  </si>
  <si>
    <t>Buenos detalles i lleva asta l'arena en un cristal Mui detallado</t>
  </si>
  <si>
    <t>Caja Amarilla En que empresa lo ha comprado para que le venga con la caja Amarilla de la bombona?? Y hace cuanto lo compró para que le costara 128 euros?? Gracias.</t>
  </si>
  <si>
    <t>Buen producto Lo Utilizó para echarme el Minoxidil en el cuero cabelludo . Es de tacto suave y agradable. Lo recomiendo.</t>
  </si>
  <si>
    <t>Perfecta para transmitir fotos desde cámaras sin WIFI. Gran capacidad y velocidad. Transmite las fotos -preferiblemente en jpeg- de una Nikon D800 a móvil mediante WIFI.</t>
  </si>
  <si>
    <t>adidas Falcon W, Zapatillas de Deporte para Mujer Cómodos, pesan poco y buena calidad.</t>
  </si>
  <si>
    <t>estoy muy satisfecha Máxima calidad, modelo muy moderno y precioso, ya venía con la pila....Muy bien de precio. Un regalo precioso para mi sobrino.</t>
  </si>
  <si>
    <t>Movilidad y carga rápida Auriculares inalámbricos que permiten una total movilidad mientras escuchas música o la TV. Se escucha perfectamente y el sistema de carga es muy rápido. Se adaptan perfectamente a la oreja</t>
  </si>
  <si>
    <t>!!! UNA PASADA !!! MUY BONITO POCO MAS DE UN LITRO IDEAL PARA CALENTAR POCAS CANTIDADES CON MEDIO LITRO VASTA Y VA COMO UN TIRO Y SE ENCIENDE UNA LUZ AZUL ELECTRICA MUY CHULA Y LAS MEJORES CALIDADES Y MUY BUEN PRECIO.</t>
  </si>
  <si>
    <t>Cajón registrador grande. Por la foto me pareció más pequeño, pero en realidad es bastante grande y con muchos compartimentos. Está muy bien.</t>
  </si>
  <si>
    <t>BUEN PRODUCTO Calienta un cubo de agua rapidisimo, muy buena relación calidad precio, muy recomendable si estas buscando algo para calentar una pequeña cantidad de agua al momento</t>
  </si>
  <si>
    <t>Cristal resistente y gran potencia &lt;div id="video-block-R3MH7378R3O4M4"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id="39" preload="auto" src="https://images-eu.ssl-images-amazon.com/images/I/C1TytaEAjWS.mp4" style="position: absolute; left: 0px; top: 0px; overflow: hidden; height: 1px; width: 1px;"&gt;&lt;/video&gt;&lt;/div&gt;&lt;div id="airy-slate-preload" style="background-color: rgb(0, 0, 0); background-image: url(&amp;quot;https://images-eu.ssl-images-amazon.com/images/I/811WMl-VlbS.png&amp;quot;);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center;"&gt;1:55&lt;/div&gt;&lt;div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42.5766%;"&gt;&lt;/div&gt;&lt;div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value="https://images-eu.ssl-images-amazon.com/images/I/C1TytaEAjWS.mp4" class="video-url"&gt;&lt;input type="hidden" name="" value="https://images-eu.ssl-images-amazon.com/images/I/811WMl-VlbS.png" class="video-slate-img-url"&gt;&amp;nbsp;La jarra es de cristal grueso y viene con dos mas pequeñas para licuar o trocear. 2 velocidades y una hacia atras. Cuchillas resistentes y gran potencia. Se pueden verter líquidos y sirve para hacer batidos.</t>
  </si>
  <si>
    <t>Perfecto Calidad/precio es de lo mejor Yo lo utilizo para hablar mientras juego al pc y claro yo no me escucho pero todos me dicen que se me oye claro y sin ruido de fondo  Merece la pena este micro ;)</t>
  </si>
  <si>
    <t>Buen diseño y capacidad Me gusta su diseño, algo que antes solo había apreciado en Samsung. Además, para su capacidad ha resultado ser más pequeño que mi toshiba de 1Gb. Otra ventaja que le veo es el cable que comunica con el ordenador, parece más reforzado que en otros discos. Si tuviera que ponerle alguna pega sería el conector, preferiría que fuera uno universal.</t>
  </si>
  <si>
    <t>José Antonio Adquirí 2 relojes de este modelo uno para mi y otro para mi padre, después de un año de uso puedo decir que estoy encantado con la compra. Su resistencia y su precio no tienen competencia</t>
  </si>
  <si>
    <t>Perfecto Exactamente igual.</t>
  </si>
  <si>
    <t>Muy buena calidad Por el precio y lo rápido que llegaron es un producto genial. Lo recomiendo</t>
  </si>
  <si>
    <t>Calidad precio Bonito y tal cual la descripción.</t>
  </si>
  <si>
    <t>recibes lo que compras todo correcto</t>
  </si>
  <si>
    <t>Recomendable Buena calidad y bonitas</t>
  </si>
  <si>
    <t>muy pequeño es muy pequeño el tamaño para caballero se queda desfasado la calidad sera buena como todos los casio,pero no se ve un reloj actual</t>
  </si>
  <si>
    <t>Cómodas y ligeras Son muy cómodas y ligeras pero la suela ha durado poco</t>
  </si>
  <si>
    <t>Muy lento el proceso Me gustó q pareciese 2 tobilleras siendo una sola pero no me gustó el modelo al probarlo</t>
  </si>
  <si>
    <t>Suena mucho el compresor Ha durado 1 mes!!! Fatal! A ver que pasa con el servicio de garantía pero el compresor hace un ruido infernal desde el primer dia y ahora no para en ningún momento</t>
  </si>
  <si>
    <t>El compás está muy bien El compás está muy bien en relación calidad-precio. La caja para transportarlo es un poco floja y tal vez un poco difícil de abrir para los chavales hasta que le cojan el truco. Lo comento porque vo que la gente le da bastante importancia a la caja de transporte.</t>
  </si>
  <si>
    <t>Muy satisfecho En color negro esteticamente es fantástico. En cuanto a funcionalidad, el método de filtrado del zumo me gusta ya que facilita su limpieza aunque si  no te gusta la pulpa, puede que no te acabe de gustar aún teniendo la posibilidad de graduarlo.</t>
  </si>
  <si>
    <t>versatil...... Muy bien para lo que busco........mesa de mezcla para directo y home studio.........el preamplificador es de calidad pero con muy poca potencia suficiente para grabar...........sirve de interfaz con el cable USB, se graba muy bien y se adapta al ordenador muy simple. para directo o ensayo adaptar un amplificador de potencia y solucionado..........con altavoces............ La mesa es muy completa y de calidad, hasta la fecha ningún problema......</t>
  </si>
  <si>
    <t>Muy útil Es un reloj sencillo, fácil de ver, sin utilidades superfluas, mas que útil para uso diario y deporte sin complicaciones.</t>
  </si>
  <si>
    <t>Buena batidora. Hace ya algunas semanas que la tengo y la verdad es que funciona muy bien. Al principio pensaba que iba a tener más potencia, pero según la he ido usando he observado que el botón de menos potencia se puede regular hasta obtener una buena potencia y a parte tiene el botón del turbo. En fin.. yo creo que calidad precio está bastante bien. La picadora la he usado también y es lo previsto. Me animé a elegir este modelo por la calidad del material y especialmente por el brazo de aluminio.</t>
  </si>
  <si>
    <t>Súper contento con el microfono Flipante la calidad de sonido de este micro, me encanta , tenía un micro con tarjeta de sonido y este se escucha x5 veces mejor, me encanta</t>
  </si>
  <si>
    <t>Versatilidad y seguridad La verdad que genial, velociad de transmision de datos, la tranquilidad de la resistencia, como disco externo para llevar es de lo mejor que tengo desde hace tiempo.</t>
  </si>
  <si>
    <t>Comodidad y espacio en los pies. Sentir cada pisada. Las minimalistas que tengo más cómodas y con las que me siento protegido haga lo que haga. Buena sensación de apoyo del pie en cada paso y muy buen espacio para dedos. Me encanta la horma Barefoot2 de Merrell. Tuve que coger el 46.5 y normalmente uso el 46. Utilicé el medidor de tallas de zami.es y la verdad que genial. Las volvería a comprar en otro color porque son geniales.</t>
  </si>
  <si>
    <t>Muy contenta. Genial para la espalda. Ha llegado hoy y ya le he probado. Compre el modelo 30x60.La compré para relajar la espalda y funciona muy bien, tiene varios niveles de calor y puedes controlar el tiempo... el tacto es muy agradable y el mecanismo muy fácil de utilizar. Muy contenta.</t>
  </si>
  <si>
    <t>Recomendables Me gusta bastante la durabilidad de la batería, me olvido de recargarla, la calidad de sonido no es mala, aunque no se le puede pedir peras al olmo, los materiales son normales no de gran calidad, pero en general el producto es cómodo y para un usuario normal son excelente decisión de compra, los recomiendo</t>
  </si>
  <si>
    <t>Llego en perfecto estado Muy contenta</t>
  </si>
  <si>
    <t>Vir Me encantan! Aunque tuve que devolverlas y cambiarlas a un número más ya que al ser flexibles,para tener total movilidad debes comprar un número mayor al que utilizas normalmente.</t>
  </si>
  <si>
    <t>Muy bueno. Muy bien acondicionado (vendido y enviado por amazon). He echo un chkdsk /r /f y no tiene ningun sector defectuoso. Los seagate tienen mala fama pero con discos duros se tiene suerte o no. He comprado un de western digital y he encontrado un monton de sectores defectuosos. Pero tiengo de seagate y nunca me han dado problemas. Si encontro algun problema actualizo my opinion. Lo uso en ps4 pro.</t>
  </si>
  <si>
    <t>Muy cómodo Me resulta muy cómodo, puesto que necesito dar clases con presentaciones en ordenador, y nunca sabes si vas a disponer de HDMI o VGA. Al llevar las dos conexiones ya no hay ningún problema.</t>
  </si>
  <si>
    <t>Sonido envolvente y comodidad Lo pedí ayer y me ha llegado hoy así que la rapidez en el envío como siempre en Amazón Prime excelente.. Ya tuve unos como estos y sinceramente me parecen los mejores auriculares que he probado hasta ahora. La calidad del  sonido es bestial (sobre todo a mí que me encanta sentir los bajos en las canciones) y la comodidad de ajuste en la oreja excelente. Solo los he usado un rato pero no tengo previsto que se vayan a estropear pronto, los últimos me duraría dos años y acabaron fallando por el cable (pero creo que por mala utilización ya que los guardaba sueltos por el bolso y al final de tanto roce supongo que se irían rompiendo).</t>
  </si>
  <si>
    <t>Grata sorpresa Una marca desconocida en España con una relación calidad-precio estupenda. Tiene unas tasa de transferencia de lectura y escritura muy cercanas a los productos top como el Corsair MP 510, del cual tengo una unidad, y admito que le va a la zaga. Muy recomendado</t>
  </si>
  <si>
    <t>Comodidad y calidad a buen precio Prefecto cómodo y ligeros</t>
  </si>
  <si>
    <t>Perfectas El servicio de Amazon en el envío fantástico, como siempre.  Respecto a las zapatillas, venían perfectamente y me quedan como un guante. Es el segundo par que tengo de este modelo y me encantan, son súper cómodas.</t>
  </si>
  <si>
    <t>Buen bolso El bolso es un regalo que hecho y está muy contenta se ve de muy buena calidad perfecto Si quieres  un bolso pequeño y practico</t>
  </si>
  <si>
    <t>Micrófono Buena calidad precio</t>
  </si>
  <si>
    <t>Excelente No ha notado diferencia entre pecho y la tetina que lleva. Llevamos dos meses de uso y su estado es como el primer día.</t>
  </si>
  <si>
    <t>Fácilmente combinables Preciosos pendientes ponibles tanto para diario como para una ocasión especial. Mucho brillo y tamaño adecuado</t>
  </si>
  <si>
    <t>Fácil de usar, práctica y hace buen café Nos encontramos ante una cafetera eléctrica magnífica, a la que no se pueden escatimar elogios. Para empezar, hemos de decir que en la caja, muy bien embalada y presentada, nos encontramos con la cafetera en sí, la jarra de cristal y un libro de instrucciones en varios idiomas, entre ellos el castellano (en realidad, para el manejo de una cafetera tan sencilla no vamos a necesitar instrucciones, aunque nunca está de más echarle un vistazo para el tema de primer uso, limpieza y demás).  La cafetera tiene un cuidado diseño retro que nos entusiasmó nada más tenerla a la vista. En el caso de la nuestra, combina el negro con el rojo (hay otro modelo que es totalmente negro) y con partes metálicas o plásticas plateadas. La jarra es de cristal transparente y tiene una tapa de plástico negro y un asa, también de plástico negro, adornada con una chapa plateada con el símbolo de la marca RH (de Russell Hobbs) en la parte superior, lo que la muestra muy elegante. En el frontal de la cafetera nos encontramos con un señalador del estado del café, del progreso de este en la cafetera y también del tiempo restante de café caliente en mantenimiento. Este indicador, tipo reloj, es lo que le da personalidad al diseño y lo que nos muestra la máquina como algo diferente a lo habitual en el mercado. Esto y pequeños detalles, como es el caso del interruptor, también retro, en forma de clavija que se alza (off) o se baja (on), metálico y también de color plateado.  Como es lógico, la cafetera se abre por su parte superior. Bajo la tapa encontramos el porta filtros, que se puede extraer fácilmente para su lavado mediante una práctica asa plegable. Hay que decir que esta máquina usa filtros del número 4, muy fáciles de encontrar en cualquier supermercado o tienda al uso. Justo detrás del porta filtro está el depósito del agua, que nos muestra el nivel de llenado en ambos laterales de la máquina. En el lateral izquierdo hay, también, un cacillo para medir el café que vamos a depositar sobre el filtro: es negro y si no te fijas ni siquiera se ve, por lo que no rompe la línea de diseño de la cafetera, pese a estar enganchado a ella. Por su parte, la base sobre la que descansa la jarra mantiene el café caliente, de acuerdo con las instrucciones, hasta cuarenta minutos, límite, según también nos dice, para que el café esté en óptimas condiciones de sabor y de aroma, aunque, como se sabe, esto va en gustos, y hay a quien el café le gusta recién hecho, pero también a quien no deja de gustarle aunque ya lleve unas horas en la cafetera.  El uso de la máquina es sencillo a más no poder. Usamos la jarra para medir la cantidad de agua que vamos a echar, la vertemos en el depósito, colocamos un filtro en el porta filtros y con el cacillo rellenamos con la cantidad de café acorde a la cantidad de agua y también a nuestro gusto, más o menos cargado, del café. El máximo, de acuerdo con la escala de la jarra, es de entre diez y quince tazas, en medida, vamos a decir, estándar.  Como con cualquier máquina con la que intentemos hacernos la vida más agradable, lo que nos importa de esta cafetera es el resultado, es decir, la calidad del café que sale de ella. Por nuestra parte he de decir que sabe al café de toda la vida. Ahora bien, en mi opinión, el café que hace está máquina mejora con la cantidad. Es decir, creo que hacer una o dos tazas de café no es muy aconsejable, porque tal vez la medida se nos quede un poco corta y el café nos quede un poco aguado (insisto, que esto también va en gustos), y creo que cuando mejor se nota todo el potencial de calidad que nos da es usándola a gran capacidad, si no totalmente llena, sí mediada o algo más. De este modo creo que el café sale aún mejor.  En resumen, se trata de una máquina con un agradable diseño, que nos recuerda a las de tiempos pasados, aunque funcione como corresponde a un pequeño electrodoméstico del siglo XXI. Es muy fácil de usar, muy práctica, hace buen café y su precio es comedido, así que poco más hay que añadir, salvo recomendarla a quien tenga dudas.</t>
  </si>
  <si>
    <t>Zapato duro Tras utilizarlos durante meses debo decir que cada vez se han puesto mas duro el zapato y llega a doler,,cada vez duele mas,, no merece la pena, el foam de la plantilla de momento se hunde y a los dos meses ya ni foam, ni nada, ni blandito el talon, ni nada de nada. Debí haberlos devueltos cuando me llegaron porque no me dieron la impresión de muy comodos.</t>
  </si>
  <si>
    <t>Puntera Queda muy estrecho por tener la puntera cerrada</t>
  </si>
  <si>
    <t>Lo compraría de nuevo Yo pedí un 40 y queda un poco grande, la Foto que aparece no se corresponde con el envío, la lengüeta y la parte de atrás donde pone la marca son distintos y queda mucho mejor en La foto, buena calidad y buen precio</t>
  </si>
  <si>
    <t>No lo compren Muy malo el producto, está roto casi sin usarlo.</t>
  </si>
  <si>
    <t>No perfora bien Se atasca des de su primer uso demasiado sencilla y mala calidad</t>
  </si>
  <si>
    <t>No sirve de nada He comprado esta BATIDORA que en realidad funciona como uma mezcladora, no bate nada. Hasta un platano ( Sin congelar) no es capaz de bater, salen trozos de platano en el batido. es simplemente inútil. La devolvería se tuviera en plazo. No me srive ni para las tareas mas sencillas.  Fatal</t>
  </si>
  <si>
    <t>Zapatillas puma para entretiempo La tela es un poco aterciopelada, buena calidad aunque transpira poco. El diseño esta muy bien</t>
  </si>
  <si>
    <t>Cómodas y ajustadas Por cierto l precio que tiene 17€ merece la pena</t>
  </si>
  <si>
    <t>Muy bueno Esta muy bien. Masajes buenos y calor.</t>
  </si>
  <si>
    <t>Tarjeta relación calidad precio óptima Por lo que vale cumple con su cometido de forma adecuada. Es clase 10 por lo que funciona muy bien para trabajar con los móviles de última generación que disparan y graban video en calidades altas y elevadas resoluciones.</t>
  </si>
  <si>
    <t>Muy contenta Las anillas son fuerte y resistente y la goma de fuera es una buena idea para no doblar los documentos</t>
  </si>
  <si>
    <t>Buena eleccion Están muy bien, son muy cómodos y la talla esta perfecta son muy guapos y ajustan de maravilla con el sistema de la lengüeta</t>
  </si>
  <si>
    <t>Me gusta mucho Es pequeño, práctico, dura bastante y se apaga solo si se queda sin agua. Lo uso por la tarde para que pueda humedecerse la habitación antes de dormir. Le pongo unas gotas de lavanda y huele divino. Las luces cambian de color y crean un ambiente relajado.</t>
  </si>
  <si>
    <t>Perfecto. Todo perfecto, gracias. Rápido en la entrega y el producto un 10. Botas de muy buena calidad. No son las primeras que tengo, seguiré comprando esta marca.</t>
  </si>
  <si>
    <t>Comoda y funcional Mea gustado la facilidad de montaje sus varios lentes i la ubicacion de las pilas para sus luces. Led lauso para la electronica ypara leer ylas miniaturas</t>
  </si>
  <si>
    <t>Muy muy guapo Va de lujo</t>
  </si>
  <si>
    <t>COMODIDAD Es una buena compra, un poco caro pero te olvidas de pasar la aspiradora, comodisimo programas y te olvidas es ruidoso pero no creo que exista aspiradora que no haga ruido Recomendable sin lugar a dudas, en el tiempo que la tengo, un mes aproximadamente</t>
  </si>
  <si>
    <t>Gran calidad, estilizan la figura Son de gran calidad, tuve un bebé y la zona del vientre tiene gran sujeción, no se marca nada debajo, estilizan la figura u me parecieron de muy buen precio y muy buena calidad</t>
  </si>
  <si>
    <t>Vuela mi PC Ha rejuvenecido un equipo con ya años. Feliz</t>
  </si>
  <si>
    <t>Excelente Muy satisfecho por la compra. Nada más ponérmelo, la sensación de robustez y calidad hace que me lo mire una y otra vez de pura satisfacción. Lo único negativo es que al tener los dedos grandes, los botones no funcionan a la primera y hay que usar las uñas... Pero no me importa: tengo un Gran Shock.</t>
  </si>
  <si>
    <t>Muy recomendables Perfectos. No se mueven del talón, son de grosor idóneo (ni muy finos ni muy gruesos), comodísimos y no dejan ni mal olor ni te sudan más los pies (compré unos de Primark que eran matadores... lo que me sudaban los pies con ellos y el olor que dejaban... Lo que no me había pasado en la vida. Tuve que tirarlos todos).</t>
  </si>
  <si>
    <t>Auriculares inalabricos cómodos Los he estado probando un par de días y me parecen muy cómodos y ligeros. Traen distintas gomitas para ajustar el auricular a la oreja de cada usuario. La presentación del producto es muy buena. Los he emparejado con un Android y con Iphone y fue a la primera. No le puedo poner peros, bastante bien.</t>
  </si>
  <si>
    <t>Muy buen sonido Vienen con un estuche y varios tapones de recambio, lo que está muy bien para su cuidado. Son muy cómodos y ligeros, una vez que los tienes puesto, te olvidas que lo llevas. En cuanto a las llamadas, se oye muy bien y con los que he hablado me escuchan perfectamente, sin cortes. La relación calidad/precio es superior.</t>
  </si>
  <si>
    <t>Buena opción de compra Perfecta elección para acelerar el ordenador y por poco dinero poner el equipo más ágil. Muy recomendable.</t>
  </si>
  <si>
    <t>Excelente Buen producto,tal como dice el anuncio</t>
  </si>
  <si>
    <t>Facil de utilizar Funcciona perfectamente mui contento con la compra hace un poco de ruido pero no molesta mucho</t>
  </si>
  <si>
    <t>Auriculares de calidad Los auriculares funcionan genial, el sonido es claro y alto, se emparejan muy rápido. Bienen con dos almohadilla de diferentes tamaños y quedan perfectos en el oído y además son táctiles. Muy buena compra y todo dentro del tiempo establecido.</t>
  </si>
  <si>
    <t>Muy bien Anda muy bien, la he probado con hielo, batidos, y vegetales duros y tritura muy bien todo. El primer día hizo un poco de olor raro el motor pero luego ya nada, será del inicio. Se lava muy fácil y encajan fácilmente los complementos al motor. Y el complemento más grande parece pequeño pero es bastante espacioso y no se desliza abajo, eso me encanto. El poder regular la velocidad y fuerza van muy bien tambien. El batidor es en lo q mas he forzado el motor porque lo use p mezclar un pastel y se notaba un poco débil en las paletas, pero fue bien igual. Hasta el momento (3 semanas) me va genial.</t>
  </si>
  <si>
    <t>No se mantiene. Le pongo dos estrellas porque la función de quitar los popeos / seseos la hace perfectamente Pero si lo quieres poner de abajo hacia arriba no se mantiene, y tienes que andar haciendo malabares para que se quede fijo en el sitio. Lo probaré un poco más, pero seguramente lo devuelva.</t>
  </si>
  <si>
    <t>Lorena No tiene para colgar del cuello sólo bolsillo. Bonito pero yo lo quería de collar. Un saludo. Corto para colgar</t>
  </si>
  <si>
    <t>Mas o menos Uno pie no se queda mucho derecho</t>
  </si>
  <si>
    <t>Vienen solo 3 esponjas Ojo con este producto ya que solo vienen 3 esponjas no 3 paquetes como era en su momento. El precio es un robo a mano armada.</t>
  </si>
  <si>
    <t>Almohadilla ekectrica Me an mandado otra manta inferior a la que e comprado y necesito con urgencia la almohadilla eléctrica por motivos de viaje</t>
  </si>
  <si>
    <t>Lentes de plástico Bien para su precio, pero las lentes son de plástico</t>
  </si>
  <si>
    <t>Top buenísimo y fuerte Top fuerte de sujeción y resistente para hacer deporte de impactos y saltos, es correcto su utilización para estas actividades, aguanta pues yo utilizo talla grande pues en sujetador normal uso la 110 y este top me sujeta muy bien.</t>
  </si>
  <si>
    <t>Buena mochila Muy buena mochila. Quizás un poco grande pero perfecta para llevar todo lo que necesites. El material es de primera.</t>
  </si>
  <si>
    <t>Talla mayor de la que marca Más grande de lo esperado</t>
  </si>
  <si>
    <t>Lo esperado para esta marca Las clasicas a buen precio</t>
  </si>
  <si>
    <t>Perfectas Una maravilla de comodidad, mi mujer las usa casi a diario y está encantada con ellas. Buen modelo de una gran marca, cómodas, flexibles, calientes y dan un buen andar incluso en paseos largos</t>
  </si>
  <si>
    <t>Reloj parlante Es muy bonito. Funciona muy bien, se oye bien también. Viene en una caja de presentación.</t>
  </si>
  <si>
    <t>Carles Un reloj excepcional por ser solar y tener TODO lo que puedas necesitar..se me rompió este mismo modelo de relojería que pagué 52€ y ahora el mismo por 34€en Amazon..Funciona genial.</t>
  </si>
  <si>
    <t>Masajeador inalambrico buenisimo Me ha encantado es muy bueno y me pido otro para regalar y quedar bien porque esun buen masajeador.todo correcto llego en la fecha esperada</t>
  </si>
  <si>
    <t>Muy comodos Cogí una talla L, algo grande para mi, pero al ser elásticos me quedan perfectos. Muy finos y agradables, llevo un tiempo y siguen en buen estado. Sin duda los volvería a comprar.</t>
  </si>
  <si>
    <t>La mejor relación calidad precio Va  amedida del aparato de la vileda y la relación calidad precio es excelente. Por lo que es una compra plenamente recomendada,</t>
  </si>
  <si>
    <t>Me encanta. Quedan bien, tallan bien y están bien cortados y cosidos. Buen precio.</t>
  </si>
  <si>
    <t>calidad precio perfecta Recomiendo este reloj a todos los amantes del deporte, es duro y perfecto para su practica. A mi me ha dado un resultado excelente.</t>
  </si>
  <si>
    <t>sin problemas Me encanta el diseño. No es la típica batidora, ya que es mucho más manejable y fácil de transportar.Pequeña, ligera y portátil,Bate muy bien la fruta fresca, y para limpiar viene una esponja pero que no he usado, ya que con la misma batidora y un poco de detergente se puede hacer sin problemas.</t>
  </si>
  <si>
    <t>Todo correcto Todo correcto, funciona perfecto.</t>
  </si>
  <si>
    <t>Perfecto. El problema de que se salga la leche es la forma de agilar el biberón para hacer la mezcla. NUNCA debe hacerse en vertical de arriba a abajo, sino con las palmas en ambos lados haciendo movimientos circulares sobre el mismo eje.</t>
  </si>
  <si>
    <t>RAPIDEZ EN LLEGAR SON PRECIOSAS</t>
  </si>
  <si>
    <t>Mucho mejor que los que tenia de 90€,como de aquí a lima!! Lo dicho una pasada,un poco incómodos pero se le cambia las orejeras por unas más cómodas y listo.</t>
  </si>
  <si>
    <t>muy pero que muy contento Las funciones son ok lo único que falta es el nivel de cargador y radio pero lo demás es perfecto</t>
  </si>
  <si>
    <t>Muy buen producto Tarjeta de memoria destinada a grabar en 4K con Gopro, ofrece un rendimiento excelente y no ratea los videos. Recomendable 100%. Le pongo la nota negativa por no traer un adaptador USB que siempre es más polivalente que la tarjeta SD. Por lo demás muy contento con la tarjeta, calidad precio insuperable.</t>
  </si>
  <si>
    <t>Zapatillas españolas de excelente calidad Se ve a primera vista que es buen género. Traen bolsa donde meterlas y caja de cartón sólida y reutilizable. Merece la pena comprar producto nacional a cambio de gran calidad. PEDIR 1 NÚMERO DE MÁS del que tengais, como norma general en toda zapatilla (estas zapatillas tiran a ser algo estrechas y justas, pidiendo un número de más a mí me quedan perfectas). Merece la pena pagar un poco más y apoyar la industria nacional, que ofrece productos excelentes).</t>
  </si>
  <si>
    <t>Suenan divinos para su precio. He probado similares más caros y suenan peor. De todos estos modelos de "botón" y con estuche, este es el más espartano. No tiene indicador en el estuche de nivel de batería. Tampoco tiene tapa. Y por supuesto los botones de los auriculares no son táctiles (son de botón de membrana).  Además solo tiene ipx4 en vez de ipx7 como modelos más modernos.  Pero tiene lo importante. Bluetooth 5 y el mejor balance de graves y agudos de todos los modelos de ese estilo que he escuchado. Si sumamos que es de los más baratos y el que mejor suena... pues podemos pasar por alto que su batería es de tan solo 380mah (otros modelos tienen 600/700mah) y que no tiene las tonterias del indicador de batería y la tapa (no se caen, el magnético es muy potente).  En resumen. Calidad/Precio son los mejores por calidad de sonido y por precio pero no tienen algunos "extras" y tampoco tienen la mejor batería posible en el estuche.</t>
  </si>
  <si>
    <t>Producto de mala calidad Es un producto de mala calidad,estos productos hay que verlos,tocarlos y  probárselos antes de comprarlos.Por ese precio uno diría que es barato pero inlcuso por ese precio se podía esperar algo mejor.</t>
  </si>
  <si>
    <t>Pila gastada Va bien para nadar pero lo compré hace menos de un año y se quedó sin pila</t>
  </si>
  <si>
    <t>Buena calidad La calidad es muy buena y se ven comodas y calentitas,pero demasiado pequeñas,hay que pedir 2 o 3 números más por lo menos...</t>
  </si>
  <si>
    <t>Mete chasquidos y clicks Al cabo del tiempo mete ruido, cable muy fino y delicado. Probare a comprar otro de mayor calidad. Un saludo</t>
  </si>
  <si>
    <t>No los compréis No me a gustado nada, son de cartulina o ni eso, muy blandos, con un solo uso ya estaban doblados y llegaron en malas condiciones, no los recomiendo</t>
  </si>
  <si>
    <t>Son enormes, pero.... ... nadie parece darse cuenta:  Adjunto la propia foto del producto, donde el pie con el calcetín naranja tiene el talón en su sitio, y el pie con el calcetín morado tiene el talón a la altura del tobillo, que es como nos queda, tanto a mí la talla 43-46 teniendo un 46 de pie, como a mí mujer la 36-38 teniendo un 38 de pie. Es decir, teniendo los dos el máximo de pie del rango, por lo que son ENORMES.  Por eso si más del 90 % indica que de talla le quedan como esperaba, entiendo que no se estén poniendo el talón en su sitio, cosa que al ser finos tampoco 'molesta' ni casi se percibe, por eso hay quien dice que el talón no está reforzado, y sí lo está, el tejido es algo más grueso, el problema es que ese refuerzo te queda en el tramo final del tendón de aquiles... Porque la parte inferior del talón que debe quedar en la planta empieza donde acaban las rallas de la suela.  Solución:  Los hemos lavado (30 ºC) y a la secadora (modo delicado), y en el primer lavada el talón se ha acercado bastante a su sitio. No sé si seguirán encogiendo en lavados iguales o para ello habrá que meter más temperatura...  Los hemos comprado para caminar, y personalmente no los vemos aptos para para actividades más exigentes, porque esté el talón en su sitio o no, son finos, y aparte de pensar en que el calcetín se rompa pensamos en la salud de nuestros pies.  Por lo demás buena gama de colores y precio.</t>
  </si>
  <si>
    <t>Muy bonita Tostadora muy bonita con aspecto retro, lo más llamativo es el contador de tiempo que tiene en el frontal además de la rejilla superior, tiene una función que me ha encantado, es la de levantar y ver, sirve para ver la rebanada sin necesidad de parar el tostador y tener que volver a encenderlo. Tiene soporte para calentar los panecillos mientras hacemos tostadas. Tiene botones para cancelar el tostador, mantener la tostada caliente y descongelar además de la palanca que accionamos para que el tostador funcione. Le da un toque distinto a mi cocina gracias a su diseño</t>
  </si>
  <si>
    <t>Facilidad de uso Funciona pero algo despacio</t>
  </si>
  <si>
    <t>Auriculares bluetooth A mi personalmente se me caen, ni me valen para lo que los compré, que era para correr. Batería no puedo hablar porque como no me han servido no les he dado casi uso, se los daré a algún amigo. Respecto al vendedor, decir que de lo mejor que he visto. Después de valorar el producto, me escribieron para decirme que me enviaban otros auriculares por si eran defectuosos. Yo les contesto que no quiero que me envíen otros iguales porque considero que no son defectuosos, que algunos auriculares encajan bien para unos y no podrás otros simplemente por la forma del oído. Entonces me contestan y me dicen que me han a enviar otro modelo diferente. La verdad que muy contento.</t>
  </si>
  <si>
    <t>Imanes con mucha fuerza Los imanes tienen mogollón de fuerza. EL problema  es que pensaba que eran más grandes y algo más gruesos, tal y como aparecen en la foto. Los necesitaba para hacer dibujos con imanes para la nevera y para mi gusto son demasiado pequeños.</t>
  </si>
  <si>
    <t>Esteban César Ollero Martin Excepcional calzado deportivo, muy aconsejable estrenado con lluvia y demostrada la impermeabilidad, muy indicado para personas con más de 80 kilos</t>
  </si>
  <si>
    <t>Ideal Ha sido un regalo genial. Le ha gustado mucho.</t>
  </si>
  <si>
    <t>Buen archivador Cumple su función y es resistente. Tiene una buena calidad y mucho espacio y además tiene una muy buena relación calidad/precio</t>
  </si>
  <si>
    <t>Gran calidad Con North Face no hay fallo, camiseta de maxima calidad y tallaje perfecto</t>
  </si>
  <si>
    <t>Agudos y graves aceptables... La única pega que le pondría es la longitud del cable, en comparación con otros algo corto, tiene como un metro. Sonidos agudos y graves aceptables para el precio que tiene... Ocupa poco espacio cuando está "recogido".</t>
  </si>
  <si>
    <t>Muy divertido!! Muy divertido y muy facil de utilizar, gran regalo.</t>
  </si>
  <si>
    <t>Suave y cómodo , parece de lana Compro una Almohadilla Eléctrica para cuando tengo frío , es Tamaño Grande y ancho :50 * 80cm , cada cuando frío los pies mío quedaba como congelados , este me va perfecto y cómodo con peludos muy suave , se puede utiliza también por la Espalda, Hombros , y quedaba como la manta , Calor hasta 4 niveles , también silbe para cuando dolor de la cintura de mi padre . Color verde botella muy bonito</t>
  </si>
  <si>
    <t>Precioso y cómodo Me gusta mucho el color y como queda. Me lo pongo tanto solo como debajo de vestidos como el rosita que llevo puesto. Es muy cómodo. Me pedí una talla más grande de la que suelo usar y acerté.</t>
  </si>
  <si>
    <t>Rápida y versátil En esta ocasión he comprado la tarjeta microSD de 200 GBs. Viene con un adaptador a SD para conectarla al ordenador mediante un lector de tarjetas u otro adaptador. He probado a copiar algunos vídeos de varios GBs, para probar la velocidad de transferencia y es bastante rápida. Me marcaba sobre unos 40 MB/s en el ordenador (ya que el lector es viejo) y en el móvil subía a unos 65 MB/s. Actualmente tengo una tarjeta de 32 GBs en el móvil y no hay mucha diferencia de velocidad (por el lector supongo), pero me viene genial la tarjeta de 200 GBs porque hago muchas fotos y vídeos y lleno enseguida la que tengo ahora. En el cartón también pone que hay una app para los móviles para gestionar fotos y vídeos (de entre otros) fácilmente. La verdad es que es muy útil, ya que te agrupa en tipos de archivo multimedia, hace copias de seguridad y alguna cosa más</t>
  </si>
  <si>
    <t>Preciosas Se nota que son de calidad. El primer día tuve la mala suerte que llovió, y no pude esquivar mojarlas. Las sequé bien durante un par de días y no se han dañado. Muy contento.</t>
  </si>
  <si>
    <t>bonita me ha gustado mucho, no sé cuanto tiempo se mantendrá así de brillante , pero por el precio que tiene me parece una buena compra</t>
  </si>
  <si>
    <t>Genial Mi mujer está encantada, a mi me vale</t>
  </si>
  <si>
    <t>CORTA DE MARAVILLA EL ALUMINIO Y EL FILM Es el segundo que compro, conozco el modelo y lo que mas me gusta es que corto por donde quiero y ahorro ya que no hay que tirar del aluminio por lo que no se raja por en medio y el film no hay que estirarlo para que llegue al final partiéndose y encogiéndose. Estoy contento con la compra y volveria a comprar sin duda. No hay nada que no me guste.</t>
  </si>
  <si>
    <t>Funciona genial yo lo compre para una PS3 y va genial, hasta dia de hoy no he tenido ningun problema con el</t>
  </si>
  <si>
    <t>Muy bien calidad y sonido He recibido hoy los auriculares. Los compré porque vi solo comentarios positivos. La confección se presenta bien, los auriculares tienen su funda semi-rigida con cremallera (muy bonita), el cable de recarga y algunos recambios. Ha sido súper fácil emarejarlo a mi móvil y mi Mp4. Lo que me ha sorprendido en absoluto ha sido el sonido: Para unos auricolares de este precio....tiene un sonido estupendo (y mis orejas están acostumbradas a las Bose). En total, ha sido una muy buena compra. Los aconsejo!</t>
  </si>
  <si>
    <t>Interesante alternativa a las típicas mallas de lycra Muy curioso este pantalón de Under Armour. Antes de comprarlo, había leído algunas opiniones que resaltaban el hecho de que es una especie de "híbrido entre pantalón de deporte de polyester y unas mallas de lycra", pero, una vez que ya las he probado en el gimnasio, yo diría que tienen más en común con las mallas de lycra que con unos pantalones tradicionales.  Esto es porque, a menos que tengas "canillas" por piernas, estos pantalones se te van a quedar ajustados a ellas, por lo menos entre la rodilla y el tobillo. En esa parte de la pierna, estos pantalones se comportan como mallas de lycra. Siempre. Luego ya, por encima de la rodilla y hasta la cintura, son algo más holgados y ya no aprietan tanto como unas mallas.  Además, el tejido es grueso y abriga confortablemente para el invierno. Es decir, nada que ver con las mallas barateras del Decathlon de Kalenji. Todavía me falta probarlas en una salida de running, pero está claro que frío no voy a pasar.  En cuanto a la TALLA: tallan grandes. Es decir, ante la duda (M o L), id a por la L. Yo mido 1,82m y peso 83 kgs y la M me va bien.  2 OBSERVACIONES FINALES: 1)En la pernera izquierda, a media altura, tiene logotipo "UA" de la marca. Hubiera sido estupendo que fuera REFLECTANTE, pero no lo es. 2)Tiene cremalleras a la altura de los tobillos, aunque yo no he visto necesario utilizarlas para metérmelas.</t>
  </si>
  <si>
    <t>Acabados muy top &lt;div id="video-block-RYWPHY0A5SUVC"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id="69" preload="auto" src="https://images-eu.ssl-images-amazon.com/images/I/B1--DgyUgdS.mp4" style="position: absolute; left: 0px; top: 0px; overflow: hidden; height: 1px; width: 1px;"&gt;&lt;/video&gt;&lt;/div&gt;&lt;div id="airy-slate-preload" style="background-color: rgb(0, 0, 0); background-image: url(&amp;quot;https://images-eu.ssl-images-amazon.com/images/I/A1qkymuSqUS.png&amp;quot;);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value="https://images-eu.ssl-images-amazon.com/images/I/B1--DgyUgdS.mp4" class="video-url"&gt;&lt;input type="hidden" name="" value="https://images-eu.ssl-images-amazon.com/images/I/A1qkymuSqUS.png" class="video-slate-img-url"&gt;&amp;nbsp;Lo he pedido para usarlo en mi Pocophone que tiene conector tipo C. La presentación del producto es buenísima, con acabados de calidad. El adaptador y el USB se ven de buenos materiales y al tacto se siente resistente. Para mí es muy útil ya que siempre llevo en la cartera un mini-usb para poder transportar y descargar archivos en cualquier parte y ahora puedo pasarlo al telefono sin necesidad de un ordenador.</t>
  </si>
  <si>
    <t>Comodos Son muy cómodos y a mi hija le encantaron.</t>
  </si>
  <si>
    <t>Buen teclado! Estupenda relacion calidad precio. A mi hijo le a encantado!</t>
  </si>
  <si>
    <t>Talla grande Llevo una 36, pedí una S y me queda ancho. Mido 1,70 y me queda bien de largo</t>
  </si>
  <si>
    <t>Pse-Pse Me gustan mucho los auriculares in-ear que son un poco más ergonómicos de lo normal pero me pensaba que se ajustarian mucho más en la oreja. Bailan y al andar se mueven demasiado, como para no escuchar bien la música.</t>
  </si>
  <si>
    <t>Muy mala calidad en menos de 9 meses suelta una materia dentro Muy mala calidad, en menos de 9 meses suelta una materia, no merece la pena comprar barato para durar 9 meses</t>
  </si>
  <si>
    <t>malos plastico barato</t>
  </si>
  <si>
    <t>diseño bonito parece bien hecha. Solo llevo un mes utilizandola. De momento bien aunque no consigo regular bien el tueste.</t>
  </si>
  <si>
    <t>Perfecto Muy buena calidad pero el tamaño es un poco grande respecto a la talla, recomendable coger 1 talla mas pequeña</t>
  </si>
  <si>
    <t>Buen jersey La unica pega que no queda tan pegado por los pectorales que en la foto. Calidad buena y suave.</t>
  </si>
  <si>
    <t>Abriga muchísimo Abriga muchísimo. Queda bastante bien puesto pero hay que tener en cuenta la recomendación de coger una talla más. Los agujeros para los dedos en los puños son demasiado pequeños y las mangas son algo estrechas.</t>
  </si>
  <si>
    <t>No están mal La verdad que huelen bastante bien, lo único es que la mayoría son olores fuertes desconocidos</t>
  </si>
  <si>
    <t>Ideal para aprender Genial. Ideal para aquellos que estamos aprendiendo y queremos ir entrando de manera progresiva al mundillo.  Sencillo de instalar, ocupa poco espacio, tiene una sensibilidad bastante buena en los pads. Lo uso con FL Studio 12.  Muy contenta con la compra.</t>
  </si>
  <si>
    <t>Estupendo Lo compré para un Lenovo Y520-15IKBN y funciona de lujo. Lo reconoce perfectamente. Buena calidad-precio.</t>
  </si>
  <si>
    <t>Tienen muy buena pinta Tienen muy buena pinta. Un poco cortos para mi gusto, pero sin tal y como se describen. La talla perfecta con 187cm y 89 kg</t>
  </si>
  <si>
    <t>La mejor que he tenido Es una batidora con un precio muy bueno para la calidad que tiene, es muy silenciosa, y para un uso moderado funciona genial ya que tampoco se calienta como la anterior batidora que tenía de otra marca. Me ha sorprendido.</t>
  </si>
  <si>
    <t>Superga Ya tengo más de esta marca, tal y como esperaba.</t>
  </si>
  <si>
    <t>Buena sujeción De buen material, ya los he utilizado para correr y son muy cómodos y no se mueven, y se escuchan bastante bien, un acierto</t>
  </si>
  <si>
    <t>Elegante y eficaz Genial! Contenta!</t>
  </si>
  <si>
    <t>Genial Relación calidad precio inmejorable. Estoy encantada con ellas.</t>
  </si>
  <si>
    <t>Batidora de smootys Esta muy bien,calidad precio además li compre mas barato de su precio. Cómodo de hacerte un batido rápido. El único inconveniente es que hace muchísimo ruido.</t>
  </si>
  <si>
    <t>Reloj Casio Collection Muy juvenil y deportivo todo tal y como esperaba.</t>
  </si>
  <si>
    <t>Cómodos y bonitos pero se llenan de pelusilla Muy cómodos y bonitos pero se llenan de pelusilla pronto.</t>
  </si>
  <si>
    <t>Tal y como lo describen Yo ya tenía uno con cuchara pero era muy pequeño, así que este que tiene más capacidad me ha ido genial :)</t>
  </si>
  <si>
    <t>encantado El reloj es tal cual se muestra en la foto. Calidad/precio, de lo mejor. En caso de necesitarlo, repetiria la compra</t>
  </si>
  <si>
    <t>Casio estilo retro Es como los de antes,pero con color más moderno.Muy cómodo. Tal y como lo describen. La luz es un poco floja.</t>
  </si>
  <si>
    <t>Muy buena compra Relación calidad/precio perfecto. A veces vuelve loca y se para inesperadamente si cambio de sitio algunos muebles. Pero la otra vez ya no falla. Tengo dos gatos y es una ayuda imprescindible en la vida diaria. Le pongo en marcha antes de salir de casa y vuelvo a piso limpio. Recoge bien los pelos y pelusa, hay que vaciar el depósito un par de veces por semana para que aspira todo perfectamente. Por altura pasa bien de bajo de los muebles que tengo, entra bien entre las patas de las sillas. Estoy muy contenta de esta compra no se como podía vivir sin este Roomba. Los gatos se divierten con ella y tengo que encerrar aparato por la noche para que no tengan alcance sino los ponen en marcha.</t>
  </si>
  <si>
    <t>auriculares de calidad Maravilloso acabado , robustos, cómodos, suaves. No fatigan después de largas sesiones de uso. Sonido equilibrado pero a la vez potente con los graves y detallado en los agudos, aunque quizás en contadas ocasiones son un poco silbantes en dicho aspecto ( nada que no se solucione ecualizando la música). Un acierto haberlos comprado.</t>
  </si>
  <si>
    <t>alivio Es un masajeador genial. Sufro de bastantes dolores de lumbares y cervicales y buscaba un producto que sirviera para las dos zonas y que no fuera grande, pues este cumple las dos opciones. se puede usar tanto lara las lumbares como para el cuello, da un efecto calor reconfortable y las bolas que tienen aprietan bastante. No recomiendo el uso tumbado en la cama, ya que al tumbarse parece que se va a doblar. En general muy bueno.</t>
  </si>
  <si>
    <t>Cafetera bonita pero se ensucia fátilmente La vamos a devolver. Hay problemas con los posos de café. Nos los encontramos en el café y aunque hemos intentado cargarla poco, el sistema de agua provoca salpicones por toda la tapa superior. La aguja que supuestamente te muestra el proceso del café no muestra nada útil, y se empieza a desplazar cuando la jarra está casi llena de café. El goteo no se para si retiras la jarra por lo que hay que esperar a que acabe. Además no sale especialmente rico. Compraremos otra, que seguramente haga mejor su función y saldrá más barata. No la recomiendo.</t>
  </si>
  <si>
    <t>Robustas, pero pesadas y algo incómodas. Las zapatillas presentan una calidad impresionante en cuanto a la calidad de la piel y su aparente fortaleza, no obstante hay dos cosas que no me han gustado: 1 - La suela es demasiado dura, es como si el modelo fuese muy antiguo y da la sensación de que se han solidificado por el paso del tiempo. 2 - Son muy pesadas, imagino que por la consistencia de sus materiales. En cuanto al envío, todo correcto, llegó muy pronto y el embalaje es correcto. Si buscas algo cómodo, no la recomiendo, pero si buscas robustez, quizá sea recomendable. En mi caso no volveré a comprar este modelo.</t>
  </si>
  <si>
    <t>La pizarra bien, pero vino sin la bandeja inferior La pizarra está bien, parece de buena calidad e incluye tornillería para colgarla en la pared. Solamente le doy tres estrella por que vino sin la bandeja inferior. No me merece la pena devolverla por ese detalle, pero me gustaría que lo tuviera en cuenta el vendedor.</t>
  </si>
  <si>
    <t>no funciona lo intenté usar con un micrófono Rode y el iphone 5c. No funciona. Inútil totalmente. No se oye nada .</t>
  </si>
  <si>
    <t>Una batidora de juguete Al igual que comentaba otro comprador, la he devuelto puesto que perdía líquido. Me parece lógico ya que simplemente enrosca la jarra a las cuchillas, pero carece de ningún tipo de goma o arandela para impermeabilizar.  Pero la nota no es por el defecto sino por la calidad del producto.  Francamente compré por las valoraciones que tiene, pero lo que he recibido no se corresponde a tanto elogio. No lo entiendo en absoluto.  Para empezar, al abrir la caja, no encontramos con un producto que parece de juguete, todo plástico (tanto la jarra como la parte del motor), pequeñito y ligero, tanto que para aguantarse han tenido que poner unas ventosas.  Las cuchillas se ven enanas y endebles, dudo que se pueda picar mucho hielo con eso. Son la mitad, en cuanto a tamaño, que las de mi actual batidora (una del montón).  Otra cosa que me extrañaba mucho es que fuera tan potente como se decía con tan solo 220w, cuando cualquier batidora suele ir de los 550w hasta más de 1000w. Efectivamente, cuando la probé (goteando) y logré averigüar que para ponerse en marcha hay que empujar la tapa por arriba estilo picadora Moulinex (seguramente lo han hecho así por lo mismo que han puesto ventosas, es decir, para que una estructura tan endeble no se mueva a ponerse en funcionamiento), comprobé que la potencia a la segunda velocidad (no tiene más) era bastante inferior a la de mi actual batidora de 650w.  Total, un chasco de campeonato.  Eso sí, incluye muchos tarritos y tapitas para hacer purés y cosas. Pero vamos, que como batidora es un "torpedo", en el mal sentido de la palabra. No me extraña que se haya llegado a vender hasta 25 euros, porque ahora que la conozco, yo no pagaría ni eso.</t>
  </si>
  <si>
    <t>Defectuoso Lamentablemente no era reconocido por mis dispositivos tuve que devolverlo. La devolución sin problema</t>
  </si>
  <si>
    <t>Buena conpra y buen regalo Muy bonitos. Pesan poci. Buen aspecto.</t>
  </si>
  <si>
    <t>Buena relación calidad/precio. Auriculares cómodos y ligeros, fáciles de guardar gracias a su sistema de plegado que los hace prácticamente planos...  En cuanto al sonido, sus bajos son potentes y sin distorsión con el volumen alto, medios y agudos son también correctos teniendo en cuenta su precio, estamos hablando de unos auriculares con un rango de frecuencias de audio que va desde los 10 a los 24 KHz... La única pega que he encontrado, ha sido su cable; no por su calidad, sino por su longitud ya que apenas viene con un metro de cable; lo cual hace pensar que están más bien diseñados para usar con el móvil que con un equipo de música... Los compré para sustituir a mis antiguos Sony MDR-V150, los cuales he utilizado más de diez años y que Sony sigue fabricando aún.</t>
  </si>
  <si>
    <t>SanDisk USB extreme 3.0 Es rapido para transferir archivos, en un USB 3.0 empezó con 39,5 mb transfiriendo un archivo de 23,3GB y se mantuvo a esta velocidad sin bajar, estable buen pendribe</t>
  </si>
  <si>
    <t>Muy bueno Muy largo. Da para todo. Sencillo estrecho e ideal para por ejemplo, hacer que los cables de las máquinas de cortar el pelo no se enreden en tu peluquería. Muy bueno. Y lo volvería a comprar</t>
  </si>
  <si>
    <t>Calidad Gran producto de buena calidad, viene con unos complementos muy utiles y ademas te permite seleccionar la potencia que necesitas para batir.</t>
  </si>
  <si>
    <t>Me gustan Están bastante bien y tu llegaron pronto</t>
  </si>
  <si>
    <t>Genial Gran ahorro</t>
  </si>
  <si>
    <t>Transpirables y muy cómodas. Perfectas, recomendables, cómodas y muy transpirables.</t>
  </si>
  <si>
    <t>Práctica La batidora portátil es pequeña y práctica , se puede transportar en el bolso a cualquier sitio pero yo la uso mas en casa para preparar la papilla al bebé o para hacer un batido para mi , en lugar de sacar la batidora grande para triturar poca cantidad mejor usar esta batidora portatil.</t>
  </si>
  <si>
    <t>Muy buen aspirador sin cable Estoy muy contenta con la compra. Llevo ya varios meses con ella y puedo decir que me ha facilitado mucho lo vida en el mantenimiento diario de la limpieza de la casa. Tengo perro y aspira perfectamente los pelos del suelo y sofá. Le falta algo de potencia para succionar residuos más grandes como pequeñas piedrecitas pero se ve compensado por todas las ventajas. Fácil de manejar y la duración de la batería para un piso pequeño más que suficiente. La recomiendo.</t>
  </si>
  <si>
    <t>Isabel Nos ibamos de vacaciones con nuestro hijo de 18mesos. No queriamos un trasto calienta biberones que luego no sirviera para nada asi que optamos por comprar este hervidor bodum. Calienta el agua en 10segundos sin llegar a hervir, para preparar el biberon es sufiente. No ocupa espacio y ahora sirve para infusiones. Fantastica compra.</t>
  </si>
  <si>
    <t>Buena calidad Buen producto, flexible, poco ruido y de calidad</t>
  </si>
  <si>
    <t>Muy cómodas Me encantan estas zapatillas Puma. Fue un regalo para mi marido y le van a la perfección. Dice que son cómodas. A mí me parece un modelo muy elegante por su sencillez y color uniforme. Incluida la suela.</t>
  </si>
  <si>
    <t>Recomendable :) &lt;div id="video-block-R3RA64LIHEDX6C" class="a-section a-spacing-small a-spacing-top-mini video-block"&gt;&lt;/div&gt;&lt;input type="hidden" name="" value="https://images-eu.ssl-images-amazon.com/images/I/A1CdZn+c89S.mp4" class="video-url"&gt;&lt;input type="hidden" name="" value="https://images-eu.ssl-images-amazon.com/images/I/918IKUU3pVS.png" class="video-slate-img-url"&gt;&amp;nbsp;Muy buena calidad y acabados, está genial para proteger el escritorio y hacer más cómodo el uso del ordenador. Las luces le dan un aspecto muy chulo. Muy recomendable.</t>
  </si>
  <si>
    <t>Cinta de calidad Cinta de calidad que avala su marca</t>
  </si>
  <si>
    <t>Cascos más que recomendables pero ojo con las gomas Auriculares con buena relación calidad precio, aunque con un gran pero. Decir en primer lugar que la calidad de construcción de estos auriculares es más que adecuada, y además con la tecnología que incorporan justifican su precio de una manera más que razonable.  Los controles táctiles que incorpora funcionan a la perfección y el sonido que arrojan es muy bueno desde mi punto de vista. Ahora bien, para mi persona el gran pero de estos auriculares reside en las gomas que utilizan estos auriculares. Las cuales no son las de toda la vida, sino que son especiales y no vale una cualquiera. Además el fabricante no incluye gomas extra.</t>
  </si>
  <si>
    <t>Justo lo que buscaba Quería una bolsa no muy grande para cuando voy a pasear en bici, pero no me convencía la idea de una riñonera porque no me gusta atada a la cintura. Tampoco me terminaba de gustar una mochila porque en general son demasiado grandes, y solo quiero llevar el teléfono, la cartera, las llaves y unas gafas de lectura. Por supuesto en La Bolsa cabrían más cosas, un pequeño tablet, una botella de agua.... pero no es mi intención llevar un saco de patatas colgado del pecho. La Bolsa en principio tiene buena pinta, la tela parece recia, y las cremalleras corren muy bien. En la parte posterior tiene un pequeño compartimento con cremallera apropiado para las llaves, unas monedas o incluso una de esas herramientas múltiples para la bici. En la parte delantera tiene dos bolsillos con cremallera de distinto tamaños y un tercero abierto, sin cremallera. Por supuesto aunque en la descripción pone bolso de pecho, lo puedes llevar en el pecho, la espalda o si pones más larga la correa en el costado. En resumen. Por el precio que tiene me parece ideal para mis necesidades y me parece una compra acertada.</t>
  </si>
  <si>
    <t>Compra segura Lo uso en discursos politico, bodas civiles, estable, ligero y facil manejo</t>
  </si>
  <si>
    <t>rapidez de entrega y calidad bien</t>
  </si>
  <si>
    <t>Seagate Expansión STEA4000400 En principio y de momento no tengo nada por qué quejarme del producto, lo instalé sin problema y me funciona bien.</t>
  </si>
  <si>
    <t>Rosa R. Compré estás botas para mí marido y pedí el mismo número que usa en unos zapatos de misma marca. Está encantado.  Espero tener botas para rato. Por dentro, a la altura del tobillo, está acolchado, con lo que no roza nada. Recomendable por calidad y precio.</t>
  </si>
  <si>
    <t>Funciona perfectamente Esta bien.Duradero.Lo uso para trabajar.100% sumergible.No se rompe.Funciona perfecto.</t>
  </si>
  <si>
    <t>No expulsan el sudor De tallas van perfectos, completamente impermeables pero no permiten la transpiración. Los utilicé de trekking a casi cero grados y luego en la ciudad en días de trabajo regular y en ambos la expulsión del sudor fue inexistente. De haberlo sabido no los compraba.</t>
  </si>
  <si>
    <t>Rápido envio Da menos talla,el producto llego rapido,pero no me gustó mucho,y la talla da menos de lo normal</t>
  </si>
  <si>
    <t>Calidad normal Un povo fragil , he tenido otros de mejor calidad</t>
  </si>
  <si>
    <t>No me gusta No hace nada se despega</t>
  </si>
  <si>
    <t>Producto devuelto Lo he probado y al volcar el biberón el líquido cae a chorro por lo que no es recomendable para dar de comer a un bebé de un mes. No es como se describe en el anuncio.</t>
  </si>
  <si>
    <t>Funcionan perfectamente con un AKG 451 Funcionan con unos auriculares AKG K451.  Al principio mi portátil detectaba la inserción de la clavija pero no recibía audio del micrófono. Tras reinstalar los drivers de audio (en mi caso Realtek) ha empezado a funcionar.  En la reproducción del sonido, para mi suena exactamente igual de bien que sin el cable divisor.  Las clavijas están recubiertas por una funda metálica, tanto en la de entrada (hembra) como en las dos de salida (macho). Si tocas con la mano el recubrimiento de la clavija de entrada se percibe un zumbido, esto no ocurre si tocas las de salida. Evidentemente no tiene porqué ser un problema en el uso cotidiano pero evidencia que podría tener mejor aislamiento. Sólo por este motivo le doy 4 estrellas.</t>
  </si>
  <si>
    <t>Guapísima La bota es guapísima, aunque no es muy cómoda para caminar mucho yo que es bastante dura, esto tal vez se solucione con el uso.</t>
  </si>
  <si>
    <t>Excelente Muy contenta, muy buen producto y buen precio.</t>
  </si>
  <si>
    <t>Para un Redmi Los utilizo con un Xiaomi Redmi Note 4 y suenan bastante bien. Se ajustan muy bien al oído y tienen micrófono..</t>
  </si>
  <si>
    <t>Compraré otro Estoy encantada con el producto, tenía miedo que expulsara agua y mojara todo y no es así. El manejo es fácil.</t>
  </si>
  <si>
    <t>Buena calidad de tela Estas mallas tienen un material de calidad. Por dentro tienen una tela de color aluminio que hace que cumplan bien su función de sudar. Son higiénicas y cómodas de llevar además de cálidas. Altas de cintura, por lo que también coge la tripa. El tallaje va bien, las mías son talla M y corresponde a una 38/40. Sin duda, buen producto.</t>
  </si>
  <si>
    <t>OK, Buena calidad Maquina precintadora de cajas de carton, buena calidad, muy resistente y realiza su funcion a la perfección. Buena relacion Calidad / precio.</t>
  </si>
  <si>
    <t>Todo bien Es el segundo que compro. El otro lo regale. Incluso sobrevivio a la lavafora tras meterlo una semana en arroz. Comodo. Puedo usar ok google con el. Duración larga y el que me ha llegado viene en español. Por ahora sin quejas. Llega el PLT M70. En mi opinion el mejor en su clase</t>
  </si>
  <si>
    <t>Zapatillas Deporte PERFECTO.</t>
  </si>
  <si>
    <t>Buena calidad Son unas fundas de buen aspecto y sensación de calidad. Cabe destacar que, tienen un tamaño algo superior a un A4, por lo que podemos meter más fácilmente cada hoja, y una gran cantidad de ellas, calculo hasta 100 hojas apurando.</t>
  </si>
  <si>
    <t>Muy buena compra Muy buena relación calidad precio. Bonitos. No aprietan. De talla perfectos</t>
  </si>
  <si>
    <t>Me encanta Excelente producto, muy comodo y se adapta al labio del bebe. Con respecto a la limpieza viene con un cepillito y no es tan dificil con un buen producto de limpiatetinas es suficiente.</t>
  </si>
  <si>
    <t>Ideal para pegar papel en la pared Ideal para pegar papel o similar en la pared... etc</t>
  </si>
  <si>
    <t>lo he comprado dos veces Eran un encargo y cuando los probó y vio que funcionaban muy bien y se adaptaban me pidió otros para su hija, así que los recomiendo, muy buenos y a muy buen precio con las ofertas</t>
  </si>
  <si>
    <t>compra segura Hacia tiempo que las buscaba y por fin las encontre a un precio interesante. Si ya has usado zapatillas de esta marca compra el número que gastas. Claza tirando a justo</t>
  </si>
  <si>
    <t>Calidad Es la clásica de toda la vida y es que duran eso, toda la vida. La he comprado de nuevo porque me he mudado a España y no me he traído la que tenía anterior.  El diseño del vaso que trae me parece un poco grande.  Prefiero el de acero inoxidable que es más fácil de manejar, será mi próxima compra.</t>
  </si>
  <si>
    <t>Buen producto Recomendadisimos. Los llevó utilizando desde hace mucho. Pra los cristales y muebles va genial, un poco de agua caliente y listo, no necesitas usar producto de limpieza.</t>
  </si>
  <si>
    <t>Sencillo humidificador Es muy fácil de usar y su diseño es bonito. Incluye instrucciones en castellano</t>
  </si>
  <si>
    <t>Me encanta Este biberon nos ha encantado, tiene una valvula para la entrada de aire por la que no pierde leche y encima es super facil de limpiar. La tetina está muy bien. Es de los más anchos en la zona de la tetina, Es caro comparado con otros pero merece la pena. Particularmente preferimos los biberones de cristal, y nada de plásticos, si un día se cae u se rompe pues se compra otro como si se te cae un vaso.</t>
  </si>
  <si>
    <t>Funcional Práctico y sencillo</t>
  </si>
  <si>
    <t>Sorprendentemente buenos Muy buenos auriculares, no pesan nada de nada, se acoplan a las orejas perfectas y no se caen. Los he usado para salir a correr y muy bien, se mantienen en su sitio todo el rato sin problemas.  Muy fácil de configurar y usar, se conectan al bluetooth y listo.  La batería dura muchísimo, llevo 4 días usándolos y sin cargar.  Es genial la caja para cargarlos y no ocupa nada  Muy contento con la compra  Si te ha sido útil mi comentario, dame un 👍🏻</t>
  </si>
  <si>
    <t>Genial. Tenía un poco de dudas pero la verdad es genial. Los batidos de fruta congelada quedan sin trozos, los batidos de proteínas sin grumos, pica el hielo. Me encanta. Estoy por comprar otro para  el trabajo.</t>
  </si>
  <si>
    <t>Adaptador jack Para lo que cuesta ,cumple</t>
  </si>
  <si>
    <t>100 Elegí una talla más porque pensé quedaría poca talla y acerté</t>
  </si>
  <si>
    <t>Peor resultado del esperado Prácticamente sin usarlo una de las conexiones empezó a fallar hasta dejar de funcionar. He tenido que usar un soldador de estaño para volver a unir las conexiones.</t>
  </si>
  <si>
    <t>Bien, cumple lo que promete. Sirve para lo que dice que sirve. Aguanta bien el peso de un micrófono Blue yeti. Más que suficiente para hacer mi podcast.</t>
  </si>
  <si>
    <t>Muy normal Bastante normalito. Lo compré sobre todo por las ruedas. Tienes que seguir ejerciendo fuerza para escurrir la fregona, así que si alguien piensa en comprarla por este motivo no lo recomiendo. Otra cosa que me decepciona es que no puedas elegir color. En mi caso lo quería rojo y llegó morado.</t>
  </si>
  <si>
    <t>Mala calidad De muy mala calidad, me llegaron ayer  y nada mas empezar a usarlos por la noche empezaron a escucharse mal, no los recomiendo.</t>
  </si>
  <si>
    <t>Compré dos pares, uno iba mal y el otro bien Compré dos pares para tener de recambio, y uno de ellos funcionó bien durante año y medio hasta que se estropeó la conexión del cable con la clavija y se quedó en mono, pero no culpo al auricular sino a un mal uso por mi parte. En cambio, el segundo par que pedí nunca funcionó bien. Sonido completamente de lata y el micrófono no iba.</t>
  </si>
  <si>
    <t>Muy buena compra Después de leer varias opiniones negativas, tenía mis dudas sobre el producto. Está francamente bien, suelen pecar de lentos en la escritura, pero las pruebas que he hecho son similares a otras memorias usb que tengo (3,0) no es muy rápida, pero funciona a una velocidad decente. Unos 20kb/s. No se calienta, al menos en la hora ría de uso intensivo que le di en las pruebas. Para rematarla la compre en el black friday a poco más de 11€. Un chollo.</t>
  </si>
  <si>
    <t>Muy buena calidad No le doy 5 estrellas porque debería de traer algún tipo de gomilla para sujetar la cinta que te sobra y así no iría colgando. Tendré que buscar gomas de pelo para aguantarla.</t>
  </si>
  <si>
    <t>Perfecta &lt;font style="vertical-align: inherit;"&gt;&lt;font style="vertical-align: inherit;"&gt;I am happy with it, it is very comfortable and easy to disassemble to clean.&lt;/font&gt;&lt;/font&gt;</t>
  </si>
  <si>
    <t>Noelia Los biberones anticolicos no estan nada mal, a mi me estan funcionando no el 100% pero bueno. Los recomiendos. Animaros</t>
  </si>
  <si>
    <t>excelente calidad Muy buena la calidad. La talla indicada resulto algo pequeña. Resulta alto el precio para ser un diseño tan básico.</t>
  </si>
  <si>
    <t>Muy bonita Muy Bonita, es de plata y se ajusta a todas las muñecas, ha sido un regalo muy bueno</t>
  </si>
  <si>
    <t>Clavo Agarra muy fuerte</t>
  </si>
  <si>
    <t>Excelente sonido a un precio espectacular Compré estos auriculares junto con un micro Zalman ZMMIC1 para sustituir los Tritton AX180 de mi hijo. El micro no nos ha convencido puesto que es muy difícil encontrar la posición y la orientación adecuada colgando del cable de los auriculares. En cambio, los auriculares mejoran con mucho el sonido de los Tritton, que le triplican el precio...</t>
  </si>
  <si>
    <t>A Funcionamiento perfecto,buena calidad</t>
  </si>
  <si>
    <t>Estamos encantados Cuerpo de acero con trazas de plástico negro. Da una imagen de calidad y un peso un poco alto para este electrodomestico, que demuestra su calidad. Estamos encantados en casa; salsas, mayonesas, picadas de verdura, carne picada, salmorejo  ...Fantástico acabado y calidad por cada esquina. Las salsas quedan como cremas sin grumos, ajustas la potencia tal y como pongo en las fotos y además la función de turbo...</t>
  </si>
  <si>
    <t>ZAPATILLAS FILA Me encantan, han llegado antes de lo esperado.</t>
  </si>
  <si>
    <t>tamaño perfecto Fue un regalo para la hija de una amiga, a la jovencita le gustó mucho cuando lo abrió, espero que lo disfrute.</t>
  </si>
  <si>
    <t>Muy buena calidad Muy buena en todos lo sentidos</t>
  </si>
  <si>
    <t>Buen sonido y calidad de grabacion He comprado el microfono para un regalo y ha sido todo un acierto. Una de las cosas que mas me gusta es que se puede usar sin necesidad de conectarlo al telefono movil, puedes realizar grabaciones y escucharlaa directamente el altavoz que incluye. La calidad de sonido y de volumen esta bastante bien.</t>
  </si>
  <si>
    <t>Increíble el producto Genial</t>
  </si>
  <si>
    <t>Bueno y barato Uno de los mejores precios del mercado para un buen producto, pero ha durado muy poco la promoción...ya no está a ese precio el "total care".</t>
  </si>
  <si>
    <t>Diseño y precio Muy bonito diseño. Buena relacion calidad precio. Faciles de poner por los niños. Buen sonido.</t>
  </si>
  <si>
    <t>Excelente calidad del artículo 100% Excelente</t>
  </si>
  <si>
    <t>Muy buena Muy buena sudadera por el precio que tiene, he pedido una 3xl y me queda bien. Soy un tio grande y de espalda bastante ancha, tenia miedo que me podia quedar estrecha en los hombros, pero esta muy bien.</t>
  </si>
  <si>
    <t>Humificador silencioso decorativo Humificador , de 400ml de capacidad , es muy fácil de instalar funciona 5 bcc con una clavija universal de carga como los telefonos Android, se le vierte unas gotas de aceites aromáticos una vez lleno de agua y lanza la humificación con fuerza , tiene la posibilidad de programar el funcionamiento a 1h , 3h , 6h , o dejarlo fijo , una vez no tenga agua,  se apaga automáticamente , además tiene otro botón para encender led decorativo de varios colores que van cambiando , estéticamente es muy bonito imitando la madera , gran producto , hace muy poco ruido .</t>
  </si>
  <si>
    <t>Buen producto Buena compra</t>
  </si>
  <si>
    <t>. Lo que esperaba</t>
  </si>
  <si>
    <t>Bolas Susadera normalita, fina. Lo peor q se hacen bolas enseguida</t>
  </si>
  <si>
    <t>No es UHF Los micrófonos son buenos, pero no es cierto que sea UHF, la frecuencia es baja. Por esa razón, apenas te puedes separar del receptor con los inalámbricos, pierden la señal.</t>
  </si>
  <si>
    <t>Auriculares P8 Lite Huawei La verdad es que el volumen máximo que desarrollan tampoco es ninguna pasada. Encajan bien en la oreja y son cómodos. El micrófono por otra parte cumple a la perfección</t>
  </si>
  <si>
    <t>Es muy estrecha por delante Es muy estrecha por delante</t>
  </si>
  <si>
    <t>Buena deportiva pero mala atención Las tallas no corresponden La devolví hace casi un mes , ( no había otro número menor) y todavía estoy esperando el reembolso</t>
  </si>
  <si>
    <t>Bien acabado Sencillo y funcional</t>
  </si>
  <si>
    <t>bien un producto aceptable que cumple con su función, corta bien el celo</t>
  </si>
  <si>
    <t>Conodidad Muy bueno</t>
  </si>
  <si>
    <t>un poco mas grande de lo esperado es bonito un poco mas grande de lo que esperaba</t>
  </si>
  <si>
    <t>cruz de caravaca Muy bonita, gracias.</t>
  </si>
  <si>
    <t>Mejor imposible Como Clark ,muy pocos,calidad,precio,comodidad ,todo perfecto,soy asiduo comprador de esta marca y es de lo mejor q me he puesto,gracias.</t>
  </si>
  <si>
    <t>Calidad Precio. Muy contento con el producto y entrega como siempre puntual, solo algunos detalles que se podría mejorar pero para dibujo tecnico me va sobrado, calidad precio genial.</t>
  </si>
  <si>
    <t>Una prenda de marca a buen precio Perfecta relación calidad precio. Mallas para hacer deporte en zonas en las que no haga frío.</t>
  </si>
  <si>
    <t>Calidad y confort Yo soy una fan de la marca Clarks porque se adapta muy bien a mi pie.  Algunas veces llevo el 37,5 pero estas calzan bastante así que cogí el 37 y genial. Tienen unas plantillas muy cómodas y su diseño es ideal para llevar con vaqueros</t>
  </si>
  <si>
    <t>Resistente y muy útil Este cepillo es resistente, lo uso cada vez que tengo que limpiar las cuchillas del robot de cocina, antes me irá muy difícil, en mi opinión es un imprescindible para la limpieza de este aparato</t>
  </si>
  <si>
    <t>EXCELENTE SONIDO Y CANCELACIÓN DE RUIDO Estamos ante los nuevos auriculares de sony con cancelación de ruido , los sony wf-1000xm3.  El funcionamiento es muy sencillo y rápido de establecer y configurar con nuestro teléfono.  1.En primer lugar introducimos el auricular en nuestra oreja y lo situamos en la posición idónea para que tengamos una comodidad .  2.En segundo lugar mantenemos los auriculares pulsados ,tanto derecho como izquierdo  durante unos 7 segundos para que empiece el modo emparejamiento.  3. En tercer lugar encendemos el bluetooth del teléfono y conectamos, esto lo hará en unos segundos y solo la primera vez, en sucesivas ocasiones simplemente es encender el bluetooth y se conecta.  El uso de los auriculares es sencillo ya que variará dependiendo de los toques, si pulsamos una vez el botón izquierdo lo silenciaremos, y si lo mantenemos pulsado entraremos en modo de atención , mientras que el derecho , con un toque paremos o pondremos la música siempre que estamos escuchándola , con 2 toques pasaremos hacia delante y con 3 toques hacia atrás, cuando estamos con sonido , doble toque responderemos la llamado o colgaremos y si lo mantenemos pulsado usaremos el teléfono para hablar mediante ellos.  Si por algo destacan estos auriculares es por la cancelación de ruido gracias a su nueva tecnología que permite bloquear los sonidos de la calle o ruidos externos, sin ninguna duda han sido los primeros auriculares que he podido probar que tienen una ausencia del ruido externo casi absoluta.  La batería me parece bastante correcta, aunque es cierto que si a alguien le parece escasa tenemos carga rápida en 10 minutos ofreciendo 1 hora y media de reproducción.  El diseño me ha parecido muy ergonómico, son bastante cómodos e ideales para el día a día , aunque para correr no lo recomendaría ,ya que a pesar de ser bastante compactos, creo que para correr es mejor usar unos bluetoth con cable.  El precio es bastante alto , pero la calidad es excelente , me parecen cómodos , con una calidad de sonido excelente .  En definitiva si buscáis unos auriculares top, de lo mejor del mercado , cómodos con un sonido sobresaliente y cancelación de ruido , no buscaría otros que no fueran estos, un 10 por sony.</t>
  </si>
  <si>
    <t>Elegante y distinguido No falla, es un reloj de 10. Elegante, distinguido. La simplicidad al extremo, le da una elegancia especial. Entrega en plazo como siempre</t>
  </si>
  <si>
    <t>Buenas zapatillas El producto es tal como esperaba y el precio por el que lo compré aquí muchísimo mejor que en tiendas. La caja llegó un poco rota pero las zapatillas en perfecto estado.</t>
  </si>
  <si>
    <t>BUENA CALIDAD A MEJOR PRECIO Quedan estupendos, si calzas un 42,5 mejor cogerse un 43-46 ya que suelen siempre encogerse con los lavados. Buenísimo resultado, de buena calidad. Tres pares por ese precio es un regalo.</t>
  </si>
  <si>
    <t>Las 3BBB Fácil de limpiar la verdad es q x el ancho de la boca del diseño que tiene es di pari el limpiarlo. Pero es muy buen producto y su precio y calidad esas que satisfactoria. Tengo una empresa de catering y los utilizamos a menudo para calentar agua y leche y la verdad que buen tamaño, buena calidad y buen precio</t>
  </si>
  <si>
    <t>Espectacular incluso 30 años después. Éste es el típico Casio que todos tuvimos de pequeños. No ha cambiado nada. La calidad de la correa obviamente es mala, que para eso cuesta lo que cuesta. Pero lo que es el reloj, vamos, aguanta todo, lo he sumergido, sometido al calor y a experiencias varias y lo aguanta todo. Igual no vale para bucear pero aguanta sin problemas que se le moje en circunstancias normales y también resiste bien las caídas y los golpes.  Como digo, lo único malo es la correa pero tampoco se le puede exigir más. Una joya de la relojería.</t>
  </si>
  <si>
    <t>Sujetan muy bien, se coloca bien y no es caro Para sujetar esos cables que están siempre incordiando en medio tanto en la TV como en el ordenador, cargadores... Fíjate bien en el diámetro antes de comprarlo para que lo puedas usar dependiendo del grosor del mazo de cables que vayas a unir</t>
  </si>
  <si>
    <t>Correa 40mm Estupenda correa para el watch, la tengo desde hace poco tiempo pero la calidad parece muy buena</t>
  </si>
  <si>
    <t>Lo recomiendo Fue un detalle y le gustó buena calidad a buen precio no se puede pedir más !</t>
  </si>
  <si>
    <t>Buena compra Funciona perfecto</t>
  </si>
  <si>
    <t>Increiblemente practico. Adios a los cables. Justo lo que andaba buscando, decir adiós a los cables y ganar en movilidad. Para los que estén preocupados por la calidad del sonido al transmitirse inalambricamente: La latencia no se nota y las frecuencias de móvil y bluetooth no le afectan. La batería dura bastante antes de tener que volver a recargarla, por lo menos, en lo que llevo de uso, mas de una hora. Funcionamiento perfecto, muy recomendable.</t>
  </si>
  <si>
    <t>Pendientes largos Muy chulos preciosos</t>
  </si>
  <si>
    <t>ES lo aunciado es cómoda y práctica... No he tenido ningún inconveniente con ella. La utilicé para llevar mis objetos personales a un festival y me pareció apropiada.</t>
  </si>
  <si>
    <t>Bastante impreciso. Me extrañó que un reloj de esta categoría se retrasaba 1 minuto por día. Quizás tuve mala suerte. Lo devolví.</t>
  </si>
  <si>
    <t>Horma pequeña Pequeña</t>
  </si>
  <si>
    <t>Sin valorar Lo recibí, grabe en él sin problema, lo retiré y cuando volví a conectarlo no me funcionó, ni siquiera permitió que el ordenador lo reconociera, obviamente lo devolví, pero honestamente no puedo juzgar un producto por un solo fallo, aunque es cierto que a mi me decepcionó. Por lo demás el sistema de devolución de Amazón, que nunca había tenido que probar, fue fácil rápido y muy cómodo.</t>
  </si>
  <si>
    <t>No es como esperaba No es lo qué esperaba, es más para el invierno, es bastante grueso, y la talla un poco grande, el diseño se ve mejor en la foto que el producto real. Sobre todo en la parte mas baja, en la fotos se un poco estrecho, y no lo es.</t>
  </si>
  <si>
    <t>Gran calidad. No viene kit Calidad la que esperaba, buenisima. Precio imbatible teniendo en cuenta que esta marca no hace ofertas. Lo negativo: no viene kit de limpieza y tenian algunas rozaduras muy leves como si se hubieran probado</t>
  </si>
  <si>
    <t>Buenos para hacer deporte Elegi estos cascos para poder hacer deporte con ellos. Tras unas semanas usandolos cumplen todas las caracteristicas que anuncian: Son resistentes al sudor, comodos de llevar y el cable es lo suficientemente largo para poder utilizarlos sin problemas.  El unico inconveniente: no tiene regulador de sonido, lo cual es un poco "incomodo" dado que si quieres cambiar el volumen de la musica debes ir a tu dispositivo y hacerlo.</t>
  </si>
  <si>
    <t>Calidad acorde descripcion Producto acorde descripción, no hace milagros pero alivia cuello y espalda</t>
  </si>
  <si>
    <t>Buen producto.  Mala manipulación de Amazon. El producto es lo que me esperaba.  Recibido y armado para su prueba tiene la potencia que se espera de él y su precio en oferta (89 €) lo veo adecuado a sus características.   Lo que no puedo dejar pasar por alto es un tirón de orejas a Amazon:  el producto ha sido expedido en su embalaje (caja) original, sin ninguna otra que lo tape y, lo que es inadmisible... SIN NINGÚN TIPO DE PRECINTO en la solapa de apertura, lo que le hace fácilmente manipulable por personas ajenas.  El fallo no es del punto de recogida ni del transportista, pues NO HAY marca en la solapa de cierre que indique haya sido arrancada. NO, EL PRODUCTO HA SALIDO ASÍ DE AMAZON, incluso peor que si lo hubiera adquirido en cualquier tienda comercial, que te enseñan el aspirador pero te dan luego otro envuelto y PRECINTADO.   Observado atentamente (qué remedio) no he visto marcas de uso anterior y parece que funciona correctamente, lo que me ha llevado a quedármelo, pero si es cierto que estuve tentado de dejarlo en el punto de recogida.  Es la primera vez que veo tal tipo de descuido por parte de AMAZON haciéndole bajar considerablemente la opinión de profesionalidad que tenía de la empresa. Saludos.</t>
  </si>
  <si>
    <t>Calidad decente Buena calidad,  las uso a diario en todas las condiciones,  para el ,  para pasear,  para el trabajo.  Se nota que duran bastante a pesar de lavarlas cada semana.  Sin comodas pero las he llevado mejores.  La suela se ha desgastado muy rápido pero la parte superior esta aún en muy buenas condiciones.</t>
  </si>
  <si>
    <t>Magnifica relación calidad/precio Excelente relación calidad/precio.</t>
  </si>
  <si>
    <t>material Encantada, tiene buen material como si te los diera un masajista. lo recomiendo para dolores muscul ares y cervicales. Masajedor tiene  botones para poner di ferente funcion, una es para encender, uno es poner función de calentamiento, uno es para regular velocidad, y otra es para cambiar sentidos de movimiendo de la bola de masajedor. Tiene dos enchufe  un es para casa, la cable es suficiente largas, y otro para coche.</t>
  </si>
  <si>
    <t>Muy bonito Calidad muy buenay gran variedad de colores</t>
  </si>
  <si>
    <t>Tela resistente, muchos compartimentos Mi marido tenía una bandolera de polipiel y se estropeó rapidísimo, y quería una de tela que le durara más. Tiene muy buen precio y se ve de buena calidad. Tiene muchos compartimentos y bolsillos para gafas, móvil, llaves, etc. Tiene un color elegante, y la tela se ve gruesa y resistente. La correa se puede ajustar muy bien, ya que mi marido es alto y casi todas las bandoleras se le quedan algo cortas, pero esta le va perfecta. Así que contenta con la compra.</t>
  </si>
  <si>
    <t>Facil de transportar,pequeño y ligero. Lo primero que llama la atencion es lo pequeño que es y lo poco que pesa,ideal para llevarlo de llavero,por si lo necesitas en una emergencia y tienes que guardar algo,velocidad 2.0.El ordenador lo reconoce sin problemas,con una velocidad de escritura y lectura correcta para sus caracteriticas.</t>
  </si>
  <si>
    <t>Estupendisimos cascos Primera impresión inmejorables cascos. Muy cómodos muy buen sonido, la cancelación de ruido espectacular... el único pero sería que los materiales de los que están hechos no son el mejor plástico posible.</t>
  </si>
  <si>
    <t>Buenos auriculares para caminar Auriculares cómodos y fáciles de usar. Lo que más me ha gustado es que tiene funciones varias como MP3 introduciendo una tarjeta micro SD, radio FM y bluetooth. No los veo para correr porque las almohadillas pueden mojarse con el sudor, pero son buena opción para caminatas</t>
  </si>
  <si>
    <t>CALIDAD Y CANTIDAD  a BUEN PRECIO Es un producto de calidad media/alta que junto con una BUENA grapadora, cumplirá las expectativas hasta 50 folios sin problemas... incluso más.</t>
  </si>
  <si>
    <t>ajustable y bonita Muy bonita esta pulsera, es ajustable ya que es toda flexible y vuelve a su forma original cuando t la quitas. La compre a juego  on unos pendientes</t>
  </si>
  <si>
    <t>Muy buena calidad de sonido Muy buena calidad de sonido y la batería aguanta mucho</t>
  </si>
  <si>
    <t>Hervidor agua Hervidor de agua pequeño, ideal para 1 o 2 personas para el té. Calienta bastante rápido y se limpia fácilmente.</t>
  </si>
  <si>
    <t>Genial Los dvds de toda la vida</t>
  </si>
  <si>
    <t>Resultados de estudio en tu propia habitación Genial de precio y resultados impecables...grabar en casa con sonido profesional nunca fue tan fácil.</t>
  </si>
  <si>
    <t>Buena calidad! Batidora de buena calidad con muy alta potencia, con accesorios de picadora, para hacer salsas y vaso, materiales de acero que hacen que sea muy resistente, con buen precio, muy contenta con la compra ya que cumple su función perfectamente</t>
  </si>
  <si>
    <t>Maravilloso Fantástico tablero.cumple perfecto su cometido.es lo que esperaba,tal cual lo describe la página,es material bastante bueno de calidad.venia super bien embalado.gracias</t>
  </si>
  <si>
    <t>Impresionante La compré para mi mujer y creo que es de las mejores prendas que he visto. Aísla como ninguna, manteniendo el calor a la vez que transpira. Se ajusta muy bien a la forma femenina. Además se puede desmontar tanto el gorro como el pelo que lleva el gorro. En las mangas lleva un elástico para que se ajuste aún más y no entre nada de nieve o aire. Vamos, un 10. Nosotros la conseguimos por 56 euros. Todo un chollo. Lástima que mi mujer es pequeña y aún la talla XS la quedaba grande. Recordad que Columbia talla un poco más grande que otras marcas.</t>
  </si>
  <si>
    <t>Buenísimo en calidad de sonido Lo usamos en un teatro y la función se escuchó estupendamente. Muy recomendable</t>
  </si>
  <si>
    <t>Son muy mequeños Son demasiado pequeños y muy frágiles se doblan con nada</t>
  </si>
  <si>
    <t>Opinon Funciona perfectamente, potencia media. Relajante y efecto calor.</t>
  </si>
  <si>
    <t>Fundas plásticas Justas para A4. Resultan pequeñas.</t>
  </si>
  <si>
    <t>Departamentos interiores del bolso. El forro interior muy débil, se rompe por las costuras, entre la tela de plástico y el cuero. Los separadores de cada departamento deberían ser mejores.</t>
  </si>
  <si>
    <t>Su construcción Falta lo de corazón, tiene un problema la conexión</t>
  </si>
  <si>
    <t>Pedir una talla menos por lo.demas perfecto Suelo usar una 40 y pedí una L quedan algo grandes no pedí una talla mas chica por miedo a que me.quedaran pequeñas pero aconsejo pedir una talla menos pero se ven buenas para el precio que tienen en otra ocasión he comprado otras en otras tiendas mas caras y con peor calidad</t>
  </si>
  <si>
    <t>Válido para la mayoría de clientes Compré éste micrófono como micrófono de "emergencia" pero no ha cumplido mis expectativas, el sonido es bueno y suficiente para la mayoría de clientes pero le falta matiz, al menos para mi tipo de voz (tonalidad grave), da una calidad algo aguda y "enlatada", su patrón aún siendo cardioide tiene más sensibilidad de la deseada y capta sonidos de atrás así como demasiado el sonido del teclado o ratón. No he detectado ningún tipo de ruido (hiss) parasitario del propio funcionamiento y eso es algo para aplaudir, ni siquiera poniendo el volumen (desde windows) al 100%.  Fuera de eso, es un micrófono muy económico, con una calidad y construcción correcta y Plug and Play sin ningún tipo de problema. Para cualquiera que quiera iniciar podcast o usarlo (como yo) para streamings es suficiente por el precio que tiene. Ahora bien, si buscas una calidad excelente con precio comedido recomiendo irse a la gama de los 60€. Pero, si tu presupuesto es ajustado, huye de otros modelos y compra éste que viene con el kit completo y seguro convencerá a la gran mayoría.  Un saludo!</t>
  </si>
  <si>
    <t>BUEN PRODUCTO ES LO QUE TE ESPERAS, ADEMÁS FUNCIONA BIEN</t>
  </si>
  <si>
    <t>Pantalón yoga La talla es un poco justa para ser pantalones de yoga. Recomiendo comprar una talla más grande de lo habitual</t>
  </si>
  <si>
    <t>Bien pero sujetan poco Los compré de mi talla justa. Van muy bien. son muy cómodos, el pié no se cansa, por mucho que andes. Pero en las cuestas abajo el pié resbala un poco hacia adelante, ya que la parte superior del zapato es demasiado flexible. El resultado es que enseguida se sobrecargan los dedos de los pies, especialmente el gordo, y acaba doliendo. Lo dicho; muy buenos, pero solo en llano.</t>
  </si>
  <si>
    <t>Cumplen lo que prometen Capacidad adecuada y buena capacidad de transferencia. A falta --por razones obvias-- de testar la durabilidad, el producto es muy bueno y arroja una excelente relación calidad/precio. Lo recomiendo y posiblemente repita la compra.</t>
  </si>
  <si>
    <t>Efectivo. Caludad Es perfecto</t>
  </si>
  <si>
    <t>Buen SSD a un precio aceptable Me ha gustado notar como todo va más rápido</t>
  </si>
  <si>
    <t>Correcto llevamos ya con el hervidor una semana y funciona perfectamente estoy muy contento con él y calienta muy rápido. es un hervidor perfecto es elegante y limpio. no pongáis a calentar leche porque se quema la nata y se quema la base punto por lo demás está perfecto!!</t>
  </si>
  <si>
    <t>Compré mi número habitual, al ser botas militares, son anchas, así que genial Me llegaron antes del día acordado, son las Jadon,maravillosas,me súper encantan 😍😍😍</t>
  </si>
  <si>
    <t>Ligera y elegante Son ligeras, comodas, aunque los dos primeros días van un poco rígidos, pero luego bien, plantilla blanda(después de una semana de uso siguen blanditas), muy recomendable para carnicería, el velcro ajustable un acierto.</t>
  </si>
  <si>
    <t>Perfecta Me gusta mucho, el color es como la foto, el tejido genial, bien rematada en las costuras y la talla muy bien. Muy buena compra.</t>
  </si>
  <si>
    <t>Buena calidad y diseño La calidad y diseño buenos.Queda muy cómodo y bien ajustado al cuerpo. No le he encontrado ninguna pega hasta el día de hoy. Las prendas ya las he lavado varias veces y mantienen bien los colores.</t>
  </si>
  <si>
    <t>Perfectos Se oyen bien y son económicos. Probablemente repetiré.</t>
  </si>
  <si>
    <t>Genials M’encanta! Em van perfectes i l’acabat es l’esperat per la marca Salomon</t>
  </si>
  <si>
    <t>Muy bonita la combinación de colores Tienen hasta un punto elegante. Este modelo talla ajustado, creo que si se van a llevar con la tira por detrás sería aconsejable pedir una talla más.</t>
  </si>
  <si>
    <t>Facil y bonito estéticamente, buen proyector de hora Muy buen despertador, estéticamente muy bonito ,encaja en cualquier decoración, tiene 3 tipos de potencia de iluminacion, y ademas tiene la funcion de proyectar la hora en el techo. Original y sencillo. Nada de comerse la cabeza para utilizarlo, muy facil , todo lo que se le puede pedir a un despertador. Un 10</t>
  </si>
  <si>
    <t>Perfecto, capacidad a buen precio. Funciona bien, lo uso para ver pelis en la tv. Va muy bien.</t>
  </si>
  <si>
    <t>perfecto para su cometido detector de billetes totalmente efectivo, comprueba varios sistemas de seguridad del billete en menos de un segundo y ademas tiene una funcion que va contando la cantidad de dinero que compruebas en valor o sea tiene un sumatorio de billetes si introduces 2 de 20 y uno de 10 te aparece en la pantalla 50 euros con lo que es perfecto para contar, el unico inconveniente es que si tienes que comprobar muchos billetes de golpe es un poco lento, pero por lo demas es perfecto</t>
  </si>
  <si>
    <t>No cambio de marca, son las mejores Siempre he tenido zapatillas de esta marca y no las cambio por otra. Lo siento, pero para mí son las mejores.</t>
  </si>
  <si>
    <t>gran compra Se lo compre para regalar a mi padre.Es un gran reloj por ese precio no hay ninguna queja,el envio ya podía venir más rápido solo eso...</t>
  </si>
  <si>
    <t>Cómodas y ligeras Cómodas al no llevar costuras, pesan poco.</t>
  </si>
  <si>
    <t>Anillos Son iguales Solo de sra 👎👎</t>
  </si>
  <si>
    <t>Adecuado Líquido funcional, solo viene el líquido debes comprarte la toalla. Es un bote grande de 250ml, limpie mi Macbook y no dejo huellas como otros productos</t>
  </si>
  <si>
    <t>Sin embalaje Han llegado las zapatillas sueltas, sin caja ni nada y son para regalar.</t>
  </si>
  <si>
    <t>Defecto de fabricación Compré un primer par. La zapatilla derecha parecía tener un defecto de fabricación: la plantilla interior daba la sensación de estar desplazada o ser del pie izquierdo, de manera que la pisada no es uniforme y resulta muy incómodo.  Devolví el primer par y compré otro nuevo, pero sigue teniendo el mismo problema en el pie derecho. Sólo con meter la mano se aprecia. Vuelta a Correos para devolución...</t>
  </si>
  <si>
    <t>Basura Solo valen para la basura la suela no aguanta una semana,le salió un agujero y no sirven para nada.No las recomiendo.</t>
  </si>
  <si>
    <t>Bien Los pillé para una comunión y me llegaron enseguida, me quedaban bien en mi talla el 43 aunque al tiempo de llevarlos me hacían un poco de daño en el dedo pero normal al ser nuevos</t>
  </si>
  <si>
    <t>No trae el tornillo de sujección El disco está bien y en principio funciona correctamente. Pero no trae el tornillo de sujección. Imprescindible para su correcto funciobamiento</t>
  </si>
  <si>
    <t>Todo correcto Batidora silenciosa, potencia adecuada para un uso normal en casa, varios accesorios que todavía no he tenido tiempo de utilizar. El cable en espiral es muy práctico. Enrollado ocupa poco y si hace falta estirar tiene una longitud suficiente. Espero que dure tiempo y no muera por el eje del brazo o la junta con el motor. Parece mejor diseñada para evitar holgura en el eje por su uso diario, pero... solo llevo con ella unos días. Todo correcto y contento con la compra.</t>
  </si>
  <si>
    <t>Buena compra Muy buenas y comodas</t>
  </si>
  <si>
    <t>Buen reloj Perfecto</t>
  </si>
  <si>
    <t>Me encanta Me encantaaaa es igual que en la foto y llego rapidisimo</t>
  </si>
  <si>
    <t>Buena compra Buen tejido y buen acabado,fenomenal</t>
  </si>
  <si>
    <t>Rapidísimo y fácil de instalar. Es un producto esencial si deseas rapidez. Desde que la tengo instalada, el pc inicia en aproximadamente 15 segundos, siendo completamente funcional desde el instante en el que se muestra el escritorio.  En mi caso, copié todo el sistema y sus datos gracias al programa llamado "Acronis True Image". Fácil y sin ningún tipo de inconveniente.</t>
  </si>
  <si>
    <t>Buena calidad Buen tejido, el color no se pierde a pesar de los lavados, buena calidad!</t>
  </si>
  <si>
    <t>Fue un regalo hermoso ¡ Compre un par para las abuelas y están fascinadas,  son pequeños y muy lindos valiosos la pena la compra ¡ envio perfecto y a antes de tiempo 👏👏👏 ¡</t>
  </si>
  <si>
    <t>Robustez, diseño, potencia!! Una máquina potente!!</t>
  </si>
  <si>
    <t>Buena relación calidad-precio. Es muy buen micrófono para el precio que tiene. Lo único malo es que se oye un poco flojo si lo usas tal cual, pero toqueteando los ajustes necesarios se soluciona y se convierte en una herramienta muy útil.</t>
  </si>
  <si>
    <t>Perfectas Son muy bonitas y van con todo, informal o formal.. son muy cómodas .. las recomiendo</t>
  </si>
  <si>
    <t>Simplemente increíble Es una manta eléctrica que se adapta al cuello y a las cervicales, y proporciona un calor mucho más localizado y mejor del que se consigue mediante una manta eléctrica normal.  Como paso todo el día delante de un ordenador, el traumatólogo me recomendó ésta en concreto porque cubre las cervicales y además la espalda, y me dijo que me la pusiera un rato todos los días, y la verdad que llevo una semana con ella y ya noto mejoría en los dolores de espalda y agarrotamiento.  La tela del producto es increiblemente suave, además, lleva un imán en el cuello para que cierre y se ata a la cintura para que se cierre también y quede todo más localizado.  Tiene 5 niveles de potencia y la opción de usar temporizador. A mi personalmente me gusta ponerlo a un nivel medio durante 1 hora, y ésto lo repito una vez por la mañana y una vez por la noche, mientras continúo realizando tareas desde el ordenador, ya que no molesta en absoluto.  Se nota que es un producto de muy buena calidad, y desde luego recomendaría su compra a cualquier persona que pase muchas horas delante del ordenador o que tenga problemas de espalda en general, porque es muy cómodo ponérselo mientras estás en el sofá o haciendo cualquier cosa, y el calor está localizado en la espalda y se concentra y relaja los músculos.  Estoy contentísimo con la compra.</t>
  </si>
  <si>
    <t>Comodidad Mi marido está encantado super cómodos , no había tenido un zapato tan comodo.</t>
  </si>
  <si>
    <t>Ideal Ha sido una buena compra. Me encanta irme a dormir con el mientras leo se va apagando la luz hasta que se se queda todo a oscuras. Por la mañana tambien se va encendiendo. No molesta para nada a los demas de la habitacion perquè es una luz calida agradable. Lo peor es la radio, pero los sonidos son dulces</t>
  </si>
  <si>
    <t>Unos dedos que dan un buen masaje Te olvidas que es un masajeador, parece unos dedos los que te están haciendo un buen masaje. A mi me ha gustado mucho. Sólo lo he probado una vez. Ya iré comentando cuando lo pruebe más.</t>
  </si>
  <si>
    <t>Diseño precioso!! Es un hervidor súper bonito ! Tiene un diseño muy vintage !! Me ha encantado</t>
  </si>
  <si>
    <t>Fantastico Muito contente</t>
  </si>
  <si>
    <t>100% Original Es el original a un precio muy bueno. Totalmente recomendado,asi te aseguras que no te fallara. La mejor opcion para no tener incompatibilidades con el Huawei.</t>
  </si>
  <si>
    <t>Comodidad Súper cómodos</t>
  </si>
  <si>
    <t>Ideal por diseño moderno y por ser de aluminio y no de plástico Me ha gustado por su diseño moderno en aluminio. Calienta muy rápido. No me apetecía el plástico recalentadose continuamente, y vi este hervidor y me pareció ideal.</t>
  </si>
  <si>
    <t>El tejido no es el esperado No queda como esperaba y el tejido no es bueno</t>
  </si>
  <si>
    <t>Calidad media. Calidad de sonido normal, me esperaba algo mejor por las críticas. No se notan los bajos y el sonido recortado, pero no malo. Con la cancelación de ruido mejora la calidad del sonido (debería ser al revés) pero a mí me gusta más. La cancelación del sonido crea una presión en el oído extraña como cuando vas en avión, y no es muy eficaz se oye bastante el exterior. La insonorización es baja, además pegan calor. Finalmente, no me gustan los auriculares de diadema y me quedo con los de boton-in, con un adaptador bluetooth.</t>
  </si>
  <si>
    <t>Viene sin instrucciones (!) El producto viene en una caja preciosa, te regala una brocha para aplicar la mascarilla y..... RESULTA QUE VIENE SIN INSTRUCCIONES de cómo aplicar (capa fina o capa gorda) ni de cuánto tiempo debes tenerla puesta (si es una mascarilla express de 5 minutos o hay que esperar 20...) en fín, que viviendo en una caja podrían haber metido un pliego informativo, aunque sea como los prospectos de los medicamentos. La calidad de la arcilla es muy buena, yo he comprado la arcilla negra, me la he puesto con la brocha (comodísimo y limpísimo) en capa fina y la he dejado hasta secar completamente unos 15 minutos. Deja la piel suave. La calidad buena. En casa estamos contentos.</t>
  </si>
  <si>
    <t>Pantalón de deporte Buena calidad, calentito, pero talla un pelin grande</t>
  </si>
  <si>
    <t>No recomendables Los compré para regalar y le han han funcionado bien durante un mes, ahora ya aunque los cargue del todo al ponérselos ya le avisa de que no tienen batería, no los recomiendo para nada.</t>
  </si>
  <si>
    <t>Frágil Se abren los bordes a la q tienen un mínimo de presión. No volvería a comprarlo</t>
  </si>
  <si>
    <t>La recomiendo Tiene mucha potencia y lo de no tener bolsa es muy práctio. Un poco pesado el mango pero es el único defecto</t>
  </si>
  <si>
    <t>Bueno De momento va bien!</t>
  </si>
  <si>
    <t>Buen producto Cumplió con mis exexpectativas</t>
  </si>
  <si>
    <t>Recien traídas Muy bonitas y cómodas.. veremos la durabilidad...me las han traído hoy en la fecha  prevista..talla perfecta..la que uso habitualmente sin problemas</t>
  </si>
  <si>
    <t>Bonito rojo Buena sudadera pero en relación talla un poco grande ,y un poquito cara relación calidad precio</t>
  </si>
  <si>
    <t>Excelente relación precio/calidad Es lo que necesitaba. Buen tamaño (tal vez algo más pequeña de lo que pensaba), perfecta para caminatas largas. Te permite organizar el equipo a voluntad con los separadores configurables. Buenos materiales y apariencia; mejor relación precio/calidad.</t>
  </si>
  <si>
    <t>La versión suelta de la ropa La versión suelta de la ropa, el color y el estilo son buenos. El rojo no es fácil de ensuciar, a los amigos les gusta</t>
  </si>
  <si>
    <t>Buenos auriculare A mi gusto son unos auriculares bastante bien construidos, con un buen sonido para mi gusto, dan unos graves muy bonitos.El cable de los cascos, es redondo, que ayuda a que no se enrede demasiado, y tiene una buena longitud, para poder meter el smartphone, o reproductor de música en el pantalón y que el cable no quede tenso.Un detalle que me ha gustado mucho, es que vienen acompañados de una pequeña bolsa de tela con cierre, para poder guardar los auriculares cómodamente, en vez de la típica caja de plástico.También vienen diferentes almohadillas para ajustar al oído lo mejor posible y una pequeña pinza para poder sujetar el cable a la ropa aquellos que lo necesiten.La calidad del sonido es adecuada para el precio que tiene, lo recomiendo.</t>
  </si>
  <si>
    <t>Fantástica compra Converse originales.  Tallan medio número más. Un clásico para tener en el armario.  Bonitas y cómodas.  Me encanta. Fantástica compra.</t>
  </si>
  <si>
    <t>Contenta La verdad es que es tal cual. Muy bonita estéticamente pero sobre todo práctica. Es justo lo que quería, puedo llevar lo de diario y un libro o iPad. Muy contenta</t>
  </si>
  <si>
    <t>No patinan son muy comodas Pedir medio número menos</t>
  </si>
  <si>
    <t>Lo recomiendo Reloj robusto y bien acabado. Para buceo, solo lo he probado hasta 10 metros. Sin problema.</t>
  </si>
  <si>
    <t>zapatillas de calidad Buena zapatilla. Quedan muy chulas cumplen totalmente mis expectativas.</t>
  </si>
  <si>
    <t>Perfecto como trapo de limpieza húmedo en la cocina Los clásicos trapos de red no limpian igual que estos en la cocina.</t>
  </si>
  <si>
    <t>Muy cómodos Cómodos Chulos para vestir no solo para deporte</t>
  </si>
  <si>
    <t>Rapidez Hace su función a la perfección. El plástico no se calienta excesivamente y es rápido.</t>
  </si>
  <si>
    <t>Se escuchan muy bien y son cómodos Suelo comprar auriculares a menudo porque los acabo regalando. Me han gustado estos porque los auriculares son los que mejor se adaptan a mi oreja. Son cómodos y vienen con varios recambios. Tiene un botón para descolgar y colgar las llamadas. El material es de calidades y viene con un bolsita para pode guardarlos y no se líen en el bolso o mochila.</t>
  </si>
  <si>
    <t>Al peque le ha gustado Desde el primer día que le dimos el biberon le ha gustado asi que tiramos ya con esta marca hasta que deje de usar el biberon. La calidad es buena</t>
  </si>
  <si>
    <t>Mítico reloj... pero ¡CUIDADO! están vendido modelos falsos El reloj es uno de los mejores que se pueden comprar por su precio, incluso comparándolo con otros de miles de euros, este modelo podría competir en calidad con ellos. Un reloj mítico, muy similar al primer g-shock de 1983. Con un tamaño perfecto, y siempre con ese aire militar, geek.. pero sin ser tan exagerado como otros gshock. Eso lo hace muy adaptable. Gran reloj, pero a mí me lo han vendido falso. Un inviduo que no tenía valoraciones, me fié de él, y claro, primera y última vez. Ya lo he devuelto y lo volveré a comprar original. Hay gente que no se ha dado cuenta de que le han vendido un producto falso, y es FUNDAMENTAL darse cuenta, porque pasado el plazo de 30 días, se vuelve imposible recuperar nuestro dinero.  Nada más sacarlo de la caja, sospeché: impresión de la caja octogonal de g-shock distinta a otras, impresión sobre el cartón también distinta (ya me olía que algo no iba bien). Abro la caja del reloj, y veo la etiqueta de casio (falsificada), sin que esté puesta en el propio reloj (también eso me pareció sospechoso). Al final cojo el reloj, y tras una breve valoración, digo: es falso. Se veía en todo: cristal y números excesivamente oscuros; guardas diagonales como en el modelo 5600 (y este es el 5610, supuestamente); signos del reloj como el de campana, distintos; fecha con otro formato, y formato de numeros de fecha distintos; pitido demasiado débil; funciones distintas, por ejemplo, en el cronómetro, el original te pone arriba las horas, y aquí te pone la fecha principal (algo que sí hace el modelo 5600, por lo que me inclino a pensar que le han puesto un módulo de imitación de un 5600, así de cutre son que no han podido ni imitar este módulo del 5610); efecto espejado en la parte lateral de la pantalla inexistente; carga solar (supongo) inexistente; tapa posterior no es idéntica; etc. Sí que han imitado bien el peso, le abrán metido algún canto para que este cacho de plástico malo engañe a la balanza.  Este reloj no se merece más que 5 estellas, así que se las doy, y no puedo por menos de advertir de paso de estos engaños. Es triste pensar que esto se permita, porque yo co 25 años teniendo casios, y siendo un coleccionista de más de 40 modelos, me conozco perfectamente todos los casio, y no me la pueden colar (aparte de que soy informático). Pero pienso en la cantidad de gente menos aficionada a estos relojes que han sido estafadas, y no se han dado cuenta que se han quedado con un carísimo reloj de 100 euros que en  realidad vale 5, porque es una mala imitación de los chinos. Esto no se deberia de permitir, sin lugar a dudas. A mi, me han hecho perder toda la mañana, ya le he mandado un cariñoso mensaje al vendedor para agradecerle el trato. Espero que no se repita.</t>
  </si>
  <si>
    <t>Super práctico Me parece un producto super logrado Yo lo uso para hacer papilla de fruta para bebé y lo deja trituradisimo y me lo puedo llevar a cualquier parte Las cuchillas no se accionan hasta que no está cerrado, muy seguro</t>
  </si>
  <si>
    <t>Resultado excelente Cumple perfectamente con su función, gran capacidad, cómodo y corresponde a la descripción.</t>
  </si>
  <si>
    <t>Genial! Ha llegado muy rápido, en menos de una semana, Para su precio está genial, si que es un poco pequeña, en la foto parecen las bolitas más grandes, pero la misma en diferentes sitios vale más del doble. Ahora espero que me dure y que no se haga fea. Gracias por su rapidez😉 fué para un regalo y le encantó!</t>
  </si>
  <si>
    <t>Muy comoda Me encanta es comoda y para lo que poco abulta calienta fue comprada para los dias que voy pasear y refresca y es ideal</t>
  </si>
  <si>
    <t>Muy comodas Son muy cómodas y finas. Tallan un poco pequeño, pero son camisetas que se pueden llevar ajustadas. De tacto agradable.</t>
  </si>
  <si>
    <t>Mejorable La recepción del sonido es muy mejorable, dado que siempre se escucha un molesto ruido de fondo.  Para evitarlo hay que bajar mucho el volumen del auricular y subir bastante el de la tv.  Al ir disminuyendo la carga de las pilas,  el sonido se deteriora bastante.  En cuando al plástico de la diadema es de muy mala calidad,  por lo que olvídate si quieres ver la tv en la cama,  se parte con sólo mirarlo (yo ya tengo "remendado" el mio).  Un producto tan asequible como mejorable.</t>
  </si>
  <si>
    <t>Buenas pero problemas de olores. Buena calidad pero me han provocado malos olores en el segundo invierno (solo me las pongo en invierno) y eso que soy una persona de ducha diaria sin problemas de olores / sudores de pies.</t>
  </si>
  <si>
    <t>Malos Malos</t>
  </si>
  <si>
    <t>No cumple mis expectativas. Para nada lo recomendaría. Compré con mucha ilusión en noviembre este producto y francamente me ha decepcionado. Lo quería para preparar chocolate, me pareció que me podía servir y no fue así. Incómodo a más no poder para remover la mezcla pues hay que girarlo y se queda todo pegado en las paredes y la parte superior. Los frutos secos se los ponía previamente triturados en mi molinillo, porque un día probé a ponerlos enteros y los molía bastante mal. Me dije, bueno, lo gastaré para preparar batidos de frutas. Lo he usado poquísimo y esta mañana he puesto en el baso cuatro frambuesas y una manzana golden cortada a trozos. He tenido que tirarlo todo, porque se ha partido en dos una goma que lleva para cerrar el recipiente y se han quedado pedacitos de goma en los alimentos. Y ahora, a ver si la garantía cubre esta rotura.</t>
  </si>
  <si>
    <t>Buen material Por ahora estoy contento con la zapatilla. Con el uso y el primer lavado tendré más claro si ha sido buena compra como pienso ahora</t>
  </si>
  <si>
    <t>Cascos Buen sonido</t>
  </si>
  <si>
    <t>bueno El hervidor es muy bueno, sólo que dice que tiene filtro y yo pensé que tenía un filtro como las hervidores que he visto en UK -tipo Brita- pero bueno ya veré si consigo un filtro para que no acumule cal y se arruine - o preguntaré a alguien en UK como se consiguen esos hervidores</t>
  </si>
  <si>
    <t>Muy satisfecha Yo pedi una M que es lo que uso y de cintura me queda ajustada pero bien..la cara interna de la pernera es larguita y yo mido 1.66 y roza un poco  el suelo aun asi me encanto y lo quiero volver a pedir en otro color.</t>
  </si>
  <si>
    <t>Perfecto Esta bien Pero tendría que tener más pelo</t>
  </si>
  <si>
    <t>funcionamiento Perfecto</t>
  </si>
  <si>
    <t>De momento bien De momento ya están durando más que unas converse que tenía, solo con que aguanten un poco más ya habrá valido la pena.</t>
  </si>
  <si>
    <t>Bonito y bararo Ligero</t>
  </si>
  <si>
    <t>Bolisi Ya conocía el modelo por eso lo compre Buena zapatilla flexible y duradera Hay que tener cuidado porque  se ensucian con facilidad</t>
  </si>
  <si>
    <t>Funciona perfectamente Funciona perfectamente, los acabados de Luna están genial, ha llegado genial.</t>
  </si>
  <si>
    <t>Lo bien que quedan Impresionantes como un guante...</t>
  </si>
  <si>
    <t>Auriculares música Bluetooth Auriculares música Bluetooth con diversas funciones. Su diseño es elegante, pero también muy simple. Permite plegar los auriculares gracias a sus bisagras de plástico. De hecho, pensé al recibirlos que me había equivocado de talla. Pues venían en una caja muy pequeña y no pensé que pudieran caber allí. Su diseño y calidad de materiales hace muy cómoda su utilización. Vienen muy bien acolchados para hacer más agradable su uso durante horas. Su conexión es muy rápida y sencilla. A un par de "cliks".</t>
  </si>
  <si>
    <t>Inmejorable Muy cómodos, excelente calidad, bonito diseño, precio inmejorable y entrega súper rápida. No se puede pedir más. La compra perfecta!</t>
  </si>
  <si>
    <t>Muy cómodas Son comodísimas de poner porque tienen velcro y tienen buen agarre.</t>
  </si>
  <si>
    <t>Preciosos Preciosos, parecen de mayor calidad que en la foto. Ahora espero que el brillo que traen dure mucho y no se estropeen demasiado pronto</t>
  </si>
  <si>
    <t>Como en la foto Como en la foto</t>
  </si>
  <si>
    <t>Robusta y a buen precio. Gran batidora de vaso. Llevo un tiempo usandola y sin ningún problema. Se desmonta y se limpia fácilmente.</t>
  </si>
  <si>
    <t>Ideal el cristal Es una gran idea que los biberones sean de cristal, mucho más higiénico que los biberones de plástico, han sido para mi tercer hijo y la primera vez que los compro de cristal, y desde luego que lo mejor que hice.</t>
  </si>
  <si>
    <t>Excelente producto. El SSD de Samsung es increíblemente rápido, en apenas 5 segundos tengo mi portátil en marcha. Sin duda la mejor manera de darle velocidad al portátil.</t>
  </si>
  <si>
    <t>muy buena compra Creo que es la mejor bayeta de microfibra para cristal que existe en el mercado. Seca muy rápido y no deja marcas</t>
  </si>
  <si>
    <t>Qing Muy buen producto</t>
  </si>
  <si>
    <t>5 Estrellas Es mu facil de usar e intuitivo, al ir con cable directamente a la luz tiene mucha potencia, sirve para tratar contracturas de forma sencilla en casa, (es complementario al trabajo de un fisio), permite compatibilizarlo con un "compex" lo cual facilita el deporte de alta intesidad de forma prolongada.  Es muy barato en comparación con otros masajeadores y la verdad que la relacion calidad-precio es de 5 estrellas.</t>
  </si>
  <si>
    <t>Me gustaron los ángulos redondeados en comparación con un Seagate que ya tenía. Se calienta menos que otros discos que tengo de Seagate y el plástico parece mejor, tengo varias más porque repetí compra en otra tienda de "componentes" y por ahora, no cambio. Mucho más cómodos de llevar, los uso sin ningún cuidado y van a los bolsillos del pantalón vaquero, lo cables no han cogido holguras y por ahora no ha dado fallo de ningún tipo. Si necesito alguno más repetiré fijo.</t>
  </si>
  <si>
    <t>Importante a tener en cuenta Cumple su función básica pero cuidado!  Compré estas bananas porque tienen 2 tornillos para asegurar el cable pero resulta que si usas un cable &amp;gt; 2.5 mm2 probablemente no podrás cerrar la capsula debido a que el tornillo sobresale. En mi caso, con cable de 4mm2 tuve que dejar sin poner el tornillo inferior para poder bajar y roscar la capsula. Si intentas apretar mucho los tornillos se pueden romper. Además el encapsulado es conductor y facilmente puedes hacer un corto en el ampli si dejas los cables con las bananas colgando. Tendras que aislarlas para evitar problemas.</t>
  </si>
  <si>
    <t>Lo esperado Unas zapatillas de lona con suela de goma, nada por lo que cobrar 60 o 70 euros como te piden a veces. A 23 Euros la cosa cambia un poco porque la verdad estos productos no es que sean todo un logro del I+D+I de las marcas. Cómodas y sencillas, pueden llevarlas con chinos, vaqueros o bermudas y vas siempre bien conjuntado. Lo dicho, a buen precio merecen la pena</t>
  </si>
  <si>
    <t>Estan bien relacion calidad precio Van genial aunque un auricular se oye un poco mas alto q el otro son muy comodos</t>
  </si>
  <si>
    <t>No es Original Samsung No se escucha bien, son duros, hace ruidos al moverse el conector y a veces se deja de escuchar. Creo que deberían decir que no son los originales. No recomendable.</t>
  </si>
  <si>
    <t>Calidad buena. Tallaje incorrecto El producto no era de la talla europea indicada. El tallaje es diferente.</t>
  </si>
  <si>
    <t>Buena calidad El pedido se ajusta a lo que buscaba y la entrega rápida</t>
  </si>
  <si>
    <t>bonito calzado El calzado es tal cual figura en la fotos. Llegó antes de la fecha prevista de entrega, (punto a favor para el vendedor). Viene bien empaquetado y envuelto en el interior. Viene con la factura y una hoja de devolución, en caso de ser necesario, ( punto a favor para el vendedor). El calado es cómodo, ( aunque por ahora son un pocos "rígidas", aunque es normal debido a que son nuevas, habrá que domarlas, como todas). El sistema de lazada ( cordones), es muy práctico y parece resistente. En cuanto a la durabilidad, hasta que no las use durante un tiempo no podré dejar comentario, tienen unas horas, pero si aguantan bien,s in duda serían cinco estrellas.</t>
  </si>
  <si>
    <t>Biem Bien general , la parte que protege la hélice debería estar totalmente cerrado porque salpica</t>
  </si>
  <si>
    <t>Queda muy bien puesta. Tiene buen genero. Y queda bastante bien tiende a ceñirse al cuerpo. Y en azul navy es muy bonita. Da suficiente calor probada con temperatura de 4 grados. Lo unico que no se pueda quitar el gorro. Y los pelillos son un poco molestos; estos si pueden quitar.</t>
  </si>
  <si>
    <t>Calidad Bien de tamaño y muy buena</t>
  </si>
  <si>
    <t>Pesa poco. Hola. He comprado para una niña de 5 años. No pesa mucho . La niña esta muy contenta menos sus padres porque esta todo el tiempo cantando.</t>
  </si>
  <si>
    <t>Calidad-Precio Increíble Muy muy recomendable, micrófono asequible con una calidad superior a lo que puedes esperar por su precio. En estudio tiene una captación perfecta y en exteriores es muy bueno.</t>
  </si>
  <si>
    <t>Mi mejor compra junto con punker Mi mejor compra en Amazon junto con el altavoz punker de victsing. La verdad es qu la braava 390t funciona de maravilla superando mis expectativas en todos los aspectos único inconveniente es que iría bien dos cubos de rastreo en lugar de uno solo, aumentaría su autonomía, pero en global perfecto el aparato.</t>
  </si>
  <si>
    <t>Contenta Estoy super contenta con la compra ya que se ajusta totalmente a lo que necesitaba</t>
  </si>
  <si>
    <t>Calidad a buen precio Buenos auriculares, de buena calidad, cómodos y de un sonido claro y de buena calidad y potencia, se emparejan de manera sencilla con cualquier teléfono, además de todo tienen un buen precio.</t>
  </si>
  <si>
    <t>Calidad precio Genial, se adaptan perfectamente y suenan muy bien</t>
  </si>
  <si>
    <t>Fantástica Me ha encantado</t>
  </si>
  <si>
    <t>Muy mona Colorista y còmoda, luce mucho... ahora que lo de la parte sanadora y esotèrica no lo veo mucho, lo comprè por estètica...</t>
  </si>
  <si>
    <t>Comodo y práctico Está muy bien terminado y además tiene un montón de departamentos para poder separar bien cada una de las cosas que quieras meter en él.</t>
  </si>
  <si>
    <t>PARA MAYORES Y PEQUEÑOS El microfono fue un regalo de comunión, como sorpresa para cantar karaoke. El sonido era bastante bueno y el modo de funcionamiento es simple y facil. Para los que entendian un poco mas, con los efectos de sonido disfrutaron de lo lindo. En particular, el "eco" a modo de las tombolas de feria fue muy aplaudido. Al final lo utilizabamos tanto niños como mayores!!</t>
  </si>
  <si>
    <t>Quita los arañazos en plastico del cuadro de velocímetro del coche. Es una pasada. Ha quitado los arañazos del velocimetro. Lo recomiendo.</t>
  </si>
  <si>
    <t>Etiqueta compatible Buen acabado. Encajan a la perfección. Envío justo a tiempo. Muy satisfecho.</t>
  </si>
  <si>
    <t>Bonito, bien presentado, un buen regalo. Francamente bonito, la cadena es resistente y el acabado es muy trabajado. Viene dentro de una caja bien presentado. Una muy buena compra. Le encantó el regalo.</t>
  </si>
  <si>
    <t>que llegue a un trato con el vendedor y llego bien y antes tiempo Cuestión calidad precio esta  bien el material, transpiras mucho la recomiendo mejor pedir unas tallas mas</t>
  </si>
  <si>
    <t>Mejor de lo que esperaba Como todo lo que ofrece Amazon, este producto merece un 10. Lo necesitaba para rebajar unas maderas planas para una baranda y me ha solucionado el problema. Muy potente y manejable.</t>
  </si>
  <si>
    <t>Diseño y confort Buen artículo y bonito</t>
  </si>
  <si>
    <t>CDs que solo se pueden grabar una vez Son CDs de buena calidad como se espera de Verbatim. Lo único que quiero comentar es que si alguien no lo sabe todavía: estos CDs solo se pueden grabar 1 vez, no se pueden borrar ni añadir archivos. Da igual si solo pones un archivo y le das a grabar, el espacio que dejas en blanco cuando grabas el CD no puede ser completado en otra ocasión. Asegurate que lo aprovechas al máximo.</t>
  </si>
  <si>
    <t>Muy buen producto. Es el casio de toda la vida con un color muy llamativo y bonito. Si que es verdad que el enganche de la correa viene en negro, pero incluso así, no es antiestetico. Es un reloj para años, con la calidad de casio.</t>
  </si>
  <si>
    <t>El material de la prenda Era un regalo pero me decepcionó un poco. La cremallera muy corriente y mala. No tiene forro ninguno.</t>
  </si>
  <si>
    <t>Bueno, pero... El cable está muy bien por el precio. Pero me ha durado solamente 9 meses (ya no hace contacto) usándolo como mucho dos veces a la semana en ensayos. No se si compraría otro de la misma marca.</t>
  </si>
  <si>
    <t>no es milagroso Crea ardor, nada más, y yo diría que a nivel cutáneo, no muscular. Pero eso a veces hace que se te olvide otro dolor leve que tuvieras en la zona. Curar no cura nada ;) Aplicar un poco sin pasarse porque es verdad que es extrafuerte, al principio puede parecer que no hace nada pero de repente pega.</t>
  </si>
  <si>
    <t>Diminutos Diminutos</t>
  </si>
  <si>
    <t>Decepcionado Compré la anterior versión de este usb, el Sandisk Extreme 3.0 y va mil veces mejor que éste. La velocidad de transferencia son 4MB/s, una película de 4GB tarda 15 min en pasarse. Va muy lento y no consigo alcanzar velocidades propias de un 3.1, parece que tengo un usb 2.0 en vez de un 3.1. No recomiendo su compra.</t>
  </si>
  <si>
    <t>Producto correcto Tallaje correcto (tengo 102-104 cm pecho, mido 1,76 y peso 77 kg). El tejido es bastante fino, pero es lo que buscaba (como para usar en primavera)</t>
  </si>
  <si>
    <t>Muy útil y cómodo Es eficaz y muy cómodo. Antes me daba pereza preparar una infusión o un te. Ahora es muy rápido. Me he acostumbrado también hervir al momento el agua para hacer pasta o arroz. Muy útil. Más de lo que imaginaba</t>
  </si>
  <si>
    <t>Perfecto segun espectativas Perfecto  ha llegado a Tiempo, calidad precio excelente</t>
  </si>
  <si>
    <t>Para la vida cotidiana, muy buenos Para andar o estar sentado son muy buenos. La calidad del sonido es sorprendentemente buena por su precio y son bastante resistentes a los golpes. Aunque el control de volumen yo no lo uso, no molesta al portador de estos auriculares. Para el ejercicio, son buenos, no se mueven ni caen (no dan problemas). Los recomiendo para todas las personas que hacen deporte no profesional.</t>
  </si>
  <si>
    <t>José El producto se ajusta a la publicidad. Económico. Práctico. Puede sumergirse sin problemas. Tener en cuenta la circunferencia para aquellos que tenéis la muñeca pequeña.</t>
  </si>
  <si>
    <t>Genisl Muy buen producto</t>
  </si>
  <si>
    <t>Buen collar El collar es la caña , cuantito lo vio mi novia le gusto , parece mas grande en la foto que en persona tiene buenos acavados y lo malo es el cordon un poco fino pero por lo demas esta shulissimo Cosas que trae la cagita : Limpiador del colgante , una pequeña bolsa regalo y un lazo para poder regalarlo y una magnifica caja</t>
  </si>
  <si>
    <t>Regalo perfecto para adolescente y mayores Ya son varios los cascos de esta tipología que he comprado para regalar entre mis sobrinos.  En concreto estos últimos son los mejores que he encontrado en relacción a la calidad precio.  Son muy cómodos y muy fáciles de emparejar al telefiono Móvil. Para contorlarlos, simplemente debes presionar en el casos para encender y pausar la música. El sonido es bastante bueno y no se producen cortes de conexión.  Yo los uso en la oficina y me imagino que debido a sus almohadillas y a su forma, consigo aislarme totalmente del ruido exterior, lo que me permite oir mi música y concentrame. Me parece una opción  perfecta para oir música y atender el telefono de una forma cómoda.</t>
  </si>
  <si>
    <t>Potente Es muy potente. El nivel uno ya es muy potente. Se carga bien. Cumple lo que promete, lo recomiendo.</t>
  </si>
  <si>
    <t>Genial Estupenda camilla. Viene muy completa y tiene un tamaño ideal. Es un poco pesada para llevarla andando. Está fabricada con buen material y soporta bastantes kilos. No hace ruido y viene con funda por lo que se agradece. Se ve bastante resistente y la madera ni hace ruido. Muy recomendable.</t>
  </si>
  <si>
    <t>Me encantan tanto su diseño como su comodidad Me encantan. Justo lo que buscaba. Van con todo...buscaba una zapatilla vestidora y cómoda. He andado un montón este puente con ellas y son espectaculares. Lo único aconsejo media talla menos. Yo suelo usar el 40 me lo probé en una tienda y me iba grande y compré el 39'5 y me van perfectas. Encantada con ellas!!</t>
  </si>
  <si>
    <t>CUMPLE PERFECTAMENTE SU FUNCION No puedo poner ninguna pega al producto, muy buen precio y cumplen con su función a la perfección. Visto el precio yo me compre unos para cada piso de la casa, estaba harto de andar arriba y abajo con ellos.</t>
  </si>
  <si>
    <t>Reloj viceroy Genial. Muy elegante y masculino</t>
  </si>
  <si>
    <t>Envio rapidisimo y calidad El envio muy rápido y el producto como se describe en el anuncio. Muy contento ya que fue para un regalo y le ha encantado. Muchas gracias y recomendable 100%</t>
  </si>
  <si>
    <t>Muy buenas! Perfecto</t>
  </si>
  <si>
    <t>Comodos y divertidos. Muy bonitos.</t>
  </si>
  <si>
    <t>Pendientes mujer Los pendientes son bonitos y tienen un diseño muy original, llegaron en 2 días una vez realizado el pedido, son de buena calidad</t>
  </si>
  <si>
    <t>casio es el tercero que compro buen precio entrega perfecta tiene poco peso i buena luz no puedo pedir mas los e regalado i an gustado mucho.</t>
  </si>
  <si>
    <t>SENSACIONAL Recibí el producto en menos de 24 horas y francamente, no me pude resistir a probarlo. En una bonita caja y un frasco hermético, con su cucharilla para poder separarlas más fácilmente, vienen 60 parches de gel completamente inodoros. Sobre el rostro limpio y seco, se pueden aplicar fácilmente en distintas zonas: ojeras, contorno de la nariz, sobre los labios,..... La primera sensación es de gran frescor. Se dejan de 15 a 20 minutos, que es el tiempo que la piel tarda en absorber todo el gel del parche, dejando un gran alivio e hidratación. Al retirarlos, se hace un suave masaje en la zona y .......realmente funcionan!!! la piel recupera un aspecto mucho más relajado y descansado. Ingredientes completamente naturales. Mi piel no suele admitir cualquier cosmético y estos parches no me han provocado ningún tipo de reacción alérgica. Muy recomendables</t>
  </si>
  <si>
    <t>Mejora espectacular de PC antiguo Lo compre para mejorar la velocidad de mi ordenador. El cambio del disco clásico de toda la vida a este ha sido espectacular, el PC me va como un tiro, arranca en segundos y se cargan todos los programas  en muy poco tiempo, antes necesitaba casi 5 minutos para operar en condiciones sin cuelgues. Recomendado al cien por cien</t>
  </si>
  <si>
    <t>Normalillo Esta bien para salir del paso en algo puntual pero no quita los pelos ( perro) al cien por cien  , tienes que darle muchas pasadas y aún así se eliminaría un 60 por ciento .</t>
  </si>
  <si>
    <t>Perfecto Funciona perfectamente. El producto es tal cual indica.</t>
  </si>
  <si>
    <t>Bellos Quedan bellísimos super cómodos</t>
  </si>
  <si>
    <t>Carísimas para lo que son. Me parecen carísimas para lo que son. La talla M me queda grande y la S me aprieta en la cadera, algo muy raro... El tejido en principio parece fuerte pero puestas no lo es tanto. En definitiva, que no me gustan nada. No las volveré a comprar uno las recomiendo.</t>
  </si>
  <si>
    <t>Precintadora robusta que cumple su función, pero no a la perfección Desde luego la precintadora cumple su función, pero tiene el problema que con frecuencia no corta la cinta a la primera intención y por ello se gasta más cinta de lo deseable. Al principio pensé que era un problema mío por falta de maña, pero tras varios meses de uso me sigue pasando. La recomiendo porque cumple su función por un precio asequible, pero como acabo de explicar, no a la perfección.</t>
  </si>
  <si>
    <t>MALA CALIDAD LA PRIMERA VEZ QUE SE USAN LAS VARILLAS PARA MONTAR NATA DEJA DE FUNCIONAR. LA PICADORA NO ES POTENTE Y SIRVE PARA POCO. NO ACONSEJO LA COMPRA PARA NADA.</t>
  </si>
  <si>
    <t>Devolución Son muy malos, al principio bien.. Cuando lo he ido a utilizar, uff.. No se encojen bien, huele mucho a plástico malo y se queda todo dererido, peligroso vamos... No merece la pena, he pedido la devolución, aver ahora el vendedor..</t>
  </si>
  <si>
    <t>se rompio en menos de un mes. materiales y construccion poco robustos. Para empezar, el palo es telescópico para que entre en la caja de envío. No hubo manera de montarlo y que quedara fijo. Tuve que cambiarlo por uno de escoba normal. Por otro lado, el mecanismo del pedal se rompió en menos de un mes, con un uso muy ocasional, como 2-3 veces a la semana. El invento es bueno y funcionó bien hasta que se rompió. La calidad de los materiales es muy malo y lo hace poco robusto.</t>
  </si>
  <si>
    <t>Muy util Baño de casa</t>
  </si>
  <si>
    <t>Preciazo Lo he comprado para mi suegro, le gustan las zapatillas de material para poder limpiarlas fácilmente. Tiene otras más transpirables para el verano, pero al ver el precio de estas, se lanzó a por ellas. Se las he pedido porque de esta marca y estilo ya ha tenido varias y siempre dice que les encantan por comidas y practicidad. Así que genial todo! Recomendables para gente que camine o mayores que las uses para pasear tranquilamente.</t>
  </si>
  <si>
    <t>Muy bonito Muy bonito y queda muy bien en cuello d mi esposa,algo pequeño lo que es la cadena no m importa pagar un poquito más y cadena mas grande,pero por precio que tiene está magnífico</t>
  </si>
  <si>
    <t>OJO TALLAN MUY PEQUEÑO Las zapatillas son una pasada: cómodas y preciosas. El único problema es que tallan más pequeño de lo normal. Yo normalmente uso la talla 41 y pedí el 42 porque ya vi comentarios de que había que pedir un número más de lo habitual. La verdad que me sirven pero medio número más no vendría mal (en este caso no está disponible), por lo que recomiendo pedir número y medio más del habitual.</t>
  </si>
  <si>
    <t>Cumple con lo esperado El manejo de los ajustes es más sencillo de lo que esperaba. La luminosidad es más que suficiente. Tiene una opción muy interesante por la que puedes apagar por completo los dígitos luminosos durante la noche. La variedad y calidad de las melodías del tono despertador es quizás el punto más flojo.</t>
  </si>
  <si>
    <t>Acierto si o sí. Me ha gustado porque encajan perfectamente en mi oído. Se puede correr con ellos sin que se caigan.  Los uso para correr e ir al gimnasio. También por casa y escuchar la radio por la noche.  Al sacarlos se emparejan de inmediato, un toque pausa, dos pasa canción. Perfecto con Spotify. No llaman nada la atención, para mí eso es un punto a favor. De audio se escuchan genial, buen volumen y bajos buenos. Quería comprarme unos clones de airpods pero decidí ir a lo seguro. Tengo el modelo spark y estos truefree.</t>
  </si>
  <si>
    <t>Todo bien Lo tuve que devolver porque no era compatible con el ordenador para el que lo quería. No llegué a probarlo.</t>
  </si>
  <si>
    <t>Mucho mejores de lo que esperaba Estos auriculares del tipo in-Ear son perfectos para moverte ya que si no fueran de este tipo se caerían en cualquier momento. Van por jack 3.5 y el cable es bastante largo y tienen como un control a mitad del cable.</t>
  </si>
  <si>
    <t>Diez veces más rápido que un pendrive He tenido ocasión de copiar en el plazo de una semana los mismos archivos en pendrives de las marcas SanDisk y Kingston y en este disco duro externo de 1 TB de Toshiba, y he podido constatar de primera mano que en el disco duro la grabación va unas 10 veces más veloz que en los pendrives de marcas tan acreditadas. De momento los discos duros externos ganan por goleada a los pendrives en velocidad, capacidad de almacenamiento y precio. Yo creía lo contrario hasta que me he podido desengañar con mis propios ojos.</t>
  </si>
  <si>
    <t>Precio barato, bien empaquetado y funciona perfecto. Funciona perfecto, igual que el original.</t>
  </si>
  <si>
    <t>Muy bueno Me queda perfecto</t>
  </si>
  <si>
    <t>Muy bien Si perfecto</t>
  </si>
  <si>
    <t>Chandal comodo y bonito Chandal de un tejido muy bueno. Bastante gordito para ahora para el invierno y de un color grisaceo muy bonito. Trae puños en manos y piernas y cremallera delantera en cjaqueta y cordones en la cintura del pantalon. Al lavarlo y plancharlo no se deterioro nada y quedo tal cual estaba. Perfecto para el invierno.</t>
  </si>
  <si>
    <t>. El color es un poco mas rosa que en la foto, pero se ve mejor todavia.</t>
  </si>
  <si>
    <t>Nueva vida para un ordenador antiguo No esperaba tanta mejora del ordenador, que ya tiene 10 años, al instalar este disco ssd, windows 10 se inicia muy rápido, en segundos, cuando antes tardaba mas de un minuto. Un juego que tardaba en arrancar casi media hora(no exagero), ahora lo hace en menos de un minuto. Estaba pensando en jubilar el ordenador porque no pensaba que pudiera mejorar de forma ta espectacular. Gratamente sorprendido</t>
  </si>
  <si>
    <t>Correcto! Correcto!</t>
  </si>
  <si>
    <t>Pulsera fitness Esta pulsera es perfecta para llevar un seguimiento de tu actividad física diaria. Cuenta con muchos modos, entre ellos (futbol, tenis, baloncesto, bicicleta, fitness, etc. . .) en los cuales te mide las pulsaciones, calorías quemadas, pasos, tiempo transcurrido entre otros. Por otro lado  también puedes ver la hora, los grados que hacen en tu ciudad y monitorear tu sueño por las noches.  La pulsera se carga en poco tiempo y su batería dura mucho tiempo (más de una semana).</t>
  </si>
  <si>
    <t>Perfecto Estupendo cepillo, eficaz y muy fácil de  manejar, con el asa se coge muy bien.</t>
  </si>
  <si>
    <t>Un descubrimiento! Queda perfecto. Es súper cómodo y se adapta genial. Además de que es muy barato. Es dificilísimo encontrar sujetadores de tallas grandes tan buenos y tan baratos. Ya tengo 4 modelos distintos de esta marca y estoy contentísima!</t>
  </si>
  <si>
    <t>Sorprendente Excelente relación Calidad/Precio. Dudábamos en un principio porque desconocíamos la marca, pero su funcionamiento es perfecto, al igual que la capacidad de extracción y el diseño. Totalmente recomendable a mi parecer.</t>
  </si>
  <si>
    <t>Contenta con la compra aunque tuve que pedir una talla más. Primero pedí la talla 47 que es la que siempre pido pero quedaban pequeños, por lo que los devolví y pedí la 48 y esos si quedaron perfectos.</t>
  </si>
  <si>
    <t>Super chulas Estan bien tal como esperaba. Quedan chulas y mejor precio q en otros sitios. Muy contento</t>
  </si>
  <si>
    <t>Robusta He elegido esta batidora por su garantía "pro" y en principio así se comporta. Habrá que ver su durabilidad para que sea realmente pro. No ha durado ni seis meses, ahí la tengo para tirar...</t>
  </si>
  <si>
    <t>Muy pequeños En si los pendientes están bien, pero son demasiado pequeños quedan justos pegando en el lóbulo. Para niña valen. Me puse en contacto con el vendedor para devolverlos y no hubo ningún problema con él. La atención fue muy buena.</t>
  </si>
  <si>
    <t>buen producto pero bandolera corta he escogido esta valoracion, porque considero que el producto es bueno, pero un fallo muy grande es la bandolera que es muy corta. Hay gente que nos gusta tener el bolso mas bajo de la cintura y tambien tenemos el cuerpo mas grande. no vendria mal que pensasen en la gente alta y la bandolera la hagan mas larga</t>
  </si>
  <si>
    <t>Jose Miguel Ha llegado en el tiempo correcto, pero viene en una funda de tela que está arañada y no en una caja, lo quería para regalo, pero la presentación va a quedar muy fea si lo presento tal cual.  En cuanto al reloj en sí, se ve que los materiales no son muy buenos, los cromados parecen pintados, y las palabras grabadas no se ven nada...Espero que sea mas resistente de lo que parece.</t>
  </si>
  <si>
    <t>Fallo de funcionamiento Antes de 24 horas de funcionamiento se quedó bloqueado el interruptor general y no cortaba la corriente. Por lo tanto lo tuve que devolver. El diseño está bien pero se ve que la calidad deja mucho que desear, porque posiblemente sea producto fabricado en China.</t>
  </si>
  <si>
    <t>Sudadera Queda más pequeño que las indicaciones del vendedor. Se nota que es de muy mala calidad.</t>
  </si>
  <si>
    <t>Relacion Calidad-Precio Ok. Relacion Calidad-Precio Ok. Buenos materiales bien acabados. La volveria a comprar. Cumple bien el cometido para el que la compre.</t>
  </si>
  <si>
    <t>Dinero bien empleado Llevo un mes con él y de momento va bien. Claro que tendrá alguna carencia, por decir algo el bisel no queda anclado se gira con algún roce, el lumen de las agujas y números  algo escaso, le falta en mi opinión unos pocos milimetros más de tamaño para una muñeca de hombre y en lo que toca a mecánica como leo en otras opiniones, lo he sumergido y ok, la indicación de fecha ok y atrasa lo normal para la mecánica que monta. Pero para el precio que cuesta es un reloj perfecto. Estoy contento con el.</t>
  </si>
  <si>
    <t>Zapatillas súper cómodas y ligeras Queda bien aunque le sobra un pelin por delante. Menos talla seria pequeño. Son zapatillas que dan talla eso si, las compre para mi madre que calza entre 39 y 40 y le cogi 40 pensando que le iría bien y asi ha sido. Cómodas, ligeras, perfectas para caminar.</t>
  </si>
  <si>
    <t>Casi es la cafetera perfecta El "casi" del título se debe a que, en mi opinión, la cantidad de agua que utiliza en el calentamiento es excesiva, el doble de la que utiliza para un café corto.  Por lo demás, una maravilla que recomiendo a los que, como yo, quieren disfrutar en casa de un café de la misma calidad que sirven en las cafeterías.</t>
  </si>
  <si>
    <t>Gilma Era un regalo así que no puedo opinar mucho, pero a ojo es muy bonito tal como se mire en la foto, un poco pequeñode tal vez</t>
  </si>
  <si>
    <t>Buena calidad para su bajo precio Me ha gustado mucho para ser muy barato</t>
  </si>
  <si>
    <t>Conodidad Ya tengo , la mismas zapatillas en granate y blanco y son muy cómodas y me gusta mucho este modelo N-5923</t>
  </si>
  <si>
    <t>No son los originales Al día de haberlos comprado al ponerme los se rompieron, no tienen ni 3 meses y ya se me ha roto de un lado. No se comparan con los verdaderos. No está mal para salir de un apuro.</t>
  </si>
  <si>
    <t>Sorpresa!!!!! El producto no se parecía al del anuncio en cuanto a las medidas, yo lo quería por sus medidas, el que llego resulto ser mucho mas grande, así que no me sirve, el resto es como se anuncia, las 5 estrellas son por la buenísima disposición del vendedor a solucionar el problema, creo que eso también se tiene que valorar y que quede de forma clara y visible para los demás compradores, por eso a este comprador, le compraría otros productos con total tranquilidad, sabiendo que ante cualquier problema responde como tiene que ser, sin necesidad de acudir a Amazon ni nada.</t>
  </si>
  <si>
    <t>Como esperaba. De momento todo perfecto, el reloj como esperaba. El tamaño es ideal, ni muy grande ni muy pequeño y el contraste del dorado y plateado lo hacen un reloj para mi gusto muy bonito.</t>
  </si>
  <si>
    <t>Queda perfecto Buen chaquetón por un precio muy asequible</t>
  </si>
  <si>
    <t>Peefecto Perfecto. Además el libro q trae es para enganchar el cuerpo cuando lo tenemos enchufado .</t>
  </si>
  <si>
    <t>La calidad de audio y la autonomía. Perfecto auriculares para cualquier uso que le quieras dar, deporte, oficina, trabajo, etc, etc. Tiene una calidad de audio impresionante y un sistema de reducción de ruido muy bueno, entrenando en la bici se puede mantener una conversación sin problema de ruidos del viento. Hice una salida de mas menos 4 horas escuchando música y aun no me avisó de batería baja, así que la autonomía un 10. Trae su manual el español entre otros idiomas y diferentes tamaños de adaptadores para cada tipo de oido. También viene con una bolsita para guardar todo que está muy chula y el cable para poder cargarlo ya que trae conexión de alta vevelocidad (creo que le llaman) pero se puede cargar con cualquier enchufe con salida usb de 2 ah. En definitiva volvería a comprarlos</t>
  </si>
  <si>
    <t>Suabe y funcional El año pasado estábamos mirando una almohadilla de estas para dar calor por las noches y para aplicar en zonas doloridas, pero ya estaba acabando el invierno y lo dejamos para este. Esta almohadilla de IMETEC es pequeñita (cómo un folio A3 más o menos) pero cumple su función muy bien.   En la caja viene la propia almohadilla con el mando de control que va aparte y se conecta fácilmente con un "click". En el mando sólo tiene dos botones, el de encendido y apagado y el de la potencia. Pulsando el de potencia cambian los números más arriba, y claro, cuanto más alto más caliente. A nivel 1 queda templado, muy agradable, a nivel 2 ya esta caliente... y por ahora es lo que probé, pero el 2 ya es suficientemente caliente para cualquier cosa, y hay 3 más. Al cambiar de nivel tarda varios minutos en llegar al nivel deseado muy rápido, por lo que es recomendable ir poco a poco que luego es más difícil que pierda el calor, aunque claro, cuando ya la conozcas ya sabrás que nivel necesitas.   La alfombra es muy muy suabe, el tacto es como el del algodón que se usa para las heridas. Además, viene con una fundita para guardarla cuando no la usas.   Lo único malo, es que como es normal, tienes que tener cuidado de si la usas para dormir, no darle una vuelta brusca que puedas arrancar el enchufe de la pared... y bueno, aunque no consume tampoco demasiado, si lo pones al máximo son 110W, cuidado con las facturas de luz. Con todo te puedes despreocupar de quedarte dormido, porque como avisa el fabricante, se apaga sólo a las 3 horas, lo justo para calentar la cama y dormir el resto del tiempo muy a gusto.</t>
  </si>
  <si>
    <t>Comodos Tal como se ven</t>
  </si>
  <si>
    <t>Impresionante Es perfecto no deja mancha en la pared y se adhiere muy bien</t>
  </si>
  <si>
    <t>Buenos auriculares y excelente atención al cliente Los auriculares cumplen con lo que se espera de ellos. Los uso muy intensivamente, y no he tenido en ningún momento problemas en la calidad del sonido, tanto de recepción como de envío.  Seguramente les pondría como mucho cuatro estrellas porque no son perfectos. La quinta se la atribuyo al excelente servicio de atención al cliente del fabricante. Tuve un pequeño problema y me contestaron rápidamente y con una solución muy satisfactoria.</t>
  </si>
  <si>
    <t>Elegante y práctico Muy elegante, práctico, bonito y buen material. Ya os diré con meses de uso</t>
  </si>
  <si>
    <t>Auriculares táctiles Me parecieron increíbles, el comando de voz funciona a la perfección y se detienen y siguen con la parte táctil que me encanta, ya que no es necesario sacar el celular para darles pausa. El empaque y el color son sorprendentes, me gusto mucho. Por otro lado la calidad del sonido y la conectividad, son impecables. Los uso para trotar y se han portado perfectamente.</t>
  </si>
  <si>
    <t>Un reloj genial Envio super rapido, relación calidad precio immejorable. Un detalle del vendedor la funda para poder guardarlo sin que se dañe. Incluye pila.</t>
  </si>
  <si>
    <t>Cunple expectativas Cumple expectativas</t>
  </si>
  <si>
    <t>Calidad y funcionalidad Perfecto, solo falla el tacto pero por lo demás pasa por original. Trae incluso el pegamento y los tornillos</t>
  </si>
  <si>
    <t>Maravilloso. Lo volveria a comprar Me encanta. Lo uso casi cada dia desde hace aprox 2 meses y como nuevo. Solo tiene dos velocidades y uno a “golpes” pero mas que suficiente. Se desmonta genial. Sin duda volveria a comprarlo</t>
  </si>
  <si>
    <t>Adidas Superstar!!! Los zapatos son el martillo. La tabla de tamaño fue de gran ayuda. El tamaño 40 tiene pies delgados. Me han pedido 401/3, encaja perfectamente. Parezca bueno, usted puede usar a cualquier equipo. Recomendación de compra absoluta.</t>
  </si>
  <si>
    <t>QUE SE OIGA NO RECOMENDARIA, SE ACOPLA DEMASIADO.</t>
  </si>
  <si>
    <t>Son chulísimos pero pesan Son chulísimos Pero pesan un poco Por eso le puse tres ⭐</t>
  </si>
  <si>
    <t>Muy malas Incómodas muy pequeñas y mal terminadas</t>
  </si>
  <si>
    <t>Todos oyen mucho ruido Los compren porque supostamente deberian reduzir el ruido, pero todos me dicén que se oye demasido ruido. No me parecen que sean los oficiales...</t>
  </si>
  <si>
    <t>muy buena batidora pero la he tenido que devolver porque se sale grasa del cojinete. La verdad es que pensaba que iba a ser mi compañera durante muchos años, pero en seis meses me ha dado este problema. He solicitado la devolucion.</t>
  </si>
  <si>
    <t>Buen sonido Sobre todo teniendo en cuenta el precio, me parecen unos iems muy recomendables. Han conseguido que deje los ie8 en el cajón y ya es mucho....</t>
  </si>
  <si>
    <t>Muy util Es muy util para transportar documentos sin que se estropeen, entran bastantes documentos en un mismo sobre, son de buena calidad.</t>
  </si>
  <si>
    <t>Sencilla, perfecta para este precio. Por este precio sinceramente, no se le puede pedir más cumple con su función, aunque si buscas algo potente necesitarás alguna de más W.</t>
  </si>
  <si>
    <t>talla un poco grande es un poco grande pero por lo demás es perfecta</t>
  </si>
  <si>
    <t>Super Ha quedado muy bonito como detalle de bautizo</t>
  </si>
  <si>
    <t>Pulsera tous Muy bonita</t>
  </si>
  <si>
    <t>Excelente Excelentes estos biberones</t>
  </si>
  <si>
    <t>Todo perfecto , muy recomendable Todo perfecto , y el producto muy cómodo .gracias .</t>
  </si>
  <si>
    <t>Genial Muy cómodos</t>
  </si>
  <si>
    <t>Buena manta eléctrica Manta eléctrica perfecta para lumbares y cervicales. El material es muy suave y agradable, como terciopelo. Se adapta perfectamente al cuerpo. Tiene regulador de temperatura y temporizador. Viene con un velcro bastante ancho para fijarla. Muy buena para aliviar el dolor tanto con calor seco como  vaporizandole agua para tener calor húmedo.</t>
  </si>
  <si>
    <t>Calidad y rapidez Muy buen disco SSD, muy rápido y fácil montaje, da gusto ahora trabajar en el pc con esta respuesta de velocidad, arranque de w 10 casi instantáneo y los programas pesados lo mismo, producto muy recomendable, mirando por todos lados vi discos SSD más baratos, pero de marcar raras y ya que era una inversión para tiempo, me decidí por esta marca, que creo que es de las mejores del momento.</t>
  </si>
  <si>
    <t>COMODAS Y CALENTITAS Me gustan estas botas para inviernos frios. Me parecen muy calentitas, por su algodón interior, que recubre completamente por dentro la bota. He pedido un numero más y se me ajustan perfectamente, como todas las botas. Me parecen muy robusta y confortable. Tiene muy buena sujeccion y agarre por su suela apta para todos los terrenos y antideslinzantes. Me gustan mucho en general.</t>
  </si>
  <si>
    <t>Pendientes bonitos Un producto de calidad,tal como se espera por parte de Tous</t>
  </si>
  <si>
    <t>Fue un regalo y quedó encantada. Le ha gustado mucho a quien se lo regalé</t>
  </si>
  <si>
    <t>La Me gusta mucho sobretodo, lo cómoda que es .</t>
  </si>
  <si>
    <t>bonitos Con precio especial, un regalo. Da la sensacion que son mas pequeños de lo que se aprecia en la foto. Muy bonitos</t>
  </si>
  <si>
    <t>Pequeño, útil y para llavero 32Gb que vienen genial para música, video y otras copias de seguridad. Tienen un mosquetón bastante fiable y lo llevo siempre en el llavero, así no se pierde. Además es muy estético, delgado y plateado.</t>
  </si>
  <si>
    <t>Genial La mejor compra, súper económico. Muy cómodas, con dos tipos de cordones diferentes</t>
  </si>
  <si>
    <t>Bonito Bien</t>
  </si>
  <si>
    <t>🖤💚 Es muy util y perfecto. Me encanta</t>
  </si>
  <si>
    <t>Merece la pena El producto calidad precio está bien aunque se despegan más que las originales</t>
  </si>
  <si>
    <t>100% RECOMENDABLE LLevamos probando el aparato casi 1 semana y la evolucion de mi mujer es extraordinaria, a parte de disfrutar ejercitando, puedes ver toda tu evolucion y eso es algo que le motiva. La app funciona muy bien y es muy intuitiva, yo tengo un iphone y va de lujo. Recomiendo la compra a cualquier mujer con problemas postparto de todo tipo.</t>
  </si>
  <si>
    <t>David Andrade Le Goff Para mi opinión es muy pequeña y calienta bastante poco, calentaban mucho más las daga antiguas, una cosa buena el tacto de la tela, pero otro problema que viene sin funda.... Es fin para gustos los colores</t>
  </si>
  <si>
    <t>Buen Sonido... NADA MAS Estaticamente van bien, el sonido esta muy bien... el problema lo encuentro en los materiales... creo que el plastico que usa es muy fino, he visto mejor calidad en auriculares chinos que en algo asi como es JBL, se que no es la gama "ALTA" pero realmente parece plastico con los que hacian los juguetes de fiestas infantiles.</t>
  </si>
  <si>
    <t>es muy bonito La esfera tiene colores llamativos. El acabado es muy bueno. Único problema la esfera choca con la luna. Es casi perfecto.</t>
  </si>
  <si>
    <t>DOS días Normalmente los auriculares me duran entre 9 y 12 meses hasta que se les estropea el cable por algún sitio. ¿Estos? Los he usado DOS días. Patético no, lo siguiente.  No sé si es problema del cable o del conector, pero son de tan mala calidad, que solo con llevar el móvil en el bolsillo, el movimiento del cable hace que se escuchen crujidos de estática.  Aparte, el botón para el manos libres parece de juguete. Y pese a ser auriculares de los que se meten en el oído, no bloquean nada del sonido ambiente.  Nada recomendables. Cualquier otro modelo, de cualquier otra marca, es mejor que este.</t>
  </si>
  <si>
    <t>Incómodos Incómodos, poco flexibles</t>
  </si>
  <si>
    <t>Buena relación calidad precio. Se escuchan muy bien y me están durando bastante. Suelo tener problemas con este tipo de auriculares porque me hacen daño, pero estos en particular me resultan muy cómodos incluso cuando los uso durante muchas horas, no me molestan para nada. El material es de buena calidad y el cable, aunque quizá sea demasiado corto, es bastante grueso.</t>
  </si>
  <si>
    <t>Correcto Tal cual se muestra en la foto. Genial!!! Muy fácil de usar los más peques.</t>
  </si>
  <si>
    <t>Deseables Para rotular objetos</t>
  </si>
  <si>
    <t>El nro corresponde a un pié un nro más pequeño Es un poco estrecho para mi pié pero se acaba adaptando porque la polipiel no es dura. Pedí un nro más grande que el mío porque había leído de otros usuarios que eran pequeñas. Mi nro habitual es un 42 y este es un 43 y me va bien, es igual que todos los zapatos que tengo del 42.</t>
  </si>
  <si>
    <t>Irene Perfecto para recoger la leche con el extractor de Medela, pero no lo uso como biberón porque a mi hijo no le gusta la tetina.</t>
  </si>
  <si>
    <t>Buenas memoria Buena relacion calidad precio en este producto. Es un buen kit para actualizar tu RAM o montar un equipo nuevo si no tienes unas especificaciones muy restrictivas</t>
  </si>
  <si>
    <t>Función de mapeado láser muy bueno y control por voz con alexa Funciona muy bien y es fácil de configurar, en un par de limpiezas tiene mapeado toda la casa y puedes indicarle desde el móvil que zonas quieres que linpie o zonas que no quieres que entre. Funciona muy bien con la voz con Alexa y deja muy bien limpio el suelo rápidamente gracias a sus dos cepillos que hace que las pasadas sean más anchas que con otros robots que tienen sólo una. La batería aguanta bien la limpieza completa de mi casa *108 metros*  eso sí en cuanto ruido no lo utilizo en la misma habitación ya que no es muy silencioso mejor ponerlo cuando no estamos en casa</t>
  </si>
  <si>
    <t>Zapatillas puma Me ha gustado todo..la calidad y el diseño. Las puma tallan grande.eso si...asi que mas o menos son casi 2 numeros menos del que usas.</t>
  </si>
  <si>
    <t>Me encanta Un colgante muy fino, lo regale a una amiga y le ha encantado, hasta ganas de cogerme uno para mi me dan.</t>
  </si>
  <si>
    <t>Genial Fácil de limpiar, cumple la función para la que está destinado: batir líquidos en pequeños embases. Particularmente lo uso para la leche del té, el colacao de mi nena y para un batido nutritivo que con la espuma es como si su sabor fuese mejor. Su diseño es hermoso, la base es funcional y su precio adecuado.</t>
  </si>
  <si>
    <t>Genial Me ha encantado el reloj. Bonito, funcional y muy resistente.  La carga solar es un gran aporte, y las fases lunares otro tanto.  Lo recomiendo a todo el mundo que quiera un reloj de diario.</t>
  </si>
  <si>
    <t>Buena compra envio super rapido de un dia para otro,muy contento con la compra la recomiendo ,la chanclas muy bonitas y buena calidad</t>
  </si>
  <si>
    <t>El tamaño es perfecto Me encantan son comodísimos ,ideales para llevar a todas partes, la cajita es muy pequeñita,tiene un sonido envolvente , con una larga duración de batería con una carga rapidisima super rapida .Si como yo, buscas escuchar música o simplemente poder atender el móvil con una mejor calidad que simplemente activando el altavoz, ésta es una gran opción. Como puntos positivos destacar lo siguiente: -Cómodos, no se caen, y al no tener cables no se enredan constantemente. -Bluetooth que empareja muy rápido con el móvil y sin necesidad de contraseña. -Autonomía suficiente y cargan rápidos. -Trae distintos tamaños de almohadillas, para que encaje perfecto a cualquiera. - Cómodo a la ora de llevarlos y guardarlos, la base es pequeña e imantada para fijar bien los auriculares y que no se pierdan. - Calidad de sonido bastante buena. - Micrófono integrado para manos libres que funciona muy bien. - Carga rápida y comoda, basta con meterlos en la base y ponerla a cargar. - Comodos para el oído. Contras - Ninguna de momento. Tengo otros auriculares inalámbricos, que son más caros y ahora uso sobre todo estos. Me decanté por estos por las buenas opiniones y la verdad es que no me ha defraudado. Son cómodos y ajustan muy bien en el oído. Los he tenido hasta tres horas seguidas puestos y no molestan nada. El sonido es bastante bueno y la batería dura bastante. Yo lo he tenido cinco-seis horas y luego los he devuelto a la caja para que vuelvan a cargar. La carga se hace bastante rápida, en comparación con otros que he tenido. Los he usado para el teléfono y se conectan al instante y la calidad en las llamadas también muy buenas. Los uso sobre todo para música con mp3 y para la tv y la conectividad sin problemas. Lo dicho, una relación calidad-precio muy buena, lo digo por experiencia por otros modelos más caros y más incómodos con menos duración de batería. De momento muy satisfecho, espero que su duración sea aceptable.</t>
  </si>
  <si>
    <t>ballington La verdad que para el precio que tiene me  ha sorprendido mucho y gratamente, es bonito, bastante grande y funciona perfectamente. La correa no me gustó mucho los incrustes de metal que lleva porque le da un aire de heavy metal pero como lleva pasadores se los quité y queda bastante bien sin ellos. Llego en tiempo señalado y perfectamente en su caja. Recomendable.</t>
  </si>
  <si>
    <t>Funciona perfectamente De momento todo perfecto aún no lo he instalado en el interior de mi Mac porque lo he dejado fuera por Usb para ver el comportamiento,  se nota la rapidez va todo muy fluido eso sí no he podido clonar todo el disco antiguo porque al final me daba un error pero pienso que cuando lo instale dentro y me descargue desde cero el sistema operativo creo que irá todo bien,  así que de momento todo perfecto se nota el cambio el sistema va mucho más rápido y las ventanas y programas se abren  muy rápido, también el arranque del sistema es espectacular antes tardaba 2 minutos y 12" y ahora solamente tarda 48",  más adelante como he dicho antes si va todo bien como hasta ahora lo instalaré ya dentro del ordenador.</t>
  </si>
  <si>
    <t>Muy bonito y fino Fantástico, le regalé esta medalla a mi mujer y le fascinó, me he gastado en otras ocasiones más dinero y creo que éste le pareció el mejor. El contraste del collar y el circulo de plata de la medalla, con el dorado del árbol y los cristales de Swarovski con tonalidadades moradas imitando a los frutos, lo hacen realmente muy lindo. El tamaño es perfecto, queda proporcionado con el cuello. La caja que contiene el collar perfecta.</t>
  </si>
  <si>
    <t>Contento El producto es de muy buena calidad, grosor y acabados. El adhesivo es fenomenal y  sirve para muchos tipos de trabajo. 5 estrellas</t>
  </si>
  <si>
    <t>muy satisfecho muy comodas las recomiendo son una pasada</t>
  </si>
  <si>
    <t>Precio y calidad inigualable Me ha sorprendido favorablemente este reloj. Quería tener un reloj digital en mi colección y si podía ser clásico mejor. Se actualiza por la noche y su exactitud es buenísima. Tiene varias alarmas programables y hora mundial. Además cuenta con sistema de iluminación automático que funciona cuando detecta que la luz es escasa e inclinas el reloj para ver la hora. Además de toda la fiabilidad de tener un G-Shock. Muy contento</t>
  </si>
  <si>
    <t>útil y práctico Un buen complemento para viajes cortos o excursiones, con un tamaño adecuado para llevar cosas y que no pese demasiado.</t>
  </si>
  <si>
    <t>Original Tuve otra me duró 2 años, es muy cómoda para quien trabaja horas de pie. El color muy bonito</t>
  </si>
  <si>
    <t>Fácil montaje y con herramientas Perfecto para cambiar de imagen mi smartwatch</t>
  </si>
  <si>
    <t>Muy buena Hubo un extravío porque se introdujo en el buzón equivocado a parte de eso perfecto. La tarjeta está muy bien, la lectura de mb/s la buscaba alta y el precio era insuperable. Lo recomiendo</t>
  </si>
  <si>
    <t>No para pies anchos. Buena deportiva, pero tendrían que advertir que no es apta para pies anchos, me las he puesto para entrenar y no he podido, me dolía mucho los lados de los pies. No las he intentado devolver por que ya las he usado, una sola vez pero ya están usadas. Dinero tirado.</t>
  </si>
  <si>
    <t>Sirve para lo que sirve, un uso light Por opiniones de otros clientes sabía lo que me iba a encontrar. Es un tablero de corcho fino, dos capas, una a cada lado del mismo con una capa intermedia creo que de cartón. Yo lo compré porque el uso que le doy es ocasional y con cuidado. Si se le va a dar un uso mas habitual y/o lo van a usar niños no lo recomendaría, ya que no creo que tuviera una larga vida de uso.</t>
  </si>
  <si>
    <t>Buen sonido con  cancelación activada Le doy 3 estrellas por que una vez activado la cancelación de ruido el sonido mejora mucho, pero sin la cancelación activada el sonido es bastante mediocre. Preta un poco, espero que con el tiempo de un poco de sí.</t>
  </si>
  <si>
    <t>MI PEDIDO Me gustaron bastante mis tenis, era lo que yo queria, en cuanto a la entrega, fué super rápida. Estoy muy agradecida, siempre han sido muy correctos</t>
  </si>
  <si>
    <t>No me gustan Muy grandes y anchos</t>
  </si>
  <si>
    <t>Nefasto La verdad que no me esperaba algo de piel real, ni buenísimo pero mucho menos lo que llego.. rígido, plasticoso, feo.. muy muy feo. No se lo recomiendo a nadie, de verdad horrible</t>
  </si>
  <si>
    <t>Me ha resultado util Es lo que necesitaba para el micrófono de condensador, conectado al ordenador no funcionaba al faltarle la necesaria alimentación phantom</t>
  </si>
  <si>
    <t>Son muy cómodas y bonitas Están muy bien. Las volvería a comprar. Llevo un tiempo y me parecen bastante resistentes. Quizá después de todo el día empiezan a molestar, pero es lo normal en este tipo de calzado.</t>
  </si>
  <si>
    <t>AURICULARES PRÁCTICOS La verdad es que cuando llegaron, la manera de plegarlos me parecía peligrosa porque me daba la sensación de que iba a ser poco resistente e iban a romperse con mucha facilidad en los pliegues. Pero para nada, los uso a diario y pliego y guardo varias veces apra meter a la mochila y están como nuevos. Tal vez la única pega que les puedo poner es que la diadema es demasiado grande, y para las cabezas un poco pequeñas es excsivamente grande y baila. Se puede ajustar la medida a mayor tamaño, pero el mínimo es excesivamente grande.</t>
  </si>
  <si>
    <t>tarjeta de memoria Es un producto muy aconsejable, muy útil y práctico. Estoy muy contenta.con el pruducto de toda confienza Volvere a comprarlo</t>
  </si>
  <si>
    <t>Bien Las he usado varias ocaciones la sensación de frescura no dura mucho pero me agrada</t>
  </si>
  <si>
    <t>Completo y fácil de usar Buscaba algo para marcar la ropa de mi hija para la guardería. No me convencían las pegatinas pues las veo un engorro e incluso creo que pueden ser molestas y picarle ya que no soporta las etiquetas que trae la ropa. Así que he probado este sello y me encanta! Una vez lo montas con el nombre (yo también puse mi telf y un dibujo) ya es solo sellar y listo, por lo que es muy rápido. La única pega que le pongo es que a la hora de poner las letras y números con la pinza es un poco rollo, pero bueno, una vez lo pones ya no tienes que volver a montarlo 😊</t>
  </si>
  <si>
    <t>Muy buen producto He mirado muchas alternativas, finalmente me decidí por esta por estética, precio y comentarios y no me equivoqué. Lo recomiendo claramente. Compraré alguno más para tener en otros ambientes.</t>
  </si>
  <si>
    <t>Perfectos Son los que más me gustan. La retina es a partir de +0 meses. Los colores son muy bonitos y las frases relajantes.</t>
  </si>
  <si>
    <t>Disco Duro Buena capacidad, a muy buen precio</t>
  </si>
  <si>
    <t>La uso como llavero y me encanta Ya va más de un año que esta memoria la tengo en mi llavero. Siempre la llevo conmigo por si acaso, con almacenaje de algunos archivos. También la uso de vez en cuando para copiar y pegar archivos. Pesa muy poco, el material es resistente (ni se ha oxidado ni golpeado) y el precio es competitivo. Recomendable</t>
  </si>
  <si>
    <t>El mejor biberón sin duda Lo compre para tener repuesto por si se estropea alguno de los que tenemos. Son los mejores biberones que he probado. Aunque en la foto aparezca el modelo anterior a mi me enviaron el modelo nuevo que por lo visto puede usarse sin el adaptador para los colico y la verdad es que a mi no me ha funcionado bien, no se si es por la manera de tomar de mi hija o por que no esta bien diseñado.</t>
  </si>
  <si>
    <t>Inmejorable producto calidad/precio. Se quedan perfectamente amoldadas a la pierna sin apretar. 100 % recomendable</t>
  </si>
  <si>
    <t>Lo recomiendo Me ha gustado mucho. He tenido que pedir una talla menos porque me quedaba algo holgado la talla L , yo tengo una 95. Pero muy contenta. Se ajusta muy bien y sujeta muy bien el pecho.</t>
  </si>
  <si>
    <t>Precioso Precioso reloj muy elegante 2 años de garantia</t>
  </si>
  <si>
    <t>Ideal para PS VITA 1000 y 2000. Tiene el tamaño de un cartucho original y permite cerrar la tapa completamente en ambos modelos (PS Vita Fat y Slim).</t>
  </si>
  <si>
    <t>Buena calidad Tal cual en la descripción</t>
  </si>
  <si>
    <t>Llegó en plazo y tal cuál se ve en la foto El corte es muy bonito, queda muy bien. La calidad de la tela es mejorable así como el cordón de la capucha que se ve demasiado fino. Pero la niña encantada que es de lo que se trataba.</t>
  </si>
  <si>
    <t>Manta eléctrica de tacto suave. Este producto es genial, perfecto y cumple todas sus funciones. El producto llegó muy rápido, tan pronto como llegué lo desempaqué inmediatamente y lo usé, ya que tengo un pequeño dolor lumbar. Esta manta tiene 6 niveles de temperatura diferentes. También se compone de un temporizador, de 30 minutos a 120 minutos como máximo que se puede elegir. La manta eléctrica es de color azul marino, hecho de un material muy suave y se calienta rápidamente. Soy una persona muy fría, con este cojín puedo pasar el invierno tranquilamente. Además, una vez enrollado no ocupa mucho espacio. Muy práctico para llevar a la oficina! Lo recomiendo</t>
  </si>
  <si>
    <t>Geniales!!! Fue un regalo para mi hija y está encantada!!!</t>
  </si>
  <si>
    <t>Preciosos A mi chica le gustaron mucho muy bonitos</t>
  </si>
  <si>
    <t>Todo funciona correctamente y es bonita. Perfecto.</t>
  </si>
  <si>
    <t>Buen producto Tal cual lo describen.Buen producto,buen precio y buenos materiales. A mi me parecen comodas y veo lo que nunca pense que volveria a ver,tan solo es poner las diferentes lentes y buscar la distancia comoda</t>
  </si>
  <si>
    <t>buen portaclips El envio llegó cuando tocaba, respecto al producto,pues cumple con la función de guardar los clips, compré dos uno de cada color y quedan muy bien, correctamente imantados.</t>
  </si>
  <si>
    <t>Todo correcto Es preciosa. Buena calidad.</t>
  </si>
  <si>
    <t>No me convence ni su calidad ni sus materiales ni su presentación. Me encantan los relojes de Casio, tengo varios relojes de distintas colecciones, Clasica, Gshock...etc decidí adquirir este modelo el A158, por ser un clásico de estética retro, muy cercano al modelo F91W, siendo la variante WA-1DF del modelo A158 la que me envió el vendedor al comprarlo aqui. Los dos relojes clásicos retro que tengo los he adquirido en tiendas locales, siendo el embalaje y la presentación al comprarlo (caja plástica, instrucciones en ella..etc) muy distinta de la que recibí al comprar este modelo procedente de Italia, cosa que me sorprende porque siendo de importanción para la UE debería ser igual que si lo adquieres en España y no lo he visto con esa caja de cartón aquí fisicamente en ningún comercio.  La sensación que da este reloj es de demasiado ligereza de los materiales de este reloj, endeble, la correa metálica que portaba no parecía ser de calidad y robustez similar a la que tiene otro modelo similar retro que tengo el w202-1AVEF con correa metálica que da sensaciones de mejores acabados y materiales. No pongo en duda que sea un dispositivo original, porque al pulsar sus botones figuraba en el display CAS1o pero no me convenció su compra, ni el producto, así que efectué su devolución.</t>
  </si>
  <si>
    <t>No tiene muy buen olor No tiene muy buen olor</t>
  </si>
  <si>
    <t>Sonido al levantar el dedo de la tecla &lt;div id="video-block-R26EVWOYD3C8PP" class="a-section a-spacing-small a-spacing-top-mini video-block"&gt;&lt;/div&gt;&lt;input type="hidden" name="" value="https://images-eu.ssl-images-amazon.com/images/I/91emBDr+DLS.mp4" class="video-url"&gt;&lt;input type="hidden" name="" value="https://images-eu.ssl-images-amazon.com/images/I/91Hoc0VlmlS.png" class="video-slate-img-url"&gt;&amp;nbsp;Hola, he recibido el teclado hoy y lo estoy probando. Resulta que cuando toco una nota, al levantar el dedo hace otro sonido. No sé si esto se puede quitar o es un defecto del teclado. Adjunto vídeo. Puede ayudarme alguien?  Gracias  Saludos</t>
  </si>
  <si>
    <t>Muy pequeño Es demasiado pequeño. Lo compré porque era compatible con el palo telescópico que había comprado de la misma marca, pero no me sirve para limpiar el techo abuhardillado por su pequeño tamaño.</t>
  </si>
  <si>
    <t>Decepción Devolví el producto porque pedí un 41 y era muy grande..parecía un 43.Mas aparte, muy rigido</t>
  </si>
  <si>
    <t>Fàcil de limpiar Para todo.</t>
  </si>
  <si>
    <t>Fácil manejo Es una maravilla .humifica y perfuma con aceites esenciales lugares pequeños como baños .el juego de luces da ambiente a la estancia y apenas hace ruido..lo tengo hace ya tiempo y estoy enacantada</t>
  </si>
  <si>
    <t>Excelente relación calidad precio Muy buena relación calidad precio. Eran para mi hijo pequeño que se pasa el día viendo videos de youtube en su ipad. Son cómodos y con un buen sonido. Recomendables, aunque no le doy la quinta estrella por la incógnita de como resistirán el paso del tiempo y el trato de mi hijo!!!</t>
  </si>
  <si>
    <t>Buen producto La he utilizado para hacer manualidades y me ha gustado mucho cómo han quedado.</t>
  </si>
  <si>
    <t>De lo mejorcito Llevo toda la semana probando auriculares Bluetooth y por fin he dado con los que me quedo. El sonido es espectacular, nada de ruidos, se adapta tan bien que ni te enteras de que los llevas y eso cuando sales a andar muchas horas, se agradece. El uso es muy sencillo y el movil lo detecta muy rápido. Además el hecho de que el propio móvil te indique la batería que les queda, es un punto extra. También que funcionen por separado, en stereo o emparejados, puedes prestar uno y tu llevar el otro. Genial. Otra cosa que me ha gustado mucho en la base de carga, que te la puedas llevar sin cable ninguno y que si te quedas sin batería, los puedas cargar en el momento y de forma muy rápida, evitando el incordio de tener que buscar un enchufe o punto de carga. Lo hace más sencillo incluso. Recomendable 100%</t>
  </si>
  <si>
    <t>Bien Bastante bien.</t>
  </si>
  <si>
    <t>Corte preciso y buena calidad Esta cortadora de papel me ha dejado buena impresión porque a pesar de su material y buena calidad, su peso es más bajo de lo esperado, lo que facilita su transporte. En cuanto al corte de papel el filo que corta es muy preciso permitiendo incluso cortar varias hojas a la vez (aunque sale mejor cortar pocas cantidades a la vez).</t>
  </si>
  <si>
    <t>Multiuso Muy bueno</t>
  </si>
  <si>
    <t>Encantada con esta marca de biberon Mi bebé solo utiliza esta marca de biberón y muy bien, tengo estos 2 que compre y otro cuando era recién nacida para los gases</t>
  </si>
  <si>
    <t>Preciosos y muy elegantes Preciosos pendientes de piedra luna. Quedan  finos y elegantes puestos. Al tener el suelo de plata, se quedan más blancos que haciendo colores, q es lo habitual en esta piedra. Aún así, me los regaló mi pareja y además de preciosos, tiene ya un gran valor sentimental.</t>
  </si>
  <si>
    <t>Funciona de maravilla Su precio y utilidad</t>
  </si>
  <si>
    <t>Ideales!! Una maravilla siempre compro esta marca para verano es la mejor. Muy cómodas y sencilla lo recomiendo al 100% sobre todo por el precio.</t>
  </si>
  <si>
    <t>Muy contenta Muy bueno. Pica fruta congelada para hacer batidos y sale muy buena textura. Tengo el xl y el tamaño es perfecto para 3 batidos. Lleva 2 cuchillas, picar hielo y picadura normal. Lo tengo poco tiempo, pero me ha gustado mucho.</t>
  </si>
  <si>
    <t>Recomiendo Recomiendo su compra. El producto es de muy buena calidad. La talla es perfecta, incluso diría que algo amplia, sujeta muy bien. Por poner un pero las copas preformadas no son de mi gusto pero reconozco que dan muy buena forma.</t>
  </si>
  <si>
    <t>Unas buenas zapatillas Son muy prácticas y cómodas.</t>
  </si>
  <si>
    <t>Tremenda interfaz de audio Muy buena, funciona perfectamente con Windows 10 y no necesita fuente de alimentación extra, ya que coge la energía con un cable USB conectado al PC. Muy buena compra.</t>
  </si>
  <si>
    <t>Muy bueno, lo recomiendo Es perfecto si tienes mascotas que sueltan pelo, lo recomiendo.</t>
  </si>
  <si>
    <t>Muy chulas y útiles Me encantan nada malo todo bueno son geniales</t>
  </si>
  <si>
    <t>Bueno bonito y barato Me encantan! Brillan muchísimo y son buenos porque de no serlo me picarian las orejas.</t>
  </si>
  <si>
    <t>Buena gravadora Responde como esperaba y la entrega ha sido impecable</t>
  </si>
  <si>
    <t>Tallaje pequeño Tuve que cambiarlas porqué eran más pequeñas que otros modelos que había utilizado de Salomon. Pedí 2/3 más y perfecto.</t>
  </si>
  <si>
    <t>Muy práctico y cómodo Al ser pequeño y poder calentar solo el agua que necesitas resulta muy práctico. Además es rápido y con el selector de temperatura puedes seleccionar la temperatura ideal para preparar las diferentes variedades de té.</t>
  </si>
  <si>
    <t>El trato Muy bonito el reloj</t>
  </si>
  <si>
    <t>Calidad de audio pésima La calidad del audio es pésima. Se escucha muy flojito y capta mucho ruido. Lo único bueno son los accesorios que trae, pero por lo demás, no vale la pena. Quizás si lo conectas a una fuente de alimentación cambia la cosa, pero conectado por USB al PC no tiene buena calidad.</t>
  </si>
  <si>
    <t>precio y calidad la esperada Por el momento el precio y calidad esperada.</t>
  </si>
  <si>
    <t>Por su precio cumple su función Resultado mediocre en el sonido. Si sólo quieres que se entienda lo que se oye pero no buscas calidad en el sonido es ideal. Siempre habrá un ruido blanco que puedes reducir o quitar en la postproducción de sonido pero que a la vez se modificara el resto del audio grabado. Le cae la espuma protectora facilmente, yo le puse un poco de precinto para solucionarlo.  Ahora si quieres vídeos con calidad, lo que implica audio con calidad es mejor gastarse unos 100€ más y adquirir el Rode Videomic Pro R u otras alternativas. Por el precio que vale es correcto antes que usar el micro de la cámara.</t>
  </si>
  <si>
    <t>NO SE SUJETAN Los compra por las buenas opiniones que tenia la gente de ellos y porque decian que eran muy buenos para hacer deporte pero resulta que la patilla que se pone detras de la oreja para sujetar no es de plastico duro sino muy blando y no se sujeta nada, se cae continuamente.  No es que no valga para hacer deporte, es que no vale ni para ir por la calle</t>
  </si>
  <si>
    <t>Se calienta y no funciona bien Ha funcionado bien durante más o menos seis meses, sin hacer un uso intensivo de ella. Ahora, cuando la conecto a un puerto USB se calienta muchísimo y tengo muchos problemas para que el ordenador la reconozca.</t>
  </si>
  <si>
    <t>Cómodos se ajustan al pie Cómodos, se estiran y se adaptan bien. Yo calzo un 39. Son perfectos para pies finos como los míos, para dedos o tobillos más anchos probablemente apriete....</t>
  </si>
  <si>
    <t>Muy práctica. Es una mochila perfecta para los que le gusta llevar una mochila pequeña todo el día, para las pequeñas cosas y no tener que llevar los bolsillos llenos. Yo la he comprado para un regalo. Pero quizás me compré otra para mí, porque me ha encantado. En la parte de alante tiene un bolsillo pequeño en el cual cabe un móvil. También tiene un bolsillo más grande . Y en la parte de atrás se podría meter una cartera. Recomendada al 100%</t>
  </si>
  <si>
    <t>Comodidad Muy cómodas</t>
  </si>
  <si>
    <t>Contenta con la sudadera Es una sudadera finita pero de tacto muy agradable. Es de muy buena calidad. La talla y el precio correcto. La recomiendo</t>
  </si>
  <si>
    <t>Buen tarjetero sin cierre Buen tarjetero para un gran número de tarjetas de visita. El único pero que le pongo es que no disponga de un cierre magnético o similar.</t>
  </si>
  <si>
    <t>SATISFACCIÓ El nen va estar molt content i tots els que érem a la festa també</t>
  </si>
  <si>
    <t>Perfecto Justo lo que pedí. Es un pack de 5, lo que permite tener una reserva. Envío recibido en tiempo. En general muy contenta con la compra realizada.</t>
  </si>
  <si>
    <t>La potencia que tiene Es un producto muy completo y responde perfectamente a las necesidades domésticas diarias. Tiene todos los accesorios que se pueden pedir para un aparato como este. Pica muy bien, sencillo de manejar el adaptador y fácil de limpiar. Lo único que se puede señalar como contra es el calentamiento del motor cuando se usa prolongadamente. En general es muy buen producto, con un buen acabado y diseño.</t>
  </si>
  <si>
    <t>Perfecta Queda muy bonita la compré para regalar y ha gustado mucho</t>
  </si>
  <si>
    <t>Super recomendable Le pondría en la escala de 1 al 10 un 11</t>
  </si>
  <si>
    <t>Flintronic Pulsera Hombre - recomendada buena calidad. buen ajuste. buen precio.  me encanta!</t>
  </si>
  <si>
    <t>Súper útil La he comprado para hacer batidos para el gimnasio y es ideal. Se monta muy fácil y tiene bastante potencia. Es capaz de batir pepino y frutos secos. El mecanismo de abajo trae ventosas para su sujeción.</t>
  </si>
  <si>
    <t>Q llego como me lo esperaba Me encanta..qda super bien y la calidad es buena</t>
  </si>
  <si>
    <t>Tallaje un pelín menos La zapatilla es ideal, pero talla un poquito más pequeña. Yo utilizo un 39 y ese número me aprieta un poquito el dedo.</t>
  </si>
  <si>
    <t>Tal cual la descripcion Cumple lo que dice la descripcion</t>
  </si>
  <si>
    <t>Bajo presión no defrauda Da lo que le pidas, bate, mezcla, pica etc etc... Se limpia fácil y de momento bajo uso intenso va muy bien.</t>
  </si>
  <si>
    <t>Gran calidad, comodidad y prestaciones Es muy comodo, gran acabado, agarre y respiración, lo uso para todo ya que me gusta mucho (salir a correr, caminar, manejar, etc)</t>
  </si>
  <si>
    <t>Muy práctico Mejor que el blue-tack, más maleable y deja menos residuo</t>
  </si>
  <si>
    <t>Calidad precio Para regalar</t>
  </si>
  <si>
    <t>Perfecto Perfecto para que los peques empiecen a beber ellos solos y fomentar su autonomía.no es muy grande Asique es manejable</t>
  </si>
  <si>
    <t>CINTA UNA CINTA DE EMBALAJE CORRECTA, JUSTO LO QUE NECESITABA Y CON MUY BUENA CALIDAD-PRECIO, LA VOLVERÍA COMPRAR DE NUEVO ES MUY ÚTIL</t>
  </si>
  <si>
    <t>Buena calidad Es una camiseta celeste muy bonita buena calidad precio yo mido 1'70 70 kl me viene ceñida me recuerda mucho a la camiseta de la selección de argentina buena calidad</t>
  </si>
  <si>
    <t>Maravilloso!!! Es maravilloso!!! La verdad que me costaba muchísimo dormir, y una vez compré el Dodow he notado que me consigo dormir antes y me levanto muchísimo más descansado por la mañana. 100% recomendable!!!</t>
  </si>
  <si>
    <t>Increibles Sencillamente geniales.Quedan perfectos y comodisimos.</t>
  </si>
  <si>
    <t>Se oxida el apretador de cuchillas La he comprado hace poco mas de un mes, y se ha oxidado el tornillo que agarra las cuchillas, no pica bien el hielo deja trozos. las verduras y frutas si las pica muy bien</t>
  </si>
  <si>
    <t>Esta bien Ok..</t>
  </si>
  <si>
    <t>Mala calidad Mi hijo lo abrió muy ilusionado es fácil de usar pero el mango de sujeción se sale (vino roto y el plástico no se ve de calidad) y el micrófono casi no se oye! En efecto remix si. Mala calidad no lo recomiendo</t>
  </si>
  <si>
    <t>Bonita pero defectuosa Muy bonita pero una anilla viene mal, y no cierra como tiene que cerrar. Por lo demas es funcional pero ya entiebdo el precio</t>
  </si>
  <si>
    <t>Muy bueno, lo recomiendo Muy bueno, lo recomiendo</t>
  </si>
  <si>
    <t>Embalaje excelente Bien embalado, protegido y exactamente igual que lo mostrado.</t>
  </si>
  <si>
    <t>MAISA ES EL 39 PERO ME QUEDA JUSTO SERA DEBIDO A LA ANCHURA DEL EMPEINE MIO QUE ES MAS DE L O HABITUAL</t>
  </si>
  <si>
    <t>Bonitos Bonitos</t>
  </si>
  <si>
    <t>Muy bueo Tiene buen material y me queda muy buen, quizá un poquito apretado pero es porque pedí la talla S para hacer un test y pedir después los otros colores. Aunque me podré el S que pedí, los demás pedidos serán en M. Mido 1,74 cm</t>
  </si>
  <si>
    <t>La calidad Son perfectos y mi cómodos</t>
  </si>
  <si>
    <t>Calidad Me han encantado. Idénticos a los originales, no sé si lo son o no pero el teléfono abre Samsung Music en cuanto los conectas y al grabar un vídeo se escucha la música de los auriculares y no el ruido ambiente. Si no son originales, no hace falta que lo sean porque funcionan igual de bien, aunque yo juraría que lo son.</t>
  </si>
  <si>
    <t>Prácticos, duraderos y bonitos Ideales para papillas saldas y dulces. Aunque no se puede meter al microndas, yo caliento la papilla, la meto en el ChooMee y se mantiene unas dos horas calentita. Se lavan muy fácilmente con detergente y cepillo de biberón.</t>
  </si>
  <si>
    <t>Muy bien Por el momento, muy bien.</t>
  </si>
  <si>
    <t>Apuesta segura Llevo un par de semanas dándole uso diario y va muy bien, tal vez un poco ruidosa aunque la verdad es q no la he comparado con otras así q este punto puede no ser un problema. En general una gran relación calidad/precio.</t>
  </si>
  <si>
    <t>Velocidades de lectura muy rápida Compre este pendrive principalmente, para pasar mis datos de iphone al pc, y me viene genial ya que me ahorra muchisimo tiempo. La velocidad tanto de lectura como de escritora es bastante rápida.</t>
  </si>
  <si>
    <t>Tres en uno Lo escogí para una habitación infantil, perfecto como humidificador y como lamparita de noche quita miedos.</t>
  </si>
  <si>
    <t>Aritos tamaños Los tamaños están muy bien, pero por poner una pega el cierre, no se ajusta demasiado bien</t>
  </si>
  <si>
    <t>Todo ok. En fecha y modelo.</t>
  </si>
  <si>
    <t>Super comodas Compré estas playeras al verlas en 38€ ya que las habia visto y las tuve en la mano unos dias antes en una tienda de Deporte y estaban a 50€. Me las he puesto nada más recibirlas y son muy muy comodas. Calzan como un guante  (44EUR) y este modelo es de piel, lo que las hace muy agradables al tacto. Veremos como responden con el tiempo y los kms pero tienen buena apariencia</t>
  </si>
  <si>
    <t>Tiras de muy buena calidad Muy buenas. Son mas delgadas que las que suelen vender. Altamente recomendables</t>
  </si>
  <si>
    <t>Buena compra Me ha gustado mucho</t>
  </si>
  <si>
    <t>Lo mejorcito Implescindible para presentaciones con nuestro mac, hacia adelante, hacía atras, zoom, punto de interés. Y lo mejor, dura muchisimo. precio ok. entrega ok. vendedor ok. cumple mis espectativas. sin duda, volvería a comprarlo.</t>
  </si>
  <si>
    <t>Muy bien todo perfecto, he tenido otras antes de caracteristicas similares y esta está muy bien, todo perfecto y usandose a diario</t>
  </si>
  <si>
    <t>comodo esta todo bien</t>
  </si>
  <si>
    <t>Calidad/precio Buena calidad , se nota nada más verlo, el cargados muy práctico y elegante, te lo puedes llevar en un bolsillo sin problemas. Se conecta con facilidad y tiene buen sonido. Contento con la compra</t>
  </si>
  <si>
    <t>Buena relación calidad-precio Excelentes para el precio que tienen. La calidad del sonido no es óptima, pero por tres euros es muy buena. El control de sonido y el micrófono funcionan perfectamente.</t>
  </si>
  <si>
    <t>Muy bueno Lo aquirí para hacer un regalo y he quedado estupendamente con la persona a la que se lo hice. Muy buena impresión</t>
  </si>
  <si>
    <t>No la volvería a comprar Es muy cómoda pero calienta bastante menos de lo esperado.</t>
  </si>
  <si>
    <t>Bien para lo que vale Es muy suave. Parece calentita. Aún no la he lavado pero me da que quedará como una toalla! Yo llevo una M y me pillé la L y me va bien... Lo único que con el color que elegí pensando que sería diferente parezco un Ewok... lo malo es el envío que ha tardado un montón en llegar por culpa de que viene de China. Si quisiera algo de China pediría por Aliexpres, creo que deberían especificar la procedencia...</t>
  </si>
  <si>
    <t>Genial Segun lo esperado, cumple con su mision precio muy bueno y llego en un tiempo recor.</t>
  </si>
  <si>
    <t>No lo siento puro No estoy satisfecha con el producto creo q no tiene la pureza real No lo volvería a comprar</t>
  </si>
  <si>
    <t>Hace un ruido horroroso Es precioso pero está todo el rato con un ruido insoportable cuando lo enciendes. Vamos, que es tan insoportable que no se lo dejo usar a mis hijos. Una pena, la verdad.</t>
  </si>
  <si>
    <t>No la compres, un timo Me ha durado 3 meses, una vergüenza. La usaba para batidos de fruta y ni siquiera todos los días. Se ha deshecho la pieza donde se insertan los accesorios, completamente inservible. Me obligan a ir al servicio técnico, a hacerme perder el tiempo, cuando lo que deberían hacer como mínimo, es enviarme una nueva.</t>
  </si>
  <si>
    <t>Buen estuche para tarjetas de memoria. Como puse en el titulo un buen estuche para las tarjetas, con mucha capacidad a pesar de su pequeño tamaño y bien acabado, una buena compra</t>
  </si>
  <si>
    <t>Una gran opción Yo tengo un Roomba y compré este robot aspirador como regalo. Después de verlo funcionar, me ha gustado más aún que el Roomba, sobre todo su aplicación.</t>
  </si>
  <si>
    <t>Buenos calcetines Todavía no los he estrenado pero al tacto parecen de una calidad aceptable y de talla creo haber acertado.</t>
  </si>
  <si>
    <t>Buena Calidad. El Logo raspa por dentro. Buena Calidad. Queda como un guante. Bonito diseño. Lo único que la etiqueta de Nike, el Logo q va cosido en a la parte delantera, raspa la piel en su parte interior.</t>
  </si>
  <si>
    <t>Util Buen producto</t>
  </si>
  <si>
    <t>Buena opción Es de muy buena calidad pero yo lo devolví por que para el uso que le iba a dar es grande. Además es impermeable y resistente a las ralladuras.</t>
  </si>
  <si>
    <t>. Me gustan mucho aunque el tamaño de los más grandes es excesivo</t>
  </si>
  <si>
    <t>Diversion para todas las edades Ahora que los niños son un poco mas grandes y les encanta cantar y bailar decidimos comprar un microfono para amenizar las fiestas. No nos esperabamos gran cosa, pero la verdad que nos hemos llevado una sorpresa.El microfono es de buen tamaño ligero y de un atractivo diseño, muy facil de vincular y de utilizar. El sonido es muy limpio y los materiales son fuertes y resistentes, pues ya ha superado algun golpe que otro. Satisfechos con la compra y los niños mas todavia.</t>
  </si>
  <si>
    <t>Son Sony Necesitaba unos cascos inalámbricos y por calidad y precio me decidí por estos Sony. Hacen su funcion de maravilla;  y para lo que los quiero van de cine. Ningún problema para emparejarlos con el resto de dispositvos. La duración , como los móviles, dependerá de la caña que se les meta, pero unas cuantas horas si que tienes. No he probado el manos libres. Lo que menos me gusta es son algo incomodos frente a otros que he tenido de su categoría ( es una apreciación mía ) . El resto , lo dicho, relación calidad/precio buena.</t>
  </si>
  <si>
    <t>Buena compra Una pasada de auriculares, son los primeros que tengo inalámbricos y me han encantado. Conectan a la perfección con todos los dispositivos que uso, como el móvil, la tele y el mp3. Puedes tener el teléfono en la mesa y usando los auriculares, poder estar manteniendo una conversación perfectamente. El sonido es muy bueno, se adaptan muy bien a las orejas y no molestan nada, al rato se te olvidan que los llevas puesto. Los he usado también par ir al gimnasio, y también me han gustado mucho en ese terreno, te olvidas de desenredar los molestos cables de los auriculares típicos, llevas el mp3 o móvil en el bosillo a entrenar. Se cargan en la propia caga donde se guardan, la duración de la batería es muy prolongada. El paquete viene con una bolsita para poder guardar la caja y además también trae diferentes gomas de varios tamaños para que se adapten mejor a los oídos de cada uno. Los recomiendo.</t>
  </si>
  <si>
    <t>Buena calidad de materiales y accesorios. Los uso para escuchar la radio en el trabajo. Les voy a dar mala vida, necesito que no sean caros y que aguanten. La calidad del cable y la clavija es muy buena, vienen con una cajita de plástico para guardarlos, adaptadores para los oídos de recambio y una pinza. No esperes alta fidelidad para la música, pero para hablar por teléfono y escuchar la radio están muy bien.</t>
  </si>
  <si>
    <t>Me han valido Buen auricular de cable que se conecta por minijack, lo necesitaba porque en el móvil para oir la radio fm requería de enchufar unos auriculares y quería unos que fuesen económicos pero con buen sonido.  He acertado y además no se caen porque puedo cambiar el plástico almohadilla del oído por 3 tamaños que trae. Muy útil</t>
  </si>
  <si>
    <t>Genial Perfectas para todo</t>
  </si>
  <si>
    <t>PRECIOSO UNA MARAVILLA, MUY BONITO MUY BUENA RELACIÓN CALIDAD-PRECIO.</t>
  </si>
  <si>
    <t>Zapatillas para Deporte o el diario Nada que envidiar a ninguna marca son comodas la talla es justa ,yo me fie de la que uso,ademas de confirmarlo con las medidas que estaban en la tabla,la suela es bastante comoda de momento me ha gustado, esta claro que hay que empezar a darle uso para saber su durabibilidad pero pinta bien, ademas los colores me fascinan.de momento satisfecha.</t>
  </si>
  <si>
    <t>Los mejores cascos calidad/precio que te puedas encontrar ahora mismo Es tal cual se aprecia en la imagen se ven construidos en buena calidad.  PROS: Excelente calidad de sonido STEREO   Muy cómodos en la cabeza, yo los uso durante horas y no me molestan   En su caja trae, una bolsita para transportarlo, un adaptador de Jack 3.5mm a 6.3mm, 2 cables uno de 1 metro y otro de 3 metros y un clip para asegurar el cable a los cascos   El cable se puede soltar, lo que si por algún casual se rompiese, se podría reemplazar sin ningún tipo de problema, tan solo haría falta hacerse con otro cable con conexión jack de 3,5mm.  CONTRAS: La piel sintética de las almohadillas son algo calurosas sobre todo en verano  Comentario extra: Son unos cascos semiabiertos, que puede que a alguno le eche para atrás porque se pueda escuchar fuera lo que esté escuchando en ese momento. Recomiendo comprarse unas almohadillas de la marca Velour, para su modelo AKG 240, que encajan perfectamente en estos cascos y son de terciopelo.</t>
  </si>
  <si>
    <t>Excelente relación calidad/precio. Un ssd m2 de 500gb muy bien de precio que ofrece un rendimiento aceptable para un uso externo como unidad usb que no adolece de los problemas típicos de las unidades de memoria usb.</t>
  </si>
  <si>
    <t>Buena calidad Las tarjetitas son de buena calidad y a buen precio. La cuerda va genial y tenia la medida perfecta para lo que necesitaba.</t>
  </si>
  <si>
    <t>Satisfecho Caliente y muy cómoda</t>
  </si>
  <si>
    <t>Totalmente recomendable Pizarra magnética de gran calidad , muy ligera y sencilla. Pedí el tamaño más pequeño y acerté, el que necesitaba. Se entrega con enganches para colgarla de la pared y bandeja porta rotuladores. Si utilizas los rotuladores adecuados se limpia de maravilla.</t>
  </si>
  <si>
    <t>Batidora de mano He comprado un pack con varios accesorios y he probado que tiene buena potencia y diferentes niveles. Lo uso para hacer puré al bebé. El recipiente que viene con asa, no estoy seguro de la resistencia ante una caída, pero tendré cuidado y de momento contento con la compra.</t>
  </si>
  <si>
    <t>Todo bien. Excelente!</t>
  </si>
  <si>
    <t>Preciosos Me gustan mucho los anillos, no los muestro todos en la foto porque no me caben más en la mano, es un tamaño bastante estándar aún no los he mojado por lo que no sé cómo reaccionarán ante el agua en general bien.</t>
  </si>
  <si>
    <t>Perecto Bien todo normal</t>
  </si>
  <si>
    <t>Regular La cazadora se ve de buena calidad anke pese ke era con forro no redilla y lo que me chocó es ke el la etiqueta pone made in china y la otra que compre para mi hija pone made in Bangladesh.tengo dudas ke sea original</t>
  </si>
  <si>
    <t>Buena Capacidad/Precio, Ruidoso, menos rápido de lo q prometía... Menos Rápido de lo que esperaba con sus 7200rpm y 256mg de caché. Mete un poco de ruido. Por lo demás bien.</t>
  </si>
  <si>
    <t>Tela sedosa, pero transparente. Entre la foto del comerciante y las opiniones, todo confunde. A ver, es una tela sedosa, muy agradable, fresca y cómoda para quien no le importe moverse con ciertas transparencias, sobre todo en días soleados. MI foto la hice en un día nublado y en interior, no se nota mucho, pero los bolsillos se ven y mis calzoncillos a rayas también. No quise subir esa foto de cerca por razones obvias.  Es holgada, como aparece en mi fotol, no ceñida y firme como uno pensaría al verla en el anuncio. Aplicaron aire y eso confunde a los compradores. No habría sido lo mismo si lo viéramos en un modelo. Los bolsillos son largos, se transparentan. Y pobre de aquel que lo use con calzoncillos de otro color. Demasiado para mí, un tipo en la cuarentena.</t>
  </si>
  <si>
    <t>Al mes y poco descosida la costura de la puntera No entiendo como después de un mes y poco, sin un uso excesivo, han podido descoserse las dos punteras.</t>
  </si>
  <si>
    <t>Batidora malisima La he utilizado 5 veces y ha empezado a salir humo. Ya me la descambiaron otra vez. Está claro que esta batidora no merece nada la pena. Al final hay que gastarse el dinero en algo bueno de una vez, sino se gasta más dinero.</t>
  </si>
  <si>
    <t>Zapatillas new balance Todo correcto. Tal y como se ve en el anuncio</t>
  </si>
  <si>
    <t>Buen producto Buen producto de buena calidad. Lo he testeado en un día con brisa no muy elevada y funciona bien matizando el ruido del aire. Perfecto para los micrófonos de DSLR de la marca rode. La unica pega que le doy, es que se tiene que quitar el antipop negro y poner el deadCAT. NO se puede superponer para matizar más. Por lo demás, perfecto.</t>
  </si>
  <si>
    <t>Cajón portamonedas Una relación calidad-precio insuperable! Funciona perfectamente, nos llegó en perfecto estado y bastante rápido. Es totalmente compatible con nuestra impresora de tickets.</t>
  </si>
  <si>
    <t>hace su papel cinta ideal para tiras led. Yo la utilice en una que cambie de sitio y tuve que sustituir la cinta adhesiva. Un poco cara, pero perfecto.</t>
  </si>
  <si>
    <t>cunple las expectativas Es lo que dice. Un pendrive de 32gb con usb3.0. Nada que añadir</t>
  </si>
  <si>
    <t>Me gustan mucho y a mi bebe también! Están muy bien, vengo de usar los de doctor Brown y prefiero estos, a partir de 3-4 meses ya no necesitas los anticolicos</t>
  </si>
  <si>
    <t>Recomendables al 101% Son unas Timberland muy cómodas y no son aparatosas</t>
  </si>
  <si>
    <t>Rápido y fácil Es el primer hervidor de agua que tengo y la verdad es que estoy muy satisfecho con la compra. Muy fácil y rápido de usar. Referente a lo estético, me encanta el led azul que se enciende mientras hierve el agua. Sin duda es una compra acertada, lo recomiendo al 100%.</t>
  </si>
  <si>
    <t>Todo perfecto Entrega perfecta Cumple todo lo prometido</t>
  </si>
  <si>
    <t>Clara del valle Preciosos! Estoy encantada con ellos, muy cómodos y van con casi todas las prendas, calidad precio y material imbatible! Las recomiendo 100%</t>
  </si>
  <si>
    <t>su calidad diseño marca Me quedan perfectas sirven para hacer deporte y vestir los días de diario son muy Cómodas relación calidad precio</t>
  </si>
  <si>
    <t>Excelente. Estoy muy contenta con esta compra. He probado con otros productos de la misma categoría anteriormente, y sin duda me quedo con éste. Limpieza profunda para cualquier lugar dónde lo necesites. Yo lo utilizo hasta para la ropa, elimina toda la suciedad, apenas produce espuma y en absoluto estropea las prendas. Apenas se nota un olor fuerte  (es mi particular percepción), por lo que se hace muy fácil su uso a diferencia de otros detergentes similares. Como ya se me está acabando, voy a repetir la compra.</t>
  </si>
  <si>
    <t>Pilar El reloj viene impecable, desprende calidad. El bisel algo duro,solo hecho en falta un botón de seguridad en el cierre de la correa.</t>
  </si>
  <si>
    <t>Increíbles Estoy super orgullosa com mis zapatillas. Són totalmente originales y son chulisimas. Me llegaron en 7 días, teniendo en cuenta que vienen de Ceuta. Normalmente uso un 41 y en este modelo me arriesgué con el 40 2/3 y me van perfectas, al pelo. Las recomiendo.</t>
  </si>
  <si>
    <t>Ligeras Muy comodas</t>
  </si>
  <si>
    <t>Calida supererior Numer perfecto son mui cómodas no pesan nada se ajusta perfeta mentes  se nota que son de una calida excelente  y precion de lo mejor mui recomendable en calida comodida</t>
  </si>
  <si>
    <t>COMODIDAD EXTREMA La gente busca en unos cascos bluetooth un sonido nítido a la par de unos graves en condiciones. Estos al igual que otros cascos  u me pleno con eso.  Pero lo que los hacen diferentes es la duración de la batería, dentro de su ligereza, dan una autonomía lo suficiente para un viaje de unas 4 horas (depende del volumen). Cuando se acaba se puede conectar el cable que está incluido  Pero lo MEJOR que tienen es la COMODIDAD. Las "espumas" o el material del que esté hecho. Hace que no se note que los levas puestos. Se adaptan de forma perfecta.  La funda protectora en la que vienen los cascos son de un material semirrígido, para poder transportarlo de forma cómoda y guardarlos par evitar que se dañen.</t>
  </si>
  <si>
    <t>Es el producto descrito, estamos encantados! Producto muy recomendado, tenemos un bebé de 1 mes y estamos encantados con este biberón!!! Sin duda una magnífica compra .</t>
  </si>
  <si>
    <t>perfecto muy bueno igual a la foto, lo aconsejo a todos, barato y de buena calidad</t>
  </si>
  <si>
    <t>Mónica Moreno Estoy muy contenta, no levanta polvo al pasarla, como por el contrario pasa con la escoba tradicional.</t>
  </si>
  <si>
    <t>Ligeros Cómodos, ligeros y se ven bien fabricados. No parecen de seguridad pero llevan puntera reforzada. No suda el pié</t>
  </si>
  <si>
    <t>Relación calidad/precio excelente El disco duro es de buena calidad. La velocidad de transferencia es la esperada del USB 3.0. Sin embargo, le pongo dos pegas: la primera es lo corto que es el cable (unos 40cm), y la segunda es que la capacidad real es de 3,63 TB (es lo que tiene vender 4TB como si fuesen 4.000.000.000.000 de bytes).</t>
  </si>
  <si>
    <t>Son pequeñitos y se ajustan bien Se ajustan al oído bien, te aíslan del exterior suficiente y el sonido es claro. Su cargador / cajita para guárdalo tiene buen tamaño para transportarlo en un bolsillo de pantalón así q genial</t>
  </si>
  <si>
    <t>Graciosa Llegó doblada y ahora cuesta se ponga lisa para poder utilizarla, es graciosa y el apoyo blandito y cómodo, tarda mucho en llegar. Precio muy bueno.</t>
  </si>
  <si>
    <t>Bien relaciones calidad precio Bien embalaje rapidez y servicio. Mal algún aspecto en cuanto ajuste de puezas</t>
  </si>
  <si>
    <t>No está mal.... Yo pedí una talla mas</t>
  </si>
  <si>
    <t>No funciona bien Lo compre para conectar los auriculares con mic del movil al ordenador y no conecta bien afectando la calidad del sonido y la fubncionalidad del mic.</t>
  </si>
  <si>
    <t>Malísima calidad. No lo recomiendo. Malísima calidad, el reloj ha durado 1 mes, lo hemos llevado al relojero por si era la pila pero nos dice que no. No lo recomiendo</t>
  </si>
  <si>
    <t>Producto aceptable. Por el precio que tiene es un producto aceptable...</t>
  </si>
  <si>
    <t>estan muy bien pero no son totalmente blancas</t>
  </si>
  <si>
    <t>Lo q esperaba Lo pidió mi hijo para empezar la eso. Le can e todo. Por ahora bien, e Pero dure todo el curso</t>
  </si>
  <si>
    <t>Tejido comodo Cómodos y calientes</t>
  </si>
  <si>
    <t>Excelente relación calidad precio Estoy muy satisfecho con el reloj. El único inconveniente, como ya se ha señalado en otros comentarios, es que los números del display son muy pequeños, y no se distinguen bien por la noche ni encendiendo la luz. Por lo demás, muy buen reloj.</t>
  </si>
  <si>
    <t>Excelente producto y vendedor Les escribí para que llegase antes y atendieron mi petición, el producto es magnífico, había probado otro y este le supera con creces. Lo usé para forrar el reposapiés de una funda de carrito de bebé y evitar las manchas. Un gran producto y un buen vendedor</t>
  </si>
  <si>
    <t>muy bueno &lt;div id="video-block-R2C536OU7ZV54R"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id="47" preload="auto" src="https://images-eu.ssl-images-amazon.com/images/I/71yyHjVjkGS.mp4" style="position: absolute; left: 0px; top: 0px; overflow: hidden; height: 1px; width: 1px;"&gt;&lt;/video&gt;&lt;/div&gt;&lt;div id="airy-slate-preload" style="background-color: rgb(0, 0, 0); background-image: url(&amp;quot;https://images-eu.ssl-images-amazon.com/images/I/71mYtC+XjLS.png&amp;quot;);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value="https://images-eu.ssl-images-amazon.com/images/I/71yyHjVjkGS.mp4" class="video-url"&gt;&lt;input type="hidden" name="" value="https://images-eu.ssl-images-amazon.com/images/I/71mYtC+XjLS.png" class="video-slate-img-url"&gt;&amp;nbsp;Lo compré como regalo para mi padre. Ella sufre bastante de los pies y estaba buscando algo así. El material es bueno, plástico pero no del barato que es muy fino y luego se rompe. no pesa tampoco mucho y es fácil de transportar, si le metes agua y la llevas ahí si que pesa más. Ella está contenta con el regalo y yo también</t>
  </si>
  <si>
    <t>Relación calidad/precio Era para un regalo y al destinatario le encantó. Cómodo y combinable, es una buena compra a muy buen precio.</t>
  </si>
  <si>
    <t>La calidad del priducto y la medida Rapudez en el envio y calidad del.producto esperada.</t>
  </si>
  <si>
    <t>Buen producto Me gusta mucho buena compra y rápidos entrega</t>
  </si>
  <si>
    <t>Muy contento Sonido decente aunque no es una maravilla. Conecta sin problemas. Compré los blancos y a la tarde del mismo día amazon puso los auriculares negros en oferta flash. Compré los negros tmb. 5€ mas baratos, pensando en devolver los blancos. Pues no, me quedé los blancos tmb.No aislan del ruido ambiente (yo lo veo como una ventaja sobre todo a la hora de correr, patines o bici, porque así te enteras de lo que pasa a tu alrededor), pero por esto no se quedan cortos en la audición. Muy contento.</t>
  </si>
  <si>
    <t>Compra recomendable Buena relación calidad precio. Se pueden separar fácilmente para usar independientemente. Tienen el tamaño adecuado sin ser muy largos ni muy cortos.</t>
  </si>
  <si>
    <t>perfecto todo correcto rapido y muy bien</t>
  </si>
  <si>
    <t>Muy util y versátil, buena calidad de sonido Muy buen producto. Tener en cuenta que el  conector a primera vista pareciera que no entra,  si es el caso, apretarlo un poco con los dedos, ira perfecto</t>
  </si>
  <si>
    <t>Todo correcto.  Practico bolso bandolera Bolso  muy  completo.  Trae diferentes departamentos con cremallera.  También traía un abridor de regalo. Metálico.  Es uno de los bolsos más completo que he comprado.  El material es lona de color caqui deslavado pero queda muy bien. Embalaje correcto.  Gracias</t>
  </si>
  <si>
    <t>Super compra Me ha encantado el estilo, nada de ruido, expectacular, ley las opiniones y me animé cn el producto y no me ha decepcionado, muy contenta cn la compra</t>
  </si>
  <si>
    <t>Bien Color tal cual en la foto, cómodos, realmente le ha gustado mucho, la suela se ensucia y se puede limpiar fácilmente, estoy muy satisfecha con la compra y con el precio</t>
  </si>
  <si>
    <t>Calidad Magnificas botas, an deperminados artículos pagas pero se amortiza, esto es un ejemplo de ello, robustas,buena piel, cómodas, aislan del agua y del frio.... las recomiendo!!</t>
  </si>
  <si>
    <t>No hay instrucciones ni recetas en español Nada en español: el libro de recetas e instrucciones son en francés y en alemán. Pero ni una palabra de español.</t>
  </si>
  <si>
    <t>Bien Buena calidad</t>
  </si>
  <si>
    <t>Auriculares de correr a mi gusto He probado auriculares de diadema y de in-ear... y ninguno se adaptaba bien. Estos son muy cómodos y la relación calidad/precio es muy buena. No necesito mucha calidad de sonido así que es suficiente. Los detalles de la funda, y las espumas de repuesto me hacen considerarlo un buen producto. La conectividad con mi Xiaomi MI6 es inmediata, y las locuciones de conexión en inglés, a diferencia de productos similares que sólo esta en chino. Lo recomiendo mucho.</t>
  </si>
  <si>
    <t>Bien Bien. Lo he empleado para fijar varios elementos en diferentes superficies y por el momento funciona. Espero que con el tiempo siga igual.</t>
  </si>
  <si>
    <t>estrellasIdeal para relajarse y tonificar. Lo compré para mí mujer, estuve mirando mucho y decidir comprar este modelo después de leer varias revisiones y otros artículos similares. He de decir que mi mujer está encantada, todas las noches lo utiliza un ratito cuando se sienta en el sofá a descansar. Aconsejan limpiar la pies y el rodillo antes de cada utilización. Tiene una sensación de frescor muy agradable a temperatura ambiente. He de decir que en la misma página del anuncio, explica perfectamente como se tiene que utilizar con detalle.</t>
  </si>
  <si>
    <t>Me ha durado 4 meses He cambiado la puntuación ya que a los pocos meses se descosió. Sí que la he manipulado bastante, pero por ese precio no se puede esperar nada mejor.</t>
  </si>
  <si>
    <t>bateria floja Se agota la batería desamasiado pronto</t>
  </si>
  <si>
    <t>Muy bien Está muy bien para el precio. Creo que ya tengo para organizar los cables de por vida. Sueltan pelucilla y pisquillos negros cuando se manipulan, pero una vez puestos no hay problema. (se pueden enlazar dos o más para abarcar un radio mayor en caso necesario)</t>
  </si>
  <si>
    <t>hector se rompio el 1º dia de uso el mecanismo de dentro es de plastico y no vale para nada una basura</t>
  </si>
  <si>
    <t>No tiene calidad Demasiado fino y endeble se rompió a la semana NO lo recomiendo,tanto la cadena que se rompio como el colgante que se cayeron las piedras me parecen de una calidad pesima</t>
  </si>
  <si>
    <t>Rascador para espalda telescópico inox,Anself... En mi opinión, todo correcto, llego en el plazo previsto y quedé muy contenta con este producto gracias. Nada que decir</t>
  </si>
  <si>
    <t>Merrell Comodas</t>
  </si>
  <si>
    <t>Efectiva La compre para el trabajo, y la usamos entre dos y tres veces al día, con la variante de diferentes cantidades de agua, y funciona muy bien hasta el momento. Es bastante rápida, y muy fácil de limpiar. Los acabados son buenos y bonitos, la verdad es que fue una buena compra y a buen precio.</t>
  </si>
  <si>
    <t>Cómoda y resistente Buen ajuste y ergonomía. Buena relación calidad-precio</t>
  </si>
  <si>
    <t>sano para la piel y el medio ambiente hace mas de 10 anos que uso los soap nuts. son ideales para la piel del bebe, y para todos, aunque no son buenos antimanchas.  si hay manchas especificas hay que ponerle bicarbonato u otro producto removedor - pero para los jabones normales tambien hay que poner removedor de manchas de todas maneras.  esta marca esta bien pero mi favorita is Maggie's.</t>
  </si>
  <si>
    <t>Perfecto Cumple con lo que quería</t>
  </si>
  <si>
    <t>Contento Bueno producto y calidad precio me parece una ganga. Ya tuve uno que me duro unos 5 años y le usaba para trabajar en la construccion. Vamos que llevo trote de todo tipo y aun asi seguia funcionando. Contento</t>
  </si>
  <si>
    <t>Me gusta relacion calidad precio Buena calidad</t>
  </si>
  <si>
    <t>Cumplen su cometido Cumplen su cometido</t>
  </si>
  <si>
    <t>Muy buena compra Lo compré para dar a los niños en el cumpleaños de mis hijos y realmente es muy buena compra. Los niños muy contentos.</t>
  </si>
  <si>
    <t>Bonita pero anilla estrecha. Es muy bonita pero algo estrecha. No caben tantaa fundas de plástico omo yo necesitaba.</t>
  </si>
  <si>
    <t>Calentitaa y blandas 📦CONTIENE📦 -Par de zapatillas  ⭐DESCRIPCIÓN⭐ Las zapatillas vienen en una bolsita de plástico bien embaladas. Tienen una suela bastante gorda y un forro de invierno para tener los pies calentitos. Además, puedes doblar si quieres la tela del tobillo para que sea como un calcetín. Son muy comodas, sobre todo por la espuma que tiene dentro de ellas para que esté blandito  👍ME HA GUSTADO👍 ✔️Diseño ✔️Calidad/precio ✔️Muy comodas  🤔OPINION PERSONAL🤔 Las zapatillas me han gustado mucho. Abrigan bastante bien y así puedes tener los pies calientes en casa. También me ha gustado su comodidad y que estén blanditas por dentro  👋Un saludo a tod@s y espero que sea os sea de utilidad 🤞</t>
  </si>
  <si>
    <t>Buena relación calidad precio &lt;div id="video-block-RSKDPAMH3Z28"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src="https://images-eu.ssl-images-amazon.com/images/I/C1vja+53zNS.mp4" style="position: absolute; left: 0px; top: 0px; overflow: hidden; height: 1px; width: 1px;"&gt;&lt;/video&gt;&lt;/div&gt;&lt;div id="airy-slate-preload" style="background-color: rgb(0, 0, 0); background-image: url(&amp;quot;https://images-eu.ssl-images-amazon.com/images/I/91r+ABiOk9S.png&amp;quot;);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value="https://images-eu.ssl-images-amazon.com/images/I/C1vja+53zNS.mp4" class="video-url"&gt;&lt;input type="hidden" name="" value="https://images-eu.ssl-images-amazon.com/images/I/91r+ABiOk9S.png" class="video-slate-img-url"&gt;&amp;nbsp;Batidora de 800 watios, viene con accesorios como varillas, picadora y vaso con medidas.  Tiene boton de velocidad normal y velocidad turbo, así como regulación de velocidad. La calidad precio es buena, ya que hablamos de una batería económica. Contento con la compra</t>
  </si>
  <si>
    <t>Buena calidad Se nota que es un material de calidad. Rápido en calentar y muy fácil de limpiar simplemente hirviendo vinagre. Es coqueto. Muy recomendable</t>
  </si>
  <si>
    <t>Contento Un producto muy completo con diferentes sonido para despertar, radio, varios colores e intensidades de luz, buena calidad, cable para su funcionamiento y cargar su pequeña batería, así como puerto usb para cargar el móvil mientras duermes.</t>
  </si>
  <si>
    <t>Vans old school 10 años usando vans y siguen siendo igual de perfectas. De mis favoritas sin duda, comodas y originales para vestir.</t>
  </si>
  <si>
    <t>Que funciona Perfecto muchas gracias</t>
  </si>
  <si>
    <t>Muy bien todo Excelente</t>
  </si>
  <si>
    <t>Vicente Envío en la fecha indicada. Los pendientes eran para regalar,para un detalle y la verdad que le han gustado mucho. Son muy bonitos</t>
  </si>
  <si>
    <t>Genial Hasta ahora no me desepciona estos ssd</t>
  </si>
  <si>
    <t>me encanta este album de fotos Me encanta este album! y me encanta de que tenga los accesorios,lo de las pegatinas y los boligrafos de colores.es justo lo que buscaba. lo usare para las fotos de nustros viajes.</t>
  </si>
  <si>
    <t>Excelente joya Es ideal para un regalo ya que es muy elegante, llamativo y sobre todo muy bien de precio teniendo encima partes de svarosky. Muy contento con la compra.</t>
  </si>
  <si>
    <t>Excelente opcion calidad-precio. La compré para la oficina, y se llena todos los días varias veces. No ha dado ningún problema, ha funcionado correctamente siempre. El material es plástico, y bonita tampoco es, pero cumple a la perfección con su cometido. Hace un poco de ruido.</t>
  </si>
  <si>
    <t>RELOJ PULSERA MUY ESTÉTICO Y LIGERO.</t>
  </si>
  <si>
    <t>No aptos para niños pequeños No apto para bebés ni niños de 1-3 años al menos. Demasiado gordo el alambre del pendiente con respecto al agujero de la oreja de un bebé. Ni si quiera para niños de 1 a 3 años. Al menos en mi caso.</t>
  </si>
  <si>
    <t>buen articulo buen reloj, no muy buen precio</t>
  </si>
  <si>
    <t>Son de cartulina Demasiado caros para lo que son.Pensaba que eran mayor calidad.algunos venian doblados.no volveria a comprar.</t>
  </si>
  <si>
    <t>Transparente total No entiendo los buenos comentarios... os habeis visto por detras?? De frente me queda precioso, es comodo y el diseño bonito pero la tela es tan sumamente fina que se transparenta todo el trasero... y ojo que me esta mas bien sueltecito, si llega a estar ajustado ya... 12€ a la basura</t>
  </si>
  <si>
    <t>Aceite esencialmente decepcionante Después de probar varios aceites esenciales de árbol de té nos decidimos por este debido a su certificado Ecocert, tamaño y dosificador. El aceite no es espeso como tendría de ser, parece estar rebajado con otro tip de líquido y su olor dista de ser el de un auténtico aceite de árbol de té. Poco intenso y fragante. Sencillamente decepcionante.</t>
  </si>
  <si>
    <t>muy buenos Están muy bien!!! Quedan ajustados sin ser incómodos y la tela, que es muy agradable, se adhiere de manera suave a la piel. Me han gustado y los volvería a usar. Eso sí, son de talle corto, pero están muy bonitos. Los recomiendo.</t>
  </si>
  <si>
    <t>En general un buen producto. La verdad es un buen altavoz, tiene potencia suficiente, la calidad también, para interiores perfecto, en exteriores también, pero si hay mucho ruido fuera se queda excaso de potencia. La batería dura bastante, pero si subes mucho el volumen consume mucho más, tarda mucho en cargar. En resumen, buen altavoz para interior, si solo suena el también para exterior, pero con un enchufe cerca.</t>
  </si>
  <si>
    <t>Baja calidad No sujeta mucho</t>
  </si>
  <si>
    <t>Buena compra He probado todos los accesorios y he quedado bastante contenta. Justo lo que esperaba. Durabilidad aún no puedo opinar. Se lava perfectamente, nada engorroso.</t>
  </si>
  <si>
    <t>Está bien Es fino y cómodo pero quizas algo olgado</t>
  </si>
  <si>
    <t>Muy bien, cómo esperaba Muy bien, cómo esperaba</t>
  </si>
  <si>
    <t>Muy bonito y barato. Es un reloj muy bonito, fiable, grande y barato. Una buena elección cuando quieres un reloj para todo. El color negro hace que encima sea discreto y que lo puedas usar siempre.</t>
  </si>
  <si>
    <t>Sencillos pero bonitos Los he comprado varias veces</t>
  </si>
  <si>
    <t>Lo recomiendo 100% Impresionante micrófono karaoke para pasar buenos ratos con los amigos. Es perfecto, tal y como sale en la foto. Tiene un sonido fuerte y claro, no distorsiona para nada, la conexión bluetooth no se corta para nada, la batería dura mucho.</t>
  </si>
  <si>
    <t>Usb Todo bien</t>
  </si>
  <si>
    <t>Buenísimo Exfolia , huele bien e hidrata. Que más se puede pedir? Buena calidad precio. La uso dos veces x semana. La recomiendo.</t>
  </si>
  <si>
    <t>Compra verificada He pedido de nuevo unos auriculares Bluetooth ya que tengo otros y la verdad que estoy muy contenta con el resultado.  Decir que son muy cómodos y ligeros,  se adaptan perfectamente al oído y la facilidad de llevarlos en su estuche y cargarlos con el es muy útil. Además como llevan imán para colocar los en el estuche te hace más sencillo guardarlos.  y sacarlos.  Su utilización es muy muy sencilla,  no obstante viene con manual pero el emparejamiento con el dispositivo es fácil y sencillo.  Se busca dispositivo en Bluetooth y al instante comienza a emparejarse,  así en el móvil como en la tele. La batería es duradera,  he agotado la que traía de carga y su aguante es duradero. El hecho de incorporar Bluetooth 5.0 hacen que tenga una mejor optimización de batería, por lo que aguantan bastante. La calidad del sonido es clara y limpia,  presentan buena calidad de sonido,  y la distancia de Bluetooth es muy buena ya que puedes moverte libremente sin necesidad de llevar el móvil encima. Y por último indicar que el material con el que están echos es resistente y el acoplamiento albo ido hacen que aguanten y no se caigan,  pero si ocurriese,  se ven resistentes. Muy buena calidad precio.</t>
  </si>
  <si>
    <t>Cumple su función. Cumple su función.</t>
  </si>
  <si>
    <t>Calidad Muy fácil de usar. Buena calidad. Estoy satisfecha con el producto. Compraré más cuando termine el paquete. Lo recomiendo</t>
  </si>
  <si>
    <t>Cumple lo prometido perfectamente &lt;div id="video-block-R31386PGS97JXS" class="a-section a-spacing-small a-spacing-top-mini video-block"&gt;&lt;/div&gt;&lt;input type="hidden" name="" value="https://images-eu.ssl-images-amazon.com/images/I/B1iX+08YHfS.mp4" class="video-url"&gt;&lt;input type="hidden" name="" value="https://images-eu.ssl-images-amazon.com/images/I/91asHiJMWJS.png" class="video-slate-img-url"&gt;&amp;nbsp;Ideal para estos días de frió que estan por llegar, o para zonas cansadas que un poquito de calor le vendría genial. Calienta muy rápido y de un modo uniforme. El tacto es suave y agradable. Incluye ademas una cinta con velcro para poder ajustar la manta sobre distintas zonas del cuerpo sin que se mueva. Tienes distintos niveles de temperatura, para elegir lo que mas se adapte a tus gustos y 4 temporizadores distintos. Una buena relación calidad-precio. Muy Recomendable.</t>
  </si>
  <si>
    <t>Pendientes de plata muy elegantes Quería unos pendientes para regalar. Estos están muy bien porque son de plata, con pequeñas circonitas en las estrellas que cuelgan, y quedan muy elegantes. Son de tuerca (también de plata) y llevan, de forma adicional, tuercas de plástico para una mayor seguridad. Las estrellas se pueden quitar y poner siempre que se quiera, pareciendo que tienes 2 pares de pendientes en lugar de uno solo. Además, vienen en una caja azul con el interior forrado en terciopelo, por lo que la presentación es inmejorable.</t>
  </si>
  <si>
    <t>Todo perfecto, tamaño adecuado y buena calidad Cumple perfectamente con lo que necesitaba, llevar las cosas (cartera, móvil, tabaco, gafas, llaves...). Para mi gusto, tiene el tamaño adecuado y el que estaba buscando. Cómoda y de buena calidad. El envío excelente.</t>
  </si>
  <si>
    <t>Calidad a precio competitivo Calidad suprema a un precio muy competente. De momento ningún pero. Llegó antes de lo previsto y todo, vino por correo ordinario. Se escucha todo con muchísima nitidez y el micrófono capta el sonido a la perfección. Es una compra muy recomendable si se necesita un manos libres.</t>
  </si>
  <si>
    <t>Zero problemas, zero errores Hoy poco que contar de la marca Verbatim con muy buena calidad-precio y buen rendimiento. Totalmente satisfecho con con la compra. llevo utilizandolos mas de 10 años y podira decir que no he tenido ningun tipo de problema con ellos. Como dice en titulo de la valoracion.. zero problemas, zero errores. Y aprecio insuperable.</t>
  </si>
  <si>
    <t>A mano Producto recomendado para todo tipo de dolores de articulaciones</t>
  </si>
  <si>
    <t>Perfecto Envío en un día y producto tal cual se muestra, un 10</t>
  </si>
  <si>
    <t>Rápido y práctico Lo adquirí a finales de octubre, desde entonces lo utilizo diariamente mínimo dos veces al día, estoy encantada. La base plana recoge de forma práctica el cable, el tamaño poco mas de un litro para mi es perfecto. Por poner algún pero... al ser de acero puedes quemarte si tocas esta superficie en uso.</t>
  </si>
  <si>
    <t>Muy recomendable Muy recomendable por las diferentes opciones que dispone. Para espacios cerrados 10 y espacios abiertos 7</t>
  </si>
  <si>
    <t>Rápida y potente Máxima potencia para salsas y mahonesas, rápida y ergonómica. Lo único que resulta un poco incómodo es el ensamblaje de los brazos a media rosca, pero en general es una gran compra para mí, que la uso mucho.</t>
  </si>
  <si>
    <t>Decepciona un poco Hoy he recibido el paquete, aún no he podido probar todos los accesorios, pero la caja ha llegado como muestro en la foto, las esquinas estropeadas y las instrucciones dobladas y rotas. Lo cual me hacía pensar que ya venía usada. La batidora que es lo único que he podido probar por ahora, cumple para lo que he necesitado. Los accesorios, como picadora y varilla me han decepcionado bastante, ya que son muy pequeños y parecen de juguete. Voy a esperar a ver si funciona todo correctamente o no, porque esperaba que fuera algo mejor.</t>
  </si>
  <si>
    <t>Util Va perdiendo fuerza</t>
  </si>
  <si>
    <t>Ojo al pedir la talla. Ojo con las tallas. Comprobar bien las medidas en la tabla y coged si es justo la talla inmediatamente superior.</t>
  </si>
  <si>
    <t>Adecuados, pero creo que al final no merece la pena. Tenía un biberón de un hijo anterior, de estos de muestra, y al venir otro hijo en camino decidí continuar con esta marca por sus "beneficios". El biberón es una maravilla cuando haces uso de el con leches normales. El problema viene cuando  lo usas con leches más espesas, anticólicos en mi caso.  Al final, un desembolso de varios biberones, tetinas de mayor graduación para intentar que saliese la leche, pruebas múltiples... al final lo único que han hecho es que gastase más dinero sin éxito. Me puse en contacto con el fabricante y desde él me dan remedios caseros; desde luego no están pensadas sus tetinas para este tipo de formulaciones.  Solución, ir al supermecado y comprar tetinas de 3 posiciones con sus respectivos biberones de 4€. El pequeño los admite bien, sale la leche y encima, puedo usar tetinas que no son de Dr Brown en sus biberones (no voy a decir marcas), eso si, sin el artilugio interior (este lo que hace es igualar la presión interior del biberón con la exterior, mientras que los demás es necesario una válvula en silicona que lo consiga).</t>
  </si>
  <si>
    <t>Mala relación calidad precio La compré para smothies y no vale ni para hacer puré. No cumple su función.</t>
  </si>
  <si>
    <t>fracaso de compra Los compré pensando que podría utilizarlos para hacer deporte, y no me han durado nada. De repente se dejó de escuchar. Ahora los tengo que tirar y están nuevos. No los compren, no los recomendaría. Mejor coger otros aunque cuesten algo más, yo ahora deberé comprar otros.</t>
  </si>
  <si>
    <t>Un producto de calidad, pero grande! Los auriculares son de alta calidad, facil de "pair" con cual tipo de móvil o tablet pero so GRANDES y difícil en colocar en la oreja (si no tiene oreja grande). No tengo confianza que no caer en cualquier momento si estoy andando. Sentada no  hay este problema.</t>
  </si>
  <si>
    <t>Bien pero tiene alguna cosilla Se arruga y luego es muy difícil recuperarla. El auto apagado funciona bien pero el calor que ofrece es limitado. Tenía otra que daba más calor.</t>
  </si>
  <si>
    <t>Idea buena Pero frágil Bastidores de mano se solta muy facil. De resto vá bien.</t>
  </si>
  <si>
    <t>Buen producto Buen aroma y cumple la función relajante, aveces también me pongo unas gotas en la sienes para conciliar el sueño.</t>
  </si>
  <si>
    <t>Todo ok Muy bien todo, un poco pequeña de tamaño, la esperaba más grande pero es perfecta!</t>
  </si>
  <si>
    <t>Excelente calidad. Lo que se espera de Adidas. Cómprare otra de color negro.</t>
  </si>
  <si>
    <t>Todo huele genial !! Me gusta todo , su diseño , los aromas huelen genial y funciona perfectamente , lo uso en mi salón y queda todo impregnado de olor , me encanta !!</t>
  </si>
  <si>
    <t>esxelente tal y como se describe vendedorsuper fiable 100% positivo</t>
  </si>
  <si>
    <t>Buena cinta de Doble Cara Cinta de doble cara de gran agarre y durabilidad. Capaz de soportar mucho peso. Para montones de utilidades y fácil de usar.</t>
  </si>
  <si>
    <t>Excelente Hasta ahora para tener un buen almacenamiento debíamos pensar en discos de sobremesa que requieren de estar enchufados a la red. El futuro pasa por las conexciones USB 3.0 y sin conexión a la red. Además, según lo que tengo entendido, los discos portátiles son mucho más resistentes que los de sobremesa. También es cierto que van a velocidades inferiores...pero la verdad es que no tiene importancia en la gran mayoría de aplicaciones. Lo dicho. El futuro está en ellos y son mucho más prácticos.</t>
  </si>
  <si>
    <t>Genial Muy entretenido a parte de un buen método para iniciar a los pequeños en la música, a mis sobrinos les encanto</t>
  </si>
  <si>
    <t>Excelente y a muy buen precio. Recomiendo el artículo.  Buena calidad.</t>
  </si>
  <si>
    <t>Muy eficaz y rapido Muy chulo</t>
  </si>
  <si>
    <t>😍 Me encanta, ideal para lucir bien sin marcar barriga, ya lo compré en otro color</t>
  </si>
  <si>
    <t>Cálidad precio, 399€ o menos perfect Simplemente perfecto, muy contento con su compra, a ver si actualizan el software de iOS y me dan opción a que haga la casa en vertica o horizontal (x la disposición d mi casa es la más eficiente) Amazon ultra rápido</t>
  </si>
  <si>
    <t>Muy buena memoria. El producto llegó antes del período estipulado y corresponde exactamente con lo informado en el folleto de venta. en cuanto a su calidad, por el momento funciona bien y no tengo queja alguna.</t>
  </si>
  <si>
    <t>Precio y diseño inmejorable La calidad del tejido estupendo 👌🏻,el corte que tienen,sientan como un guante ,los diseños muy chulos ,el precio lo mejor muy recomendables👍🏼</t>
  </si>
  <si>
    <t>Muy bonita Que bonita es!!! Trae todas sus piedritas perfectamente colocadas, trae para enganchar con el pelo, se coloca perfectamente, es preciosa!!</t>
  </si>
  <si>
    <t>Buen masajeador de cuello El producto es ideal para los que quieran un masaje después de un día duro. Recomiendo su compra. Buena calidad</t>
  </si>
  <si>
    <t>Muy chulas Genial, muy bonitas. Buenas y buen precio. Se debe coger una talla menos. El tallaje es grande.</t>
  </si>
  <si>
    <t>Perfecto Una pasada.diseño muy moderno.puntas de goma.se puede desarmar.muy bueno y recomendable</t>
  </si>
  <si>
    <t>Pequeño y facil de usar Mi hermana imparte cursos de estetica y le viene muy bien en el trabajo. Es muy pequeño y de poco peso, (cabe en cualquier bolsillo sin problemas) tiene puntero laser, y el receptor usb (plug &amp;amp;play) se puede guardar en la tapa trasera donde va el compartimento para la pila AAA que necesita (no viene incluida), funciona correctamente y no se aprecia retardo, le ha parecido muy practico y facil de usar. Echo en falta un protector de goma para evitar roturas por golpes o un asa de muñaca que evite caidas. Muy satisfecho con la compra</t>
  </si>
  <si>
    <t>Lento como el caballo del malo Es el disco de esta categoría más lento que he visto en mi vida, y eso que sustituía a un WD Green que ya es decir. Como segundo disco o para utilizar como disco externo bien, pero como disco de sistema es de locos (casi 2 min. en arrancar Windows 10 de media y exactamente el mismo sistema (cloné el disco WD en este) en el WD 1,20 min.)</t>
  </si>
  <si>
    <t>Esperaba más. Después de 6 meses de uso me parece que su función es correcta para un barrido rápido del piso aunque con una mopa acabas antes y llegas a más sitios. Para una limpieza a fondo no sirve. No está mal pero no lo volvería a comprar.</t>
  </si>
  <si>
    <t>Problemas de conexion A ver me he quedado muerto con estos auriculares , la bateria es buena ,la calidad de sonido decente , pero el motivo que son devueltos y que no me habia pasasdo jamas con ningun auricular es que para utilizarlos en una tv lg despues de emparejarlos cada vez que quieres conectsrlos tienes que entrar en menu como si fuera la primera vez ,menu , sonido, blueton, buscar ,emparejar ,increible ,cuando cualquier auricular una vez  emparejado lo enciendes y te sale un cartelito ( se ha detectado un elemnto blueton , quiere conectarlo)  si o no y ok y cuando le das a  apagar se conecta el altavoz de la tv, Con estos auriculares cuando los conectas tienes que hacerlo como si fuera la primera vez  INCREIBLE!!!!!!!!!!!! DEVUELTOS 10 para amazon</t>
  </si>
  <si>
    <t>Lo encargué en color negro y lo ha enviado blanco Lo encargué en color negro y lo ha enviado blanco, no creo que haya que dar más detalles.</t>
  </si>
  <si>
    <t>Productos de calidad Enviado rapido. Me gustan mas los mam anticolicos con la base desmontable pero la verdad que los biberones mam estan muy bien. Tetina del 3. Apta ya para leche con consistencia (papilla)</t>
  </si>
  <si>
    <t>Son las mejores que he probado Tengo dos de estas tarjetas en mi D750 y funcionan muy bien en modo ráfaga. Lo que suele pasar con todas las tarjetas es que la velocidad de escritura no es la que pone. En este caso hice la medición con Blackmagic Disk Speed Test y me dio un valor de entre 75 y 80 MB/s, para mi bastante aceptable teniendo en cuenta que la últimas que compré de otra marca que ponían 150 MB/s no llegaban ni a 60 MB/s.</t>
  </si>
  <si>
    <t>Zapatillas polar Cómoda y caliente</t>
  </si>
  <si>
    <t>Muy contenta Muy manejable y fácil de usar,potente para lo pequeña que es y los vasos muy prácticos con su tapadera para tranaportarlos</t>
  </si>
  <si>
    <t>Confortable Es una almohadilla muy suave y con un diseño bonito. Calienta lo justo. Era para un regalo y gusto mucho</t>
  </si>
  <si>
    <t>bueno Me gusta mucho la marca medela por eso he optado por este biberón, es cómodo, tiene una tetina perfecta para mi hijo de 3 meses. La única pega que le pongo es que la tapa que se le pone al biberón para moverlo no encaja muy bien, por lo que cuando lo agito tengo que tener cuidado porque se le sale la leche</t>
  </si>
  <si>
    <t>Muy contenta con la compra. Lo recomiendo Muy contenta con la compra. El olor es súper agradable con pocas gotas se nota muchísimo. Lo recomiendo 100%100 Me encanta</t>
  </si>
  <si>
    <t>Buena calidad a un gran precio Excelente pantalón que puede usarse tanto para dentro de casa como para salir a hacer algún recado. Incluso como pantalón de pijama, en tiempo frío, es útil. Por lo que cuesta, es una gran inversión.</t>
  </si>
  <si>
    <t>Brillan mucho Se ven muy bien, le han encantado.</t>
  </si>
  <si>
    <t>Muy contento Todo perfecto, precioso regalo.</t>
  </si>
  <si>
    <t>Muy recomendable. Excelente acabado. Funcional y práctica Excelente terminación y acabado. Dimensiones adecuadas. Cierre seguro con buen funcionamiento. Muy funcional y práctica.</t>
  </si>
  <si>
    <t>Muy Bonitas y de Calidad! Las Zapatillas son muy bonitas, son tal y como se ven en el anuncio, son muy cómodas, la verdad que muy contento con la compra, y si es para Regalo vais a quedar muy Bien las Recomiendo al 100%</t>
  </si>
  <si>
    <t>super bueno el hervidor va muy bien el hervidor . muy practico. no se ensucia es fácil para lavar. la abertura de la tapa es amplia y cabe la mano para limpiar por dentro del hervidor. el precio muy asequible . la recomiendo.</t>
  </si>
  <si>
    <t>Buena relación calidad/precio Pedidas un par de tarjetas para un par de smartphones que básicamente manejan aplicaciones y contenido en Full HD, cumplen de sobra su cometido. Para grabar en 4K habría que buscar memorias más rápidas.</t>
  </si>
  <si>
    <t>Excelente! Producto excelente en cuanto a sonido y calidad. Muy satisfecho, cuando los usas ya no puedes dejar de hacerlo.</t>
  </si>
  <si>
    <t>Muy cómodas Se ajustan a lo esperado. El número va algo ajustado, tuve que pedir 1 más de lo que normalmente uso tras los comentarios que leí al respecto, y aún así no me van nada holgadas. Pero en general muy bien.</t>
  </si>
  <si>
    <t>bonito y eficiente Se trata de un hervidor de aspecto retro que tiene muy buena pinta. Su diseño es muy bonito con un aire a antiguo pero con toques actuales. Parece normalito, pero tiene una gran capacidad. Con 1,5 litros puedo usarlo para cuando vienen invitados a casa y sobrarme por si alguno repite. Su potencia también es bastante elevada. Puede calentar el tope de su capacidad en muy poco tiempo gracias a sus 2300 w. Tiene un sistema de protección que si se acciona sin querer sin tener líquido dentro (que se evapore el agua que tenga dentro por ejemplo), automáticamente se desactiva y deja de calentar. La tapadera se puede extraer de forma sencilla. Su interior tiene fácil acceso y su lavado resulta cómodo.  Estamos satisfechos con este hervidor tan particular.</t>
  </si>
  <si>
    <t>Calidad y comodidad Comodisimas y más bonitas que en las fotos como todo el calzado de Puma</t>
  </si>
  <si>
    <t>Recomendado 100% Muy buen reloj</t>
  </si>
  <si>
    <t>imprescindibles tiras de velcro Son 100 tiras de velcro presentadas en una bolsa con cierre fácil y unidas con una goma elástica. Por el precio que tienen son perfectas. El velcro funciona perfectamente y su longitud da para la mayoría de los cables del día a día. Indispensable para usar en los viajes, para acortar un cable demasiado largo, etc. El envío fue muy rápido, recomiendo el producto y el vendedor.</t>
  </si>
  <si>
    <t>Buen artículo y gran vendedor Muy bueno. Muy contento con la compra y sobre todo con el soporte postventa. Tuve un problema y me lo solucionaron completamente. Artículo y vendedor 100% recomendable.</t>
  </si>
  <si>
    <t>Fantástico despertador. Es fácil de usar y puede funcionar como una lámpara. Relaja ver cómo anochece o amanece dentro de la habitación, es hasta divertido.</t>
  </si>
  <si>
    <t>Buen producto Buen producto, con excelente relación calidad precio. Muy cómodo y tal como se describe y se ve en las fotos. La verdad que muy satisfecho.</t>
  </si>
  <si>
    <t>Cogí una talla más Ya había tenido unas sandalias así y pedí una talla más y van perfectas. Cómodisimas, para poder trotar con ellas, y eson un poco vestidas. Las recomiendo</t>
  </si>
  <si>
    <t>No lo volvería a comprar No lo volvería a comprar. Hay aceites como el de lavanda que no huele casi, y los otros tienes que echar mucha cantidad para que dure el olor.</t>
  </si>
  <si>
    <t>Todo bien, salvo la fabricación. Es muy práctico y de gran utilidad para ordenar cómodamente diverso material de oficina pero la fabricación deja que desear, ya que vino con algunos  bordes en parte superior y cajoncito  ligeramente desnivelados,  de ahí que no sea tan buena mi evaluación.</t>
  </si>
  <si>
    <t>Buen reloj. Me decepciono un poco el color, muy oscuro para mi gusto, pero el reloj funciona perfecto y tiene unos acabados muy buenos.</t>
  </si>
  <si>
    <t>Bonita pero una pena Muy bonita, la verdad más que en la foto, peeeerooo, me me rompió el segundo día de ponérmela. una pena la verdad</t>
  </si>
  <si>
    <t>Poco fiable Entregado 22/07/2019 deja de funcionar el 1/09/2017.</t>
  </si>
  <si>
    <t>Práctico Está bien por el precio creo que es práctico y sólido para el día a día</t>
  </si>
  <si>
    <t>Relacion calidad precio Esta bien, cumple con lo que queria</t>
  </si>
  <si>
    <t>Para habitacion pequeña Relacion calidad precio muy bien,  y funciona correctamente.  Pero es para habitaciones pequeñas ya que no es muy grande y no dura muchas horas</t>
  </si>
  <si>
    <t>Talla difícil de medir Me encantan estas chanclas, pero hay que tener cuidado al pedir la talla. No acierto nunca:  o demasiado grande o muy pequeña.</t>
  </si>
  <si>
    <t>Igual descripción del vendedor Genial tal como la descripción.  La talla algo justa, por lo demás todo bien en general. Falta ver que tal responde a las lavadas.</t>
  </si>
  <si>
    <t>Cómodos Tal como esperaba cómodos y correspondientes con su talla, ni más ni menos.</t>
  </si>
  <si>
    <t>Buen producto Perfecto tal como se describe. Las tallas indicadas son correctas. Mido 1,89 y la XL queda perfecta.</t>
  </si>
  <si>
    <t>Están bien Son flexibles y cómodas las esperaba algo más buenas(rígidas suela) pero bueno se gastarán si andas con ellas mucho pero ,estan chulas.</t>
  </si>
  <si>
    <t>Muy práctico Me ha sorprendido, en unos segundos hace unos batidos estupendos y sin grumos. Ideal para comer sano en el trabajo</t>
  </si>
  <si>
    <t>Muy buena calidad Montaje rápido para rincones pequeños va muy bien excelente calidad precio</t>
  </si>
  <si>
    <t>Genial! Por el precio que tiene funciona perfectamente. Se oye a todos los presentes en una sala de reuniones perfectamente sin necesidad de acercarse. Eso si dos cosas a tener en cuenta, primero necesitas una tarjeta de sonido usb para conectarlo al portátil si no tienes la toma de auriculares y micrófono separadas y segundo hay que ajustar el nivel del micrófono en la configuración de windows para mayor tener sensibilidad.</t>
  </si>
  <si>
    <t>La calidad y la robustez. A pesar del grosor se maneja bastante bien.Tiene gran calidad de audicion.Los he usado para conectar dos altavoces.</t>
  </si>
  <si>
    <t>Muy bien Recomendable</t>
  </si>
  <si>
    <t>BUENA CALIDAD RELACIÓN/PRECIO La marca Casio nunca defrauda. Es un reloj muy básico pero el precio que tiene también es bajo. Pero es un reloj que va a ser usado en el trabajo, al aire libre. Por lo tanto, cumple con las expectativas. Si quereis un reloj básico, es un buen producto.</t>
  </si>
  <si>
    <t>Magnífico Es lo que esperaba y a buen precio</t>
  </si>
  <si>
    <t>Muy chulas Compré un número más por las opiniones anteriores y me quedaba grande. Para mí, el número es el correcto. Son ligeras, me encantan. No llevan ninguna marca por ningún sitio</t>
  </si>
  <si>
    <t>Muy profesional, sonido de 10 La calidad de los materiales es muy buena, el  micrófono de condensador le da mucho cuerpo a la voz y una calidad de sonido de altura y estéreo. Realiza unas grabaciones de calidad 10. Además si retocas un poco el sonido, te queda prácticamente como una grabación profesional.  Todo el pack en general es muy profesional, con un soporte de acero de brazo ajustable con abrazadera para montar en una mesa, filtro pop, antiviento de espuma y por supuesto cable USB.  Muy fácil a la hora de usar, en cuanto se conecta se puede utilizar como un nuevo dispositivo de sonido en el PC.  Si te ha resultado de utilidad mi comentario te agradecería que votaras como útil mi comentario aquí abajo, gracias! :)</t>
  </si>
  <si>
    <t>Muy eficaz Por fin he podido encontrar una pasta desengrasante para limpiar mis manos cuando hago chapuzas en mi coche. Es como la de los talleres</t>
  </si>
  <si>
    <t>FABULOSOS!! Como se escuchannnnnn!!!! Es una pasada!!!  E tenido miles y ninguno a sonado así como estos....  Super buenos!!!  ME ENCANTAN</t>
  </si>
  <si>
    <t>audio perfectos cascos para pc,controladora dj, peliculas, y sonido profesional muy claro</t>
  </si>
  <si>
    <t>Una maravilla La verdad es que pensaba que no sería buena, pero me equivoque, va muy bien, la batería dura lo que pone muy cómoda y fácil de usar perfecta para llevarte al campo o de picnic si te apetece un batido recién hecho</t>
  </si>
  <si>
    <t>ORIGINALIDAD A TOPE Un modelo original, cómodo, impermeable, no pesa.....todo lo q diga será positivo :)</t>
  </si>
  <si>
    <t>Elegante pero fino Muy finito pero es original!</t>
  </si>
  <si>
    <t>Muy cómoda y talla perfecta. Perfecta. Muy buen género. Talla perfecta, muy rápido. Compra muy positiva.</t>
  </si>
  <si>
    <t>Tiene desperfectos Es muy bonito, también sabía que solo viene uno, pero vino sin algunas piedritas y ni para decir que se le cayeron porque no estaban ni en la bolsa así que vinieron así desde el principio, que mal que vendan cuando tienen fallas</t>
  </si>
  <si>
    <t>No se puede regular la anchura. Es muy ancha para mí concretamente y no permite regular ninguna tira; por otro lado, el tejido de la plantilla es de fibra.</t>
  </si>
  <si>
    <t>Estiloso Reloj baratito made in china para darle un toque estiloso a tu look a bajo coste. La esfera es resistente a los golpes a baja altura (lo se porque nada mas sacarlo de la caja se me cayo al suelo ... ). Supuestamente es resistente al agua a 30m pero yo por si acaso no lo recomendaria que nadie se duche o haga natacion con el puesto. Tiene la deferencia de acompañar la herramienta de relojeria para ponerle el pasador de la correilla si se sale mediante uno de sus extremos, y mediante el otro puedes ajustar el cierre a la posicion deseada. A mi la correa me esta grande tirando a bien asi que si lo ajusto sera por poco. Un punto negativo que tiene es que la esfera es muy oscura y la hora no se ve bien, salvo que domines la hora analogica, que aunque parece una tonteria, a estas alturas de siglo XXI, hay mucha gente que no ha conocido la hora nada mas que en version digital y esto se le atraganta tela. Ver para creer, pero es cierto. Incorpora un segundero que no es de mucha utlidad. Para ponerlo en hora nada mas necesitas tirar hacia afuera un poco de la manija y girar hasta dejarlo en hora.  Por lo poco que cuesta no esta mal para como digo, darle un toque estiloso a tu look a bajo coste. Ahora bien, no esperes mucho de el.</t>
  </si>
  <si>
    <t>cable de conexión malo El cable de conexión en demasiado grueso cuando lo conecto en la cpu para pasarle datos me anula el ratón inalámbrico tal como suena no funciona el ratón He probado a cambiar el cable de conexión y SÍ funcionan tanto el disco duro como el ratón. conclusión el cable o está estropeado o es demasiado gordo para ese disco duro( y para ninguno, me temo, similar) en cuanto al disco duro estoy terminando de meterle datos y todavía no sé si funciona bien(espero que sí) si no tendré que devolverlo y cambiar de marca.</t>
  </si>
  <si>
    <t>Dañado El producto está dañado</t>
  </si>
  <si>
    <t>Pérdida de producto El tarro viene en una caja de cartón recubierta con plástico. El cartón tenía un aspecto deteriorado, aplastado. Al retirar el plástico observé que era porque se había salido el líquido y eso había reblandecido el cartón. No lo devolví porque ya había retirado el plástico y con ello la caja terminó de romperse. Lo guardo en la nevera , por la mañana recorto la forma de los parches que voy a utilizar y los aplico en el contorno de los ojos con la piel limpia y seca y lo dejo actuar durante al menos 20 minutos. No se desprende de la piel y puedo realizar mi rutina matinal con ellos puestos.  Llevo poco tiempo usando este producto y de momento no noto nada, no sé si se debe a la pérdida de producto.</t>
  </si>
  <si>
    <t>Limitado se que es bueno porque es el que usan riot y m4sonic la unica pega que le pongo esque solo este optimizado para ableton</t>
  </si>
  <si>
    <t>No esta mal pero... El micrófono, por ese precio y todo lo que trae, desde mi punto de vista es muy buena compra  pero y es por eso que no se lleva todas las estrellas es que para sacarle el máximo partido necesitaras de alimentación extra para que le llegue el voltaje de 48v, como puede ser la alimentación Phantom por  21€ . Lo tengo desde hace poco así que sigo trasteando con él, desde luego es mucho mejor que el micrófono que venia con los cascos. Recomendado.</t>
  </si>
  <si>
    <t>No está mal L a pulsera da bastante el pego ahora es  bastante rígida y a veces eso resulta incómodo.  Se puede adaptar al tamaño de muñeca,  de hecho la mía es bastante pequeña pero no se puede eliminar lo sobrante con lo que a la ahora de cerrar la Correa resulta un poco aparatoso</t>
  </si>
  <si>
    <t>Buena calidad/precio El cable cumple su función. No es especialmente ruidoso y los acabados no son malos. Si quieres un cable relativamente corto es una buena opción.</t>
  </si>
  <si>
    <t>perfecto soy asidua de esta marca,y cuando compro otra me arrrepiento y vuelvo a esta .Los llevo para todo ,tengo una 100b y me resulta muy comodo llevar el pecho sujeto pero sin ,molestias que me provocan otras marcas</t>
  </si>
  <si>
    <t>Ideal Preciosos</t>
  </si>
  <si>
    <t>Muy bien Regalo, le encantó</t>
  </si>
  <si>
    <t>Calidada Est mubien</t>
  </si>
  <si>
    <t>Genial Funciona genial , tienes que bajar la app de la marca</t>
  </si>
  <si>
    <t>Turbantes Tal cual se veían en el la página, buena calidad y sujetan bien el pelo</t>
  </si>
  <si>
    <t>un detalle muy fino para regalo Llegó puntual. Ha sido un regalo y ha gustado mucho. Lo recomiendo. Luce muy bien en el cuello. Buscare detalles similares cuando tenga que regalar</t>
  </si>
  <si>
    <t>super He quedado sorprendida con la calidad y la belleza del bolso. Es un bolso grande, super bueno para el trabajo, puedes guardar muchas cosas. Estoy contenta con la  compra.</t>
  </si>
  <si>
    <t>RÁPIDO Y EFICAZ FUNCIONA A LA PERFECCIÓN Y ES MUY RÁPIDO. HACE YA UN PAR DE MESES QUE LO COMPRÉ Y NO ME HA DADO NINGÚN PROBLEMA. TIENE UNA GRAN CAPACIDAD</t>
  </si>
  <si>
    <t>RELOJ DE MUY BUENA CALIDAD Un reloj extraordinario, a mi chico le ha encantado, súper elegante y funcional, muy facil de regular la correa gracias a la herramienta que incluyen en ña cajita del reloj! Estoy super contenta con la compra, muy buena calidad, y precio de categoría!!! Parece un reloj mucho más caro por su calidad. Gracias!</t>
  </si>
  <si>
    <t>Formidable despues de 4 años de uso Me decidí a comprar este lapiz USB 3.0 debido a las buenas reseñas que vi sobre el en su dia y por lo que veo no me equivocaba. Recuerdo que fue de los primeros en utilizar el estándar de velocidad 3.0 con muy buenos resultados. A dia de hoy sobre 3/4 años más tarde dandole uso prácticamente diario, sigue manteniendo tasas de transferencia de 100/150MB/s en lectura y unos 60/70 MB/s en escritura. Yo lo tengo claro, el dia que rompa me compro otro igual pero de mas capacidad. Como contra podría poner el precio, ya que me costó en su dia unos 30/35€, pero como toda tecnología que lleva poco tiempo en el mercado se paga, hoy en dia los considero mucho más rentables, aunque para nada me arrepiento de su compra.  Víctor Seca.</t>
  </si>
  <si>
    <t>ME ENCANTAN Son las mejores, siempre que se me rompen me las vuelvo a comprar!</t>
  </si>
  <si>
    <t>Una buena solución &lt;div id="video-block-RBFRAAINXJAKK"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src="https://images-eu.ssl-images-amazon.com/images/I/C1efkMDN-7S.mp4" style="position: absolute; left: 0px; top: 0px; overflow: hidden; height: 1px; width: 1px;"&gt;&lt;/video&gt;&lt;/div&gt;&lt;div id="airy-slate-preload" style="background-color: rgb(0, 0, 0); background-image: url(&amp;quot;https://images-eu.ssl-images-amazon.com/images/I/91tlMpOKsLS.png&amp;quot;);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center;"&gt;1:00&lt;/div&gt;&lt;div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8.73266%;"&gt;&lt;/div&gt;&lt;div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value="https://images-eu.ssl-images-amazon.com/images/I/C1efkMDN-7S.mp4" class="video-url"&gt;&lt;input type="hidden" name="" value="https://images-eu.ssl-images-amazon.com/images/I/91tlMpOKsLS.png" class="video-slate-img-url"&gt;&amp;nbsp;Necesitaba dar un poco de vida a mi viejo portatil. Después de estar investigando en la red llegué a la conclusión de que el disco ssd podía ser la solución sencilla y barata.  La instalación es muy fácil, y la mejora en el arranque y el rendimiento sustancial.  Gracias al disco mi portatil y yo nos tendremos que soportar unos añitos más.</t>
  </si>
  <si>
    <t>Buenos auriculares Me tardó 4 días en venir. -Son de buena calidad (originales) -Funciona para todos los dispositivos -Se escucha fuerte -Es como en la oreja (no se caen)</t>
  </si>
  <si>
    <t>COLGANTE PRECIOSO He comprado el colgante para regalar y es muy bonito y fino. Viene muy bien presentado con su caja y una bolsita.</t>
  </si>
  <si>
    <t>Calidad-precio👍 Muy comodos la verdad.Los he comprado para trabajar ya que estoy muchas horas de pies.</t>
  </si>
  <si>
    <t>Precioso Muy buena compra relación calidad precio un diez, es muy elegante.</t>
  </si>
  <si>
    <t>Fenomenal Lo dicho, fenomenal. Pero comparto una experiencia, por si a alguien le sirve... Tuve que devolver unos Crocs city lane porque me estaban haciendo polvo los pies sobre todo por la zona del empeine. Nada que ver los crocs classics con los city lane. El material de los city lane es más duro, cede menos y tiene horma más estrecha (más baja más bien). Yo los city lane no los podía aguantar, los classics de maravilla.</t>
  </si>
  <si>
    <t>¿POR QUÉ NOS ENGAÑAN CON LAS SD? No entiendo porque ninguna tarjeta cumple con su descripción, ni tampoco, para que sirven los 7,5GB que vienen de documentos en la SD, ¿se pueden eliminar? Si alguien lo sabe que responda por favor. Pero a lo que iba, la velocidad de leer real y de escribir son: 70 mb/s y 54. Y la capacidad total de almacenaje 111,6. Al no ser que se eliminen los 7,5 que vienen de un documento, que serian 119,1GB. Respondedme si podéis a las preguntas, gracias.</t>
  </si>
  <si>
    <t>Regular Muy buena calidad lo malo q lo q lleva interior se sale</t>
  </si>
  <si>
    <t>Rápida y buen batido Muy buena potencia...pero en la segunda batida de 3 minutos huele sobre calentamiento..</t>
  </si>
  <si>
    <t>Fallos por duplicado Adquirí hace más de un año este disco duro para un NAS Synology y, al poco tiempo, comenzó a dar problemas de funcionamiento, algunos sectores se averiaron y perdí datos muy importantes, algunos de ellos tan sangrantes como fotos y vídeos de mis hijos. Lo devolví al vendedor a través de Amazon (chapó por su política de devoluciones) y me reembolsaron el importe. Cometí el error de adquirir un modelo igual pensando que tuve mala suerte con el primero. Me ha ocurrido exactamente lo mismo, ha comenzado a fallar, a pesar de hacer un uso normal del disco, aunque esta vez no he perdido datos. WD, un desastre!</t>
  </si>
  <si>
    <t>Cubre mis espectativas Me ha encantado el producto. Lo único malo es que venía con un problema y no cargaba las baterías. Al comentarlo, no han tardado ni dos horas en solucionármelo. Me han llamado con mucha atención, me han enviado correo electrónico, y han venido a por el altavoz para cambiarmelo por otro. Ahora solo espero que ese cambio también sea tan efectivo.</t>
  </si>
  <si>
    <t>Cumple su funciónEl El plástico podía ser de mejor calidad.</t>
  </si>
  <si>
    <t>Angels Roda Muy comodas y ligeras....ni notas la cuña y puedes caminar kilometros que no se te cansan los pies ni las piernas...al ser de regilla en los laterales el pie no suda...m gustan mucho</t>
  </si>
  <si>
    <t>Recomendables Por ahora van muy bien y parecen originales,además de que es el precio más económico que encontré!</t>
  </si>
  <si>
    <t>Buena compra! Excelente relación calidad-precio. Cumple con su cometido. El envío fue muy rápido y llegó en perfectas condiciones. Por fin puedo disfrutar de un té sin tener que hervir el agua en la olla!!! :))</t>
  </si>
  <si>
    <t>Comodidad y bonitas Son muy cómodas para caminar y se queda preciosa en los pies. Mi mujer estás encantada.</t>
  </si>
  <si>
    <t>Rapidez y exclusividad Era un regalo y efectivamente le encantó,gran calidad como siempre en la marca</t>
  </si>
  <si>
    <t>Poca diversidad de composición Correcto. Regalo</t>
  </si>
  <si>
    <t>Satisfecha Se ajusta perfectamente a mis necesidades.</t>
  </si>
  <si>
    <t>Justo lo que esperaba Trabajo en diferentes sitios, y este hervidor me permite poder llevarlo siempre conmigo. No emite olores extraños, se pueden llenar casi 3 tazas, y es bastante agradable a la vista a pesar de ser de plástico y no poder separar la jarra de la base. Fantástica por el precio que tiene y encantada con la compra.</t>
  </si>
  <si>
    <t>No pesan nada y son muy comodas Es tal y como esperaba, son bonitas y lo más importante es que son muy cómodas y no pesan nada, se agradece a la hora de moverte</t>
  </si>
  <si>
    <t>Muy bueno Siempre he usado esta marca de biberones y me decidí a comprarlo de vidrio por no usar plástico.El resultado no puede ser mejor, mas higiénico,no se quedan olores ni cambios de color.Muy resistente e incluso dejándolo a los niños para q lo tomen solos se ha roto.Tiene más peso pero cómodo de usar.</t>
  </si>
  <si>
    <t>buena calidad Producto de calidad hecho de materiales de calidad  Cumple sus funciones a la perfeccion  el agujero de la tetina es bastante grande</t>
  </si>
  <si>
    <t>Para qué más? Reloj barato, preciso, bonito...  Es una gran elección para un reloj de diario sencillo y con su toque retro que se ha puesto de moda ahora, aunque realmente nunca ha dejado de usarse ya que es un modelo estándar perfecto.</t>
  </si>
  <si>
    <t>Mochila bandolera Es una mochila bandolera bastante grande y con grandes apartados por dentro y por fuera. El pedido y trato con el vendedor fue excelente. Tiene material similar al cuero, es bastante resistente. Se puede usar para llevar la tablet y el móvil de viaje.</t>
  </si>
  <si>
    <t>Muy util para preoarar batidos y llevar. Muy util para preoarar batidos y llevar</t>
  </si>
  <si>
    <t>Recomendable 100x10pñ0 Se adapta a todo... Buen volumen... Ergonómica..</t>
  </si>
  <si>
    <t>Inmejorables He probado varias marcas de biberones y sin duda estos son mis favoritos. Philips avent cuenta con varios modelos y tamaños de biberón, lo que resulta muy cómodo para las diferentes edades del bebé. Además, a diferencia de otros no hace falta tapa interior para agitarlo, cosa que hace que haya menos manipulación de la leche.</t>
  </si>
  <si>
    <t>Muy buenas Fue para un regalo, por lo que no las he probado yo, pero según me han dicho cumplen su función muy bien, han sido un acierto. Un par de minutos al microondas y perfectas!</t>
  </si>
  <si>
    <t>Muy cómodos No se caen de la oreja gracias a las almohadillas de distintos tamaños que se adaptan, se pueden usar tanto a la vez como individualmente y son fáciles de sincronizar.</t>
  </si>
  <si>
    <t>Fundamental para SSD Un cable necesario si quieres cambiar el disco de tu MacBook por un SSD ya que si no la velocidad del que trae de serie puedo ocasionarte problemas</t>
  </si>
  <si>
    <t>Reloj Casio Fué para regalo de Navida Mi sobrino se quedó muy contento con el reloj. Es una compra muy acertada. Lo recomiendo.</t>
  </si>
  <si>
    <t>Auriculares inalambricos Muy propios para utilizarlos con tu teléfono móvil a  la hora de hacer deporte, sin cables molestos. Muy cómodos y se adaptan muy bien al odio, vienen con varios recambios de otros colores. El bluetooth se sincroniza bien y sin problemas. No le falta nada, calidad excelente de sonido, y se puede utilizar uno solo sino quieres los dos.</t>
  </si>
  <si>
    <t>Buen acabado , contento. Buen detalle para un regalo</t>
  </si>
  <si>
    <t>Lastima del color De no ser porque el color es demasiado oscuro, lo hubiese preferido más de un color arena, hubiese sido un buen producto. No lo voy a utilizar.</t>
  </si>
  <si>
    <t>Funcional pero ruido ensordecedor Batidora fácil de usar, bonita y todos su componentes muy funcionales. Mi problema es que el paquete me ha llegado sin embalar, ni tan siquiera con un precinto de seguridad. Cualquiera puede haberla abierto. Además ha llegado con una especie de polvillo verde en la superficie de la caja, tipo el que aparece en los limones cuando cogen moho. El producto por dentro estaba bien empaquetado y traía todos sus componentes. Al probarla, hace un chillido muy agudo, incluso durante los dos/tres segundos posteriores a pararla. Por último, tras sólo un uso de prueba durante 5 segundos, se pueden apreciar unas marcas muy visibles en la parte central metálica del enganche al motor. En la cuchilla de la izquierda mucho más marcada y oscura que en la cuchilla de la derecha. Al llegar, nuevas, eran totalmente metálicas. Adjunto fotos de todo.</t>
  </si>
  <si>
    <t>Ineficaz En mi caso no sirvió para nada. El bebé seguía con mucha baba.</t>
  </si>
  <si>
    <t>No estoy contento con esta máquina No cumple con lo dicho por el fabricante mezcla el zumo con la pulpa y metiendo trocitos pequeño se atasca la devuelto el mismo día tengo otros productos del mismo fabricante y bien pero este tipo de máquina s no ba bien la primera se despegaba trocitos de plástico del filtro y esta mezcla el zumo y la pulpa buscare otro tipo de maquinaria gracias</t>
  </si>
  <si>
    <t>Color Azul navy Tras una semana ya hay zonas que han perdido el color, muy disgustado con la duración del color. ¿No hay ninguna solución? Otra semana más y la goma de dentro se ha despegado y me roza en el dedo. No las recomiendo a nadie</t>
  </si>
  <si>
    <t>Regalo a buen precio Algo grande pero mi hijo tiene 14 años y seguro en in par de meses ya estarán súper bien a su medida le gusto mucho el regalo</t>
  </si>
  <si>
    <t>Calidad estándard Es probable que no sean de la mejor calidad posible, pero sirven perfectamente para una instalación de red en una oficina para pequeña/mediana empresa. Su montaje es sencillo y robusto. He probado conectores supuestamente de mayor calidad y las diferencias en rendimiento son inexistentes o inapreciables (en un entorno de alto rendimiento quizás se note, no lo sé). La instalación en algunos conectores más caros resulta muy tediosa, debido a la dificultad para grimpar los cables, en cambio éstos se grimpan con facilidad quedando bien sujetos. Montados a la primera y sin ningún fallo al comprobar con un tester de red.</t>
  </si>
  <si>
    <t>Tres fragancias. Hola la combinacion de las tres fragancias hacen un olor intenso pero no molesto. Un saludo y gracias.</t>
  </si>
  <si>
    <t>Genial, pero se calienta muchísimo Todo perfecto, funciona perfectamente. Cómodo, versátil y muy rápido. Sin embargo, se calienta muchísimo incluso a los pocos minutos de uso. Espero que esto no afecte al rendimiento o vida útil del USB.</t>
  </si>
  <si>
    <t>Buen Reloj a buen precio! Creo que es un buen reloj, con un diseño moderno , a muy buen precio, ademas es muy resistente, ideal para deportistas de todo tipo!</t>
  </si>
  <si>
    <t>Buen modelo Estupendo modelo, rápida entrega, modelo holgado a mi talla pero queda bien. Calidad excelente de New Balance, horma estrecha pero ajustada y perfecta a lo que buscaba.</t>
  </si>
  <si>
    <t>COMPRA RECOMENDADA Limpia muy bien pantallas de ordenadores y todo tipo de cristales. No utilices el producto para lentes fotográficas.</t>
  </si>
  <si>
    <t>Cadena perfecta Es lo que yo esperaba. Todo perfecto, la única pega por poner alguna es que el cierre es demasiado pequeño... O mis dedos demasiado torpes</t>
  </si>
  <si>
    <t>Da luz a la cara La diadema es preciosa y se puede poner con cualquier tipo de ropa</t>
  </si>
  <si>
    <t>No se mueve nada y muy suave Buen diseño y tamaño</t>
  </si>
  <si>
    <t>Jmp La bandolera esta bien el problema es cuando le pone peso en la cremallera delantera queda descolgada de esa parte t se ve fea...</t>
  </si>
  <si>
    <t>Cumplen a la perfección. Cumple a la perfección y además es muy útil que tenga diferentes aumentos. El único pero que tendría que mejorar es que al poner la lupa y las pilas, las gafas se acaban escurriendo de tu cara por el peso. Pero su función la cumplen a la perfección y eso que yo me las pongo encima de mis gafas...</t>
  </si>
  <si>
    <t>Excelente relación calidad / precio Gratamente sorprendido. Excelente relación calidad / precio. Sin duda, la recomiendo!</t>
  </si>
  <si>
    <t>Zapatillas de moda económicas Son las zapatillas del momento a un precio mucho más económico que en cualquier lugar. El envío rápido y sin problemas. Las zapatillas ideales y cómoda como todo lo que hace la marca Vans. Lo recomiendo 100%.</t>
  </si>
  <si>
    <t>Genial para caminar Genial</t>
  </si>
  <si>
    <t>Pantalón de deporte Muy buen pantalón corto de deporte, yo me compré una talla M y mido 173 y peso 70kgs y me queda perfecto.</t>
  </si>
  <si>
    <t>Encantados Nosotros compramos estos calcetines para nuestro adolescente y está encantado.  Dice que los caletines son muy suaves y cómodos y lo mejor de todo es que han reducido notablemente el olor que producen los pies.  Nuestro hijo calza un 48 y no es fácil siempre encontrarle calcetines que le quedan bien.  Estos sí que dan la talla. El envío llegó super rápido y todo como lo esperabamos. Gracias!</t>
  </si>
  <si>
    <t>Genial. Tal. Y como en la. Foto Perfectas</t>
  </si>
  <si>
    <t>Artículo muy recomendado Excelente producto y precio</t>
  </si>
  <si>
    <t>Excelente calidad precio Muy bien, llego antes de tiempo, la relación calidad precio FANTASTICA y vienen un montón, la verdad es que estoy muy contenta con esta compra.</t>
  </si>
  <si>
    <t>A relajar las cervicales Paso muchas horas delante del ordenador y me duele la espalda. Este masajeador me ha venido bien para ayudarme con el problema. Tiene diferentes intensidades. Puedes hacer que gire en un sentido u otro. También es posible activar el calor. Perfecto para ponérselo un rato cada día.</t>
  </si>
  <si>
    <t>Es perfecto Es perfecto cumple con todos las expectativas que tenía, elegante, muy plano, si te Gustan los relojes no puede faltarte</t>
  </si>
  <si>
    <t>Buen precio Esta muy bien de precio para la cantidad de tarjetitas que trae.</t>
  </si>
  <si>
    <t>Matreiles de muy buena calidad Conectores de muy buena calidad. En la realidad tienen mejor aspecto que en las fotografías. Muy fácil montaje. Estoy muy contento con el producto.</t>
  </si>
  <si>
    <t>Calidad Muy pequeños</t>
  </si>
  <si>
    <t>Resistente Es un reloj robusto los números se ven muy bien tiene una pantalla muy rara por este precio no se puede pedir más relación calidad precio muy bueno</t>
  </si>
  <si>
    <t>Bonitos Son super bonitos y un poco pequeños. Se nota que la calidad es un poco mala pero son muy económicos.</t>
  </si>
  <si>
    <t>Defecto en el cuero y Amazon no responde Me compré estas botas a finales de noviembre y tras tres meses de uso me ha aparecido un defecto en el cuero. He escrito a Amazon (porque Panama Jack me dice que ellos no se hacen cargo dado que es un producto vendido por Amazon) y nadie me responde. No vuelvo a comprar unas botas Panama Jack. Pensaba que comprando una marca de calidad tendría también un servicio de atención al cliente de calidad y no ha sido así. Las próximas botas Timberland sin dudarlo.</t>
  </si>
  <si>
    <t>Demasiado fina El tejido es finisimo</t>
  </si>
  <si>
    <t>Suela "algo blanda" Llegaron en el plazo establecido, tal y como esperaba. Idénticas a las imágenes. Suela "un poco blanda" al caminar por ciertas superficies notas algunos relieves o las zonas que no son llanas. Son muy cómodas.</t>
  </si>
  <si>
    <t>Calidad buena Artículo bueno</t>
  </si>
  <si>
    <t>Regalo Buena relación calidad precio</t>
  </si>
  <si>
    <t>Entran muchos pendientes Es buen artículo</t>
  </si>
  <si>
    <t>Bien Están súper bien suave , cómodas como todo tiene un pero ,  es q lo encuentro muy olgadas angostas no se cómo decirlo por suerte mi pie es delgado ,no lo aconsejo para un pie ancho .</t>
  </si>
  <si>
    <t>MUY Bueno muy bueno,rapido,sencillo y comodo. Falta saber su grado de precision porqué hasta ahora aun no me he encontrado con que detectara ningun billete falso</t>
  </si>
  <si>
    <t>Buena compra por el momento Si no son los originales, se parecen mucho. Ahora sí, a ver lo que duran.</t>
  </si>
  <si>
    <t>buen reloj muy buen producto,la esfera es grande,es muy bonito,entregado en la fecha prevista,todo correcto,los colores son como vienen en la foto</t>
  </si>
  <si>
    <t>Muy buen producto Perfecto</t>
  </si>
  <si>
    <t>Buen calzado Buen calzado a buen precio</t>
  </si>
  <si>
    <t>Pedro Sudafrica Esta muy bonito y llego bastante rápido. Solo que el color es un poco diferente del de la foto. Aun así, lo recomiendo 100%. Parece ser que es de los mejores para el que le guste nadar en las profundidades.</t>
  </si>
  <si>
    <t>Super buenos! me han sorprendido mucho, facil sincronizacion con el iphone y el ipad, calidad muy buena  para las pelis y series, genial para hacer deporte, yo tengo la oreja pequeña y no se me caen, son perfectos.</t>
  </si>
  <si>
    <t>Como un guante Ya soy usuario de Asics con las Gel Nimbus 19, y si van bien por que cambiar? las 21 son perfectas.</t>
  </si>
  <si>
    <t>Buen producto Gran batidora, potente y práctica</t>
  </si>
  <si>
    <t>Muy buen reloj Me llegó en el tiempo estimado y en perfecto estado, se ve perfectamente que es original. Con casio nunca te equivocas. Es un reloj muy bonito y original.</t>
  </si>
  <si>
    <t>Comodidad Muy cómodo y sujeta muy bien. Desde que probé la primera vez esta marca no he vuelto a utilizar otra</t>
  </si>
  <si>
    <t>La calidad del álbum y los accesorios que vienen en el Soy una chica que me encanta viajar y estoy recopilando mis mejores viajes y dejando una huella en cada álbum para en un futuro recordar como se merece esos momentos, me decidí por este álbum porque vi que era bastante completo , tiene unas pequeñas tijeras, cintas adhesivas, pegatinas , hace que el álbum quede mas divertido , las ojas por dentro son negras , eso le da un toque mas elegante al álbum , ahora solo me queda decidir cual de mis viajes realizados va plasmado en este álbum, bien calidad - precio</t>
  </si>
  <si>
    <t>Calidad y precio. Queda bien, pero tienes que coger un numero o medio más porque no da mucha talla.</t>
  </si>
  <si>
    <t>Se ajusta muy bien Compre auriculares para hacer deporte, y la verdad es que muy bien Siempre e tenido problemas con la adaptacion a la oreja y la verdad es que no tengo ninguna queja Todo bien</t>
  </si>
  <si>
    <t>Ligeros y cómodos El sonido  de estos auriculares es bueno tratándose de unos auriculares bluetooth y aunque no se indica cuál es su alcance, no se entrecorta aunque nos alejemos unos metros del dispositivo, esto es en parte gracias a que utiliza una versión de bluetooth 5.0.  Son cómodos, no pesan casi nada y no se caen ni mueven al  realizar movimientos o ladear la cabeza. Cuenta con almohadillas en tres tamaños diferentes. Podemos hacer deporte con ellos, como salir a correr.  Ambos auriculares nos permiten controlar el volumen, pausar la música o contestar y colgar una llamada.  El tiempo de carga de los auriculares es de aproximadamente una hora. En las instrucciones se nos indica que para cargarlos utilicemos un cargador de menos de 5V/2A. Hay que tener cuidado porque los cargadores de móviles y de tablets actuales si no todos, la mayoría suelen ser de esa potencia. Siempre podemos cargarlos conectándolos al puerto usb del ordenador.  La cajita metálica que trae y que nos permite realizar tres cargas, es pequeña y ligera, así que cabe en cualquier parte para llevarla.</t>
  </si>
  <si>
    <t>Tal como se esperaba Sudadera muy juvenil igual que en la foto a mi hijo le queda perfecta le cogi la talla que usa normalmente calidad precio muy buena hemos repetido en otro color.</t>
  </si>
  <si>
    <t>Muy bonita Llegó rapido, es bonita y barata. Todo perfecto</t>
  </si>
  <si>
    <t>Todo correcto Perfectas. Zapatillas para mi hija en las que me he ahorrado algo respecto a tienda física. Son originales. Lo he mirado con distintos vídeos donde se comparan originales y falsas, y desde luego son originales.</t>
  </si>
  <si>
    <t>La calidad Me gustan y me quedan bien, pero el primer día de colocarmelos se pelaron un poco en la parte de atrás. No son unos zapatos muy baratos como para que la calidad sea tan mala</t>
  </si>
  <si>
    <t>No se ajusta No ajusta bien a la camilla de 80 y es muy fino, al darte la vuelta se suelta de la camilla</t>
  </si>
  <si>
    <t>Calidad/ Precio normales Los compré para poder dormir con ellos y van bien. Los compré al no existir el modelo de Sennheiser CX 150 que eran los que tenía y que son mucho mejores en todo. Estan bien pero a la próxima buscaré otra alternativa. Eso sí, el color es bonito.</t>
  </si>
  <si>
    <t>Incómodas Muy incómodas por la costura que tienen a la altura del tobillo.</t>
  </si>
  <si>
    <t>muy mal tardo mucho y vino roto el cepillo pa los pinipon no vale ni para mirarlo</t>
  </si>
  <si>
    <t>la mitad no van Compre 30 porque por trabajo los iba a ir necesitando....me fallaron tres en la segunda caja que cogi, y ahora que he cogido la tercera caja que me faltaba no va mas que uno.UN desastre!!</t>
  </si>
  <si>
    <t>Buen producto Buen producto adecuado a lo que esperaba ... lo pedí pensando que era de poca calidad pero me equivoqué ... es perfecto</t>
  </si>
  <si>
    <t>Muy bonitas y comodas Me queda un poquito suelta pero no grande, lo prefiero por que yo tengo como un 39,5, o sea a veces me va bien el 39 y a veces el 40 dependiendo el zapato. He acertado comprándome el 40. Espero que sea útil a la hora de comprar las Convers para las personas con este problema. Por lo demás muy contenta.</t>
  </si>
  <si>
    <t>Ok Todo correcto. Se sujetan perfectamente y no aprietan demasiado</t>
  </si>
  <si>
    <t>La potencia No he probado el hielo, pero para los batidos con frutas va genial!!</t>
  </si>
  <si>
    <t>Muy bonita Queda como esperaba</t>
  </si>
  <si>
    <t>Termo perfecto Aguanta el agua caliente toda la noche sin problema. Fría no hemos probado. La tenemos en la cómoda para hacer los biberones de noche sin ir a la cocina y también para la calle todo perfecto. No sé sale el agua. Lo único es que solo hay rosa y azul, como todo, rosa o azul... Pero bueno. Y que sólo cabe 500ml, teniendo mellizos se queda escaso.</t>
  </si>
  <si>
    <t>Pack de bolsas absorve olores Buscaba una solución a los malos olores de armarios y por eso decidí probar con este producto. Se trata de un pack de 6 bolsas de lino que en su interior trae carbón activo, siendo un producto completamente natural y sin tóxico. El producto no huele a nada, que era lo que yo buscaba, y he de decir que el segundo día ya se notaba que al abrir el armario no olía a cerrado o a algún olor extraño. He colocado una en cada armario de casa y estamos contentos ya que al abrirlos, ni huele mal, ni tampoco huele a ambientador artificial que era lo que nos ocurría antes. He colocado una bolsita en el maletero del coche y al subir a él se nota el ambiente menos cargado de olores. Contento con el resultado.</t>
  </si>
  <si>
    <t>Muy cómodos Le he puesto 5 estrellas porque considero que es un producto de calidad acorde a su precio.  Los cascos vienen en una funda redonda con cremallera y dura para llevar tanto en bolsos,bolsillos,etc.... además también trae unas gomas de difefente tamaño y de repuesto para acoplarse a tus oídos, también trae el cable para ser cargado, cabe destacar que se carga al 100 % en solo 2 horas y tiene una duración escuchando música de hasta 8 horas.  La primera vez que lo enciendes se empareja muy fácilmente con tu dispositivo ya sea un smartphone, tablet,.... Es muy cómodo de llevar ya que ni te enteras que los tienes puestos en las orejas, por la calle, haciendo deporte... Y además es resistente al sudor y al agua.  También sirve como manos libres si recibes una llamada puedes contestar ya que tiene incorporado micrófono,  lo he probado y el audio se oye y me oyen muy bien.  En defintiva, buen producto, estoy muy contento.</t>
  </si>
  <si>
    <t>Excelente grapadora Cuerpo metálico, color intenso pero sobrio a la vez, elegancia por su cabezal negro y un mecanismo de grapado suave pero potente. Solo puedo decir que estoy encantado con este producto que, dentro de lo que es, aporta un plus de estética y funcionalidad maravillosos. Muy satisfecho.</t>
  </si>
  <si>
    <t>Es un producto de calidad. La marca no garantiza. El precio estupendo. Nada que objetar. Es un producto de calidad. La marca no garantiza. El precio estupendo. Nada que objetar. Muy recomendable para futuros compradores.</t>
  </si>
  <si>
    <t>Pedirlo una talla superior a la tuya Pedirlo una talla mas grande... ya lo medio avisa el fabricante... en cuanto a lo demás buena relación calidad precio y estan bien</t>
  </si>
  <si>
    <t>Sonido Buen producto. Después de haber ido a la lavadora por error, siguen funcionando perfectamente.</t>
  </si>
  <si>
    <t>LA MEJOR MAYONESA DEL MUNDO EN SOLO 10 SEGUNDOS Me encanta, a la primera me ha salido genial la mayonesa. El resto nada que objetar...EL PICA VERDURAS SI SABES UTILZIARLO BIEN DA BUENOS RESULTADOS</t>
  </si>
  <si>
    <t>Super top Para deporte</t>
  </si>
  <si>
    <t>Lo fácil que se aplica Muy buen producto</t>
  </si>
  <si>
    <t>Buen producto Buen producto. Hace su función. Es compatible con el micro rodec video mic pro rycote. Recomiendo su compra aunq el producto sea caro.</t>
  </si>
  <si>
    <t>Bonita pulsera, y bonito precio Bonita pulsera, y bonito precio</t>
  </si>
  <si>
    <t>Me ha encantado! Me ha encantado tanto el diseño que es preciosísimo como todo lo demás...que venga con mando a distancia me parece genial y comodisimo la verdad!! Además es muy decorativo! Queda bien donde lo pongas!! Era un regalo para mi madre y a ella también le encantó.</t>
  </si>
  <si>
    <t>Ok Cómoda y muy apropiada para caminar</t>
  </si>
  <si>
    <t>rectifico la mala opinión que di. Hice un primer pedido de estos auriculares, muy chulos y muy cómodos para los niños (están muy acolchados). Pero se estropearon enseguida. Dejó de funcionar unos de los lados. Contacté con el vendedor explicando el problema y me enviaron otros de inmediato. Ni siquiera me pidieron devolver los primeros. Funcionan perfecto ahora (espero que duren).</t>
  </si>
  <si>
    <t>guapisimos muchísimo mas guapos al natural que en la foto. Son un detalle maravilloso para bautizo. Puedes meter dentro gominolas o caramelos y quedan muy chulos.</t>
  </si>
  <si>
    <t>Buen reloj Buen reloj.</t>
  </si>
  <si>
    <t>Cepillos para taladro electrónico Estos cepillos están muy bien para muchas cosas. Para Las llantas del coche sirven genial pero para otras muchas cosas también.</t>
  </si>
  <si>
    <t>No se corresponde el producto con la descripción Compré este producto creyendo que era de color 'negro' según descripción. Recibí el artículo en color azul como muestra la imagen. ¿Qué es lo que prima la imagen o la descripción....? Saludos</t>
  </si>
  <si>
    <t>No lo volvería a comprar.  No sale a cuenta. Se rompe la tela con mucha facilidad donde va enganchado el mando.</t>
  </si>
  <si>
    <t>TALLAJE PEQUEÑO La talla bastante más pequeña de lo indicado. La calidad muy buena. Lástima no poder pedir otra al mismo precio por haberse acabado la oferta flash</t>
  </si>
  <si>
    <t>Raro, parece mejor en la foto No lo volvería a comprar, calidad no se ajusta a lo que esperaba</t>
  </si>
  <si>
    <t>Buena compra Buena compra, facil de usar</t>
  </si>
  <si>
    <t>Relación calidad-precio muy buena Mi pretensión no era buscar un cable profesional de grandes prestaciones y precio, si no algo que, a pesar de ser económico, no me diese problemas de ruidos y encajase bien en todas las conexiones y estuviese bien hecho. Este cable cumple perfectamente las dos premisas. se ajusta a mi interfaz, a mi DI y a mi guitarra eléctrica a la perfección. El tema de ruidos no lo puedo valorar como me gustaría, puesto que, a pesar de ir como la seda en mi guitarra eléctrica, en mi guitarra acústica noto algo de ruido. No puedo asegurar que sea del cable, puesto que le cambié el previo hace poco y podría ser que no se ajustase bien. Teniendo en cuenta que no me ha dado problemas conectado a ninguna otra cosa, dudo que el problema sea del cable, pero bueno, ahí lo dejo.</t>
  </si>
  <si>
    <t>Correcto Me gusta el diseño, es bantante suave al tacto y muy comodo.</t>
  </si>
  <si>
    <t>Cumple perfectamente. Empleado en una mudanza de unas 70 cajas. Pega lo suficiente, y resiste en tracción lo suficiente. Que nadie espere una cinta super-mega-plus, porque tampoco es lo que se persigue con el producto. Lo he comprado 2 veces, lo recomiendo.</t>
  </si>
  <si>
    <t>Perfecto Encaja perfectamente esta muy bien.</t>
  </si>
  <si>
    <t>Muy bien Producto de calidad. La almohadilla para teclado un poco alta, para teclados no muy planos. La del raton muy bien</t>
  </si>
  <si>
    <t>Perfectos para el gym Estos auriculares son perfectos para el gym. Ya vi a gente llevarlos y la verdad es que son super chulos. Lo bueno del cable es que no hace falta emparejarlos y que no se te van a perder nunca, ademas no molesta para nada pues el cable va por detras de la nuca, y no se engancha. Un lujo, y ademas baratos.</t>
  </si>
  <si>
    <t>Buena compra Perfectos, tal y como se ven en las imágenes. Son finos pero fuertes, cumplen perfectamente su función. Los recomiendo para manualidades que no vayan a llevar una carga de peso importante.</t>
  </si>
  <si>
    <t>Para detalles especiales Es una caja muy bonita, el montaje requiere de tiempo pero el resultado es muy original y romántico, a mi pareja le gustó más el detalle de la caja que lo que contenía ':)</t>
  </si>
  <si>
    <t>Perfectos Son ideales para grabación de sonido en directo, que es la función que debían desempeñar cuando los compré</t>
  </si>
  <si>
    <t>Buenos auriculares No soy un experto en sonido pero sé el tipo de sonido que me gusta. La verdad es que el sonido de cualquier auricular, altavoz... varía tanto depnediendo del reproductor que no creo que sea de mucha ayuda una opinión al respecto, pero bueno... De sus graves se ha hablado mucho y de verdad que los tiene, pero no por ello sacrificael resto de los tonos. Los agudos son brillantes y cristalinos. Muy buen sonido en definitiva y los pongo por delante de los senheiser hd598 que también son unos buenos auriculares, sólo que una vez ecualizados, estos se acercan más al sonido que yo busco.</t>
  </si>
  <si>
    <t>Pandora original Es estupenda, pandora original, súper bonita y con un broche que cierra a la perfección y no se abre. Merece la pena pagar un poco más pero tienes calidad ya que es una pulsera segura... compre otra que era un poco más barata de otra marca y la tuve que devolver ya que se abría el broche y corría el riesgo de perder los charm</t>
  </si>
  <si>
    <t>Muy buena pero ruidosa Funciona muy bien pero estaría mejor si evitarán vibración para reducir ruido.</t>
  </si>
  <si>
    <t>Precioso He hecho un regalo y le ha encantado.  Muy bonito</t>
  </si>
  <si>
    <t>Me a gustado mucho, funciona genial. Es igual que el de la foto, lo único que si no vas a amasar con mucha cantidad en el bol las varillas no llegan a abajo del todo y al final acabas haciéndolo a mano como me a pasado ami.</t>
  </si>
  <si>
    <t>reloj automatico Muy buen producto, recomendado por calidad y por precio. Precioso reloj. Su mecanica similiar a otros de gama mas alta.</t>
  </si>
  <si>
    <t>Kendra Muy buena calidad son muy cómodas me encantan yo de pie ago 39 pero os recomiendo q podáis 1 número menos osea yo 38</t>
  </si>
  <si>
    <t>Perfecto oido Paquete completo, viene muy bien protegido, probando diferentes auriculares, a ver q tal</t>
  </si>
  <si>
    <t>Cómodos y útiles Son muy cómodos, no tengo las orejas muy grandes, por los he entra dentro de la espuma y no molestan si tienes que llevar gafas. Si los quieres para hacer ejercicio... No te recomendaría directamente estos, ya que los dejarás todo sudados y a lo mejor no es lo que te interesa pero, para todo lo demás, aísla bastante el sonido del exterior cuando está reproduciendo algo. Hablando de batería, puedes estar más de un día usándolo de seguido con el bluetooth</t>
  </si>
  <si>
    <t>Set perfecto El set es perfecto y mucho más barato que en otros sitios. En mi caso, comprando una tetina a mayores ha sido suficiente para tener un buen pack para sacarme leche e irla almacenando; y coincidir dando bibe al niño porque siempre hay biberones de sobra</t>
  </si>
  <si>
    <t>E Buena calidad</t>
  </si>
  <si>
    <t>Queda per Sujeción perfecta</t>
  </si>
  <si>
    <t>Realmente buenos! Son los segundos que tengo para uso exclusivo de entrenamientos. Los primeros me han durado dos años de intenso entrene, y solo se soltaron de la estructura y siguen funcionando. El sonido para mi, está bastante equilibrado entre los agudos y los graves dando notable calidad de sonido. La batería fácilmente me aguanta los 5 días de la semana de duros entrenamientos. Contento con la compra. Por eso repetí! Un saludo</t>
  </si>
  <si>
    <t>Buenas fundas muy transparentes No son las más baratas que he visto, pero parecen de buena calidad y son muy transparentes.</t>
  </si>
  <si>
    <t>Me bloquea el explorer Hola a todos, compre uno y al transferirle datos se quedaba pillado y no terminaba de pasar los datos, aparte de que iba muy lento (tengo usb 3.0) y me dejaba el pc tonto. lo devolvi y pedi otro creyendo que me llego uno defectuoso. El segundo hace amagos como el primero pero bueno por lo menos en la mayoria de los casos me dejo transferirle datos aunque la velocidad es aleatoria. Como el uso que le voy a dar no es diario no lo devolvi pero me falto poco. En resumen no se si me toco la remesa mala de Verbatim pero no lo recomiendo. 1 saludo</t>
  </si>
  <si>
    <t>Talla grande Es muy grande según mi talla de resto esta  muy bien</t>
  </si>
  <si>
    <t>sin precinto Hola. El paquete vino sin envoltorio y con el precinto abierto</t>
  </si>
  <si>
    <t>Regalo original El colgante a simple vista,es original,pero  por el precio,creo que es igual de sencillo Y frágil  que uno de 12€.. Cuesta ver las letras y la cadena se rompió al poco de tenerla colgada. No la cambie porque desde que la compre asta que la regalé,paso un amplio margen de tiempo. Cuando la recibí,sólo abrí la caja para ver como era,y nisiquiera la llegue a sacar de la caja porque viene muy bien presentada y no quería removerlo mucho.  Repito que como regalo es muy original!</t>
  </si>
  <si>
    <t>Calidad mala en su interior Ni un año de uso y tienen ya 1  agujero en cada uno de los pies y tengo 5 modelos. No se si cada vez la calidad es peor pero deberían reforzar las punteras por la parte interna. Otras vans adquiridas este año presentan ya desgaste por el interior y las pongo con calcetin. O los productos que vende Amazon no son 100% calidad Vans o no entiendo ese desgaste</t>
  </si>
  <si>
    <t>Portátil "rejuvenecido" Ha mejorado mucho (x8) la lectura/escritura respecto al HDD original y la velocidad de proceso en un portátil Acer con i5. Una actualización muy recomendable si el ordenador lo permite.</t>
  </si>
  <si>
    <t>Era lo esperado Era lo que esperaba. Lo utilicé para reparar el suelo de una tienda de campaña y  tarea superada. Ahora falta ver lo que dura.</t>
  </si>
  <si>
    <t>Preciosa Son una maravilla, me la puse hoy y son una maravilla, espero que sean duraderas porque me encanta y mira que tenía miedo que fuera un material malo, pero es igual que en la foto y muy cómodas lo recomiendo</t>
  </si>
  <si>
    <t>Es un cable y funciona Si buscas un cable Canon-canon este cumple con todos los requisitos. Los he visto mejor acabados pero eso no quiere decir que los de este sean malos.  Lo tengo un mes y por ahora no se me ha roto, aunque tampoco le doy mucho tute.  Nada negativo que decir, lo recomiendo.</t>
  </si>
  <si>
    <t>Producto de buena calidad Buena relación calidad/precio. Producto con buena carcasa rígida, sensación de buena calidad. Lo único mejorable es el patín corredero de regulación de la zona de corte, que es de plástico.</t>
  </si>
  <si>
    <t>Cómoda y ligera Ha sido un acierto comprando esta pulsera, ya que la utilizo en cada momento, para hacer cualquier tipo de deporte solo tengo que cambiar en modo en la pantalla acuerdo al ejercicio que quiera realizar , lo que no me gustó esque lo demás modos tienes que incorporarlos desde la aplicación , ya que solo admite 3 modos como máximo en la pulsera .</t>
  </si>
  <si>
    <t>Todo correcto para clases esporadixas compre una talla más y todo genial. Él zapato tiene muy buena relación precio cálidas para una clase semanal de flamenco</t>
  </si>
  <si>
    <t>Encantado con ella. No hay mucho más que decir de una tarjeta de memoria. Pero en el poco tiempo que la tengo la he usado bastante y estoy muy contento.  Ni un solo error y problema me ha dado.  Recomendable!</t>
  </si>
  <si>
    <t>Cascos sencillos a buen precio Son unos cascos de buena calidad a un buen precio. Lo mejor la clavija que trae que puede conectarse perfectamente a un telefono o tablet sin necesidad de quitar la funda. No como pasa con otros auriculares que la clavija es grande. A mejorar, el usar un unico cable de un auricular en lugar de los dos.</t>
  </si>
  <si>
    <t>Funciona perfectamente Coincide con descripcoon</t>
  </si>
  <si>
    <t>Muy útil para extracción exclusiva Los botes me han venido genial ya que hacemos LME pero con biberón y es muy cómodo extraer y dar directamente pero la tetina calma me ha decepcionado... mi bebé sacaba tanta leche de ahí que se ahogaba... además de que tragaba mogollón de aire con sus consecuencias así que dejamos de usarla por otro tipo de biberón que nos va mejor,.. pero los botecito d los uso a diario y es lo que me llevo cuando vamos a la calle.</t>
  </si>
  <si>
    <t>Nada Para Los niños</t>
  </si>
  <si>
    <t>Me encantan Me encanta el modelo de Adidas Superstar y tenía entre ceja y ceja estas azules. Son muy cómodas y quedan muy bien con los típicos vaqueros. Calzo un 43 y el 43 1/3 de adidas me va perfecto.</t>
  </si>
  <si>
    <t>Práctico Es muy cómodo y funcional, se adapta perfectamente al cuerpo.</t>
  </si>
  <si>
    <t>Perfecta. Comprada para la gopro hero 4 y funciona perfectamente. En un vídeo me dio error de lectura, desconozco si fue culpa de la tarjeta o de la cámara pero el 99% de los otros vídeos se ven sin fallos. La transferencia de datos al ordenador es bastante rápida y la relación calidad/precio es inmejorable teniendo do en cuenta la cantidad de gigas que ofrece. Contento con  la compra.</t>
  </si>
  <si>
    <t>Eficiente Rápido y eficiente</t>
  </si>
  <si>
    <t>Álvaro G's Muy buen embalaje y rápido. Estas zapatillas son muy sencillas pero resistentes, no huele a goma barata, precio-calidad estan muy bien, merece la pena comprarselas👍,Eso si hay que pedirse una talla mas pequeña porque esta marca suele hacerlas más grandes, yo uso un 41.5,me pedí el 41 porque no se podía ese medio y me van de lujo.</t>
  </si>
  <si>
    <t>Super util y recomendable Me ha gustado mucho por diseño y sus 3 tipos de conectores, la capacidad es la adecuada y la manera que lo puedes colgar es un pen lleva todo lo que ahora mismo necesito, sin necesidad de usar más adaptadores.</t>
  </si>
  <si>
    <t>Gran acierto esta compra !! He comprado el de 64Gb, una vez formateado ya te deja aprovechar al máximo su capacidad, a diferencia de otros productos (que los devolví por ser endebles), este es robusto, tiene dos tapas para las ranuras del iPad y PC. Funciona genial y el servicio de Att de 10!! Rápidos y muy atentos. Recomiendo totalmente su compra. Mucho mejor que otros algo más baratos. Acertáis con este!!</t>
  </si>
  <si>
    <t>PERFECTO RECOMENDABLE</t>
  </si>
  <si>
    <t>Perfecto Perfecto tal cual como esperaba</t>
  </si>
  <si>
    <t>Cómodos. Perfectos.</t>
  </si>
  <si>
    <t>Rápido envio Rápido envío, llego antes de lo previsto.buena calidad.</t>
  </si>
  <si>
    <t>Muy decepcionado Soy consumidor de Roomba. Tenía un 520, me costó 700€ hace casi 10 años. Se gastaron los engranajes y ya fallaba en tema de sensores de ruedas de vez en cuando. De éste, me sorprendió su velocidad y nivel sonoro, mucho mejor que el que tenia. Destacar primero que sólo es un robot barredor, ya que no tiene aspiración inferior y sólo aspira a través de los cepillos.( Ojo con los recambios pues, ya que necesita unos cepillos especiales que incorporan unos plásticos seccionadores que ayuden a asegurar la succión ) No es programable, hay que estar presente cuando limpia. Las comparaciones son odiosas pero este equipo no tiene asa, gran ayuda para trasladarlo de sitio. Tampoco tiene detector de suciedad, ni por ruido ni por volumétrico. A la media hora de funcionamiento, y a está buscando la base para cargar. La velocidad también es un problema, ya que se queda a veces clavado en las escaleras antes de caer ( no le da tiempo a frenar i la inèrcia lo deja caer de la rueda delantera) y tampoco recoge bien la suciedad gruesa, migas de pan, etc.. supongo que también por lo mismo, va demasiado rápido. Desconozco el tipo de engranajes que lleva en los cepillos, hay mejora a nivel sonoro pero cuando para, se oye un golpe seco, ya que tiene un cuarto de vuelta que los cepillos van libres. No creo que sea bueno a largo plazo. Más "tozudo" que su viejo compañero, el antiguo, cuando veía un desnivel imposible, intentaba un poco i se daba por vencido e iva a otra cosa, éste,  insiste hasta que se queda clavado i bloquea. Un poco más pequeño que el 520, creo que es la razón de que no puede salvar un desnivel de 1,5 cm de cambio de suelo a parquet, que el otro si podía sin dificultad. No deja de ser un Roomba, garantía de durabilidad y calidad de sus componentes, como  la facilidad de encontrar recambios. Tenía una gran confianza en la marca con mi experiencia anterior, pero hice una mala compra. Por el mismo precio hay otras marcas con filtros mejores, más sensores incluso con lámparas UVA. Creo que bajar calidad para competir con marcas más baratas no es el camino. ______________________________________________ Dos semanas despues:  Al tener escaleras, no puedo dejarlo solo; no se cae escaleras abajo pero se queda encallado. Si lo pongo en la posición anterior, continúa,  si no, error 6 y se queda bloqueado. Respecto a que no limpia correcarente, he investigado un poco más: como se puede apreciar en las fotos, el rodillo central no toca el suelo! Queda 2mm separado. La escobilla delantera tampoco, o sólo la punta. Imposible que limpie bien, al menos no se gastarán los cepillos. A mi pesar, lo devuelvo y compraré de otra marca a igual precio y mejores prestaciones.</t>
  </si>
  <si>
    <t>Modelo bonito, problemas logisticas Inicialmente los primeros que me llegaron estaban rotos, pedi el remplazo y todo bien. Apesar de la espera, el modelo queda muy bonito!</t>
  </si>
  <si>
    <t>Auriculares bluetooth muy baratos No son comparables con otros de 30 o 40 euros, pero son bastante aceptables para lo barato que son.</t>
  </si>
  <si>
    <t>Buena pizarra pero mal sistema de sujección a la pared Buena pizarra magnética a precio ajustado. El único pero es el sistema de sujección a la pared, lleva 2 ganchos en la parte superior pero la parte de abajo queda suelta por lo que al coger el borrador magnético algunas veces te traes también la pizarra. En algunas opiniones y respuestas a preguntas se indicaba que se podía sujetar con tornillos en las 4 esquinas, pero éste es el modelo nuevo y yo por lo menos no he visto que se puedan quitar las tapas de las esquinas para sujetarla mejor.</t>
  </si>
  <si>
    <t>El sistema de cable y micrófono de solapa es HORRIBLE Compré 6 micrófonos hace menos de 1 año, los tratamos con sumo cuidado y 3 de los cables que conectan el micrófono al emisor no funcionan correctamente. Mucho ruido y mala conexión. No los recomiendo.</t>
  </si>
  <si>
    <t>Malo La pinza se partió nada más usarla por primera vez.</t>
  </si>
  <si>
    <t>Buena relación calidad precio, Un producto adecuado al precio que tiene. La única pega es que con Android no sólo funciona para llamadas telefónicas. No se conecta como dispositivo de audio con el que poder escuchar audio. Esto lo solucioné con un software de BTMono para Android.</t>
  </si>
  <si>
    <t>Bien Son iguales a la de la foto, quedan bien y son muy cómodas. Las tallas son diferentes, creo pequenas, por lo que hay que pedir un número más.</t>
  </si>
  <si>
    <t>Correcta Se ve muy sencillita, pero por el precio está muy bien.</t>
  </si>
  <si>
    <t>Le ha gustado A la persona que se lo hemos regalado le ha gustado mucho. Es bonito.</t>
  </si>
  <si>
    <t>Efectivo Lo usé para probar un poco en el brazo.. y me duró toda la santa noche.. y eso que me puse un poquito de la tapa que sobraba.. hace su cometido, lo compré para mí madre que tiene fibromialgia, a ella le fue de momento muy bien... Pero cuidado, untar con moderación.</t>
  </si>
  <si>
    <t>bonito muy bonito!!</t>
  </si>
  <si>
    <t>Bueno Funcional y esta acorde a su precio</t>
  </si>
  <si>
    <t>Pendrive A falta de probar tiene muy buena pinta, dejaré comentarios adicionales cuando haga pruebas con el en mi televisión como almacenaje de películas.</t>
  </si>
  <si>
    <t>Carlos Pérez Muy buen producto y calidad precio inmejorable, lo único malo, por poner un pero es el ruido que hacen. Entrega en un día y no han dado problemas</t>
  </si>
  <si>
    <t>Comodidad..ligero.perfecto para correr Perfecto.vo</t>
  </si>
  <si>
    <t>Es plata Perfecto , igual al anuncio ya tengo la tobillera igual es plata finita pero queda muy bonita,envío rápido 👍</t>
  </si>
  <si>
    <t>Cómodos y buen sonido Me llamó la atencioln su precio, y una vez que los he probado, sólo puedo decir que son bastante buenos.  Los auriculares se conectan vía bluetooth y son muy fáciles de utilizar, y su tamaño es perfecto para llevarlos en cualquier lado.  Cabe destacar el sonido, sin duda es muy bueno. Y otro aspecto a tener en cuenta es la comodidad, ya que se acopla perfectamente y hace que se escuche muy bien.</t>
  </si>
  <si>
    <t>Todo un acierto A la peque le ha encantado. Es muy fácil de usar. Va cambiando de colores sólo y puedes decidir la sintonía de alarma eligiendo entre música y sonidos naturales como olas o pájaros (sonidos geniales para que los niños se despierten sin mucho sobresalto). La carita de oso es todo un acierto pues lo diferencia de otros despertadores. También va cambiando según sea la hora de dormir o jugar :) Además incluye el cable de carga, cosa que prefiero a las pilas para no tener que estar continuamente comprando nuevas.</t>
  </si>
  <si>
    <t>Muy bonito y perfecto Todo perfecto,mis zapataos preferidos. ahora medio año de usar mis zapatos todovia como nueva,lavas en lavadora y,secas y pon. es para comprar mas de ellos</t>
  </si>
  <si>
    <t>Excelente acústica La calidad del sonido es muy buena. Se conecta al bluetooth con mucha facilidad. Yo los uso para el trabajo y para el gimnasio y me van súper bien. La batería aguanta muchísimo. Muy buena compra. Recomendables.</t>
  </si>
  <si>
    <t>Fácil de usar Tiene la capacidad justa para una pequeña reunión. Cómoda y manejable. Lo mejor: el diseño con la base eléctrica independiente.</t>
  </si>
  <si>
    <t>Encantado. Estoy encantado, facil de configurar, aspira de maravilla. Lo tenemos conectado a google gome y funciona perfectamente con la voz..despues de 3 meses de uso no tengo ninguna pega.</t>
  </si>
  <si>
    <t>La relación calidad precio no está mal Me gusta el diseño la funcionalidad, le cuesta batir si no tiene líquido de fondo, para el gazpacho no le echaba agua solo las hortalizas, pero con ella si no le pongo un poco de agua no lo bate</t>
  </si>
  <si>
    <t>Casio analógico barato y que funciona muy bien. Estamos ante el Casio F-91W de los analógicos es un reloj sencillo sin más pretensiones que cumple bien y a muy buen precio, lo tengo casi un año y va muy bien de hora para su precio. Pesa poco y su correa es muy bonita así como su diseño.</t>
  </si>
  <si>
    <t>Mejor de lo esperado Muy bueno. Mejor de lo que espeba.</t>
  </si>
  <si>
    <t>Buen producto Como todo lo que hemos comprado de avent, una maravilla</t>
  </si>
  <si>
    <t>Reloj digital Casio Ligero, sencillo y con la fiabilidad de Casio. Es un buen reloj porque es ligero y cómodo. Algo pequeño para quien le guste los relojes robustos. Es versátil porque lo mismo vale para adultos , qué para niños. Lo recomiendo y sobretodo por su calidad/ precio.</t>
  </si>
  <si>
    <t>No es lo que esperaba La pude utilizar una semana hasta q dio conflictos de detección, mala calidad en mov y pc</t>
  </si>
  <si>
    <t>Bien Auriculares cómodos, aunque la calidad del sonido se podría mejorar mucho.</t>
  </si>
  <si>
    <t>Defectuoso Producto defectuoso. Ya se ha deteriorado y está inservible</t>
  </si>
  <si>
    <t>Pierde agua, y mucha... Pierde muchísima agua y tenía toda la pinta de ser un producto que ya habían intentado "colar" antes. No parecía nuevo... La devolución con Amazon muy cómoda y rápida eso sí</t>
  </si>
  <si>
    <t>Portátil, potente y y fácil de usar La compramos para llevar en nuestra furgoneta camper y poder desayunar batidos de frutas. La batería dura bastante y la batidora tiene potencia suficiente para triturar mucha fruta, nosotros solíamos juntar plátano con arándanos y proteína de chocolate y nunca dio un fallo. A veces conviene empezar a batir con la batidora invertida, de modo que la hélice esté libre, y luego girarla para que la fruta caiga sobre las aspas ya en marcha. De lo contrario puede no tener fuerza para arrancar, pero no es por falta de potencia porque de este modo acaba triturando.</t>
  </si>
  <si>
    <t>Bonitas y cómodas Muy bonitas chanclas. El arco o parte de arriba es un poco ajustada. Lo justo. Pero hay que tenerlo en cuenta. Yo soy 45 y pedí unas 46. Por lo demás son muy cómodas.</t>
  </si>
  <si>
    <t>Llego bien Me esperaba un poco más abrigada,es muy fina</t>
  </si>
  <si>
    <t>Aceptables La persona quedó encantada con ellos, sin de buen tamaño para él lóbulo, calidad-precio adecuada, con buen brillo que esperemos no se vaya demasiado con el tiempo</t>
  </si>
  <si>
    <t>Conforme con la calidad/precio. He comprado la oferta del iRobot Roomba 615 y hasta ahora, después de una carga de varias horas ha hecho una limpieza que considero normal pero no vuelve a la base. ¿Alguien me puede decir para que sirven los botones que lleva la maquina "SPOT" y "DOCK"? No encuentro en su manual de la serie 600 para que sirven. De momento y en principio recién utilizada me parece buena maquina. Gracias</t>
  </si>
  <si>
    <t>Un reloj muy bonito, a muy buen precio Llevaba un tiempo con muchas ganas de tener este reloj pero siempre que buscaba, no había stock, (refiriéndome a tiendas físicas) me animé a buscar y a pillármelo por internet, en este caso aquí en Amazon, y no me arrepiento para nada de la compra. 33 euros en el momento que yo lo compré, original 100% y un día antes de lo previsto entregado. ¿Qué más se puede pedir? bueno, quizás que este casio te haga el desayuno por las mañanas pero me da que eso ya va a ser más complicado de que ocurra, xD. Recomiendo encarecidamente su compra, más aún si te gusta el estilo retro que caracteriza a este reloj, que en lo personal, a mi me encanta.</t>
  </si>
  <si>
    <t>Buena compra. Bonita,se nota la calidad.</t>
  </si>
  <si>
    <t>Buenos auriculares Buena relacion calidad precio. Cumplen por el precio que tienen. Son cómodos pesan poco.</t>
  </si>
  <si>
    <t>Recomendado! Muy buen producto, de buena calidad, funciona corrextamente, aspecto muy bueno, y de facil usar.</t>
  </si>
  <si>
    <t>Puma Como en la descripción gracias Muy buena gracias</t>
  </si>
  <si>
    <t>Es un reloj muy original &lt;div id="video-block-RQN8403N7ZFSL"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src="https://images-eu.ssl-images-amazon.com/images/I/B1RUzehMTNS.mp4" style="position: absolute; left: 0px; top: 0px; overflow: hidden; height: 1px; width: 1px;"&gt;&lt;/video&gt;&lt;/div&gt;&lt;div id="airy-slate-preload" style="background-color: rgb(0, 0, 0); background-image: url(&amp;quot;https://images-eu.ssl-images-amazon.com/images/I/81b6Mf3HV4S.png&amp;quot;);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value="https://images-eu.ssl-images-amazon.com/images/I/B1RUzehMTNS.mp4" class="video-url"&gt;&lt;input type="hidden" name="" value="https://images-eu.ssl-images-amazon.com/images/I/81b6Mf3HV4S.png" class="video-slate-img-url"&gt;&amp;nbsp;Es un despertador muy apropiado para niños , tiene una alarma para despertarlos que media hora antes se va encendiendo las luces y otra para avisarlos para la hora de dormir. Tiene tres sonidos suaves y otros tres mas fuertes. Es muy bonito y original. Recomendado 100%. Como regalo es muy original</t>
  </si>
  <si>
    <t>Adaptación y sonido geniales. Le he regalado a mi mujer estos cascos bluetooth para que haga deporte, ya que siempre ha usado con cable y era muy reacia a este tipo de dispositivo porque pensaba que se escucharían peor o que se le caería cada dos por tres de las orejas... Y ahora ya no se los quita para nada. Estos en concreto se adaptan a las orejas muy bien y ademas tienen un sonido genial. No son nada molestos ya que el sistema de sujeción que usa es muy natural y son muy fáciles de emparejar. Una gran compra.</t>
  </si>
  <si>
    <t>Robusto y buena calidad precio Pues me dejé guiar por las buenas opiniones y al final ha sido un triunfazo!! a todos en casa les ha encantado. Fácil de instalar. Todo en él es metálico lo que le da robustez. He probado un poco el sonido y bueno no hay color de grabar con este micrófono a uno de auriculares que usaba antes, lo que si aconsejo que no lo pongais muy cerca de la torre del ordenador y más si es antigua porque por muy bueno que sea el micro milagros no hace jeje Viene con un usb que por ejemplo yo lo usaré para ponerlo en el portatil y poder conectarle el microfono y unos auriculares y así poder editar con él.</t>
  </si>
  <si>
    <t>La comodidad Es muy cómodo y sienta bien que es lo que buscaba</t>
  </si>
  <si>
    <t>Cómodo de usar y a buen precio. Un clásico en todas las oficinas. Funciona bien y su precio es más que razonable. Viene solo el dispensador, no se incluye la cinta.</t>
  </si>
  <si>
    <t>Muy bueno En el manual pone que si te registras en la que te amplian a 5 años de garantia y solo me dan 2, por lo demas magnifico</t>
  </si>
  <si>
    <t>Buena relación calidad precio El producto llego correctamente en estado y tiempo, frasco de cristal.  producto 100% Puro y Natural, Buena relación calidad precio, lo volveré a comprar.</t>
  </si>
  <si>
    <t>👍 Unas 577 nunca fallan.</t>
  </si>
  <si>
    <t>comodidad muy cómodas</t>
  </si>
  <si>
    <t>Práctica Muy práctica</t>
  </si>
  <si>
    <t>Es el mejor Es el mejor</t>
  </si>
  <si>
    <t>Perfecto Perfecto, ningún fallo. Pesa poco, bonito, simple y funcional. Aspecto de G shock. Tamaño ideal, ni chico ni grande. Estupendo</t>
  </si>
  <si>
    <t>Geniales para tener intimidad A  menudo cuando veía porno en casa, mis vecinos solían llamarme la atención. Resultaba ser algo molesto tener que abrir la puerta con la paja a medias. Estos cascos me han venido perfecto para tener esa intimidad que tanto necesitaba. Incluso ahora puedo ver porno en el movil.</t>
  </si>
  <si>
    <t>Buena Se recomienda coger una talla más. Es de buena calidad.</t>
  </si>
  <si>
    <t>Flojo Bueno no me gustó el aroma a vainilla y madera, me parece demasiado flojo incluso poniendo mas de la cuenta, apenas se nota en el ambiente y no se si es la máquina o el propio aroma.</t>
  </si>
  <si>
    <t>pequeña vienen mas pequeñas .leimos en los comentarios que venian grandes y cogimos una menos .pero ahora queda pequeña</t>
  </si>
  <si>
    <t>Chanclas de lo más normal Chanclas de lo más normal. La talla es un poco más pequeña de lo q pone. Buen acabado. Por el precio está bien.</t>
  </si>
  <si>
    <t>Obsolescencia programada con la batería. Logitech, no suministra batería cuando se estropea o se agote. La batería tiene una vida limitada y Logitech, ha decidido que cuando no tengas batería, tires el mando. Muy caro para esta situación. Así que o le sacas mucho partido mientras dure la batería o te quedarás sin mando en unos pocos años (2 a 4 años). Decidí devolver el mando porque no lo quiero en esas condiciones. Quiero un mando que dure mucho tiempo y que pueda reponer la batería cuando quiera. No recomiendo este mando si quieres que te dure. Si lo quieres para un año o dos, puedes comprarlo.</t>
  </si>
  <si>
    <t>Sonido decepcionante para ser AKG El sonido es decepcionante. Esperaba mas de una marca como AKG. El sonido es enlatado y muy poco natural. No lo recomiendo en absoluto.</t>
  </si>
  <si>
    <t>Muy recomendable Calienta rápido. La meto en un cubo de agua y en cuestion de 10 minutos el baño parece una sauna Ademas el mango tiene una protuberancia para engancharla en el cubo y que no lo toque.</t>
  </si>
  <si>
    <t>Bonitas y un pelín grandes La chancla es muy bonita y ligera. Aunque queda algo grande, sobre todo en anchura . El ancho de la horma es bastante y la cinta de arriba no toca con firmeza el empeine. En zapatillas de deporte calzo un 43,1/3 o 43,5 con calcetín grueso. Aquí he pedido un 43 y me están un poco grandes. Adjunto foto.  He comprado otras, esta vez un 42, y el 43 lo he regalado. Hay mucha diferencia en tamaño con la 43. La 42 me estaba muy justa, pero con el tiempo ha ido cediendo... Es como si, del peso,  la suela fuera expandiendo. Son comodisimas. Las recomiendo 100%.</t>
  </si>
  <si>
    <t>Ideal Sí muy bien para el deporte</t>
  </si>
  <si>
    <t>Calidad/Precio de 10 El producto en sí no está nada mañ. Sirve perfectamente para grabar podcast y pequeñas maquetas acusticas con guitarra. Lo único malo, serí aque los grabes de la vez de un bajo no los pilla muy bien, y en mi caso, es un gran problema. Por el resto, perfecto y recomendado. P.D. El tranformador de coriente de la NW-100 hace ruido al dejarlo conectado aunque la caja de phantom esté apagada.</t>
  </si>
  <si>
    <t>Calidad de sonido genial Nos ha encantado el producto, el sonido sobrepasa nuestras expectativas. Bien con dos micrófonos, uno inalámbrico y el otro con cable. Aunque el manejo es algo confuso, a la hora de equilibrar el sonido de la música con el de los micrófonos, finalmente conseguimos equilibrarlo todo para su uso como karaoke. Muy buen producto.</t>
  </si>
  <si>
    <t>Contento Simplemente es un reloj ligero, cómodo y con cierto estilo. Buena relación calidad precio. Lo he metido en la piscina un par de veces y sin problemas.</t>
  </si>
  <si>
    <t>Marcos75 He tenido varias marcas y Seagate para mi es la mejor, fabricante de toda la vida de discos duros. Instalar en un minuto y funciona a las mil maravillas, rápido y muy fiable tengo uno hace 5 años dándole caña por tanto 10.</t>
  </si>
  <si>
    <t>Lo mejor a menos de 40 rupias Por menos de 40€ No hay marca más confiable. Mi pc (recién formateado con Windows 10) va pasado de encender con el HDD de 30 segundos a hacerlo con el ssd en unos 8-10 seg. Además que todo va más fluido y rapido.</t>
  </si>
  <si>
    <t>Genial No los conseguía en ningún lado y estos fueron buenos, bonitos y baratos</t>
  </si>
  <si>
    <t>No viene con Ableton Live Lite En la descripción pone que viene con Ableton Live Lite. No es verdad, hay que descargarlo de internet. No estaría de más que viniese con un disco de instalación. En lo referente al teclado, estoy muy contento de haber realizado esta compra. Es resistente y muy funcional. Se merece un SOBRESALIENTE.</t>
  </si>
  <si>
    <t>Muy ligeros, muy bonitos Son muy bonitos y no pesan nada. Llegaron perfectos y en tiempo.</t>
  </si>
  <si>
    <t>Bonito diseño con una perfecta relación calidad precio Buen equilibrio de pesos, buenas ventosas, no se mueve al funcionar. Aspecto premium, buen diseño. Perfecta en relación calidad precio.</t>
  </si>
  <si>
    <t>Perfecto Esto es genial, en mi casa somos muy cafeteros y esto es lo ideal. Ya tenemos separado las capsulas de infusiones, descafeinados, cafes... Etc</t>
  </si>
  <si>
    <t>Fijacion perfecta e invisible Perfecto para pegar y fijar cuadros de peso ligero en las paredes lisas con perlita. Espero que aguante pero por ahora va genial y encima como es transparente ni si nota</t>
  </si>
  <si>
    <t>Ideal para ambientar una estancia Fácil de usar, genera un buen ambiente siempre que se use correctamente. Llenad el depósito y poner las gotas recomendadas por el fabricante de la esencia y ajustar al gusto. Cambiar el agua cada dos días si no se ha gastado el depósito, sino la esencia y el agua tiende a descomponerse y huele mal. Tampoco añadir más gotas si se deja de sentir el olor, es lo normal, nos acostumbramos a él y lo dejamos de oler pero sigue funcionando.  No poner más gotas si hemos gastado parte del agua, ya que genera mal olor.  Limpiar bien bien si vamos a cambiar la esencia, sino se mezclará y puede dar un olor raro.</t>
  </si>
  <si>
    <t>Perfecto Genial, superligeras y cómodas, ideales para running</t>
  </si>
  <si>
    <t>Expetaculares Preciosas,  el precio genial, más el prime day una ganga</t>
  </si>
  <si>
    <t>Me encantan Sientan muy bien en la oreja y la calidad de sonido esta muy bien. La carga es muy rapida y la bateria dura bastante. Lo recomiendo.</t>
  </si>
  <si>
    <t>CUMPLEN SU FUNCIÓN Buena relación calidad precio, volveré a comprarlas.</t>
  </si>
  <si>
    <t>Bonitas y muy cómodas Comodísima, se me ajustan perfectamente a los pies y noto como me sujeta firmemente el tobillo, cosa importante cuando hablamos de deportes como el atletismo o el running. Además transpiran bastante lo que es de agradecer. Y el precio inmejorable. Me encantan.</t>
  </si>
  <si>
    <t>Robot aspirador Rowenta Ha sido un regalo perfecto. Aspira muy bien, el fregado lo realiza con la mopa y el agua en principio parecía muy escaso, pero es lo justo para dejar el suelo fenomenal, nunca pensé que me iba a quitar tanto trabajo. Estoy encantada.</t>
  </si>
  <si>
    <t>Geniales Genial! Son las originales pero a un imprecio increible!! Vale realmente la pena comprarlas por internet ya que el descuento que tienen no se parece nada al de las tiendas! Esperemos que duren bastante!</t>
  </si>
  <si>
    <t>Limpia muy bien Hay que tener cuidado a la hora de quitar el plástico protector y no retirar más qeu lo necesario para frotar con los pelos, si le quitas demasiado se pueden soltar. Limpiar, limpia de manera sorprendentemente excelente.</t>
  </si>
  <si>
    <t>Bien pero ... Es pequeño y el tema de la luz está bien, lo malo es que viene con sistema de archivo, exFAT (predeterminado) y NTFS, nada de FAT32, al menos en el que yo he recibido. Lo malo es que ya no puedo devolverlo por romper el envoltorio para abrirlo.</t>
  </si>
  <si>
    <t>No lo que esperaba Me da problemas en el móvil</t>
  </si>
  <si>
    <t>Sencillas Son lo que esperaba, y les hubiera dado una estrella mas sino viniese una con la cremallera mal puesta y no se puede cerrar del todo. Cogí un numero mas por las recomendaciones leidas y acerté.</t>
  </si>
  <si>
    <t>Una vergüenza La pantalla me ha llegado rallada.... Una vergüenza por el precio que tiene</t>
  </si>
  <si>
    <t>Es Vinagre No merece comprar este producto. Es vinagre de 0.4 grados. Mejor comprar una marca blanca de vinagre blanco de 0.4 grados ya que va hacer lo mismo.</t>
  </si>
  <si>
    <t>No ay parecido ninguno No se parece nada al pantalón de la fotografía.</t>
  </si>
  <si>
    <t>Calidad en un buen tamaño Me compré este hervidor para el trabajo, para tener agua para el té o la infusión. Lo usamos dos personas y bien, da para 3-4 tazas.  La calidad del producto es buena, se ve robusto y los acabados también son buenos. Tiene un filtro en la boquilla, supongo que por si quieres infusionar lo que sea dentro directamente. Este filtro se desmonta fácilmente para limpiarlo.  La limpieza es sencilla y cómoda gracias a que se abre toda la tapa y cabe la mano.  El tamaño es ideal para no tener un armatoste ahí en la mesa, lleva un cable que se recoge en la propia base para que ocupe lo justo, y el funcionamiento es sencillo a más no poder, con una palanquita para encender y apagar.  Calienta el agua muy rápido, no tarda ni un minuto, y tiene un medidor para ver cuánto le estás echando.  La única pega que le encuentro es el ruido. No es que sea insoportable, pero se escucha bastante, y más en la oficina cuando estamos todos calladitos, así que la uso o a primera hora o cuando hay más barullo porque si no me da vergüenza.  Pero muy contenta con la compra, es bueno y cuqui, a ver si no me lo quitan los de prevención de riesgos laborales.</t>
  </si>
  <si>
    <t>Bueno Todo bien</t>
  </si>
  <si>
    <t>Excelente opcion de acceso a Gshock Buena relación calidad precio.  Excelente opción para el acceso a Gshock.  Iluminación correcta para consultar la hora por la noche, pero sólo verás las agujas.  Mejoraría en tacto de los botones.  No doy 5 estrellas por que hubo que pedir reposición al no venir con pila.  En menos de 24 horas quedo solucionado con el nuevo pedido en mi casa.</t>
  </si>
  <si>
    <t>Buena compra Elegí estas, que eran las más caras, porque tenía muchísimos papeles que archivar y prefería comprar algo de más calidad. La calidad del material es muy buena (son firmes, no se doblan facilmente) aunque están ligeramente opacas, como si tuviesen polvo, no son 100% transparentes pero no me importa demasiado.</t>
  </si>
  <si>
    <t>cómodo y manejable es muy manejable y limpia fenomenal los restos de las cuchillas</t>
  </si>
  <si>
    <t>Gran compra! Venía bien embalado,  es precioso, enfría a su punto perfecto la cerveza y no echa demasiada espuma si saber tirar cerveza.  Una gran compra.</t>
  </si>
  <si>
    <t>Bonitas y cómodas. Talla correcta. Comodísimos y muy bonitas.Buen lavado. Las recomiendo.</t>
  </si>
  <si>
    <t>No resbala Trabajo en una cocina y no resbala que es lo que buscaba. Son bastante comodos</t>
  </si>
  <si>
    <t>Juan Carlos Me encantan , tenia la duda sobre si eran o no originales pero si , son originales , tal vez tenía que haber cogido el 41 , da mucha talla , bueno para la próxima vez</t>
  </si>
  <si>
    <t>Lee a unos 31Mb/s y escribe a 11Mb/s. Estandar clase 10 Es una tarjeta de clase 10 UHS-I, y cumple con los estándares que se le exige. No tiene errores de escritura/lectura desde que la compré, y de esto hace ya un tiempo largo, asi que no se le puede pedir más.  La marca siempre ha sido al menos, fiable desde que la conozco y no se le puede poner ninguna objeción. Lo que describe, es lo que da.  Perfecta aunque a día de hoy, hay otras opciones de compra mejor posicionadas.  Saludos,</t>
  </si>
  <si>
    <t>Perfecto Genial la verdad</t>
  </si>
  <si>
    <t>Xuji este batidora es muy bueno para casas , maquina es muy fuerte para usar lo qué quieras ,usar fácil y limpia fácil.</t>
  </si>
  <si>
    <t>Resistente !! Resistente !! Era para una mudanza y no se ha despegado ni una caja !!</t>
  </si>
  <si>
    <t>Pequeño y práctico Es más pequeño que otro que tenía de la misma capacidad y me gusta más y lo que más me gusta es el mando a distancia,lo tengo en una repisa lejos de la mesilla y el mando funciona estupendamente y además ,aunque esté apagado, puedo utilizarlo solo la luz cuando me levanto a medianoche sin molestar a mi pareja</t>
  </si>
  <si>
    <t>Muy contenta con mi compra. Excelente calidad/precio Buenas a todos! La verdad es que esta compra ha sido una grata sorpresa. La calidad del sonido es muy buena, durante las llamadas se escucha perfectamente ya que la nitidez del sonido es impecable. Además la conectividad  del dispositivo  es muy fácil.  El tiempo de carga es  aproximadamente de una hora, tiempo muy reducido teniendo en cuenta el tiempo  que dura la batería. Llevo usando los cascos varios días y aún no he tenido que volver a cargarlos  En cuanto a la versatilidad de los cascos, permiten tanto escuchar música relajadamente, como usarlos en el gimnasio mientras se realiza ejercicio ya que se adaptan perfectamente al oído.  En resumen, estoy encantadísima con estos auriculares =) y los recomiendo 100%.</t>
  </si>
  <si>
    <t>Excelente relacion calidad precio Sonido muy nitido y mucha batería.</t>
  </si>
  <si>
    <t>Tal cual esperaba Perfecta</t>
  </si>
  <si>
    <t>son muy cómodas me encantan, supercómodas, más bonitas en la realidad que en las fotos, lo mejor el precio, estaban de superoferta. Uso un 42 pero en deportivas me gusta comprar medio número más porque uso calcetín grueso, así que perfectas!!</t>
  </si>
  <si>
    <t>Fantástico!! Para ensayar en casa sin molestar a nadie, para poder moverte por la casa y tocar donde quieras, y buen calidad de sonido. Perfecto. Me llego muy rápido.</t>
  </si>
  <si>
    <t>Perfectas Buena compra! Recomendables</t>
  </si>
  <si>
    <t>Perfecto para trabajar Producto genial para trabajar.. lo he comprado tambien en tienda fisica e incluso el de Amazon biene mejor empaquetado con sus papeles y todo</t>
  </si>
  <si>
    <t>Me encanta Quizá un poco más pequeña de lo que me esperaba; no de lo que ofrecen, ahí es culpa mía por no medir antes de pedirla. Aún así, me encanta.</t>
  </si>
  <si>
    <t>Auricular Bluetooth. Es un gran invento pese a lo pequeño que es. Lo utilizo a diario tanto para salir en bicicleta como para dormir. No me gusta la sensibilidad del táctil y la calidad de sonido. He tenido un par de auriculares muy similares con botón y me han parecido que la calidad de sonido es mejor.</t>
  </si>
  <si>
    <t>Lo recomiendo Se describe y es lo que he pedido, es mejor de lo que imagine, le doy tres estrellas no porque sea malo, le doy porque tardo en llegar y la puntualidad es muy portante para (mi) si llegará  más rápido estaría mejor y pediría más cosas a este proveedor! Pero lo recomiendo, tanto para sí como para la gente que no le importe esperar un poco más.</t>
  </si>
  <si>
    <t>PRUDUCTO MEJORABLE ASPIRADORA DE CALIDAD MEDIA-BAJA , NO ME HA DURADO EN CONDICONES NI UN AÑO , CON POCO USO. POCA POTENCIA Y DURABILIDAD. NO LA RECOMIENDO</t>
  </si>
  <si>
    <t>la peor batidora que he tenido &lt;div id="video-block-R2K5LWF3AVP9EG" class="a-section a-spacing-small a-spacing-top-mini video-block"&gt;&lt;/div&gt;&lt;input type="hidden" name="" value="https://images-eu.ssl-images-amazon.com/images/I/B1VccN6htpS.mp4" class="video-url"&gt;&lt;input type="hidden" name="" value="https://images-eu.ssl-images-amazon.com/images/I/91ii3DQksjS.png" class="video-slate-img-url"&gt;&amp;nbsp;Una verdadera basura, primer intento un salmorejo, casi 45 min para conseguir algo medio aceptable, aunque al final tuve que coger la de mano. Segundo intento, un batido, se ha parado directamente, ver vídeo.</t>
  </si>
  <si>
    <t>OPINION Baja calidad y muy caro. Tallaje pequeño. Lo voy a devolver hoy mismo</t>
  </si>
  <si>
    <t>Muy buena. La correa genial. El inconveniente es no traer la llave de los tornillitos.</t>
  </si>
  <si>
    <t>Calidad precio muy bien Reloj para diario, trabajar, etc sin preocuparse si rompe. Es cómodo y se ajusta bien. Calidad precio muy bien.</t>
  </si>
  <si>
    <t>expectativas cumplidas Lo compré porque ya lo había visto funcionar, recoge pelos, polvo y pelusas.La batería dura lo suficiente para que pase por toda mi casa (140 m2 ). Tiene poca altura, lo que le permite pasar por debajo de mesas bajas, sofás, etc. Ya llevo utilizándolo 1 mes aproximadamente. Ha cumplido mis expectativas. Buena relación calidad / precio. Ya se lo he recomendado a varias amigas, se lo han comprado y están contentas</t>
  </si>
  <si>
    <t>Calidad precio superior Despues de mirar unos 500 relojes y buscando caracteristicas en relaccion al tiempo libre y que fuese economico me decante por la marca casio y este modelo en concreto,ligerisimo y con exactitudes bastantes fiables casi no lo notas en la muñeca,he llegado a devolver hasta tres relojes que despues de probarlos minuciosamente no daban las espectativas .este es un agran erloj y estoy muy contento volveria a comprarlo una y otra vez gracias y claro por medio de Amazon son serios y da gusto comparar aqui</t>
  </si>
  <si>
    <t>Muy cómodos y flexibles, no pesan nada. Únicamente apuntar que calzan muy justos, uso 40, he pedido la M y me aprietan en los dedos, mejor pedir talla más grande.</t>
  </si>
  <si>
    <t>Cómoda y amplia Pese a sus dimensiones, y al material con el que está fabricado, me resulta muy cómoda y muy amplia para llevar mi portátil, libros, discos externos, etc. Creo que el peso se distribuye bien y no resulta pesado. Estoy muy contento con la compra.</t>
  </si>
  <si>
    <t>Encantada con la cocina Fenomenal</t>
  </si>
  <si>
    <t>Muy agradables Me encanta el aroma de estos aceites esenciales. Los uso en un purificador de aire y dejan un olor muy agradable en la habitación.</t>
  </si>
  <si>
    <t>Ok De momento va muy bien estoy contento de este producto.lo recomendó</t>
  </si>
  <si>
    <t>super me he llevado una buena sorpresa con las camisetas.Quedan perfectas y la tela es de muy buena calidad 100 por cien algodon volvere a comprar otros colores de este vendedor  Muchas gracias</t>
  </si>
  <si>
    <t>Me encanta Es genial, suena perfectamente, y mis hijas encantadas Lo recomiendo al cien X cien! Volvería a comprarlo, sin dudarlo, es bueno.</t>
  </si>
  <si>
    <t>Muy chula Encantada con la compra y barata</t>
  </si>
  <si>
    <t>SD2VITA MA AGRADAT MOLT PERQUE ERA LO QUE MES VOLIA DE TOT EL MON EN GENERAL VOLIA LES DUES COSES EL SCOOBY DOO  I LA SD2VITA GRACIES AMAZON</t>
  </si>
  <si>
    <t>Olor muy agradable Estoy contenta con este producto, neutraliza bastante los olores del wc muy eficaz y deja un buen olor. La garrafa es grande por lo que en calidad-precio lo recomiendo. Para mi el mejor que he comprado y sin duda lo volveré a hacer.</t>
  </si>
  <si>
    <t>Son geniales Son magnificas, vienen muy bien y cumple su funcion. He comprado dos lotes de 24 para mi estudio y pienso en hacerme con otro para terminarlo</t>
  </si>
  <si>
    <t>Auriculares recomendables para hacer deporte Tengo varios auriculares bluetooth pero compre estos para hacer deporte, al ser con cables son mas difíciles de perder. Además tienen una forma diferente a otros auriculares lo que permite una fijación mejor al pabellón auditivo. Permite oír el ruido ambiente por lo que son perfectos para ir por la calle, evitando el riesgo de algún posible accidente.</t>
  </si>
  <si>
    <t>POTENTES No esperaba que unos auriculares tan baratos enviaran tantas cosas. Tiene una calidad de sonido y sin ruido. La línea de alimentación es muy suave, fácil de doblar y cualquier almacenamiento es bueno. ¡Estoy muy feliz de tenerlo!</t>
  </si>
  <si>
    <t>Maite Son muy cómodas y muy bonitas, yo las gasto todos los días y me van muy bien.</t>
  </si>
  <si>
    <t>Precio inmejorable, servicio excelente, zapatilla tal y como esperaba. Tallaje justito El precio muy competitivo, mas teniendo en cuenta que lo recibes sin moverte de casa. El tallaje es cierto que es un poco justo, tal y como apuntan algunas opiniones. Calzo un 43 y la 43 viene justa pero la 44 seria demasiado grande. Teniendo en cuenta que es una zapatilla mas de verano no tengo ningun problema con el 43. Servicio excelente. Vovleria a comprarla sin duda a traves de amazon.</t>
  </si>
  <si>
    <t>Increible. Para el precio que tiene el micro, tiene una calidad impresionante.  Yo lo he probado directamente al pc, sin la fuente phantom, hay que forzar un poco la subida de volumen y mete algo de ruido de fondo, pero nada que audacity no arregle.  Contenido de la caja:  1 Microfono Neewe NW-700  1 Araña ( Soporte antivibraciones para el micro )  1 Filtro antiviento ( Típica espuma que se pone encima del micro)  1 Adaptador de rosca de pequeña a grande.  A mi personalmente me gustaría que el adaptador de rosca se de metal y no de plastico. El micro tiene muy buenos acabados, y una calidad de audio increíble ( Hablando de gama media me micros de estudio).  Pros: Totalmente recomendable, sonido muy claro y nitido.  Contra: para reducir bastante el ruido, Hay que poner una fuente de alimentación phantom. ( la misma marca vende una de unos 20€ )</t>
  </si>
  <si>
    <t>Genial! Con muchos detalles para personalizarlo, flores, cinta para cerrarlo.. Viene con pegatinas para el exterior de la caja y multitud de cartulinas extra para meter dentro.</t>
  </si>
  <si>
    <t>MUY BUENOS A MI BEBE LE ENCANTAN, LO UNICO TUVIMOS QUE AMPLIAR UN POCO EL HUECO DE LA TETINA, ES FLUJO CORTO Y SE DESESPERABA POR NO SALIR CASI LECHE, DL RESTO SUPER PRACTICOS RAPIDO Y FACIL D LAVAR Y LOS COLORES LLAMAN LA ATENCION DEL BEBE, :)</t>
  </si>
  <si>
    <t>Muy bueno Buen producto</t>
  </si>
  <si>
    <t>Buena Cinta Buena Calidad precio esta cinta si quieres pegar algo y que dure, solo hazte con ella ,super resistente y duradera</t>
  </si>
  <si>
    <t>Mal Llegaron aplastados. Mala calidad. Los compré porque había comprado los negros y me gustaron. Estos tardaron el triple en llegar y fatal.</t>
  </si>
  <si>
    <t>Funcionan bien y la calidad es buena Como punto en contra decir que no funciona el microfono de los auriculares del iphone 6s que es para lo que lo quería. Si alguien sabe hacerlo funcionar estaría bien saberlo.</t>
  </si>
  <si>
    <t>Talla pequeño Es extraño, porque compré las mismas en gris y estas negras me quedan un poco pequeñas en comparación a las grises que me quedan perfectas... Por lo demás, son muuuy ligeras y cómodas.</t>
  </si>
  <si>
    <t>no son originales las deportivas , aun que te ponga certificados yo las he comparado con otras que tengo compradas en adidas y hay muchisima diferencia</t>
  </si>
  <si>
    <t>Un engaño Una decepcion total, reloj super pequeño con correa para niño, que especifique que no es correa universal, me siento engañado</t>
  </si>
  <si>
    <t>Buena compra , da todo lo que su precio puede ofrecer. Los compre y los cargue , los lleve a entrenar y todo fue bastante bien , se sujetan bien incluso sin haberme probado los distintos adaptadores para la oreja.No están mal.</t>
  </si>
  <si>
    <t>Es lo que  estaba necesitando, ni más ni menos Se trata de una memoria USB 3.1 bastante feucha, de plástico sencillo que tira un poco para atrás en el primer momento que la tienes en la mano (luego te acostumbras), de color negro y sin una luz que te indique que está funcionando. Pero hace bien lo que tiene que hacer y eso es lo que a mí en este caso me importa.  Voy a poder guardar de todo ahí dentro, así que estoy contenta con ella.</t>
  </si>
  <si>
    <t>Adidas Superstar Muy bonitas y cómodas. Muy buena experiencia, me quedan tal y como las esperaba, escogí la talla que normalmente utilizo y no tuve ningún problema. Llegaron rápido, dentro de su tiempo de envío, en su caja. Son unas zapatillas clásicas que se han vuelto a poner de moda, quedan genial con cualquier tipo de ropa y estilo. Son cómodas y están genial hechas para resistir durante mucho tiempo.</t>
  </si>
  <si>
    <t>Me gusta Al principio no conseguía conectarlo y parecía que estaba estropeado porque no viene ninguna indicación. En cuanto funcionó me parece que está muy bien: es muy bonito, tiene mucha capacidad de agua y calienta muy rapido.</t>
  </si>
  <si>
    <t>Muy calentita Tiene buena calidad, por dentro tiene felpa y es gordita. Recomiendo pedir una talla más de la habitual ya que talla un poco justa</t>
  </si>
  <si>
    <t>queda muy bien queda muy bien, de calidad y se ajusta perfectamente a lo esperado. Muy recomendado</t>
  </si>
  <si>
    <t>Comodos De buena calidad, ya es el segundo par que tengo</t>
  </si>
  <si>
    <t>Cómodos 100% Súper cómodos!! Y para los niños, genial!! Los recomiendo!</t>
  </si>
  <si>
    <t>Calidad y comodidad. Buena amortiguación,la parte de atrás de la deportiva no me gusta mucho el diseño.Es una deportiva que no pesa.</t>
  </si>
  <si>
    <t>Muy buena elacion calidad-precio Son pequeños, pero lo suficientemente grandes para meter un par de bolis, dos subrayadores, clips... la verdad es que estoy super contenta con ellos y son preciosos. No se puede pedir más relación calidad-precio</t>
  </si>
  <si>
    <t>Me encanta Chulisimo</t>
  </si>
  <si>
    <t>Cable perfecto Cable de muy buena calidad para instalación de altavoces o cualquier instalación eléctrica de poco consumo. La verdad que me ha sorprendido la calidad del cable por el precio que tiene</t>
  </si>
  <si>
    <t>Mejor de lo esperado La verdad es que había leído que se oían muy bien, pero no pensaba que fuera para tanto, pero lo es...  El sonido es muy bueno, tiene muchos graves y también agudos, y si juegas con el ecualizador el reproductor puedes conseguir el sonido que quieras.  El emparejamiento muy sencillo y a la primera siguiendo las instrucciones que vienen en la caja y que están en muchos idiomas incluido el español.  La durabilidad y la batería no se aún, ya que me han llegado esta mañana. Más adelante comentaré ese tema cuando los haya usado más tiempo.  A mi modo de ver creo que tienen un precio adecuado para la calidad  Los recomiendo sin ninguna duda. (a falta de saber la durabilidad de la batería y de los auriculares)</t>
  </si>
  <si>
    <t>Muy Práctico para dos personas Es bonito,no demasiado grande y calienta 1 taza de agua en menos de 1 minuto. Funciona perfectamente</t>
  </si>
  <si>
    <t>Genial Buen tamaño para la mesa del trabajo, rápido y silencioso</t>
  </si>
  <si>
    <t>Excelente Excelente en todos los aspectos</t>
  </si>
  <si>
    <t>Encantada Muy ligero y muy cómodo. Siempre tengo problemas con los relojes porque tengo la muñeca muy fina, pero este me lo puedo ajustar bien y no lo siento, no se me clava nada.</t>
  </si>
  <si>
    <t>Genial Muy bien, tal cual se describe. Fue un regalo y la niña quedó encantada.</t>
  </si>
  <si>
    <t>Baratísimo Precio insuperable en una zapatilla clásica</t>
  </si>
  <si>
    <t>recomendable 100% el paquete ha llegado bien y rapido, el embalaje impecable, me encanta el bolsillo que viene junto con los pendientes, y los pendientes son muy bonitos, tal como muestra, me encantaaaa!</t>
  </si>
  <si>
    <t>Perfecta Me encanta muy cómoda y ligera.</t>
  </si>
  <si>
    <t>Potente batidora con multitud de accesorios La batidora en si es magnifica. Cabe decir que el nuevo sistema para favorecer las mezclas de los productos batidos dificulta un pelin su limpieza. La calidad de tod es magnifica excepto el eje sobre el que se colocan los accesorios en la picadora, que es plastico y se deteriora con facilidad si se utiliza intensivamente y se calienta.</t>
  </si>
  <si>
    <t>Muy buenas Son muy buenas, buena clidad y se limpian fácilmente</t>
  </si>
  <si>
    <t>MUY BAJO DE TALLE Es un pantalón muy bonito pero para mi gusto es muy bajo de talle. El tallaje es correcto.</t>
  </si>
  <si>
    <t>Bonito pero dura poco con el brillo del principio Es muy bonito y luce mucho al principio pero al cabo de un par de semanas pierde brillo</t>
  </si>
  <si>
    <t>DIFICIL DE USAR PARA LA PERSONA PROMEDIO ES CASI IMPOSIBLE DE USAR, DEMASIDO CO0MPLEJO DE USAR, Y VIENE EN UN MINI MANIUAL EN INGLES QUE EXPLICA MUY POCO LA OPERATIVA. SOLO PARA PROFESIONALES.</t>
  </si>
  <si>
    <t>Suela resbaladiza El producto es bonito y talla bien, pero la suela antideslizante no cumple su función y resbala con facilidad.</t>
  </si>
  <si>
    <t>Fiabiliddad Una muy buena kettle</t>
  </si>
  <si>
    <t>Trabajo con seguridad Es un calzado de seguridad,de piel de buena calidad y tiene puntera y suela metalica. la puntera con un grosor adecuado y suela un poco mas fina para ayudar a los movimientos a agacharse.En la zona de los tobillos tambien tienen un acolchado que impide golpes en los mismos.lasula es resistente al agua y aceites ,son bastante flexibles.la lengueta cosida da mas seguridad a la hora de impedir que ente tierra ,agua ,etc....toda la bota cosida escepto la suela que es pegada.</t>
  </si>
  <si>
    <t>Muy cómodas Justo lo que esperaba 😀</t>
  </si>
  <si>
    <t>Artículo práctico Gran sorpresa por sus acabados y buen funcionamiento.</t>
  </si>
  <si>
    <t>SanDisk SD Una tarjeta con diseño muy particular de Mario el champiñón y muy buena para la Nintendo switch bastante espacio está muy bien</t>
  </si>
  <si>
    <t>Práctico Su calidad/precio es inmejorable. Desde el primer día notas resultados. No obstante, no sé si la tela será duradera o que ocurría si se rompe. Consideró útil que el producto incorporara una funda por si se deteriora rápidamente.</t>
  </si>
  <si>
    <t>Muy Aconsejable Muy bueno</t>
  </si>
  <si>
    <t>perfecto puedes llevar en el llavero y enchufarlo al movil en cualquier lado o si no llevas cable usb, poner la informacion del ordenador en el pincho y despues pasarla al movil, ............  ami me funciona muy bien para lo que mas lo uso es para cuando me descargo pelis desde el movil a través de apps, engancho el pincho al movil transfiero la peli al pincho y después conecto el pincho al televisor y a disfrutar sin necesidad de moverme apenas del sofá</t>
  </si>
  <si>
    <t>Bonito, Elegante y Discreto. ¡Muy bonito y brillante, la talla debe de ser una menos que la que usáis normalmente, vi en las opiniones y así lo hice y perfecto (llevo la 18 y cogí la 17)… ¡Es finísimo y elegante, llego el día después de pedirlo. Va en una bolsita de terciopelo ideal para regalo. Lleva la marca de la plata . Una compra estupenda a un precio increíble.</t>
  </si>
  <si>
    <t>Es buenísima! La amo, salió buenisima, no tengo peros. Hago humus, zumos, purés, cremas. Ha sido una gran compra. Tiene mucha potencia. Lo unico que no llegue a usar aun es el batidor de varillas,  asi que sobre eso no opino. Ahora, como trituradora y picadora un 10!</t>
  </si>
  <si>
    <t>Son autenticas Muy bonitas y cómodas,</t>
  </si>
  <si>
    <t>Con Mac y AKG D5 micrófono funciona perfecto Funciona perfecto, al menos  con MacBook (GarageBand app y Skype) y AKG D5 mic. Tenía problema con el cable de otra marca y lo he devuelto pero este está muy bien.</t>
  </si>
  <si>
    <t>Cumple totalmente Producto totalmente recomendable. De momento se conecta sin problemas a la radio para actualizar la hora, pero la diferencia real es muy baja. De fácil uso y muy cómodo de llevar, el cristal de zafiro, de momento cumple su función. El envío tanto paquetería, plazos, producto, cumplió totalmente las expectativas.</t>
  </si>
  <si>
    <t>Buen Sonido Auricular de buena calidad y sonido para su precio. Tiene buenos graves. Además viene con recambios de silicona para los auriculares.</t>
  </si>
  <si>
    <t>Muy recomendables Estoy muy contento con los cascos. La relación calidad-precio creo que inmejorable. La cancelación de Ruido con la música puesta es muy efectiva, no se escucha prácticamente nada del entorno. La calidad del sonido muy buena. En general los recomiendo</t>
  </si>
  <si>
    <t>Un buen biberón Esta muy bien, siendo de cristal la limpieza e higiene es mejor. Es fácil de montar y desmontar. Por ahora no produce cólicos. Y la retina parece más cómoda para el bebé.</t>
  </si>
  <si>
    <t>PERFECTO FUNCIONA A LA PERFECCIÓN. LO HE COMPROBADO EN VARIOS ESTABLECIMIENTOS Y ESTANDO EN EL INTERIOR DE LA FUNDA ES IMPOSIBLE QUE TE HAGAN NINGUN CARGO.</t>
  </si>
  <si>
    <t>De calidad Es un usb 3,0 de buena calidad, con sus 32 gb tiene gran capacidad de almacenaje (no es un disco duro, obviamente) y bastante rápido para copiar archivos. Ademas tiene doble conexión, usb y micro usb, lo que da mucho juego con móviles y tableta, quedando ambos bien protegidos. Es bastante mejor que el que sustituye.</t>
  </si>
  <si>
    <t>Cómodas Son cómodas, la talla es la adecuada. Llegaron en la fecha estimada</t>
  </si>
  <si>
    <t>Correcto El libro ya es conocido fácil de leer tanto para niños a partir de 8/10 años como para adultos y muy entretenido. En cuanto al envío, muy rápido y en perfecto estado</t>
  </si>
  <si>
    <t>Práctico. El teclado funciona muy bien, las teclas tienen buena sensibilidad, y además incluye ableton live 9 lite (software de producción musical) yo lo uso tanto con Live 9 como con FL 12 y con ambos funciona genial, además gracias a su tamaño permite ser transportado fácilmente.</t>
  </si>
  <si>
    <t>Calidad de estudio Auriculares profesionales a buen precio. Si estas buscando unos buenos auriculares para tocar sin molestar o para hacer mezclas ni lo dudes.</t>
  </si>
  <si>
    <t>Limpia biberones Herramientas para limpiar biberones y cosas que no llegues con la mano.  Muy completo y eficaz. Lo volveria a comprar sin duda.</t>
  </si>
  <si>
    <t>Mediocre. Compré una de talla XL y me iba bien. Compré otra XL de otro color, y curiosamente me queda más pequeña.. siendo la misma talla!. Mala calidad de los botones, se han descolgado varios... Costuras mal hechas, poco simétrica, etc...</t>
  </si>
  <si>
    <t>No pidáis la xl Demasiado grande</t>
  </si>
  <si>
    <t>La potencia que tiene Buena compra, mucha potencia,lo peor los recipientes para llevar son muy aparatosos y poco útiles, deberían ser mucho mas pequeños porque ocupan muchísimo espacio, batidora grande genial</t>
  </si>
  <si>
    <t>Las tallas no son correctas La tela es brillante, no ajusta bien al cuerpo. ya es el segundo que pido de la misma marca y el primero que era una talla más pequeña me quedaba súper estrecho y este que es una talla más hace arruga Y queda muy grande, por lo cual tramitaré la devolución.</t>
  </si>
  <si>
    <t>Una porquería Muy cutre, el color es acero viejo y los cristales parece plástico</t>
  </si>
  <si>
    <t>Tal y como esperaba!! Me gusta mucho cómo queda. Le da otro aire más elegante al reloj!</t>
  </si>
  <si>
    <t>Funciona bien El único defecto es que a veces y en miradas rápidas a la hora, no se distingue bien la aguja con el fondo del reloj.</t>
  </si>
  <si>
    <t>Cómodas y aislantes Descansos Cómodas y Cconfortables. Me ha sido de buena utilidad. No traspasa el frío, ni el agua. Mejor de lo que me esperaba.</t>
  </si>
  <si>
    <t>son muy practicos El cable dura bastante antes de que uno de los dos auriculares deje de oirse porque pierde la conexión. El sonido es bueno, con graves potentes. muy práctico y cómodo, te puedes quedar dormido con ellos puestos.</t>
  </si>
  <si>
    <t>Un poco pequeños. Fueron para un regalo y quedó muy satisfecha la persona que lo recibió, excelente acabado.No produce alergias de ningún tipo.</t>
  </si>
  <si>
    <t>Muy recomendable Lo compré para un regalo y gustó mucho. Buena calidad y tamaño ideal. Funcional y elegante</t>
  </si>
  <si>
    <t>Super cómodas Lo mejor de las sandalias es que son super cómodas y además quedan bonitas. Calzan un poco pequeñas, así que tuve que comprar un número más.</t>
  </si>
  <si>
    <t>Botas de seguridad Perfecto</t>
  </si>
  <si>
    <t>Comodas en todas las superficies. De lo mejor que he tenido si duda. Perfectas para Trail, cómodas y ligeras en cualquier superficie. Volvería a comprarlas sin ninguna duda. Son unas zapatillas perfectas.</t>
  </si>
  <si>
    <t>Bien Buenos biberones. Tal y como se describen</t>
  </si>
  <si>
    <t>Muy recomendables Muy cómodos.</t>
  </si>
  <si>
    <t>Interface de bolsillo de primera clase Desde hace años, he estado usando los productos de IK Multimedia, nunca decepcionan, empecé con el Irig, que se conecta a la entrada auricular del iPad, después al Irig HD, que realmente se noto mucho la diferencia en cuanto a calidad, lo use desde que salió esta versión. Ahora con la nueva versión Irig HD 2, este producto, ha mejorado mucho la calidad, sobre todo en la Ganancia, Gain, porque tengo una guitarra con pastillas activas, así que con el Irig HD tenia que bajar la ganancia, porque no debe tener picos, y con las activas sube mas la ganancia de la guitarra, este Irig HD 2 soluciona este detalle que solo sucede con las guitarras de pastillas activas, tiene mucho margen de ganancia, ademas que tiene salida para amplificador y auriculares, esto hace mas practico y no llenarse de cables y adaptadores cuando quieres conectarlo a un amplificador o power amp. Estoy muy contento, tiene buena calidad de sonido, ganancia, perfomance. Se puede conectar con Powerbridge de Ik Multimedia, así el IPad o IPhone o IPod no perderá energía en su uso.</t>
  </si>
  <si>
    <t>Resistentes Unas zapatillas muy bonitas y duraderas de momento, mi hijo encantado</t>
  </si>
  <si>
    <t>Buena calidad. Son tallas pequeñas, en caso de duda tirar por la mayor.</t>
  </si>
  <si>
    <t>Compatible con Mac👍 Ya tenía otro evo 970 nvme de 250Gb. Pero necesitaba instalar windows por una aplicación así que he comprado el 970 plus de 500Gb para mi macbook pro de finales de 2013. No me ha dado ningún error ni pantallazo. Seguramente tenga el nuevo firmware compatible con Mac. Problema solucionado ahora a por una caja para dar uso al anterior.</t>
  </si>
  <si>
    <t>Eficaces Era un poco escéptica sobre su uso pero nos funciona de maravilla. Le añadimos unas gotas de aceite esencial para darle olor a la ropa y genial. Estaría muy bien que no pusieran plástico en el envase</t>
  </si>
  <si>
    <t>Una chulada Lo uso a diario Me gusta todo</t>
  </si>
  <si>
    <t>Buenos biberones Buenos biberones NUK y a buen precio.</t>
  </si>
  <si>
    <t>Grandes pero cómodas Hace más de 20 años que no tenía unas y son super cómodas. Tenía que haber cogido una talla menos, pero al ser bota, sujeta bien. Hace un poco de ruido el plástico al andar</t>
  </si>
  <si>
    <t>buena calidad de sonido En la descripción ponen esto (3D Stereo Sound y Deep Bass. La tecnología de cancelación de ruido reduce el ruido ambiental y el eco, ofrece un sonido verdaderamente natural, auténtico y potente rendimiento de bajos sin importar en las llamadas o en el tiempo de la música.) Y la verdad es que suenan muy muy bien. Ademas se ajustan perfectamente y para hacer ejercicio son buenos, ya que el sudor no les afecta. Nada mas sacarlos de la caja se acoplan al movil</t>
  </si>
  <si>
    <t>Bien Fácil uso y de momento no se me ha despegado ninguna y todo lo que he plastificado está intacto.</t>
  </si>
  <si>
    <t>Perfectas Son geniales</t>
  </si>
  <si>
    <t>Perfecto para el Deporte Producto bien terminado, muy duradero y lavable. 👍</t>
  </si>
  <si>
    <t>Cinta de doble cara Si necesitas una cinta de doble cara que pegue bien de verdad,esta es la tuya.La he utilizado sobre azulejo y sobre titanio y tal y como la pegué,ahí sigue.</t>
  </si>
  <si>
    <t>Celeste Me esperaba más de este reloj, si es bonito, pero la esfera parece plastiquete y la correa de juguete ...y la caja llegó abierta!!</t>
  </si>
  <si>
    <t>Pequeño Pequeño y estrecho</t>
  </si>
  <si>
    <t>No lo recomiendo para nada El biberon es bonito pero la leche se derrama todo el tiempo : hemos intentado todo lo que dicen por Internet en caso del mismo problema (no poner leche caliente, no sacudir, hacer la mezcla con una cuchara, etc...) y nada nos funciono. Tenemos 2 versiones de esta botella en grande y pequeño.... Sigo sin entender como la gente puedes recomendar esos biberones...?</t>
  </si>
  <si>
    <t>La batería dura muy poco tiempo. Se escucha bastante bien,el problema es de la batería,solo dura una hora y 15 minutos,estoy muy desilusionado no volvería a comprarlo.</t>
  </si>
  <si>
    <t>UNA AUTENTICA PORQUERIA Zapatos de muy mala calidad. Son de tela con un refuerzo de plastico endurecido en la puntera. En 3 semanas estan desechas y eso que trabajo en una nave industrial, en una zona logistica. No cumple para nada el CE. He pedido una 41 y pare una 43. El vendedor no admite devoluciones. OJO HUIR!!!</t>
  </si>
  <si>
    <t>Pieza roja Todo muy bien pero me fie de una opinión que decía que también se incluía la pieza roja donde se adapta los recambios y NO lo lleva.  Lo advierto para que no os pase como a mi.</t>
  </si>
  <si>
    <t>Perfecta relacion calidad precio La impresora se ha adaptado muy bien a mis necesidades. Realmente es fácil la instalación, sin embargo yo no le he dado las 5 estrella, porque durante el proceso, no funcionó según lo esperado. Tuve que contactar con la ayuda on-line y se actualizó el software y a partir de ese momento, si que se llevó a cabo la instalación WI-FI sin problemas</t>
  </si>
  <si>
    <t>Bien pero muuuuuy lento el envío Baratos y correctos. Muuuy lento el envío.</t>
  </si>
  <si>
    <t>Para mí es aceptable, me gusta cómo graba Bueno lo estoy usando para grabar ideas que se me ocurran con la guitarra.  Es verdad que podía grabar algo más alto, pero el volumen es aceptable a 50 cm.  Lo que me ha sorprendido es el equilibrio de frecuencias que recoge. En su punto de medios, sin agudos chillones ni grabes turbios.  También tiene un nivel muy aceptable de ruido,  es decir apenas se escuchan parásitos de fondo lo que produce una grabación muy nítida.  En contra también decir que no lo reconoce Pro Tools ni Cubase, tienes que grabar con la grabadora de Windows que deja bastante que desear.</t>
  </si>
  <si>
    <t>Auriculares de buena calidad Compramos estos auriculares para usarlos en la televisión. Lo hemos probado y no esta nada mal por el precio que tiene. Es cierto que el sonido queda un poco "enlatado", pero es algo que me ha pasado en todos los auriculares que he usado hasta ahora. Lo único a destacar el cable, que es corto para el uso que le queremos dar. Pero como hemos comprado un alargador, problema resuelto ;)</t>
  </si>
  <si>
    <t>Batidora Entrega rápida y cumple su función</t>
  </si>
  <si>
    <t>Perfecto Me encanta este tipo de batidora. Es un concepto super útil y cómodo. Me gusta que el recipiente donde se bate sea el propio vaso. Asi te evitas ensuciar más. Muy rápido, muy facil de limpiar, buen diseño, ocupa poco, puedes llevarte el vaso con su tapa, apto para lavavajillas... Todo perfecto. Aún sorprendido con el bajo precio. No se puede pedir más.</t>
  </si>
  <si>
    <t>Muy recomendable Yo creo que es uno de los vasos mejores del mercado. Lo único malo es que se tiene que fregar bien la boquilla. Es muy práctico y a mi bebe le encanta</t>
  </si>
  <si>
    <t>Buen artículo Muy cómodo</t>
  </si>
  <si>
    <t>Correcto surtido Una bolsa perfecta para ordenar cables y las tiras de velcro de buen tamaño.</t>
  </si>
  <si>
    <t>Poco mas se puede decir. Perfecto Es justo lo que necesitaba. Después de estar usando uno manual de plástico, del terciario, quería un exprimidor sencillo y eficaz. Se limpia muy rápido y funciona de lujo.  Spot on Purchase</t>
  </si>
  <si>
    <t>Calidad precio extraordinario Los cartuchos encajan perfectamente funciona muy bien estoy muy contento con la compra</t>
  </si>
  <si>
    <t>Buen sonido Es el primer micrófono que compro así que lo único que puedo decir es que el sonido es limpio y que el alcance es bueno (graba sonidos a 1,5 m).</t>
  </si>
  <si>
    <t>Buena correa Compre esta correa porque se me había roto la mía y estoy muy contento con la compra, es muy cómoda y encaja perfectamente en el reloj.</t>
  </si>
  <si>
    <t>Tamaño super slim Extremadamente pequeña, pero fiable y rápida, perfecta para usarla en el USB del coche con música por su tamaño, pero si buscas velocidad de escritura y lectura hay otras para eso de la misma marca. Son siempre la marca que compró desde que las kingstone me dieron problemas de dejar de funcionar sin más.</t>
  </si>
  <si>
    <t>Cortadora de papel Es exactamente lo que me esperaba. Lo utilizo para cortar papel de fotografía y la calidad de la cuchilla es muy buena y segura. Sirve para cortar papel más gordo, como goma Eva para las manualidades de mi hija. Lo recomiendo.</t>
  </si>
  <si>
    <t>Ideal con leggins Muy satisfecha con la compra, el color es muy alegre, es tal como aparece en la foto. Pedí una talla más grande porque leí otros comentarios y efectivamente queda bien, ajustada por la parte del pecho y suelta por debajo. Es más larga de lo que esperaba así que la combino con leggings.</t>
  </si>
  <si>
    <t>Buena calidad precio Ligero, cierre muy bueno, lo malo es el cristal que esta muy expuesto a la que rayaduras ya que sobresale del cuerpo del reloj, el funcionamiento lo que esperaba</t>
  </si>
  <si>
    <t>Genial por el precio que tiene Era para mi sobrina le encantó.</t>
  </si>
  <si>
    <t>Basura. Pesimo microfono, no me ha durado ni 2 meses, y no, no lo he usado apenas, esta en una mesa para una radio.  Para colmo la garantia es cortisima ya que lo adquirí en Diciembre del 2015 y el 28 de Febrero expiró.  140 euros tirados a la basura en pocos meses.</t>
  </si>
  <si>
    <t>Perfecta para los que quieran una mochila de un asa. Es justo lo que quería. Para los que no le gusten, como a mí, las mochilas de dos asas, esta es perfecta, con varios compartimentos, impermeable, etc. Estoy encantado con mi compra. No apta para llevar muchísimo volumen.</t>
  </si>
  <si>
    <t>Reloj casio Bonito reloj Casio, original, en caja, de diseño retro.</t>
  </si>
  <si>
    <t>Estupendos envio mucho antes de lo esperado Me han llegado muchísimo antes de lo establecido. Me he asombrado. Se oyen de maravilla estoy muy satisfecha con la compra el cable es bien largo. Y los auriculares son distintos a los habituales se adaptan mejor a la oreja y no producen molestias. Genial.</t>
  </si>
  <si>
    <t>Problemas con Mac y ruidoso Para ser un disco portátil lo noté muy ruidoso. La carcasa tiene buen tacto y es bonito, se ve bien construido. Con Mac me ha dado problemas al formatearlo en su sistema operativo, así que al final lo he devuelto.</t>
  </si>
  <si>
    <t>Posible imitación Ayer recibí las zapatillas. Siempre las he comprado en Amazon, y esta vez tengo la impresión de que son falsas. Vienen en una caja de New Balance, pero que es diferente a la de otras veces, no sé si por cambio de diseño o porque no son auténticas. Además, no aparece por ningún sitio la marca de "registrada" (r dentro de círculo). De talla he pedido la de siempre (un número más), pero ni me las he probado todavía por si las devuelvo, ya que sospecho que son falsas y me preocupa la calidad que puedan tener. Por otro lado, y respecto a la primera versión del modelo 574 classic, el color rojo burgundy ha cambiado, ahora tira mucho más al berenjena que al granate, como se ve en la foto. El modelo antiguo lo tengo hace más de dos años, poniéndomelo muchísimo, y ahí siguen aguantando, son indestructibles.</t>
  </si>
  <si>
    <t>No funciona del todo bien, problemas con el USB Algo no va bien.... el usb solo funciona de vez en cuando, tengo que ir cambiandolos para que funcione. Volumen aceptable, para su precio esta muy bien.</t>
  </si>
  <si>
    <t>Flojita Muy flojita la correa, no sé cuánto tiempo durará... calidad bastante regular</t>
  </si>
  <si>
    <t>Defraudado Una decepción . Sólo funciona un casco</t>
  </si>
  <si>
    <t>Malla Tela gruesa</t>
  </si>
  <si>
    <t>Buena relación calidad precio El producto es tal cual aparece en el anuncio. Llega bien protegido, con sus etiquetas y con sus documentos de garantía.  En mi caso es para un regalo, si te gustan los relojes grandes igual este tiene l esfera un pelín pequeña pero en todo caso segun las medidas del anuncio. Lo único que ya llega encendido y no se cuanto tiempo llevará así. En todo caso son dos años de garantía y en las especificaciones decían pila de 7 años. Lo único que la caja como se ve en las fotos ha llegado un poco tocada, venía en caja amazon junto con otro producto pero los daños parecen más de manipulación que de transporte.</t>
  </si>
  <si>
    <t>Util para los vinilos Par los que seguimos escuchado los vinilos esta es una herramienta buena y barata, el cepillo de la aguja no lo he usado pero es un complemento mas</t>
  </si>
  <si>
    <t>todo ok Al igual que el resto de Converse que he usado, pedí media talla menos de la uso habitualmente: unas 44 y suelo usar 44,5. Me van perfectas. Las han mandado en su caja. No soy un experto en falsificaciones pero juraría que son auténticas...</t>
  </si>
  <si>
    <t>Bonita, práctica y elegante bolsa para hombre. Bonita, práctica y elegante bolsa de hombre. Para tener las cosas siempre a mano sin tener que llevarlas en los bolsillos.</t>
  </si>
  <si>
    <t>Funciona perfectamente Llegó el pedido correctamente y cumple con las expectativas. El empaque es de apertura reutilizable para cuando quiera guardar nuevamente el cable. El grosor del cable es delgado. No tiene una textura suave pero está funcionando perfectamente. Buena relación calidad precio</t>
  </si>
  <si>
    <t>Fantasticos leggins Son super buenos leggins y super comodos para el gimnasio. Una compra para repetir sin duda.</t>
  </si>
  <si>
    <t>Buen sonido Auriculares  Bluetooth muy compactos, cómodos y con una buena duracón de batería como se detalla en las especificaciones. Buena calidad de sonido y de audio. Fácil de usar y con rapidez a la hora de enlacarse con el dispositivo en cuestión</t>
  </si>
  <si>
    <t>Satisfecha. Sudadera de calidad,cómoda y algo entallada. Tal y como se ve en la foto.</t>
  </si>
  <si>
    <t>Calidad precio inmejorable Llego antes del plazo y todo, muy cómoda y eficaz y fácil de usar, cubre la espectativas</t>
  </si>
  <si>
    <t>Buena batidora Yodo me ha gustado</t>
  </si>
  <si>
    <t>Correcto funcional y util Es una tarjeta de memoria con adaptador, funciona como es de esperar y no presenta errores. Correcto.</t>
  </si>
  <si>
    <t>Es el rellotge que volia Metalic, submergible, amb comptador enrrere i cronometre. Enfi, molt recomanable i bonic. Es lleuger i d'una mida semblant als altres</t>
  </si>
  <si>
    <t>Imprescindible Es increíblemente buena</t>
  </si>
  <si>
    <t>sencillo y válido El uso que le he dado yo personalmente es la de esconder mis cables del escritorio por debajo. Por ahora he probado uno para ver que tal se comportaba el pegamento en si, y parece que aguanta muy bien, incluso he intentado forzarlo un poco a ver si se caía con facilidad, y para nada ha sido asi. Una vez tenga terminado mi escritorio, le haré foto y vereis que con la sencillez del producto, es perfectamente válido para ordenar muy bien varios cables. Lo recomiendo 100%.</t>
  </si>
  <si>
    <t>me encanta!!! la mejor mascarilla que probe!! realmente noto una diferencia en mi piel desde que la estoy usando!! tengo la piel grasa y noto menos granitos e imperfecciones! la super recomiendo!!</t>
  </si>
  <si>
    <t>Un gran disco duro Comprado para instalar en una NAS Synology, no he tenido ningún problema. El envío rápido y correcto. Espero que dure más que el disco al que ha sustituido.</t>
  </si>
  <si>
    <t>tarjeta extreme sandisk Queria una tarjeta de memoria con capacidad media y sobre todo velocidad, lo compre para cámara de fotos, necesitaba sobre todo rapidez en escritura, de momento va perfecta y tanto la escritura como lectura perfecta no retrasa nada a la cámara, la prueba en grabación de video en 1080 muy bien ahora a probar como se defiende en 4K, tarjeta muy recomendable</t>
  </si>
  <si>
    <t>Buena calidad. Deportivas Nike, buenas y muy ligeras, se adaptan perfectamente al pie. Son muy cómodas.</t>
  </si>
  <si>
    <t>Gran capacidad y funcionamiento muy rápido Me ha parecido muy buen producto. No me esperaba que fuese a empezar a emitir vapor tan rápido pero es instantáneo nada más conectarlo. Funciona solamente con dos botones, uno para la luz y el otro para programar un temporizador.</t>
  </si>
  <si>
    <t>🌟🌟 Muy bonita y queda fenomenal</t>
  </si>
  <si>
    <t>Descubre al artistas que llevas dentro. Era lo que nos faltaba para las reuniones con los amigos, desde que lo sacamos no ha parado de funcionar siempre hay alguien queriendo cantar o decir algo. Se enlaza con el móvil y a cantar! La batería dura mucho.</t>
  </si>
  <si>
    <t>La entrega Perfecta. Todo bien y rápida entrega</t>
  </si>
  <si>
    <t>cumple funciona bien no pesa nada y se ve bien por lo demás la temperatura hay que saca el relog sino da una mezcla de temperatura ambiente y corporal ja ja pero bueno</t>
  </si>
  <si>
    <t>Adecuado Cómodo, cumple su función</t>
  </si>
  <si>
    <t>Qualidad baja Son modelos de segunda qualidad que además de no ser en el mismo de plástico que los del Corte Inglés, se han quedado mucho tiempo en el almacén o en vitrina porque el embalaje había perdido su color de origen. Sino, haces el trabajo y son bajatos</t>
  </si>
  <si>
    <t>Calidad buena pero algo justo para la tabla La calidad de la tela normal,ni muy delgada ni muy gruesa.66 por ciento algodon y resto poliester.Queda ceñido así que pedid una o 2 tallas mas.Yo pedí una mas y aun así quedaba algo justa</t>
  </si>
  <si>
    <t>Mala calidad El dibujo es muy chulo, pero la calidad de la sudadera bastante mala. Y pensaba q por detrás no tenía nada, pero repite el mismo dibujo con lo cual resulta cargante. No lo volvería a comprar</t>
  </si>
  <si>
    <t>Feos Feos a rabiar por detrás son plateados  y no quedan nada bien al ponerlos y verse</t>
  </si>
  <si>
    <t>No es lo que esperaba Tarda muchísimo en calentar al máximo #6, He probado mejores mantas.</t>
  </si>
  <si>
    <t>Vien Bien</t>
  </si>
  <si>
    <t>Huele a limpio Huele muy bien y dura mucho con pocas gotas basta. Contenta</t>
  </si>
  <si>
    <t>Su comodidad Demasiado blanco</t>
  </si>
  <si>
    <t>Gran calidad y fiabilidad. Compre este disco para ampliar la capacidad de mi NAS Synology. Son muy silenciosos, mas que los de las serie Green, y la temperatura de funcionamiento también es mas baja lo que se traduce en una vida mas larga. El tiempo de arranque es mínimo así que responde de inmediato.  Los discos de la serie Red suelen ser de 15 a 20 euros mas caros que otros pero merecen la pena si vas a usarlos en un NAS o en equipos que están mucho tiempo encendidos. Son los discos mas fiables, si quieres que tus datos estén a salvo comprate discos de la serie Red.  La única pega se la pongo al embalaje, me llego en un sobre de cartón solo protegido con un poco de plástico de burbujas, para mi insuficiente para este producto, aun así el disco no sufrió daños y a funcionado a la perfección.</t>
  </si>
  <si>
    <t>calidad precio inmejorable Muy económico, la base formidable, de hierro, muy estable, el resto da la sensación de no ser muy resistente pero cumple perfectamente. A este precio es totalmente recomendable.</t>
  </si>
  <si>
    <t>Comodo, efectivo, discreto y duradero Tienen una banda con un pequeño velcro que se ajusta genial. Es perfecto para tener calor en el trabajo en la región lumbar sin tener que andar calentando bolsas en el micro o poniendo mantas electricas. Es mucho mas discreto y te permite movilidad. Ademas duran un monton.</t>
  </si>
  <si>
    <t>A mi me van genial con plastifica dora barata A mi me van perfectas en plastificadora de 35€ olympia A3.. queda perfecto para fotos y las pego en un cartón pluma el sobrante con cuchilla o cizalla y el cliente súper contento,  Las letras y marcas de agua que lleva se van perfectamente una vez plastificado no entiendo esa gente que dice que no se les va porque o que les queda mal siendo la mía una plastificadora de las más económicas,  Cuando me queden unas cuantos volver a comprar las mismas</t>
  </si>
  <si>
    <t>Recomendable Muy buena relación calidad-precio. Sujeta muy bien el pecho y es muy cómodo. Además acerté bien con la talla. Tengo una 95C en talla de sujetador y me pille una L y es la talla que me corresponde. Lo recomiendo.</t>
  </si>
  <si>
    <t>Atento al contacto con la piel de tu hijo Metal de buena calidad cumplepero se despinta al contacto con la piel jajajajajajajajajaja 😂 como decorativo o atrezzo está bonito</t>
  </si>
  <si>
    <t>Rafael alburquerque llorens Este cable me ha permitido conectar los dos monitores de estudio a la salida de un receptor de Am-Fm , tal cual me lo había imaginado ......gracias</t>
  </si>
  <si>
    <t>Estupendo volvería a comprar Mea gustado mucho</t>
  </si>
  <si>
    <t>Muy buenos auriculares Muy buenos auriculares, comodos de llevar, con una acople perfecto al oido, que viene con 3 tamaños de almohadilla y con gran calidad de sonido. La caja que sirve para tenerlos bien guardados y tambien de cargador, viene imantada para que no se salgan de su hueco y la verdad que el diseño es muy atractivo.  Yo tengo varios auriculares Sony, sennheiser, JBL pero quería unos pequeños y bluetooh y la verdad es que no tiene nada que envidiar a estas primeras marcas</t>
  </si>
  <si>
    <t>Muy recomendables Perfectos y cómodos,</t>
  </si>
  <si>
    <t>Una potencia increíble que permite una gran versatilidad, también por los accesorios que incluye Elegí una batidora potente por que con la anterior tenía que ir con mucho cuidado. Con esta puedes triturar y pasar todo. Tiene un montón de accesorios lo que permite gran versatilidad aunque no todos tienen gran sentido. Lo compré con la picadura de 500 ml pero ql tener cuchilla sólo en la base y no otra a mitad del envase no acaba de picar bien, sobre todo por que sueles usarlo para comidas no líquidas y tienes que ir abriendo y moviéndolo. La barilla para mezclar/montar me parece estupenda. La medida de seguridad (pulsador en la parte de arriba) acaba siendo incomodo. Pero lo único que mejoraría sería que fuera inalámbrica, ese sería el próximo requisito que pediría a mi futura batidora aunque aún espero que aún tarde mucho en comprarla.</t>
  </si>
  <si>
    <t>Almudena Un producto adecuado para la alimentación de mi bebe ya que simula el pecho materno y después de probar otros productos del mercado el único que me funciono es este</t>
  </si>
  <si>
    <t>Buena presentacion Perfecto</t>
  </si>
  <si>
    <t>Hace su cometido Hace su cometido y es económico. Es de fácil instalación y es ligero. Poco más que decir. Amazon perfecto como siempre.</t>
  </si>
  <si>
    <t>Excelente!!!! Me encantan, son super comodos</t>
  </si>
  <si>
    <t>Comodas y livianas Llevan orificios para la transpiración, muy ligeras.</t>
  </si>
  <si>
    <t>Relación calida-precio insuperable Con la calidad que nos tiene acostubrado Verbatin, estos DVD's de uso general se comportan a la perfección, mas de la mitad de la tarrina de 25 unidades grabadas y ni tan solo un fallo o error de grabación. Precio imbatible, embalaje perfecto y tan solo dos dias desde la realización del pedido hasta la recepción. Recomendable su compra completamente.</t>
  </si>
  <si>
    <t>Muy comodas Muy comodas</t>
  </si>
  <si>
    <t>buena calidad buena calidad, acabado muy bueno, no es el tipico velcro de ropa de puntas y pelo largo.</t>
  </si>
  <si>
    <t>Batidora Tiene poca potencia para triturar.</t>
  </si>
  <si>
    <t>A Todos productos tienen pocos fotos,si no los puedo tocar deberían hacer más fotos....</t>
  </si>
  <si>
    <t>Tres tallas más Nada. Lo he devuelto. Pedí un 43 y es un 41. Es un zapato muy sencillo.</t>
  </si>
  <si>
    <t>Se estropearon rápidamente Compré 2, los utilizo para pinchar y la primera vez que fuí con ellos horrible. Tarda muchísimo tiempo en pasar los documentos....los formatee varias veces y nada...apenas se puede escuchar la musica en el coche con ellos. Ponerse a pinchar con ellos fué imposible. Mal.</t>
  </si>
  <si>
    <t>Que funciona El poco espacio que ocupa y lo que no me a justado es que los recipientes sean de plástico lo uso para batidos zumos y desayunos</t>
  </si>
  <si>
    <t>Muy buena, bonita y con detalles de calidad Es preciosa y muy cómoda, tiene espacio de sobra para meter las cosas.  Como pega quizás que el hecho de que sea "antirrobo" hace que sea difícil tanto meter como sacar el contenido de la mochila hasta para ti, así como al no tener obertura superior y solo lateral.</t>
  </si>
  <si>
    <t>Sonido medio - Comodidad alta La calidad de sonido es media. Ciertos estilos de música como el house/techno no obtendrán su mejor calidad pero se mantiene en un nivel aceptable para el precio.  La batería a mi me dura bastante (más que las especificaciones) y la distancia del bluetooth también es buena, puedo moverme por toda la casa sin problemas con el móvil en la otra parte de la casa.</t>
  </si>
  <si>
    <t>Bueno Son los que uso desde que toma biberón con avent  henos acertado ..si que es verdad que el precio no acompaña no deja de ser plástico y nada especial y hay que cambiarlos constantemente pero bueno</t>
  </si>
  <si>
    <t>Buena cafetera y buena relación calidad/precio Es muy fácil de usar, para el precio que tiene es estupenda, pero el café que saca lo veo algo aguado.</t>
  </si>
  <si>
    <t>Biberon avent 330ml Ya tenía dos mas en casa así que ya sabía como era tanto el bibe como la tetina,lo compre porque estaba genial de precio.con respecto a otros sitios</t>
  </si>
  <si>
    <t>Tostadora Muy a gusto con ella</t>
  </si>
  <si>
    <t>Compra recomendable para mi la mejor batidora sin duda Batidora excepcional en la textura de  los batidos y pica el hielo genial..buena compra la recomiendo lo potente que es</t>
  </si>
  <si>
    <t>Su diseño Excelente reloj, muy buena relación calidad-precio</t>
  </si>
  <si>
    <t>es bonito y cómodo los pantalones son mejores de lo que me esperaba por su precio, la tela es de una calidad razonable y el dibujo muy chulo. La talla S queda un poco holgadita (soy bajita y peso 57 kgs) pero prefiero que no sean ajustados, así que para mí son ideales, lo recomiendo</t>
  </si>
  <si>
    <t>Buena compra Cumple</t>
  </si>
  <si>
    <t>Después de 14 meses de uso, sigo satisfecho Mayo 2018: Excelente poder de corte y muy buena para ensaladas, picar quesos, vegetales, hacer cremas y mezcla de waffles... Padras hacer teóricamente todo... Aunque se extraña un poco el batidor.  Agosto 2019: sigue funcionando como el primer día, la uso 5 veces por semana para cremas y panquecas, ningun ruido ni fallos, se me ha caído una vez de 1.5mts... Muy satisfecho.</t>
  </si>
  <si>
    <t>Muy cómoda y bastante completa Llevo varios días probando la pulsera y creo que he acertado con la compra después de mirar muchos productos y comparar precios. Lo cierto es que había mirado muchas pulseras de actividad de este tipo, tanto en Amazon como en tiendas físicas de electrónica. Al final me decidí por esta por lo completa que veía según la descripción y por las opiniones del resto de clientes.  Lo único que me preocupaba era que no me quedara bien en la muñeca o me resultara incómoda, ya que nunca he sido de llevar reloj ni nada y siempre estas cosas me resultaban bastante incómodas, pero al final me sienta muy bien en la muñeca!!</t>
  </si>
  <si>
    <t>Buena compra Muy bonita y resistente.</t>
  </si>
  <si>
    <t>Un auténtico acierto Mi bebe no ha tenido ningún cólico y, aunque hemos probado con otras marcas, es la única que le gusta.muy practico y fácil de limpiar debido a que se desmonta por completo, perfecto para llevar en el bolso de paseo</t>
  </si>
  <si>
    <t>Elegante, ligera y se ve de calidad Además el cometido de la misma. Es decir, calentar agua de forma eficiente, por ahora, lo hace...</t>
  </si>
  <si>
    <t>Genial Todo perfecto, igual que descripción. Llegó 2 dias antes de lo previsto.</t>
  </si>
  <si>
    <t>genial ya he comenzado a usar este aceite, huele muy bien, se absorbe inmediatamente, de momento solo lo he usado poniendo unas gotas en mi champú y mi crema hidratante para el cuerpo y el resultado es bueno, esperemos más resultados. la botella lleva goteo, y es de cristal. El embalaje muy bien.</t>
  </si>
  <si>
    <t>Comodidad Muy comoda</t>
  </si>
  <si>
    <t>Me encanta :D Recomiendo 100% lo volveria comprar.</t>
  </si>
  <si>
    <t>Estoy muy contento Despues de un tiempo utilizandolo, estoy muy contento con este teclado, no dispongo de mucho espacio de trabajo y este producto me ha simplificado mucho la vida.</t>
  </si>
  <si>
    <t>Originales Han llegado a tiempo y perfectas</t>
  </si>
  <si>
    <t>Grapadora profesional. Grapadora de muy buena calidad. Perfecta para el uso en el cierre de protectores plásticos.</t>
  </si>
  <si>
    <t>Pràctico TIENE MUCHOS AROMAS PERO NO SON CONSITENTES Y HAS DE PONER MÁS DE LO QUE TE RECOMIENDAN PARA TENER UN BUEN AROMA.</t>
  </si>
  <si>
    <t>Batidora barata un poco floja Es una batidora muy grande. La impresión que da es que es bastante floja, de plástico y que no va a durar mucho .Creo que si hubiera sabido q era tan floja me hubiera gastado más dinero en una mejor. Cuesta un poco encajar la jarra y da miedo forzar mucho por si se rompe. Hace bastante ruido pero supongo que lo hacen todas.</t>
  </si>
  <si>
    <t>Bonito pero pequeño El reloj es como aparece en las imágenes, pero al no ponerlo junto a una cerilla, me ha llegado y el tamaño me parece muy pequeño para mi muñeca. No hay un tamaño en amarillo un poco más grande???</t>
  </si>
  <si>
    <t>NO FUNCIONA Las cuchillas no cogen los trozos de fruta/verdura para licuarlos</t>
  </si>
  <si>
    <t>Productos falsos. El producto no es original. Es una replica de las Adidas Originals Stan Smith. Comparadas con un par original comprado en una tienda oficial de Adidas. No compréis.</t>
  </si>
  <si>
    <t>Un año ha durado Lo compré para sustituir el disco de sistema de mi portatil y ha durado un año y tres meses. Funcionaba perfectamente hasta que un día el portatil dejó de arrancar, menos mal que tenía copia de seguridad de mis documentos más importantes. Volví a reinstalar mi viejo disco SATA y mi ordenador vuelve a funcionar sin problemas. He intentado clonar la SSD pero da errores de E/S, el disco está completamente inservible.</t>
  </si>
  <si>
    <t>Apto para estudiantes El tamaño está bien para realizar resúmenes conceptuales, no desarrollos extensos. A favor comentar que tras borrar los rótulos escritos sobre ella, no queda ninguna sombra ni resto del mismo, por lo que tras cada borrado queda limpia de nuevo sin trazas. Por contra, el marco de madera se guarrea mucho y resulta anti-estético, pues al apoyar el puño al escribir se queda un poco de sombra del color de rotulador. Para colocarla sobre la pared opté por cinta de doble cara extra-fuerte que venden en cualquier papelería, pues las piezas que venían para colgarla no me resultaron nada útil (tenía que agujerear la pared para poder colgarla, y no podía permitírmelo). Obviad cualquier tipo de colgador en forma de gancho de plástico no recuerdo el nombre, pero no sirve en absoluto. En lo que respecta a la pizarra de nuevo, buen material para el estudio en casa en grupo, como estudiante de ingeniería ayuda considerablemente a esclarecer conceptos al poder verlos en grande.</t>
  </si>
  <si>
    <t>Buen producto Funciona muy bien para hacerte batidos en un momento. La única pega es que la boca del vaso es pequeña y hay que ir metiendo los trozos de fruta o lo que sea poco a poco.</t>
  </si>
  <si>
    <t>Buena sudadera Buena Sudadera de Adidas. El tejido es bastante grueso, para uso en entre tiempo da demasiado calor. El rojo de la prenda es algo más oscuro que en la fotos.  Talla más grande de lo normal (si usas una M normalmente  esta te servirá en una S)</t>
  </si>
  <si>
    <t>Bien Descripción y talla corecta</t>
  </si>
  <si>
    <t>@deiviit89 Es un poco más pesado que el de plástico pero de calidad superior, quizás un poco caro pero está bien para darle un uso diario</t>
  </si>
  <si>
    <t>Calidad y detalles Buena compra. El material resistente, no se deforma; los colores, atractivos y el detalle del soporte para tarjeta, muy práctico.</t>
  </si>
  <si>
    <t>Lo buscado. Discreto. Los pendientes eran para mi hijo de 16 años. Los quería pequeños y poco peso. Solo utiliza uno. Pero no se lo quita para nada y de momento se mantiene como el primer día. Es lo que buscaba.</t>
  </si>
  <si>
    <t>El ordenador vuela Tengo un pporátil hp con i7 de unos tres o cuatro años. Pero iba muy lento, especialmente a la hora de encenderlo. Casi que optaba por tenerlo encendido todo el día para que estuviese disponible con rapidez. Ahora, con este disco sólido, el portátil vuela. Se enciende en segundos. Así que lo puedesapagar o hibernar porque si lo necesitas tarda muy poco en arrancar. La instalación ha sido sencilla aunque me han ayudado. Sólo hemos tenido que duplicar el disco que tenía, abrir el portátil, substituir el disco y, a funcionar. Sin ningún problema. Se necesita poder arrancar el portátil desde un USB.</t>
  </si>
  <si>
    <t>Genial Esta muy bien. Por lo que vale es genial. Igual que la que he comprado otras veces en tienda y muchísimo más cara.</t>
  </si>
  <si>
    <t>Buena elección Queda muy bien y es de tela fuerte y buena calidad,como todo lo de ésta marca.</t>
  </si>
  <si>
    <t>muy contento Se conecta con mucha facilidad via bluetooth. Mucha mejor calidad de sonido de la que esperaba. Puedes usarlo de forma inalambrica o con cable. El pedido llego correctamente sin ningun tipo de problema.</t>
  </si>
  <si>
    <t>Perfecto Genial sin ningún problema me encanta el audio y sobre todo las opciones para hablar</t>
  </si>
  <si>
    <t>Bosch electric kettle Just as expected.Boils quite quickly, not too noisy,good capacity, easy to fill,very visible light when heating,base doesn't take up too much space. Quality seems good and spout pours well. Good value and looks like it should last a fair while.</t>
  </si>
  <si>
    <t>2 metros de excelencia reversible por menos de 3€ Sorprendente relación calidad-precio-prestaciones: por menos de 3€ obtienes un cable de 2 metros, con conector USB reversible, es decir, que no necesitas fijarte de qué lado lo enchufas, igual que el Lightning. En carga va perfecto y la transferencia de datos es, como mínimo, igual que los originales.</t>
  </si>
  <si>
    <t>Se adapta muy bien y no aprieta demasiado Se adapta muy bien</t>
  </si>
  <si>
    <t>Zapatillas Buenas y cómodas</t>
  </si>
  <si>
    <t>En general todo bien &lt;div id="video-block-R1B8ZEKOJWHIVV"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src="https://images-eu.ssl-images-amazon.com/images/I/B10XgsCkY3S.mp4" style="position: absolute; left: 0px; top: 0px; overflow: hidden; height: 1px; width: 1px;"&gt;&lt;/video&gt;&lt;/div&gt;&lt;div id="airy-slate-preload" style="background-color: rgb(0, 0, 0); background-image: url(&amp;quot;https://images-eu.ssl-images-amazon.com/images/I/91evFOIRL-S.png&amp;quot;);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value="https://images-eu.ssl-images-amazon.com/images/I/B10XgsCkY3S.mp4" class="video-url"&gt;&lt;input type="hidden" name="" value="https://images-eu.ssl-images-amazon.com/images/I/91evFOIRL-S.png" class="video-slate-img-url"&gt;&amp;nbsp;Se oyen muy bien, la batería dura mucho y son muy fáciles de enlazar, me gusta que trae varios tamaños de tapón para la oreja, el estuche también va muy bien para llevarlo en la mochila</t>
  </si>
  <si>
    <t>Bonita y càlida chaqueta!! Producto acorde con lo esperando. El color es muy bonito!</t>
  </si>
  <si>
    <t>Precioso Tenía un modelo anterior desde hace varios años, una decada casi y se me rompió el cristal, estaba buscando otro y me gustó este modelo, es muy bonito y elegante, la esfera es grande pero no exagerada y se ve bien, los números digitales no se ven con luz tenue pero no importa, pesa poco y se sincroniza con el reloj atómico, vivo al Sur del Sur de la península :)</t>
  </si>
  <si>
    <t>Muy buena calidad Muy buena calidad</t>
  </si>
  <si>
    <t>J Carlos Las compré para hacer un regalo y triunfé. Estéticamente son una pasada y súper cómodas, según me cuentan. Muy recomendable</t>
  </si>
  <si>
    <t>Buen producto y precio adecuado Producto bueno en relación a s precio</t>
  </si>
  <si>
    <t>Buena relación calidad precio Muy buen producto relación calidad precio muy manejable, la única pega es que lo esperaba menos ruidoso</t>
  </si>
  <si>
    <t>Muy bien Buen producto. Fácil de montar, hay que plancharlo al principio para que no salgan arrugas en las fotos . Igual para fotos de comidas</t>
  </si>
  <si>
    <t>El precio quizá no esté acorde con la calidad Cumplen sin pedir nada fuera de lo normal, ni son las más duraderas, ni las más cómodas, ideales para calzado casual e ir al gimnasio Pero ... Las 3 cajas de zapatillas venían dentro de una bolsa gigante de plástico sin ninguna protección, lógicamente las cajas venían golpeadas, aunque las zapatillas no sufran, la presentación deja mucho que desear</t>
  </si>
  <si>
    <t>bien. la alarma apenas se escucha La alarma casi no se escucha. Lo demas bien. Si lo quieres por la alarma mejor no lo compres. Eso es todo.</t>
  </si>
  <si>
    <t>Mejorable. Esta bien de tamaño, robustez e instalación. Sin embargo para cambiar la clave hay que quitar las pilas. No son como las de los hoteles.</t>
  </si>
  <si>
    <t>Poca calidad Despues de una semana de uso se despega el suelo!!!</t>
  </si>
  <si>
    <t>Desperdicio de dinero... Calidad pésima. Son taaan finas que se arrugan sólo con tocarlas. No sirven para su cometido. Un derroche de dinero, no lo compréis</t>
  </si>
  <si>
    <t>. Es automático o va con pilas?</t>
  </si>
  <si>
    <t>Bien Muy bien pero un poco endeble y hace muxo ruido</t>
  </si>
  <si>
    <t>Buen invento Tengo problemas de perdidas de orina al estornudar o al hacer un esfuerzo. La verdad es que estaba un poco escéptica con el producto, pero realmente funciona. Estuve dos dias haciendo sesiones y pude comprobar que al estornudar controlo mucho mas. Pero no se que me pasa que ahora no consigo hacer los ejercicios, no consigo mantener la contracción y no me las da por válidas. Anoche estuve más de una hora intentándolo y solo conseguí hacer dos. Y me frustré..ahora no se si soy yo o que el kehel no va bien.</t>
  </si>
  <si>
    <t>Jorge Perfecto la raya es perfecta y la bota es totalmente original es un producto cien por cien de calidad y más económico que en otras tiendas</t>
  </si>
  <si>
    <t>Buen aspirador de mano Llevaba tiempo buscando un aspirador de mano para usarlos en casa y la verdad que me ha encantado. Este aspirador me a sorprendido bastante ya que tiene mucha potencia de aspiración lo cual lo hace perfecto, no pesa nada y tiene un buen tamaño lo que le hace muy manejable. Trae varios accesorios y la batería dura muchísimo. Encantado con esta compra.</t>
  </si>
  <si>
    <t>Marca de Garantía, diseño funcional El zapato es un poco pequeño para la talla. Se ha de tener en cuenta, nunca había comprado skechers. Normalmente buscaba Clarks, Dockers, que me han resultado perfectos. No así los otros zapatos que he comprado.</t>
  </si>
  <si>
    <t>Util &lt;div id="video-block-R1YFG4MN225VDU" class="a-section a-spacing-small a-spacing-top-mini video-block"&gt;&lt;/div&gt;&lt;input type="hidden" name="" value="https://images-eu.ssl-images-amazon.com/images/I/B10wZPgh82S.mp4" class="video-url"&gt;&lt;input type="hidden" name="" value="https://images-eu.ssl-images-amazon.com/images/I/91mNqC85NiS.png" class="video-slate-img-url"&gt;&amp;nbsp;La verdad que llevo tiempo queriendo adquirir algo así,  yo la finalidad que le daré será para las llantas de mi coche , los cepillos son robustos y los estropajos no son malos aparentemente aunque aún no los utilice , satisfecho</t>
  </si>
  <si>
    <t>Excelente producto. Muy buena calidad y precio.</t>
  </si>
  <si>
    <t>Buen diseño y acabado. Me he llevado una grata sorpresa con la calidad de los materiales utilizados. En primer lugar el cable está construido de manera que apenas se lía, y cuando ocurre siempre se puede desliar con facilidad y en menos de 5 segundos. Por otro lado las almohadillas de los auriculares son bastante cómodas, no se mueven de su lugar y aislan el ruido exterior. El sonido se escucha con claridez.</t>
  </si>
  <si>
    <t>Buena calidad Lo compré como segundo micrófono para la JoyBox Karaoke y creia que iba a ser un poco como de juguete, sin embargo la calidad es buena y junto con el altavoz JoyBox suena bastante fuerte y no distorsiona. Recomendaria su compra sin duda.</t>
  </si>
  <si>
    <t>Muy recomendable Me gusta mucho este producto, ya que recoje de manera facil tres cosas en un solo sitio y ayuda a su disposición. El único pero que le pongo es el anclarlo en la pared. Yo usé cinta adhesiva de doble cara de ceys, que se supone que aguanta bien, y al principio se cayó varias veces. No es culpa del producto, ya que habrá mil maneras de ponerlo, pero si decidís no hacer agujeros y poner cinta, teneis que poner bastante, sobre todo en azulejos. Aviso a navegantes! El resto genial</t>
  </si>
  <si>
    <t>Impresionante Perfecto diseño al igual que en la película. Incluye un ser de pegatinas, adhesivos para sujetar las fotos y tijeras muy interesantes. La calidad de artículo es muy buena. Muy contento con la compra.</t>
  </si>
  <si>
    <t>Comodidad y ligereza Pantalón muy cómodo para correr. Seca rápido. Lo estoy utilizando para medias maratones y va muy bien. Lo recomiendo.</t>
  </si>
  <si>
    <t>Sudadera muy cómoda Súbete una sudadera es lo que es lo que se ve un buen precio mejor que las tiendas físicas</t>
  </si>
  <si>
    <t>Buena compra Perfecto. Es el segundo par que compro en diferente color. La talla fue perfecta y son muy cómodos para caminar</t>
  </si>
  <si>
    <t>Muy potente De momento me está encantando! Lo hace muy bien! Aún no la he probado haciendo crema de cacahuete, cuando lo pruebe lo actualizo!</t>
  </si>
  <si>
    <t>Calidad de producto Super contentos Muy silencioso por las mañanas ni te enteras</t>
  </si>
  <si>
    <t>No transparenta, buena calidad. Me ha sorprendido gratamente la relación calidad/precio, son comodas, el tejido es bueno, el color es vivo, la talla es correcta y ajustan muy bien.. Comprare mas colores para mi chica sin nunguna duda.</t>
  </si>
  <si>
    <t>Muy bonito Muy bonito y el producto tal cual dice el anunciante</t>
  </si>
  <si>
    <t>Excelente Un buen reloj a un buen precio, cumple con mis expectativas para los entrenamientos. Buena calidad hasta el momento. X</t>
  </si>
  <si>
    <t>No es el primer modelo que compro Aunque el producto no es para mí, llevo más de cinco años comprando el mismo modelo. Desde que probó este modelo no quiere otro. Los zapatos son muy personales, en mi caso este modelo se ajusta perfectamente al pie, talla normal, no tengo que comprar números superiores. El agarre y la comodidad del zapato a destacar.</t>
  </si>
  <si>
    <t>Recuperadora Muy fresca</t>
  </si>
  <si>
    <t>Zapatillas asícs Muy comodas</t>
  </si>
  <si>
    <t>Mala atención al cliente Compré 2, una para la oficina y otra para un amigo. La goma que va en las cuchillas de la de mi amigo se rompió y Amazon nos remitió al fabricante, que nos instaba a recoger los repuestos en sus instalaciones, las cuales están muy lejos para nosotros, así que volví a contactar con Amazon, pero en este tiempo ya había caducado la garantía y me dijeron que no podían hacer nada. Ni siquiera encontramos los repuestos para comprarlos nuevos. La de la oficina aún funciona muy bien, pero si se rompe, ya saben. Insistan a Amazon, porque me parece un abuso que el fabricante te pida que vayas tú a unas instalaciones poco accesibles para todo el mundo.</t>
  </si>
  <si>
    <t>Sin gps,las distancias no cuentan Despues de 6 meses con el reloj,he de decir que en general estoy contento con el,salvo porque si no se usa el gps,las distancias que marca el reloj siempre es de un 10 o 20% menor a la registrada por el gps. Con mi 1,80mts tengo que poner que mido 2 mts para que las distancias se acerquen a la realidad en la app. En el reloj no hay forma que se ajuste la medida del paso para acercarse a las distancias del gps.</t>
  </si>
  <si>
    <t>👍🏼👍🏼👍🏼😉 Calidad/precio</t>
  </si>
  <si>
    <t>Se oye mal Se oyen muy bajos, muy muy bajos. Cuando voy en el metro y la gente habla, literalmente pouedo oir todas las conversaciones mejor que la música. Además son muy incómodos, se caen con facilidad. Una mala compra, sinceramente. Por este precio hay opciones más interesantes.</t>
  </si>
  <si>
    <t>no funcionan bien en algunos ordenadores no se por que no funcionan</t>
  </si>
  <si>
    <t>Rápido y fácil de usar. De momento me parece muy buena compra, calidad-precio, inmejorable. Si no se estropea a los pocos usos, es rápido, sencillo y fácil de limpiar, se desmonta toda la parte que utilizas. He probado con varios tamaños y sirve, corta muy bien y tiene mucha capacidad para el jugo. Como algo negativo diría, que las ranuras para filtrar la pulpa son muy anchas, pero un colador y listo. 😜</t>
  </si>
  <si>
    <t>Funciona bien A mi me ha funcionado muy bien en una habitación que tenía con un pequeño olor. Lo he puesto y la verdad es que se nota desde el primer día</t>
  </si>
  <si>
    <t>Buena compra Lo quería por su sencillez y simplicidad, no pesa, no es un estorbo y funciona a la perfección ideal para el uso diario.</t>
  </si>
  <si>
    <t>Para estar calentito en invierno lo usa mi mujer, que es muy friolera, lo pones un ratito en la cama antes de ir a domir y cuando llegas ya tienes el sitio calentito. también va bien para molestias musculares.</t>
  </si>
  <si>
    <t>Cibelsthetic El aditivo calmante es idóneo,para eo complemento si bien un escaso valor de el aceite ,,,,lk complementa su aditivo...no está mal,,,,,,,y la actuación para calentamiento ennpersonas con dificultad para arrancar el día ,,,le otorga su fórmula,,</t>
  </si>
  <si>
    <t>Mas que recomendable Son una maravilla, no he tenido ningún problema para montar las calas, buen material y un buen acabado, mas que recomendable</t>
  </si>
  <si>
    <t>Buen materia, resistente. Es lo que buscaba un tamaño pequeño para meter llaves, cartera y móvil. Es robusta ,con buenas cremalleras y un precio aceptable.</t>
  </si>
  <si>
    <t>Estupenda calidad, no se calienta en exceso por fuera Con otros modelos anteriores de esta misma marca tuve el problema que la estructura exterior se calentaba tanto que era imposible manejarla. Llegando incluso al problema de que la propia tostadora hacía saltar el contador de tiempo muy rápido posiblemente por exceso de calor en el termostato. En este modelo parece que han mejorado e aislamiento y, aunque algo se calienta, se puede toquetear en pleno funcionamiento.  Las ranuras son anchas y se pueden meter tostadas gruesas, aunque también tiene parrilla superior para tostar sin llegar a quemar o descongelar, ya que tiene modo tostada y descongelado.  Es muy potente, mucho, hay que andar con ojo para que no te queme la tostada. Tiene regulador de tueste y un reloj super retro y super chulo que indica el tiempo que resta para detenerse.  En general una tostadora excepcional.</t>
  </si>
  <si>
    <t>Fantástica La mejor minipimer del mercado al mejor precio posible! Versátil, muy poco ruidosa tomando en cuenta sus 800 W de potencia, más barato que en las tiendas. Conviene adquirirla con el ser medio de accesorios por que se les dá uso.</t>
  </si>
  <si>
    <t>Práctica Muy buena y práctica,Lo único que tendría que venir dos enfriadores para los dos botes,pero muy buena compra</t>
  </si>
  <si>
    <t>Buena calida y muy comodos Los zuecos han cumplkdo con mis espectativas. La talla se ajusta a la medida indicada. La calidad es buena y son muy comodos.</t>
  </si>
  <si>
    <t>Una compra perfecta Abriga mucho, así que estoy muy contenta y de talla me queda perfecto, menos mal que hice caso a otros compradores y elegí dos tallas más</t>
  </si>
  <si>
    <t>Lo esperado. Buena pinta.</t>
  </si>
  <si>
    <t>Pendrive 32 gb huella pata de perro Son pequeñas. Pero cumplen su objetivo. Llegaron antes de tiempo. Excelente servicio</t>
  </si>
  <si>
    <t>Adaptador recomendable Cumple su misión</t>
  </si>
  <si>
    <t>Muy buen rendimiento a precio imbatible Muy buen producto. Tiene una velocidad increíble a un precio muy bueno.  Si su fiabilidad es buena, es una compra de 10 pero eso hasta que no haya pasado un tiempo no lo podré detallar</t>
  </si>
  <si>
    <t>Geniales auriculares Cumplen perfectamente las expectativas. Tienen una calidad de sonido muy buena y con respecto a la batería, no los he usado más de 1 hora seguida, pero parece que la batería aguanta bien. La caja es perfecta, carga muy rápido y los imanes son buenos, se puede transportar perfectamente sin miedo a perderlos. Es cierto que son algo más caros que otros auriculares bluetooth que puedes encontrar, pero estos son realmente muy buenos, en comparativa la calidad es mucho más alta que su precio. En definitiva, muy buen producto, recomiendo su compra al 100%</t>
  </si>
  <si>
    <t>Buenísimas Muy buenas botas, muy calientes y cómodas. Vivo en el norte y ya las he probado bajo todas las condiciones, agua, nieve, hielo, frío intenso, y la verdad es que me han sorprendido gratamente, no esperaba tanto por el precio pagado. Las volvería a comprar sin dudarlo. Además son bonitas y quedan muy bien.</t>
  </si>
  <si>
    <t>Los he vuelto a pedir De momento ( un par de lavados) están muy bien. No aprietan en los tobillos y son bastante cómodos. A ver cuando llegue el verano si también son adecuados</t>
  </si>
  <si>
    <t>NUEVA VIDA PARA EL PORTÁTIL Pensaba cambiar el portátil por lo lento que iba y decidía probar a cambiar el disco por un disco SSD y el cambio ha sido tremendo.Todo va mucho más rápido y ya no hace falta cambiar de equipo. Elegí este Toshiba porque era dentro de un precio razonable el que más rapidez de escritura tenía Opción recomendable</t>
  </si>
  <si>
    <t>Perfecto Justo lo que buscaba</t>
  </si>
  <si>
    <t>algo mas caras algo mas caras que otro modelo que consegui al final pero estas mas detalles tipo bordados o colores llamativos. bien</t>
  </si>
  <si>
    <t>PERFECTO Calidad muy buena piel autentica me encanta envio perfecto incluso llegada 1 dia antes un 10 de 10</t>
  </si>
  <si>
    <t>Es muy fina Hola,es muy fina pensaba que era de un grosor mayor,</t>
  </si>
  <si>
    <t>Victor Su sonido cuando estan puestos no es muy bueno, se oyen ruidos externos con demasiada facilidad y el encaje al final llega a molestar en la zona del oido al rato se tenerlo puesto, por ejemplo a mi novia no le molesta asi que debe ser segun la persona. Si tienes suerte te va a ir genial, si no pues te molestara lo suficiente como para replantearte la compra.</t>
  </si>
  <si>
    <t>Muy pequeño Muy pequeño y la calidad pasable.</t>
  </si>
  <si>
    <t>Mala calidad Los tengo desde navidades (unos 9 meses) y son comodas, pero hacen ruido al caminar y la suela se despega toda. Muy mala calidad para mi</t>
  </si>
  <si>
    <t>Cumple Buena relación calidad precio. Yo los uso para enchufar la guitarra a la tarjeta de sonido del ordenador, para tocar de pie enchufado al ampli se hace muy pequeño. Sin estirar mide unos 80 cm.</t>
  </si>
  <si>
    <t>Funciona muy Bien Es un buen producto, funciona muy bien, quizás le falta mas ram y un poco mas de procesador.</t>
  </si>
  <si>
    <t>Un poco débil el material Un poco débil el material</t>
  </si>
  <si>
    <t>Mejor de lo que pensaba Mejor de lo q pensaba, relacion calidad precio esta muy bien, cumple de sobra las espectativas.en resumen, volveria a comprar!</t>
  </si>
  <si>
    <t>Rápido en llegar Para casa</t>
  </si>
  <si>
    <t>Diseño La sudadera es muy cómoda y suave, el tallajr es bastante correcto también, los colores son muy vivos y los dibujos nítidos como en las fotos</t>
  </si>
  <si>
    <t>el precio genial el precio</t>
  </si>
  <si>
    <t>Funcional Se ajusta a lo esperado. Todavía no la he usado mucho, pero el gazpacho y el allioli salen muy bien.</t>
  </si>
  <si>
    <t>Gran invento, bebé satisfecho No he probado otros biberones pero me parece un gran invento este modelo que tiene como una bolsa en el interior y evita que el bebé trague aire. Nuestro bebé recién nacido lo usa estupendamente por las noches con mi leche materna. De momento no tiene cólicos ni llantos por gases. Además la tetina es muy similar a un pezón y para que salga la leche el bebé tiene que succionar como lo haría con mi pecho. Estamos encantados con este biberón.</t>
  </si>
  <si>
    <t>Útil Suenan bien y vienen en una cajitas rígida con cremallera para que no se enrede en el bolsillo</t>
  </si>
  <si>
    <t>Buena calidad Como siempre, esta marca nunca defrauda, buena calidad el material, el diseño muy como y como siempre hay que pedir una talla menos de la que usas habitualmente si tú talla es europea</t>
  </si>
  <si>
    <t>Tal y como son Preciosos, muy contento</t>
  </si>
  <si>
    <t>Al fin doy en el clavo: perfectos Pues tal como digo en el título, al final doy en el clavo. Llevo varios auriculares bluetooth comprados en busca de unos que fuesen perfectos, y al fin los encuentro. La calidad de sonido es excelente, no requiere ecualización alguna como sí he tenido que hacer con los anteriores que tuve, si acaso les he reforzado los graves pero porque a mí me gustan altos, pero no es necesario. El estuche viene muy bien presentado, y apenas pesa en absoluto. Según abres la caja encuentras el estuche de carga, el cual a mi me ha dado para 9 cargas con sus 600 mAh, cada auricular soporta 50mAh y las cargas las he realizado desde el 30% o 40% de batería restante. Dentro del estuche están los auriculares, que son muy cómodos (los más que he tenido), y si bien es cierto que no traen un botón táctil, sí que incorporan botones físicos para cambiar las canciones. Además permiten sincronizarse conjuntamente, o solo uno de ellos para manos libres (puedes usar manos libres igualmente con ambos sincronizados). El estuche de carga lo he cargado con su cable desde el PC y en apenas una hora se ha cargado, otorgando varias horas de música y multimedia. La carga de los auriculares calculo que llegarán a las tres horas: con dos horas y pico he llegado a tener 30% restante, osea que está genial. Entiendo que a más volumen, menos tiempo de batería ,yo no los uso a tope, pero sí al 60-70% de volumen máximo. Dejo fotos y nada, la mejor compra en audio inalámbrico que he hecho: recomendados 100%.</t>
  </si>
  <si>
    <t>Calidad buena Me gusta el diseño y no se caen, muy útil.</t>
  </si>
  <si>
    <t>Perfecto Todo perfecto</t>
  </si>
  <si>
    <t>Muy buena relación calidad precio. Muy bónitos.</t>
  </si>
  <si>
    <t>Buenos biberones Es la primera vez q los pruebo y la verdad son de lo mejor, la unica pega q la tetina q vienen es del numero 2 y no sale casi nada, toca comprar la tres q es la usan para cuando van creciendo</t>
  </si>
  <si>
    <t>comodidad de calidad Me gusta el calzado de Clarks, cogí este modelo y otro en negro. El granate queda muy bien, trae los cordones en verde y otro juego en granate para intercambiarlos. Es súper cómodo y espero que me duren mucho como todos los Clarks. Lo que no me gusta tanto es la suela que tiene, como que destaca mucho, si fuera oscura creo que me gustaría más. Sin duda, cuando se gasten o se pongan viejos compraré otros igual si los siguen fabricando.</t>
  </si>
  <si>
    <t>Mochila muy bonita Justo lo que esperaba, una buena mochila y el color tal y como se ve. Mi hija encantada y sobre todo es muy práctica con los compartimentos, es una buena marca con detalles que la distingue de las demás.</t>
  </si>
  <si>
    <t>La calidad Son muy comodas</t>
  </si>
  <si>
    <t>Geniales Pedí las azules celeste por poco más de 13€ , el color es muy bonito , son cómodisimas ( mucho más que las chanclas de dedo ) y el diseño genial , pienso pedirlas en otros colores . PD: leyendo otras opiniones pedí un número más al que uso habitualmente y fue un error, calzan normal ni más ni menos , pedir vuestro numero habitual.</t>
  </si>
  <si>
    <t>Muy contentos La verdad es que con este reloj-despestador estamos súper contentos porque va muy, muy bien, se ajusta perfectamente a lo que nosotros necesitábamos y buscabamos. Un diez.</t>
  </si>
  <si>
    <t>Acertado regalo de cumpleaños Zapatilla cómoda, ligera y discreta que combina con todo y se puede lavar en la lavadora, ideal para cuando se acerca la primavera o el verano.</t>
  </si>
  <si>
    <t>Sorpresa :) &lt;div id="video-block-RWOJC3MMA9BKJ"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src="https://images-eu.ssl-images-amazon.com/images/I/D110AFuzXwS.mp4" style="position: absolute; left: 0px; top: 0px; overflow: hidden; height: 1px; width: 1px;"&gt;&lt;/video&gt;&lt;/div&gt;&lt;div id="airy-slate-preload" style="background-color: rgb(0, 0, 0); background-image: url(&amp;quot;https://images-eu.ssl-images-amazon.com/images/I/B1zSmv8TvcS.png&amp;quot;);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value="https://images-eu.ssl-images-amazon.com/images/I/D110AFuzXwS.mp4" class="video-url"&gt;&lt;input type="hidden" name="" value="https://images-eu.ssl-images-amazon.com/images/I/B1zSmv8TvcS.png" class="video-slate-img-url"&gt;&amp;nbsp;Mira que llevo años y años poniendo lavadoras....pues nunca había probado este producto!!  En mi casa últimamente estábamos teniendo un problema. Yo uso productos de calidad para lavar la ropa: tanto el detergente como el suavizante y la lavadora tiene unos 3 años y es de primera marca; pero últimamente había prendas de ropa que no nos olían bien después de secas....Hemos probado varios productos de limpieza añadidos a los habituales y la cosa no mejoraba...incluso he llegado a tirar camisetas porque "no me olían a limpio".  Pues ahora me doy cuenta que es que quizá lo que estaba mal es que la lavadora estaba sucia!!  Únicamente lo he utilizado en 3 o 4 lavados pero desde el primer momento me he dado cuenta que la ropa huele mejor (ya se nota nada más abrir la lavadora) y que el tambor está más brillante después del lavado. Nunca me hubiese imaginado que aquí es donde podría estar el problema.  Estoy encantada con el producto y creo que no voy a parar de utilizarle.  En este caso son pastillas unidosis, que hay que echar en el cajetín para el detergente, junto con él (no dentro de la lavadora con la ropa) y ya está, no hay que hacer nada más!  Las dosis vienen empaquetadas individualmente, para su mejor conservación.  Os dejo un video para que podáis ver el producto de cerca; espero que os sirva ::))</t>
  </si>
  <si>
    <t>Marga Son de plástico puro, y se nota. Son baratos pero no se corresponde con la descripción. Los recomiendo como juguete para niñ@s.</t>
  </si>
  <si>
    <t>Mal sellado en primera fila 3 hojas me han venido con la primera fila sin sellar por la parte inferior del portamonedas y las monedas se caen.</t>
  </si>
  <si>
    <t>Calientan pero se mueven Calienta bastante , para mi cama un poco pequeña , las gomas de sujencion que lleva deberían ser más reforzadas , ya que si te mueves bastante como yo se desplaza la manta , espero solucionen el problema , por lo demás es aconsejable</t>
  </si>
  <si>
    <t>No vale para mi equipo de música del coche Lo compré para el equipo de música del coche y no lo lee es incompatible</t>
  </si>
  <si>
    <t>Pierde el color rápidamente Malo</t>
  </si>
  <si>
    <t>Cumplen Pequeños y coloridos (para mí es importante que se vean bien) El único punto negativo es que parece que la capacidad es mejor que la prometida, se que es normal pero observo que en este caso puede ser algo más acusada que en otros productos. Recomendable por su relación calidad precio</t>
  </si>
  <si>
    <t>Mango y papaya El olor es muy bueno y agradable. Con 3 gotas por cada 100ml es suficiente por lo que hace que el bote aún siendo pequeño su duración sea larga. El olor perdura hasta agotarse el recipiente del humuficador cosa que con otros aceites es dificil conseguir. Relacion calidad precio recomendable. El unico pero que le pongo es que lo tengo delante de un espejo y me lo deja pringoso cosa que con otros aceites no me ha pasado.</t>
  </si>
  <si>
    <t>Buenos cables Muy buenos cables para pedalera</t>
  </si>
  <si>
    <t>Bastante bueno por su precio pero no consigo eliminar el ruido de fondo El micro está bien construido y es de buena calidad, sobre todo por sus prestaciones extra (salida de auriculares). Pero por alguna razón las grabaciones me quedan muy ruidosas y no consigo saber dónde está el problema. Creo que es el propio micrófono pero no estoy seguro.</t>
  </si>
  <si>
    <t>buen producto Calidad precio acordes,para uso doméstico bueno por el poco espacio que usa,se nota alivio en piernas cansadas,lo recomiendo</t>
  </si>
  <si>
    <t>Barato y bonito Bonito reloj de plástico, parece de buena calidad, tamaño perfecto, no es grande. Lo que buscaba para la playa. Totalmente recomendable</t>
  </si>
  <si>
    <t>Zapalillas de calidad Se ven de gran calidad, talla perfecto para mi y son cómodas de llevar. Quizá el color que elegí, el negro, es algo sucio pero volvería a comprarlas siempre que el precio no sea muy alto como de costumbre.</t>
  </si>
  <si>
    <t>Cintas de pelo Buen producto.buen tacto a la mano y colores vistosos. Recomendable el producto.</t>
  </si>
  <si>
    <t>Suaves Además de cómodas son súper suaves  da la sensación de llevar calcetines. Las recomiendo!!!!</t>
  </si>
  <si>
    <t>Magnífico. Absolutamente necesario Ha sido un placer; una manera diferente de afrontar la discordia del frío invierno. No me he resfriado en todo el invierno</t>
  </si>
  <si>
    <t>Gran producto para disfrutar con tu pareja Esta genial mi mujer está encantada. Y yo tb...</t>
  </si>
  <si>
    <t>Bandolera muy cómoda Muy cómoda y funcional con bolsillos para todo. Buena calidad de materiales.</t>
  </si>
  <si>
    <t>Practico, barato y de buena calidad El envio ha sido muy rapido y sin problemas, para ser un pen drive de 32 gb de capacidad es pequeño, barato y ligero, ademss lo puedes llevar de llavero lo que lo hace muy comodo y asi no se pierde, me ha parecido una ganga, y volvere a comprar sin ninguna duda, 100 % recomendable</t>
  </si>
  <si>
    <t>Sencillo y eficaz Compré el producto para regalarlo a mi madre que tenía problemas para conciliar el sueño. Está muy contenta desde que lo usa porque le ayuda a conciliarlo rápidamente. Volvería a regalarlo.</t>
  </si>
  <si>
    <t>Kris Oodji me gusta muchísimo es una marca q sienta bien y buena clidad</t>
  </si>
  <si>
    <t>Mejor biberón Sin duda los mejores biberones.</t>
  </si>
  <si>
    <t>Comodidad y calidad El producto denota calidad de construcción, se escucha muy bien y se conecta rápidamente. Los mandos funcionan bien, y la carga perfecta, buena compra</t>
  </si>
  <si>
    <t>Fantasticas Muy buenas zapatillas de trail, buen agarre y sobre todo la comodidad de suela y amortiguacion. Se ajustan perfectamente al pie.</t>
  </si>
  <si>
    <t>ademas de bonito es muy útil El diseño de este reloj es muy bonito y elegante. Yo lo uso con un movil samsung y la verdad que la sincronización es perfecta. Si que es verdad que a veces no se conecta automaticamente, pero le das a sincronizar i todo solucionado (esto ha pasado 2 veces en mas de 1 año).  tienes un monton de informacion y funciones para el dia a dia. Si lo quieres usar sobretodo para hacer deporte debo decir que el reloj va bien, pero que el medidor de pulsaciones es aproximado, suele ir bien en pulsaciones normales y cuando no sudamos. Pero haciendo ejercicio intenso y sudado a veces las pulsaciones que marca son muy disparatadas, llegando a marcar 235 ppm.  Por todo lo demas funciona perfecto y despues de la ultima actualización aun funciona mejor. Puedes leer los whatsaps en la pantalla, los correos, etc...  muy contento con la compra de este reloj</t>
  </si>
  <si>
    <t>Ideales Los converse clásicas originales de botas. Muy bonitas. En el plazo de entrega establecido por el vendedor. Esta marca da mas talla, en mi caso, fueron 2 números menos de mi habitual numero.</t>
  </si>
  <si>
    <t>Auriculares comodos para hacer deporte Los compre para regalar y la verdad es que es un regalo ideal si la persona es deportista. Puede vincular el bluetooth (que dura unas 4 o 5 horas) de manera sencilla con el telefono y cambiar las canciones o pausarlas con los botones que trae incorporados. Su forma se adecua bien a la cabeza y con los soportes del oido permite un acoplamiento comodo con los oidos.</t>
  </si>
  <si>
    <t>Tal y como esperaba La calidad es excelente y la sujeción perfecta</t>
  </si>
  <si>
    <t>Muy contenta Son cómodos algo de comprensión,ha sido muy buena compra,súper contenta,uso 36de pantalón he cogido la talla S ,estupenda</t>
  </si>
  <si>
    <t>Muy chulo. Todo perfecto.</t>
  </si>
  <si>
    <t>Envió de reloj con características diferentes al que he comprado El reloj que he recibido tiene la esfera azul y no negro como pedí esto me ha sucedido dos veces con este producto</t>
  </si>
  <si>
    <t>tallan grande Las botas en sí, bien, lo esperado, pero son muy anchas...así que no sé si son unisex o hay tallaje de chicas y de chicos... Yo uso un 38 y estas me quedan como si fuese un número más.</t>
  </si>
  <si>
    <t>Caja grande La caja-cargador es gigante</t>
  </si>
  <si>
    <t>Malísimo Malísimo. No lo recomiendo.El palo de dobla...se sale el mango...la esponja también se sale... Nada recomendable una pérdida de dinero</t>
  </si>
  <si>
    <t>No me sirve Nada</t>
  </si>
  <si>
    <t>De juguete, se ha roto en unos meses por batir una crema que estaba caliente cuando dice "termoresistente" Se ha roto de manera peligrosa, podría haberme cortado. El cristal no es termoresistente como bien he podido coprobar.</t>
  </si>
  <si>
    <t>Muy manejable y buena succión. &lt;div id="video-block-R2ZE7UEJEEWXAZ"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src="https://images-eu.ssl-images-amazon.com/images/I/91h2vFgzskS.mp4" style="position: absolute; left: 0px; top: 0px; overflow: hidden; height: 1px; width: 1px;"&gt;&lt;/video&gt;&lt;/div&gt;&lt;div id="airy-slate-preload" style="background-color: rgb(0, 0, 0); background-image: url(&amp;quot;https://images-eu.ssl-images-amazon.com/images/I/91X-NuuxDES.png&amp;quot;);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center;"&gt;0:11&lt;/div&gt;&lt;div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value="https://images-eu.ssl-images-amazon.com/images/I/91h2vFgzskS.mp4" class="video-url"&gt;&lt;input type="hidden" name="" value="https://images-eu.ssl-images-amazon.com/images/I/91X-NuuxDES.png" class="video-slate-img-url"&gt;&amp;nbsp;Aspiradora muy práctica, súper maniobrable y con buena succión al ser con batería sin cable la puedes utilizar tanto en casa como por ejemplo para el coche. La batería no dura mucho es la única pega que le he encontrado.</t>
  </si>
  <si>
    <t>Todo perfecto Fue para un regalo de cumpleaños. El reloj funciona a la perfección, las agujas se ven sin mayores problemas y el diseño acorde  a lo esperado</t>
  </si>
  <si>
    <t>Ideal para moverte 89€ en Junio 2014 Buena tasa de trasferencia y calidad de los acabados como siempre con Lacie. La única pega es el precio, vale el doble que cualquier disco de 1TB "normal".</t>
  </si>
  <si>
    <t>Zapatillas Quedo pequeño, pero son muy chulas</t>
  </si>
  <si>
    <t>Muy compactos Lo que más el tamaño, la caja de carga es pequeña, cabe en la palma de la mano, y para ir a correr entran en el bolsillo pequeño de los shorts. La batería dura varios días, a mi una semana usandoles casi a diario. Calidad acústica muy buena.</t>
  </si>
  <si>
    <t>Producto de primera marca a buen precio. Perfectas para el.día a día, muy cómodas.</t>
  </si>
  <si>
    <t>Satisfactorias Muy contento con ellas.. Han llegado en 10 días, son cómodas, ligeras y buena calidad/precio. La talla es la misma que usas en tu día a día! Si quieres una crítica te digo que pensaba que eran algo más transpirable pero da igual.. Cubren mi jornada de 8hs sin problema 👌🏽 Las volveré a comprar!</t>
  </si>
  <si>
    <t>Perfectas Las de toda la vida.</t>
  </si>
  <si>
    <t>Calidad y precio muy buenos Buscando precio y cantidad, encontré estos y el resultado muy bueno, ya he usado y lavado algunos, y todo bien, sin problemas.</t>
  </si>
  <si>
    <t>BUENA CALIDAD Mi sobrina está encantada, todavia lOS TIENE Y DICE QUE SE ESCUCHAN FENOMENAL</t>
  </si>
  <si>
    <t>Rapidez Guay</t>
  </si>
  <si>
    <t>Perfecto El producto muy bien, pero es una talla pequeña, uso un 45 y he tenido que perdir un 46</t>
  </si>
  <si>
    <t>Perfecto Necesitaba un reloj para el día a día.  Desde que lo tengo no me lo quito de la muñeca, para trabajar, hacer deporte, para todo es ideal, pesa muy poco y se adapta fenomenal a la muñeca, es como si no llevaras nada puesto. Recomendable!</t>
  </si>
  <si>
    <t>Buen producto. Calidad/precio excepcional. La carcassa es de metal, pesa bastante. Para lo que la queria perfecta.</t>
  </si>
  <si>
    <t>gran calidad de sonido y sin los molestos espúreos Buena calidad en los materiales, presentado en una caja con todos sus accesorios, es muy fácil de conectar y con una gran limpieza de sonido a través de su pantalla de tejido. Lo he usado para grabar unos videos y va fantástico. Muy recomendable también por el soporte.</t>
  </si>
  <si>
    <t>Perfecta calidad/precio Me decidí a adquirir un reloj todoterreno para el uso diario. Un reloj vistoso, de tamaño adecuado, que cumple perfectamente con su cometido. Esfera giratoria, días de la semana en castellano y calendario. Precisión y calidad CASIO, basta con nombrar la marca que es sinónimo de garantías. Muy contento, recomendable.</t>
  </si>
  <si>
    <t>100% satisfecho. Producto perfecto, cumple su funcion a las mil maravillas 100% satisfecho y encima es producto oficial sony para mayor confianza y garantia.  viene protegida en una bolsa antiestatica para evitar problemas de corrupcion de datos.</t>
  </si>
  <si>
    <t>Perfecto Muy buen producto. Buena calidad y cumple.</t>
  </si>
  <si>
    <t>Buena calidad El pantalón es de buena calidad, cómodo y queda tal cual se ve en La foto, pero pienso que el tallaje es pequeño porque gasto una talla 38 y pedí una talla 40, contando que las opiniones decían que eran pequeños y me quedan perfectos. Por lo demás ideales.</t>
  </si>
  <si>
    <t>Sonido y comodidad Son perfectos, vienen con una cajita donde guardarlos</t>
  </si>
  <si>
    <t>Muy buena presencia Paños de muy buena presencia y se ven de calidad</t>
  </si>
  <si>
    <t>Skx007k2 Después de estar unas semanas utilizándolo puedo decir que es buen reloj , preciso, cómodo, un buen clásico y más por el precio que tiene.</t>
  </si>
  <si>
    <t>No soporta peso La compré para colgar una cesta de juguetes, de los que se colocan en el baño para escurrir los juguetes de los niños. La marca está bien reconocida y el peso a soportar era bajito. La quería cambiar de sitio y al despegarla estropeé las cintas que traían originalmente. Compré esta porque indica que soporta hasta 10kg de peso por cada 10cm de cinta; el soporte lleva 4 cintas de 10cm (enteoría material para 40kg de peso). Limpié bien la superficie, las pegué, hice presión y lo dejé un día completo "secando" el pegamento para que agarrara bien. La cesta no llega al kilo de peso, a los 20 min de colgarla oigo un golpe en el baño y se había caído... Cambié las cintas y repatí el proceso, con los mismos resultados. La cinta restante la he utilizado para trabajos de papelería para los que funciona muy bien, sin embargo la cinta tiene cierto grosor por lo que para papelería tampoco es la más indicada. No la volvería a comprar.</t>
  </si>
  <si>
    <t>Buena bandolera Cómoda y con buena capacidad, entra fácilmente un portátil de hasta 13" teniendo espacio para alguna cosilla más. Los bolsillos con cremallera son accesibles y prácticos. A diferencia de otros bolsos bandolera, la correa es lo suficientemente larga para poder llevarlo cruzado, sin que quede corto si eres una persona alta. Es un producto bien acabado, y no tiene nada que envidiar a productos más caros. Quizás la única pega es el estampado de la marca en en forro interior.</t>
  </si>
  <si>
    <t>Correcto Están bien Me roza un poco en el Empeine pero seguro que porque lo tengo muy pronunciado</t>
  </si>
  <si>
    <t>Mala calidad Copias chinas baratas que cuando las tienes en tu mano te preguntas porqué has esperado tanto en vez de comprárselos al senegalés de la esquina de abajo</t>
  </si>
  <si>
    <t>Abrigo fallido Lo venden como un abrigo, pero en realidad queda como una chaqueta corta, además suelta mucha pelusa.</t>
  </si>
  <si>
    <t>Pequeñas Hay que pedir 1 talla y 1/2 mas.</t>
  </si>
  <si>
    <t>BUEN APARATO BUEN APARATO PERO ME EQUIVOQUE DEBÍ COMPRAR UNO SIN CABLE SON MAS CÓMODOS</t>
  </si>
  <si>
    <t>Cumple con las expectativas Cumple con su cometido, es un 4 estrellas en calidad precio.</t>
  </si>
  <si>
    <t>Relación calidad/precio/marca Insuperable relación calidad/precio/marca. Auriculares de buena calidad general y sonido de nivel intermedio, no se puede pedir mucho por el precio que tienen. Ideales para el día a día y para todo trote, si queremos más calidad de sonido hay que subir de nivel y gastarse al menos 30 euros.</t>
  </si>
  <si>
    <t>Ideal para hacer deporte Los compré porque todos los auriculares se me caen, en especial cuando haces deporte. El ajuste es suficiente para escuchar con calidad la música, pero no llega a aislar tanto como otros, pero en mi caso es bueno pues tampoco es cuestión de no saber lo que pasa en tu entorno, que puede ser peligroso. Aguanta perfectamente el sudor y os aseguro que sudo mucho. Peso ligerísimo y el cable es lo suficientemente resbaladizo para que no se te pegue en la piel y te de tirones. Lo recomiendo.</t>
  </si>
  <si>
    <t>Muy bueno La talla la que uses habitualmente, pantalón de chándal chulo con un toque diferente por los tobillos ajustados. Buena tela, color muy bonito es entre mostaza y marrón.</t>
  </si>
  <si>
    <t>Aceite Mágico Es mágico deja la piel renovada hidratada y sana , desde la primera aplicación te despiertas con otro rostro , rellena la piel . Pero se me ha caido el bote la primera semana 😭😭😭 y se ha derramado medio bote. Lo vuelvo a comprar ahora</t>
  </si>
  <si>
    <t>Calidad-precio muy buena Buena calidad y sin ruidos.</t>
  </si>
  <si>
    <t>. Buena calidad</t>
  </si>
  <si>
    <t>zapato perfectos en todos los sentidos</t>
  </si>
  <si>
    <t>Muy contenta Está muy bien</t>
  </si>
  <si>
    <t>Buena relación calidad-precio y duración de la batería Me han encantado estos auriculares. Son comodísimos y tienen un diseño muy elegante. Los he comprado de color blanco y tiene los detalles de color plateado. Se cargan muy rápido y la calidad de sonido es espectacular. Destacar sus increíbles graves.</t>
  </si>
  <si>
    <t>Me ha sorprendido su tamaño El disco, es solo para backups, así que cumple lo que promete que es el espacio. Por lo demás, es bastante rápido, y el acabado es elegante. Lo pedí en azul y me lo trajeron en negro, pero bueno, para hacer backups me da un poco igual. Lo que me ha sorprendido es la relación tamaño / capacidad. Es increiblemte pequeño. Casi parece mentira que haya 5TB dentro. Lo tengo al lado del router que es el que gestiona las copias de seguridad, y al no necesitar alimentación, el imparto en el mueble donde lo tengo es mínimo. Me encanta :)</t>
  </si>
  <si>
    <t>Genial Para la feria</t>
  </si>
  <si>
    <t>FANTASTICO QUEDABMUY BONITAS</t>
  </si>
  <si>
    <t>Práctico y eficaz &lt;div id="video-block-R2QC3SFDXT1LC5" class="a-section a-spacing-small a-spacing-top-mini video-block"&gt;&lt;/div&gt;&lt;input type="hidden" name="" value="https://images-eu.ssl-images-amazon.com/images/I/B1f1d3GtSQS.mp4" class="video-url"&gt;&lt;input type="hidden" name="" value="https://images-eu.ssl-images-amazon.com/images/I/717OLx4WcQS.png" class="video-slate-img-url"&gt;&amp;nbsp;Estupendo para los dolores de espalda, cuello o para zonas cargadas. No hay que pasarse con su uso ya que la primera vez que lo usé me gustó tanto que pasé mas de una hora con el puesto en el cuello y al día siguiente lo tenía bastante dolorido por el uso excesivo. Es muy fácil de usar gracias a que lo puedes manejar con los dos brazos y ponerlo en la zona que te interese. Las dos intensidades de velocidad y la acción calor ayudan a un uso mas completo. Muy buena compra.</t>
  </si>
  <si>
    <t>Buena calidad buena calidad.</t>
  </si>
  <si>
    <t>Bonito , elegante y llama la atención Un reloj realmente precioso, esfera dorada, muy elegante y vistoso, tal como se muestra en las fotos. Es un reloj de gran calidad y elegancia, hemos tenido que ajustar un poco la correa de acero, ya que quedaba muy grande, pero ha sido sencillo y lo hemos hecho en casa enseguida ya que viene incluido un adaptador de correas. Ha sido un regalo para mi padre perfecto que se ha recibido con agrado.  Números romanos en dorado . Hay que darle cuarda para que no se pare. Algo muy  cómodo ya no hay que cambiar pila nunca.. Ha llegado en su caja con manual de instrucciones</t>
  </si>
  <si>
    <t>Es un producto muy cómodo Muy cómodo, si sufres de dolor de pies, recomendable</t>
  </si>
  <si>
    <t>Muy buen sonido y durabilidad de la batería Se escucha superbien, eliminando ruido de ambiente. La batería me dura un montón para el uso que le doy.</t>
  </si>
  <si>
    <t>Buenos para un uso doméstico. Decidí comprar estos micrófonos inalámbricos para utilizarlos en un local de ensayo pequeño y cumplen su cometido a la perfección. Tienen un sonido claro y no pesan, por lo que estoy más que contento. No están destinados a un uso profesional, pero para lo función sirven más que de sobra.</t>
  </si>
  <si>
    <t>Cómodo y ligero Funciona de maravilla, el puntero laser es muy potente, con lo que se ve a buena distancia, muy cómodo que porque el receptor de la señal inserto en la parte trasera e imantado para no caerse. Muy buena opción si estás pensando en coger uno.</t>
  </si>
  <si>
    <t>estan muy bien de todo y para todo muy buenas</t>
  </si>
  <si>
    <t>Buenas zapatillas Las uso para ir a correr y son muy cómodas para correr por asfalto.</t>
  </si>
  <si>
    <t>Transparencia modo on! El tacto bien, y son como se ven, aunque quedan un poco cortos. Pero sobre todo, es que se trasparentes muchísimo.</t>
  </si>
  <si>
    <t>Incomoda Baila mucho en el hombro, no es cómoda de llevar</t>
  </si>
  <si>
    <t>Bonitas, pero tallaje muy pequeño Las deportivas muy bonitas, ligeras, pero pienso que transpirar, no transpiran mucho. Las devolví por el tallare, quedaba pequeño, hay que coger casi dos números más, si no, me las hubiera quedado, para el invierno, creo que en verano el pie se cocería.</t>
  </si>
  <si>
    <t>Tuve que devolverlos. Pues he tenido que devolverlo. A los pocos dias de uso dejó de funcionar el microfono del manos libres y de los auriculares solo se escuchaba por uno de los dos canales. Se supone que es el mismo modelo que venía con mi Samsung Galaxy 8+, que eran la caña y perdí. Pero ahora tengo mis dudas.</t>
  </si>
  <si>
    <t>sencilla no responde a mis espectativas, se supone que lleva HIPÉRCO HARPAGOFITO...pero no tiene ningun efecto frio o calor....ni mentol o algo parecido, y no encuentro mejoria en mi espalda al ponerlo, como si sucede con otras cremas del mercado....</t>
  </si>
  <si>
    <t>Perfectas Muy buenas y bonitas</t>
  </si>
  <si>
    <t>Sin quejas. Funciona perfectamente. Gran ayuda en la cocina Picadora de alimentos de gran utilidad, de facil manejo y facil limpieza. Sus 700W hacen que el picado sea muy fino en poco tiempo. LLevo 2 meses utilizando y no ha dado ningun problema. Además viene acompañado con una Batidora para Smoothie para la realización de zumos y batidos. Recomendable.</t>
  </si>
  <si>
    <t>Likirba Por ahora me va muy bien y siempre con la garantía y prestigio ganado durante muchos años de Casio, lo que me parece mal que para bajar costos la caja del mecanismo no sea de acero y con eso muchas veces conlleva que los alojamiento de los pasadores de la correa se parta.</t>
  </si>
  <si>
    <t>Bien La sudardera adidas sienta bien y abriga lo suficiente. Talla más bien poco. La calidad está acorde con el precio.</t>
  </si>
  <si>
    <t>Se han dejado uno por enviarme Están muy bien para lo que valen!!!</t>
  </si>
  <si>
    <t>PRECIOSA Pulsera preciosa, muy fina y elegante, perfecta como complemento a tu look. Con un color precioso y un brillo ideal como podéis ver en las fotos. Queda muy fina y preciosa puesta.Sin duda un regalo perfecto. Muy contenta con la compra.</t>
  </si>
  <si>
    <t>Buena Calidad muy buena para cualquier dispositivo a muy buen precio, recomiendo su compra, he usado muchas tarjetas de distintas marcas y la verdad es q diferencia poca adquiri esta ara una Action camera que necesitaba velocidad de escritura para captura en 4K.</t>
  </si>
  <si>
    <t>Mejor regalo ever Lleva un poco de trabajo llenarla y comprar los marcadores especiales spero es sumamente hermosa al terminar viene hasta con unos detalles para que quede más linda</t>
  </si>
  <si>
    <t>Comodísimas Son ligeras y cómodas, como correr en calcetines con amortiguación</t>
  </si>
  <si>
    <t>Calidad precio inmejorable Contentísimo</t>
  </si>
  <si>
    <t>Bonitos Se han tardado un poco en llegar, pero me han encantado! Son muy lindos.</t>
  </si>
  <si>
    <t>Muy cómodas y fácil de poner con la cremallera Son calentitas y cómodas, además de fáciles de poner con la cremallera.</t>
  </si>
  <si>
    <t>Muy recomendable Lo he comprado para un regalo, pero como suele ser habitual en los productos electrónicos siempre los pruebo antes para saber cómo son y cómo casi siempre dar mi opinión al respecto.  Los cascos se escuchan bastante bien y te aíslan un montón del sonido, tienen unos bajos increíbles.  Se sincronizan demasiado bien y lo que más me gusta de este producto y por lo que se diferencia del resto de los que he comprado es por su función de batería externa de 6000mAh, con capacidad para cargar mi teléfono Xiaomi Red mi note 5 plus y el resto dejarlo para cargar los cascos.  Además su función de bajar y subir volumen dejándolos pulsados también se distinguen del resto que he comprado.  Muy recomendados.  Tuve un pequeño problema con el repartidor de Seur pero como siempre Amazon respondió bien.</t>
  </si>
  <si>
    <t>buena idea a buen precio Precio bueno, calidad correcta, llego en plazo, todo como esperaba, una buena compra que resolvio mi necesidad.</t>
  </si>
  <si>
    <t>Excelente He comprado mi talla, la M, al igual que en las camisetas que no son comprensivas, y me queda bien pegada, muy cómodo, buen tejido, no despinta al lavarse. Merece la pena por precio y calidad</t>
  </si>
  <si>
    <t>Potente, ideal para recoge pelos de mascota. Potente e ideal, poco peso y muy manejable. Muy recomendable.</t>
  </si>
  <si>
    <t>bambas son las bambas que me gustan me gusta todo pues son las que quiero recomendable al que quiera unas bambas como esta que voy a decir</t>
  </si>
  <si>
    <t>Resistente De momento va aguantando mucho y bien. Tenía la duda de si soportaría el peso de un Rode NT1A y si tendría que estar sujetándolo con una mano todo el rato para que no cayese en la mesa, y no, va perfecto. Es verdad que se va bajando a lo largo del tiempo, pero vamos, que hablamos de una caida imperceptible en una semana. La pinza para sujetar en la mesa es a rosca, por lo que tienes margen para ponerlo en casi cualquier mesa, y al menos el mío, no tiene holgura por el uso. En general lo recomiendo</t>
  </si>
  <si>
    <t>Buen reloj Llevo ya varios meses con el y sin ningun problema. Es bastante completo en sus funciones y no es demasiado grande que era lo que yo queria. Tiene todo lo que necesitas para el dia a dia. Lo recomiendo.</t>
  </si>
  <si>
    <t>Gran rapidez en transferencia de datos Mi marido está super contento con él. Necesitaba hacer una copia de seguridad y que fuera al mismo tiempo ágil en la transferencia de datos y cumple muy bien. Además es pequeñito y cabe en cualquier rinconcillo de su mochila. Lo recomendamos.</t>
  </si>
  <si>
    <t>Fuerza de adhesion Buen producto, tiene gran fuerza de adhesion, al venir en este formato es muy comodo para usar en manualidades</t>
  </si>
  <si>
    <t>Muy bien Aparte de lo bonito que es.. No tarda nada en calentar el agua!! Genial!</t>
  </si>
  <si>
    <t>Encantado Cómodas,  las uso para todo.  Dudaba en comprarlas y ahora creo que repetiré en otro color</t>
  </si>
  <si>
    <t>Disco externo con conexión USB-C La velocidad de lectura y escritura es prácticamente el doble a traves del conector USB-C que con los USB 3.0.</t>
  </si>
  <si>
    <t>decepcionante La correa estrechísima. Los enganches, de anilla, malos y flojos. La tela no está mal. En general, muy decepcionado, y eso que repetía por confianza en la marca</t>
  </si>
  <si>
    <t>Buena opción para los primeros contactos. Buen resultado para el precio. El problema lo tengo yo a la hora de configurarlo con mi PC. Problemas a la hora de usar el editor de partituras, no tiene tanta exactitud y es dificil controlar lo que tocas con el metronomo del sofware. Lleva un paquete de programas, pluings y programas para usar con el teclado muy interesante. Además, su tamaño hace que puedas llevarlo a cualquier parte.</t>
  </si>
  <si>
    <t>Instrucciones Las instrucciones vienen en chino y en inglés. No tengo ni idea de cómo se conectan los auriculares al móvil. Ayuda, por favor</t>
  </si>
  <si>
    <t>Falta de seguridad El producto no me ha gustado porque no lleva pared doble y cuando se caliente el agua, va a quemar al tocarlo. No es seguro.</t>
  </si>
  <si>
    <t>Bonitas Bonitas pero a lgo grandes.</t>
  </si>
  <si>
    <t>Sebas Muy bueno, pero la parte de abajo y la.de arriba como que se quitan pero vaya, y también pues los tornillos se oxidan, no se apretaba demasiado y entra agua después de unos días de que estén en la mano</t>
  </si>
  <si>
    <t>Muy aceptable Buen sonido pero algo complicado de usar por ser un sistema excesivamente sensible al tacto</t>
  </si>
  <si>
    <t>Me gusta La mochila está bien. Lo único que no me gusta es que las cremalleras no son de metal y parece que no van a durar mucho.</t>
  </si>
  <si>
    <t>Extrema calidad pero ojo! esta marca, talla grande La prenda es de gran calidad, como es habitual en esta marca. Abriga mucho, muy cálida y pese a que parece una sudadera "rara" la verdad es que es muy bonita y queda estupendamente. Ojo con la talla, esta marca tiene tallaje grande, igual que The North Face. En mi caso suelo usar prácticamente una "S" y debido a comentarios anteriores que alertaban este extremo, decidí por si acaso, probar en un centro comercial la "XS" y efectivamente esa es mi talla. Queda de escándalo.</t>
  </si>
  <si>
    <t>Genial Son comodas y quedan perfectas</t>
  </si>
  <si>
    <t>Perfecto para su uso Parece mentira que en un simple hervidor de agua puedas encontrar mejoras respecto a otros productos pero en este caso hay cosas que me parecen muy útiles: ver la carga de agua desde fuera a través de un plástico transparente y por otro lado las señales de una, dos o tres tazas para un calentamiento muy rápido sólo de la cantidad deseada. Por otro lado tiene buen aspecto y aparentemente buen acabado.</t>
  </si>
  <si>
    <t>Totalmente recomendable Rapidísimo y facil de instalar. Calidad precio buenisimo</t>
  </si>
  <si>
    <t>me encantan Compré las botas guiada por las opiniones que leí en la web y estoy encantada con ellas. Quedan genial con los cordones amarillos y con vaqueros de cualquier color. Tienen un precio muy bueno, porque en las tiendas cuestan el doble.</t>
  </si>
  <si>
    <t>Este sí es bueno Había comprado otros parches de la misma marca para el cuello y fueron una decepción porque no pegaban.  Probé estos de la espalda y tiene un metodo similar a las fajas y va genial</t>
  </si>
  <si>
    <t>Lo que buscaba Son comodisimas. Perfectas para uso diario. Solo que dan mucha talla. Hay que coger una menos de la habitual. Por el resto gran eleccion. Sin duda repetiré.</t>
  </si>
  <si>
    <t>Super clean y con uma fragrancia fantastica Fabuloso!!</t>
  </si>
  <si>
    <t>Pulsera muy bonita Me ha convencido bastante la calidad del material, aunque es muy ligera y cómoda. Tiene partes de metal y plástico además de la plata de ley</t>
  </si>
  <si>
    <t>Pequeños pero excepcionales. Preciosos pendientes de plata. Me encanta el brillo que tienen los cristales. Destacan por su pequeño tamaño y calidad excepcional.</t>
  </si>
  <si>
    <t>Inmejorable La licuadora funciona perfectamente y da una textura a todos los zumos que me encanta, genial para la gente deportista como yo, todo un aciertto</t>
  </si>
  <si>
    <t>Calidad, precio Nada malo a destacar, buenísima relación calida precio</t>
  </si>
  <si>
    <t>Práctica Una aspiradora de fácil manejo y con fuerza para aspirar. Durabilidad 15 min aprox.</t>
  </si>
  <si>
    <t>Cómodas Deportivas sin peros</t>
  </si>
  <si>
    <t>Muy cómodo y práctico Muy buena calidad y los remates genial</t>
  </si>
  <si>
    <t>Como esperaba Como cualquier adidas tienen una calidad muy buena y un acabado genial, recomiendo la marca, duran mucho y aún viejas son muy bonitas. Un saludo</t>
  </si>
  <si>
    <t>Muy buen resultado. Son las zapatillas perfectas para el colegio cuando tu hijo no quiere usar zapato de uniforme porque no puede jugar al fútbol ...  son de piel y la puntera aguanta todo... un par de zapatillas te aguanta todo el curso o más... eso si no le crece mucho el pie claro... (ahí hemos tenido suerte). Ya es el segundo par que compro. Y las volveré a comprar sin dudar.</t>
  </si>
  <si>
    <t>Calidad - precio Las compré para dar en un bautizo como detalle y son muy bonitas. Las rellené de lacasitos ya que son botellitas pequeñas y es difícil añadir otra cosa. Me gustaron mucho.</t>
  </si>
  <si>
    <t>Venía con el vaso pequeño Compré este modelo concreto porque era para un regalo de alguien que está empezando a aficionarse a la cocina y quería una batidora que tuviese el vaso del robot grande; el problema es que me lo mandaron con el vaso pequeño y tuve que devolverlo. El envío y el proceso de devolución, como siempre, perfecto con Amazon.</t>
  </si>
  <si>
    <t>El producto estaba bien, pero me queda grande a pesar de ser mi talla. Lo cierto es que el producto estaba bien, pero lo devolví porque me quedaba grande a pesar de ser mi talla. Gracias.</t>
  </si>
  <si>
    <t>Suficiente para mis necesidades domésticas Viene con tacos spit-rock, que NO son aptos para paredes de ladrillo hueco. Asegúrese de qué clase de pared tiene y use los tacos adecuados.</t>
  </si>
  <si>
    <t>Medela Calma = arcadas Compré este biberón por su tetina calma, que se supone que es ideal para alternar con el pecho. ¡La tetina es tan grande (longitud) que al bebé le produce arcadas! En todos los intentos ha sido un fracaso. Y sin embargo con una tetina normal el bebé come bien. Si pudiera devolverlo lo haría encantado. Una pérdida de tiempo y dinero, además del sofocón para el bebé.</t>
  </si>
  <si>
    <t>Lo peor q no pesa nada y se volea No me sirve es muy fina</t>
  </si>
  <si>
    <t>Comodidad Son muy comodos y faciles de limpiar. Perfectos para personas que oasan muchas horas al día en pie. El problema es que no son antideslizantes como se detalla en sus caracteristicas. Como pilles suelo mojado, resbala bastante. Por lo demás genial.</t>
  </si>
  <si>
    <t>Me gusta Es más amplio de lo que parece</t>
  </si>
  <si>
    <t>util para arreglos de plumiferos tenia unos agujeros en el plumifero y con este parche los he podido tapar. tiene la ventaja de ser adhesivo y poder recortarlo para adaptarlo segun las necesidades</t>
  </si>
  <si>
    <t>Modelo básico Al principio cuesta adaptarse pero son muy comodos. Le hecho en falta ajuste de la tira que sujeta el talón. Y que tras el uso normal de unos meses se ha despegado el logotipo del talon. Por lo demás bien</t>
  </si>
  <si>
    <t>Buena opción Parece mentira que una cosa tan pequeña sea capaz de tanto. Viene con Windows 10 otro aconsejo hacer el upgrade (que tarda bastante) y luego forzar el borrado de windows.old o os quedáis sin memoria. A pesar del upgrade conviene actualizar los drivers de gráficos Intel y el de wifi. A partir de ahí Kodi funcionó como un fenómeno.</t>
  </si>
  <si>
    <t>Sencillo pero muy útil He comprado este hervidor para regalar a una persona mayor así que quería algo sencillo y fácil de manejar. Con sólo un botón se abre la tapa para poner el agua, y otro botón para encenderlo, nada más que eso ya que se apaga solo al llegar a ebullición, tan simple como eso, y es de gran capacidad, con un litro 700 es más que suficiente y lo elegí en color negro porque el diseño me pareció más bonito así que contento porque ha cumplido perfectamente con lo que esperaba.</t>
  </si>
  <si>
    <t>Muy bueno para masaje Me ha recomendado mi amigo, es perfecto para mi cuello y la espalda! Alucinante al masajer la zona que alivió! Tiene tre modos y con color, con 15min me deja muy bien el cuello! Con el precio merece la pena, que he visto más caro en la feria! Por eso no he dudado de comprarlo!</t>
  </si>
  <si>
    <t>Genial Compre esta batidora viendo que estaba muy bien en cuanto a calidad precio. Trae todos los complementos que uso en mi día tras día, para hacer batidos de proteína. La potencia es adecuada, y cumple perfectamente con su función. Estoy muy contento con la compra.</t>
  </si>
  <si>
    <t>Relación calidad precio Bueno y bien de precio</t>
  </si>
  <si>
    <t>Originales Perfectas, vienen el la caja original y bien rematadas. Calzan bien ,pedí mi numero y me quedan perfectas. El color negro es un color fuerte no apagado.</t>
  </si>
  <si>
    <t>fué un regalo la opinion de la persona que lo recibió es optima le recoge toda la espalda y el calor se reparte muy uniforme.</t>
  </si>
  <si>
    <t>Cumple con lo anunciado Compré esta tarjeta para una cámara que graba vídeo a 30 Mb/s y no he tenido ningún problema con ella. Al principio pensé que el producto era una falsificación puesto que las letras impresas en la tarjeta no están perfectas pero después de usarla no creo que lo sea. Y si lo es no importa, funciona muy bien. Tasas de transferencia bastante buenas para el precio pagado. Muy contento</t>
  </si>
  <si>
    <t>practico borrador practico borrador magnético, se puede dejar pegado en la pizarra magnética y así no se pierde, además es bastante ligero.</t>
  </si>
  <si>
    <t>Se limpia muy bien Es perfecta para lo que está destinada.</t>
  </si>
  <si>
    <t>Rápido Es más pequeño de lo que parece. Con un cable 3.0 me funciona casi como un disco duro  interno. Lo tengo como recurso de emergencia para el caso de que se me muera el disco duro y seguir trabajando desde el SSD con él clonado.</t>
  </si>
  <si>
    <t>Buena  calidad Necesitaba  espacio  para  grandes  archivos  multimedia,  y esta  tarjeta  me  lo  ofrece.  De momento  funcionando perfectamente.  Con  el  tiempo,  a base  de  borrar  y grabar  habrá  que  ver  como  se  comporta.  Tengo  varias  tarjetas  de esta  marca  y ninguna  me ha dado  ningún  problema.  Por  lo  cual  la recomiendo.</t>
  </si>
  <si>
    <t>64gby a buen precio. Va bastante rápido, la he comprado para una cámara y sin problemas. Vino bien embalada y la entrega fue puntual. No tengo queja.</t>
  </si>
  <si>
    <t>El mejor HDD del mercado Un excelente producto comprado como Reacondicionado —apenas un mes después ya era más barato comprarlo nuevo, siempre tengo mala suerte— pero recibido en su embalaje original, con las dos bahías en perfecto estado, sin desperfectos y con un rendimiento que me ha dejado muy satisfecho.  Lo formatee en Mac a formato APFS. Lo uso de backup para pelis, series, libros, música, etc, conectado vía USB 3.1 tipo C. Los ratios de lectura son buenos, hiberna cuando dejas de usarlo y reduce el consumo a un 75%, y en cuanto a ratios de escritura es donde mejor se comporta. Incluso instalando librerías externas que exijan lecturas intensas —con Logic Pro o Final Cut— el rendimiento suele estar por encima de la media. Es un HDD tosco, grande y pensado para backups, pero es lo suficiente silencioso y ágil para servir de disco de uso diario. Su luz led externa avisa de lectura, algo indispensable para reconocer qué esta pasando en el interior del disco. Una muy buena compra.</t>
  </si>
  <si>
    <t>Diseño muy elegante Estaba buscando una correa que no fuera las típicas de silicona ya que quería dar con una que fuera elegante y pudiera usar a diario para ir a trabajar. Sinceramente, estoy muy contento. Se adapta genial y al usarla en la ducha no parece que se estropee ni nada por el estilo. La correa es top la verdad.</t>
  </si>
  <si>
    <t>Estupendas Diseño y comodidad, suela no demasiado fina como otras.</t>
  </si>
  <si>
    <t>Increíble para problemas de piel Este aceite es my bueno para problemas en cualquier parte del cuerpo (en mi caso manos), aunque diga íntimo,  va bien en cualquier parte. Dos gotitas llegan para hidratar las manos. Ultimamemente cambian mucho el empaquetado, por ejemplo esta vez la caja era más grande y los colores mas mate, la botella puede ser transparente o negra .... debería de cuidar la marca esto un poco más</t>
  </si>
  <si>
    <t>Producto correcto. Cumple con lo especificado. Son originales. Buen sonido y buen compartamiento. Son totalmente recomendables y su sonido es nitido. Nicrofono incorporado correcto.</t>
  </si>
  <si>
    <t>Excelente relación calidad precio Excelente relación calidad precio. Sonido limpio y sin interferencias. Es un poco grande. Estaría bien que fuera mas pequeño.</t>
  </si>
  <si>
    <t>Inmejorables Me encantan, las mejores mayas que he encontrado en calidad, precio. Quedan genial y no transparentan nada, se adaptan al cuerpo y no presionan. Inmejorables, volveré  a comprar  sin duda. Con respecto al envío, super rápido.</t>
  </si>
  <si>
    <t>Falla al poco tiempo Lo usé para el móvil y al poco tiempo ya no lo reconocía la probé en una tablet y lo Mismo. Y al poco tiempo te dice que la formates.  Ya no lo gasto ya que no vale</t>
  </si>
  <si>
    <t>Diana Las gomas blancas que pensé que eran para ajustar solo son de adorno , por lo demás todo ok en cuanto a calidad precio</t>
  </si>
  <si>
    <t>La cuchilla de la licuadora no es afilada La cuchilla de la licuadora no es afilada, y por eso cuesta para preparar mis zumos. Ellos no se quedan liquidos suficiente</t>
  </si>
  <si>
    <t>No funcionan 4 de 10 (actualizo 6 de 10) Y no es casualidad, me pasó en un primer pedido y me ha vuelto a pasar en un segundo pedido. En total de unos 20, 8 han ido a la basura, un absoluto desastre con el consiguiente problema con mis clientes.  Actualizo: finalmente no venían bien 6 de 10. Dinero tirado a la basura.</t>
  </si>
  <si>
    <t>Fuerte olor a pegamento. Tras un mes de uso y lavarlo muchas veces, nos desharemos de él, ya que tiene un fuerte olor a pegamento, imposible de quitar.</t>
  </si>
  <si>
    <t>No recomendo No es como en la photo. No es rosa.</t>
  </si>
  <si>
    <t>Exelente sonido Bonito diseño, buen sonido, pero a mí particularmente no me agarra bien se me salen ,para hacer deporte a mí no me sirven.</t>
  </si>
  <si>
    <t>Se mueve al usarlo Un poco grande para mi gusto. Como bien dicen en alguna otra opinión, la goma antideslizante que trae en la base es insuficiente, tienes que estar sujetando el exprimidor con una mano mientras lo usas porque se gira. Por lo demás, me parece ideal. Apenas hace ruido y saca hasta la última gota de zumo</t>
  </si>
  <si>
    <t>Muy comodos Muy comodos</t>
  </si>
  <si>
    <t>Cumple perfectamente, pero la conexion WIFI es mas complicada de lo que dicen. En aspectos generales estoy muy feliz con la compra, la relación calidad precio es perfecta y cumple con todo lo que promete. Es ideal para usarla de manera casual, se instala fácil, se usa fácil y en general no defrauda. La única queja en particular que tengo es que la conexión WIFI se me complicó un poco, es la primera impresora WIFI que compro. Los primeros días fue un caos entre descargar app's para el teléfono y mandar a la impresora a imprimir páginas de instrucciones sobre como usar la funcion WIFI. No se si sera porque las instrucciones no estaban bien explicadas para personas que nunca tuvimos una impresora de estas antes, pero dio muchos problemas los primeros días por esto. Hasta que pudimos usar la función WIFI, desde ese momento es la que usamos siempre por la velocidad y facilidad. En si ese fue el único problema, que tarde o temprano lo solucionamos sin recurrir a tutoriales de terceros ni nada, creo que lo solucionarian con solo hacer unas instrucciones paso por paso mas claras. De resto ninguna queja, perfecta para lo que promete y maravillosa por el precio.</t>
  </si>
  <si>
    <t>FUNCIONAL Y PRACTICO ES FACIL DE USAR, Y MUY PRACTICO. CUMPIO CON LAS ESPECTATIVAS QUE TENIA PUESTAS EN EL. ESTOY CONTENTO CON LA COMPRA</t>
  </si>
  <si>
    <t>Buena relación calidad precio. Llegaron muy rápido y bien precintados. Buena calidad de acabados y sonido perfecto. Gracias</t>
  </si>
  <si>
    <t>Interesante producto para los que tenemos dolores de espalda Me lo recomendó un amigo que tenía uno parecido. Encontré este y cómo vi que tenía algunas buenas opiniones, me decidí a probarlo. La verdad que en los días que lo he usado, me ha gustado mucho, te permite masajearte la espalda tu sola y deshacer los nudos que se forman en la espalda por la sobrecarga del día a día. Bones igual que un masajista, pero el poder descargar la tensión de la espalda cada día, me parece muy bueno. Como el aparato pesa un poco, solo con colocarlo en la espalda, ya hace la función y no tienes aue presionar. De momento muy contenta. La batería la cargué una vez y ya son varios días d uso y aún dura.</t>
  </si>
  <si>
    <t>Buen producto Son cómodos y resistentes</t>
  </si>
  <si>
    <t>Me encantan Tal y como es en las fotos, muy bonitas</t>
  </si>
  <si>
    <t>Medela TOP Producto genial. El bebé se ha enganchado bastante bien, es un producto muy limpio y da buen resultado. Lo recomiendo</t>
  </si>
  <si>
    <t>He cambiado y encantada Me encantan las zapatillas, valen para casa , calle....lo que quieras, cómodas, frescas y ademas una cosa que me gusta mucho, es que no suena nada al ser todo goma....mi madre no las hubiera podido utilizar con arma arrojadiza ;)</t>
  </si>
  <si>
    <t>Bueno. Un bolso que me ha sorprendido, me esperaba otra cosa de peor calidad, pero no, está hecho de piel, las costuras están mubieo rematadas. El bolso es discreto en cuanto a tamaño, entra una cartera, funda de gafas, llaves, powerBank 10000mA y sus cables, bolígrafos, pañuelos y poco más. Para mi, suficiente ya que no llevo mas cosas y aun le queda sitio. Es elegante y pienso, no soy experto en moda, que combina con cualquier cosa que te pongas. Si estabas dudando, espero que mi comentario te haga salir de dudas y la compres, no te arrepentirás.</t>
  </si>
  <si>
    <t>Hubiera de otros colores ... Buena compra</t>
  </si>
  <si>
    <t>Buen cable para guitarra Cable de buena calidad y envío muy rápido</t>
  </si>
  <si>
    <t>Buenos olores Hay mucha variedad y es practico para poder probar muchos aromas pero se acaba muy rapido al ser botes pequeños</t>
  </si>
  <si>
    <t>Producto genial Un producto con un acabado perfecto, que además cumple con su función. Viene con una especie de aparato para ajustar la correa a tu muñeca y que es muy fácil de usar. Me ha encantado.</t>
  </si>
  <si>
    <t>Perfectas Muy bonitas, calidad a buen precio.</t>
  </si>
  <si>
    <t>Buena Me encantan! Tal y como las recordaba de mi niñez. Zapato muy cómodo y fresquito para esta época del año.</t>
  </si>
  <si>
    <t>Reloj Esta muy bien y bonito pero no funciona bien el botón de la luz y no se ilumina muy bien</t>
  </si>
  <si>
    <t>La relacion precio-calidad es correcta La verdad es que esta muy bien, pero no entiendo porque no se señalizan las 11 y las 4, me gustaria me dijeran porque lo hacen, por lo demas va todo muy bien</t>
  </si>
  <si>
    <t>Muy buena relación calidad precio Las compré porque a mi marido le gustan las pulseras de cuero y sin duda acerté. Volvería a repetir</t>
  </si>
  <si>
    <t>Buena El único fallo es que flota.</t>
  </si>
  <si>
    <t>Exelente Me a gustado todo,a penas probarla le e hecho una copia a otra de 8 mb con ayuda de un vídeo de Youtube,ahora tengo dos con free mcboot,v an fenomenal</t>
  </si>
  <si>
    <t>regalo para mi madre Yo ya la tengo y mi madre andaba buscando una y le recomendé esta porque es muy rápida, buena y con gran capacidad</t>
  </si>
  <si>
    <t>Batería dura poco Después de casi dos meses de utilizarlo únicamente para entrenar en el gym, hora y media al dia, debo decir que la batería dura muy poco en comparación con los auriculares de diadema. Cuando queda un 40% automáticamente baja a 20% y su duración es de 20mn. No sé si es defecto de batería o es lo normal pero es bastante decepcionante</t>
  </si>
  <si>
    <t>Pequeño Es bastante pequeño, a tener en cuenta si quieres un colgante más grande</t>
  </si>
  <si>
    <t>Siempre serán un misterio El título de mi reseña se debe a que nunca he tenido que cambiar una lavadora debido a que  la cal la haya estropeado. Tampoco conozco a nadie a quien le haya pasado, excepto a las señoras de los anuncios.  Creo que la obsolescencia programada ya se encarga de que las lavadoras (y todos los aparatos, en general) caigan abatidas por K.O.  por motivo ajenos a la cal.  Las uso porque lo que sí noto es que la ropa sale más suave,  como más "melosa". Además, hay que echar mucho menos suavizante y menos detergente.  Un punto negativo es que, muchas veces, las cápsulas no se disuelven por completo y me encuentro "restos mortales" de las mismas en el tambor de la lavadora.  Pero, respecto a lo de si funcionan como antical... pues eso.... no creo que nunca me dure tanto una lavadora como para que logre averiguarlo.</t>
  </si>
  <si>
    <t>decepcion tube que devolverla sporque rompieron al doblarlas a los pocos dias</t>
  </si>
  <si>
    <t>No coge humedad..... Mete agua directamente!!! El reloj es muy bonito... pero mucho! , pero es que no te puedes ni lavar la cara por la mañana. Mete agua como una balsa pinchada. Lo he comprado, entre otras cosas, con la condición de que fuese resistente alagua, como verdaderamente lo pone en la tapa y en la descripción. Busquenme una solución por favor, muchas gracias.</t>
  </si>
  <si>
    <t>Cumple su función No es el disco más rápido pero cumple su función perfectamente. Ha revivido el portátil de un familiar y a un precio inferior a otros. Más de medio año funcionando como el primer día.</t>
  </si>
  <si>
    <t>Buen reloj a buen precio Muy buena relación calidad/precio. El que recibí no tenía los colores del de la foto (azul y rojo), sino negro y rojo. Como me gustó no lo he devuelto. Estuve a punto de devolverlo porque después de comprarlo vi el SEIKO prospex Solar PADI que, además de ser DIVER 200, tiene la corona de rosca y no se para cuando se deja de usar, además de ser muy bonito. También me gusta un SEIKO PROSPEX SOLAR con esfera negra y el segundero rojo.</t>
  </si>
  <si>
    <t>Cumplen perfectamente Leí opiniones de todo tipo y al final me decidí a comprarlos.  Ahora que los tengo he de decir que a mí que tengo una oreja mediana los tengo que poner al minímo en el ajuste de tamaño regulable y me quedan perfectos, por lo que imagino que a la gente con orejas pequeñas le bailaran un poco, no es mi caso, a mi la verdad es que se me acoplan perfectamente  Respecto a la calidad del sonido es normalita.  Todo esto unido a que el precio es bastante bueno comparado con otras opciones hace que lo valore con 4 estrellas.  La única pega que les veo es el cable que es muy endeble, tiene pinta de poca calidad-durabilidad (actualmente los cables de los auricualres han mejorado mucho, este, por contra, parace como de otra época), pero eso habrá que verlo con el tiempo, quizá sólo es una impresión mía.</t>
  </si>
  <si>
    <t>Imbatible Comparado con el de Boss. Solo algún ligero matiz en el tono, además de la distancia de alcance. En el caso de Ammon llegué a una distancia de 10mts. Con una planta de separación. El otro tenía unalcance de unos pasos más. Me parece un producto excelente por precio y calidad. . La batería recargable dura varias horas y se sincroniza fácilmente.</t>
  </si>
  <si>
    <t>Olor muy rico! Tiene un olor muy rico aunque estando acostumbrada a los aceites esenciales me parece que hay que utilizar mucha cantidad para que huela mucho, pero sin duda lo recomiendo porque el olor es muy rico. Repetiré!</t>
  </si>
  <si>
    <t>Muy bueno Excelente calidad preciosa, estoy muy contenta con el biberón</t>
  </si>
  <si>
    <t>Muy buen producto He visto que algún usuario la temperatura del ssd le subía mucho, yo he realizado los test y solo me ha subido a 30 grados haciendo pruebas con ficheros de 10 gb, la velocidad increíble y la instalación superfacil... Todo un acierto. Espero que dure mucho tiempo así.</t>
  </si>
  <si>
    <t>Buena calidad, talla un poco grande Calidad crocs, perfectas. Para si le sirve a alguien de referencia, tengo otras crocs, estas tipo zueco, con la funda de invierno. Son talla 11, y en cambio la 11 de las crocband me caen de grandes. Las cambié por una talla 10, que me sientan perfectas.</t>
  </si>
  <si>
    <t>Ideal El colgante es ideal! Brillante, fino, un regalo perfecto. Viene en una cajita que lleva además una bolsita para guardarlo en un joyero o llevar de viaje y un pañuelo para limpiarlo. El envío rapidísimo. Muy contenta con la compra!</t>
  </si>
  <si>
    <t>Atril para estudiar Si estáis buscando un atril para cuando estudias, leéis o usáis un libro de cocina. Para mí este es el mejor, aunque parece que el plástico va a durar poco, aguanta bastante.  Vale que lo utilizáis con un libro de 1.000 paginas podéis forzarlo, pero lo he utilizado con libros de 600 paginas y muy bien.</t>
  </si>
  <si>
    <t>Versatil Relacion calidad precio muy buena</t>
  </si>
  <si>
    <t>Cómodo Lo que más me ha gustado qué sirve para limpiar paredes y los coches , lo que menos es que es un poco corto</t>
  </si>
  <si>
    <t>Comodas Magnifica compra , a buen precio</t>
  </si>
  <si>
    <t>Buen pendrive Es muy cómodo para llevarlo junto en un llavero, yo lo e puesto en las llaves del coche, siempre es útil tener un pendrive a mano.</t>
  </si>
  <si>
    <t>la rapidez Me ha gustado mucho la eficiencia entre el pedido y la compra del producto. La calidad correcta para el producto comprado al ser de marca.</t>
  </si>
  <si>
    <t>Muy bueno Me a llegado antes de tiempo, y es muy fácil de usar. Estoy muy contenta con el y voy a pedir más. Calidad - precio, excelente.</t>
  </si>
  <si>
    <t>Muy buena calidad Son de muy muy buena calidad, puedes meter bastantes folios dentro sin problema de que se rompan, además, el precio que tiene lo hace fantástico.</t>
  </si>
  <si>
    <t>Ideal para guardar lapices. compre el A6, y para guardar lapices esta perfecto, lo recomiendo, buen material de plastico, queda perfecto en el escritorio.</t>
  </si>
  <si>
    <t>Elegante Necesitaba un reloj para los días en los que hay que ir bien vestido. El reloj es exactamente igual a las fotos. Es muy bonito y elegante. Se ve robusto y de calidad, aunque por ahora solo es la impresión. Tiene cronometro que viene muy bien si haces deporte.</t>
  </si>
  <si>
    <t>todo bien todo bien</t>
  </si>
  <si>
    <t>Buen producto en su categoria Hola,  buena calidad de los materiales y me a gustado el detalle del protector retractil de la cuchilla. Bueno al tacto y robusto</t>
  </si>
  <si>
    <t>RETRO Y ELEGANTE, ANTIGUA Y FUNCIONES MODERNAS. ==RETRO Y ELEGANTE, ANTIGUA Y FUNCIONES MODERNAS== Hola amigos/as de Internet, Hoy vamos a ver una cafetera que combina el diseño retro, antiguo, con las funciones modernas que requieren hacer un buen café, es de la marca RUSSEL HOBBS, vendida y enviada por Amazon España desde su página Web, donde tela pueden envolver para regalo si lo solicitas.  Esta cafetera retro se denomina:  ==RUSSELL HOBBS 21701-56 RETRO, CAFETERA DE ACERO INOXIDABLE CON JARRA DE CRISTAL== La cafetera nos indica el progreso de preparación del café mediante el indicador que lleva en la parte frontal de la cafetera, igualmente nos indica cuánto tiempo lleva activa la función de mantenimiento de calor.  ===CÓMO VIENE=== La cafetera viene bien embalada en el interior de una caja de cartón plastificado color negro, la caja mide 26,5 x 35 x 20.8 cms., en la parte frontal de la caja podemos ver una foto grande de la cafetera, y arriba de ésta el nombre de la marca, RUSSEL HOBBS, también nos indican que pertenece a una colección, RETRO, y nos indican el color, CLASSIC NOIR, además de indicarnos las principales funciones de la cafetera, estas características las especificaré en apartado para ello, en el resto de la caja podemos ver carias fotos más, explicativas de las características y funciones de la cafetera. En caja tenemos la cafetera, una jarra de cristal, una cuchara medidora, y el manual del usuario.  ===DESCRIPCIÓN Y CARACTERÍSTICAS=== Es de color negro y de estilo retro, lleva detalles en metal, concretamente en la base y en la parte superior donde encaja la jarra de cristal, en la parte de metal de la base va grabado el nombre de la marca en el mismo metal, RUSSELL HOBBS, en la parte superior lleva un indicador de progreso del café, es un circulo de cristal ovalado con una aguja en su interior que indica la temperatura y el progreso de calentamiento, este detalle es muy retro, en el lateral del cuerpo lleva el indicador de agua, nos indican para diez tazas normales y 15 pequeñas, y el interruptor de encendido, el sistema del café es distinto al resto de las cafeteras que conocemos de este tipo, en vez de caer un chorro de agua, lleva un tubo alargado y el agua va cayendo sobre el café con un rociado avanzado, por lo que llega a todo el café por igual, la garra es de cristal y tiene capacidad para 1,25 litros de café, suficiente para diez cafés de tamaño grande.  Sus principales características son las siguientes: - Marca: RUSSELL HOBBS - Modelo: 21701-56 RETRO - Nombre: RUSSELL HOBBS 21701-56 RETRO, CAFETERA DE ACERO INOXIDABLE CON JARRA DE CRISTAL - Colección: Retro - Jarra: Cristal - Capacidad: 1,25 litros, para 10 tazas de café grandes - Material de fabricación: Acero Inoxidable con detalles Retro - Potencia: 1000 vatios - Voltaje: 240 voltios  ===UTILIZACIÓN=== Llenamos el depósito de agua y el del café (necesita filtros no incluido en la caja), la encendemos y veremos la preparación del café gracias al indicador del frontal, además de la función de mantenimiento de calor, una vez terminado de extraer el café sacamos la jarra y servimos, tiene una función muy interesante, que es, que podemos sacar la jarra sin haber terminado, la cafetera se pondrá en modo pausa de forma automático, nos servimos, y al poner de nuevo la jarra, continua extrayendo café.  ===CONCLUSIONES=== ME GUSTA MUCHO, primero por su diseño retro, es muy elegante, y segundo por las funciones modernas que lleva, como son el sistema de rociado del café y la pausa automática para poder ponerte una taza de café sin que haya terminado de extraerlo todo, igualmente me gusta porque la considero una gran marca de calidad y de total confianza, teniendo una relación calidad precio fantástica, por todo ello, y por todo lo dicho en la presente reseña, sin duda, SÍ LA ACONSEJO.  Gracias por leerme. Un saludo. Moito67_Ray</t>
  </si>
  <si>
    <t>Comodas y hechas en España Como siempre con Panama Jack tienes calidad y un buen calzado. Súper cómodas para ser botas nuevas. Calzo una 44 y compré una talla más. Son algo caras pero mucho más económicas que en los grandes almacenes. Contento con la compra</t>
  </si>
  <si>
    <t>No aconsejo su compra No merece la pena su compra, no es un sonido limpio, distorsiona en cuanto le subes un poco el volumen. Para un cuarto de unos 12 metros cuadrados apenas da para escuchar música alta.</t>
  </si>
  <si>
    <t>La batería es un gran problema La batería al tope dura unas 3h y media 4 como mucho y el tiempo cargando la son 10h los bajos no suenan lo esperado, de escucha muy alto pero la calidad de audio sin prácticamente el bombo no sirve de nada, pero por el precio que es no está mal</t>
  </si>
  <si>
    <t>Con dudas Sé que hay muchos modelos de converse, pero yo ya he tenido tres pares de estas iguales y estas han sido las únicas que el logo que hay en la parte trasera viene pintado en gris y no en relieve, por eso me genera dudas sobre su originalidad, ya que más bien parecen una genuina copia china, ya que traen todos los detalles de la original. Sin ser detallista, no se nota si no son originales salvo ese detalle.</t>
  </si>
  <si>
    <t>Es falso Tras grabar varios vídeos para llevar a otro ordenador, resulta que los mismos están corruptos y no se pueden ver. Le he pasado un software que testea el espacio real de este tipo de tarjetas, y resulta que tiene unos 8Gb, por lo que todo lo que se ocupe de más, sobreescribe el contenido anterior y por eso se corrompe.  El precio debió ser una pista pero quise arriesgar, pensaba que amazon no es aliexpress, pero parece que sí...</t>
  </si>
  <si>
    <t>Baratucho. No merece la pena Mala calidad y presentación radicalmente distinta a la que aparece en el anuncio. No merece la pena.</t>
  </si>
  <si>
    <t>Estoy contenta Muy bonito</t>
  </si>
  <si>
    <t>Muy bien Todo</t>
  </si>
  <si>
    <t>Perfecte Perfecte, es exactament ho que buscava.</t>
  </si>
  <si>
    <t>Calidad UA Camiseta de compresión Under Armour. El tejido es el típico de UA, de alta calidad, transpirable y muy ajustada. El diseño me parece perfecto, los colores tal cual se ven en la foto. El único pero que le puedo poner es en el tallaje, que talla muy pequeño en comparación con otros modelos de la misma marca. Como primera capa es perfecta, pero por el diseño que tiene sería una lástima no enseñarla.</t>
  </si>
  <si>
    <t>precio si fuera más económico me canta ! La entrega del producto fue rápida y tomó 2 días. Ahora se ha utilizado. La cálida casa de verano va acompañada de ella. Ofrece un toque de frescura y el producto se ve hermoso. ¡A mi familia le encanta!</t>
  </si>
  <si>
    <t>Genial Estupendas, se nota la diferencia muchísimo, van genial y de precio a la mitad que en otros sitios seguiré comprandolas y super puntuales antes de la fecha</t>
  </si>
  <si>
    <t>Perfecto Va muy bien. Es igual que el original que me venía con la batidora, pero más grande. Le falta antideslizante por s ajo y encajar la tapa con l envase, pero el original ya era así. Funciona muy bien.</t>
  </si>
  <si>
    <t>Cómodo y bonito Un regalo con el que ha quedado encantado</t>
  </si>
  <si>
    <t>Comodidad Todo me gusta</t>
  </si>
  <si>
    <t>Lo esperado Muy buena calidad precio.</t>
  </si>
  <si>
    <t>Facil de utilizar Si es comodo de utilizar al tener doble direccion.</t>
  </si>
  <si>
    <t>Ideal para andar Como siempre skechers no falla. Una zapatilla cómoda y ligera como una pluma. Mi madre esta encantada con sus nuevas compañeras de paseo.</t>
  </si>
  <si>
    <t>Un 10 en todo Muy contenta y llegó el día que me dijeron</t>
  </si>
  <si>
    <t>Muy practico y cómodo.... El producto tiene una relación calidad/precio muy muy buena. Lo he probado con emulador y con un Fender Junior. No hace falta engañarse, porque el sonido se ve alterado en comparación con el cable, pero nada que sea para rasgarse las vestiduras....</t>
  </si>
  <si>
    <t>Excelente compra Calidad y precio acorde con la descripción. Los mejores biberones para mis hijos.</t>
  </si>
  <si>
    <t>Perfecta Rápido y buen producto</t>
  </si>
  <si>
    <t>El mejor invento de la humanidad Desde hace años uso crocs, pero hay una gran diferencia entre los que usaba del chino y estos, aún así es un calzado duradero, cómodo y fácil de lavar. Sin duda los recomiendo, aunque no son baratos y menos sin son de colores a la larga los amortizas.</t>
  </si>
  <si>
    <t>Un brazo fuerte Lo tengo montado con un RODE NT1 y va perfecto. Aguanta perfectamente la posición y el peso del micrófono. No es barato pero para mi vale la pena.</t>
  </si>
  <si>
    <t>Recomendable 100% Esta muy bien, tiene un diseño muy bonito,los colores son ajustables,según te guste,la intensidad, creando un ambiente agradable, también tiene temporizador de hora No conlleva ningún riesgo,se apaga automáticamente, cuando se acaba el agua,hecho de materiales ecológicos y no emite ruidos</t>
  </si>
  <si>
    <t>Buena calidad-precio Son zapatos absurdamente baratos y dan perfectamente el pego. Quizá no vayan a ser tan duraderos (aun no tienen ningún desperfecto), pero como mínimo para hacer el apaño son perfectos.</t>
  </si>
  <si>
    <t>Calienta rápido y es higiénica Calienta bastante rápido, es higiénica y fácil de lavar y la verdad es que los acabados son bastante buenos. Definitivamente la recomiendo.</t>
  </si>
  <si>
    <t>Cómodas Muy cómodas, cómo siempre NB</t>
  </si>
  <si>
    <t>Producto defectuoso... Lo he devuelto porqué a las 2 semanas se hinchaba más de la cuenta un lado y no volvía a sacar el aire por lo tanto hacía daño!</t>
  </si>
  <si>
    <t>Hace ruido y la jarra pesa bastante Me gusta como bate.No me gusta que ponga SilentMix cuando hace bastante ruido así que de silence no tiene nada.La jarra pesa mucho y el encajarla y desencajarla cuesta bastante al principio después de varios usos se enrosca y se desenrosca con más facilidad pero al ser tan pesada sigue costando algo.</t>
  </si>
  <si>
    <t>Malas Plástico puro y duro. En azulejo resbala y a demás, el pie izquierdo tenía fallo y se giraba la puntera.</t>
  </si>
  <si>
    <t>TALVEZ EN OTRA OCASIÓN Lo compré pensando que era algo bueno, una vez que requería ser recargado de bateria solo uno de los dos se cargaba y el otro paso cargando por más de 2 días y solo daba 10% de carga.  No me parecieron ser buenos los retorne y me otorgaron una devolución rápida.</t>
  </si>
  <si>
    <t>Buena calidad precio Buena correa auq es grande y probablemente haya q llevarla a acortar. Es bonito, luce bien, de momento ningún problema. Muy buen reloj a buen precio</t>
  </si>
  <si>
    <t>Funcional batidora Es un buen aparato, cumple sobradamente y dispone de buena potencia, también tiene todos los accesorios necesarios para el tema de repostería y son de fácil colocación y extracción. El hecho de no darle las 5 estrellas es por ser algo grande y pesado, lo que hace que sea incómodo cuando se quiera utilizar como batidora de manera vertical, por lo demás demuestra un buen rendimiento y funcionalidad.</t>
  </si>
  <si>
    <t>Robusto Equipo robusto. No me gustó que viene un cable totalmente especifico a este disco, y no viene "amurado" al mismo, haciéndolo difícil para que no se pierda...</t>
  </si>
  <si>
    <t>Buen electrodoméstico Buen electrodoméstico, muy utilitario y una buena relación calidad precio. Muy recomendable la compra. Nuevos accesorios que la hacen muy útil.</t>
  </si>
  <si>
    <t>Buena opción. Si lo quieres para archivos de texto, fotos o algún video, va sobradísimo. La transferencia de datos es bastante buena. Por otro lado el diseño es discreto y los materiales utilizados para el producto parecen buenos. Llevo utilizándolo bastante tiempo a diario y aún no he tenido ningún problema. He comprado varios productos Kingston y estoy encantado.</t>
  </si>
  <si>
    <t>Precio Buen producto. Llegó antes de lo previsto en perfectas condiciones. Recomendable.</t>
  </si>
  <si>
    <t>ligeras son unas zapatillas comodísimas y muuuy ligeras ,el tallaje correcto y por la pinta de la suela parece que duraran lo habitualel cierre de cordones corre muy bien.</t>
  </si>
  <si>
    <t>Entrega correcta y producto genial Perfectas!</t>
  </si>
  <si>
    <t>Buena compra Buena experiencia de compra, volveré a comprar aquí</t>
  </si>
  <si>
    <t>Atril muy poco pesado, perfecto para trasladar Buen atril para trasladar de un sitio a otro,se pliega fácil y no pesa nada.</t>
  </si>
  <si>
    <t>Excelente diseño militar Excelente reloj para hombres , robusto y duradero</t>
  </si>
  <si>
    <t>Piel suave, reduce los puntos blancos y negros La sensación en la piel después de retirarla, es genial. Creo que llega para unos 20-25 usos. Relación calidad-precio muy buena</t>
  </si>
  <si>
    <t>La aconsejo , aparte de elegante cumple con su. Cometido,,  perfecta, economica y la marca de. Calidad,, Tiene una. Linea muy. Bonita i. Moderna, muy practica i facil de usar, perfecta en mi. Cocina, moderna y elegante,,,</t>
  </si>
  <si>
    <t>Muy silencioso. Estupendo humidificador, apenas he ruido, tienes muy buena capacidad para el agua y puedes variar el color de la luz. Con el mando a distancia es muy cómodo de usar, echas bastante cantidad de vapor.</t>
  </si>
  <si>
    <t>Práctica Hay unas piezas a cambiar, ayuda a relajarse prácticamente. Pesado a cogerlo en mano.</t>
  </si>
  <si>
    <t>Muy bonito Buena calidad precio</t>
  </si>
  <si>
    <t>Geniales Son muy cómodas y ligeras. La tela es transpirable y no pesan absolutamente nada. Las uso para trabajar y se va genial.</t>
  </si>
  <si>
    <t>Cómodas y no transparentan nada Tengo dos, una en talla S y otra en talla M. Hago una 38/40 de pantalón y me siento más cómoda con la S, porque vas muy sujeta. La M también es cómoda pero noto que no sujeta igual. Si te gustan las mallas de presión quédate una menos. Estoy encantada con las dos.</t>
  </si>
  <si>
    <t>MUY BIEN YA CONOCIA EL PRODUCTO, ES MUY COMODO , DE HECHO HACE UNOS 4 AÑOS QUE SOLO COMPRO ESTA MARCA DE CALZADO.</t>
  </si>
  <si>
    <t>Tamaño, colores, fácil manejo, prontitud en la llegada o recepción 👌🏽 👍 Me encantó Lo puse en el pasillo por la luz y difundiera el aroma por toda la casa pero mi intención era haberlo puesto en el dormitorio Todo perfecto 👌🏽 Llegó el día previsto 👍</t>
  </si>
  <si>
    <t>Perfecto, no puedo decir más. He probado muchas batidoras pequeñas, pero como esta ninguna. Cumple perfectamente su función. Eso si, teniendo en cuenta su tamaño, no se le puede pedir grandes cosas. La uso principalmente para mezclar el ColaCao y es perfecta cuando le coges el tranquillo. Es cierto que pasa de la velocidad lenta a la rápida y no te permite usar una u otra, pero cuando aprendes a usarlo no es un problema. Parece robusta y es fácil de limpiar.</t>
  </si>
  <si>
    <t>realmente espectacular es una pasada de reloj, la verdad que el diseño es espectacular y de gran calidad. viene muy bien presentado y muy bien precintado para evitar que se rayé.  es un reloj de mecanismo mecánico automático, me gusta muchísimo la caja ya que es toda transparente, es un reloj fuerte , robusto y resistente al agua, lo unico que para mi muñeca es grande pero al venir con un aparato para quitar los eslabones, me lo he ajustado a mi medida,me encanta ademas hay varios tonalidades</t>
  </si>
  <si>
    <t>esta muy bien son para pequeños espacios con poca altura pero estan geniales por su precio</t>
  </si>
  <si>
    <t>El de toda la vida Para algunas cosas vienen bien celos especiales. Pero para las cosas habituales, con este va que arde. Lo he utilizado durante muchos años y siempre me ha sido útil. Tiene, logicamente mayor capacidad adhesiva que el transparente de papel. Lo pegas y ya se queda. Pero cad cello vale para cada cosa.  Es un set de varios que da para mucho tiempo. Así no vas al cajón y no queda.</t>
  </si>
  <si>
    <t>Decepción No ha sido una buena compra. No tiene un año y el cepillo ya no gira, no tiene mucha potencia, se le queda el pelo enredado en el cepillo y es engorroso de solucionar, hay q desmontarla entera cada poco para quitarle obstrucciones. Vale para el coche. Estoy mirando ya para comprar otra mejor. Casi 100€ tirados.</t>
  </si>
  <si>
    <t>No me parece práctico. Decir que es muy bonito, pero no me parece práctico. Lo primero por ese sistema de anillas para las hojas, ya que al ir pasando las hojas tienes que tener cuidado de que no se rompan ya que a veces se quedan atascadas en las anillas. Tampoco me gusta que las hojas son como cartulinas, con lo cual las fotos tienes que pegárselas con pegamento o algún celo. Pero bueno, eso son apreciaciones mías, si no te importa el sistema de anillas ni tener que pegar las hojas el álbum está muy bien, y es muy bonito.</t>
  </si>
  <si>
    <t>no muy bien Son un poco gruesos y no entran bien</t>
  </si>
  <si>
    <t>Tallas muy pequeña Las tallas son muy pequeñas</t>
  </si>
  <si>
    <t>Garantía Muy mala calidad se rompió la correa en meses y ya no tiene garantía</t>
  </si>
  <si>
    <t>No sirve Inútil lo tire</t>
  </si>
  <si>
    <t>Rápido, ligero, mínimo gasto de energía. Para linux hubiera elegido otro.. Me gusta lo rápido que va, también que viene con software para clonar tu viejo disco y para el mantenimiento. Ya puedo mover el portátil sin preocuparme de estropear el disco. Además no pesa como mi antiguo hhd. Lo malo es que no tiene soft para linux y por ejemplo se cuelga al suspender linux. Tampoco trae tornillo. De momento funciona. Si se estropea antes de tiempo lo vuelvo a valorar.</t>
  </si>
  <si>
    <t>La batería Está muy bien para un apartamento. O piso pequeño que no necesites más de media hora , muy bueno para recoger después de comer o algo eventual .</t>
  </si>
  <si>
    <t>Actual Chulisimo.Muy moderno</t>
  </si>
  <si>
    <t>Buena relación calidad/precio. Como el modelo de manga larga me quedaba un poco ajustado, pedí una talla más en la versión de manga corta.  Tejido muy bueno.</t>
  </si>
  <si>
    <t>Se adaptan muy bien y son muy cómodas Muy cómodas, ligeras y con un buen agarre. Quizás las lengüetas un poco estrechas, pero en general muy buen producto a un mejor precio.</t>
  </si>
  <si>
    <t>Estupenda cajonera Compré esta cajonera y otra similar de la misma casa para organizar objetos dentro de un armario y la verdad es que estoy muy contenta. Los cajones se mueven fluidamente aunque si pones peso se encallan un poco. Al ser transparente te permite identificar lo que hay en el interior con bastante facilidad. Lo recomiendo.</t>
  </si>
  <si>
    <t>Son muy elegantes Bonitos y buena calidad.</t>
  </si>
  <si>
    <t>Perfecto. Encantada con los biberones de esta marca. A mi hijo le encantan, las tetinas de silicona son muy duraderas y limpias.</t>
  </si>
  <si>
    <t>Perfectas! Perfectas! Muy bonitas</t>
  </si>
  <si>
    <t>Muy contento. Buena compra. Llevo ya más de un año y está como nueva. La uso todos los días y con mucha tralla. Ojalá fuera un poco más grande.</t>
  </si>
  <si>
    <t>Casio Lo tengo desde hace ocho años!! Es irrompible</t>
  </si>
  <si>
    <t>Noli Llegaron  perfectos son preciosos,  pero no me gustó nada cuando vi que no llegaron en regalo y así lo pedí, gran fallo</t>
  </si>
  <si>
    <t>producto aceptable Buena relación calidad/precio. Suelta hilos de vez en cuando. Espero que no sea de las costuras. Demasiadas cremalleras, alguna solapa estaría bien.</t>
  </si>
  <si>
    <t>Son números pequeños. Seguí el Consejo y pedi un número más que el q uso y muy bien en hacerlo porque son números pequeños. Por lo demás encantado.</t>
  </si>
  <si>
    <t>Comonidad Es bastante cómodo de llevarían producto</t>
  </si>
  <si>
    <t>Excelente y elegante Estoy preparando montones de te, el control de temperatura es muy util, y adoro que tenga infusor.</t>
  </si>
  <si>
    <t>Muy potente y facil de limpiar Es ideal para preparar batidos de frutas y verduras. Es muy potente y tritura a la perfección incluso si se le añade alguna fruta congelada. Muy practico que se pueda batir y en el propio recipiente con tapa que después te puedes llevar a donde quieras. Encantada con la compra</t>
  </si>
  <si>
    <t>Su profesionalida Rápido y todo perfecto</t>
  </si>
  <si>
    <t>Buen reloj Muy bonito!! Calidad- precio genial!!!</t>
  </si>
  <si>
    <t>IDEAL PARA LOS PEQUES El micrófono no pesa nada y la calidad del audio es bastante buena. Tiene la opción de poner una tarjeta mini sd con música para cantar al ritmo de la música. Además, puedes usarlo con luces o sin luces pues las lleva incorporadas al lado del altavoz.</t>
  </si>
  <si>
    <t>Calgón Lavadora Tal cual, perfecto.</t>
  </si>
  <si>
    <t>Más por menos. Relación calidad/precio imbatible. No lo he comprado para sumergirlo así que no puedo opinar sobre la estanqueidad en esas condiciones. Lo he comprado para el dia a dia sobre todo en el trabajo, donde se moja fácilmente. De esta manera no expongo otros relojes que tengo mejores que me pongo para otras ocasiones. De momento, perfecto. El dial quizás es un pelín pequeño para los que estamos acostumbrados a relojes grandes (de 40 mm. para arriba). El bisel giratorio hace que el conjunto no resulte al final tan pequeño como podria paracer. En otras palabras no es talla de hombre ni de mujer, sino más bien lo que se denomina cadete. La calidad general es muy buena para un reloj de 48 €. Caja y armis de acero inox. Sumergible 200 mts. Corona roscada y fondo también roscado son muy buenos detalles. Dudo que encontreis un reloj con esta calidad y prestaciones por un precio similar.</t>
  </si>
  <si>
    <t>perfectos ya habíamos comprado estos auriculares en el pasado, y ahora que los de otro dispositivo se estropearon hemos decidido comprar estos ya que han salido muy buenos. la calidad de sonido es más que aceptable por el precio que cuestan, y de comodidad van muy bien. de durabilidad los otros tienen más de un año y perfectos.</t>
  </si>
  <si>
    <t>Falla bastante Si no estás muy cerca o dirigiendo el puntero al receptor, falla mucho. Hasta el punto de pasarte varias diapos de golpe</t>
  </si>
  <si>
    <t>Precio, calidad, comodidad, Auriculares compactos y con una caja metálica con batería muy pequeña para la carga de los mismos.  La autonomía de los auriculares ronda unas 4,5h más o menos, también dependerá del volumen a lo que los lleves, yo en el trabajo me han dado casi 5h al tenerlos casi al mínimo.  El estuche donde se guardan me ha dado para una semana más o menos de carga, comentar que el estuche es súper pequeño y va imantado para que no se abra y se queden bien conectados.  Como todos los auriculares de este tipo tienen varias almohadillas para ajustarte mejor y que no se caigan al moverte, les falta el aro de silicona que llevan por ejemplo los Samsung gear por el exterior del auricular, para que se ajuste mejor a la oreja y no se salgan.  Tienen certificaciónIPX7 resistente a salpicaduras de agua o sudor.  Se enlazan  dispositivos bluetooth, tanto teléfonos móviles, como relojes con memoria, o MP3, etc..., se pueden conectar por separado y una cosa que se agradece es cuando los sacas de la funda se conectan directamente al dispositivo.  Trae los controles de volumen, de llamadas, play y pausa en los auriculares.  La calidad del sonido no es mala, se podría mejorar, para mi gusto le faltan graves, el volumen es bastante potente.  ** Auriculares recomendables por precio, calidad, comodidad, están muy bien para el precio que tienen.</t>
  </si>
  <si>
    <t>Crema balsámica. Calienta bastante en función de la crema usada la zona expuesta, pero no me resulto útil para aliviar las contracturas, creo que más bien es una crema para prevenirlas</t>
  </si>
  <si>
    <t>Malísimas Las zapatillas son malísimas !!no la compreissss Al mes se te despega el nombre superga y se te hacen agujeros! Merece la Lena comprar la original por 30€ mas</t>
  </si>
  <si>
    <t>Sucias y sin bolsa Las botas me llegaron bastante sucias y con muchas marcas que parecian roces, estuve a punto de devolverlas pero  decidí intentar pasarle un trapo primero, y después de un rato de limpieza ( el trapo era blanco y acabó negro) pero las botas ya parecían otra cosa, se nota la calidad que tiene Panama Jack y lo digo por experiencia ya que tengo varios productos de esta marca, pero la presentación del vendedor deja bastante que desear y es la primera vez que no viene ni tan siquiera la bolsa de transporte</t>
  </si>
  <si>
    <t>Botas de nieve, impermeables y calidas Lo bueno: Parece bastante cálida , cómoda,aunque un pelín pesada, se ve robusta y de buena calidad... Lo malo: Me llega en una caja que claramente no pertenece a la bota, sin logo de la marca, ni nada de nada... Talla más grande Eur 37.5= 23.5cm, mide 2 cm más. Son bastante anchas... Si hubiera sido la talla correcta, me las hubiera quedado.</t>
  </si>
  <si>
    <t>El mejor El módelo mas sencillo para presentaciones. Es robusto y ergonómico en la mano. Lo uso para dar cursos o charlas y me encantam  Mejor que los de imitación que he probado.</t>
  </si>
  <si>
    <t>Bastante bien a falta de uso para ver aguante Los uso para trabajo de hostelería.  Muy cómodos pero a mi personalmente mi número (37) me hubiese venido mejor, aún así los estoy usando. Me falta ver que aguante tienen. Pero la comodidad ante el pvp que tiene genial.</t>
  </si>
  <si>
    <t>Bien Están bien:l. Aunque son un poco tirando a color salmón.</t>
  </si>
  <si>
    <t>Cómodo y práctico Fácil de usar.</t>
  </si>
  <si>
    <t>9/10 Estas zapatillas son perfectas para ir con ellas a diario. Es una gran elección</t>
  </si>
  <si>
    <t>Son las originales. Son las originales, aunque estań un poco descoloridas, no es el rojo tan intenso que sale en la foto.</t>
  </si>
  <si>
    <t>Leggings Leggings llego en su dia , era un regalito para mi madre ,despues de pal dias con ella ,mi madre se quedo muy contenta , la utiliza para ir al gimnasio ,gracias a amazon y el vendedor</t>
  </si>
  <si>
    <t>Bonito y funcional. Lo compre para comprobar si le aliviaba el dolor de enzias a la peke y de momento no se queja, perfecto.</t>
  </si>
  <si>
    <t>Tamaño perfecto Es el tamaño perfecto para el día a día, quizá el espacio en el bolsillo intermedio es pequeño para el móvil, cuando ya es uno de los grandes, pero entra bien. Cabe todo lo que necesito para el día a día, incluso el Kindle, cartera, monedero, llaves, etc. No lo he probado con agua, no sabría decir si es impermeable. Por ahora satisfecho con la compra.</t>
  </si>
  <si>
    <t>CALIDAD RECOMENDADA Excelente muy rentables ya que suelen duran 3 años hasta que se desgasta la goma sujetadora de la nariz y toca reemplazar, cuidando esta zona durarían muchísimo más</t>
  </si>
  <si>
    <t>Bastante bien Aún no he podido usarlo mucho pero parece que esta bastante bien, es tal cual esta descrito por el anunciante. Si fuera un pelín más ancho quizá sería mejor. Pero sin quejas.</t>
  </si>
  <si>
    <t>Son las originales. Supercómodas. Perfectas. El número 39 que es el que utilizo normalmente me calza bien, ni grande ni pequeño.</t>
  </si>
  <si>
    <t>10/10 Compré estos pendientes y no me arrepiento. Tamaño perfecto. Tengo la piel sensible y al ser de plata no me han hecho una mala reacción. Bueno, bonito y barato.</t>
  </si>
  <si>
    <t>Zapatilla clásica y cómoda. Las tengo en dos colores ya, son muy cómodas, usa el tallaje Nike, que quizás es medio número pequeño, pero si sabes tu talla pues son ideales.</t>
  </si>
  <si>
    <t>Encantados Una maravilla de hervidor, rápido como el sólo, precioso detalle el de los leds, cómodo por poder extraer la jarra de la base, limpio por sólo tener contacto con el agua el vidrio, y grande para poder hervir agua por ejemplo para preparar 4 ó 5 infusiones a la vez algo que antes nos era muy complicado hacer con el microondas. Consume electricidad? SI, es tragón pero su rapidez compensa su consumo, me explico: es lo mismo un electrodoméstico que consuma 1000w encendido 10 minutos que uno que consuma 2000w 5 minutos, gracias a su potencia esos picos de consumo son cortos, si fuera menos potente tardaría más en hervir y por lo tanto acabaría consumiendo lo mismo, que eso no sea un freno, es recomendable 100%.</t>
  </si>
  <si>
    <t>Buenas y buen precio!! Están bastante bien, hacen su función,  fácil de extender y quitar con agua, a buen precio.</t>
  </si>
  <si>
    <t>Muy buen micro Es un microfono de condensador con muy buena calidad/precio. Al ser de condensador requiere de una interfaz de audio con phantom power de +48V o un power supply de phantom power, sin usar una de estas dos cosas se oira con un volumen muy bajo.</t>
  </si>
  <si>
    <t>Auriculares cómodos Los auriculares me llegaron ayer y me sorprendió la caja en la que venían, muy chula y práctica para guardarlos, además vienen con una pinza y un anclaje para colgar la funda que traen en donde quieras cuando caminas o corres. Hoy los probé en una de mis caminatas y funcionan correctamente, el sonido es bueno y claro; además se adaptan perfectamente a mis oíos/orejas…son muy cómodos, no notas que los llevas puestos a no ser por el cable que llevan que es bastante largo. Creo que ha sido una buena compra.</t>
  </si>
  <si>
    <t>Geniales Muy buena compra. Pero la suela he tenido que despegarla y quitarle la parte que han colocado para hacer que se marque el puente. Esta demasiado marcado. Se soluciona fácilmente quitando la espuma que va pegada a la parte de abajo de la plantilla. Con esa espuma para mi eran muy incómodas para caminar. Tampoco esperes que abriguen demasiado</t>
  </si>
  <si>
    <t>Muy buen hervidor Estoy muy contenta con el hervidor. He decidido cambiarme para el vidrio, porque el hervidor que tenía antes dejaba sabor al agua al hervirla, este sin embargo no. También es mucho más fácil de limpiar, es verdad que al ser de cristal hay que tener más cuidado pero la limpieza es más cómoda y el cristal no es como el de las cafeteras, este es más gordo. El agua hierve muy rápido, y la temperatura la puedes variar según quieras el agua. Me ha gustado mucho la función que tiene como termo, mantiene el agua caliente durante mucho tiempo. También es un punto a favor que tenga unas luces y sepas si está encendido o apagado. Muy contenta.</t>
  </si>
  <si>
    <t>bonito y a buen precio Bonito y elegante. Fue un regalo para mi hija y le gustó mucho. Aun no lo ha utilizado pero es original ya que da juego para la imaginación ya que puedes hacer scratbooking</t>
  </si>
  <si>
    <t>Cremalleras rotas en apenas dos meses. Súper decepcionada. Lo compré para regalo a mi chico, ni dos meses y las cremalleras rotas, todas. Para el precio que tiene, no merece la pena. No lo volvería a comprar.</t>
  </si>
  <si>
    <t>Todo Micro brazo no al no estar bien ensamblado</t>
  </si>
  <si>
    <t>Robusto, y buen manejo sin el accesorio de corte. El aparato esta bien construido y se ve robusto, aunque el sistema de corte y sujección no vale para nada, al final lo terminas haciendo a dos manos que es muchísimo más rápido, y practico, se limpia relativamente bien con un cepillo</t>
  </si>
  <si>
    <t>Susana Suelo usar este tipo de calzado y este modelo me ha decepcionado, está mal tallado, pequeñísimo, y el dedo pulgar no tiene refuerzo superior, casi ni lo tiene inferior. Mejor cualquiera de los otros modelos. Una pena porque estéticamente es de las más bonitas y discretas.</t>
  </si>
  <si>
    <t>MALA  COMPRA Hace dos meses que lo compre y es una mierda.se retrasa y de vez en cuando se para ,lo doy un golpecillo y vuelve a funcionar.muy mala compra y eso que he gastado un monton de Casios</t>
  </si>
  <si>
    <t>Bonita Bonita camiseta térmica y a buen precio yo 1.78 y 83 kg con musculo talla L y me queda bien.</t>
  </si>
  <si>
    <t>Calidad Memoria usb versátil tanto para usar en el pc como en un teléfono con entrada usb tipo C. Es rápida y apenas se calienta. La tapa plástica que recubre el usb tipo C es endeble. Por lo demás, es correcta.</t>
  </si>
  <si>
    <t>Muy muy comodos Producto estupendo.muy cómodo.  Espero q el tejido interior de la suela y el talón sean más resistentes q en los anteriores. Son a mi juicio, su punto débil. La talla es la normal . Gracias</t>
  </si>
  <si>
    <t>Basicos Pen drives basicos, pequeños, y muy utiles, con el unico handicap de ser usb 2.0. Pero la relacion calidad precio es mas que buena. Obligado tenerlos para usos diversos</t>
  </si>
  <si>
    <t>Muy buenas chanclas , un clásico. bonita chancla clásica han vuelto de nuevo y es una buena noticia ya que pertenecían a una época en la que la chancla era por excelencia esta. Son para llevar al gimnasio a la ducha, Piscina... etc también suplementarias para la playa pero no para caminar mucho, ni para llevar con calcetines como hacen algunos, si las quieres llevar con calcetines , pide un número más pero estas chanclas deben de ir ajustadas hay gente que dice que aprietan pero es que si no aprietan te matas andando. Lo importante es que la huella del pie quede perfecta puesta el empeine debe de apretar al final acaba cediendo un poquito.</t>
  </si>
  <si>
    <t>Recomendable Estoy súper contenta. Cómoda, práctica, pequeña y potente. Es lo idea para limpiar día a día, sobre todo los que tenemos mascotas. Muy fácil su limpieza. Calidad precio buena</t>
  </si>
  <si>
    <t>Anillo barato y muy bonito Queda muy bonito. Espero que dure y no se ponga negro porque me encanta. No me lo quito para nada.</t>
  </si>
  <si>
    <t>Muy cómodos Me han encantado estos sujetadores, yo los compre un poco más grandes porque los quiero para dormir y estar por casa, no quería que me ajustaran tanto. La verdad son súper cómodos. En la foto parece que cubren más de la cuenta pero es porque compre talla L, (mi talla correcta sería la M y de sujetador normal soy 95 C). Muy recomendado</t>
  </si>
  <si>
    <t>Cómodas Comodísimas y de talla correcta. Un poco anchas, como viene siendo habitual en Vans. Gran relación calidad/precio, estas zapatillas duran varios años.</t>
  </si>
  <si>
    <t>- Cepillo de limpieza (Rojo, De plastico) Vendido por: Amazon EU S.a.r.L. Producto Plus Poco hay que decir sobre una cosa tan cotidiana,ergonómico, el cepillo encaja perfectamente en el mango del recogedor, con lo cual no se cae ,si lo quieres tener colgado Excelente relación calidad precio, jamás pensé , que compraría un recogedor, por internet,pero había buscado ,y no había encontrado nada que cumpliera mis requisitos.Fue una recomendación de Amazon, relacionada con otra compra que hice.Me parece interesante que Amazon me recomiende productos</t>
  </si>
  <si>
    <t>Comodas Zapatillas Originales, cómodas y a buen precio. Estilo de siempre, de las All Star. Recomendables 100%. Mejor cogerse una talla menos</t>
  </si>
  <si>
    <t>B B B B,B,B Bueno Boniti y Barato</t>
  </si>
  <si>
    <t>Pequeños pero matones Imanes de 3mmx6mm utiles para todo tipo de trabajo, me ha sorprendido que tienen mucha fuerza y cuesta separarlos. Vienen en un estuche de plastico que resulta muy util para almacenarlos.</t>
  </si>
  <si>
    <t>El mejor! El mejor pegamento!! El de toda la vida.</t>
  </si>
  <si>
    <t>buena tarjeta y buen precio la compre para aumentar la capacidad de almacenamiento del movil de mipadre no ha dado problemas y la velocidad de lectura y escritura es buena para el precio que tiene recomendable</t>
  </si>
  <si>
    <t>Se oye estupendo Soy youtuber y me enamore del audio la primera vez que lo vi en un vídeo si os dedicáis a la locución o narración os recomiendo este micrófono</t>
  </si>
  <si>
    <t>Cómodos, buen sonido y batería de larga duración Sonido muy bueno tanto en reproducción de contenido multimedia como en llamadas de móvil. Fácil manejo a través del sensor táctil en cada uno de los auriculares. Muy cómodos, se adaptan perfectamente. Bateria de larga duración, se recargan mientras están guardados en su caja. Se conectan muy fácil a través del bluetooth de cualquier dispositivo. Otra cosa que me gusta es que puedes conectar cada uno de los auriculares a un dispositivo distinto. La verdad es que me han sorprendido gratamente.</t>
  </si>
  <si>
    <t>Excelentes Las conocidas Superga, tan de moda y tan cómodas. Os recomiendo pillar vuestro número habitual, si estáis en la media talla...la que quede por encima. En una primera compra en otro color, me decanté por un número demasiado justo viendo que se decía por aquí que tallaban grande. Yo que uso un 41'5 cogí el 41 y me quedaban muy apretadas e incómodas. En este par, elegí el 42 y son perfectas.  Es un producto magnífico, pillado a un gran precio en Amazon.</t>
  </si>
  <si>
    <t>Ideal para un regalo Aún no sé si es plata de verdad o no, haré un acto de fe, lo compré en una oferta y es para un regalo así que veremos a ver</t>
  </si>
  <si>
    <t>Lo esperado Compré estas botas como regalo a mi hermano, por que tenía un precio muy ventajoso respecto a otros sitios. Llegaron en el tiempo establecido y son tal y como esperábamos. Muy recomendadas!</t>
  </si>
  <si>
    <t>Limpiador de vitro La utilizo desde hace tiempo y va genial No lo aconsejo en vitros muy nuevas</t>
  </si>
  <si>
    <t>Gran idea REGALO Reloj, muy bonito entrega rapida, ideal para REGALO. BUEN PRECIO.</t>
  </si>
  <si>
    <t>Buen acabado. Perfecto. No puedo decir nada malo de este bolso, me ha servido para meter mi ipad, me ha gustado el buen acabado que tiene, y es muy comodo.</t>
  </si>
  <si>
    <t>Mal embalaje Me gusta la marca , me disgusta la forma q trae el estuche sin separadores, lo cual hace q vengan arañados</t>
  </si>
  <si>
    <t>Bueno calidad precio Bueno para limpiar radiadores, flexible, buena calidad.para guardarlo se puede pasar la punta por un orificio que tiene el mango de madera.</t>
  </si>
  <si>
    <t>que se pueden arreglar me gusta que se pueden arreglar y no se deshacen como las clavijas de 1 /4 . aunque un pelin , cortos , un saludo</t>
  </si>
  <si>
    <t>Mali Mala calidad</t>
  </si>
  <si>
    <t>Basura Así me ha llegado después de 2 meses.</t>
  </si>
  <si>
    <t>Maxtor STSHX-M401TCBM - Disco Duro Externo de 4 TB De momento todo perfecto, muy rapido, silencioso y aunque el cable que viene no parece de tan buena calidad como el disco, Maxtor es una buena marca. La entrega en la fecha acordada, como siempre.</t>
  </si>
  <si>
    <t>Buen sonido a buen precio El otro día decidí comprar estos auriculares. Buscaba unos que tuvieran conexión Bluetooth pero que no fueran intraurales o de botón. La verdad es que comparando otras marcas y productos, vi que estos no sólo estaban a muy buen precio, sino que tenían muy buenas opiniones y su batería duraba muchas horas. La experiencia ha sido buena. El sonido me gusta. La única pega es que son un poco incómodos, pero todo es cuestión de acostumbrarse. Los recomiendo sin duda.</t>
  </si>
  <si>
    <t>tamaño y peso No es el discoduro externo más pequeño que tengo pero de tamaño y peso me parece que es perfecto. Seagate es una garantía siempre y la impresión a la vista y el tacto son buenas. Lo he formateado para Mac y lo he empezado a usar y va perfecto. No le doy  las 5 estrellas porque el embalaje llego muy deteriorado y con aspecto de haber sido descuidado en exceso e incluso parecía que alguien había intentado abrir la caja para revisar el contenido.</t>
  </si>
  <si>
    <t>Cumple su función Es un producto muy barato y que cumple perfectamente su función, es pequeña y manejable. La única pega que le encuentro es que el cable lo podrían haber puesto más largo, que no llega al medio metro. Pero por lo demás genial.</t>
  </si>
  <si>
    <t>Buena calidad Es un bolso bandolera de muy buena calidad, con buenos materiales y parece que duradero, quizás es un poco caro pero mejor gastar algo más en algo con buena calidad.</t>
  </si>
  <si>
    <t>Son geniales En cuanto abrí el paquete me sorprendió gratamente la suavidad que tiene. Lo compré para usar con un recien nacido y la verdad es que nos va muy bien, para limpiar cara, usar de toallitas en casa, incluso para la bañera y dejar de usar esponja ya que son un nido de bacterias. Estas toallas es un multiuso para todo</t>
  </si>
  <si>
    <t>Mucho rollo Hay mucho rollo, no creo gastarlo todo, me viene muy bien tenerlo guardado, he usado una parte de momento y la tengo en la pared para anotar cosas. Si no puedes pegarlo en tu pared porque es defectuosa puedes utilizar chinchetas que va a cumplir la misma función, una buena compra</t>
  </si>
  <si>
    <t>Todo bien Lo esperado para una tarjeta de este tipo. Todo bien</t>
  </si>
  <si>
    <t>Nueva vida a mi portatil No defrauda. Llevaba tiempo dándole vueltas y al final me decidí a comprarlo para mi Acer Aspire 5750G. Reinstalé Windows 10 de cero sobre este disco, me animé a cambiar a Edge para navegar y el portátil está como recién comprado, increíble el salto a nivel velocidad de arranque y navegación internet. Respecto a la instalación y traspaso de datos, no usé el software que trae, no me lie con imágenes de disco y demás. Lo hice más sencillo: Instalé Windows 10 de cero sobre este SSD virgen. Compré un cable USB a SATAy una vez instalado el sisema operativo, conecté el disco duro antíguo por USB y fui pasando los datos de cada usuario.Pienso que además la instalación queda más límpia así. Además le puse 4 GB de memoria adicional (aunque lo que de verdad aporta velocidad es el SDD) y en un día, portátil nuevo por un precio módico..</t>
  </si>
  <si>
    <t>Buen precio Todo perfecto, funciona perfectamente, cumple todas las expectativas, envío rápido.</t>
  </si>
  <si>
    <t>Muy bien Vale la pena, lo recomiendo! Me encanta es de cristal y tiene buena capacidad! Lo volveré a comprar muy bien</t>
  </si>
  <si>
    <t>Muy buena compra : an excellent  purchase Los compré para poder usar las tuercas para otros pendientes - siempre pierdo las tuercas. Estas tuercas son de plata y no me provocan ninguna alergia.</t>
  </si>
  <si>
    <t>Perfecta Una tarjeta micro-SD de buena calidad, marca buena y fiable, con buena capacidad y buena velocidad...  ¡Y solo cuesta 7 € a estas alturas!  De momento no me ha dado problemas, y creo y espero que no me los dará.  Viene con un adaptador a tarjeta normal, como suelen incluir las micro-SD.</t>
  </si>
  <si>
    <t>super buenos Muy buen producto tengo uno puesto en la ps4 pro y no me dado ningún problema y el otro en pc funcionan perfectamente no hacen tanto  ruido como la gente dice y me parece que ps4 arranca un pelin mas rápido los juegos. A vienen con enchufe español y americano  así que ningún problema</t>
  </si>
  <si>
    <t>Confortable. Muy util</t>
  </si>
  <si>
    <t>Lo mejor para tus pies Son súper cómodos y quedan como un guante, me encantan.</t>
  </si>
  <si>
    <t>Acierto Lo instale en un Aio HP con un i3 que iba como una patata y se convirtió en un ordenador rápido y potente.</t>
  </si>
  <si>
    <t>Perfectas!!! Son unas botas perfectas! se nota que son de gran calidad. Las recomiendo, se nota a simple vista que serán duraderas</t>
  </si>
  <si>
    <t>Muy satisfecha con la compra Me encanta</t>
  </si>
  <si>
    <t>Buena relación calidad precio buen diseño, buena relación calidad precio, facil de instalar, facil limpieza, buena capacidad de succión, 3 velocidades aunque la mas fuerte es algo ruidosa entra dentro de lo normal para una campana extractora. La recomiendo.</t>
  </si>
  <si>
    <t>Buena licuadora de buena calidad Licuadora profesional a precio muy bueno. Es fácil de usar y de limpiar y además tiene unos acabados y una potencia bastante buenas. Me gusta hacer purés de verduras y licuados de fruta que quedan genial Lo recomiendo</t>
  </si>
  <si>
    <t>Los colores no son tan vivos. Los colores no san tan vivos como los de la foto.</t>
  </si>
  <si>
    <t>Funciona genial y las actualizaciones han arreglado los fallos que se comentan. Llevo dos semanas de uso bastante intenso del reloj y la cosa ha ido bastante bien. He leído de todo de este reloj buenas opiniones y bastantes malas. He de decir que me decidí por este y no por el Galaxy Watch porque la diferencia de precio no justificaba los añadidos. En cuanto a las notificaciones va genial, recibes todas las del móvil y en el caso de WhatsApp (debe ser por una actualización) si que puedes leer todos los mensajes y contestarlos. En el deporte todo va genial, no necesitas llevar el teléfono ni siquiera ya que solo el reloj monitoriza todo lo necesario hasta crea la ruta en el mapa cuando vas a correr. El pulso lo mide mejor que la mayoría de smartwatches y el sueño más de lo mismo. Tal vez es un poquito grande para dormir con el pero en cambio es muy bonito y sienta genial con la ropa del día a dia. Puede que sea un poco generoso al contar pasos pero no excesivamente. En cuanto a la batería si lo usas 24h al día dura 2 días, ni más ni menos. Si te lo quitas para dormir y tal puede que lo alargues un poco más. En definitiva estoy contento, vengo de un smartwatch de wear os y creo que Samsung lo ha hecho mejor que Google.</t>
  </si>
  <si>
    <t>Calidad Alemana La calidad y los acabados son muy buenos, son robustos y tanto el diseño como la construcción son sorprendentes. Respecto al sonido el nivel de detalle que ofrecen es increíble, tienen mucha claridad y muestran lo que hay de verdad. También destacar que los agudos son altos, pero a mi gusto lo que consigues es un nivel de detalle en los agudos que no he escuchado nunca</t>
  </si>
  <si>
    <t>Blandos Cepillos muy blandos, no sirven para limpieza profunda como dice, solo para limpieza muy superficial y suave con agua y jabón - nada de lejía ni químicos. Los míos duraron 20 minutos.</t>
  </si>
  <si>
    <t>Pawaca Bolso del pecho del cuero de los hombres, bolso del bandolera de Crossbody Es demasiado pequeño</t>
  </si>
  <si>
    <t>Cero patatero Un desastre de reloj ! Lo tengo un mes y sin motivo aparente gastandolo 90 minutos al fia tan solo se a parado de repente y no funciona.</t>
  </si>
  <si>
    <t>No comprar Malo no lo siguiente a los 2 días se rompió la ruleta de ajustar hora. Lleva días en la basura ya</t>
  </si>
  <si>
    <t>Roto en menos de un año Lo compré en marzo de 2018, la versión de 4Tb. Ya se ha roto, muerto total, sin posibilidad de acceso. He abierto la caja, por si fuera el conector, que fallan más que una escopeta de feria, pero nada, kaput. Lo barato sale caro. A ver ahora quién se hace cargo. Os cuento.</t>
  </si>
  <si>
    <t>Tamaño súper pequeño, Material excelente de aluminio, Grán capacidad 64 GB... MI HONESTA OPINION: Necesitaba comprar un pen drive de mucha capacidad y de un tamaño reducido, no me importaba que fuese USB 2.0 porque es para usar en unos dispositivos antiguos que no soportal el 3.0, y este como tenía material de aluminio y era muy pequeño fue el motivo que me hizo comprarlo..  Después de usarlo bastantes días, varias semanas mejor dicho, puedo dar mi honesta opinión para así ayudaros a decidiros. Creo que en mi caso almenos, cumple con todo lo que promete la descripción, como mencióne anteriormente tiene buena calidad de materiales, gran capacidad y tamaño excelente.... Ademas dice que es impermeable, (OJO: No quiere decir sumergible obviamente). En general es un buen producto, mis dispositivos leen sin problema los archivos introducidos.  Prodrían mejorar la transferencia de archivos, es muy inestable. Y el sistema de archivos, que solo nos da la opción usuario de formatear en eX-FAT o NTFS.  Si estas buscando un pen drive de mucha capacidad, y tamaño reducido sin importarte que sea USB 2.0 te lo recomiendo sin dudas.</t>
  </si>
  <si>
    <t>Buena compra Solo la he utilizado cuatro veces. Vino todo muy bien empaquetado y antes de lo dicho por amazón (que tan malo es que llegue tarde como que llegue pronto). Para una casa de 70 metros cuadrados me ha dado para pasarla cuatro veces en el nivel más bajo sin agotarse la batería. Succiona bastante bien en la mínima potencia, desde mi punto de vista aunque no equiparable a la típica aspiradora. Muy cómoda de utilizar y de limpiar. Poco ruido.</t>
  </si>
  <si>
    <t>Muy útil para objetos de pequeño peso La capacidad de atracción es baja pero resulta muy útil para objetos de pequeño peso si se utiliza verticalmente ya que puede resbalar. Horizontalmente aguanta mayor peso. Tengo un Google Home Mini bajo los muebles altos de la cocina y queda perfectamente adherido. Se puede cortar con tijeras.</t>
  </si>
  <si>
    <t>Resistente y practica Despues de varios meses de uso continuado, sigue como el primer dia. Practica y resistente. La unica pega, la correa de colgar un pelín corta</t>
  </si>
  <si>
    <t>Justo lo que se anuncia. Cumple perfectamente su función. En las instrucciones del producto ya pone que no se puede utilizar para cuadros o cosas valiosas, que sólo sirve para pósters. Para estos me ha funcionado muy bien, pero sólo se pueden poner tres pósters con el número de tiras que vienen y el precio es muy elevado. Mala relación calidad-precio.</t>
  </si>
  <si>
    <t>Aceite esencial Me gustan mucho</t>
  </si>
  <si>
    <t>Muy estable para su peso, un acierto. No pesa mucho pero ojito que engaña, está muy bien fabricado y las patas encajan a la perfección,con lo que brinda un apoyo estable y da mucha confianza. El pie es telescópico y el brazo abatible con lo que abarca todo tipo de alturas y salva cualquier posible obstáculo. Si tuviese que repetir ya sé cual pillarme.</t>
  </si>
  <si>
    <t>Muy útil !!!! Justo lo que buscaba para limpiar los radiadores de casa, muy largo y con un buen mando, se va toda la pelusa que entre medias de los tubos.</t>
  </si>
  <si>
    <t>Inmejorables La marca skechers para mi es lo mejor, tenía problemas de talones y Dolores en la planta del pié y se me quitaron tan solo con usarlos y este modelo en concreto no tiene cordones para atar y es lo más cómodo del mundo, se te adaptan al pie como si fuese un guante</t>
  </si>
  <si>
    <t>Buenas zapatillas Buena calidad y buenas zapatillas</t>
  </si>
  <si>
    <t>16 Gb a precio económico Pequeño, resistente de momento estoy contento con él, lo utilizo para meter música y escucharla en el coche , ya que el equipo tiene entrada de USB. El envío fue muy rápido y aproveché para comprar varias cosas que tenía pendiente para que no me cobrasen gastos de envío.  Lo recomiendo totalmente.</t>
  </si>
  <si>
    <t>Me gusta La calidad</t>
  </si>
  <si>
    <t>Sujetador deportivo Sujetador deportivo muy agradable y bonito. Lleva relleno que se puede quitar o poner al gusto de cada una y que permite que se ajuste correctamente al pecho.</t>
  </si>
  <si>
    <t>me gusta. el vestido es igual que en la foto y me quedo bien . gracias y el servicio es de primera.</t>
  </si>
  <si>
    <t>Fantástico Caja completísima para preparar un regalo especial.</t>
  </si>
  <si>
    <t>10 Supera las expectativas.  El color perfecto. Son muy cómodas y sobre todo bonitas. Compraría de nuevo otras superga. Recomendación, probar en tienda antes de pedir, varia mucho el número.</t>
  </si>
  <si>
    <t>Buena compra Buenas</t>
  </si>
  <si>
    <t>SanDisk para siempre Llevo compradas muchísimas tarjetas SanDisk y nunca cambiaré de marca: - Absolutamente fiables: en todos los años que las llevo usando, ni un solo problema - Rápidas en lectura y escritura - Fáciles de instalar  Para mí es sin duda el fabricante de tarjetas de memoria mejor y más fiable, con diferencia.</t>
  </si>
  <si>
    <t>Ha llegado en poco tiem0o Ha llegado en perfectas condiciones</t>
  </si>
  <si>
    <t>Conga excellence 990 Como suponia el conga 990 no es mas que una copia de este modelo. Y mientras que la bateria “”original”” del conga en su pagina cuesta casi 60 euros (si no mas, y si tienen stock), esta es la misma y a mitad de precio. Y si buscáis el modelo de bateria en otras paginas podéis fliparlo con el precio.</t>
  </si>
  <si>
    <t>Un buen aparato Esta batidora ha sido una buena adquisición, tiene un motor muy potente que bate y pica fenomenal. Me encanta la rapidez con la que bate y el resultado. Los accesorios que vienen con la batidora son muy útiles para mi sobre todo el vaso para la picadora. El material de las cuchillas parece de muy buena calidad. Creo que su relación calidad precio es muy acertada y estoy satisfecha con la compra.</t>
  </si>
  <si>
    <t>Cancelación de ruido completa Lo que mas me ha fascinado de estos auriculares es su tecnología de cancelación de ruido. Los uso principalmente para aislarme en el trabajo donde normalmente suelen haber conversaciones cruzadas y ruidos externos. Tras un mes de uso estoy encantado con estos auriculares, aunque su precio es elevado merecen la pena. Los destacaría por tres cualidades: cancelación de ruido, calidad de audio y la duración de su batería</t>
  </si>
  <si>
    <t>Muy buen hervidor calidad/precio Me ha gustado mucho, calienta rápido, cómoda, buen diseño y gran capacidad</t>
  </si>
  <si>
    <t>Normal Me esperaba más, no es todo lo que dice, botones muy sinsibles y se cambia todo el rato la hora</t>
  </si>
  <si>
    <t>Cuerda muy escasa Poca cuerda para tantas etiquetas, podrian poner una poca mas,,ahora hay que comprarla a parte, tamaño esperado segun descripcion, saludos</t>
  </si>
  <si>
    <t>Pensaba q sería mejor. Pensaba que sería más chulo, pero en la foto parece de más calidad de lo q luego es. No me ha acabado de gustar</t>
  </si>
  <si>
    <t>Pendientes cartílagos. Son de bastante mala calidad, pero por el precio que tienen dan el apaño. Actualmente me estoy poniendo el plateado y la verdad es que no se me cae ni nada. Tampoco es excesivamente brilloso, lo cual está bien.</t>
  </si>
  <si>
    <t>Mala calidad de auriculares Me ha durado nada. Se estropearon solos y dejaron de funcionar. Menos mal que amazon funciona de maravilla y recupere mi dinero.</t>
  </si>
  <si>
    <t>Mala calidad 2 meses después de la compra se sale la leche al agitar. Uso un biberón diario porque  el resto de tomas es leche materna y se han cuidado desde el primer día según directrices de fabricante. No volvería a comprarlo.</t>
  </si>
  <si>
    <t>podia ser melhor Podia ser melhor</t>
  </si>
  <si>
    <t>BUENA COMPRA Bastante calentita, es de un género parecido al de los forros polares.</t>
  </si>
  <si>
    <t>comodisimos Son ideales para caminar o estar de pie todo el dia.Aunque no son de piel ,lo aparentan.lo que menos me gusto es que el tejido 3d que viene forrado por dentro es en blanco y eso se nota por se ve ,aunque sea poco.</t>
  </si>
  <si>
    <t>Zapatillas con pequeña plataforma Cuando llegaron pensé que no le gustarían a mi hija y .....  está encantada con ellas.</t>
  </si>
  <si>
    <t>Usb con memoria para el móvil &lt;div id="video-block-R21XL1I087SM3T"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id="143" preload="auto" src="https://images-eu.ssl-images-amazon.com/images/I/A1RdU6YdpjS.mp4" style="position: absolute; left: 0px; top: 0px; overflow: hidden; height: 1px; width: 1px;"&gt;&lt;/video&gt;&lt;/div&gt;&lt;div id="airy-slate-preload" style="background-color: rgb(0, 0, 0); background-image: url(&amp;quot;https://images-eu.ssl-images-amazon.com/images/I/91uuwYt+F6S.png&amp;quot;);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value="https://images-eu.ssl-images-amazon.com/images/I/A1RdU6YdpjS.mp4" class="video-url"&gt;&lt;input type="hidden" name="" value="https://images-eu.ssl-images-amazon.com/images/I/91uuwYt+F6S.png" class="video-slate-img-url"&gt;&amp;nbsp;Me ha encantado ya que no tengo casi memoria en el móvil y con este usb amplio la memoria y ya no tengo que preocuparme de que me falten datos</t>
  </si>
  <si>
    <t>Perfecto De momento me está gustando mucho.</t>
  </si>
  <si>
    <t>reloj muy rapido y tobo bien. Por el momento esta bien, no me ha dado tiempo de prueba pero es lo esperado</t>
  </si>
  <si>
    <t>Sudadera nike Algo largas las mangas</t>
  </si>
  <si>
    <t>alex super guapas muy comodas las compraria otra vez sin dudarlo.es el numero correcto gasto el 44 son un poco anchas pero muy bien.</t>
  </si>
  <si>
    <t>Un gran clásico. Si te gusta tener unas zapatillas que trás dos días se convierten en un guante para tu pie, quizá estes buscando las Authentic.  Son ideales para sitios donde hace buen tiempo, pero aún no siendo mi caso ya que donde vivo llueve con asiduidad, no hay problema ya que no calan el agua, por lo tanto tus pies se mantienen secos igualmente.  un producto de 5 estrellas siempre.</t>
  </si>
  <si>
    <t>Pulsera fina y elegante Buen primera impresión. Es una pulsera elegante. Veremos qué tal con el paso del tiempo</t>
  </si>
  <si>
    <t>Muy buen producto. Por fin un sujetador deportivo que sujeta bien y como yo lo quería. Contenta con mi compra.</t>
  </si>
  <si>
    <t>Útil Son una pasada con estos biberones mi hijo no a tenido ni un solo cólico En este pack incluía un chupete pero no llego en la caja.</t>
  </si>
  <si>
    <t>Tarjeta fiable Cumple su función. Rápida y fiable. No da errores. Uso esta marca desde hace años y siempre sin ningún problema.</t>
  </si>
  <si>
    <t>Buena manera de despertarse Este despertador inteligente incorpora sonidos suaves como alarma tipo olas del mar y pájaros. La luz es muy suave y se puede regular la intensidad. Permite combinaciones programables para que cada usuario elija la que más le apetece (permite guardar hasta 2 alarmas). Se le puede poner una pila para que actúe como batería de emergencia en caso de que haya algún corte de luz y, además, tiene radio. Si tuviera que ponerle algún punto negativo, sería que no consta el consumo eléctrico del despertador.</t>
  </si>
  <si>
    <t>auriculares supercomodos auriculares super comodos para hacer deporte, se escuchan muy bien y la la bateria es duradera</t>
  </si>
  <si>
    <t>Recomendado Pantalón de una calidad más que aceptable, recomendado. Mido 1.82m y peso 72Kg, la talla M es perfecta.</t>
  </si>
  <si>
    <t>Es util si tu niño no es jodio La idea esta bien y me gusta mucho pero el niño me lo tira a la cara igual...será por q tiene forma de biberon y no le gustan nada.</t>
  </si>
  <si>
    <t>Calidad precio inmejorable muy buena compra, yo utilizo muchas memorias SD para trabajar y siempre es preferible varias pequeñas que una grande por si se rompe, y este pack es perfecto</t>
  </si>
  <si>
    <t>Perfecto En la foto parecen feas pero realmente están muy bien y tiene la calidad indiscutible de Adidas. Recomiendo este producto</t>
  </si>
  <si>
    <t>Mal acabado Lo compre en oferta y por lo pagado no está mal, pero se ve que no es de calidad está mal acabado y no es tan bonito como el de la foto.</t>
  </si>
  <si>
    <t>LAS TALLAS RARISIMAS Pedi una XXL segun las indicaciones del producto (aunque yo gasto XL de esta marca) y cuando vino era demasiado grande, me la cambiaron sin problema muy bien cosa que hay que valorar por otra XL y resulta que me queda muy apretada, no es posible, esta mal tallado</t>
  </si>
  <si>
    <t>Se estropean en Android Le di una votación positiva hace tiempo pero de las 4 tarjetas de este modelo que tengo, 3 se han estropeado,  se bloquean no permitiendo escribir, borrar ni formatear, lo único bueno es que se pueden salvar los datos, tienen 10 años de garantía, hay que reclamar la garantía a través de la web de sandisk y ellos te la cambian gratuitamente, No recomiendo su uso para Android ya que han fallado en estos dispositivos.</t>
  </si>
  <si>
    <t>ya no prende !! ni 8 meses me duro lo comer een abril para batir papillas par ami bebe el dia de ayer madams no prendió sera defecto de fabrica o nose pero ni 8 meses me duro</t>
  </si>
  <si>
    <t>bien chanclas ochenteras jajaja me gustan, un poco dura las primeras usadas te pueden lastimar el pie pero luego que se acopla va muy bien y lo bueno es que viene todo de una pieza no la correa pegada para que así eviten que se rompa siempre como las demás</t>
  </si>
  <si>
    <t>bien por el momento la instale en una tablet y de momento va bien. el envio fue rapido y mas o menos para la fecha prevista</t>
  </si>
  <si>
    <t>Muy buena relación calidad precio Estos calzoncillos de Head tienen muy buena calidad, sobretodo teniendo en cuenta que se compra 2 unidades por cerca de 10€. En mi caso pagué 8,95€ lo que significa 4,50€ por calzoncillo. Muy buen precio. Uso una talla M en la mayoría de las marcas y en esta también (mido 1,73 y peso 73kg). Los calzoncillos son cómodos (a mí me gusta que se ajusten sin apretar demasiado y estos de Head lo cumplen perfectamente). En relación a los lavados, de momento llevo unos 4 o 5 y siguen perfecto. En relación a los materiales, 95% de algodón y 5% de elastano.  Como punto negativo, traen unas etiquetas gigantes que se pueden apreciar en las fotos, lo que obliga a que con una tijera haya que quitarla para que se puedan usar sin que molesten.</t>
  </si>
  <si>
    <t>Reebok clasic Producto conforme tal y como Ponia en la descripcion,contento en general con el producto, animaros que aparte de ser buen producto dispone de un buen descuento con respecto a tienda</t>
  </si>
  <si>
    <t>Le ha encantado a mi novia A mi novia le han encantado mucho!</t>
  </si>
  <si>
    <t>Geniales para el monte. 4º par de "speedcross" que me compro. Muy buenas para el monte. Repito, para el monte, por asfalto te quedarás sin ellas enseguida.</t>
  </si>
  <si>
    <t>Funciona perfectamente No he tenido ni que formatearla. Funciona perfectamente, poco mas se puede decir. Buena marca, sabes que aciertas seguro. z</t>
  </si>
  <si>
    <t>Perfecto Super bonitos,mi hija no se los quita para la ducha y no se hacen feos, cómodos y preciosos y super baratos y de muy buena calidad.</t>
  </si>
  <si>
    <t>buen producto muy funcional y útil en la oficina cumple con su misión, y facilita las tareas de la oficina permitiendo realizar mas tareas mientras se responde al telefono</t>
  </si>
  <si>
    <t>Caletines de bambú Son extraordinarios, se adaptan muy bien a cualquier pie, porque se estiran lo indecible, sin los agobios típicos de los calcetines que crecen mucho</t>
  </si>
  <si>
    <t>No te arrepentirás Es lo que se pide en unos auriculares inalámbricos. A diferencia de lo que dicen otras reviews, SÍ que son originales. Xiaomi los lanzó de forma global, y por ello cambió el nombre. En la versión de China pone REDMI AIRDOTS, y en la lanzada al resto del mundo MI TRUE WIRELESS EARBUDS BASIC.  Compra recomendada.</t>
  </si>
  <si>
    <t>Muy buen producto Me ayuda muchísimo en mis presentaciones y nos consume mucha pila. Fácil de instalar ya que, con sólo meter el usb salta.</t>
  </si>
  <si>
    <t>Fantástico! Fantástico! Aunque la correa me da alergia. Las funcionalidades van a la perfección. Muy práctico y resistente. Muy recomendable sin duda.</t>
  </si>
  <si>
    <t>Cecilia Me encanta, es un collar precioso y sienta fenomenal. Ya es el segundo artículo que pido de esta marca B.Catcher y lo seguiré haciendo porque todo lo que tiene me gusta mucho.</t>
  </si>
  <si>
    <t>Ahorro y rendimiento. Ya llevo varios días usando estos difusores y me siento super satisfecho. Si que es verdad que tienes que programarlo pero merece mucho la pena, es muy agradable y sencillo de usar. Solo tienes que abrir y echar agua con tu esencia favorita y voilá! Empieza a echar aroma al instante. Automáticamente para y arranca y suelta un aroma muy intenso. Yo uso agua con un poco de detergente de la ropa y da un olor genial y sale super económico frente a los caros ambientadores de los supermercados. También indicar que tiene una luz led de ambiente programable muy chula. Viene con su cargador y con un tarro dosificador incluido.</t>
  </si>
  <si>
    <t>Susana G. Corresponde exactamente con lo que figura en la foto.  De momento llevo con él poco tiempo, pero lo he usado y funciona muy bien.  Es muy pequeño y tiene gran memoria.  Estupenda relación calidad precio.  Solo lo he probado al recibir el paquete,  pero hasta ahora estoy muy contenta con la compra.</t>
  </si>
  <si>
    <t>Fiable y duradero Soy un entusiasta de esta marca, tiene muy buenas prestaciones, sobre todo es verdaderamente fiable y duradero, compra totalmente recomendable.</t>
  </si>
  <si>
    <t>Ideal para otoño. Perfecta para niños. Buena calidad y buen acabado. Cálida y perfecta para primeros fríos.</t>
  </si>
  <si>
    <t>Ideal para iphone Llevaba tiempo queriendo comprar un usb de este tipo ya que para pasar fotos del iPhone al ordenador al final es un rollo. Esto lo puedes llevar a cualquier sitio y en un momento ya lo tienes metido en el usb, y con 32 gb para mi es suficiente.  Enchufé el usb directamente al iphone y ya me llevó a Apple store para descargar la app para transferir los archivos y fotos.  La verdad es que va muy bien y es justo lo que quería, muy práctico.  Aparte podemos usar de tipo c también.</t>
  </si>
  <si>
    <t>Simple pero cumple Compré este producto hace tiempo como un reemplazo temporal al que tenía antes (se rompió). Pero directamente me he quedado con él. Caldiad precio es estupendo: fácil de limpiar, sencillo de transladar e instalar, no ocupa espacio, ... Una buena compra. Probablemente compre otro para regalárselo a un colega que acaba de empezar con los podcast.</t>
  </si>
  <si>
    <t>Genial Genial. Entiendo que por el precio que tiene no se puede pedir nada. Igual le echo en falta un botón on/off para poder tenerla enchufada sin que esté encendida, pero por lo demás es genial. La he probado grabando voces y guitarras y tiene bastante calidad según parece. Sí es cierto que los meteriales no son nada de otro mundo. Recomendable 100%</t>
  </si>
  <si>
    <t>Perfecto Cómodos de usar y limpiar. Duran mucho y las tetinas son de calidad. A mi bebé le gusta desde el primer día.</t>
  </si>
  <si>
    <t>Buena crema de masaje, ayuda a desinflamar las articulaciones y es hipolaergenica Es una buena crema, se extiende bien, ayuda con las lesiones y masaje y ademas no me produce alergia en las manos, que muchas de las otras si</t>
  </si>
  <si>
    <t>Ideal para personas con problemas visuales Ideal para personas con problemas visuales que en los relojes normales se lían con las agujas. Números claros y grandes y sino siempre tienen botón que dice hora</t>
  </si>
  <si>
    <t>La velocidad de transferencia es muy lenta Siempre que intento pasar archivos la velocidad comienzo en los 8Mbs y luego va bajando hasta llegar 290-500kbs. Como es esto posible, lo he formateado y le he cambiado de formato pero nada. De que me vale que tenga tanta capacidad  (128Gb) ,si demora una eternidad en pasar una peli y en puerto USB 3.0</t>
  </si>
  <si>
    <t>Igual que la foto A primera vista me ha gustado el producto porque es bonito e igual que la foto, pero el hilo rojo me ha durado sólo 1 semana.</t>
  </si>
  <si>
    <t>Cristina Un poco grande, bien si se utiliza para libro-tablet. La cinta bastante floja, se corre y queda muy larga continuamente</t>
  </si>
  <si>
    <t>Se rompen demasiado pronto he tenido durante años unas chanclas de esta marca que el único desgate que tienen es el de la suela. me compré estas pensando que me iban a durar lo mismo. nada que ver, ni un verano han aguantado. sólo las uso para estar en casa. No las saco a la calle ni las llevo  a la playa. Tampoco  las he maltratado lo más mínimo.  Un día, el anclaje que lleva la chancla en la parte delantera se rompe. Yo pensaba que simplemente se había salido, pero se ha roto y han quedado para la basura.  Ya no se qué pensar, si se trata de que son falsas, o que simplemente se fabrican es países con pocos controles de calidad.  Ya no vale que un artículo sea de marca. Esto es como los melones. Si tienes suerte te sale bueno, y si no ...?  El plazo de devolución ha terminado, así que es un dinero tirado a la basura.</t>
  </si>
  <si>
    <t>Muy cómodas pero con un gran fallo. Las botas son muy cómodas. También he de decir que quedan muy bien. Sin embargo tienen un fallo imperdonable, en cuanto caen cuatro gotas se convierten en unos patines, da igual el tipo de suelo, simplemente patinan, De hecho, me he caído con ellas, cosa que hacia muuuuchos años que no me sucedía. De nada vale que sean bonitas, que sientan bien si te puede costar un grave disgusto.</t>
  </si>
  <si>
    <t>Bien. Perfectas, igual que en la foto. Tallan correcto.</t>
  </si>
  <si>
    <t>Muy bien No le doy las 5 estrellas únicamente porque al primer uso le aparecieron unos puntos en el fondo, quiero pensar que son de cal, pero vamos...que era la primera hervida de limpieza que ponen las instrucciones que hay que hacer. Lo demás genial, muy bonita. Yo le abro la tapa para servir para que no toque el plástico, pero igualmente aparte de eso no toca nada de plástico por ninguna parte.</t>
  </si>
  <si>
    <t>Muy Buen micro Muy buen micro, no se oye ruidos de fondo, voz clara ademas de sus diferentes modos de empleo. Micro genial calidad precio . Desventaja: El led del microfono si quieres quitarlo tienes que desenchufarlo, siempre esta encendido incluso con el pc apagado</t>
  </si>
  <si>
    <t>LA POTENCIA SOLO ES POR CONSUMO NO POR VELOCIDAD Podría  tener  algún accesorio más como un pequeño vaso triturador. Parece una licuadora el cual su tamaño es correcto con acceso a meter trozos pequeños de fruta o lo que sea, no se muy bien su utilidad pues es grande para una cosa y pequeña para otra,en fin lo importante es: LA POTENCIA NO SE ENTREGA A LA BATIDORA DIGAMOS CORRECTAMENTE, VA EN FUERZA PERO PARA NADA EN VELOCIDAD Y SE CALIENTA COMO UNA ESTUFA. POR LO DEMÁS FUNCIONA COMO LA SEDA. SE AGRADECE EL BRAZO LARGO , PERO PARA HACER 14  LITROS DE GAZPACHO "" SE PONE QUE HAY QUE DESCONECTARLA DEL CALENTÓN QUE PILLA."" PERO ES DURA.</t>
  </si>
  <si>
    <t>Muy buena calidad precio Las botas están perfectas para el uso que les tenia que dar, si que es cierto que a lo mejor para trabajos mas agresivos se pueden quedar cortas por la calidad del pegado o construcción, pero como digo cumple con lo que buscaba y necesitaba.</t>
  </si>
  <si>
    <t>Buen acabado y buena calidad Los conectores tienen un acabado metalizado muy chulo. La calidad del cable es perfecta para unos altavoces de estudio conectados a la mesa de mezclas (el uso que le di yo). Lo recomiendo</t>
  </si>
  <si>
    <t>Pulsera color plata con charms Le falta ir en un bonito estuche ya que la he recibido en una  bolsita de plástico pero por lo demás es preciosa ¡¡</t>
  </si>
  <si>
    <t>Bolso perfecto Tiene muchos compartimentos y el tamaño es perfecto, aunque el compartimento  delantero debería ser un pelin más grande para poder guardar el movil sin ajustar tanto. Llego antes de lo estimado,  por lo que le doy un 10 en transporte</t>
  </si>
  <si>
    <t>Biberón que regula la cantidad de leche Nos lo recomendo el pediatra. Al princiopio a nuestro hijo le costo un poco sacar la leche pero enseguida supo como hacerlo. La cantidad de leche sale más regulada imitando al pecho.</t>
  </si>
  <si>
    <t>Buena relación calidad precio Todo correcto, buen producto, fuerte</t>
  </si>
  <si>
    <t>Vista hace fé Llegó en perfecto estado, muy buena calidad y estilo, me siento satisfecha con la compra. Gracias</t>
  </si>
  <si>
    <t>Tal y como se esperan Perfectas, tal y como esperaba. Tallaje normal, embalado perfecto.</t>
  </si>
  <si>
    <t>Ok perfecto Ok perfecto</t>
  </si>
  <si>
    <t>espectacular PERFECTO</t>
  </si>
  <si>
    <t>Perfectas x estilo y precio Muy bonitas y ligeras. Combinan con un look más deportivo pero también sirven para ir un poco más arreglado. Comodisimas desde el principio y se les ven de buena calidad. Igual de cómodas que unas deportivas.</t>
  </si>
  <si>
    <t>Me encantan, son muy cómodas. Son justo como esperaba, he quedado contentísima.</t>
  </si>
  <si>
    <t>Excelente El mejor producto para un bebé</t>
  </si>
  <si>
    <t>Me encanto Me an encantado ..la pena qe necesita estar enchufado para qe funcione x lo demás genial</t>
  </si>
  <si>
    <t>Muy cómodas Muy cómodas y el tallaje es perfecto.Por el precio que tienen no se puede pedir mucho más.Muy buen producto,sin duda.</t>
  </si>
  <si>
    <t>Cascos Perfecto y fuertes</t>
  </si>
  <si>
    <t>muy bien suena muy bien y por el precio esta correcto</t>
  </si>
  <si>
    <t>Pedro Las pestañas que sujetan los billetes se levantan muy poco, dejando poco espacio para meter la mano y sacar o meter billetes. No recomendaría su compra</t>
  </si>
  <si>
    <t>Muy bonito pero cojo Es como aparece en la fotografía. Se ve bien y el montaje es sencillo. Pongo 3 estrellas porque al montalo se queda cojo y las bandejas se vienen hacia adelante.</t>
  </si>
  <si>
    <t>Lo grande que es y muy útil. Para diario</t>
  </si>
  <si>
    <t>Caras Han sido muy caras</t>
  </si>
  <si>
    <t>Mala calidad Tras uso (menos de 5 meses) el USB se vuelve inservible.  Mover archivos al USB bloquea en varias ocasiones el sistema de archivos en Ubuntu y Windows. Tras sospechar un defecto,  quise medir con Ubuntu - Disk - benchmark el performance, pero el test no llega a arrancar. La respuesta del USB es tan lenta que bloquea la propia aplicación de medición (No ocurre con otros USB).  Espero sinceramente que solo haya sido un defecto ocasional, pero por los comentarios de otros compradores parece que no es el caso.</t>
  </si>
  <si>
    <t>Quedan muy ajustadas, hacen daño Yo uso un 5, pero estas quedan muy ajustadas tanto q hacen daño en el empeine, el plástico forma una línea dura que roza el pie, de cómodas, nada. Las devolvere</t>
  </si>
  <si>
    <t>Estupendas Muy bonitas, son tal y como se ven en las fotografías</t>
  </si>
  <si>
    <t>Zapatos Es un zapato cómodo y cumple lo esperado</t>
  </si>
  <si>
    <t>Perfectas para verano Son cómodas y ligeras, tal como se ven en la descripción,  pedi mi talla habitual ( 40)  van algo sueltas,  pero con una plantilla lo solucione,  por el precio que tienen no se puede pedir más</t>
  </si>
  <si>
    <t>Esterilizador para utensilios de manicura. Aparato para esterilizar tus productos para uñas de gel y manicura, biene con un set de bolas, las cuales se calientan y esteriliza tus cosas. Es de plastico exterior, calidad precio buena.</t>
  </si>
  <si>
    <t>Inmejorable Género de excelente calidad, se adapta perfectamente al cuerpo y muy calentita. Entrega en tiempo, aunque tuvimos que devolverla por error nuestro en el tallaje. Se nos envió una nueva talla en un tiempo récord y todo fueron facilidades y amabilidad. Recomiendo la compra 100%.</t>
  </si>
  <si>
    <t>Calidad precio Mi mujer de momento esta contenta con la compra, ella es quien lo emplea y siendo que este articulo es mucho mas barato pues mejor</t>
  </si>
  <si>
    <t>Práctico Un reloj clásico y sencillo que funciona perfectamente. Yo me ducho con el puesto y lo uso de despertador. El envío perfecto como siempre.</t>
  </si>
  <si>
    <t>Tallan grandes. Zapatillas Vans originales y de calidad. Tallan grandes, yo uso un 38 y es la talla que elegí y me quedan un poco grandes por lo que para la próxima cogeré 1 talla menos. Muy cómodas desde el primer día, no he notado ninguna rozadura ni ninguna molestia. Compra muy acertada.</t>
  </si>
  <si>
    <t>Funciona a la perfección Es bonita y resistente</t>
  </si>
  <si>
    <t>Muy faciles de limpar Son comodos para hacer la mezcla, de transportar y hay varios tipos de tetinas intercambiables para que duren mas tiempo.</t>
  </si>
  <si>
    <t>Genial El pantalón es tal y como se ve, una caída de la tela muy bonita. Lo uso para hacer Taichí y es muy cómodo y suave. Algodón del bueno por un precio excepcional.</t>
  </si>
  <si>
    <t>Perfectos Son transparentes un poco mas altos que los folios , van perfectos</t>
  </si>
  <si>
    <t>Es un buen reloj en mi colección Es elegante pero pesa un poco por la correa sobre todo</t>
  </si>
  <si>
    <t>Buena calidad de sonido Buena calidad de sonido, muy buena presentación, ideal para regalo</t>
  </si>
  <si>
    <t>Auriculares tws Auriculares bluetooth con caja de carga que tienen un sonido muy bueno y además también aisla un poco del exterior por lo que mejor aún. La caja de carga hace que sean geniales para no estar pendiente siempre de si tienen batería antes de salir de casa, ya que con la caja de carga se cargan rápido y da para varias cargas. Entre otras cosas, también tienen funciones táctiles para contestar llamadas o pausar/reanudar una canción además de que se quedan bastante bien en la oreja y tampoco molestan.</t>
  </si>
  <si>
    <t>Preciosas Me han encantado, son chulisima y muy cómodas como todas las Skechers,  me gusta esta marca</t>
  </si>
  <si>
    <t>Buen producto Buen producto, eran para mi hijo y quedo muy a gusto</t>
  </si>
  <si>
    <t>Excelente Como batidora solo tiene una velocidad, pero por lo demás va muy bien. Lo que más me gusta es el vaso con tapa para guardar luego el batido.</t>
  </si>
  <si>
    <t>Están muy bien Los zapatos están geniales, se acoplan al pie y dan muy buena sujeción  además de ser muy cómodos y aunque al principio parecían que apretaban el pie al cabo de dos usos se amoldaron perfectamente dando muchísima comodidad.</t>
  </si>
  <si>
    <t>Gran calidad al mejor precio El MX500 de crucial nos ofrece grandes velocidades , estabilidad y precio todo en un mismo producto.  Es el segundo que compró ( tengo dos de 500 GB ) y hasta hoy ningún problema. El disco acelera muchísimo a cualquier pc y es indispensable para juegos que requieran cargar mucho, ya que nos quita el estar esperando minutos. (Por ejemplo en rust o GTA V se nota y mucho ).  Un producto totalmente recomendable y para mí, por encima de los Samsung por su grandísima relación calidad - precio.</t>
  </si>
  <si>
    <t>Barato Muy bien de precio. Lo vi en una papelería mucho más caro. Recomiendo la compra.</t>
  </si>
  <si>
    <t>Muy buen tamaño Me ha encantado. Yo tengo una más pequeña. El tamaño es perfecto cubre toda la espalda. El tacto es muy suave. Se puede lavar por lo que no hay problemas si los niños la cogen con las manos sucias. Fácil de usar y de transportar. Cuando llegue el frío pienso utilizarla para calentar las sábanas. Ha llegado antes de tiempo y en buenas condiciones..El. precio es estupendo. Pienso comprar otra para  regalar. Además números grandes para seleccionar la temperatura., estupendo para los que vemos poco.</t>
  </si>
  <si>
    <t>Compre dos vienen algo grande Los compre para mi mujer al principio compre un 39 que es su talla y despues la tuve que cambiar por un 38. Son preciosos y muy comodos.</t>
  </si>
  <si>
    <t>Son lentos Nos alcanza las velocidades de transferencia que en teoría ofrece ni de lejos.</t>
  </si>
  <si>
    <t>Cómodas pero poca durabilidad Son muy cómodas, pero si tienes un trabajo de alta intensidad no son resistentes a las diferentes adversidades y la tela de la puntera se rompe con facilidad</t>
  </si>
  <si>
    <t>Un gran descubrimiento (Editado) Los compré porque hoy en día es difícil encontrar auriculares de este tipo. Casi todos los que se fabrican son in-ear y yo no los soporto. Los compré pensando que serían malos pero todo lo contrario. La calidad de sonido es comparable a la de unos auriculares de 30€. Se oyen muy nítidos y separan muy bien el sonido de los instrumentos. Los tengo desde hace más de 4 meses y no me han dado ningún problema. Si tuviera que ponerles una pega sería la calidad de los materiales que sí es la calidad de unos auriculares de 8€. Sin embargo el sonido que tienen merece mucho la pena. Sin duda los volveré a comprar en el futuro.  ====== EDITO ======  Tras 7 meses de uso diario uno de los auriculares ha dejado de funcionar. La calidad de audio, como dije en mi primera valoración, es bastante buena para el precio que tienen pero teniendo en cuenta su duración al final salen más caros que unos auriculares de 15€ - 20€ que suelen durar un par de años. Los recomendaría para un uso puntual o como auriculares de repuesto. Para uso diario mejor unos Seenheiser MX365/375 que duran mucho más y rondan los 15€.</t>
  </si>
  <si>
    <t>si tienes version 11.11 no lo compres Si has llegado a actualizar a la 11.11 o 11.12, el kernel de la tarjeta no está actualizado a dicha versión por lo tanto no sirve para nada habria que esperar a que sacara un kernel para estas versiones</t>
  </si>
  <si>
    <t>Ideal Todo correcto,tiene muy buena pinta el cepillo. Dimensiones correctas, ideal para parrillas grandes. Esperando a probarlo a ver que tal va.</t>
  </si>
  <si>
    <t>Calidad suficiente A veces no pega del todo bien. Igualmente buen producto.</t>
  </si>
  <si>
    <t>Calidad precio muy bien Para su precio es una pasada, con el mínimo de edición consigues un sonido MUY profesional. El brazo no es de lo mejorcito y el brazo del pop cuesta pillarle el punto ya que tiende a irse hacia abajo pero hace su papel.</t>
  </si>
  <si>
    <t>Calurosas Son muy comodas, pero a mi me dan calor.</t>
  </si>
  <si>
    <t>Que no dan alergia Son tal cual se ven en la foto</t>
  </si>
  <si>
    <t>San Disk Perfecto para la música, fotos y vídeos que usaban memoria en mi teléfono.  Muchas gracias.  Me gusto tanto el producto que pedí otro para un familiar.</t>
  </si>
  <si>
    <t>Adiós dolor de muñeca La uso a diario en el trabajo, está muy bien, fallo mío no haberme comprado también para el teclado, lo buscaré de la misma marca. Este me está yendo muy bien.</t>
  </si>
  <si>
    <t>Muy majos los pendientes Para el precio que lo he comprado son bonitos y dan el pego. Bien</t>
  </si>
  <si>
    <t>Buena calidad Cable para guitarra con aspecto vintage o antiguo como prefieras llamarlo. El trenzado que lleva lo hace muy atractivo a la vista.  Los jacks se ven de calidad y pesan bastante, lo que es bueno, uno de ellos es acodado, perfecto para guitarras tipo Les Paul o SG por ejemplo.  Tiene tres metros de longitud, suficiente a no ser que toques en grandes escenarios ;-)  El tacto es muy agradable y tiene aspecto robusto y duradero, en cuanto al sonido muy bien, sin ruidos ni interferencias.</t>
  </si>
  <si>
    <t>Todo ok Muy bien. Es auténtica. Viene con una cajita plegada por si quieres regalarla. El tamaño justo el que quería. Me encanta!!!</t>
  </si>
  <si>
    <t>Como aparece en la foto Es tal y como aparece en la foto, como en las tiendas, pero más económico.</t>
  </si>
  <si>
    <t>Calmante muscular Es un producto que me ha venido muy bien para los dolores de lumbalgia que he tenido e incluso para algún familiar que se lo he recomendado y me comentado que le ha venido muy bien.</t>
  </si>
  <si>
    <t>Me gustan mucho Son estupendas, super calentitas</t>
  </si>
  <si>
    <t>Genial Todo perfecto y rápido y a un precio buenísimo!!! De las mejores compras que he hecho lo recomiendo sin duda</t>
  </si>
  <si>
    <t>Silêncio e Quase não aquece Adequado para NAS</t>
  </si>
  <si>
    <t>Cómodos y buena calidad de sonido Estos cascos me han sorprendido muy gratamente desde su presentación en la cajita/funda que trae hasta un bolsillo para guardar los cables del cargador hasta la calidad del sonido que es mangnífica.  El acople en las orejas es muy cómodo a mi generalmente casi todas las almohadillas me acaban haciendo daño pero estas de momento perfectas.</t>
  </si>
  <si>
    <t>Prácticos Muy buenos para hacer deporte.</t>
  </si>
  <si>
    <t>El mejor biberon Soy usuaria de esta marca de biberones porque para mi es uno de los mejores para evitar gases en los bebes. Aquí lo he podido comprar a un precio excelente y el envío ha sido correcto y me llegue un día antes de la fecha prevista. Lo recomiendo 100%.</t>
  </si>
  <si>
    <t>Muy bien Este bibe me va genial</t>
  </si>
  <si>
    <t>Buena compra Funcionan muy bien calientan los pies rápidamente y dura bastante el calor. Sólo hay q calentarlas 90 segundos en microondas</t>
  </si>
  <si>
    <t>Perfecto Me encantan, ffmgran calidad y muy comodos, como siempre salomon haciendo una gean zapatilla</t>
  </si>
  <si>
    <t>Tal y como se e en la imagen (azules) Las zapatillas son tal cual aparecen en la imagen. Son muy bonitas y buena calidad. A mi sobrino le han encantado y el número de pie corresponde al suyo. Volveria a comprarlas sin duda.</t>
  </si>
  <si>
    <t>Perfectas Son perfectas!!!</t>
  </si>
  <si>
    <t>Diferente de las fotos He devuelto el reloj porque no era igual que en las fotos. En ellas el color negro de la esfera y la caja es mate, sin embargo el que yo recibí era negro brillante. Igual que la correa de cuero, que era de un marrón oscuro (de diferente tono, nada de porque es nueva) mas rojizo que el de las fotos. Era otro reloj, no feo, pero no el que quería.</t>
  </si>
  <si>
    <t>UM2 Bien</t>
  </si>
  <si>
    <t>No incluía marcadores No venían los marcadores incluidos en el paquete</t>
  </si>
  <si>
    <t>No me llegaron las de cuero En la descripción pone que son de cuero y llegaron de tela. Las he devuelto.</t>
  </si>
  <si>
    <t>Demasiado eco Se escucha mucho eco y no se entiende el audio. He bajado y subido la intensidad del micro y también la del altavoz y se escucha eco en todas las opciones. Lo he devuelto.</t>
  </si>
  <si>
    <t>Bie Bien</t>
  </si>
  <si>
    <t>Muy buenos La verdad es tal y como dicen los comentarios, si los llevas muchísimo tiempo pueden dolerte los oídos ya que te puedes pasar con el grosor de las gomas (viene 3 tamaños juntamente con los auriculares) o poniéndotelos muy adentro. Pero el sonido es brutal, hace el efecto silencio por lo que el exterior no perturba la musica.</t>
  </si>
  <si>
    <t>Cliente Lo compre ayer y lo recibí hoy,mas rápido imposible.El modelo me encanta,además no esta muy visto,tengo otros dos casios y en cuanto al material me parecen mejores,pero aun así me gusta mucho.Viene en su caja original y muy bien empaquetado</t>
  </si>
  <si>
    <t>No están mal. Aún los estoy probado. De momento puedo decir que son muy intuitivos. Fácil de usar el táctil. No se caen corriendo ni dan ningún problema a la hora de entrenar. A veces da como una pequeña interferencia que hace que se oiga un auricular, luego el otro y luego los dos, pero a penas es cuestión de unos segundos (aunque me ha pasado repetidas veces y con el móvil en el bolsillo).  El audio de llamada se escucha genial, aunque el micrófono se oye un poco alejado.  Yo los quería para correr y cumplen su función bien, pero aún tengo que probarlos un poco más a ver si el tema de las interferencias sigue o no.  Si estaría bien que las instrucciones vinieran en español. Porque algunas cosas las he tenido que buscar en tutoriales y reveews de youtube.</t>
  </si>
  <si>
    <t>Después de un mes sigo sin pinchar y salgo en bici todos los días mase menos 50 km. Diarios un acierto el profucto De momento va muy bien cumple con lo previsto espero tener producto para bastante tiempo ,dentro de 6 meses volveré a opinar de nuevo igual tengo novedades</t>
  </si>
  <si>
    <t>Muy contento Buena calidad de pantalon, algo finos pero es normal por el tipo de tela que de esa de nike dry. Muy satisfecho</t>
  </si>
  <si>
    <t>Una batidora perfecta. Personalmente, utilizo la batidora para batir. Nunca uso los accesorios que suelen traer. Para el uso que yo le doy es una batidora fantástica. Rápida, crea corrientes dentro del vaso batidor, así que todo lo que le eches pasa por las cuchillas, es rápida y tiene una potencia suficiente. Es muy sencilla de utilizar y muy segura.  Tiene un ajuste de velocidad continuo, con 21 marcas, y velocidad turbo.  Para mi, una buena compra.</t>
  </si>
  <si>
    <t>Me gusta Me ha gustado, es el 2°edifice q compro, el otro lo regalé xq se habían enamorado de él..😂 Este es mío... No me es pesado ni molesto. Ajusté bien la correa y me resulta Cómodo. Adjunto fotos q serán de ayuda a indecisos Cómo yo..</t>
  </si>
  <si>
    <t>Todo muy bien, me gusta mucho este relog Muy contento</t>
  </si>
  <si>
    <t>Genial No cogen olores, lo unico que veo algo es que cuando sea mas grandecito y lo quiera coger no va a poder por que pesa pero por lo demas no tengo queja!</t>
  </si>
  <si>
    <t>SD a precio de risa Es una de las mejores SD relación calidad/precio.</t>
  </si>
  <si>
    <t>Una buena cafetera para casa a un precio imbatible Se me estropeó una cafetera de cápsulas y pensamos en comprar una máquina de café tipo expreso pero no queríamos gastarnos demasiado dinero en ella. Entonces vimos esta cafetera con un precio imbatible y que tenía todo lo que yo le pediría a una cafetera de este tipo, 20 bares y más de mil watios de potencia para calentar rápidamente el agua. Otras que vimos no superaban los 900 watios o bien no llegaban a los quince bares. Así que nos decidimos rápidamente por ella, el modelo es bonito conminándola  el negro con el naranja y aunque abunda el plástico el espumador es metálico. Su funcionamiento es muy sencillo, tocar el botón de encendido y esperar a que deje de parpadear, mientras se llena el cacillo de una o dos tazas con el café y se aprieta un poco. Se colocan las tazas y se toca de nuevo el control de una o dos tazas, inmediatamente sale el café , veinte segundos una taza y cuarenta segundos, dos tazas. Si se quiere más agua bien porque el café sea muy fuerte o porque guste muy flojo entonces se recurre al control manual con su lucecita azul correspondiente y ya está un buen café con espuma. Un consejo para que caliente bien lo mejor es encenderla por las mañanas lo primero para que luego no necesite precalentar, calentar la leche y por último hacer el café. La cazoleta del café está un poco dura al principio, hay que tener un poco de cuidado con el brazo, Luego, cuando se coge la práctica no hay problemas. Porúltimo quiero destacar el estupendo servicio de atención al cliente que tiene la empresa, me llegó la cafetera con un cacillo defectuoso, mandé un correo a través de Amazon y me contestaron enseguida, enviándome rápidamente otro cacillo que ya he estrenado. En resumen una estupenda compra.</t>
  </si>
  <si>
    <t>Masajeador súper útil Estupendo masajeador con dos posiciones de rotación,opción calor. Muy fácil de usar,lo pones sobre el cuello y metes los brazos ,si quieres notar más presión solo basta con presionar más fuerte con los brazos,puedes ir bajando desde el cuello hacia las lumbares. Muy bueno para quitar tensión muscular y descontracturar. Inmejorable relación calidad precio.</t>
  </si>
  <si>
    <t>Llamador Llego lo que esperaba buena calidad</t>
  </si>
  <si>
    <t>Libro de aventuras envejecido Genial para crear historias con fotos y dibujos, también con caligrafía... Buena calidad precio</t>
  </si>
  <si>
    <t>Buen producto El producto está muy bien, la única pega es que la correa es demasiado corta.</t>
  </si>
  <si>
    <t>Muy buen audio Tiene una muy buena calidad de audio, pero es mejor asegurarse que no hay ruido de fondo. Es una muy buena opción por que no hace falta ningún filtro pop, y tiene una muy buena relación calidad precio. Llega en un embalaje bastante reducido y parece que es bastante resistente. En la caja llega también una bolsa para poder transportarlo sin que se ralle. Es un micrófono bastante sencillo y fácil de usar, y en Internet hay varios tutoriales y vídeos con opiniones sobre este producto.</t>
  </si>
  <si>
    <t>Fácil uso Batidora y vaso portátil. 2 en 1. En mi caso, me levanto por la mañana furta al vaso, unos segundos de batidora y para la calle con el vaso listo para beber. Lo mejor q la parte de las aspas que hay que limpiar, no hay q hacer esfuerzos, ni liarte a desmontar el aparato. Lo dicho fácil y sencillo.</t>
  </si>
  <si>
    <t>Bueno Para ser un producto chino es de alta calidad</t>
  </si>
  <si>
    <t>FANTASTICO funcionando como el primer dia a pesar que lo uso todos los dias pra el trabajo..(y no es en la oficina....) y cuando voy a tenis/padel y sin problemas desde hace ya 9 meses</t>
  </si>
  <si>
    <t>Es perfecta Original y encaja perfectamente en una muñeca de este tamaño dejando un poco de colgante con varios accesorios puestos. La recomiendo.</t>
  </si>
  <si>
    <t>Perfectos para salir a correr o manos libres Son unos buenos cascos para la actividad deportiva puesto que con el agarre no se caen ni a mueven dentro del oído (lo cual es muy molesto cuando corres). La batería dura bastante y con meterlos en la carcasa se van cargando regularmente. Como consejo, no subir mucho el volumen de la música porque los bajos retumban demasiado.</t>
  </si>
  <si>
    <t>Comodisimos y duraderos Los uso para trabajar a diario en el hospital en el que paso muchas horas de pie y los he llevado puestos durante guardias y guardias y es el calzado mas comodo con el que me he encontrado nunca. Hace ya 5-6 años que los tengo y aun me duran sin ningún desperfecto. Para mi un imprescindible. Lo mejor.</t>
  </si>
  <si>
    <t>Para dorsales no valen Los compré para los dorsales de carreras y no valen. Son muy difíciles de colocar. Rompen con facilidad, son muy pequeños.... Para este uso no los recomiendo.</t>
  </si>
  <si>
    <t>Que llegó prontl Está bien, pero esperaba algo mejor</t>
  </si>
  <si>
    <t>Sus departamentos Que es la medida ideal para ir de viaje y llevar lo imprescindible. Però no me gusta la medida de la correa. Demasiado corta para llevar el bolso cruzado</t>
  </si>
  <si>
    <t>No funcionan correctamente El producto parece de buena calidad, pero no sirve de nada puesto que continuamente se corta la comunicación entre ambos auriculares, y por tanto no sirven. Lo devolveré.</t>
  </si>
  <si>
    <t>Muy grande. Demasiado grande. Ha sido minprimera devolución en Amazon.</t>
  </si>
  <si>
    <t>Contento con la compra. La batidora cumple sobradamente su función. Tritura mucho la fruta, frutos secos y elementos sólidos que le eches. El único pero que le encuentro es que a la hora de limpiar el pote es demasiado estrecho para poder lavarlo con facilidad. Necesitas de un estropajo asociado a un palo o algo parecido. Aún así la recomiendo. Ya que tanto por acabado de materiales, como por acabado y textura de los propios zumos, merece la pena.</t>
  </si>
  <si>
    <t>Funciona bien, pero es caro. Poco que decir de un disco duro, de momento funciona muy bien, espero que siga así, pero para no ser un disco SSD me parece muy caro.</t>
  </si>
  <si>
    <t>Cumple con su función Está muy bien para el masaje cervical, incluso puedes acomodarlo para otras zonas (pero no es lo mismo). De primeras no suele estar caliente, tienes que esperar un rato para que empiece a emitir calor. Es un artículo correcto calidad / precio. No sustituye a un fisio para temas graves, pero si ayuda mucho para alivio cervical de contracturas postulares o puntuales leves.</t>
  </si>
  <si>
    <t>Lo que esperaba Nosotros la compramos como apoyo a la memoria del móvil y funciona pertenece. Viene con un adaptador por si quieres descargar el contenido en el ordenador u otro dispositivo que no acepte las tarjetas mini</t>
  </si>
  <si>
    <t>Buena compra Ajustable y comoda para ejercitarse. Igual le falta un pelin de evacuacion del sudor, xo relacion calidad precio ok</t>
  </si>
  <si>
    <t>Ideal para caché del paquete Adobe. Me dedico a la fotografía y estudié informática, por lo que me interesan los equipos potentes para mover de forma rápida grandes archivos. Nos encontramos con un disco SSD M.2 NVMe de 250GB de gama media de Kingston He realizado 2 pruebas y me quedo con la 2a configuración. Primero comentar que trngo un i7 con 32GB de ram y gráfica dedicada. 1. En la primera prueba cloné el disco duro del sistema operativo en éste y realmente la fluidez y la velocidad en cómo se mueve todo es una pasada. Funciona con cualquierconector m.2, aunque si tenéis el protocolo NVMe os váis a despeinar con la velocidad ;) En mi caso, edición de fotos y vídeos, y teniendo ya un buen SSD instalado, no me es un hecho muy diferencial esta mejora de velocidad.  2. La segunda prueba fue dejar el SO en mi SSD original, y utilizar este SSD Kingston dedicado exclusivamente al caché del paquete Adobe y de otros programas que utilizo. Alguno puede pensar que es un desperdicio de disco duro, pero el cambio se nota y mucho. Al no tener la caché en el mismo disco duro que el SO y los programas, los programas como LR, PS y Pr andan mucho más rápidos que antes. Se nota sobretodo en edición de vídeo y en la edición por lote de muchos archivos.  Realmente me ha encantado, ya que por muy poco dinero puedes conseguir unos extra de velocidad que se agradece muchísimo.  A tener en cuenta que las placas madre de gama media/baja no suelen tener este tipo de conector. Mejor gastarse muy poquino más en una placa superior y sacarle un rendimiento brutal. Después de unas semanas de uso funciona sin problemas ni errores a las velocidades que esperaba a priori. Completamente recomendable.</t>
  </si>
  <si>
    <t>Bonitas Muy bonitas, son acolchadas , las uso para la piscina y no estan mal.La unica pega que tardan un poco en secarse , pero sin problemas, compra recomwdable</t>
  </si>
  <si>
    <t>Esterilla Ha llegado perfectamente y en el tiempo estimado. Se adapta perfectamente al cuerpo lo llevo probando un par de días y se nota</t>
  </si>
  <si>
    <t>Ideal para PS4 Adquirí este disco de portátil, con el objetivo de ampliar la capacidad de almacenaje de mi PS4 de 500GB a 2TB. Funciona perfectamente en la consola. Y se nota, la mejoría de rendimiento. La instalación, y tiempos de carga de los juegos se ha reducido, respecto al disco de serie de la consola.</t>
  </si>
  <si>
    <t>Geniales Cómoda, rígidas, ajuste perfecto incluso para un pie estrecho como el mío, talla 41 1/3 perfecta. Las Salomon nunca me defraudan.</t>
  </si>
  <si>
    <t>Perfecta Genial! Tras leer algunos comentarios negativos sobre el embalaje me arriesgué a comprarla y estoy muy contenta. Venía muy bien embalada y protegida, sin ningún daño. El tamaño es perfecto y se escribe muy bien (estoy usando rotuladores bic), la utilizo para practicar la defensa oral de las oposiciones. El borrador no me termina de convencer, pero con una bayeta seca se queda nueva. Eso sí, no he conseguido encajar correctamente la repisa que trae, pero no se me ha caído aún. Trae dos ganchos para colgarla a la pared y se queda muy bien. No obstante, le he puesto pequeños trozos de cinta de doble cara en las esquinas inferiores, abajo en el centro y en el centro de los laterales para fijarla completamente y es una maravilla. La recomiendo 100%. Amazon basic como siempre, dando en el clavo.</t>
  </si>
  <si>
    <t>Un invento espectacular. Un cepillo eléctrico para limpiar los cristales buenísimo, no hay riesgo de accidente al no tener que utilizar escalera y tiene unos cabezas intercambiables para cada función cepillos de cerdas fuertes y resistentes, es súper cómodo limpiar los cristales de cualquier parte del piso que con su mango extensible llegas fácilmente estoy muy contento con mi cepillo eléctrico limpiador.</t>
  </si>
  <si>
    <t>😀 Bueno</t>
  </si>
  <si>
    <t>Grantía asegurada El producto presenta un aspecto sólido y de buena calidad; no obstante el botón de encendido al poco tiempo se hundió al interior del auricular. Puesto en conocimiento del distribiidor se respuesta fue excelente, de 10, se procedió a la devolución de importe para poder adquirir este u otro producto de su tienda. Toda una garantía de profesionalidad.</t>
  </si>
  <si>
    <t>Camiseta Genial</t>
  </si>
  <si>
    <t>Mis favoritos de hace años Llevo años repitiendo comprando estos cascos de diferentes colores. Si buscas unos cascos  buenos y a buen precio. Estos son mis favoritos. Son lo mejor para: oír música, jugar a videojuegos sin que te cargue las orejas. No son grandes y cómodos. Tienen unas agradables almohadillas dentro. Todo positivo. Eso sí sí buscáis algo profesional ya se quedaría más atrás. Nunca me cansare</t>
  </si>
  <si>
    <t>Perfecto Perfecto buenos materiales y facil de coger para el niño, se a caido mucho y no se rompe</t>
  </si>
  <si>
    <t>Muy bien Muy contenta con la compra, era para regalar y le encantó a mi marido, tamaño ideal, ni muy grande ni muy pequeño, un montón de bolsillitos para organizar las cosas y la tela de lona fuerte, se ve de buena calidad.</t>
  </si>
  <si>
    <t>Sonido perfecto Suenan genial y la batería dura muchísimo</t>
  </si>
  <si>
    <t>Precioso colgante Como con otros productos de esta marca que anterior mente he comprado sus detalles y su calidad son muy buenas, su presentación inmejorable en su caja , en su interior encontramos el colgante, una gamuza , una bolsa de transporte y una cinta de la marca. El collar y el colgante son de plata 925 y a mi mujer le encanta su diseño.</t>
  </si>
  <si>
    <t>Buena relación calidad precio. Funciona perfectamente, es muy útil y el tamaño pequeño es muy adecuado si no se dispone de una superficie muy grande.</t>
  </si>
  <si>
    <t>El mejor compañero para hacer deporte Gran artículo. Con sus 60 gramos, casi no se nota que los tienes puestos, son muy cómodos y la batería dura escuchando música más de 4 horas (probado durante 2 días). El alcance es el de cualquier bluetooth, 10 mts, y mientras limpio el patio dejo el móvil dentro de casa y se escucha de muerte. Que se carguen en su propia cajita me parece un acierto, así no los pierdes.  Pros: -Peso súper ligero, apenas lo notas. -No te sudan las orejas. -Suenan bastante bien con un volumen moderado (no hace falta ponerlo a tope) -Tiempo de carga normal, unas 2 horas.  Contras: -De momento nada  El estuche en el que vienen es muy cómodo a parte de ser batería para cargar los auriculares. Dura bastante, como dos o tres cargas para lo pequeña que es y te olvidas de cargarlos. Yo siempre que termino de usarlos los meto en el estuche y siempre están al 100%, cosa que con los que tienes que poner a cargar, a quien no le ha pasado que cuando llevas 20min haciendo deporte se le acaba la batería. Yo los recomiendo y además por su precio ni me lo pensaría si los tuviera que comprar de nuevo.</t>
  </si>
  <si>
    <t>Es una pequeña maravilla Se oye de fábula, pequeñito lo justo para que quepa en el  pabellón auditivo externo, sin molestar, sin caerse, queda perfectamente encajado. Cuando respondo una llamada no es una maravilla, para que nos vamos a engañar, pero te oyen y te entienden, lo justo para cerrar el pinganillo y seguir hablando por el teléfono. Lo recomiendo. Yo he comprado 5</t>
  </si>
  <si>
    <t>Mejorable Es imantado, eso me gusta, pero no borra del todo lo escrito, a no ser que sea reciente. El borrador se queda sucio y me mancha la nevera porque justo la parte con la que se borra es la que va pegada a la nevera.</t>
  </si>
  <si>
    <t>Esperaba algo más El producto cumple perfectamente con la descripción, pero son pequeños, frágiles y con poca fuerza. Las compra ha sido un error mío que asumo, pues no hay nada que no dejen claro en el detalle que facilitan.  Con algo más de grosor estoy convencido de que habrían sido de mayor utilidad.</t>
  </si>
  <si>
    <t>Promedio Visto que la gente se quejaba de que la talla que había pedido le iba pequeña compré una talla más grande y ahora me va grande, por lo demás bien. Lo esperable, vaya.</t>
  </si>
  <si>
    <t>Belén Ha sido decepcionante comprar este producto. No produce ni efecto calor ni frío. Tampoco se nota ningún alivio ni mejora de ningún tipo. Podría ser una simple crema hidratante.</t>
  </si>
  <si>
    <t>más mala que la peste no lo compreis , esta claro?</t>
  </si>
  <si>
    <t>Bota Panama Las botas me han gustado, pero mi pie aún no se ha hecho a ellas. Me quedan algo grandes.</t>
  </si>
  <si>
    <t>Diseño bonito Son muy bonito pero más finos de lo que esperaba. La tuerca de cierre es muy pequeña. Queda muy bien en la oreja, en mi caso tienen la medida perfecta</t>
  </si>
  <si>
    <t>Transpitables y ligeros Son muy ligeros y transpirables. Sensación de segunda piel, perfectos para entrenamientos de fitness indoor. Además, se secan muy rápido.</t>
  </si>
  <si>
    <t>Lo que se ve Pequeño, simple y con las especificaciones indicadas.  Me ha llegado sin ningún problema y por lo que lo llevo usando funciona igual de bien que otros lápices de memoria. Su precio está bien sin ser una ganga. Y es cierto que su pequeño tamaño hace que tengas que tener cuidado con él y quizás no sea lo ideal para niños o adolescentes despistados, por ejemplo. Aunque esto se puede solucionar poniendolo en un llavero o en una correa.</t>
  </si>
  <si>
    <t>Satisfecho. Va muy bien pero si te acercas mucho se acopla, por lo demás va muy bien y se oye y sincroniza perfectamente. La batería dura unas 3 horas.</t>
  </si>
  <si>
    <t>Buenas zapatillas Buenas zapatillas y muy cómodas las volvería a comprar. Compra recomendable</t>
  </si>
  <si>
    <t>Fiabilidad 100% Funciona muy bien, la minipimer de toda la vida la que tenían nuestras madres, super fiable, contento por ahora con ella.</t>
  </si>
  <si>
    <t>Comodidad Muy comodo, muy práctico..</t>
  </si>
  <si>
    <t>Cumple con lo que es Conectado a ps4 como almacenamiento expandido y funcionando correctamente.</t>
  </si>
  <si>
    <t>Calidad precio Funciona bien</t>
  </si>
  <si>
    <t>Elegantes y a buen precio Me las compré en ante negro y suela marrón... súper elegantes y originales... por 40€ no se puede pedir más. Tallan perfectas y además la orma es ancha... 👍🏻👍🏻</t>
  </si>
  <si>
    <t>Lo recomiendo Es la segunda batidora que he tenido y está me encanta, la utilizo para hacer tortitas fitness y algún que otro smootie. Se limpia fácil y licua muy bien en segundos, eso sí hace mucho ruido pero es normal.</t>
  </si>
  <si>
    <t>Buena calidad precio Ajustada, es cómoda y transpira. Si llevas alguna mochila acaba haciendo bolas del roce. Para hacer deporte esta bien o para llevar casual. Es bastante larga, pro no me molesta</t>
  </si>
  <si>
    <t>Excelentes botas, suela antideslizante Son uns botas poco pesadas, muy calientes, la suela no es muy dura, lo que las hace muy cómadas para andar, pero lo que mas me a llamado la atencion es que son antideslizantes de verdad, las he probado en mojado  sobre diversos terrenos, asfalto, pintura sobre asfalto, baldosas, hierba, tierra..., y las botas agarran como si llevases clavos.  Uso la talla 45 y he pedido la 45 y me esta perfecta.  A falta de ver la durabilidad (me imagino que será bastante inferior a unas botas de marca de 100€) les doy un 10.</t>
  </si>
  <si>
    <t>Fácil manejo Pues se lo compré para que llevara, mi hija al cole porque empieza 5 curso de primaria y buscaba unos auriculares pequeños pero a la vez resistentes, o te se como es la calidad del sonido porque aun no los estrenamos, pero que mi marido es técnico dice que son muy buenos, en cuanto al precio esequibles comparado con otras marcas.</t>
  </si>
  <si>
    <t>Muy práctico y El producto, lo encuentro muy útil, práctico y rápido a la hora de realizar el calentamiento del agua, con lo que cumple co las expectativas y la información que dan, este es muy recomendable. Saludos</t>
  </si>
  <si>
    <t>Comodos y prácticos Cómodos, como una deportiva un poco mas tosca, sin duda calidad-precio lo mejorcito. Aconsejo esta compra</t>
  </si>
  <si>
    <t>Rápido Perfecto</t>
  </si>
  <si>
    <t>Buena trituradora Buena potencia, que es lo que buscaba en principio. Aparte de eso me gusta el nuevo diseño que evita el efecto succión que tienen las demás, así como la generación de escasas salpicaduras. De momento no le veo gran ventaja al hecho de que las cuchillas puedan llegar más abajo que otras batidoras, imagino que algo hará... No me gusta el mecanismo de seguridad, que tienes que accionar cada vez que paras, aunque sean 5 segundos, en fin, será cuestión de acostumbrarse. Los accesorios bien, aunque echo de menos una tapadera para el vaso transparente. Los demás accesorios bien, batidor de varillas excelente, picador pequeño muy práctico, y vaso batidor - triturador con capacidad para incluso un buen gazpacho. En fin, buen producto, y recemos para que no lleve incluido el chip de la obsolescencia programada.</t>
  </si>
  <si>
    <t>Buena compra Hola, mi marido estaba buscando algo así, porque estaba acostumbrado a bolsitos pequeños. Esta muy contento, porque le entra de todo, las cremalleras son grandes y fuertes y el material se  e de buena calidad. Estaría mejor si la cuerda grande se pudiera quitar y usarlo de bolso de mano, pero vamos lo volvería a comprar</t>
  </si>
  <si>
    <t>Bonitos, buenos y baratos Los tengo desde hace unos días y muy bien. No son muy grandes, justo el tamaño del lóbulo. Perfectos para todos lo días. Tengo alergia a la bisutería y sólo puedo llevar plata y oro. Los llevo desde hace 3 o 4 días y de momento genial. Me he bañado con ellos y no se ha ido el color. Si fuesen muy malos me habrían hecho heridas por la alergia...</t>
  </si>
  <si>
    <t>Mochila pecho Es una mochila muy práctica, con muchas cremalleras y bastante amplia. Tiene para poner la botella de agua que eso viene muy bien para tenerla al alcance . Tiene una cremallera abajo de todo para paraguas, pero tiene que ser uno muy pequeño. Está genial para excursiones y lo que sea.</t>
  </si>
  <si>
    <t>Cuidado con lo que compras Es una plancha más la verdad. No me dejaría engañar por los supuestos "avances" en este sentido. Vengo de una de 1800W y teniendo en cuenta que esta es de 2800W no veo ninguna diferencia.. Bueno eso sí, hay que tener en cuenta que se marca la ropa, supongo que por la mayor potencia (espero que no sea por la suela). Respecto al "aviso sonoro y visual" de nuevo no se trata de ningún avance: El aviso "visual" es el apagado del led cuando llega a la temperatura, y el aviso "sonoro" entiendo que se debe al "click" del interruptor que incluyen TODAS las planchas. Respecto al "sistema de autoapagado" no lo veo por ningún lado. Mejor comprar algo barato (Taurus tiene una de 2200W por casi la mitad de precio)  EDITO: Bajo la valoración un punto debido a que el modelo comprado no disponía del piloto luminoso superior ni señal acústica, aunque en la caja sí lo mostraba y el nombre marcado en la plancha era idéntico. Han quitado opciones sin informar al usuario y sin cambiar el modelo, lo cual lleva a engaño. Cuidado con lo que compras y cuidado con esta marca.</t>
  </si>
  <si>
    <t>Un poco más grande de lo esperado Intuyo que si hubiera pedido una talla menos habría quedado pequeño, pero mejor que sobre un poco que no que falte.</t>
  </si>
  <si>
    <t>Skechers Graceful-Get Connected Muy bonitas pero nada cómodas para mi ya que son muy bajas en la parte del talón. Recomiendo medio número menos mínimo del habitual como siempre para Skechers.</t>
  </si>
  <si>
    <t>Mal tallado Es imposible entender el sistema de tallaje (al menos de las chanclas). El que se supone que debería ser una talla 36 EUR me queda enano (y normalmente uso una 35). He usado havaianas media vida y es la primera vez que me encuentro este desbarajuste de tallas sin sentido.  Mejor comprar en la web de havaianas directamente o en tienda. Cuestan lo mismo o menos.</t>
  </si>
  <si>
    <t>Son falsas Son falsas</t>
  </si>
  <si>
    <t>Se ajusta a la descripción Buen servicio y bien presentado. Cumple su función y además es elegante</t>
  </si>
  <si>
    <t>F. Sanchez Buena relación precio-calidad y presentación. Es posible que en relación a este producto hubiera dado mejor calificación, pero las deficiencias en la facturación y servicio todavía pendiente en parte de solución me han obligado a retirar una estrella. Como producto en cuanto a presentación y calidad lo recomiendo sin dudar. Saludos.</t>
  </si>
  <si>
    <t>Buena relación calidad/precio Selección de aceites esenciales de buena calidad. Se echan en falta algunos más de notas medias y bajas, pero por el precio que tiene supongo que es razonable.</t>
  </si>
  <si>
    <t>Muy bien excelente modelo.</t>
  </si>
  <si>
    <t>Pulsera de malla Es un encargo de mi padre. No le gustan las pulseras de acero, las de cuero se le estropean rápidamente y va a probar con esta de malla. El mecanismo de ajuste es bastante simple, pero parece seguro. En unos minutos estaba adaptado a su muñeca. Se ve muy bien la hora e incluye la batería. Quizás, por indicar algo para su mejora, que las manecillas fuesen luminosas.</t>
  </si>
  <si>
    <t>Muy práctico Lo he estado utilizando bastante y va genial, además de que no se tarda nada en limpiar.</t>
  </si>
  <si>
    <t>Buena calidad Preciosos buena calidad</t>
  </si>
  <si>
    <t>BUEN PRODUCTO BUEN PRODUCTO  A BUEN PRECIO. EXFOLIA E HIDRATA</t>
  </si>
  <si>
    <t>Buena calidad, y rapidez en lectura y escritura El dispositivo de memoria es de buena calidad. Lo uso para Windows to Go y es suficientemente rápido como para soportar esta funcionalidad de Windows y funcionar estupendamente. Seguramente si fuera USB 3.1, sería mejor, pero el PC que tengo solo tiene puertos USB 3.0 y la memoria USB 3.1 es casi el doble de cara. La recomiendo para cualquier uso que se le vaya a dar. Tanto en lectura o como en escritura es suficientemente rápida.</t>
  </si>
  <si>
    <t>bueno Bueno</t>
  </si>
  <si>
    <t>Acorde con lo que buscaba El producto se corresponde tal y como dice en la descripción; Llega en un paquete blanco pequeño y discreto con instrucciones dentro. Lo probé con mi teléfono BQ Aquaris E4 y me funcionó al instante, no necesité descargar nada.</t>
  </si>
  <si>
    <t>Recomendable Perfecta para espacios pequeños o personas que no necesitan una batidora grande.</t>
  </si>
  <si>
    <t>Supera expectativas La verdad que estos pantalones superaron mis expectativas, dado su precio pensaba que iban a ser los típicos leggings que duran un telediario. Sin embargo me encontré con unos pantalones muy monos, con una tela muy suave, bolsillos invisibles a los dos lados para el móvil o lo que haga falta y un pequeño bolsillo metido por dentro de la cintura.  El corte sienta bastante bien y queda bonito.  La talla es acertada.  Así que muy buena experiencia de compra</t>
  </si>
  <si>
    <t>CALIDAD MUY BUENA Igual que la nueva</t>
  </si>
  <si>
    <t>Adidas basicos Cómodos y muy ligeros son para verano</t>
  </si>
  <si>
    <t>Com siempre, genial Hace años que las vans las compro siempre por amazon. Al saberme la talla es un acierto al 100% y de precio siempre muchísimo mejor que en tiendas físicas. Estas me salieron por 32€ (talla 44) mientras que en una tienda rondarían los 70€. Los precios de las vans en amazon varían mucho dependiendo de la época, es cuestión de tener paciencia y buscar la mejor oferta.</t>
  </si>
  <si>
    <t>Estupendo El producto me ha llegado bien pero el regalo del que hablaban no vino. Es un buen producto. Cumple con lo que yo quería.</t>
  </si>
  <si>
    <t>Buen SSD a muy buen precio En concreto lo estoy utilizando con un Macbook Pro Mid 2010 (7,1) con un core 2 duo. La instalación no puede ser más sencilla (teniendo los destornilladores adecuados claro esta). Es ideal para dar una nueva vida a este "viejo" Mac que con este SSD vuelve a ir de maravilla aún usando OS Sierra.  Antes de instalarlo realicé una copia exacta del HHD antiguo con el Carbon Copy utilizando un adaptador SATA a USB (también de adquirido en Amazon).  Ha sido instalarlo y ver como las aplicaciones pesadas como Fotos, Facetime, aplicaciones de edición en RAW de fotografía que antes tardaban minutos en abrirse, se abren de manera muy muy rápida. El arranque del equipo también a mejorado de manera muy notable.  Es compatible con TRIM (hay tutoriales en internet para habilitarlo, NO PUEDE SER MÁS SENCILLO).  En conclusión: Si teneis un mac/pc de mi generación haced la inversión de comprar un SSD ya que no os vais a arrepentir; y destacar que aquellos a los que piensen que es muy complicado de hacer., desde la propia página de crucial os explican PASO A PASO como hacerlo.  Excelente producto</t>
  </si>
  <si>
    <t>Hermoso Regalo por 5 años que conozco a mi mujer</t>
  </si>
  <si>
    <t>Perfecta Súper fácil de usar y súper bonita. No podríamos haber hecho mejor compra. No es la más barata, pero nos ha valido la pena gastar un poco más y tener una tostadora bonita, ya que es un electrodoméstico que siempre está a la vista.</t>
  </si>
  <si>
    <t>Bueno calidad-precio Casi todas la memorisa que hay en el mercado tienen un acabado en plastico y si lo llevas con las llaves de casa se rompe antes o después. Vi esta memoria USB 3.0 en con acabado metálico y estoy encantado con ella. Por el momento me está aguantando bien.</t>
  </si>
  <si>
    <t>No se puede Instalar en iphone No hay app operativa para iphone</t>
  </si>
  <si>
    <t>Bastante bien Muy bonitas zapatillas de seguridad,pesa más de lo normal, antes tenía unos más ligeros. Falta ventilación,el pie transpira bastante. La suela un poco rígida, preferiría que fuera más flexible. Relación calidad precio correcto.</t>
  </si>
  <si>
    <t>Tarjeta falsa parece ser. Empieza a dar errores de archivos corruptos y de lectura tras unos meses de uso. La galería empieza a cargar a tropicones, la velocidad de lectura y escritura no llega a 10 mb/s en ambos casos cuando lo pruebas con una app de checkeo. Y además no reconoce el fabricante de la tarjeta cuando usas la app SD Insights... Se ve que tenemos una tarjeta falsa...  Pues el móvil solo me va lento o atasca cuando leo datos desde la tarjeta (la misma galería).</t>
  </si>
  <si>
    <t>Muy endeble Es bonito pero la cadena es de mírame y no me toques, en mi caso vino con el broche roto</t>
  </si>
  <si>
    <t>Una decepción. Una auténtica detención. Me decidí a comprarla por los buenos comentarios, cuando nos llegó nos dio la sensación de que estaba usada, porque estaba gastada como se ve en La foto. A pesar de eso la probamos, al segundo día ya no funcionó. Un fracaso, nada recomendable. Veníamos de una bosch que se salía al picar en maxima potencia, así que probaremos otra opción.</t>
  </si>
  <si>
    <t>Comodidad Llegaron antes de tiempo. Me gusta el tacto de la tela, son comodas, no transpatentan. Según la guia de tallas son grandes, una talla menos se ajustaría mejor.</t>
  </si>
  <si>
    <t>Muy práctico Muy practico, sobre todo para lugares a cierta altura. Sirve para muchas situaciones diferentes. Buena relación calidad vs. precio. Recomendable.</t>
  </si>
  <si>
    <t>Buenísimos pero caros Son geniales de verdad súper cómodos yo trabajo de camarero y la plantilla de gel se nota una barbaridad, lo podrían poner un pelín más baratos que ese precio para destrozarlos en el trabajo me da pena</t>
  </si>
  <si>
    <t>Muy buena compra Muy buena caludad. Son muy comodas</t>
  </si>
  <si>
    <t>Comodisimas Su comodidad, las puedes lavar dn la lavadira y suedan geniales</t>
  </si>
  <si>
    <t>Originales, y siendo Apple, queda todo dicho!. Imagino que el que está pensando en comprar estos AirPods por Amazon, es por que  conoce totalmente su calidad y su funcionalidad. No queda decir más que decir, siendo Apple la calidad está asegurada. He quedado sorprendido por haberme podido ahorrar una notable diferencia de dinero y aprovecharme de esta oferta de compra de un producto original Apple!!!.</t>
  </si>
  <si>
    <t>Recomendado 100% Es muy bonito. Un regalo estupendo y a buen precio. Moderno, pantalon estrecho, el color de la chaqueta muy bonito. Merece la pena.</t>
  </si>
  <si>
    <t>Impresionante calidad de uso y acabado Como todo lo que hace xiaomi o sus marcas satelite, en este caso roidmi, os una producto de muchisima calidad y muy sorprendente. Ya solo con abrir la caja y ver el cuidado con que estan protegidos los distitos componentes y la calidad y orden de los mismos te das cuenta de que estas ante un producto muy superior a lo que nos tienen acostumbrado otros fabricantes mas tradicionales. En cuanto a la aspiradora en si decir que funciona de maravilla. Pesa muy poco para tener el motor y la bateria enbla parte de arriba y la ptencia de aspirado es altisima.  Los acesorios son muy faciles de intercambiar y el limpieza de tapizados es muy util y eficaz dejando los tegidos muy bien de una pasada. Y lo mas sorpendente es la autonomia de uso...  usandolo para aspirar toda mi piso, que es de un tamaño estándar de unos 80 metros cuadrados, al terminar aun le queda el 50% de las marcas de bateria... Increible. Mi anteror aspirador-escoba de bosh no me daba normalmente con una bateria completa para toda la casa. Para mi es un producto altamente recomendable y el mejor aspirador que use en mi vida.</t>
  </si>
  <si>
    <t>Material y comodidad Buen producto aunque algo cara</t>
  </si>
  <si>
    <t>Bonito Igual que en la imagen, cambia a varios colores según la temperatura, azul, verde, negro,  violeta. Nos sé si la cadena se estropeará, de momento bien. Y la entrega mucho más rápida de lo esperado, 13 días</t>
  </si>
  <si>
    <t>todo perfecto todo perfecto</t>
  </si>
  <si>
    <t>perfecto regalo Después de mucho mirar relojes de la marca CASIO me decanté por este, porque es elegante y sencillo. Lo quería para regalárselo a mi padre por su cumpleaños. La esfera es bastante grande y se ve y siente robusto.</t>
  </si>
  <si>
    <t>De calidad con precio sobrevalorado por el marketing La calidad es excelente. Es ligera, cómoda y cálida. La marca NIKE la tenemos metida en el cerebro desde niños debido a sus inversiones en publicidad que pagamos con altos precios en todos sus productos. También es una marca muy falsificada. No compres lo que no necesites y recuerda que si sale en la televisión pagarás un mayor precio. Tampoco lo compres porque tú deportista favorito o tu equipo deportivo lo usa. Son mercenarios de las marcas.</t>
  </si>
  <si>
    <t>Perfectos Los tenis son perfectos muy cómodos y ligeros</t>
  </si>
  <si>
    <t>La celeridad en el suministro del producto. Genial Correcto todo</t>
  </si>
  <si>
    <t>Muy contento Zapatos muy comodos, resistentes y quedan genial. Estoy muy contento con la compra</t>
  </si>
  <si>
    <t>Muy bonito Cómo en la foto .Un poquito más grande de lo que yo imaginaba</t>
  </si>
  <si>
    <t>Aceites para difusores Llegó rápido ¡Soy nuevo en los aceites esenciales pero parecen muy buenos! ¡He hecho un poco de crema hidratante para la cara con el incienso que es encantador y funciona! Y también obtuve un difusor que es genial con la lavanda para relajarse por la noche. ¡Tengo que decir que he dormido como un tronco desde que lo usé! ¡Es un 5 de mi parte! Definitivamente los compraré nuevamente en el futuro cuando sepa más sobre ellos y sus usos.</t>
  </si>
  <si>
    <t>Más pequeño de lo que esperaba Excelente. Es más pequeño de lo que imaginaba, puede ser fácil perderlo si no se le anuda alguna correa de hilo</t>
  </si>
  <si>
    <t>Verónica Era un regalo para mi padre y le ha encantado. Correa suave y de calidad. La esfera es sencilla pero elegante. Viene en su caja original. Estoy muy contenta.</t>
  </si>
  <si>
    <t>Buena relación calidad precio Color muy original, como en la foto,muy cómodas y ligeras. Por ahora muy contenta con la compra.</t>
  </si>
  <si>
    <t>Buenos auricuares y buena atención al cliente Ligeros, cómodos y buena calidad de sonido. A los pocos meses me surgió un problema con el botón de encendido, que provocaba una interferencia en el sonido. Me puse en contacto con el comprador al estar el producto dentro de garantía, y me lo cambiaron por un producto nuevo sin ningun problema. Muy contenta con la atención al cliente y servicio postventa.</t>
  </si>
  <si>
    <t>decepción en mi caso solo coge un máximo de 20 mb/s y no es por el equipo ya que tengo otro pendrive más económico que si llega  hasta los 100 ...edito.. he conseguido al final una tasa de transferencia de casi 80 mb/s  , lo cual ya me satisface relativamente, por lo que subo mi nota</t>
  </si>
  <si>
    <t>sencillo y buen funcionamiento sencillo y bonito como en las imagenes. hace un poco de ruido al caleatar, y desde la primera vez se le acumula un poco de cal en el interior. Buena compra</t>
  </si>
  <si>
    <t>Calidad limitada pero buen precio y aparente Es un zapato práctico y aparente pero de calidad limitada. La plantilla del pie tiene un mal diseño en cuanto ajuste al pie y al propio zapato.</t>
  </si>
  <si>
    <t>bolso muy pequeño Para una persona de 170 cm la correa es muy corta. El bolso es muy pequeño y no tiene compartimentos por dentro.</t>
  </si>
  <si>
    <t>Completamente rotos después de tres usos. Inaceptable que unos calcetines de ese precio se hayan roto (no al ponermelos o al quitarmelos) sino dentro de la zapatilla por varios sitios, irreporablemente rotos. Ya no voy a comprar más productos de Compressport ya que no es la primera vez que hago mala experiencia con productos Compressport en lo que se refiere a su resistencia.</t>
  </si>
  <si>
    <t>Mala calidad. Sospecho que son falsas vendidas a precio de originales más que nada por el tejido y la calidad de estas.</t>
  </si>
  <si>
    <t>Cómodo,  bonito y no transparenta a pesar de ser clarito. El artículo es tal y como sale en la foto . Sienta muy bien . Pero hay que pedirlo una talla más  de la que se usa, porque da poca talla. Por lo demás,....perfecto. Elena</t>
  </si>
  <si>
    <t>Decentes Se ajustan bien y no son muy gruesos</t>
  </si>
  <si>
    <t>Podría ser más compacta Un poco aparatosa en los viajes pero llevas todo lo que quieres llevar</t>
  </si>
  <si>
    <t>Lo q esperábamos Tal y como se esperaba. Se ven sólidos, el rosa claro parece de efecto nacarado</t>
  </si>
  <si>
    <t>Muy bien calidad precio Es un micrófono sencillo, en sitios abiertos coge algo de ruido pero nada exagerado, en sitios cerrados coge el sonido perfectamente sin ruidos, la pinza se ajusta perfectamente y parece robusta y duradera, calidad precio esta muy bien. No pongo 5 estrellas porque hay mejores evidentemente, pero este me ha sorprendido para bien por lo que vale.</t>
  </si>
  <si>
    <t>Buena compra Es un difusor muy bonito, práctico, al tener tanta capacidad es muy cómodo. Su diseño combina muy bien porque es muy similar a la madera. Lo único "malo" es que resulta bastante ruidoso</t>
  </si>
  <si>
    <t>Calidad Casio Me gusta bastante, la iluminación es de la pantalla completa ya que esa es la diferencia al modelo inferior. Compré este reloj porque estaba cansado de que se me partieran las correas de goma de los otros Casio, espero que me dure mas esta correa.</t>
  </si>
  <si>
    <t>Todo perfecto Todo según la ficha, no hubo ningún inconveniente.  El aparato funciona muy bien, viene  con micro de cabeza, micrófono de mano, mando y una bolsa para taparlo. Por ponerle algún pero, no traía pilas los micros.</t>
  </si>
  <si>
    <t>Que delicia..!! Me encanta meterme a la cama y encontrarla tan calentita, tiene 3 niveles de calor y calienta rápido.</t>
  </si>
  <si>
    <t>Ninguno tan bueno como estos Los mejores biberones que he encontrado. Para mi gusto los mejores, los mas cómodos a la hora de sujetarlos y por la forma de la retina. La válvula un acierto magnifico también.</t>
  </si>
  <si>
    <t>Silencioso y rápido Aunque es algo grande, tengo sitio de sobra en la encimera. La rapidez con la que exprime y muy silencioso es un factor bastante importante, ademas de el sistema antigoteo. Muy recomendable</t>
  </si>
  <si>
    <t>Muy buena calidad Relación calidad-precio muy buena. Son carpetas de calidad y con una buena consistencia.</t>
  </si>
  <si>
    <t>Muy satisfecha Muy satisfecha con la compra. Vienen unas ventosas debajo que hace que no se mueva al triturar o licuar. Muy buena calidad y muy potente. Muy recomendable.</t>
  </si>
  <si>
    <t>Muy comodas Muy cómodo</t>
  </si>
  <si>
    <t>Lo que estabas buscando Maravillosas</t>
  </si>
  <si>
    <t>Buena relación calidad y precio. Llego en tiempo y forma. Tardo un poco en llegar a tope de carga. Aun estoy en prueba de toda sus funciones. La correa de resina pararece demasiado frágil. No es muy ancha ni gruesa, hay que esperar tras un tiempo de uso para saber si es duradera. Es muy ligero.</t>
  </si>
  <si>
    <t>Perfectas Me han encantado para mi sobrina y camina muy bien con ellas, hay que tener cuidado por que reebok calza un poco grande</t>
  </si>
  <si>
    <t>El pendrive más pequeño del mercado Buscaba un pendrive usb lo más pequeño posible para poner en el reproductor del coche y esta es sin duda la mejor solución posible.  Apenas sobresale 3mm del puerto usb, por lo que no molesta en absoluto y casi ni se ve. Es ridículamente pequeño, pero a pesar de ello, y gracias a su forma, es fácil de extraer del puerto. Incluye una pequeña anilla para que puedas ponerle un hilo/cordón y llevarlo en el llavero para no perderlo, como la mayoría de pendrives.</t>
  </si>
  <si>
    <t>Indispensables junto a Virobi Genial de precio. Esenciales para el aparato Virobi. Son fuertes y se pueden utilizar un par de veces. Compraré más</t>
  </si>
  <si>
    <t>MUY BONITO Era para hacer un regalo y le ha encantado</t>
  </si>
  <si>
    <t>Muy bien Igual a como se describen</t>
  </si>
  <si>
    <t>comoda practica y comoda. recomendable</t>
  </si>
  <si>
    <t>Rosa Me gusta para hacer deporte es ideal aunque sea un poco pequeño Es fresco y tiene.un.buen mantenimiento.del pecho la materia es la de cualquier prenda de deporte con lo cual es comoda</t>
  </si>
  <si>
    <t>Buena compra Buena resistencia y calidad</t>
  </si>
  <si>
    <t>Delay entre el sonido y la imagen Los he recibido esta mañana, y me he dispuesto a probarlos. De aspecto no me esperaba mucho, pero la verdad es que están mejor de lo que esperaba. A la hora de probar la calidad de sonido, al darle al play en el móvil noté que había como medio segundo de retardo entre que le di y empecé a escuchar, pero no le di importancia de primeras. Sin embargo, después los probé con mi ordenador (tiene bluetooth), y noté ese mismo retardo probando también música. Pero después decidí a probarlos jugando, y ahí ya vi claramente el retardo entre la imagen del disparo y el propio sonido. Probé con un vídeo de youtube, y lo mismo: retardo entre la imagen y el sonido. Así que me he decidido a devolverlos. A pesar de haber elegido defectuosos no me devuelven todo, pero sinceramente ya es que me da igual. Llevo ya meses buscando unos auriculares buenos, y no soy capaz de dar con alguno que sean buenos y no me den problemas</t>
  </si>
  <si>
    <t>Tardo demasiado Tardo demasiado en llegar. El producto Ok.</t>
  </si>
  <si>
    <t>Raquel Se compro hace un mes se ha usado 3 veces porq es cuando la chica va a planchar donde mi padre y fatal la ultima ve se salia tido el agua por lo agujeros del vapor....como puedo devolverla? O que puedo hacer con ella... Es una plancha malisima</t>
  </si>
  <si>
    <t>Fatal Compré estos auriculares en diciembre del año pasado, y después de un mes dejó de oírse uno de los lados, por lo que recibo una unidad de reemplazo. Pues bien, se han vuelto a romper a la semana de usarlos. Estoy alucinando con este modelo, he tenido auriculares de Renfe que han durado más. Una decepción.</t>
  </si>
  <si>
    <t>Aceptable Es una buena bolsa como accesorio aunque un poco pesada, si metes muchas cosas luego se hace difícil el acceso a ellas para encontarlas</t>
  </si>
  <si>
    <t>Reloj casio analógico. Lo que esperaba, simple, pero con la calidad de un Casio, siempre buena, es un reloj ligero grande para personas que les gusta ver bien las manecillas y la correa es de calidad.</t>
  </si>
  <si>
    <t>Bien Es para un regalo, pero no pude evitar sacarlo de su caja y probarlo con la palma de la mano. Realmente relaja y calma el dolor. Lo recomiendo 100%</t>
  </si>
  <si>
    <t>Tipico Cumple lo que promete y a un precio excepcional. Poco más se puede pedir. Justo lo que yo andaba buscando.</t>
  </si>
  <si>
    <t>Bien con ese precio Muy buena grabadora a un precio muy asequible. Creo que la mejor de este rango, incluso podría ser mejor que la Tascam según vi por Internet.  Esta segunda versión parece algo mejor construida que la primera, con mejor pantalla y botones, aunque sigue siendo de plástico. Lo bueno es que gracias a esto pesa poco, y además es pequeña, pero ha de tenerse cuidado porque puede romperse fácilmente.  Tiene control de volumen de grabación y reproducción, vumeter fiable, entrada «line in» para grabar internamente y muchas más opciones para grabar audio con toda libertad y calidad.  No me gusta que las pilas no sean baterías recargables por muchas razones, pero imagino que eso encarecería más el precio de entrada (aunque luego sale más caro al comprar tantas pilas desechables), y poder cambiarlas rápidamente en cualquier momento puede ser también una ventaja.  Un inconveniente objetivo que sí tiene es que al grabar con los micrófonos que tiene se cuela muy notablemente todo ruido que se provoca al tocar la grabadora. Cuidado con esto.  Además he notado que el ruido blanco aumenta considerablemente a partir del nivel cinco del volumen, pero es extraño porque no es lineal del 1 al 10, sino que a la mitad se reduce y vuelve a subir progresivamente...  En general la recomiendo sin duda para cosas sencillas pero con ciertos requisitos y calidad si el presupuesto es muy limitado o no se usará muy a menudo. De lo contrario quizá salga mejor comprar un modelo superior a la larga.</t>
  </si>
  <si>
    <t>ELEGANTE muy elegante y pensaba iba a ser mas molesta por el material pero no se desliza bastante bien el ratón.</t>
  </si>
  <si>
    <t>Perfectos Buenos biberones de una buena marca. Precio inmejorable para este set, creo que es buena opción para este tipo de productos.</t>
  </si>
  <si>
    <t>Esta muy bien A mi hijo, le queda perfecta la S, mide 164 y pesa 54 kg, Le gusto y es de buena calidad.</t>
  </si>
  <si>
    <t>Buena Es una buena pizarra, los imanes se pegan bien. Se escribe bien en ella. No tengo pegas.</t>
  </si>
  <si>
    <t>fabuloso Lo compré porque vi una review en youtube. No me ha decepcionado. Pega de maravilla el papel y cartón. Lo uso muchísimo , incluso para encuadernar. Como es lila, se ve perfectamente dónde pones cola y así no te dejas ningún rincón sin pegar.</t>
  </si>
  <si>
    <t>Correcto Está muy bien.</t>
  </si>
  <si>
    <t>Maravillosos Son preciosos, finos y sientan muy bien, n y puedo llevarlos todo el dia sin notar ningún picor o daño</t>
  </si>
  <si>
    <t>Muy bonito Super chulo, igual que en la foto y muy consistente</t>
  </si>
  <si>
    <t>Bonito y práctico Funciona de maravilla, es un 3x1. Te sirve de piloto para la noche y además de ambientar casa con su diseño innovador, me va genial para las noches de resfriados, nariz tapadas y demás. Tiene la opción de seleccionar la luz que se desea o también desconectar dicha luz si no se precisa. Por otro lado, también tiene la opción de memorizar el aparato en cuestión: 1 hora, 3 horas, 6 horas o indefinido (hasta que se consuma el agua, el cual él mismo se apaga sin ningún peligro). Es bastante silencioso y es gusta mucho este modelo. Ya que le compré a mi madre otro modelo de la misma marca y la luz no es tan potente y parece que suene un poco más.</t>
  </si>
  <si>
    <t>Vicente Peasooooo Reloj,es muy bestia jajaja,aparatoso,llamativo y CASIO... Muy buen producto. Es muy recomendable,lo malo es cuando se paga (no es relativamente barato),pero merece la pena.</t>
  </si>
  <si>
    <t>Bolso hombre y vestido blanco Muy bueno y bonito el bolso, a mi hijo le gustó mucho. Ah deseo rectificar, rectificar es de sabios, en el comentario que hice del vestido blanco, hoy es el cumpleaños de mis hijos, el vestido es para mi pequeña, a mi hija le a encantado ella sabe de telas y me dice que esta perfecto. Lo siento por mi ignorancia!!!!!✌🏼🧚🏻‍♀️👍🙏</t>
  </si>
  <si>
    <t>Pulsera preciosa y muy bien empaquetada para hacer un regalo! Llego muy bien presentado. Impresionante para el precio que tiene me esperaba menos y me sorprendio ,es muy bonita la compre para regalo y quedo encantada ,volveria a comprarla de nuevo.</t>
  </si>
  <si>
    <t>Genial Exactamente lo que buscaba cusando lo compre. La única pega que le puedo poner, por ponerle alguna, es que si bien la correa es de metal muy ligero, la caja que recubre al reloj (la esfera) de color plateado es de plástico. Pero en un mes o así que lo llevo puesto siempre ni una marca y lo uso hasta en el gimnasio.</t>
  </si>
  <si>
    <t>Perfectos Las compré para regalar y el número de pie perfecto.</t>
  </si>
  <si>
    <t>Espectacular Barato, robusto y sobre todo precioso, es un diseño muy simple pero del que no te cansas, no se le puede pedir más a un Casio. Encantado.</t>
  </si>
  <si>
    <t>Qué buenas. Incluso para intemperie. Me sirven para todo. Su primera utilidad fue agrupar el sobrante de un cable en el jardín cuando entra a la estación de carga del cortacésped eléctrico, es decir, para dejarllo a la intemperie y bajo lluvia del norte, un día sí, un día no. Fue perfecto, ha llovido, sigue lloviendo y sigue como si tal cosa. Total arreglo: 1 céntimo. El velcro adhiere muy bien y con fuerza, y por la longitud de la zona de velcro puedes apretar a voluntad lo que quieras sujetar. Otra utilidad fue para asegurar el cableado de un Renault 4. Perfecto. Resistente. Otra para un emparrado o también para un cableado eléctrico fijado sobre la estructura de una pérgola. Ahí sigue, después de sufrir el sol. Es discreto ya que no es muy ancho ni muy largo y el color es negro. Es muy versátil, sirve para cientos de cosas. No me extraña que sea el número 1 en ventas. Ajustables y reutilizables Lo que sí que me extraña es que alguien que compra 100 tiras de este velcro por algo más de 1 € resalte que tiene pelusilla (en mi caso no fue así) y lo valore como si hubiera pagado 10 veces más. ¿Que tarda en llegar? Sí, tres y cuatro semanas ... es que sinó asumes eso, mejor, El Corte Inglés, si lo encuentras, pero no por 1 €.</t>
  </si>
  <si>
    <t>Buena compra Me gusta mucho</t>
  </si>
  <si>
    <t>Comodidad Súper cómodas</t>
  </si>
  <si>
    <t>material mala calidad material poco resistente, se rompieron en la tercera puesta.</t>
  </si>
  <si>
    <t>Seguiré probando No le he cogido el truco todavía pero buena potencia a buen precio</t>
  </si>
  <si>
    <t>Memoria rápida La compre con el único propósito de instalar Windows, lo cual hizo muy rápido. La calidad del plástico es adecuado. No la uso muy seguido, tengo otra similar que solo la uso para backup y funcionan bien. Tiene una ranura para colocar una cuerda, sería conveniente que viniera con una. El hecho que el conector se pueda guardar deslizando el cuerpo de la memoria tiene la ventaja de no perder el capuchón pero el cierre no protege al mismo dejando expuesto el conector a la entrada de polvo.</t>
  </si>
  <si>
    <t>No es bueno Pero no funcionaba  a si que  la devuelto</t>
  </si>
  <si>
    <t>Mala calidad Cambia de color se vuelve amarilla... Mala calidad</t>
  </si>
  <si>
    <t>Excelentes Excelentes calidad/precio, sin duda. La calidad del sonido que reproducen es notable/excelente; el volumen, muchísimo más alto del que el oído pueda escuchar. La duración de la batería es más que excelente; te olvidas de la última vez que los cargaste. Su tamaño es relativamente bastante pequeño y la adaptabilidad en las orejas es realmente excelente. Si lo que buscas es que no se caigan de las orejas ni tener que estar poniéndotelos otra vez por el movimiento del propio deporte, con estos realmente te olvidas. No se caen. Tiene los inconvenientes de que, a pesar de ser bastante pequeños, y que ya tienen una forma aerodinámica, el hecho de sobresalir como un centímetro hacia afuera, rompe con el aire y molesta un poco; te obligan a subir el volumen entonces. Y esto me ocurre a mi almenos iendo con la bici quizá ya a partir de los 10km/hora. Tiene el otro inconveniente de que al ser bluetooth pierde la señal a veces con el propio cuerpo y jode que se te corte la canción en el mejor momento o cuando íbas escuchándolo fuerte ya. Por lo resto, es una de las mejores compras que he hecho en internet.</t>
  </si>
  <si>
    <t>Durabilidad Me gusta mucho la batidora. Es muy potente y deja los trituradora muy bien. Loo que no me ha gustado es que se rompen algunos elementos, se le fue enseguida una junta de la cuchilla y ahora antes del año de están rajando los vasos.</t>
  </si>
  <si>
    <t>Buena calidad Parecidas a las clásicas Wimblendon pero con la marca en gris, perfectas de tamaño, justo lo que buscaba. Buen precio</t>
  </si>
  <si>
    <t>Útil y vistoso Barato en comparación con otras marcas y sitios web y tiendas. Hace su función. Es muy seguro y cómodo que sea retráctil (de forma manual) la funda para proteger el USB. El color, en mi caso, ayuda porque así me cuesta más perderlo.</t>
  </si>
  <si>
    <t>Comodidad Gran comodidad para los que pasamos muchas horas de pie sin apenas andar. Con gran durabilidad. No sudan los pies ni uelen.</t>
  </si>
  <si>
    <t>Buen producto Lo tengo de repuesto para cuando se me rompa el que llevo, quizas algun bolsillo mas hubiese venido bien,satisfecho con la compra</t>
  </si>
  <si>
    <t>Ideal Es muy Bonita y en su peso ,parece buena no parece imitación jajaja. A mí hija y a mi nos a gustado mucho.</t>
  </si>
  <si>
    <t>Encantada con el producto y el servicio A pesar de que muchos comentarios que he leido decían que no era muy fuerte ( el material como el de una radiografía) a mi me parece excelente  y más si cabe por su precio. Y rapídisimo.</t>
  </si>
  <si>
    <t>Camiseta básica para deporte La clásica camiseta sin pretensiones estéticas, pero perfecta para un día de gimnasia o deporte. Buen patrón y material sedoso y transpirable. El cuello no ahoga y el ancho y el largo son generosos. Por el precio que tiene y si no buscas exquisiteces es ideal.</t>
  </si>
  <si>
    <t>Auricular para Apple Va fenómeno, muy recomendable.</t>
  </si>
  <si>
    <t>Muy buena adquisición. Hola;la batidora va muy bien,le he dado poco uso porque la compré hace tan solo unos días,es muy ligera en cuanto al peso,no hace ruidos estrepitosos,el diseño y el color hacen muy buena combinación, de la marca !!!!  pues sabemos por otros electrodomésticos su calidad, resistencia y durabilidad.Resumiendo está muy bien de precio,sirve para hacer de todo, en caso de picar hielo,he comprado un paquete que los cubitos son pequeños para no forzarla mucho,pues las anteriores que he tenido no realizan bien la función o se rompen.Es recomendable 100%,ha cumplido mis expectativas.</t>
  </si>
  <si>
    <t>Ignacio Esta prenda es muy cómoda, el color es muy bonito y el tejido de gran calidad. La talla L me queda perfecta.</t>
  </si>
  <si>
    <t>recomendable muy práctico para marcar la ropa de mi hija, me he quedado sorprendida porque he lavado ropa marcada muchas veces y continúa estando como el primer día imagino que dependerá del tipo de tejido pero en general muy contenta con la compra. Voy a comprar otro para mi otro hijo. Leí comentarios que decían que era muy difícil de montar pero realmente no ha sido así en cinco minutos ya teníamos el nombre puesto.</t>
  </si>
  <si>
    <t>Cinco estrellas Pluma de masaje de acupuntura fácil de usar.</t>
  </si>
  <si>
    <t>Perfecto para urbanitas ✔ Dos compartimentos con cremallera con 1 y 2 pequeños bolsillos interiores respectivamente. En el compartimiento principal cabe una tableta hasta 9 pulgadas o un paraguas de hasta 35cm de largo. ✔ Material de nylon repelente al agua. Muy ligero. Color ok y buena calidad. Correa acolchada y cómodo de llevar. ✔ Correa ajustable, se puede llevar en el pecho o en la espalda.</t>
  </si>
  <si>
    <t>Gran calidad con diseño vanguardista Usb 3.0 en color titanio y diseño muy espacial.. Siempre he comprado y confiado en Samsung y este USB cumple a lo que exijo. Excelente compra</t>
  </si>
  <si>
    <t>Elegante Buscaba in reloj elegante y bonito a un precio bajo, y vi este que tenía muy buens pinta, la verdad es que es precioso, mas en persona que en fotos, la correa de cuero es muy bonita y cómoda y no pesa mucho y se ve robusto para rayones y golpes. Es muy exacto, no se me ha retrasado ni adelantado ni un minuto y no hace nada de ruido, cosa que a mi me ha encantado, trae también función cronometro. Viene muy bien presentado en su cajita, no tiene nada que envidiar a marcas caras</t>
  </si>
  <si>
    <t>Rápido y silencioso Estoy actualizando un ordenador HP6365, lo he colocado dentro de la torre y le he instalado el sistema operativo y programas de edición de foto. Va muy bien, se nota la diferencia respecto a los discos mecánicos que los utilizo ahora para almacenar las fotos.  He mejorado en rapidez ! Lo recomiendo!</t>
  </si>
  <si>
    <t>muy bonitas perfectas</t>
  </si>
  <si>
    <t>Buen funcionamiento Muy contento, tal cual se indica en la descripción. Funciona muy bien con bastante bastantes potencia. Tamaño adecuado para calentar platos con una altura buena que te permite usar tapaderas. Fácil de usar y programas intuitivos. Hasta el momento muy contento con el funcionamiento.</t>
  </si>
  <si>
    <t>Pendrive Esta muy bien. Buscaba un pen que me lo cogiese mi radio ya que los de alta capacidad de memoria no me lo coge y este si me lo coge. Viene con su tapon para cubrirlo y que no le entre polvo ni nada.</t>
  </si>
  <si>
    <t>Parecen fuertes y durables Me han gustado mucho. Vienen con 5 tipos de lentes bien colocadas en una casita. Es fácil cambiarlas. No las he llevado mucho tiempo puestas, con lo cual no he utilizado la sujeción elástica. Me parecen un poco pesadas hasta sin pilas, pero creo que las voy a utilizar mucho.</t>
  </si>
  <si>
    <t>Muy buenos auriculares Compré estos auriculares ya que se me rompieron los anteriores que tenía. La verdad que el precio corresponde al producto. La caja incluye los auriculares, la caja/estación de carga, el cable de carga micro usb, una bolsita y los típicos manuales. Empezando por la caja, parece bastante resistente, con leds que nos indican cantidad de carga, se puede cargar cualquier dispositivo como un movil ya que tiene puerto usb. Los auriculares son de bastante buena calidad. Para ejercitarse están bastante bien, no se mueven a penas de la oreja, osea que acoplan bien. Respecto calidad de sonido a mi me ha gustado bastante, alomejor un pelin mas de graves(soy exigente con el sonido) y respecto la duración de la batería no puedo hacer una estimación exacta, pero los he gastado durante una semana, varios momentos en varios días, creo que estarán entre 2/3 horas de uso.</t>
  </si>
  <si>
    <t>Es bastante grande pero bonita Es bonita, tela gordita, abrigada. Por la parte de la espalda es bastante larga, tapa el culo con la talla s/m. Es moderna , de manga murciélago.</t>
  </si>
  <si>
    <t>Mónica La entrega y el producto bien, pero no me ha gustado este biberón, me he cambiado a los de avent y estoy más contenta</t>
  </si>
  <si>
    <t>Ni tan bueno como dicen Después de probar mi aspiradora durante una semana puedo dar mi opinión. - La batería no dura 45 minutos ni de coña, 25 minutos y se apaga. - Tienes que usarlo a máxima potencia, la potencia mínima es una escoba y no te sirve de nada absolutamente. No te quita ni las migas de pan. - No cabe debajo del sofá, punto negativo. - Es cómoda, las vas paseando por la casa. - Lo de los 2.5 kg es un engañabobos. Lo que pesa 2,5 kg es SOLO aspirador de mano, pero el aspirador completo, pesa bastante más, os lo aseguro. Y no es tan fácil ni mucho menos manejar el aspirador de mano, cuando llevas un rato aspirando el sofá, te duele el brazo. - Se limpia fácil, sí pero el depósito es muy pequeño. - No tarda mucho en cargar. - El precio es excesivo por lo que es en sí el aspirador.  ¿lo volvería a comprar? NO vale ese precio. Me estoy planteando seriamente reclamar por el tema de la batería. No me parece normal que pongan que dura 45 minutos y luego te dure 20 minutos.  Empiezo a echar de menos mi aspiradora con cable, con la que me tiraba una hora aspirando la casa, el sofá, los muebles ...</t>
  </si>
  <si>
    <t>Mala adquisición Lo he devuelto; además de que en la oscuridad no se puede ver la hora; en una semana se me ha atrasado dos veces casi en dos horas; incluso se me paró en una ocasión. No recomendable.</t>
  </si>
  <si>
    <t>Económico pero se nota demasiado malucho Supongo que por el precio que tiene no se puede esperar demasiado pero había comprado otros collares y bisutería antes que tenían mejor aspecto. La principal pega que le veo no tanto al colgante como al collar, es supermalo el material eslabones demasiado gordos para el conjunto ( no me pega nada) y también lo encuentro corto.</t>
  </si>
  <si>
    <t>No es lo que pensaba No aguanta el calor, se despega la cinta. Lo utilice para pegar unas cortinas para que no entre el sol.</t>
  </si>
  <si>
    <t>Prácticas y cómodas Para la piscina o playa. No me gusta caminar mucho con ellas por ciudad pero para lo ya indicado van bien. Las compré rebajadas porque su precio original me parece excesivo para unas chanclas. En el río se me salió la tira central por culpa del barro pero no hubo ningún problema en volver a colocarla.</t>
  </si>
  <si>
    <t>Muy versátil Muy buena opción para personalizar el sello. hay que tener un poco de paciencia para colocar las letras por el tamaño que tienen. En papel estampa perfecto pero en tela, que es mas rregular se nota algún fallo.</t>
  </si>
  <si>
    <t>Perfecto No pesan nada, son comodísimas, son como en las fotografías. Suela blanca, perfectas para ir a andar todos los días o salir a correr un par de veces a la semana.</t>
  </si>
  <si>
    <t>Artículo de trabajo Cinta adhesiva necesaria para la oficina o el hogar, muy práctica, la marca reconocida de hace mucho tiempo, relación calidad precio buena, recomendable a mis amistades</t>
  </si>
  <si>
    <t>Buen producto. Es lo que esperaba.</t>
  </si>
  <si>
    <t>Super recomendados! Me sorprendió bastante ver este precio en unos cascos inalámbricos y no pensaba que me gustarían tanto. Son super cómodos, como norma general me suelen doler las orejas tras un rato de llevar cascos, pero con estos ni me entero de que los llevo. Me paseo por toda la casa y no pierden la señal, se escucha muy nítido y van con una funda que es super cómoda para llevarlos. Sin duda los recomiendo para quien necesite unos cascos y no quiera gastarse mucho dinero. Muy contenta con la compra!</t>
  </si>
  <si>
    <t>plazo de entrega genial me dieron un plazo de entrega de un mes,al final me enviaron un correo q lo podria tener en el plaxzo de una semana,asi que muy contento con el trato y de ver que se preocupan del usuario.El producto genial como siempre</t>
  </si>
  <si>
    <t>Estupenda Funciona estupendamente, la volvería a comprar.</t>
  </si>
  <si>
    <t>Buena calidad y rapidez reparto Calidad perfecta. Llega con etiquetas originales de Nike. Talla bastante grande, mido 1,81 y peso 73kg y la M me queda bien, aunque un pelin suelto (este tipo de chándal va más ajustado)</t>
  </si>
  <si>
    <t>Elena jimenez Preciosos y muy cómodos le han encantado para sus clases d danza ,no a tardado nada en 24 horas o asi ya estaban en casa</t>
  </si>
  <si>
    <t>Buen producto Talla perfecta para mi. 174 y 73kg. Para gente más alta irá bien también. El material y todo parecen 100% original</t>
  </si>
  <si>
    <t>CAROLINA Me parece perfecta, tiene una pestaña en el depósito del café con lo que impide que se vierta el mismo.</t>
  </si>
  <si>
    <t>la mejor que he experimentado He comprado varias pero todas resultaran muy blandas menos esta. Tras 2 años sigue limpiando como nueva. No es barata pero tiene mucho más calidad</t>
  </si>
  <si>
    <t>perfectos perfectos nunca defraudan</t>
  </si>
  <si>
    <t>Perfecta sujeción. Esta funda es idónea para este modelo de DD externo, se fija perfectamente y tiene unas almohadillas que protegen el dispositivo, 100% recomendable!</t>
  </si>
  <si>
    <t>Todo bien Pegan bien, al tacto parece que no pero acabdo d eprobarlo y me ha costado despegarlo, en una caja ha arrancado parte de papel así que sorprendentemente si que se adhieren bien. Suenan bastante pero bueno, tampoco es horroroso.</t>
  </si>
  <si>
    <t>Buenos Auriculares Son cómodos y buen sonido.</t>
  </si>
  <si>
    <t>Fantastic Són suaus i no es nota quan es porten. Sonoritat perfecte. El faig servir sobretot per veure pel·lícules i ara prefereixo veure-les amb els auriculars que sense. Sembla el cinema!.</t>
  </si>
  <si>
    <t>Muy contento Zapatillas completamente originales. Tallan igual que todas las AF1. Buena compra.</t>
  </si>
  <si>
    <t>monedas Funciona de maravilla</t>
  </si>
  <si>
    <t>Impresionante el cambio en el portatil 10” Ya hace unos años quw tengo un mini portátil de 10”, con elnpaso de los años ha quedado algo arrinconado en casa, con un uso muy esporádico por aquello de la nostalgia, se ke ha cambiado en varias ocasiones el S.O. Y de poco servia el revivirlo asi, hasta que le aumente la ram de 1gb a 2 gb, algo gano, pero... al cambiar el HD por el SSD ha sido otro, se ha vuelto más ágil y estable al instalar un S. O. limpio y la app que utilizo para la PSW. Ha sido una muy buena compra.</t>
  </si>
  <si>
    <t>su comodidad Son perfectas y comodisimas. Yo de bambas calzo un 42 pero de estás es el 41, ya que calzan grandes.</t>
  </si>
  <si>
    <t>Jorge vidal. Llevo con el calzado un dia y fenomenal .llevaba con dolor en la planta de los pies 15 dias y hoy ya no m duelen .estoy muy contento .un saludo</t>
  </si>
  <si>
    <t>No apto para conversaciones Es un gran sonido cuando escuchas música. Muy profundo, limpio.  Pero la calidad del sonido es muy baja cuando hablas con alguien en una llamada de voz. Y el micrófono es peor que los habituales auriculares chinos por 20 euros. La otra persona me oye caminando, removiendo azúcar en una taza, la gente hablando en la calle de enfrente. Y él oye todo esto mejor que yo. Y cuando el viento está débil afuera, es imposible hablar. La otra persona sólo oye el viento.</t>
  </si>
  <si>
    <t>Auriculares AKG k702 Pedí estos auriculares a mi hijo y os dejo su opinión sobre ellos:  Auriculares enfocados para uso en producción musical, mezcla o mastering homestudio (en mi caso), no los recomendaría para escuchar música solamente o ver la tele.  - Estos auriculares son abiertos, de forma que no aíslan el sonido (si los escuchas a un volumen normal puede molestar a la gente de alrededor en caso de estar en un sitio tranquilo y por el contrario si hay ruido exterior te dificultara la escucha del audio)  - Circumaurales, sus almohadillas no se acomodaran sobre las orejas, si no que las rodea (al cabo de un tiempo con ellos puestos se me hacen incómodos por la presión que me ejercen entre la mandíbula y la oreja) ( he de decir que soy de cara fina y cabeza más bien pequeña).  - Sonido de alta fidelidad. A diferencia de otros auriculares a los que estaremos mas acostumbrados a que de serie realcen las frecuencias graves por ejemplo, estos mantienen una respuesta mas plana (no "maquillara" el sonido) cosa que al principio me decepcionó un poco pero con el uso acabe acostumbrando el oído y apreciando su sonido limpio en los que se pueden distinguir bien los detalles.  - El cable se conecta al auricular por una entrada mini-XLR y en el otro extremo tiene una clavija mini-Jack o TRS (3,5mm) con un adaptador a rosca que pasa a Jack (6,35mm).  Como no voy a estar comprando auriculares para ver cuales son mejores me quedo estos pero no los volvería a comprar y cuando se estropeen ya buscaré otros. Gracias y un saludo.</t>
  </si>
  <si>
    <t>El vaso picdor es muy pequeño, por lo demas bien. Una pena que el vaso picador sea tan pequeño, no me lo esperaba tan peque, y solo tiene una velocidad, me esperaba otra cosa.. tal vez valga la pena pagar un poco mas o comprar solo la batidora sin los extras que no voy a usar por el tamaño tan pequeño.</t>
  </si>
  <si>
    <t>Muy mala experiencia La pulsera se a vuelto cobre quiero mi dinero o que me la cambien</t>
  </si>
  <si>
    <t>Molesto..... Bueno, la primera vez que me ocurre, me sirvieron me han servido un producto difetente al que pedi, y tuve que pedir la devolución, espero no vuelva a ocurtir....</t>
  </si>
  <si>
    <t>PEQUEÑO Y PRÁCTICO Una llave USB muy pequeña y práctica para usar en el coche. Apenas sobresale del conector, por lo que la puedes dejar siempre conectada sin que te moleste. La velocidad de transferencia con ficheros MP3 es buena, pero no puedo opinar respecto a otro tipo de archivos. Sólo la utilizo para escuchar música en el coche. Tiene un práctico capuchón que encaja muy bien y un piloto led que te indica que está funcionando. Además tiene un precio muy interesante.</t>
  </si>
  <si>
    <t>Rendimiento razonable con el driver actualizado Lo primero que hago cuando instalo un disco duro o ssd es hacer un test de rendimiento con alguna aplicación, pero estas no son los suficientemente fiables porque no ofrecen un valor real de mantenimiento de tasa de transferencia. Para ello, genero un único archivo de 10gb en otras ssd y me ayudo de un cronómetro. En mi primera prueba me asusté porque las bajadas de velocidad eran preocupantes, de hecho, solicité la devolución del producto. Me disponía a desmontar la BX500 y pensé en darle una nueva oportunidad, actualizando el driver. Los resultados mejoraron bastante y las caídas se redujeron, no bajando de los 100mb/s, cifra más razonable y similar a la Samsung 860evo. La serie BX500 es algo más económica que la MX500 por su menor rendimiento, como así lo corroboran también los resultados comparativos que pude encontrar aquí:  http://bit.ly/2VC80b8  El primer gráfico muestra las enormes caídas de escritura con un archivo de 10gb. En el segundo con el driver actualizado. El resto son diferentes análisis con softwares gratuitos.  CONCLUSIÓN: Este tipo de ssd económicas con tecnlogogía TLC funcionan muy bien en lectura, pero en escritura parece que les cuesta mantener la tasa, a pesar de lo que indican los softwares populares que miden su rendimiento. Es importante tener el driver actualizado como insisten todos los fabricante. La BX500 puede ser una buena compra para ahorrar algo si se destina a un ordenador poco exigente.</t>
  </si>
  <si>
    <t>Cómoda, potente y fácil de usar Muy manejable y potente. Su punto débil es la duración de la batería y el tiempo de carga, pero si te organizas bien no es un problema.</t>
  </si>
  <si>
    <t>Son duraderas Están saliendo buenas para el colegio y calzado deportivo de calle.</t>
  </si>
  <si>
    <t>Valoración positiva Es muy cómodo, la iluminación relajante para los niños, apagado automático e incluso si no tiene suficiente agua se apaga solo. Lo único malo, pero aceptable, es que tienes q tenerlo cerca del niño, ya que el vapor no sube más que unos 5 centímetros. Pero es un buen producto</t>
  </si>
  <si>
    <t>Samsung nunca Depeciona Cuando compras Samsung y mas un 970, sabes que o bien tiene mucha mala suerte y te sale mal o bien sales encantado como en el 99% de los casos. Disco en perfecto estado con la mejor calidad del mercado. 100% recomendado.</t>
  </si>
  <si>
    <t>Airpods+running Perfecta combinación de tecnología y seguridad, perfectos para correr. Con la sujeción de las orejas no se mueven para nada. Base sólida con carga Type C, tapa magnética y airpods cómodos. De sonido potente y envolvente, se emparejan rápidamente y mantienen una sincronización perfecta. Sonidos sin ecos o chirríos, no se cuelgan o fallan. Compañeros perfectos de carreras."</t>
  </si>
  <si>
    <t>Ideal para regalo La persona a quien se lo he regalado está encantada con su colorida presentación. Bien de precio, contribuyes a una buena obra al comprarlo.</t>
  </si>
  <si>
    <t>Muy buenas El número perfecto el que suelo usar. De primeras un poco duras pero con el tiempo se van amoldando. Prometen</t>
  </si>
  <si>
    <t>Calidad de sonido buena a precio contenido! Poco que decir de estos airpods de Apple. Su calidad de sonido es muy buena y su elección es más que recomendable si nos movemos en los precios de este tipo de productos.  No defraudan en ningún caso y es un buen dispositivo si los cables no son un inconveniente para el usuario.  Los recomiendo al 100%.</t>
  </si>
  <si>
    <t>Cómoda y util Es una mochila cómoda y útil</t>
  </si>
  <si>
    <t>Encantado con la compra La marca lo dice todo,yo la utilizo para hacer pures,gazpacho ,salsas,moler cafe,batidos para mi hijo,pures y estoy encantado puesto que es una marca americana que os crece muy buenas prestaciones.</t>
  </si>
  <si>
    <t>De las NB que he tenido éstas están entre las más cómodas Tengo el pie un poc ancho y algunos modelos, como el NB 574, al principio los noto algo ajustados. Estas sin embargo, además de cómodas y ligeras, parece ser algo más anchas, lo que repercute sin duda en que las sienta mucho más cómodas. Por lo demás, buenos acabados, tal como nos tiene acostumbrados NB. Ahora solo falta ver la durabilidad de la misma...</t>
  </si>
  <si>
    <t>Olor a limpio Yo lo uso en un difusor de aromas y aporta ese toque de “olor a limpio” que resulta tan agradable.  Pros:  - Olor suave - Agradable - Perfecto para difusor - Duradero  Conclusión: Repetire</t>
  </si>
  <si>
    <t>Son como salen en la foto Me encantan!</t>
  </si>
  <si>
    <t>recomendable perfecto usb dos en 1. buen precio y acabado, por ponerle un pero, el sistema de cambio entre usbs es un poco frágil y cuando aprietas para conectarlo a veces salta. por lo demás, 100% recomendado</t>
  </si>
  <si>
    <t>Loren Muy correcto...servicio rápido y bueno ...la calidad del producto el adecuado,página muy recomendable para comprar más artículos.Volveré a comprar más artículos con ellos</t>
  </si>
  <si>
    <t>Recomendables. Las botas son tal como me las esperaba. Muy cómodas. Pesan muy poco. Tallan igual que otros modelos de la marca. Las recomiendo 100%.</t>
  </si>
  <si>
    <t>Buena relación calidad/precio Muy buen producto,  hace su función y por el precio está genial. Lo volvería a comprar si me hiciera falta y lo recomiendo.</t>
  </si>
  <si>
    <t>Micro Mi hija quedo encantada, le gusta la musica y cantar mucho asi que le vino muy bien eso si las patas son un poco escandalosas pero yo lo pong9 en un rincon y listo , el micro perfecto</t>
  </si>
  <si>
    <t>Todo bien. Las zapatillas han llegado de la talla que esperaba y como las quería, sin ningun daño en las zapatillas, todo perfecto y sin sopresas.</t>
  </si>
  <si>
    <t>Relajante Necesita de otra persona para aplicarlos. Pero Genial.</t>
  </si>
  <si>
    <t>Muy buen servidor nas Buen servidor NAS. Mas rápido que el 216se y merece la pena la diferencia de precio aunque estéticamente sea igual. Muy rápido y fácil de configurar y con su sistema operativo y aplicaciones se puede hacer, programar y configurar casi cualquier cosa. Increíble. Respecto al ruido, no se oye prácticamente y tiene opción de variar las velocidades del ventilador.</t>
  </si>
  <si>
    <t>Me ha decepcionado Sony Soy un usuario de más de 1 década de auriculares Sony. Es la primera vez que me paso a los de diadema Sony y han sido una desilusión (uso otros, Sennheiser, desde hace casi 10 años para trabajar). - No he durado ni 30 minutos con ellos puestos: dolor de orejas, así que comedidad nula, al menos en mi caso. - El sonido deja que desear para ser unos Sony (los inaurales Sony de 12 euros suenan mejor, creedme). - al andar se transmite la vibración de los pasos, resultando un "pum, pum" grave que percibimos, porque la diadema no tiene ningún tipo de acolchado que sirva para amortiguar: plástico puro directo a la cabeza = ruido del cuerpo directamente a los auriculares.  Resumen: si te los vas a poner sentados o en un transporte que no implique movimientos tuyos, OK, pero unos wireless no se compran sólo para eso. Es más, para eso te pillas unos de "travel" con Cancelación de Ruido.  Tras esa prueba que no llegó a los 30 minutos lo volví a meter en la funda y, muy a mi pesar, los devolví. Ya van camino de vuelta y a seguir buscando. Mal, Sony, muy mal... No hay ninguno con diadema acolchada Sony de gama media y menos de la baja, tienes que irte a auriculares de más de 100 euros... increíble.</t>
  </si>
  <si>
    <t>Kerosl Pensaba que plegaria mejor. No sirve mas que para cosas de muuuy poco peso. Y el rollo es bastante corto de longitud. Creo que hay otra mucho más resistente. Me equivoque al pedirla</t>
  </si>
  <si>
    <t>Más pequeño de lo esperado. El tamaño es un poco más pequeño de lo que me esperaba, pero por lo demás es tal cual lo describen. Por otro lado sugeriría incluir algún compartimento dentro de la parte central del bolso para que todo esté más ordenado y optimizar el espacio.</t>
  </si>
  <si>
    <t>Tras 4 meses no funciona bien Lo uso para escuchar música en el coche. Todo ha ido sin problemas. Sin embargo cuando he intentado ahora conectarlo a un ordenador para gestionar el contenido, no me lo reconoce. Probado con 3 ordenadores diferentes y todas las entradas USB. Windows dice que el dispositivo no funciona bien.</t>
  </si>
  <si>
    <t>Mal Se acabó despegando</t>
  </si>
  <si>
    <t>Aspirador de mano muy comodo Buen producto. Calidad y buena potencia de aspiración. Fácil limpieza del recipiente de lo aspirado. Un poco rara la sensación al moverla de un lado a otro por el motor en la parte media pero solo es hasta que te acostumbras. Un buen precio. Compra recomendable</t>
  </si>
  <si>
    <t>No se seca. Que decir de Loctite que no se sepa. Pegamento rápido y lo mejor que no se seca al tener un aplicador y estar en su bote cerrado, no como los que están en tubo que al final se pega el capuchón. Un saludo.</t>
  </si>
  <si>
    <t>Calidad normal. Con uso intensivo no han durado mucho.</t>
  </si>
  <si>
    <t>Genial Nos ha sorprendido, que pese a su depósito de agua de 20ml dure toda la noche, además del bonito diseño y que sea independiente la iluminación del humificador, pudiendo usarse juntos o por separado.</t>
  </si>
  <si>
    <t>DM Buenas zapatillas, son muy comodas para terrenos con barro, con lluvia no resbalan tanto como las anteriores, sirven para cualquier terreno.</t>
  </si>
  <si>
    <t>Diseño muy chulo. He estado probando esta tostadora y prácticamente es igual que cualquier tostadora estándar del mercado, pero su baza es el diseño un poco retro con un tono blanco roto que puede combinar perfectamente con tu cocina y con otros electrodomésticos de la misma marca ya que los hacen en la misma tonalidad para dar un toque idéntico, caso por ejemplo del hervidor.  En cuanto al funcionamiento nos permite introducir dos rebanadas de pan bien de molde o pan normal, al tener unas aperturas bastante anchas nos permitirá meter rebanadas de pan de molde especial para tostar.  Y quizas una novedad en relación a otros tostadores es que tiene un indicar de tiempo, que nos va a indicar cuando va a estar lista la tostado, hasta ahora no lo habia visto nunca y la verdad queda mucho chulo.  Limpiado sencillo con la bandeja inferior. Ningun sistema nuevo e innovador.  Dispone de varias intensidades de tueste, la primera vez que la puse al meter pan y no ser homogéneo se tostaron mucho los extremos y se quemaron y eso que solamente la puse en intensidad 3, eso me sorprendió porque estaba acostumbrada a que tardara mas con mi vieja tostadora, esta es bastante rápida algo que me parece muy interesante, pero tuve que ir fijándome en el nivel de temperatura para no quemarla.  Sistema fácil de sacar el pan y dispone del sistema típico para colocar la rebanada encima y mantenerla caliente.  Algo que esta interesante es poder elevar la tostada un poco más de la salida normal para así poder agarrarla mejor, algo que se está imponiendo en la mayoría de las tostadoras pero que hace unos años no era así.  En general un tostador normal que realiza bien su función, es rápido y quizás al principio puede que se te queme alguna rebanada, pero simplemente es cogerle el nivel justo.  Saludos</t>
  </si>
  <si>
    <t>Muy resistentes y sistema anticolicas perfecto.. Me han regalado unos más pequeños mismo antes del nacimiento de mi beba y me ha gustado muchísimo, su sistema anticolicas es muy bueno e ayuda bastante...son muy resistentes a golpes y a la lavadora... Como la mina se va quedando más grande he necesitado unos mayores e desde luego me he comprado estos dos por la anterior experiencia con los otros...son muy buena compra aún que el único contra es que no tiene en colores para niña</t>
  </si>
  <si>
    <t>Calidad Precioso</t>
  </si>
  <si>
    <t>Perfecto Muy calentito y bonito! Estoy encantada.</t>
  </si>
  <si>
    <t>Muy Buenos Ha sido un regalo para mi hermano y está super contento, dice que son cómodos, se escucha realmente bien y fáciles de usar. Los usa para salir a correr o hacer gimnasia, pero también en el día a día.</t>
  </si>
  <si>
    <t>Muy cálida Es muy caliente.  Ajusta pero no oprime. Gasto la talla 48, pedí la XL y perfecta La recomiendo</t>
  </si>
  <si>
    <t>Top Muy bien</t>
  </si>
  <si>
    <t>La utilizo para diferentes cosa Es practica para el tamaño que tiene mucho sitio para guardar y es comoda y puedes etiquetar el contenido de cada cosa</t>
  </si>
  <si>
    <t>Gran relación calidad/precio Como se observa en otros comentarios, el problema que puede haber al comprar este tipo de productos es que se puede estropear en el transporte, como me pasó a mí. La primera que pedí me llegó rota por un lateral, pero tras enviar un e-mail a Amazon, ellos mismos me llamaron por teléfono y me enviaron urgentemente una nueva y el ticket para devolver la rota (la nueva la tuve en casa antes de enviar la rota). Si no tienes mala suerte (y si la tienes ya se ve que no vas a tener problema con Amazon), la pizarra es mejor que otras que he tenido que costaban más, en algunas si dejabas escrito algo más de un día, prácticamente te cargabas la pizarra y ya no se borraba bien y/o dejaba marca, en esta me he descuidado un par de veces y he dejado cosas escritas un par de días y al borrar no ha habido problema y la pizarra sigue blanca e impoluta. Llevo con ella 2-3 meses y va genial, la anterior, de otra marca,  me duro menos de 1 año.</t>
  </si>
  <si>
    <t>Muy buena No me lo esperaba para nada pero la verdad es que son muy buenas!! Lo recomiendo al cien poe cien</t>
  </si>
  <si>
    <t>Comodidad Perfectas buen producto</t>
  </si>
  <si>
    <t>Como esperaba Muy buena calidad, la talla correcta. Muy bonitos y cómodos. Son más para la temporada de otoño/invierno. Envió antes de lo esperado.</t>
  </si>
  <si>
    <t>Perfectos Los uso para entregar mis trabajos de fotografía y a los clientes les encantan. De 4 cajas que he comprado solo 1 no funcionaba. Los seguiré utilizando sin duda</t>
  </si>
  <si>
    <t>Diseño elegante Perfectas. Diseño clásico muy posible. Cómodas. Resultan hasta elegantes. Muy buena calidad. Contento.</t>
  </si>
  <si>
    <t>Buena Compra ;) Cogí una talla 41-45 para una persona con número 43 y le queda perfectas. Conservan el calor bastante tiempo. Llegaron en buen estado y tal como aparecen en la foto ¡¡ Muy recomendables!!</t>
  </si>
  <si>
    <t>Muy cómodas . Son clásicas , muy buena calidad.</t>
  </si>
  <si>
    <t>Gran Producto Me encanta esta licuadora. Tiene muchísima potencia, funciona a la perfección. Y hace muy poco ruido. La he utilizado con frutas y verduras y funciona de maravilla. Buena compra.</t>
  </si>
  <si>
    <t>Por el precio que tiene Por el precio que tiene funciona más que bien, probado con movil a modo de grabadora de sonido para grabar video en interior y perfecto</t>
  </si>
  <si>
    <t>opinión Para trabajar, muchas horas de pie.. buen resultado</t>
  </si>
  <si>
    <t>El producto es muy bueno... pero qué pena de envío! He recibido el brazo para micro de RODE en un tiempo récord. El brazo es tan bueno como esperaba y seguro que voy a hacer un excelente trabajo con él (hasta ahora sólo trabajaba con el pie de mesa al lado del ordenador). Esto va a convertir mi estudio a algo más parecido al mundo profesional (je, je,...). Sólo he puesto dos estrellas porque la caja de la casa RODE (muy bonita) venía deslucida y agujereada porque Amazon ha decidido ahorrarse una caja de protección y le ha pegado las pegatinas de dirección directamente encima del producto. Una verdadera pena! Hubiera devuelto el producto pero necesitaba trabajar con él. Ya es la tercera vez que me llegan paquetes en mal estado.</t>
  </si>
  <si>
    <t>la capacidad y el precio pero lenta La verdad es que buscaba otras algo más rapidas que tiene San disk y que habia compado el veran anterior para un LG G-6 y de maravillla en la tranferencia de datos, Cuando la quise volver a comprar no la encontré. Ésta no está a la altura del S9+</t>
  </si>
  <si>
    <t>Inutilizable Realmente, es la peor compra que he hecho, sólo es posible utilizarla de taza en taza, ya que pierde tanta agua por debajo de la tetera que si se llena al máximo, pierde agua continuamente, además es agua caliente que se vierte sobre la encimera... Hasta ahora, siempre he usado las teteras de la marca Philips y de 1,7 litros porque la uso mucho y para todos, pero esta vez por las prisas he comprado esta marca y no la he devuelto porque estábamos en Navidad y he tenido otras prioridades. Es la primera vez que compro esta marca y desconozco si es solo la mía que ha salido tan defectuosa, por si acaso no volveré a comprarla.</t>
  </si>
  <si>
    <t>No los recomiendo No ha sido lo que esperaba, he tenido muchos problemas para emparejatlos al movil y entre ellos, ademas no tienen ni la opcion de autodesconexion cuanfo se meten en la caja de carga Los compre por su buena critica pero no me han servido, por ese precio tengo unos QCY que uso en el trabajo y van de escandalo En definitiva, devueltos</t>
  </si>
  <si>
    <t>La entrega y el producto 👍 recibé mas rapido que la fecha de prevista. estoy muy contenta con la entrega. envolver es perfecto. el diseño también es genial. se puede controlar la fuerza por 2 nivel. Como he usado solo 2 veces todavia no lo puedo saber bien. pero todo funciona bien.</t>
  </si>
  <si>
    <t>Bien por el precio Buenos auriculares por el precio, cómodos y no se caen aunque estés corriendo. Ahora bien, alguna vez puntual se corta el enlace durante un instante. Por otro lado cuando corres tienes que subir el volumen bastante porque, como sucede con todos los auriculares internos, retumba con las pisadas fuertes.</t>
  </si>
  <si>
    <t>Calidad precio muy bien. Recomendado para presupuestos ajustados Pros: - La diademas es plastico fuerte pero a la vez es flexible - Son muy ajustables, tanto en el largo como en la parte de los auriculares los cuales se pueden mover - Sonido potente - Diseño bonito - En general no se ve nada fragil  Contras: - El auricular se puede recojer pero el mecanismo es muy endeble. Mejor no plegarlo demasiadas veces porque se va a romper - Aprietan correctamente pero la esponja que lleva, al hacer calor en verano, te va a hacer sudar bastante. Es como una imitacion de cuero. - El cable se ve fagil, sobretodo en las tomas de los auriculares por abajo - Quizas tiene el bass demasiado potente. - El microfono no te va a funcionar si no tienes una toma 2 en uno de audio y voz en el pc o el dispositivo que vayas a usar.</t>
  </si>
  <si>
    <t>De momento muy bien, bate y pica bien. De momento ninguna queja, funciona muy bien, bate y pica sin problema, solo el tiempo dirá que tal sale, debe procurarse no dejarla mucho tiempo en marcha.</t>
  </si>
  <si>
    <t>Completo y cómodo El color se ajusta a la foto y es muy completo y cómodo</t>
  </si>
  <si>
    <t>Cristina Corresponden exactamente con la descripción. Llegaron antes de tiempo. Embalaje en perfecto estado, su caja original y los cordones de raso de repuesto en una bolsita guardados. El tallaje es un poquito más grande de lo habitual. Son preciosas.</t>
  </si>
  <si>
    <t>Exfolia e hidrata Es genial. Ademas de exfoliar, hidrata. Yo lo aplico con una esponja de konjac y la zona se queda muy hidratada, como despues de usar aceite pero sin ser pegajoso. Cunde bastante y huele muy bien.</t>
  </si>
  <si>
    <t>Buena relación calidad precio, las sujeciones de las orejas no son ajustables. Auriculares Bluetooth bastante completos los he probado saliendo a correr y no se caen. La autonomía es bastante decente para una sesión de ejercicios, hasta 8 horas corriente Resistentes al agua y el sudor. Las gomas y los acabados aunque buenos no son como los de unos auriculares premium, el ajuste de la oreja si tienes orejas pequeñas puede que te quede grande y no es regulable Trae varias gomas para ajustar los auriculares al oido y una en concreto para ajustar el largo de los cables que conectan los auriculares.</t>
  </si>
  <si>
    <t>Muy buenos El modelo es muy bonito y práctico. No pesan tanto y son fáciles de transportar. El sonido no es malo.  Lo recomiendo son unos de los micrófonos más económicos y de mejor calidad.</t>
  </si>
  <si>
    <t>E ortuño Buen equipo de karaoke. Perfecto para conectarlo a la smart tv, con you tube tienes todas las canciones que quieras, e imagines. Y conectado al amplificador. Todo muy bien, buen ajuste de echo, los micros van perfectos se ven de calidad y tienen buen peso, no son de juguete.</t>
  </si>
  <si>
    <t>Perfecto Muy satisfecho con el articulo adquirido, cumple con todo los requisitos que quería conseguir co este reloj lo recomiendo 100%</t>
  </si>
  <si>
    <t>Buena calidad Tamaño ideal</t>
  </si>
  <si>
    <t>Comodidad Son muy cómodos me hubiera gustado que vinieran en la caja original de Adidas pero estan muy bien</t>
  </si>
  <si>
    <t>Comodidad Perfecto</t>
  </si>
  <si>
    <t>Buen producto Es la 2ª camiseta que compro y si se pone a tiro seguiré con la 3ª. Producto de buena calidad, por lo menos de momento.</t>
  </si>
  <si>
    <t>genial 😍👌 Enamorado de esas botas! Esteticamente y sobre todo por su comodidad. Mucho calor en los pies por el forro interior que llevan..de verdad muy contento de haberlas compradas. Muy baratas y de calidad 👍🎉 las utilizaré no sólo para hacer excursiones sino tmb los días frío de invierno ya que quedan espectacular también con vaqueros 😅👌</t>
  </si>
  <si>
    <t>Lo que esperaba El proceso de compra con Padelnuestro ha sido perfecto</t>
  </si>
  <si>
    <t>Excelente forma de ahorrar Compre es paquete temiendo que fuera copia del producto, y la verdad que es igual que el que venden en España aunque la caja venga en ruso. Y de momento ya a pasado tiempo desde que lo compre y vivo en una zona con agua con mucha cal y 0 problemas. Recomendadisimo</t>
  </si>
  <si>
    <t>Reloj para muñecas grandes El reloj merece la pena por 66 euros, es bonito, robusto y de calidad, sorprende al tenerlo delante, para mi ha sido todo un acierto y volvería a comprarlo sin dudarlo. Después de una semana con él veo que es muy exacto. Lo único es que es grande, si fuera de 40-41 mm de diámetro para mi sería perfecto.</t>
  </si>
  <si>
    <t>Llegó antes de lo previsto Práctica y comoda</t>
  </si>
  <si>
    <t>Buena relacion calidad-precio Las pulseras están muy bien por ese precio. Bonito conjunto de pulseras de cuero, 16 estilos diferentes que puedes combinar a tu gusto y por el precio de una.Son de buen material y con buenos acabados.Soy un fanático de las pulseras, y con esta compra estoy encantado.</t>
  </si>
  <si>
    <t>Relación calida-precio, buenos materiales de la batidora y lo fácil que se limpia. He utilizado la batidora para hacer batido, moler comida, fruta, carne, café, frutos secos, etc. Y muele muy bien y lo deja todo muy suave. Además, me gusta la ruleta para moler en manual y controlar yo la molienda. Y sobre todo me gusta lo bien que se limpiar al poder desmontar fácilmente y muy rapido cualquier parte de la batidora.</t>
  </si>
  <si>
    <t>todo bien expectativas cumplidas</t>
  </si>
  <si>
    <t>Malísimas Pues me han salido malísimas no me han durado nada, se me han despegado de la suela, fatal.</t>
  </si>
  <si>
    <t>Regular No van mal Hay algunos olores q no se quedan fijos Yo los estoy usando en la elaboración de jabones Y en algunos cuando se secan sube el aceite Otros olores como la canela y el romero van perfectos</t>
  </si>
  <si>
    <t>No es tan bonito como lo venden Reloj elegante, lo utilizo para entrenar y en mi día a día, es resistente y bonito. Le falta poder configurarlo más, no te deja cambiar nada. Comparado con el nuevo amatfit gtr se queda atrás. La batería no dura ni la mitad de lo que dicen, a la semana ya lo he cargado dos veces ( llevo todo el día el bluetooth y uso las app todos los días)  Por el mismo precio o menos está mejor el amatfit gtr</t>
  </si>
  <si>
    <t>Pequeñitas Medidas pequeñas</t>
  </si>
  <si>
    <t>Mala calidad A la primera puesta le han salido pelotas , mal producto</t>
  </si>
  <si>
    <t>Calidad Ma parece todo un acierto, de calidad y fabricado en la EU, por lo que crei ver</t>
  </si>
  <si>
    <t>Lo peor los colores Las carpetas están muy bien, al igual que el precio. Lo único malo es que hay colores bastante feos.</t>
  </si>
  <si>
    <t>Cómodas Escogí mi número habitual y me quedan bien. No son para el verano ni para días de mucho calor... no son para llevarlas sin calcetín o pinkis. La plantilla muy cómoda y ajustan bien sin apretar. Muy adecuadas para caminatas urbanas.</t>
  </si>
  <si>
    <t>Reloj El reloj esta muy bien tal y como lo describen, la apariencia es buena y parece construido de manera duradera</t>
  </si>
  <si>
    <t>Muy original y bonito Queda muy bonito.Es plata de verdad ,puedes mojarlo y no se quita el baño,lo recomiendo para hacer un regalo</t>
  </si>
  <si>
    <t>geniales Muy fáciles de coger para los peques y el asa puede quitarse cuando quieras, por lo que es muy práctico. Se limpia facilisimo y el material y el estampado es muy resistente a los lavados.</t>
  </si>
  <si>
    <t>Guillerme Mlouy contento con el reloj. Funciona muy bien lo uso ha todas horas una, buena compra satisfecho  genial gracias saludos</t>
  </si>
  <si>
    <t>Todo como la descripción, todo correcto Todo perfecto</t>
  </si>
  <si>
    <t>Buena compra Tallaje correcto (compré talla S).</t>
  </si>
  <si>
    <t>Calcetines Buen calcetín  de chico para deporte</t>
  </si>
  <si>
    <t>Forma de uso Que sean para el uso con taladro eléctrico, hace más fácil la limpieza, el producto incluye varios cabezales para diversas superficies, recomendado</t>
  </si>
  <si>
    <t>Recomiendo comprarla Mido uno 1,83 peso 88k soy ancho de espalda, la talla L va bastante bien, de brazos queda un pelin larga, de cintura me sobra un poco, pero si pido la M me quedaría muy justa y no me podría poner ni una camisa debajo. Me lo acabo de poner al abrir el paquete arrugada pero en definición una buena compra calidad bastante buena gruesa de pelillo calentita, el color es el mismo de la foto. Espero que no encoja cuando la lave pero si encone un poco sigue siendo perfecta.</t>
  </si>
  <si>
    <t>Ligeros y buena bateria Se los he regalado a mi hermana ya que ha roto un par de auriculares con cable, y estaba harto de cabrearme con ella porque me ha roto ja como 3 auriculares. Son cómodos, tienen buena autonomía, y por el precio creo que le voy a regalar un par mas por si los pierde. Un amigo tiene unos auriculares de este tipo, pero de otra marca, y la cuando hablaba no se le entendía nada. Los he probado por la calle con el ruido de los coches, la gente caminando y me sorprendió lo nítido que se puede escuchar, no exagero si digo que mejor que el altavoz que viene con el móvil.</t>
  </si>
  <si>
    <t>Zapatillas vans Muy rápida la entrega y sin problema alguno</t>
  </si>
  <si>
    <t>Justo lo que esperaba Me encantan, aun qué si tuviera que cambiar algo, sería que los bolsillos no estuvieran un poco abiertos. Por lo demás perfecto.</t>
  </si>
  <si>
    <t>Perfecto Súper bonito tal cual está en la foto</t>
  </si>
  <si>
    <t>Lo que busco Es un poco más grande de lo que pensaba pero cuando lo usas es peferto. Muy buena calidad el material, resistente，tacto agradable，con un montón de lugares para llaves, monedas,papeles ,movil etc entra todo Pesa poco. genial,</t>
  </si>
  <si>
    <t>genial genial, se pueden apreciar todos los detalles! muy contenta con la compra, excelente calidad! buen precio y gran calidad, qué más se puede pedir!</t>
  </si>
  <si>
    <t>Ideal para guardar escrituras o similares El tamaño A+ permite guardar escrituras y documentos notariales sin forzarlos. Los compré para eso y van muy bien.</t>
  </si>
  <si>
    <t>Buena compra Perfecto</t>
  </si>
  <si>
    <t>Por fin puede dormir A través de los comentarios de otros usuarios vi interesante la posibilidad de adquirir un dodow para mi madre pues ella sufre de insomnio ya de hace mucho tiempo y el cuesta mucho coger el sueño. Desde que le regalé dodow la cosa ha cambiado ! Al principio me dijo q no le funcionaba pues no se concentraba en la respiración y el pulso de luz pero poco a poco aha ido utilizándolo cada noche y ahora  le cuesta muchísimo menos conciliar el sueño y no se pone a pensar en otras cosas ajenas le hacia desvelarse en todo momento ! De esta forma se relaja y se concentra en su respiración y se duerme !! Es una pasada !! Lo recomiendo do 100%</t>
  </si>
  <si>
    <t>Funciona correctamente y mucho más barato que productos similares El adaptador funciona correctamente para conectar un teclado CASIO CTK-900 con salida Midi a un ordenador portátil. Es reconocido correctamente por FL-Studio y por Magix Music Maker. Recomendable al 100%, a un precio mucho más barato que aparatos similares de primeras marcas.</t>
  </si>
  <si>
    <t>Perfecto La tengo desde hace meses y va perfectamente, su su suave</t>
  </si>
  <si>
    <t>se rompe constantemente Al poner en la pistola de embalar se rompe constantemente, hay que tener muchísimo cuidado al embalar e ir muy despacio. He estado a punto de devolverlo pero me hacía falta cerrar muchas cajas y ya no tenía más tiempo.</t>
  </si>
  <si>
    <t>el vaso llegó roto el vaso llegó roto</t>
  </si>
  <si>
    <t>Qué pena Ha venido rota recomiendo envolverla un poco mejor</t>
  </si>
  <si>
    <t>No me lo esperaba así No me ha gustado el producto porque son de muy muy mala calidad y además no te vienen de tamaños normales y se les quita el color en un dia.</t>
  </si>
  <si>
    <t>INUTIL Inútil total. Solo hace un trocito de la habitación, se para continuamente, casi no barre nada y lo de fregar ya ni lo he probado. Lo he vuelto a poner en la caja y devolución. No sirve ni como escoba</t>
  </si>
  <si>
    <t>Muy util. Es el original de la marca y lo pagas. Pero se acopla perfecto y hace su función. Me lo mandaron color negro.</t>
  </si>
  <si>
    <t>Se conectó a la primera Lo conecté al piano digital para tener un acceso midi con el móvil y funcionó a la primera. Tiene dos lucecitas que te indican si estás conectado y si hay transmisión de datos.</t>
  </si>
  <si>
    <t>Lo que esperaba En principio he podido grabar en ellos sin problema, también es verdad que luego no he probado a reproducirlos más de una vez</t>
  </si>
  <si>
    <t>Contento Funciona perfectamente. Cumple las expectativas. Tengo conectado una tele, un pc y unos micrófonos. Es totalmente recomendable para un uso doméstico pero que cumple</t>
  </si>
  <si>
    <t>Como la descripción Buen material para el uso que le voy a dar, no soy profesional del sonido, y para conectar altavoces con amplificador y a poca distancia tengo de sobras</t>
  </si>
  <si>
    <t>muy bien cómodos ligeros duros los uso para ir al rió lleno de piedras y de momento sin problemas. tengo un 43 pedí un 43 y perfectos. muy buena compra calidad precio se lo recomiendo a todo el mundo.</t>
  </si>
  <si>
    <t>Calidad precio bueno Buenas</t>
  </si>
  <si>
    <t>¿Qué más se puede pedir? No es un micrófono para un gran estudio, ni para una orquesta, ni para grandes pretensiones pero sin duda para uso casual y doméstico cumple sobradamente su cometido. Incluso puede llegar a sorprender su calidad dado el precio que tiene. Ideal para podcasts, grabación de vídeos, etc...</t>
  </si>
  <si>
    <t>Muy brillante y bonito Ha encantado a mi pareja. Brilla mucho con el reflejo de la luz y es mas grande de lo que pensaba. Eso es bueno! Muy buena compra</t>
  </si>
  <si>
    <t>Álbum fotos bonito Álbum para pegar fotos y tener el recuerdo de todos los momentos vividos . Tiene una tapa dura color cartón y el interior es de cartulina negra . Viene con pegatinas y tijeras para decorar . Lo he comprado para pegar fotos de un niño y hacer un regalo en Navidad , me parece que es ideal</t>
  </si>
  <si>
    <t>Me encanto este producto Me encanto el producto, para hacer batidos es ideal, no licua al nivel de una licuadora super potente pero si funciona súper bien</t>
  </si>
  <si>
    <t>👍🏻👍🏻👍🏻 Buena marca</t>
  </si>
  <si>
    <t>Suave Me encanta aunque primer apllication deja la piel roja y duele un pelin y despues la ducha se queda suave.. Volvere comprar</t>
  </si>
  <si>
    <t>buen resultado Voy a lo seguro, salomón comodidad, buen resultado. MI hijo está encantado.</t>
  </si>
  <si>
    <t>Sonido espectacular! Tenía los Bose QuietControl 30 y no iban mal pero el collar era molesto con las camisas. Cambiando a esos auriculares...no me arrepiento! Tienen más dinámica que los Bose y más potencia...la reducción de ruido de las mejores...obviamente son in-ear pero de verdad...cojo el avión mucho y el tren...sin problema. La calidad de sonido es muy buena...increíble!</t>
  </si>
  <si>
    <t>el sonido me flipa lo bien que se escucha y la calidad precio</t>
  </si>
  <si>
    <t>Muy satisfecho Genial. Calidad - precio espectacular. Muy contento.</t>
  </si>
  <si>
    <t>Bien pero.... Le quedan perfectas aunque parecía que estaban usadas ya que tenía algunas arrugas en la piel. No sabemos si es porque las habían devuelto o porque las tenían para probar en tienda</t>
  </si>
  <si>
    <t>2x1 en un mismo producto y económico. Le compré estos auriculares a mi padre porque siempre le daba envidia de los míos. Ahora me va a dar envidia a mi de los suyos. Estos cascos son impresionantes. Tienen una calidad de sonido muy muy buena que ya quisieran muchos de los que valen 200 euros. Además, lo mejor de todo es que la funda es cargadora, no solo de los propios auriculares, sino también del movil. Cuando lo ví no pensaba que fuera a funcionar o pensaba que no iba a cargar lo suficiente, pero todo lo contrario la batería es de batería de 6000 mH. Los tiempos que dicen en las descripciones son muy ajustados a la realidad.  Los cascos se adhieren muy bien a la oreja, los probé yo y también lo ha hecho ya mi padre con orejas totalmente distintas (la mía pequeña y la suya grande) y encajan muy bien en los dos.  La conectividad de los cascos es muy facil de realizar a través de bluetooth y con las indicaciones que te vienen en el libro de instrucciones si nunca lo has hecho antes, o como el resto de auriculares que se conectan de esta manera.  A través de los cascos puedes hacer diferentes gestiones como parar la música, pasar de canción o volver a la anterior. También puedes coger llamadas y colgar, tienes el modo llamada de asistente personal del movil como es Alexa o Siri. También puedes ajustar el volumen.  La calidad con la que se escucha tanto las llamadas como la música es muy buena.  Es muy práctico sobre todo a la hora de llevártelo de viaje porque te llevas dos productos en uno y así no ocupa tanto y no pesa tanto.</t>
  </si>
  <si>
    <t>Raúl García Morales Son bonitas y llegaron antes de tiempo que siempre se agradece, la compré por si tenía que hacer un regalo extra estas navidades por algún compromiso y le gusto a quien se la regalé</t>
  </si>
  <si>
    <t>Suave y cómodo vibrador &lt;div id="video-block-R38YP79GJD5YZR"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src="https://images-eu.ssl-images-amazon.com/images/I/A1KnRPMpA4S.mp4" style="position: absolute; left: 0px; top: 0px; overflow: hidden; height: 1px; width: 1px;"&gt;&lt;/video&gt;&lt;/div&gt;&lt;div id="airy-slate-preload" style="background-color: rgb(0, 0, 0); background-image: url(&amp;quot;https://images-eu.ssl-images-amazon.com/images/I/81qmWUYhS+S.png&amp;quot;);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value="https://images-eu.ssl-images-amazon.com/images/I/A1KnRPMpA4S.mp4" class="video-url"&gt;&lt;input type="hidden" name="" value="https://images-eu.ssl-images-amazon.com/images/I/81qmWUYhS+S.png" class="video-slate-img-url"&gt;&amp;nbsp;Esta fenomenal es super cómodo ,tiene u  tacto muy suave y Aterciopelado, tiene un montón de funciones con distintos tipos de vibración  y a distintas fuerzas y el hecho de tener mando a distancia es una idea muy acertada.un regalo muy acertado.</t>
  </si>
  <si>
    <t>Util y muy comoda Es como lo esperaba. me resulta útil y comoda y sus bolsillos e interior es justo para llevar todo lo necesario y no excederte llevando cosas inútiles. La Tablet entro perfecta. Esta muy bien acabada y tiene un precio muy muy competitivo. Es buena y económica.</t>
  </si>
  <si>
    <t>sudadera con capucha me la estado poniendo y es muy calentita y como esperaba es un poco ancha como sale en la foto con una capucha grande y su diseño y del material me a gustado mucho hay que decir que tienes que ponerte una camiseta debajo pero esta muy chula no es muy cerrada del cuello pero a un a si es calentita la recomiendo mucho</t>
  </si>
  <si>
    <t>Preciosos y despues de un año estan como nuevos Me encantan estos pendientes, si que es verdad que son pequeños quedan pegaditos al lobulo de la oreja pero es justo lo que queria. Llevo con ellos un año no me los quito para nada, me ducho con ellos me echo colonia con ellos puestos y estan como el primer dia!!! Totalmente recomendables</t>
  </si>
  <si>
    <t>No sujeta Este sujetador es mas bien un sujetador para el día a día, no sujeta lo suficiente para ir al gimnasio. La tela es demasiado fina y elástica. Me lo pongo para estar por casa y nada mas.</t>
  </si>
  <si>
    <t>Bonito y correcto... chaqueta muy slim Buena calidad. Mido 166 y peso 72 kg y el pantalon me viene bien ( demasiado tiro pero bien de largo y cintura) y la chaqueta algo ceñida pero bien</t>
  </si>
  <si>
    <t>Mopa No era exactamente como me esperaba.</t>
  </si>
  <si>
    <t>A medias Perfecto para utilizar en casa sin molestar. Lo recomiendo.  Funciona bien con ampli. No he conseguido que suene con iloud</t>
  </si>
  <si>
    <t>Sospechosamente pequeña y estrecha Me parece muy sospechoso que comprando la misma zapatilla, de las que tengo ese mismo modelo en varios colores, esta es muy pequeña y estrcha. La suela tambien me parece con una goma algo rara. Yo la he devuelto y creo que nos están vendiendo una copia.</t>
  </si>
  <si>
    <t>No resistente al agua No me ha salido bueno a las primeras de cambio se me ha ahogado</t>
  </si>
  <si>
    <t>Calidad Chicco Los biberones NaturalFeeling son los que mejor se adaptan a la boca del bebé. En nuestro caso, la niña se desarrolló con estos biberones y se adaptó perfectamente de la transición pecho - tetina, ya que recrean bastante bien ésta.  Únicamente indicar que pensabamos que el flujo de la tetina era más rápido y hemos tenido que hacerle un pequeño corte para que los cereales pudiesen salir, por lo demás genial. Es un biberón con gran capacidad.</t>
  </si>
  <si>
    <t>Es bonito y bueno para este pre io Calidad precio buena , hojalata pero se ven bien los dibujitos y despues de 15 dias ,,aun funciona</t>
  </si>
  <si>
    <t>BUENA RELACION CALIDAD PRECIO UNICO DEFECTO A LA HORA DE QUITAR EL PAPEL DE LA PEGATINA NO ES FÁCIL COMPARANDO CON OTRAS MARCAS, POR LO DEMAS BUEN PRODUCTO RELACION CALIDAD PRECIO.</t>
  </si>
  <si>
    <t>Bonito, resistente cumple con mis objetivos, la tela parece muy resistente, con los departamentos que tiene suficiente para nuestra organizacion.</t>
  </si>
  <si>
    <t>Relación calidad precio, perfectas! Me gustan mucho, las he probado y son muy cómodas. Relacion calidad precio, perfectas. Las recomiendo!</t>
  </si>
  <si>
    <t>Sensacional Perfecto, gran completo para el micrófono.</t>
  </si>
  <si>
    <t>Perfecto Se escucha muy bien, cancelan muy bien el sonido exterior, son muy adaptables a las orejas, para delicados pero resisten, y la comodidad de poder llevarlos y llevarlos a todos lados estan muy bien además de que viene con micrófono</t>
  </si>
  <si>
    <t>Diseño de buceo clasico El reloj es muy resistente, le di un golpe y pensé que habria roto el cristal pero no tiene ni un rasguño. Bisel giratorio y ruleta a rosca</t>
  </si>
  <si>
    <t>Ok Muy bien</t>
  </si>
  <si>
    <t>su utilidad. Para grabar documentales y reportajes hechos por mi, además de algunas que otras películas desde TV</t>
  </si>
  <si>
    <t>La entrega Todo muy bien</t>
  </si>
  <si>
    <t>Ecadada Muy bonita lo compre para un regalo</t>
  </si>
  <si>
    <t>Para el cole El diseño le encantó. Con el tiempo al llevarla en la mochila las puntas se doblan un poco.</t>
  </si>
  <si>
    <t>ES BONITO Reloj muy bonito.La correa se ajusta bien quitando eslabones con un accesorio que trae,es muy fácil.Le he probado en la ducha y no parece que entre agua y el cierre a mí me funciona bien.Ahora a esperar que dure mucho tiempo.</t>
  </si>
  <si>
    <t>Favorecedores Muy bonitos.</t>
  </si>
  <si>
    <t>Estupendo. Funciona muy bien, es pequeño, como una mano mediana un poco menos, no pesa nada, no es ruidoso ni hay que instalar nada, se conecta como un pendrive de datos, de fácil transporte y el color plateado es muy elegante.  Lo único que no tiene es opción de ''Expulsar'', por lo que siempre te da la sensación al desconectarlo que lo haces en modo no seguro y que perderás datos, pero es que es así, no los pierdes.</t>
  </si>
  <si>
    <t>El sonido Suena mejor que los originales con cable, lo uso en un karaoke</t>
  </si>
  <si>
    <t>Son los que más me gustan Estan muy bien. Una vez he pasado la época de los gases, son los que más me gustan. Lo único mejorable es que en esta medida viene la tetina 2, y yo ya necesito la 3, pero no quiero comprar biberón más grande. Sería bueno tener ambas opciones</t>
  </si>
  <si>
    <t>concentrado, dosificador de micro gotas, duradero, agradable &lt;div id="video-block-R221Q6A73AWLAB"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src="https://images-eu.ssl-images-amazon.com/images/I/91UhzD+7H3S.mp4" style="position: absolute; left: 0px; top: 0px; overflow: hidden; height: 1px; width: 1px;"&gt;&lt;/video&gt;&lt;/div&gt;&lt;div id="airy-slate-preload" style="background-color: rgb(0, 0, 0); background-image: url(&amp;quot;https://images-eu.ssl-images-amazon.com/images/I/81dEu-c-J-S.png&amp;quot;);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value="https://images-eu.ssl-images-amazon.com/images/I/91UhzD+7H3S.mp4" class="video-url"&gt;&lt;input type="hidden" name="" value="https://images-eu.ssl-images-amazon.com/images/I/81dEu-c-J-S.png" class="video-slate-img-url"&gt;&amp;nbsp;Solo abrir la caja ya hueles a un aroma suave y refrescante. Al abrir un bote temí que no tubiera dosificador, pero sí, lo tiene de dosificador fino para micro gotas. Puse 2 micro gotas en un vaporizador típicos de éstos de vela que le pones agua y va vaporizando lentamente, y es súper agradable. Me va a durar tiempo por que se dosifica muy bien y es concentrado. Le he puesto una micro gota al fregasuelos, otra en el baño, y todo huele espléndimamente fresco.</t>
  </si>
  <si>
    <t>Mejor que en foto Me gustó más de lo que creía. Da la hora perfectamente y la gente piensa que cuesta más de lo que me costó. Recomendado.</t>
  </si>
  <si>
    <t>Encantada Buen material, fácil de usar, silencioso, opciones iluminación, no lanza gran cantidad de humedad ni encharca, depósitos dura bastante</t>
  </si>
  <si>
    <t>Accesorios rapunsel Precioso y recomendable. La diadema espectacular. La varita y Corona delicadas.  Pero merece la pena</t>
  </si>
  <si>
    <t>esta muy bien~! esta muy caliente cuando nos tenemos sueño! y me gusta mucho 2 mandos~! esta muy confortable !!!!! muy buena compra</t>
  </si>
  <si>
    <t>Excelente Excelente relación calidad-precio. Material de buen aspecto y con buenos acabados. Perfecto para llevar el portátil y accesorios. Lo recomiendo.</t>
  </si>
  <si>
    <t>No hace nada Lo de extrafuerte es mentira, yo he notado apenas un poco de calor</t>
  </si>
  <si>
    <t>No me gusta la sensación al caminar En cuanto a talla, talla bien. Es un poco amor-odio xq son cómodas xo al andar parece q piso sobre algodón y eso tampoco me agrada mucho. En lo personal prefiero pisar firme y no que parezca que voy flotando. La plataforma no se aprecia. No duelen los pies x la altura pero tengo la sensación de la q horma no es la adecuada. Por lo demás son bonitas.  Las devolví finalmente</t>
  </si>
  <si>
    <t>Reduce el ruido del viento pero no tanto como esperaba Reduce el ruido del viento pero no tanto como esperaba, ademas es muy caro para lo que es y se le caen mucho los pelos. Recomendaria su compra? Si porque ayuda, pero lo dicho anteriormente, es demasiado caro.</t>
  </si>
  <si>
    <t>Pulsera hombre ojo turco Me vino deteriorada como por estar húmeda piezas axidadas</t>
  </si>
  <si>
    <t>No se adhiere fuertemente Esperaba mas de una cinta americana. La use para tratar de pegar algo de polipiel y la verdad se despega muy muy facil.</t>
  </si>
  <si>
    <t>Precio calidad Reloj perfecto para cualquier situación en el campo. Aguanta todo lo que le hagas. Un reloj muy apreciado por servicios de emergencia.</t>
  </si>
  <si>
    <t>comodisimas El numero es un poco amplio, pero son comodisimas, las recomiendo a todos los que tengan dolor de pies o fascitis plantar como es mi caso</t>
  </si>
  <si>
    <t>Estuche con colores Me ha gustado mucho para regalar en el cole, los colores son más pequeños de lo que esperaba.</t>
  </si>
  <si>
    <t>Correcto Poco quen deceir al respecto. Utiles y precion muy adecuado.</t>
  </si>
  <si>
    <t>Perfectos Me encantan. Vienen con una funda muy cómoda. Son plegables. Los utilizo sobre todo por la noche, en cama, para escuchar vídeos en el móvil y son muy cómodos. Se escuchan bien y es muy fácil conectarlos</t>
  </si>
  <si>
    <t>Excelente Muy muy bien la ps4 va mucho más rápido</t>
  </si>
  <si>
    <t>Compra satisfactoria Quedan genial, los compré para un regalo y fue un acierto. El chico quedó encantado con las zapatillas. La compra es muy satisfactoria!</t>
  </si>
  <si>
    <t>Comodos Estupendos ,me quedan como un guante ,talla mediana.Tienen un tacto muy bueno y mejor fue la oferta que coji,estoy contenta</t>
  </si>
  <si>
    <t>Jesus Es la primera vez que compro un artículo que pone de segunda mano, pero es nuevo solo que el embalaje algo deteriorado. El reloj w-800 es magnífico , números grandes y claros , tamaño adecuado ,luz LED verde más que suficiente , wr 100 m para mojarlo cuanto quieras ,correa cómoda, aunque la hebilla se queda algo levantada. Recomendable 100&amp;lt;% a un precio imbatible</t>
  </si>
  <si>
    <t>Bonita y barata Se soltó una bolita a las pocas horas de llevarla. Pero son de las que cuelgan, no importa.  Pediré más.</t>
  </si>
  <si>
    <t>Comodida Excellent</t>
  </si>
  <si>
    <t>Buen micro a buen precio Este micro cumple perfectamente para el precio que tiene, buen sonido y nitidez aparte de muy bonito. tambien tiene rosca en la base para ponerle cualquier pie de micro o soporte.</t>
  </si>
  <si>
    <t>Felix Recomiendo el batidor para espumar la leche,pues funciona perfectamente y en segundos tienes espuma para tu café.El precio es inmejorable</t>
  </si>
  <si>
    <t>Buenos Muy buenos...a mi niña le encantan.</t>
  </si>
  <si>
    <t>Mejor de lo que esperaba Desde que me llego no he dejado de utilizarlo, le añado unas gotitas de aceites esenciales y de lujo. Me encanta el aroma que deja, además estoy notando que los ojos se me resecan menos, yo los tengo secos y me pican mucho  y he notado una leve mejoría desde que me lo pongo.  También me gusta ponermelo para dormir, sincronizando 3 horas, le añado unas gotas de lavanda y me relaja muchísimo.  Apenas hace ruido, algo muy leve y casi insonoro. El diseño es muy bonito y oriental, queda muy bien de decoración.  Es muy sencillo de usar, se abre, se añade el agua y las gotas de aceite y listo, ya lo programamos a nuestro gusto.  La niebla que hace es muy fina, me gusta mucho.  Este producto también sirve de ambientador, deja un olor fresco y puro.</t>
  </si>
  <si>
    <t>Buena compra Llego rápido, antes de lo marcado, se ve de buen material. Para trabajar</t>
  </si>
  <si>
    <t>Pegamento sobradamente conocido. Buscar mejor oferta Es el pegamento original sobradamente conocido. Solo resta buscar una oferta adecuada pues hay diferencias notables de precio. Esto en particular son los 3 superglue chicos, a mi criterio mejor q los grandes ya que como no se mantenga en pie y se cierre bien solo se pueden abrir usando dos alicates</t>
  </si>
  <si>
    <t>ring Muy buena calidad y buen tacto, y de materiales muy flexibles. Funciona a la perfección, tanto en función remoto como por separado.Muy recomendable para jugar en pareja y para que ella disfrute. Recomendable.</t>
  </si>
  <si>
    <t>Bien Queda perfecto, las tallas concuerdan con la guia publicada, la talla es la que utilizo normalmente en otras marcas. Son de piel, fácil limpieza. Recomendadas</t>
  </si>
  <si>
    <t>Perfecto Perfecto, muy buena calidad precio, para un nivel amateur como el mio mas que suficiente y mas barato que apple.</t>
  </si>
  <si>
    <t>Letra pequeña Letras muy pequeñas y finas</t>
  </si>
  <si>
    <t>Adecuado,ligero,frágil Llegó muy pronto. Pedí 2. Uno llegó bien, y el otro con un roto. Es muy frágil y ligero, pero lo quería para poner fotos mis hijos y para eso es perfecto. Con una foto tapé el roto.</t>
  </si>
  <si>
    <t>Timo No sirven para nada, no aguantan nada de peso</t>
  </si>
  <si>
    <t>El tiempo que ha tardado no se puede aguantar La pinza muy bien. Pero ha tardado más de 1 mes en recibirla</t>
  </si>
  <si>
    <t>Cuidado con la talla Es pequeña, por los brazos sobretodo. La tela es muy fina.</t>
  </si>
  <si>
    <t>Calidad Genial sudadera a buen precio... Elige un color y disfruta de la confianza de la marca Levis</t>
  </si>
  <si>
    <t>Buenos Perfectas. Era un regalo para mi sobrina y está encantada. Si duraran más o menos no puedo valorarlo xq fue un regalo de papá Noel y se las puso nada más abrió el regalo, ahora el tiempo dirá si salen buenas o no</t>
  </si>
  <si>
    <t>Javito Le falta la aguja de los segundos y permitir ajustar los segundos al cambiar la hora en el modo digital.</t>
  </si>
  <si>
    <t>Buenos cascos por su precio, diseño chulo Estos cascos no son la releche bendita, no, pero son unos cascos buenos, aislan bien, cable intercambiable y diseño chulo, no hay que buscar 3 pies al gato, lo bueno: -calidad de sonido buena (mejor que unos cutres de 10 pavos) -aislamiento bueno (bueno para casa/calle normal, el autobús lo seguirás oyendo salvo que pongas todo a tope) -Calidad de construcción buena, es decir, los plásticos son mates y tal, pero nada de plástico de juguete de los chinos, plástico pues calidad media, no parece que se vayan a descuajaringar. -Poco peso Lo malo: -El cable corto es de un metro... quizás 20 cm más le vendrían a pedir de boca y la conexión macho si fuera en ángulo ya... (pero como se puede cambiar, así que no es grave) -Aunque tienen cable intercambiable, sería mejor que tuviera un conector hembra, en los cascos en vez de ese mini cable que sale. -Dan calor, pero vamos, que no es una sorpresa -Si tienes poca cabeza quizás te incomoden, si tienes almedra buena (como servidor) apretarán por igual y no harán daño.</t>
  </si>
  <si>
    <t>Ahora duermo muy calentito Calentar la cama antes de ir a dormir y pasar la noche a una temperatura agradable lo he conseguido con este producto. Duermo mucho mejor y cumple con toda la publicidad tal cual.</t>
  </si>
  <si>
    <t>Maria feijoo Es estéticamente perfecta y funciona rápido y a la perfección, cumple todas mis expectativas. Gracias. Relación calidad precio de 10.</t>
  </si>
  <si>
    <t>Muy rapido. Muy rápido y la verdad que no tengo queja,  ahora el acabado de plástico es muy fino y parece muy frágil veremos lo que dura.</t>
  </si>
  <si>
    <t>Recomendable Zapatos ligeros y transpirables,  para trabajar en verano me están viniendo genial.  Son ligeros y resistentes.</t>
  </si>
  <si>
    <t>ha superado mis expectativas este  Casio GD-350-1BER apariencia un 10, materiales un 10, diseño un 10 y precio otro 10. a la verdad que sorprende mucho lo robusto y bello a la vez y el precio que tiene, no lo se aun pero dicen que son eternos, hasta ahora lo recomiendo</t>
  </si>
  <si>
    <t>Regalo Se las regalé a mi pareja y está más que satisfecha. Son cómodas, ligeras, siempre tienes los pies calientes. Aún no sé si son aptas para el agua. Usa un 40 y estas le están un poco grandes, pero no mucho</t>
  </si>
  <si>
    <t>CORRECTO Excelente disco duro externo. Ligero, de tamaño contenido, buen tacto y silencioso. La rapidez es buena, sin ser de los mejores, está en la media, 1,5 GB por minuto Aprox., aunque eso depende tambien de la velocidad de tu ordenador y su conexion USB. En mi caso, Windows 7 con un i3 normalito. El precio es lo mejor, dificilmente encontrarás un producto de esta calidad por un precio tan competitivo. ¿recomendaría su compra? Si, cumple perfectamente y en calidad/precio es dificilmente superable.</t>
  </si>
  <si>
    <t>Muy chulo Me encanta el diseño, abriga bastante, muy util para el invierno. La capucha es bastante grande y la tela parece de calidad. Se ve duradero. Lo recomiendo sobre todo por el diseño.</t>
  </si>
  <si>
    <t>muy bueno! es genial, habia gastado de plastico y los muelles cuando ponias muchas monedas se enganchaban, con este hay separaciones y nunca se juntan los muelles, muy resistente, un diez !</t>
  </si>
  <si>
    <t>Salomon Buena zapatilla para correr por campo y calles</t>
  </si>
  <si>
    <t>Un 10 relación calidad / precio Por el precio que tiene cumple su cometido, lo recomiendo totalmente, no es el mejor archivador pero para mí uso esporádico me sirve de sobra.</t>
  </si>
  <si>
    <t>Todo correcto Este producto es una buena compra , tiene suficientes aumentos, y se ve claramente, se desliza bien y es cómodo de manejar, el precio que tiene es bueno,</t>
  </si>
  <si>
    <t>Calidad Reloj de calidad y muy elegante me encanta la correo de cuero y los detalles de las manillas. 100% recomendado</t>
  </si>
  <si>
    <t>Todo en orden Llevo un par de meses utilizando estos discos duros en una NAS montados en raid 1. Hasta ahora no he tenido ningún problema. Son rápidos y no hacen ruido por ahora. Cuidado al adquirir discos duros para una NAS, hay que ver la compatibilidad con tu NAS y además elegir discos duros (como estos) que estén recomendados para funcionar durante muchas horas sin problemas.</t>
  </si>
  <si>
    <t>Relación calidad precio La verdad que estamos encantados! No he probado con aromas, solo vapor de agua para el resfriado de mi hija, pero está genial, dura un montón y se apaga solo cuando se termina el agua, además de las luces que tiene que crean una agradable iluminación.</t>
  </si>
  <si>
    <t>Perfecto! De tan bonita que es, a veces me de cosa de guardar las botas en ella. El bolsillo de delante que dispone es perfecto para guardar cualquier cosa!</t>
  </si>
  <si>
    <t>Una buena inversión. Era escéptico, pero el salto de unos cascos normales a estos ha sido enorme. No tengo conocimientos de muchos cascos pero escuchar música en FLAC con estos cascos es una pasada, sobre todo el oír instrumentos y sonidos que antes no escuchaba. Lo mejor que es que son un patito feo, la gente ni les presta atención y luego son muchísimo mejores que los phillips y beats que veo todos los días.</t>
  </si>
  <si>
    <t>Bonito color Bastantes cómodo y bonito lo malo es que el color de le va, no lo mantiene mucho tiempo. Es de suela dura</t>
  </si>
  <si>
    <t>Mejor audio Instalado para reemplazar a un cable paralelo, el tipico rojo/negro de 1,5mm, se aprecia mejoria, especialmente en tonos agudos. Buen precio.</t>
  </si>
  <si>
    <t>Masajeador cuello, cervicales ideal Gran masajeador. Es increíble. El movimiento de las bolas simula los movimientos de la mano. Hay que tener precaución de usarlo poco a poco. Sesiones cortas y suaves porque sino hace daño. Hay que irse acostumbrado poco a poco. Por decir algo negativo diría que si se quiere poner en alguna otra zona que no sea el cuello resulta un poco incómodo y la cantidad de calor no es muy alta aunque al final la zona entra en calor pero por el masaje no por la fuente de calor. Edito este comentario porque después de usarlo 10 veces se ha dejado de usar porque si cuelgas los brazos, aunque sea levemente, acaba haciendo daño y te deja todavía peor.</t>
  </si>
  <si>
    <t>Muy cómodos pero poco resistentes Los calcetines son muy muy cómodos pero no muy resistentes. En 3 salidas se están deshilachando. Para carretera los recomiendo sin duda. Para monte no tanto.</t>
  </si>
  <si>
    <t>Muy bueno El reloj está muy bien, tiene un montón de funciones, pero yo me he comprado la versión en negro, y le veo dos defectos: 1º Las horas las marca con unos puntos que casi no se ven, en comparación con las agujas que son blancas, los puntos cuando hay poca luz cuesta un poco distinguirlos. 2º La luz led que tiene, está situada en la parte inferior de la esfera del reloj, y al encenderse sólo ilumina las agujas del reloj, la parte "digital" en donde se muestran el cronómetro, las cuenta atrás o la fecha no tiene iluminación propia, y de nuevo al tener un fondo negro no se distinguen los números que se muestran.</t>
  </si>
  <si>
    <t>Julia No vale para nada te deja todo el brazo verde por muy barato que sea no vale la pena no la recomiendo</t>
  </si>
  <si>
    <t>No funciona Desgraciadamente el mio vino sin el bt,  porque no conecta con ningún dispositivo. No se si seré el único al que le pase,  pero por si a caso doy aviso de que al menos el mío vino defectuoso.</t>
  </si>
  <si>
    <t>Poquísima calidad Producto malísimo para el precio que tiene,devuelto al instante,muy básico y mal fabricado.</t>
  </si>
  <si>
    <t>Xiaomi. Lo mejor calidad/precio. He probado muchas y me he decidido por ella. Para mí la mejor. Su luz led es muy útil. No le doy 5 estrellas porque pesa un pelín.</t>
  </si>
  <si>
    <t>No están mal Bayetas de micro fibra como tantas otras. Un poco pequeñas, pero no están mal. Siempre conviene tener en casa para diversos usos.</t>
  </si>
  <si>
    <t>Me gusta Hasta ahora la he usado unas 20 veces y por ahora ningún problema. Es funcional y grapa son tener que ejercer demasiada fuerza.</t>
  </si>
  <si>
    <t>Bien Es una mascarilla que deja la piel tras su aplicación muy suave. Pero tengo que mencionar  que la mascarilla me ha llegado demasiado seca y por lo que su textura no es como debería de ser.</t>
  </si>
  <si>
    <t>Modelo nuevo y económico Es la primera vez que ando durante horas y no se me hinchan las piernas, una pasada de zapatillas ;)</t>
  </si>
  <si>
    <t>funcional la caja fuerte es bonito, elegante, pero sobretodo muy funcional, para su cometido, e un producto que ha cubierto mis expectativas. Muy bien</t>
  </si>
  <si>
    <t>hacen el trabajo sin problemas hacen el trabajo sin problemas, pegan bien. nada excepcional pero no defraudan. por el precio están fantásticas</t>
  </si>
  <si>
    <t>Es un pantalón ideal Excelente pantalon</t>
  </si>
  <si>
    <t>Tiene la boquilla blanda. Muy bueno. Y sí tiene la boquilla blanda. Otras dicen que sí y no!!!! Esta sí. Muy contentos. Y nuestro bebe tb.</t>
  </si>
  <si>
    <t>Corona de princesa A mi hija le encanta disfrazarse, pero las coronas que tenía eran de niña y siempre acababan rotas al ser de plástico. Por eso pensé en comprarle una mejor, para que le durara más a la larga. Cuando abrió el paquete se quedó con la boca abierta, se creía que era la corona de Elsa. Es metálica y se agarra bastante bien al pelo. Los cristales que traen brillan mucho con la luz. La tiene como si fuera una joya.</t>
  </si>
  <si>
    <t>Auriculares cómodos de llevar en la oreja Auriculares Bluetooth estupendos para llevar paseando o en bicicleta, para escuchar música o recibir llamadas. La sincronización es fácil y rápida. El sonido es bueno y la calidad de los materiales aparentemente también. En las llamadas además de escuchar tu bien también te escuchan bien a ti, que es algo que en otros me fallaba. Viene con una gomitas para ajustarse mejor a la oreja por si te quedan flojos. La carga escuchando al máximo nivel de calidad no es muy abundante (unas 3 o 4 horas) pero con la cajita que trae le puedes dar varias cargas más, así que es bueno para llevar sin tener que enchufarlos para cargarlos. En general contento con la calidad/ precio</t>
  </si>
  <si>
    <t>Económico y comodo Cumplen perfectamente, un sonido bastante bueno y son muy cómodos de usar ya que agarran bastante bien y la batería funciona de maravilla aguanta bastante tiempo sin cargarlos, la botonera fácil e intuitiva.... Y lo mejor el precio que es bastante económico.</t>
  </si>
  <si>
    <t>Buen neceser Buen producto calidad precio ,recomendable.</t>
  </si>
  <si>
    <t>Execelente cálida y precio Excelente artículo, compre dos y muy satisfecho suenan igual a los originales que los probé, estoy  sorprendido con la calidad. Muy recomendables tienen buen bajo, y me llegaron antes del tiempo establecido muy buena compra hacia tiempo que estaba buscando unos así.</t>
  </si>
  <si>
    <t>Buena y a buen precio Camiseta básica para hacer deporte. Seca rápido en verano y te la pones directamente, porque el tejido no se arruga. Tengo varias en colores diferentes. No talla grande, más bien lo contrario</t>
  </si>
  <si>
    <t>Ideales para practicar deporte. Aptos para relojes con musica como el Tomtom Runner Calidad de sonido excelente a un precio muy bueno. Para los que se nos caen los auriculares de botón es genial que se sujeten en las orejas y pesan muy poco. Se emparejan a la perfección con el reloj-gps Tomtom Runner Music, ya que tienen la version 4.1 de Bluetooth, había probado otros con la 4.0 y no conseguí emparejarlos</t>
  </si>
  <si>
    <t>muy bonitas Es lo que esperaba, buen ajuste de calidad/precio. El color está muy bien y son lonas como dice el anuncio.</t>
  </si>
  <si>
    <t>Bota buena Preciosa bota</t>
  </si>
  <si>
    <t>Nos ha gustado Buen aceite y aroma muy agradable. Lo recomiendo. Me queda por ver cuanto dura y ver si merece la pena por ese precio. De momento buena compra</t>
  </si>
  <si>
    <t>Excelente tarjeta micro-SD Funcionamiento perfecto, fluida y sin ningún problema. Calidad además de ser una de las mejores marcas (si no la mejor) de tarjetas SD. Gran capacidad para no tener que preocuparte nunca más del espacio en tu móvil. Muy buena relación calidad-precio, ya que la misma tarjeta, mucho más barata en Amazon que en cualquier otra tienda física. Totalmente recomendable.</t>
  </si>
  <si>
    <t>Súper util Es rapidísimo y viene con medidor para varias cantidades de agua.</t>
  </si>
  <si>
    <t>2 en 1 muy top Muy completo si señor además de los auriculares y la batería que trae la base para cargar los propios auriculares también trae un puerto usb de salida para cargar el móvil o tablet como si de una power bank se tratase muy top ese 2 en 1 y la calidad de sonido muy buena al igual que la autonomía de los auriculares en uso por sacarle un pero diría que el estuche de carga es un poco tarugo pero viendo que también sirve de power bank es lógico por lo demás todo muy correcto lo recomiendo</t>
  </si>
  <si>
    <t>Buena relación calidad precio Muy contenta con el pack, las cintas tienen un tacto bastante suave y la variedad de colores está genial. Yo las he usado muchísimo este verano y ahora en casa también lo haré. Igual lo más lioso es saber hacer los giros en las cintas para que haga el efecto turbante en el centro, pero se le coge el tranquillo. Buena relación calidad/precio y el envío muy bien.</t>
  </si>
  <si>
    <t>El pasapurés deja grumos Lo compré expresamente porque lleva accesorio para hacer purés. Pues no tritura del todo, salen los grumos por los orificios del accesorio por lo que termino triturando con el accesorio básico, me lo quedo porque regalé el antiguo.</t>
  </si>
  <si>
    <t>Correcto Calienta poco, pero calidad precio correcto</t>
  </si>
  <si>
    <t>Suela poco resistente Las suelas no están dando el resultado esperado.</t>
  </si>
  <si>
    <t>se rompe 10 minutos y ya perdia bolas. no creo ni k se pueda calentar. muy mal acabado. no lo recomiendo nada</t>
  </si>
  <si>
    <t>No son de acero inoxidable.  Una estafa Lo peor que he comprado.  Aunque por el precio que vas a pedir. No son de acero inoxidable.  Porqué  se han pelado.  No los recomiendo  para nada. Una compra en vano.</t>
  </si>
  <si>
    <t>Calidad precio están muy bien Mi hija esta encantada, cuenta con un cable largo que va muy bien y la calidad del sonido por  el precio está muy bien</t>
  </si>
  <si>
    <t>Muy contenta, aunque no tiene mucha potencia Estoy muy contenta con este producto, aunque aún no he probado a picar hielo. Para hacer batidos va genial, pero si quieres hacer purés o triturar se queda corto, debes añadir líquido para que haga su función. Claro que por el precio es una ganga, para hacer batidos añado la leche y para zumos un poquito de agua y listo. Es súper fácil de usar y de limpiar.  Vino en perfecto estado y sigue en perfecto estado.  Espero que os sea útil mi comentario.</t>
  </si>
  <si>
    <t>Buen reloj si quieres un Casio solar y radio controlado. Es un reloj para personas que les gusten los deportes de agua. Indica mareas y fases de la luna. Al ser radio controlado, la configuración inicial es muy fácil (en mi caso venía con la hora correcta). Ahora bien, en mi zona no llega bien la señal atómica y a veces da error. Por otra parte, es solar, y la batería nunca bajó de la máxima carga el tiempo que lo usé. Los tornillos de la carcasa se ven resistentes y no giran ni tienen holgura. Ahora bien, en directo se ve más feo que en la foto. El display se ve bien, pero no es de los claros, se ve un poco grisáceo. Entiendo que es por el display lcd  en sí. Casio tiene otros relojes con display lcd de baja temperatura y se ven mas claros. Por eso y porque no me llegaba bien la señal atómica lo descambié.</t>
  </si>
  <si>
    <t>Cara La mayoría sabemos que esta marca es sinónimo de calidad y así ha sido con esta cinta, sin embargo he de decir que he comprado otra más económica, de una marca totalmente desconocida, aquí en Amazon, con el mismo resultado y es la que he seguido comprando. Reconozco que solo le doy un uso doméstico, quizá a otros niveles, sí se note la diferencia.</t>
  </si>
  <si>
    <t>Sudadera Regalo</t>
  </si>
  <si>
    <t>buena cualidad el producto es de buena cualidad, el envase con tapa lo hace de fácil manejo.</t>
  </si>
  <si>
    <t>Muy recomendable Al bebé le encanta. Los productos de esta marca son un acierto!</t>
  </si>
  <si>
    <t>Calidad precio Se ajusta al precio, tienes que tener un buen tiente para hacer el rebaje a modo brico. He rebajado 7 puertas en diagonal mas de 1cm y perfecto  poco a poco. Acabado perfecto</t>
  </si>
  <si>
    <t>Cómoda Me gusta mucho, es muy cómoda, aunque se vaya desgastando, pero sale totalmente rentable.</t>
  </si>
  <si>
    <t>PERFECTA PARA USO EN MOVIL Comprada para usar en un teléfono móvil, tras varios días de uso, como era de esperar en esta marca, el comportamiento de la tarjeta es perfecto. La transferencia de archivos grandes es muy rápida tanto desde el propio móvil como a través del USB conectado a un PC. Para alguien que no necesite mucho espacio de almacenamiento, es perfecta cuenta con espacio suficiente para guardar videos, fotos y datos de aplicaciones así como las propias aplicaciones sin andar apurado. En caso de usarlo para guardar películas o archivos muy grandes recomendaría mayor tamaño, pero para un uso medio es suficiente y por rendimiento muy recomendable</t>
  </si>
  <si>
    <t>Ok Lo usamos para la colada, nos funciona bien</t>
  </si>
  <si>
    <t>Contento con la compra Contento con la compra. Tardo poquísimo y me lo dejaron en el buzón, muy cómodo</t>
  </si>
  <si>
    <t>ideal perfecto para el cole</t>
  </si>
  <si>
    <t>Rapidez Como siempre quedan genial y son comodisimas ya tenía unas en burdeos y repito x q  me gusta el modelo..</t>
  </si>
  <si>
    <t>Un monstruo pequeño pero con muchísimo espacio Encantado con el, 4TB por 100€? En tiendas físicas vale 130-150€ xD. Como siempre Amazon va por un paso adelante. Que decir, es plug &amp;amp; play, enchufarlo y a gozar. La única pega si es que se puede decir pega es que intenté usarlo en mi móvil como mi disco duro de otra marca y éste no me lo reconoce Android :( Si algún vendedor o usuario puede decirme si es posible usarlo en dispositivos Android o no se lo agradecería por lo demás 100000000% recomendable ;)</t>
  </si>
  <si>
    <t>COMODISIMO Producto muy cómodo, justo lo que necesitaba. Pantalón para estar en casa cómodo el dia a día.</t>
  </si>
  <si>
    <t>Es lo que buscaba Son transparentes y de un grosor adecuado</t>
  </si>
  <si>
    <t>Estupendo Me gusta tanto que no era la primera vez que lo adquiría pero en esta ocasión a un precio formidable ,ya que en otra compra pague 50 euros por dos unidades.Son pequeños pero lo bueno es que son de metal y su forma es practica.</t>
  </si>
  <si>
    <t>Encantada con el producto Recomendable 100%</t>
  </si>
  <si>
    <t>Batidora de vaso Es lo que se espera que sea.</t>
  </si>
  <si>
    <t>Un brillo muy chulo en la voz. Excelente micro calidad/precio. Recoge la voz de una manera muy profesional y con un brillo guapo. Las acapellas para mis temas quedan genial. Antes tenia un beheringer C1 y ha sido un salto brutal. Lo recomiendo! :D</t>
  </si>
  <si>
    <t>Muy buenos, como siempre. Calidad Crocs. Son algo más cerrados que los clásicos, al carecer de los agujeros laterales, pero eso hace también que aisle más de la arena, agua... Además de ser algo más pesadas. Por lo demás, genial como de costumbre, tengo de verano y de invierno y es mi calzado principal.</t>
  </si>
  <si>
    <t>Fivefingers Perfectos!! Talla y todo. Al principio me dolían los dedos pequeños pero al final se han terminado acostumbrando</t>
  </si>
  <si>
    <t>despues de unos meses de uso han encogido Yo soy una persona que lavo la ropa con cuidado y con una temperatura normalmente de 20 o 30 ºc y el caso es que llevo unas semanas que siento que me incomodan los calzoncillos porque me apretan, y lo comparo con otros calzocillos que me quedan bien, como estos me quedaban al principio y he visto que se han hecho mas pequeños.  un saludo.</t>
  </si>
  <si>
    <t>Práctica y cómoda Buena tela pero talla pequeña</t>
  </si>
  <si>
    <t>Útil Sería un reloj perfecto si no le hubiesen hecho la caja de plástico, que se araña con suma facilidad. Debería haber una versión con caja de acero aunque sea a un precio superior. La correa que trae por defecto es enorme y vas a tener que quitarle dos eslabones, y no es fácil. Por lo demás un reloj totalmente recomendable con funciones muy útiles y una estética preciosa.</t>
  </si>
  <si>
    <t>No es una funda isotermica. Es un embellecedor No es una funda para guardar el calor ni el frio. No es mas que una funda de tela que hace mas mono el biberon y ni siquiera encaja bien. Tire la caja, sino lo devolveria</t>
  </si>
  <si>
    <t>Dinero perdido No sirve para nada. No se pega ni en una pared lisa y completamente limpia. Dinero perdido</t>
  </si>
  <si>
    <t>Chaqueta azul ,muy chula Muy bonita</t>
  </si>
  <si>
    <t>Calidad /precio buena Precio 8'99€ x 12 pendientes de 6 tamaños, los he comprado planos x detrás xk mi niña de 6 años se queja de los normales al dormir se le clavan y estos cumplen con su función no molestan nada, la pega es que los dos grandes son muy grandes y los dos pequeños son muy pequeños, me sirven los dos del medio, estaría bien poder elegir tamaño ya k los demás se van a quedar sin uso, yo soy alérgica a todo tipo de pendientes y he probado estos y no me duelen x lo que los recomiendo en cuanto a calidad de material.</t>
  </si>
  <si>
    <t>rakel Yo lo he comprado para prevenir los piojos en mis hijos. ..y por ahora funciona..Muy contenta. Eso si., tener cuidado no pasarse que huele muy fuerte.</t>
  </si>
  <si>
    <t>Vans Ward Hi Suede Las recibí el día acordado. El tamaño y el color se ajustan a la descripción.</t>
  </si>
  <si>
    <t>Precioso. Es muy bonito. Se ve de alta calidad. No defrauda en absoluto. Repetiré con otro modelo.</t>
  </si>
  <si>
    <t>Humificador Es tal como lo muestra en la imagen, os recomiendo,</t>
  </si>
  <si>
    <t>Buen sonido Buena calidad!!</t>
  </si>
  <si>
    <t>Cómodos para el deporte Se lo he comprado a mi hermano. Yo tenía unos de otra marca pero decidí probar estos. Fue un acierto! Son cómodos para hacer deporte, se recargan fácilmente (en su estuche) y además  suenan genial. Yo lo recomiendo totalmente! Viene con diferentes almohadillas así que se adapta a todos.</t>
  </si>
  <si>
    <t>Perfectas Originales y perfectas. Mas de 20 años usándolas, calidad innegable. Viene con todos los extras, la bolsa de tela y una pequeña bolsita con cordones de repuesto, la crema para darle lustre y una pequeña esponja.</t>
  </si>
  <si>
    <t>Una monada Me encantan estéticamente, se oye bien y es fácil de conectar. Trae cable para cargarlos y recambios. Los he probado para estar en casa y son cómodos. Tengo que probarlos para ir a correr.</t>
  </si>
  <si>
    <t>Lindas y cómodas Estoy muy contenta, son lindas y muy cómodas</t>
  </si>
  <si>
    <t>CALIDAD/PRECIO DE 10 Siempre ha sido una marca barata, pero cada vez mejor construído y más calidad en sus conexiones y materiales. Calidad precio creo inmejorable.</t>
  </si>
  <si>
    <t>Auriculares inalámbricos con buenas funcione He comprado para regalo a mi esposo, ya que quería unos de buena calidad y buen sonido sin gastar mucho. Lleva unos días usándolo y va bien, la calidad del sonido es óptima sin distorsión, tampoco se desconecta o desacopla al bluetooth. El diseño es muy elegante, la funda cargadora que trae está hecha como se cuero, anclan bien sin problemas. Tienen sensores laterales que van bien para subir y bajar volumen, así como pausar y dar play. Bien producto y a buen precio.</t>
  </si>
  <si>
    <t>Excelentes!! Excelente!! Comodisimos, la bateria dura muchisimo y sobretodo no se caen a cada instante, la mejor compra, como siempre apple y amazon de 10!</t>
  </si>
  <si>
    <t>Es la cuarta que compro Uno de los problemas que tienen algunas tarjetas es que se corrompen y pueden mandar a tomar vientos todo un trabajo, como no te haya dado tiempo a hacer un back up. Como ya me ha pasado alguna vez (con otras tarjetas) no me arriesgo y voy a tiro fijo con esta. Relación calidad-precio estupenda.</t>
  </si>
  <si>
    <t>hervidora agua Va genial , es fácil de usar, cuando está hirviendo se enciende una luz azul. Tiene un buen tamñao y es muy fácil de limpiar</t>
  </si>
  <si>
    <t>Para regalo perfecto Tamaño justo, muy bien enbalado. La cajita muy presentable.</t>
  </si>
  <si>
    <t>Calidad/Precio Muy buena y rápida</t>
  </si>
  <si>
    <t>Bonito y de calidad Fácil de usar, y potencia</t>
  </si>
  <si>
    <t>Genial Me ha encantado he comprado varias veces este articulo, la uso para una canon 6d y una sony a7 mk2, y calidad precio creo que es top, no se corta el video y tiene buen bufer para las fotos.</t>
  </si>
  <si>
    <t>Anthony Ignacio Moncel Perfecto , entregado bastante rapido en un sobre perfectamente metido.y cumple perfectamente para usar en la psp que es lo principal,poco mas que decir un diez</t>
  </si>
  <si>
    <t>Comodidad al caminar Excelente calzado, cómodo, confortable, puedes tenerlo todo el día y  no te sientes cansado</t>
  </si>
  <si>
    <t>no coincide con la talla EU. Gasto un 40 en deportivas y llevo el mismo modelo y marca puestas de talla 40. Veremos si 41 y medi Llevo tres pedidos de dos pares de zapatillas en cada uno pagando cada vez más dinero con la talla mayor. A ver si el 41 y medio me cabe y no me queda grande. No es talla europea y dan la referencia mal. El precio es demasiado elevado para otros en mi talla real.</t>
  </si>
  <si>
    <t>Regular No aprieta demasiado pero recoge y es cómodo. Al principio me encantó pero lo peor y más decepcionante es que, después del segundo lavado (lavados cortos y con agua fría) una pata de sube mucho al caminar... No hay cosa más incómoda que tener que ir bajando el pantalón mientras caminas.</t>
  </si>
  <si>
    <t>Un desastre. Compré  la zapatillas y me llegaron una de la talla 46 y otra de la talla 44. Un desastre. No la volveré a comprar. La caja me llego golpeada. Perdí  mi tiempo comparándola. La necesitaba para trabajar y al final no me valió para nada.</t>
  </si>
  <si>
    <t>No recomiendo El producto no funciona el micro no funciona lo he probado a desenchufar y volver a enchufar en la radio y en otra y no funciona</t>
  </si>
  <si>
    <t>Seriedad Ok</t>
  </si>
  <si>
    <t>Buena calidad Los componentes se ven de muy buena calidad. Por lo que he podido comprobar el sonido también lo coge bien si tienes un buen sistema donde conectarlo, sino le falta recepción</t>
  </si>
  <si>
    <t>Buenas minimalistas pasa monte poco técnico, con un par de puntos mejorables Transpiran muy bien y la suela da buena protección manteniendo la sensación minimalista de suelo, siempre que se utilicen sin esas plantillas excesivas que trae, con soporte de puente y bastante acolchadas. Mejorables los cordones, si fueran sólidos en vez de elásticos. Eso si, da como dos tallas más de la que normalmente utilices de calzado.</t>
  </si>
  <si>
    <t>Buena relación calidad / precio Son bonitos y a un buen precio.</t>
  </si>
  <si>
    <t>Tejido bueno Sudadera ancha, calidad de tejido, la talla más o menos, depende de como quieras que quede, ancha pero corta.</t>
  </si>
  <si>
    <t>Buena relación calidad/precio Este SSD tiene una buena relación entre el precio y los giras que ofrece, con el valor añadido de una marca conocida y que ofrece garantías.</t>
  </si>
  <si>
    <t>Algodón 70/30, costuras y diseño de calidad Lo dicho, me la compré buscando algo simple pero de algodón y buena calidad de acabados. Hay que decir que no es todo algodón sino que está al 70/30 (algodón/poliéster), pero no he notado electricidad estática que es lo que más odio del poliéster. El ajuste es holgado y la textura suave. El color rojo, que es el que yo elegí, es vivo y no se va con los lavados. Pediré muchas más.</t>
  </si>
  <si>
    <t>Muy fiables y ligeros La calidad contrastada de estos USB de SanDisk hace que al adquirir uno casi siempre acertemos. Son muy baratos, y por regla general nunca dan problemas. Eso sí, la velocidad de transferencia está en consonancia con el precio.</t>
  </si>
  <si>
    <t>Perfecta Funciona como es la descripción. Buena compra</t>
  </si>
  <si>
    <t>Muy profesional Tenía unos auriculares gaming con microfono extraible, concretamente el audio era muy bueno pero presentaba problemas en el micro, asi que lo quité y me compré este equipo de micro profesional. Estoy muy contento con el set, ya que tiene todos los accesorios que me interesaban para poder hacer streaming en condiciones y hablar con mis amigos mientras juego online. La calidad con la que se me escucha ahora es excelente, cero cortes y muy nítido.</t>
  </si>
  <si>
    <t>Gran compra, funciona perfecteamente en mi camara Sony con ... Gran compra, funciona perfecteamente en mi camara Sony con una MicroSD de 16GBs de categoria 4. Olvidándome ya de gastar la burrada que cuesta una Memory Stick de Sony</t>
  </si>
  <si>
    <t>comodidad un producto comodo buensonido y conectividad</t>
  </si>
  <si>
    <t>muy bien perfcecto para reloj Samsung y muy buena calidad muy recomendable me parece mejor como la original muchas gracias vulevo aha comprar</t>
  </si>
  <si>
    <t>Fantastic Son estupendas y super cómodas van muy bien por montaña, se pueden utilizar de diario.</t>
  </si>
  <si>
    <t>Bueno para los gases Muy. Bueno para los gases y comodo</t>
  </si>
  <si>
    <t>Buenos auriculares Bluetooth calidad precio Buenos auriculares, son cómodos y tienen muy buen sonido. Muy fácil la sincronización con el móvil y lo mejor de todo es que tiene un puerto para una micro SD en la que podemos poner nuestra música y escucharla sin necesidad de vinculación con el móvil. Son perfectos para andar , no he probado a correr con ellos y no sé si aguantarán sin descolocar se del oído, pero para caminar son perfectos.</t>
  </si>
  <si>
    <t>Ningun pero Comodisimos</t>
  </si>
  <si>
    <t>Muy utiles Los he entregado como detalle en un bautizo, los rellene de caramelos de colores y quedaron estupendos ☺️</t>
  </si>
  <si>
    <t>Buen producto Probado y funciona muy bien. Tiene muy buena longitud y buenos acabados. De momento ninguna pega y eso que al final se va pisando en el local</t>
  </si>
  <si>
    <t>Comodidad Muy cómodo, no necesitan ningun cuidado especial. Me lo recomendaron tras una intervención y ahora se han convertido en un basico, los continuo usando</t>
  </si>
  <si>
    <t>Muy satisfecho Al recibir este producto venía precintado sin ser abierto ni utilizado, al probar si tenía problemas al grabar no los tuve y estoy muy contento con esta compra tanto por su valor como su calidad. Recomendado 100%</t>
  </si>
  <si>
    <t>ME ENCANTAN Recibido en su plazo en perfectas condiciones. Son comodísimos. En verano resultan algo calurosos. Se meten en la lavadora y quedan perfectos. Se los ve muy robustos, tras un año de uso están impecables.</t>
  </si>
  <si>
    <t>Muy higiénicos Perfectos, vienen 2 grandes y uno pequeño, además de un chupete. Al ser de cristal nunca queda olor al detergente.</t>
  </si>
  <si>
    <t>Artículo perfecto Las agujas están muy bien conseguidas y van a la perfección colocadas en el reloj. Una buena compra. Me encanta</t>
  </si>
  <si>
    <t>No sé parece en nada La clave sol no parece una clave sol si no S rara la cadena super finita. El adorno se vuelve todo el tiempo de circonitas ni una . Una pena lo pedí con mucha ilusión....</t>
  </si>
  <si>
    <t>Dudoso No es lo que se supone, aunque supongo que por el precio no podía esperar más de lo que recibí, aún así la resistencia den producto es aceptable</t>
  </si>
  <si>
    <t>Algo más de espacio Un poco ajustadas a las medidas a4, caben muy pocas hojas</t>
  </si>
  <si>
    <t>Que funcione Me llegó y no funcionaba.</t>
  </si>
  <si>
    <t>Un año han durado Cuando los utilicé por primera vez quedé muy impresionado por su sonido y la relación calidad/precio. Eran sin duda los mejores cascos de ese precio que hubiera tenido. ¿Por qué la baja valoración? Pues porque han durado un año y un mes justo desde su compra. Uno de los cascos ha dejado de sonar. No una vida útil muy prolongada que digamos, aunque ya sabemos que hoy en día todo dura poco.</t>
  </si>
  <si>
    <t>Muy buen producto Muy buen producto. Alta calidad y buen precio. Controla muy bien el ruido, y da un buen volumen. También se te escucha muy bien, según las indicaciones de las personas con las que hablo. Si tuviera que pedir algo, sería que durara más la carga, pero durara lo que durase nunca sería suficiente.</t>
  </si>
  <si>
    <t>Buen servicio. Buena compra buena crema alivia refresca huele un poquito mentol pero es soportable la recomiendo.</t>
  </si>
  <si>
    <t>Relación calidad y diseño por precio Relación calidad y diseño por precio</t>
  </si>
  <si>
    <t>PRODUCTO BUENO ES UN BUEN PRODUCTO PERO HE TENIDO PROBLEMAS PORQUE NO SE LE PUEDE CAMBIAR EL IDIOMA Y EL MANUAL VIENE EN INGLES, LO PEDI EN ESPAÑOL PERO NO RECIBI RESPUESTA DE PARTE DEL VENDEDOR</t>
  </si>
  <si>
    <t>cambio hemos tenido que dedvolverlo por error en talla, hemos solicitado una talla menos y estamos a la espera de su recepción</t>
  </si>
  <si>
    <t>Buena calidad Buena calidad. De momento con poco uso se les ve buenos. Espero que aguanten.</t>
  </si>
  <si>
    <t>Bolso de piel para hombre Es precioso y de buena calidad</t>
  </si>
  <si>
    <t>Eficaz y muy comodo Es un producto estupendo. Apenas lo he recibido, lo he tenido que usar para aliviar una contractura en la espalda. Tiene 5 posiciones de menos a más calor, y se puede programar para que se apague solo a la hora o a las 2 h. Es muy cómodo y el tejido muy suave y agradable. Estoy muy satisfecha con esta compra.</t>
  </si>
  <si>
    <t>Sorprendente calidad. Un buen bolso a un precio ajustado. Llevo usándolo mucho tiempo y he de decir que me sorprendió la calidad. De entrada uno piensa que al ser de fabricación china no durará mucho, pero la realidad es que llevo usándolo más de dos años y sigue resistiendo. Lleva bolsillos interiores con cremallera y es suficientemente amplio para guardar llaves, billetera, agencia agenda..etc. Una buena compra.</t>
  </si>
  <si>
    <t>IMPRESIONANTE Se la compre a un amigo que le gusta usar Midi y grabar instrumentos Sampleados, lo ha flipado, las teclas son sensibles, aunque es un mini piano y las teclas algo pequeñas te acostumbras y lo hace muy portable, lo llevas donde quieras, lo conectas por USB y a componer, lo mejor a un precio justo</t>
  </si>
  <si>
    <t>Las volveria a comprar Las uso para trabajar. Quedan bien con casi todo. He ido de viaje con ellas, caminando bastante y siempre super comodas. Al no llevar cordones, son muy rapidas de poner y quitar. Me han encantado.</t>
  </si>
  <si>
    <t>Muy bien Buena calidad y precio</t>
  </si>
  <si>
    <t>LAS MEJORES CHANCLAS Tal como esperaba son perfectas. La suela es acolchada y no se hunden como me ha pasado con los tras chanclas Mistral. Viene. De talla pequeña. Yo uso una 36 y me he tenido que comprar la 37-38.</t>
  </si>
  <si>
    <t>Calidad precio ok Muy chulas, y buen precio.</t>
  </si>
  <si>
    <t>Magníficas zapatillas para senderismo Muy contento con las zapatillas. Muy estables. Buen apoyo del arco. Aislan muy bien de las piedras, etc. Volvería a comprarlas</t>
  </si>
  <si>
    <t>funciona !!! FANTASTICO, SUENA MUCHO EL MOTOR, PERO ........ FUNCIONA !!!</t>
  </si>
  <si>
    <t>Pequeño y fácil de usar &amp;nbsp;USB Compatible con versiones anteriores. Hasta 32 GB de capacidad pueden satisfacer sus necesidades de almacenamiento diarias. Por ejemplo, fotos, vídeos, audios, música, etc. Este llavero de unidad flash es fácil de llevar y de usar cada día. Puedes acoplar el lápiz USB a tu llavero</t>
  </si>
  <si>
    <t>Excelente producto Buena calidad. Muy rápido todo. Excelente y muy recomendable. Todo correcto. Para profesores muy recomendable. Buen Sonido Y Muchas funciones.</t>
  </si>
  <si>
    <t>Muy contento Se lo regalé a mi padre y está muy contento. Se ha quejado un poco del peso, pero en general ha sido una gran compra. Casio no es nuevo en esto de hacer relojes, y es una compra segura.</t>
  </si>
  <si>
    <t>Muy bonitas. Muy bonitas, cómodas y suaves. No es el primer par que compro y seguiré comprando porque están muy bien y me gustan mucho.</t>
  </si>
  <si>
    <t>Su comodidad Me gusto todo!!! Súper contenta</t>
  </si>
  <si>
    <t>Para invierno y cómodas Las compré para alguien que trabaja como camarera y así sus pies no sufren. Son muy cómodas. Es la marca la que tiene calzados estupendos.</t>
  </si>
  <si>
    <t>Calidad justa... No pidas mucho Llevo ya un tiempo utilizando estos auriculares Bluetooth, los uso mucho ya que mientras ando, estoy continuamente hablando por el móvil.  En primer lugar, decir que el diseño es bastante bonito, ya que no son muy aparatosos, como otros que he visto y comprado últimamente, y que he tenido que devolver debido al peso.  Son muy ligeros, y que sean magnéticos, es un plus, ya que puedes rodeartelos al cuello cuando no los usas, y si evitas guardarlos en algún bolso donde luego no los termines encontrando.  En cuanto a la calidad, eso ya es otro cantar. Todos sabemos que los auriculares Bluetooth, tienen un problema de retardo y también de sonido. Pues bien, en este caso, el sonido viene acompañafo muchas veces de un molesto ruido de fondo tipo niebla. Da igual lar veces que lo configures, que sigue saliendo el ruido. Y otra cosa, depende de con que móvil los configures, te servirá para usarlo para cualquier aplicación (excepto la radio FM), o solamente para las llamadas.</t>
  </si>
  <si>
    <t>Bueno Lo que esperaba</t>
  </si>
  <si>
    <t>Una tarjeta mas Compré dos tarjeras. Una para la switch y otra para el movil. En la switch ningun inconveniente pero en el movil la velocidad de lectura deja bastante que desear. He realizado varias pruebas y he tenido tarjetas con mayor velocidad real. Aun así es una buena opción dependiendo del uso que se le quiera dar ya que el precio es bastante bueno.</t>
  </si>
  <si>
    <t>MIENTEN EN LA COMPOSICIÓN - 100% poliéster El fabricante no dice la verdad al afirmar que son 97% de algodón. En realidad son 100% poliéster o alguna otra fibra artificial Deberían verificar la calidad, así nos evitamos molestias los que compramos mirando el etiquetado.</t>
  </si>
  <si>
    <t>Pulsera Al segundo día se ha desecho</t>
  </si>
  <si>
    <t>No lo compres Muy mala calidad, me duró tres meses escasos. No lo recomendaría</t>
  </si>
  <si>
    <t>Edwar Muy buen reloj. A un precio super asequible justo lo q quería para el trabajo. Vamos un chollo lo recomiendo</t>
  </si>
  <si>
    <t>Buena relacion calidad precio Muy buena relación calidad precio. Son bastante rapidas. Contento con la compra.</t>
  </si>
  <si>
    <t>Buen articulo Nos ha venido muy bien para el bautizo, no son muy pequeños y vienen con el lazo decorativo por lo que se agradece ya que te evitas darle algun toque mas. El unico pero es quizas el material que es algo fino, pero por este precio no se puede pedir mas.</t>
  </si>
  <si>
    <t>Reloj tal y como se muestra en las imagenes En un principio lo iba a devolver porque el reloj no se encendia y llevaba puesto a la luz un par de dias y cuando ya estaba tomada la decision de no esperar mas para su devolucion y encendio y de momento va todo bien. Por eso no le doy las cinco estrellas.</t>
  </si>
  <si>
    <t>Bien de calidad para el precio que tienen Lo que me esperaba para el precio que tiene</t>
  </si>
  <si>
    <t>Genial para maestros Velcro como esperaba</t>
  </si>
  <si>
    <t>Muy funcional Por fin una manera de tener las tarjetas a buen recaudo y sin tener que perder tiempo en estarlas buscando entre cajas, cajones y disposotivos.</t>
  </si>
  <si>
    <t>Compra satisfactoria. El artículo cumple mis expectativas y llego en el plazo previsto.</t>
  </si>
  <si>
    <t>Pulseras pack 3 Se ajustan bien a la muñeca. Al principio al ser nuevas están muy duras y cuesta ajustarlas por lo demás súper bien. Lo que había pedido y además vienen en una bolsita de terciopelo. Muy bien</t>
  </si>
  <si>
    <t>Genial ! Me han encantado super cómodas y bonitas las volvería a comprar.. Buena calidad  precio</t>
  </si>
  <si>
    <t>Buena relación calidad precio Bien de tamaño y buena calidad.</t>
  </si>
  <si>
    <t>Perfectas Por ese precio,de lo mejor.</t>
  </si>
  <si>
    <t>El regalo perfecto Se lo compré como un regalo a mi madre aprovechando mi primer sueldo y no podría estar más contenta con lo feliz que se puso (y con lo bien que le quedan las zapatillas). Le gustaron tanto que se compró otro par en amarillo.</t>
  </si>
  <si>
    <t>SILBA FLOJO, pero silba y funciona, ESTA BASTANTE BIEN RELACIÓN CALIDAD PRECIO. NO SILBA EXCESIVAMENTE FUERTE PERO SE ESCUCHA Y CUMPLE CON SU UTILIDAD. TAMAÑO PERFECTO PARA 2 ,3 PERSONAS</t>
  </si>
  <si>
    <t>Velasco Talla grande, uso una 40 en todo tipo de calzado y pedí la 39 gracias a los comentarios y me va como anillo al dedo</t>
  </si>
  <si>
    <t>El producto muy bien, la entrega con retraso Primera compra en amazon, a modo de testeo decidí empezar por un valor seguro. Ya tenía estas mismas bambas, pero desgastadas de tanto uso, pues me encantan, asi que pedí unas nuevas y asi veía el funcionamiento del servicio. Cogí el mes de prueba de Prime, para valorar si vale la pena, y mal empezamos, ya que el pedido no llegó el día marcado, sino con un día de retraso. Respecto al producto en si, pues lo esperado, comodísimas, calidad, la talla va perfecta (pedí la mia, un 45) y además justo las pedí cuando habían bajado de precio, así que genial.</t>
  </si>
  <si>
    <t>Las pestañas lo acoplan a la perfección La correa queda de lujo, tiene el mismo color negro metalico que el Gear S3 Frontier, y lo mas importante y el principal motivo por el que la compré y no ninguna de las demas parecidas, las dos pestañas que trae que hacen que la correa quede completamente acoplada al reloj. Recomendable 100%.</t>
  </si>
  <si>
    <t>Muy satisfecha con mi aspirador escoba! Estoy muy contenta de haber adquirido esta aspiradora escoba.aspira muy bien, tanto suelos como alfombras y además viene con todos los accesorios.no hace falta comprar nada más. Por poner una pega diría que la batería dura lo justo para limpiar la casa, unos 20 minutos.seguro que para los siguientes modelos los fabricantes lo tendrán en cuenta.</t>
  </si>
  <si>
    <t>Muy bonito Muy bonito ,brilla mucho y a mi novia le ha encantado</t>
  </si>
  <si>
    <t>Cable de 3 metros con clavija tipo 8 El producto es como se describe en el anuncio, un cable de alimentación de 3 metros de longitud con terminal en 8. El envío llegó unas dos semanas después de hacer el pedido. Todo correcto.</t>
  </si>
  <si>
    <t>Buen producto Funcionan bien, sonido mui bueno. la bateria dura bastante.</t>
  </si>
  <si>
    <t>Rápido y original.Suunto. Producto original al mejor precio.  Falta comprobar su durabilidad, espero al menos que alcance los dos años. Jejeje.  Las posibilidades de colores también son posibles.</t>
  </si>
  <si>
    <t>BALSAMO DE CABALLO Totalmente recomendable. He probado muchas cremas y geles de calor y ninguno me ha dado tan buen resultado como este. El deporte que practico es canicross, con salidas muy explosivas y mi femoral está muy tocado, con este bálsamo las molestias a veces ni aparecen a lo largo de la carrera.</t>
  </si>
  <si>
    <t>Microfono Shure MVL Este microfono es uno de los mejores que he probado, en mi caso me ha venido abierto y usado, he pensado en devolverlo, venia con el cable enrollado metido en la funda, con la espuma puesta y el clip de solapa puesto, que normalmente viene aparte, para que cada uno lo ponga.</t>
  </si>
  <si>
    <t>Muy bueno El brillo y la rapudez</t>
  </si>
  <si>
    <t>Regular Lo malo es que dura muy poco la parte verde, en pocos dias se desprende y solo queda la esponja. Podrían mejorarlo</t>
  </si>
  <si>
    <t>malisimo Las bolas dejan sabor a metal. Incluso despues de enjabonarlas y lavarlas bien. En las fotos se ve un te verde que ha salido de color marron. No las compreis</t>
  </si>
  <si>
    <t>No pensaba. Q fueran tan diminutos Demasiado pequenos</t>
  </si>
  <si>
    <t>Todo OK pero un poco ruidoso. Todo perfecto salvo por dos cosas: 1. Me equivoqué y compré el de 1,7 litros cuando buscaba uno de 0,7 (error mio porque en la descripción lo pone claramente) 2. Es un poco ruidoso (no afecta para nada al funcionamiento)  Calienta el agua de manera muy rápida. 100% recomendable.</t>
  </si>
  <si>
    <t>Contemporáneo, actual Calidad-precio inmejorable. He comprado 3 álbumes de diferentes colores: tiza, gris, y beige. El beige es bastante más claro de lo que se ve en la foto. Es una buena compra.</t>
  </si>
  <si>
    <t>Recomendable Lo que se espera de él, quizá aprieta un poco la goma pero queda muy estetico</t>
  </si>
  <si>
    <t>Buen precio Vans a precio de rebajas. Cuando las compré tuve mis dudas de si eran originales o no, pero tienen muy buena pinta, de hecho trae la caja, las etiquetas y pegatinas como las de las tiendas.</t>
  </si>
  <si>
    <t>Quedan como esperaba y son divertidas Es un zapato que llama la atención y resulta original. Además son realmente cómodos. Como ya he visto en otros comentarios es cierto que vienen sin caja en unas bolsas y que no tienen unos materiales de gran calidad. Pero cumplen las expectativas que tenía con ellos.</t>
  </si>
  <si>
    <t>Contenta con la compra Para el invierno,geniales. Pero son un poco duras. ....</t>
  </si>
  <si>
    <t>Fabuloso y rápido Me ha gustado mucho, tal cual se ve en la foto y el envío muy rápido</t>
  </si>
  <si>
    <t>Mis botas favoritas Es mi tercer par de botas Merrell y sigo contentísimo con ellas. Se ageradece la suela Vibram, de mayor adherencia. El servicio correcto y rápido</t>
  </si>
  <si>
    <t>Muy buena calidad Fueron un regalo para el bebé de una amiga por el momento no ha tenido cólicos. Van fenomenal y se nota una muy buena calidad en el producto.</t>
  </si>
  <si>
    <t>Super elegante. Calidad precio es impresionante ,es muy bonito y muy elegante,y el próximo sera el mismo en Azul que tambien es muy elegante.</t>
  </si>
  <si>
    <t>Bonito y útil Estaba pendiente de comprar un hervidor nuevo porque el que tenía en casa se me había roto la tapa. Y tras buscar entre varios me decanté por este, la marca no la conocía pero la verdad es que parece buena marca. El material se ve bueno, y cumple perfectamente su función. Viene empaquetado en una caja y dentro de una bolsa de plástico que lo protege correctamente. En cuanto al tiempo de calentar el agua tarda bastante poco y su uso es sencillo, la luz se enciende cuando lo pones a calentar y cuando el agua está caliente se apaga. Yo lo uso para calentar el agua para el té, pero para cocinar también te ahorra bastante tiempo de estar esperando a que caliente en la olla. Relación calidad-precio buena. Muy contenta.</t>
  </si>
  <si>
    <t>Tras varias pruebas me decidí por este y acerté!! Me gusta que se escucha muy bien, buenos bajos que mejoran si en el reproductor te instalas y reproduces con equalizador de musica , sincronizacion rápida por bluetooth, no se sale de los oídos, no molesta tampoco tras varias horas de escucha, la batería dura lo descrito, se carga fácilmente en su cajita que al ser pequeña se transporta muy bien, en los oídos no sobresale.trae varias gomas para que se adapten al oído de cada uno, a mí me fueron bien las que llevaba. Por último comentar que he probado varios auriculares de este tipo y todos molestaban en el oido, con este acerté por fin!! . En cuanto a lo que no me ha gustado : nada que reseñar, creo que mejor imposible, no obstante el tiempo dirá y actualizaré.</t>
  </si>
  <si>
    <t>Bolso organizador Perfecto</t>
  </si>
  <si>
    <t>PEQUEÑO GRAN HERVIDOR¡ ESTOY FELIZ CON EL RAPIDO, SILENCIOSO, ECONOMICO, CON UN DISEÑO MUY BONITO, DE BUENA CALIDAD. TODO¡</t>
  </si>
  <si>
    <t>Funciona Pegan muy bien!</t>
  </si>
  <si>
    <t>Buena compra Son los originales. Van muy bien.</t>
  </si>
  <si>
    <t>Funcionó perfectamente Tardó en llegar, pero valió la pena. Funciona a la perfección. Recomiendo buscar algún tutroial en youtube para formatearla la microsd que se ponga dentro.</t>
  </si>
  <si>
    <t>Todo Perfecto, como se esperaba. funciona perfectamente para lo que es. le doy un uso diario para poder calentar agua y leche, es lo que esperaba.</t>
  </si>
  <si>
    <t>Pagas calidad Fácil de instalar, su velocidad es muy buena, casi no ocupa lugar.</t>
  </si>
  <si>
    <t>Vienen bien las tallas Buena talla</t>
  </si>
  <si>
    <t>Micro de estudio a buen precio Un kit completo con calidad aceptable. Yo no le doy mucha tralla y espero que tanto el micro como el soporte tengan buena durabilidad</t>
  </si>
  <si>
    <t>Originales No me quedé con el producto porque no me veía con ellas. Pero eran preciosas y de super buena calidad, las originales vamos. Otra cosa es que a mí no me gustaran... pero son super recomendables!!!</t>
  </si>
  <si>
    <t>Preciosa Me encanta,queda muy fina, cualquiera diría, que es de plata,la recomiendo 100%</t>
  </si>
  <si>
    <t>Atención al cliente muuuy buena. Tuve problemas con los micrófonos que compré y me enviaron otros micrófonos de mejor calidad. Perfecto la atención al cliente. Un 10.</t>
  </si>
  <si>
    <t>No funciona en Sony a7iii Es la segunda tarjeta que he comprado de amazon, y la Sony a7iii no reconoce la tarjeta de ninguna de las formas posibles, sin embargo compre la misma tarjeta exacta en una tienda física y funcionaba a la perfección. Descontento por el funcionamiento.</t>
  </si>
  <si>
    <t>Buena relación calidad-precio El cable se ve bastante bien protegido y las conexiones no se ven mal, pero a la semana he tenido que volver ha soldar una de las conexiones porque venía mal soldada y dejo de sonar.</t>
  </si>
  <si>
    <t>Caja y pila El reloj es muy lindo igual que la foto de presentación, lo único que debo agregar es que no trajo bateria y vino en una caja muy normalitaa</t>
  </si>
  <si>
    <t>Tirar dinero Le pongo todo una estrella porque no puedo poner zero.a mi el auricular no funciona.lamentable</t>
  </si>
  <si>
    <t>Descontento Ya son varios los que he comprado y siempre lo mismo. Muy buena calidad de sonido, pero funcionan entre 9 y 15 meses. Siempre se acaban rompiendo de la misma manera: uno de los dos auriculares deja de funcionar. Los he desmontado para ver si se trata de algún cable pero no. Los anteriores a éstos se rompían de la clavija de conexión o el auricular. Creo que dejaron de venderlos. Con éstos se supone que han corregido lo de la clavija, pero lo otro no. Resumen: auriculares con buena calidad de sonido pero de lamentable duración.</t>
  </si>
  <si>
    <t>Practico Tiene muchos bolsillos y mas capacidad de la que parece. Lo compré para llevarlo a trabajar. Se me queda un poco justo. Pero eso es culpa mía. Con 2 cms más de altura hubiera estado perfecto. Pero como digo me parece buena compra</t>
  </si>
  <si>
    <t>Comodisimas!! Yo las uso para trabajar y las suelas son comodisimas pero yo tengo un 39 y guiandome por las opiniones que decían de coger una talla más pedí 39/40 y me van enormes pero por lo demás son estupendas y la próxima vez compraré 38/39 que me irán mejor</t>
  </si>
  <si>
    <t>Hermosos pero están justos Los acabados están perfectos. Soy del 41 y los pedí de 41 pero me quedan bastante justos, por lo que de lo largo si los llevo por mucho tiempo llegan a molestar. Tengo la esperanza que con el uso se empiecen a hacer más grandes.</t>
  </si>
  <si>
    <t>Recibi lo que pedi Para ir al monte. Me vale</t>
  </si>
  <si>
    <t>Buenos a buen precio Sorprendentemente bien construidos .Sin pérdida de sonoridad y con una solidez muy apreciable.Y con un precio que resulta muy competitivo</t>
  </si>
  <si>
    <t>Explosion box Era el Santo de mi mujer y quería regalarle algo que le sorprendiera y le gustase y francamente lo he conseguido. Se lo deje en el coche cuando iba a trabajar y le ha encantado. Es un regalo muy original y sorprendente ya que al abrirlo no te imaginas que se habra con un montón de fotos. El resultado es espectacular.</t>
  </si>
  <si>
    <t>Elegante Cumple su función</t>
  </si>
  <si>
    <t>Fiable y de gran capacidad Buscaba un disco duro que tuviese buena capacidad y de marca reconocida y al final dí con este de Maxtor (pertenece a Seagate) de 4TB. Estéticamente es bonito, con una superficie como ondulada muy original y el borde es cóncavo, por lo que tiene una buena sujeción en la mano. La carcasa es bastante gruesa, por lo que hay que ir con cuidado a la hora de elegir funda.</t>
  </si>
  <si>
    <t>Muy amplia, cubre prácticamente todo el colchón. Muy amplia, cubre prácticamente todo el colchón. El nivel de calor es bueno y el poder quitar los mandos para lavar en la lavadora una gran ventaja. El envío rápido y a tiempo, como es habitual en amazon.</t>
  </si>
  <si>
    <t>Calidad/Precio insuperable Producto tan estético como funcional. Las fotos son realmente fieles al producto recibido. Tiene un buen acabado, de buena calidad.</t>
  </si>
  <si>
    <t>¡Ahora tengo un Macbook 13" del 2009 que va súper rápido! Contentísima. Tengo un Macbook de 13" del año 2009 que aún utilizo y llevaba mucho tiempo yendo muy lento (debido seguramente a las actualizaciones del SO), hasta tal punto que ha resultado imposible su utilización porque tardaba 5 minutos o más en reaccionar ante cada click que daba... Pensé que era problema del disco duro y le compré este ssd y parece que he acertado.  Instalación del SSD: He tenido problemas para instalar el SO de mac al venir el SSD sin formato. Pero probablemente sea problema del recovery de mac. He tenido que darle formato manualmente y a partir de ahí pues todo bien y mi portátil ahora va súper rápido :)</t>
  </si>
  <si>
    <t>Corona La corona es muy elegante, es ligera y muy bonita , a las niñas le encantan son estupendas para cumpleaño y eventos asi. La corona tiene unos cristales que parecen diamantes lo que le da mas realismo</t>
  </si>
  <si>
    <t>Perfectas Perfectas! Talla correcta! Son más gruesas de lo que parece así que genial para el verano y el entretiempo. Buena compra</t>
  </si>
  <si>
    <t>Medias duraderas Me ha gustado sobre todo la calidad del tejido, y lo más importante, que el elástico donde sujeta la pierna no se va aflojando con el paso del tiempo, cosa que si pasaba con medias de marcas "blancas"; precio sobre 5-7 euros, medias de calidad.</t>
  </si>
  <si>
    <t>el mejor nvme Gran disco duro para alto rendimiento, yo lo he puesto para un portátil gamer que puede que sea demasiado disco duro pero con tasas como las anunciadas por Samsung.</t>
  </si>
  <si>
    <t>Gran calidad Gran calidad de reloj, y muy bonito, es una gran compra.</t>
  </si>
  <si>
    <t>Bonito diseño Estéticamente me gusta mucho, especialmente porque todos mis electrodomésticos son de acero inoxidable, por lo que va muy bien. No se marcan las huellas al cogerlo. Además incluye una luz azul LED un poco futurista que le da un aspecto muy original. Se apaga cuando el agua ha hervido. Es muy ligero y fácil de manejar. Incluye un botón que abre automáticamente la tapa superior para poder llenarlo más fácilmente. Buena relación calidad/precio.</t>
  </si>
  <si>
    <t>FOTOS Esta muy bien, yo la llevo usando casi un año y me va muy bien.</t>
  </si>
  <si>
    <t>Estupendo!!!! Zapatillas de muy buena calidad! Muy recomendables!</t>
  </si>
  <si>
    <t>Súper recomendado Si lo recomiendo 100% me quedaría corto. La contractura del cuello va desapareciendo desde la primera vez que lo utilizas, lo que libera estrés y descubres que tu cuello gira mucho más para un lado y otro. Puedes leer y leer opiniones pero cuando lo pruebas es cuando piensas......¿Porqué no lo habré descubierto antes?.</t>
  </si>
  <si>
    <t>Funciona correctamente La velocidad de transferencia es muy rápida y de momento no he tenido ningun problema.</t>
  </si>
  <si>
    <t>Capacidad a precio bajo. Han funcionado todos. Llevan vídeos de hasta 22mb/s .h264 y sin problemas en televisores.</t>
  </si>
  <si>
    <t>Satisfacción Buen calidad y precio</t>
  </si>
  <si>
    <t>Calidad precio, pero un auricular no se escucha Me han gustado ado mucho los auriculares, han llegado a tiempo, y la relación calidad precio muy buena. El problema es que solo se escucha un auricular desde hace un par de semanas y no consigo arreglarlo, si me pudieran ayudar con eso sería de ayuda y mejoraría mi puntuación.</t>
  </si>
  <si>
    <t>La del ratón es inútil La del teclado es muy cómoda y cumple su cometido. La del ratón hace justo lo contrario. A los pocos minutos de empezar a usarla me dolía la muñeca. Al final la he puesto al revés y la uso como una alfombrilla normal.  Mi consejo es que opteis por adquirir sólo la del teclado.</t>
  </si>
  <si>
    <t>No recomendable No funciona para copia fotos en lpad mini y iPad 6th generacion</t>
  </si>
  <si>
    <t>Fallo penoso Pese a que la relación funciones/precio es excelente, tiene un fallo muy grave de diseño: pinza la piel, provocando unas pequeñas heridas bastante dolorosas. Nunca me había pasado antes con un reloj. Después de dos episodios de gasas y vendas no va a haber un tercero: ha acabado en un cajón, y no ha ido a la basura por no contaminar un vertedero. Puede que le quite la correa y acabe como minidespertador.</t>
  </si>
  <si>
    <t>Correcto Ya tenía uno para mi anterior tablet y ahora necesitaba otro con conector USB tipo C. Funciona perfectamente y lo pongo para que el niño vea dibujos en la tablet y poder llevar bastante variedad.</t>
  </si>
  <si>
    <t>A mejorar Muy rápida calentando El filtro no es nada efectivo</t>
  </si>
  <si>
    <t>Buana calidad/precio Muy cómodo su agarre. Pequeño y cumple muy bien su función. Muy agradable su uso. Lo volvería a comprar.</t>
  </si>
  <si>
    <t>Buen producto Huele muy bien</t>
  </si>
  <si>
    <t>Calidad Es un producto Avent, creo que con eso esta dicho todo</t>
  </si>
  <si>
    <t>Comodísimo Supercómodos, como todo lo de Sketchers. No son baratos, pero valen la pena</t>
  </si>
  <si>
    <t>Sorprendido gratamente Vienen con amplificador y tarjeta USB. El sonido es excelente ecualizando un poquito (por defecto saca unos graves irreales y unos medios y agudos comprimidos, que van bien para jugar pero no para escuchar música). Si no pudiera ecualizar los no los compraría. Bien ecualizados suena prácticamente igual que unos akg 271 que uso desde hace muchos años. Se ven resistentes y el material muy cómodo para las orejas. Por poner una pega, no cubren toda la oreja y es más difícil por tanto también que se queden en su sitio (aunque no se escucha nada de fuera)</t>
  </si>
  <si>
    <t>Muy bien En principió me pareció algo grande más de lo que esperaba pero en un día me acostumbré a el y perfecto no me molesta y me parece genial llevó casi un mes con el y por ahora no tengo queja me encanta y si lo recomiendo a y yo no lo he probado en agua eso no se si es cierto pero creó que tiene pinta de que sí irá bien.</t>
  </si>
  <si>
    <t>Silencioso y Atractivo Humificador silencioso, con un amplio tanque para almacenar el agua. La luz RGB le da un toque de glamour al aparato. Tiene dos niveles de vaporización según a tu gusto, recomiendo usar unos aceites esenciales de calidad. Estoy muy contento con él, recomiendo su compra.</t>
  </si>
  <si>
    <t>Me gusto.. muy buebo Muy bueno</t>
  </si>
  <si>
    <t>El cristal azul,,el reflejo,,es un puntazo Precioso,,</t>
  </si>
  <si>
    <t>Cómodo y elegante Es un reloj cómodo y elegante, a la par que barato. Por este precio, es difícil encontrar algo similar.  De momento ningún problema!</t>
  </si>
  <si>
    <t>Eficaz Es de los mejores limpiadores de pantalla que he usado.</t>
  </si>
  <si>
    <t>Muy contenta con la compra Quedan perfectos (calzo un 37) y se adhieren al suelo perfectamente. Mucho más confortables que los típicos calcetines para la práctica de pilates o yoga. Además son calentitos y no se quedan los pies fríos. Buena calidad.</t>
  </si>
  <si>
    <t>Buena calidad. Es mejor del que tenía.</t>
  </si>
  <si>
    <t>Bien Buena calidad y bastante resistente.Buena marca que no falla. No le veo ninguna pega al adhesivo. Lo recomiendo y volvere a comprar.</t>
  </si>
  <si>
    <t>Una plancha básica para tener en casa. Aunque suene a contradicción lo cierto es que no resbala tan bien como otras, pero por contra, con menos pasadas lo deja mejor y acabo antes. Como punto sobresaliente, y nunca mejor dicho, es que la punta es más puntiaguda que otras dos que tengo, con lo que se planchan mejor los cuellos, zona de botones, etc. Inconveniente es el color del depósito que apenas deja saber cual es el nivel de agua, ya que es difícil de apreciarlo El resto es básicamente como todas las demás planchas de esta gama. No he tenido ningun problema ni con el agua ni con el vapor</t>
  </si>
  <si>
    <t>muy buen producto El envío fue rápido, se escribe y se borra bien, es magnética, para mi el tamaño y la altura es perfecta, también es estable, lo único malo que vi son los tornillos que se me pasaron, pero nada mas</t>
  </si>
  <si>
    <t>Ahora siiii Hace un tiempo compre las mismas zapatillas y las devolví porque el interior era de tela y no de piel como yo esperaba... esta vez al verlas con una oferta muy buena me arriesgue a comprarlas aunque pudieran venir otra vez igual, mi sorpresa a sido que han llegado tal y como quería la primera vez, como siempre las he comprado. Supongo que lo del interior de tela blanca sera un a version mas veraniega pero a mi personalmente me gustan mas en piel, mas limpio y duradero sin duda. Como siempre Amazon excelente y el envío rapidísimo. Gracias!!</t>
  </si>
  <si>
    <t>Que se adaptan muy bien comodas y no me hacen daño. Ya llevo unas cuantas compradas y como siempre a mi gusto son super comodas de lo mejor yo hace años que no cambió de marca.</t>
  </si>
  <si>
    <t>Vale la pena a comprarlo Estoy muy contento con este producto, reloj muy bonito, se ve como antigüedad, hacer como regalo esta genial, mucha gracias</t>
  </si>
  <si>
    <t>Un lujo para usar en cualquier sitio, Mi chico está muy contento con las botas son impermeables y mantiene los pies calientes. Buenísima calidad</t>
  </si>
  <si>
    <t>Calidad Precio insuperable! No pesan!</t>
  </si>
  <si>
    <t>Las letras están al revés y no se lee bien Ha llegado todo bien , pero no te dicen que las letras se ven al revés.</t>
  </si>
  <si>
    <t>Potente En general y por el precio estoy satisfecha ,aunque se calienta con facilidad y rapidez</t>
  </si>
  <si>
    <t>Bueno.. Me duró poco, con un roce se me rompió</t>
  </si>
  <si>
    <t>Duro 2 telediarios La piedra dejó de funcionar a los días, hizo reacción alergica</t>
  </si>
  <si>
    <t>Que se derrama el liquido y al licuarlo tambien Viene con un hueco donde se derrama el liquido</t>
  </si>
  <si>
    <t>Juan Muy bien, perfecto para invierno, abriga y no pesa Nada, está prenda es ideal para poder pasar los días frios</t>
  </si>
  <si>
    <t>Funciona perfectamente El producto es bueno y funciona bien. Solo le encuentro una pega: se puede encontrar en el mercado exactamente igual, aunque no de la misma marca, dos euros más barato.</t>
  </si>
  <si>
    <t>Recomendables! Se adapta perfectamente a la imagen. Son de buena calidad y resistentes. Sin duda tienen una buena relación calidad precio.</t>
  </si>
  <si>
    <t>Buena relación calidad-precio. Aparato fácil de instalar en una mesa -por la pinza de tornillo que tiene-, y bastante cómo de usar. De momento sin pegas, actualizaré si hay algún problema. Muy buena relación calidad-precio.</t>
  </si>
  <si>
    <t>No son para mi, una pena Empezaré diciendo que he acabado dándole los cascos a una amiga porque no se acoplaban a mis orejas y no me resultaban nada cómodos. Tengo las orejas pequeñas y la parte que se apoya en la oreja no se me acoplaba bien, por lo que se desplazaban hacia delante, y se me clavaba en la parte arriba de la oreja.  Aparte de eso, le doy una buena puntuación porque objetivamente son unos cascos que están genial. El diseño está muy cuidado, no son de plástico barato, son muy ligeros, que lleven la funda es un gran acierto, son baratos y la calidad del sonido, mientras no se te desplacen, es muy buena.  Una pena que no me sirvan...</t>
  </si>
  <si>
    <t>Cumple con lo ofertado Las clasicas vans. la verdad es que no me las quito. Lo unico malo es que al ser bota son un poco rollo de quitar y poner pero bueno llegaron muy rapidas y buena calidad. contenta.</t>
  </si>
  <si>
    <t>Llegada super puntual. Me han gustado mucho.</t>
  </si>
  <si>
    <t>Batidora perfecta Pica la carne en apenas unos segundos. Sirve para hacer cócteles con hielo, y como batidora es perfecta. Muy contentos con ella.</t>
  </si>
  <si>
    <t>Práctica. ligera y de gran capacidad 32 GB a un precio buenísimo. Buen diseño y muy práctico el sistema para colgarla de un llavero</t>
  </si>
  <si>
    <t>MICROFONO Lo he usado con el Iphone para grabar videos de youtube y la calidad es excelente. Muy buena relación precio-calidad.</t>
  </si>
  <si>
    <t>No necesitas mucho más para hacer la mayoría de batidos La verdad es que con esta batidora de vaso matas dos pájaros de un tiro, porque además de hacer la función que se le espera, que es la de hacer batidos, smoothies, etc, pues también le da un toque retro a la cocina. El diseño es realmente bonito.  Sobre la calidad de los materiales, puedo decir que es buena, la jarra de cristal se la ve resistente aunque algo pesada. La tapa tiene goma para que cierre herméticamente, y además tiene un tapón con vasito dosificador con indicaciones de ml. La propia jarra también tiene marcas de medida para facilitar la preparación de los batidos.  Sobre la potencia, puedo decir que no he tenido que usar la máxima potencia. Con la 1 me ha servido, aunque también he puesto la máxima y creo que irá de lujo para triturar hielo, por ejemplo. Además, tiene una posición de golpes secos de picado, a la izquierda de la posición de parada.  El lavado es muy sencillo, ya que la jarra se puede meter en el lavavajillas, así como el resto de elementos, a excepción de la base.  El cable no es excesivamente largo, aunque no creo que sea necesario que recorra la cocina, pero es un buen cable que parece muy resistente.  La palanca de potencia es de plástico plateado, o eso creo, y me da la sensación de que debe de ser la parte más débil de toda la batidora.  Lo de la aguja analógica de potencia le da un toque retro encantador.  No es muy ruidosa.  La prueba la hice con un batido de yogur, leche, kiwin, manzana y galletas, y quedó riquísimo. Creo que tardé en hacerlo lo que tardé en pelar la fruta y echarlo, porque en menos de 30 segundos estaba listo una vez introducido todo y tapado. Eso, recordad tapar la jarra. Ah, y mucho cuidado con la cuchilla, dedos fuera la zona si está enchufada y no la manipuléis. Para limpiarla se quita por debajo.  En definitiva, me ha parecido genial para el precio que tiene. Decorativa y funcional.</t>
  </si>
  <si>
    <t>Perfectas Son para mi mujer y la han encantado. Muy cómodas y tal y como salen en la imagen. Volvería a comprarlas</t>
  </si>
  <si>
    <t>Genial! Muy útil! Cumple con lo que promete. Además el precio esta muy muy bien!</t>
  </si>
  <si>
    <t>Todo un acierto Estoy encantada con estas zapatillas, todo un descubrimiento. Entreno con ellas en el gimnasio y me gusta la sensación de ir descalza. Son super-super ligeras, transpirables y cómodas, además de resistentes, porque incluso las uso para correr en asfalto y en tierra y aguantan bien. No encuentro ninguna pega.</t>
  </si>
  <si>
    <t>Ideal para futuras MAMAS Fue un regalo y la mamá quedó encantadísisma. Es una joya preciosa. No se pone negra.</t>
  </si>
  <si>
    <t>Los mejores Zuecos de calidad. No hay nada mejor para andar por casa... duran y no huelen a nada. Se limpian fácilmente y son comodísimos.</t>
  </si>
  <si>
    <t>Esprimidor Es super practico para preparar batidos ,calidad precio estupenda</t>
  </si>
  <si>
    <t>Me encanta Me gusta mucho</t>
  </si>
  <si>
    <t>Muy práctico. Muy prácticas para guardar apuntes y ahorrar mucho espacio de las carpetas de anillas.</t>
  </si>
  <si>
    <t>Reloj bonito y elegante Reloj muy bonito y elegante</t>
  </si>
  <si>
    <t>Buena calidad Tenia que comprar un pen drive pequeño para la radio del coche  Y bueno llegados a este punto solo deciros que es un pen bien de precio, ni caro ni barata, en la linea ScanDisk por que es una buena marca, y hasta la fecha ningun tipo de problema, procesa bien los datos en cuanto a rapidez y no se traba, hablamos que esta haciendo tambien de pendrive en casa por lo que muy contenta y satisfecha,</t>
  </si>
  <si>
    <t>Muy contento Estoy muy contento con el pop, la doble capa da una nitidez excelente. Se ajusta muy bien al brazo y queda perfecto delante del micrófono.</t>
  </si>
  <si>
    <t>Bonita La recibí ayer y todavía no se la ha probado mi hija pero es muy bonita</t>
  </si>
  <si>
    <t>Buena compra Perfecto, calidad precio inmejorable. Lo uso a diario, esta muy bien saber la fase lunar y las mareas, aunque divide las mareas en tramos de 2 horas aproximadamente ayuda a calcular las mejores horas de pesca según la zona.</t>
  </si>
  <si>
    <t>Basura Me costaron algunos céntimos. Son malos, pero sirven para disfrazarse o hacer bromas</t>
  </si>
  <si>
    <t>Demasiado finas Son muy cómodas y bonitas, pero se transparentan bastante.</t>
  </si>
  <si>
    <t>Vaso muy pesado Me gusta como tritura, es bastante potente pero el vaso es demasiado pesado. No resulta muy práctica.Además pensaba que sería más pequeña</t>
  </si>
  <si>
    <t>Falso Lo devolvi porque era un producto falso, nada mas tocar la tela se nota la diferencia con un producto nike original</t>
  </si>
  <si>
    <t>Comodidad , calidad y precio Calzado cómodo y seguro. Calidad mala Precio muy bueno</t>
  </si>
  <si>
    <t>Orrible Nada k ver con la foto el pantalón fatal</t>
  </si>
  <si>
    <t>muy bueno Perfecto. Llego rápido y en perfectas condiciones. Es de muy buena calidad y se ve perfectamente con luz natural o la linterna.</t>
  </si>
  <si>
    <t>Buen soporte calidad/precio Bastante bien para el precio que tiene... la pinza de agarre a la mesa cunpke de sobra y el brazo en general se mantiene estable. Yo lo uso con un micro Samson GTrack y el peso es conciderable... aguanta bien.</t>
  </si>
  <si>
    <t>Me gustan mucho pero OJO a la talla Leyendo comentarios, pedí una talla menos de la que uso y queda bien, aunque a los dos días puestos se dan algo de sí (quedan más anchitos) y de largo muy justos. Son muy cómodos para estar por casa, suaves. Ya los he lavado un par de veces (programa frío), y no aparece ninguna "bolita", lo malo es que encojen de largo: si al principio me quedaban a la altura del tobillo, ahora han menguado un par de dos. Personalmente no me importa demasiado, ya digo q son para estar por casa, de hecho, acabo de comprarlos en otro color, el precio es buenísimo. Pero repito, ojo a la talla, es una más que la española (me sorprende que el vendedor, en la descripción del producto, reseñe lo contrario...)</t>
  </si>
  <si>
    <t>Ok Correcto</t>
  </si>
  <si>
    <t>Marca casio Cómodo y simple</t>
  </si>
  <si>
    <t>Calidad ,precio perfectos Los compre para mis hijos y la verdad que por el precio que tienen estan muy bien,ellos estan muy contentos les gustaron mucho</t>
  </si>
  <si>
    <t>LOCIÓN ANTIARRUGAS Viene con un aplicador de gotas, para facilitar la aplicación. Llevo dos días usándolo, esperando ver resultados dentro de poco.</t>
  </si>
  <si>
    <t>Rapidez Rápido. Poco ruido.</t>
  </si>
  <si>
    <t>Pequeño Más pequeño que en la foto</t>
  </si>
  <si>
    <t>Bellos Perfectos, el tamaño tal y como lo esperaba.</t>
  </si>
  <si>
    <t>Zapatillas muy cómodas y bonitas Las he usado en las vacaciones para andar bastante y son muy cómodas. Pedí el número 38 que es mi número y las tuve que cambiar por el 38,5. El modelo de mujer me parece más cómodo que el de niño.</t>
  </si>
  <si>
    <t>El mejor Casio que he tenido Siempre he usado esta marca y tipo de relojes y de todos este es el mejor que he tenido, ya solo el hecho de no tener que cambiarle las pilas y sobre todo la protección de los golpes ha hecho que este reloj sea perfecto para el día a día.</t>
  </si>
  <si>
    <t>Su calidad Es como esperaba</t>
  </si>
  <si>
    <t>Muy útil No hay que hacer esfuerzo para escurrir la fregona, por lo que resulta muy cómodo.</t>
  </si>
  <si>
    <t>Ideal para cámaras deportivas He comprado ya varias unidades, es una tarjeta muy resistente y que funciona bastante bien con mis cámaras deportivas y cámara 360º por su velocidad de escritura, no falla y es muy fácil de transportar por su tamaño. Si que es verdad que no recomiendo tocar directamente los contactos, pues son tarjetas muy pequeñas y demasiado sensibles a la electricidad estática que puede dañarlas fácilmente aunque no se me haya dado el caso todavía.</t>
  </si>
  <si>
    <t>Buena inversión Prefería los microhondas digitales pero este ha resultado muy bueno</t>
  </si>
  <si>
    <t>Muy recomendable una vez sepas que la tetina le va bien Me encanta que ofrezcan la posibilidad del cristal: mucho más resistente al paso del tiempo. En el caso de mi hija, esta es la única tetina que aceptó.</t>
  </si>
  <si>
    <t>Perfecto Perfecto en talla, yo utilizo una m y es la que pedí.  Perfecto en material, en acabados y en los tonos. Compra muy recomendada. De hecho ya he comprado varias prendas y dato y encantada con esta marca</t>
  </si>
  <si>
    <t>buena relación calidad precio muy buen producto</t>
  </si>
  <si>
    <t>Comodidad Muy bonitas y muy cómodas</t>
  </si>
  <si>
    <t>Muy divertido y buena calidad Siempre me ha gustado los karaokes y cantar, por lo que cada vez que venían amigos a casa ponía el singstar de la play 2, como las canciones ya están muy desfasadas me compré estos micros profesionales. Son una pasada, y muy divertidos. Lo que hago es conectarlos a un altavoz portátil y a la televisión. Y la tablet la conecto a la televisión con un cable Hdmi, pongo en la tablet el youtube y buscas las canciones que quieras de karaoke, así de sencillo. Y ya tienes un karaoke profesional en casa. Se escucha muy bien, además viene con una almohadilla para protegerlos, aunque yo personalmente prefiero no ponérselo porque luego se quedan todas las babas de los demás. Muy buena calidad de sonido incluso moviendote a otras habitaciones.</t>
  </si>
  <si>
    <t>Muy contenta Muy bien, muy contenta</t>
  </si>
  <si>
    <t>Fácil de limpiar no da pereza usarla a diario Me encanta,  facilisima de usar y sin manchar nada.  Desde q mantengo,  como más fruta</t>
  </si>
  <si>
    <t>Poca duración Auriculares con buen sonido y como los de fabrica, el gran problema que como le ocurre a la mayoría de los clientes es que a los 3 meses ha dejado de funcionar el auricular izquierdo.</t>
  </si>
  <si>
    <t>Buen diseño, pero lenta Llevo ya un par de meses usando esta llave USB, y si bien es muy económica, y tiene un diseño muy practico para llevar con el llavero, lo cierto es que la velocidad de escritura es un poco desesperante a pesar de ser USB 2.0. Para ficheros y documentos está bien, pero a la hora de pasar videos o músicas, acabas desesperandote</t>
  </si>
  <si>
    <t>Bien... cuando funciona. He debido tener mala suerte, porque he tenido que pedir un reemplazo dos veces: la primera tarjeta se me murió pasados 3 meses (habiendo sido usada en una raspberry que llevaba 2 años funcionando perfectamente con una tarjeta más pequeña).  Al pedir el reemplazo, la tarjeta vino directamente muerta, no era detectada en windows ni mac, y en linux me saltaban errores de I/O antes siquiera de aparecer en /dev asi que no podía ni intentar particionarla.  Ahora estoy probando la tercera tarjeta, espero que no muera en unos meses.  Por suerte amazon trabaja de lujo como siempre, gestionando la devolución rapidamente.</t>
  </si>
  <si>
    <t>En las mangas caben botellas de licor, ENORMES!! Malisima relación de tamaño, de cuerpo bien, pero de mangas es como un túnel de la M30, fatal relación de talla</t>
  </si>
  <si>
    <t>Muy mala Después de 1 año y medio dejó de funcionar y perdí todos mis datos!!! La usaba en el móvil. Ahora no la reconoce ningún dispositivo. Por desgracia he visto que esto había pasado a varios clientes que compraron tarjetas SD en Amazon, sobre todo la marca Sandisc. Hay gente que dice que se puede tratar de tarjetas falsificadas, por ejemplo esta de Samsung debería estar hecha en Corea y no en Filipinas (yo ya no lo puedo comprobar, ya que tiré el embalaje.)</t>
  </si>
  <si>
    <t>Esta bien Por su precio está muy bien</t>
  </si>
  <si>
    <t>Buenas Lo que esperaba</t>
  </si>
  <si>
    <t>Máquina ideal Funciona de maravilla!!nonle pongo las 5 estrellas porque se ha borrado del mango todos los dibujos!incluido el logo de la marca!!(en la primera semana de uso)solo ha quedado la línea de color, en mi caso azul)</t>
  </si>
  <si>
    <t>practico es util para los viajes no ocupa mucho lugar</t>
  </si>
  <si>
    <t>Buen tallaje y material Muy contenta con este mono. Es de licra así que resbala un poco pero la resina se coge en seguida y muy bien. Se ajunta muy bien al cuerpo pero el tallaje es un poco grande. Yo uso una M de normal, compré una S y me viene bien. Por el precio, es una compra muy buena.</t>
  </si>
  <si>
    <t>Recomendable Primero compré el mismo en 16 GBs y ahora en 32 GBs y me parece que este salía algo peor en los benchmark realizados. Aún así, es lo sifucientemente rápido para que no sea un tostón llenarlo de archivos multimedia pesados.  Lo volvería a comprar sin duda alguna.</t>
  </si>
  <si>
    <t>Geniales. Estamos muy contentos con la compra a merecido la pena.</t>
  </si>
  <si>
    <t>Suerte que lo descubrí El mejor biberón  que he podido encontrar. Tuve que usar pezonera y no cogía ningún biberón hasta que encontré este y ha sido la mejor compra de todas</t>
  </si>
  <si>
    <t>Comodisimas Son muy comodas</t>
  </si>
  <si>
    <t>Bien Sonido de graves brutal, lo que me interesaba... materiales de calidad justita, en conjunto por ese precio y sonido... más no se puede pedir</t>
  </si>
  <si>
    <t>Correcto Cumple mis espectativas. No se desmonta para limpiar.</t>
  </si>
  <si>
    <t>Lo recomiendo Buen funcionamiento</t>
  </si>
  <si>
    <t>Genial Es genial. cómodo de usar, se ajusta bien tanto con las patillas como con la cinta. Sus lentes se acoplan con facilidad y se ve genial con ellas, hasta el punto de enhebrar una aguja sin problemas. Las utilizo principalmente para leer por la noche en la cama y es genial, con sus luces de led, no se necesita ningún otro tipo de luz y aunque dicen algunos que pesa y es algo incómodo, yo no he notado eso. Ya digo que se adaptan genial y se ve estupendamente. Genial de calidad precio. Aconsejo a cualquiera que las compre.</t>
  </si>
  <si>
    <t>A precio de regalo, indispensable Encontrarás infinidad de vendedores con éste producto, cada uno con su marca, y precios desde los 10€ hasta el triple sin problemas... pero todos venden lo mismo, no hay ninguna diferencia entre ellos. No entiendo com todavía hay gente que lo puntue bajo pues dependiendo de los aumentos de las lentes, tienen que acercarse más o menos al objeto observado... señores, un poco de clase de óptica les iría bien, solo faltaría que por 12€, además llevasen zoom óptico, ... lo dicho, falta de conocimiento del producto. Lo que hace lo hace extremadamente bien, si eres manitas, te gusta abrir todo lo que pasa por tus manos, o simplemente ya has pasado de los 40 y la vista no es la de antes, esto no debe faltar en el cajón de tu escritorio, increibles prestsaciones. Luz Led de soporte muy decente, eliges la lente que más te convenga y pocas cosas se te resistirán... Comprarlo con los ojos cerrados, acierto seguro</t>
  </si>
  <si>
    <t>muy buena compra robusto y buen precio</t>
  </si>
  <si>
    <t>😊😊 Son cómodo</t>
  </si>
  <si>
    <t>Grandes y resistentes, buen agarre Son unas buenas tijeras por un buen precio, el agarre es bueno y el filo también, por lo que no se puede pedir más.</t>
  </si>
  <si>
    <t>Bien Muy util para personas como yo que tienen casettes. Gracias</t>
  </si>
  <si>
    <t>Imprescindible Después de un año usandolos a diario puedo asegurar que es una pedazo de compra. Por lo que cuestan, el sonido que ofrece, el diseño, la facilidad de plegado, etc es un producto muy recomendable. Lo volvería a comprar</t>
  </si>
  <si>
    <t>reloj Ok bien un poco subido de precio pero durasero merece la pena llevo casi desde que salio a la venta un monton de años gastando este modelo de reloj</t>
  </si>
  <si>
    <t>Recomiendo Recomiendo</t>
  </si>
  <si>
    <t>Su comodidad Me gusta todo es supercomodo y los uso para ir a caminar.</t>
  </si>
  <si>
    <t>contento con la compra contento con la compra</t>
  </si>
  <si>
    <t>Se me llena todo el depósito y la tapa superior de brosa del café El diseño de la cafetera bien pero tanto con filtros de papel como con filtro permanente se me pasa la brosa del café tanto al café que preparó como incluso al depósito de agua.  Se supone que puedes preparar hasta 16 tazas y que cada cacito de café es para una taza, pues si le hecho más de 8 cacitos no saben el  follón de café por todo lado.</t>
  </si>
  <si>
    <t>La calidad del producto. En anteriores ocasiones, mejor calidad y mucho mejor embalaje y presentación.</t>
  </si>
  <si>
    <t>Bonita Bonita camiseta pero el cuello es ancho.</t>
  </si>
  <si>
    <t>Me vino roto Me vino roto y usado no lo pude utilizar</t>
  </si>
  <si>
    <t>no son de cuero ni impermeable Super comodas y parecen fuertes,me han gustado mucho,pero......el color no es ni de lejos,el de la foto y me ha molestado mucho que no sean de cuero acabo de dar una vuelta por la montaña y de impermeables nada de nada muy decepcionado</t>
  </si>
  <si>
    <t>Perdoradora Buen producto a un precio razonable. Responde a mis necesidades de oficina de forma correcta y adecuada. Pueden confiar en él.</t>
  </si>
  <si>
    <t>Biberón anti derrames Es un biberón que no se derrama con el sistema que trae, además al ser de acero inoxidable hace de termo con los líquidos. Las asas hace que el peque pueda manejarlo solo. Lo puedes transportar si que se caiga nada en el bolso.</t>
  </si>
  <si>
    <t>Mucho mejor de lo esperado Suelo hacer muchas manualidades y corte de papel en casa, habitualmente utilizo cuter, pero encontré este artilugio y la verdad que da un acabado casi profesional. Muy sencillo de utilizar y seguro, ya que la cuchilla se queda escondida.</t>
  </si>
  <si>
    <t>Increíble a este precio Es un reloj de 50€ que fácilmente aparenta los 150-200€, no tenéis mas que acercaros a cualquier relojería de centro comercial y comparar: lleva cristal mineral con lupa en el fechador, caja de acero con marca grabada en un lateral, movimiento de cuarzo japones fiable y preciso (del grupo Seiko), armis de acero macizo con eslabones en dos acabados (pulido a espejo y cepillado) y grabados con la marca en su interior... El cierre quizá desmerece un poco el conjunto ya que es de chapa de acero, pero entra dentro de lo habitual en esta gama de precios (tengo automáticos de Seiko y Orient mas caros y llevan el mismo tipo de cierre); el único pero que le pongo y por eso no le doy las 5 estrellas es que la corona no sea roscada, en un 200M debería serlo, además sale a la posición de ajuste horario con facilidad, imagino por lo asequible del movimiento Hattori, me ha pasado un par de veces que al llevarme la mano al bolsillo se ha enganchado con el borde y se ha salido la corona, con lo que el reloj se ha parado, esto se habría evitado poniendo una roscada que a mi entender no hubiera encarecido mucho el producto, asegurando también una mayor estanqueidad dado que es un reloj de inmersión, por lo demás, de 10 por el precio, tengo infinidad de relojes y este lo llevo casi en exclusiva desde que me lo compré el verano pasado, también por el tamaño, es muy cómodo para los que tenemos las muñecas finas, y también gustará a mujeres que quieran un reloj algo mas aparente en tamaño.</t>
  </si>
  <si>
    <t>anónimo están muy chulas, pero quedan algo grandes. Recomiendo que os pidais un número menos del que gastéis, o poneros otras plantillas encima.</t>
  </si>
  <si>
    <t>originales son preciosos a mi mujer le encantan visten mucho y son muy vistosos y un brillo y además comodo ok</t>
  </si>
  <si>
    <t>muy satisfecho muy util cuando trabajas con niños, y para las pequeñas cosas de nmanualidades tanto del hogar como del colegio es una gran compra.</t>
  </si>
  <si>
    <t>Contentos con la elección Buena calidad y precio llevamos 1 año aproximado con el y sin problemas</t>
  </si>
  <si>
    <t>Nere Rápida entrega. Las playeras son como aparecen en las fotos. La talla ha llegado correcta. Se las compré a mi novio y está contento con ellas. Cómodas.</t>
  </si>
  <si>
    <t>Buena elección Llevo una 95C y he pedido la talla L-XL. Son perfectos para estar en casa o dormir.</t>
  </si>
  <si>
    <t>Formal y estiloso No tenía que regalarle a mi primo por su cumple,  así que decidí darle estos cascos,  después usarlos me dijo que le gusta mucho,  ya que la calidad del sonido y del audio son claros y nitidos,  la comodid que tienen al usarlo son buenas después de estar varias horas usandolo.  Se nota que es de un buen material, y duradero,  respecto al microfono que tiene, funciona bien al momento de realizar llamadas y más  por lo que la calidad precio de estos audífonos son buenos.</t>
  </si>
  <si>
    <t>Perfecto! Lo compré hace tiempo y está como nuevo. No me ha dado ningún problema. La calidad es genial y visualmente es super bonito y robusto.</t>
  </si>
  <si>
    <t>Genial para licuados de frutas Este vera i le hemos sacado mucho partido creando un montón de jugos aprovechando al máximo la fruta. De fácil uso. Un imprescindible</t>
  </si>
  <si>
    <t>fantasticas Son fantásticas y supercómodas. Lo único que recomiendo que se compre medio o un número menos por que calzan bastante</t>
  </si>
  <si>
    <t>Muy recomendable Estupendos</t>
  </si>
  <si>
    <t>Cumple su cometido. Materiales de buena calidad y cumple su cometido.</t>
  </si>
  <si>
    <t>Muy cómodas y el tamaño correcto con respecto a la talla Son comodas, solo tienen el inconveniente del color, que se mancha con mirarlo. La talla se corresponde con la habitual.</t>
  </si>
  <si>
    <t>Genial ennsu funcionamiento Prefecto, funciona de una forma total y absolutamente bien. Cunple cualquiera de sus funciones a lamperfeccion, muy reomendable y economico</t>
  </si>
  <si>
    <t>Tallas grandes El color es precioso i son muy bonitas. El problema es que yo suelo calzar un 37 en bambas y en este caso me venía enorme. Las tuve que cambiar por otro color y me salieron un poco más caras.</t>
  </si>
  <si>
    <t>Es muy práctica Va muy bien tanto para colgar cosas como para escribir. He elegido esta valoración porque cumple con mis expectativas. Me gustó este producto porque pesa poco y es lo que estaba buscando. Recomendaría este producto a toda persona que la quiera utilizar para escribir o para colgar imanes o otras cosas</t>
  </si>
  <si>
    <t>Para como disco duro Tengo un HP stream de solo 32 GB de disco duro, pero como tiene lector de tarjetas le meto esta y no la saco ya. Tengo el utorrent y el mipony descargando directamente a la tarjeta y no hay ningun problema de velocidad. Y cuando paso archivos a un disco duro externo va muy rapido tambien.</t>
  </si>
  <si>
    <t>durabilidad y confort Aunque un poco elevadas de precio, se han amortizado totalmente.... la niña está encantada con ellas.</t>
  </si>
  <si>
    <t>Cómoda y práctica Tiene un tamaño ideal en el que incluso cabe un iPad 12,9” de 2018, que era uno de mis requerimientos fundamentales. Cabe todo lo imprescindible para el día a día y no es muy pesada de llevar.</t>
  </si>
  <si>
    <t>. Regalo perfecto.</t>
  </si>
  <si>
    <t>Normalitos Tendré que comprarme otro mejor y no leer más comentarios</t>
  </si>
  <si>
    <t>Una carpeta que durará un curso o menos La carpeta es bonita pero claro es cartón y al poco tiempo las esquinas se estropean. Recomiendo que se proteja con forro de plástico</t>
  </si>
  <si>
    <t>incómodo Es casi imposible encontrarle una postura cómoda. Las bolas son fuertes, y como hagas demasiado peso son incómodas e incluso dolorosas.  Lo siento, pero no lo recomiendo.</t>
  </si>
  <si>
    <t>Mala presentación, calidad muy cuestionable Los pendientes vienen en una cajita color azul con un olor a país asiático que tira para atrás, además los pendientes que viene en caja podrías pensar que vienen como las joyerías de toda la vida es decir enganchados a la gomaespuma de turno pero no..... la goma espuma la tienen pero vienen dentro de una bolsita de plástico... vamos que si los quieres regalar mejor que compres otra caja y otras tuercas......porque vale que ponga que también vale para niñas pero es que la tuerca para un adulto...... es muy muy pequeña. Vienen dos juegos, unas tuercas normales, y otras transparentes.  Me dejé guiar por los comentarios y sinceramente NO LOS COMPRARÍA NUNCA, me gastaría un pelín mas en la tienda de barrio de toda la vida y tendría mejor calidad sin dudarlo.  Los devolví porque daba vergüenza regalarlos.</t>
  </si>
  <si>
    <t>Limpiador Yo lo compro para lavar lavadora y lavavajillas ,te lo deja muy bien y claro con productos específicos se ahorra bastante</t>
  </si>
  <si>
    <t>Gran reloj Buen reloj, la verdad en qué queda genial</t>
  </si>
  <si>
    <t>Buen cable por su precio Buen cable para altavoces. Es totalmente de cobre y no bañado en cobre como otros. También tiene un detalle interesante como que indica en rojo uno de los cables para que no te lies en la instalación. Recomendable por su precio.</t>
  </si>
  <si>
    <t>Buen producto Buen producto, me da el apaño para llevar todo lo que necesito para el día a día</t>
  </si>
  <si>
    <t>Bien Es pequeña, sirve si no se requiere de grandes cantidades o fuerza.</t>
  </si>
  <si>
    <t>Me encanta, queda estupendo. Uso una S de camiseta (a veces M) y tengo un 90C. He pedido la L y he acertado del todo, las copas son amplias y me quedan bien, sujetan suficiente y hacen el top muy cómodo no tiene el pecho tan comprimido como otros pero si que sujeta, sobretodo la banda de abajo que es flexible pero bastante tirante.  La verdad es que me encanta y lo uso como sujetador para monos y que no se vean los tirantes del sujetador, ya que estos quedan mucho mejor. Lo único que pediría es una tela algo más suave, ya que está hace sudar un poco y rasca un pelín.</t>
  </si>
  <si>
    <t>Como un reloj! Es el segundo que tengo. Lo he cambiado por desgaste del primero (botones). Espero que dure los mas de 10 años que duró el primero.</t>
  </si>
  <si>
    <t>Muy buena calidad Geniales ,cumplen su funcion perfectamente</t>
  </si>
  <si>
    <t>Anónimo Funciona muy bien</t>
  </si>
  <si>
    <t>Que aparte de ser elegante aspira muchísimo, perfecto para una cocina Nos ha encantado x su diseño super moderno</t>
  </si>
  <si>
    <t>Tiene mucha fuerza y velocidad Me ha encantado, no deja nada piel en los tomates por ejemplo, lo tritura todo muy bien, deja muy pocos trocitos, casi nada, para hacer gazpacho es ideal</t>
  </si>
  <si>
    <t>Práctica Diseño muy bonito, llena de departamentos y muy práctica. Todo un acierto.</t>
  </si>
  <si>
    <t>Ideales tanto para uso profesional como por diversión &lt;div id="video-block-R318C65HVJQKIS" class="a-section a-spacing-small a-spacing-top-mini video-block"&gt;&lt;/div&gt;&lt;input type="hidden" name="" value="https://images-eu.ssl-images-amazon.com/images/I/D13S+rKtP7S.mp4" class="video-url"&gt;&lt;input type="hidden" name="" value="https://images-eu.ssl-images-amazon.com/images/I/81MLmm-9VuS.png" class="video-slate-img-url"&gt;&amp;nbsp;Hemos comprado esta pareja de micrófonos inalámbricos para utilizarlos en casa en fiestas con karaoke. El diseño es exactamente igual al de los micrófonos profesionales, siendo muy elegantes y atractivos. Pesan muy poco, por lo que no resultan molestos a la hora de utilizarlos y no se nos cansará el brazo. Comenzar a utilizarlos es más fácil de lo que pensaba, ya que sólo hay que poner un par de pilas a los micrófonos, conectar el receptor inalámbrico a un amplificador o sistema de altavoces (por ejemplo un home cinema) y éste último al televisor u ordenador donde vayamos a reproducir el archivo de música o el vídeo de karaoke.</t>
  </si>
  <si>
    <t>Zapatillas de cuero. Es un buen producto ,ya son las segundas qué compró,con ésto está todo dicho,el único pero es él tallaje que viene un poco justa.</t>
  </si>
  <si>
    <t>Excelente calidad Muy buena calidad Es realmente un bolso muy bonito, y muy elegante. Tenia mis dudas pero de ha cumplido ampliamente las expectativas que tenía</t>
  </si>
  <si>
    <t>Buena calidad. Funciona y corresponde con la descripción. Bien.</t>
  </si>
  <si>
    <t>Ropa de calidad Genial calidad, muy cómoda y ligera</t>
  </si>
  <si>
    <t>Producto 5 estrellas. Para mí, encontrar auriculares que se adecúen a mis necesidades no es tarea fácil. Proporcionan un nivel de practicidad que te enamorará. Me satisface mucho lo bien que quedan en las orejas. Son simples. Se lo he recomendado a muchos conocidos ya.</t>
  </si>
  <si>
    <t>Original y más barato Te ahorras unos 40€</t>
  </si>
  <si>
    <t>Cumple con su función Que decir de este producto: pues que cumple su función, limpiar los vinilos antes de ponerlos en el tocadiscos. El cepillo para la aguja no le he usado porque el tocadiscos que tengo es nuevo.</t>
  </si>
  <si>
    <t>De lujo Va muy bien. Cumple su funcion</t>
  </si>
  <si>
    <t>Perfecto Bien y rápido</t>
  </si>
  <si>
    <t>Buenas pulseras y de calidad!! Buen producto, se ve que es de buena calidad,su entrega ha sido en su fecha, todo bien, por eso le doy 5 estrellas</t>
  </si>
  <si>
    <t>Sale agua por debajo. Sólo 3 años Eso después de 3 años. Fue en un piso de poco alquilar.  la mia(no clatatronic es como nuevo después de 6 años</t>
  </si>
  <si>
    <t>Esperaba mas calidad... Nada positivo que destacar en unas zapatillas de este estilo, cuando pagas un dinero por una marca reconocida esperas calidad, comodidad y durabilidad, en este caso, la durabilidad no has sido tal...el desgaste de color en la zona de piel delantera...creo que se ha empezado a notar excesivamente pronto</t>
  </si>
  <si>
    <t>Hace su función pero le faltan algunas cosillas En cuanto a potencia y sonido, suena fuerte y bastante limpio y claro, esta bastante bien. La batería de momento parece durar más de cinco horas, pero no lleva ningún indicador de carga o descarga, por lo que tienes que cargala cada vez que lo usas para asegurarte de que tiene carga. A mi gusto le falta la radio, una salida para conectarle otro altavoz, una pantalla led un poco más grande  y una palomilla de fijación para el cubo del trípode y por supuesto le falta una funda de protección. En mi caso el micro inalámbrico no funciona.</t>
  </si>
  <si>
    <t>Mal producto Tras dos usos, los ordenadores dejan de reconocerlo a los dos minutos, como si no estuviera conectado. He probado con muchos dispositivos: ordenadores Windows, con Debian, con Ubuntu, con Android y pasa en todos lo mismo.  Esto no es propio de la marca Kingston, de la que he comprado mucho y nunca me ha defraudado hasta ahora. Creo que puede ser un producto falso.</t>
  </si>
  <si>
    <t>Calidad Es muy pequeño y debería valer 1 poco más y ser más grande</t>
  </si>
  <si>
    <t>Pequeña Pequeña</t>
  </si>
  <si>
    <t>ha cumplido las espectativas. Aunque en una primera compra la cremallera estaba rota. Después de la devolución y de enviarme un nuevo ejemplar, éste cumple con mis espectativas.</t>
  </si>
  <si>
    <t>recomendado geniales simplemente genial el precio mas barato que en tiendas fisicas y otras tiendas de la red el producto es correcto me refiero a q es original, refiriéndome a unos comentarios q hay por aqui y la talla correcta y como siempre amazon con sus envíos a tiempo y muy bien empaquetados.</t>
  </si>
  <si>
    <t>Un clásico. Lo peor para mí es su énfasis en altas frecuencias, por lo demás respuesta bastante plana, sin realce en graves. No sirve para mezclar, es un auricular de trabajo de sonido brillante y que es ideal para todo tipo de aplicaciones, tanto grabación de campo, estudios de  postproducción de video, etc. El cable corrugado es genial, pesa bastante pero te permite alejarte hasta dos metros sin que sufra nada el cable.</t>
  </si>
  <si>
    <t>aceptable tarda un poco en llegar, pero la verdad que me ha sorprendido lo bien que borra, es pequeño y crei que se me quedaria algo corto porque mi pizarra es de 1'5m, pero la verdad que no, es muy comodo.  la incognita es cuanto dura, pero tiene buena pinta, y por el precio que tiene esta bastante bien.</t>
  </si>
  <si>
    <t>Calidad-precio según lo esperado. Recomendable. Lo esperado por ese precio. Descolgar llamadas entrantes y colgarlas. Paso a siguiente canción en modo reproducción de música. Control de volumen con potenciómetro deslizante. Solo una pega; estando en modo reproducción, cuando entra una llamada, deja de sonar la música y no suena el timbre de llamada (suena en el altavoz del smartphone). Calidad de audio justa. Probado con BQ Aquarius X5 Plus.</t>
  </si>
  <si>
    <t>Estupenda y bonita. Es muy bonita estéticamente, resistente y queda como nueva tras el lavado después de dos años. Muy práctico y divertido uso, el silbido es agradable y se escucha en toda la casa.</t>
  </si>
  <si>
    <t>Encantada Robusta y con mucha potencia. Te recuerda a las clásicas de acero inoxidable, estoy contenta con la compra. Cierta sensación  de inseguridad en la sujeción del vaso al motor pero luego observas que el peso del vaso más los añadidos hacen el trabajo.</t>
  </si>
  <si>
    <t>Rapidez y eficacia. Ideal para llevar la tarjeta de la fotocopiadora de la empresa sin que te la dejes olvidada a cada momento. Diversidad de formas de colocarla y un sistema retráctil muy rápido y sin fallos.</t>
  </si>
  <si>
    <t>Bueno, bonito y barato Auriculares de muy buen acabado, con su cajita de transporte. El sonido es bueno y por el precio compraré más cuando se rompan.</t>
  </si>
  <si>
    <t>Talla A mi parecer,son originales y quedan bien,aunque to uso un 38 y por los comentarios  cogí  un 37 y creo que tenia que haber pedido 37.5</t>
  </si>
  <si>
    <t>Zapatos deporte Cómodos y encantada repetiré compra</t>
  </si>
  <si>
    <t>es amplia justo lo que esperaba coge bastantes cosas es amplia y es de piel para lo que necesito me viene muy bien</t>
  </si>
  <si>
    <t>Precioso Me viene de perlas porque a mi novia la llamo Koala, así que estupendo. Tal y como pregunté para asegurarme, ya os confirmo, en persona realmente parece un Koala, y el tacto de las piedras es bueno, al igual que el de la cadena. No tiene la pinta del típico colgante Chino. Además viene en un estuche pequeñito rollo el de un anillo de bodas, así que también le puedes dar un buen susto a tu pareja. Bastante contento con el producto. En caso de que su deterioro al paso del tiempo sea muy bestia, actualizaré la review.</t>
  </si>
  <si>
    <t>Innovador Me gusta su forma por ser un poco mas fuera de lo acostumbrados</t>
  </si>
  <si>
    <t>Hervidor muy rapido Necesitaba un hervidor de agua urgentemente en casa porque el mío se quedó fastidiado y la verdad es que este no me ha decepcionado. Funciona bastante bien y es muy rápido, incluso se puede girar para cogerlo y bueno, ha valido la pena.</t>
  </si>
  <si>
    <t>EXPECTATIVAS SUPERADAS Ya tengo en mi poder el CASIO. Cumple todas mis expectativas. La configuración del reloj es preciso hacerla leyendo detenidamente las instrucciones. He logrado configurar la brújula y el resultado es correcto. El tema de la Temperatura, ya tenía asumido que hay que quitarse el reloj, dado que el calor del cuerpo influye en la misma, pero vamos no es un tema que me preocupe.  Magníficas las 4 alarmas independientes y la hora en las diversas ciudades del mundo.  Por ponerle una pega: El tiempo de luz para ver de noche, es demasiado corto. Yo le hubiese dado un par de segundos más de visión. Supongo que es por el tema de ahorro de la pila, pero es demasiado rápido.</t>
  </si>
  <si>
    <t>Rapidez en la entrega El reloj está muy bien. Sencillo, discreto y cumple mis expectativas. Sin pegas</t>
  </si>
  <si>
    <t>Muy bien calidad precio Me ha sorprendido mucha fuerza,lo unico malo viene por piezas en vez de pantalon entero</t>
  </si>
  <si>
    <t>fácil de usar, da un buen acabado Me gusta la perforación que deja porque los acabados quedan muy pulcros y finos. Este sistema de encuadernado deja muy buena presentación a mis dossiers, los prefiero a las perforaciones rectangulares que terminan desarmándose. Toma de unas 5 a 6 hojas a la vez, para perforar correctamente, si quieres perforar más  hojas , la máquina se traba. Me ha sido muy útil, la recomiendo.</t>
  </si>
  <si>
    <t>Todo ok. Tal como se describe o incluso mejor. Muy rápido y eficiente</t>
  </si>
  <si>
    <t>Originales Original y si las coges a buen precio yo pillé una buena oferta , perfecto y envío rápido, pero claro yo tengo el premium.</t>
  </si>
  <si>
    <t>Calidad Botas de gran calidad y bastante chulas. Es todo lo que esperas de una gran bota. Solo recomendaros que compreís una talla menos.</t>
  </si>
  <si>
    <t>Sergio L Buena sudadera por el precio que tiene. Calidad la de siempre de esta marca y lo esperado. A la hora de elegir la talla y como dice mucha gente, mejor pedir una talla menos de la que uses (en mí caso utilizo una L y pedí la M y perfecta). Lo mismo ocurre con las camisetas de esta misma marca y en general, diría que con casi todas las marcas americanas. Buena compra.</t>
  </si>
  <si>
    <t>Los volvería a comprar Genial la talla es correcta Comodisimos los gasto para trabajar y paso muchas horas con ellos</t>
  </si>
  <si>
    <t>Bonitas pero ser rompen por la puntera Son muy cómodas y bonitas, pero se rompen rápidamente por la puntera.</t>
  </si>
  <si>
    <t>Imitacion El precio esta bien, en cuanto a la calidad.....yo creo que son una imitacion, pues tengo otras en casa compradas en tienda fisica, eran mas caras y de mejor calidad, originales, asi que no  compraria otra vez.</t>
  </si>
  <si>
    <t>Regular por el papel que viene de índice Me ha gustado pero el papel que viene para poner las asignaturas, digamos el índice, es de papel no plastificado y al ser un archivador de anillas se rompe en los agujeros.</t>
  </si>
  <si>
    <t>Cara y con mucha espuma No recomiendo,Devolví la máquina antes de complir el mes en Amazon y me dieron un l reembolso,por que? Pros: -la cerveza sale fría -es bonita  Contras: - cerveza muy difícil de tirar ,aun mojando El vaso...etc sale con MUCHA ESPUMA - cerveza CARA, no llegan a salir los vasos que se supone que tienen que salir</t>
  </si>
  <si>
    <t>Prenda de papel La calidad es muy mala, parece una prenda de papel, parecido a las batas de usar y tirar de los hospitales. No sirve para nada.</t>
  </si>
  <si>
    <t>tal y como se descibe muy bonito pero un poco pequeño</t>
  </si>
  <si>
    <t>Buena calidad Buen sonido por el precio al que se vende. Cable plano que hace mas difícil que se enrollen los cables. La única pega que les encuentro es que con el paso de los meses pierden agarre los cascos y pueden caerse, es un poco molesto.</t>
  </si>
  <si>
    <t>Delicado para amantes detalles musicales Lo compre para un regalo de una amiga musico. Le gusto, el tamaño es algo pequeño y espero no se ponga negro. La relacion calidad precio buena y yo lo recomendaria.</t>
  </si>
  <si>
    <t>Un gran aparato. Es un gran aparato si se usa un buen software. La respuesta es algo lenta (hablamos de ms), probablemente por el USB 2.0, pero cumple con su función.</t>
  </si>
  <si>
    <t>El servicio y la rapidez Todo bien....</t>
  </si>
  <si>
    <t>Perfectos Llevo más de un año con ellos y estoy encantado. Los uso básicamente para mirar series y películas en el iPad ya que ofrecen un sonido espectacular si los comparas con los auriculares clásicos de móvil. Por el precio y la calidad que ofrecen recomendaría su compra. Es más a mi me los recomendó un amigo y la verdad yo encantado.</t>
  </si>
  <si>
    <t>Perfecto Lo hemos comprado ya que teníamos este mismo modelo pero de hace unos treinta años y aún está funcionando, pero la luz ya no le funciona y hemos decidido renovarlo con el mismo modelo, solo esperamos que dure como el anterior.</t>
  </si>
  <si>
    <t>#isabel# Aunque es un poco mas de un palmo de tejido por tres dedos de ancho, es genial para tapar rotos. Se pega perfectamente.</t>
  </si>
  <si>
    <t>la formalidad Ha sido como eperaba, todo correcto.</t>
  </si>
  <si>
    <t>GENIAL Este reloj cumple todas mis expectativas. Es genial. Grande como yo quería y en color amarillo que es el que más me gustaba. Lo recomiendo a todo aquel que quiera un reloj realmente espectacular.</t>
  </si>
  <si>
    <t>Cumple exactamente con lo indicado, El reloj cumple exactamente con lo indicado y después de observarlo en varias semanas no adelanta ni atrasa, por el precio que tiene creo haber hecho una buena compra, además el envio fué rapido vino antes de las fechas estimadas.</t>
  </si>
  <si>
    <t>Cumple perfectamente lo indicado Calienta bien y no ha dado problema alguno. Alcanza la temperatura deseada y corta al tiempo que indica sus especificaciones.</t>
  </si>
  <si>
    <t>Barato por 64gb. Para Samsung Note 8 y S8 RESUMEN: calidad/precio el más barato que encontré en Amazon. Para USB3.0 y Tipo C (para Sansumg Galaxy Note 8).  PROS: Barato por 64gb (15€). Memoria USB de alta velocidad (3.0). Toma de móvil tipo C (usado y probado en Samsungs Galaxy Note 8 y S8). Tamaño muy compacto.  CONTRA: por ahora nada. Talvez la clavija.  USO: móviles Sansumg Galaxy Note 8 y S8</t>
  </si>
  <si>
    <t>Muy buen regalo Decidí comprar esta pulsera como regalo y fue todo un acierto.  Viene bien empaquetado y presentado dentro de su bolsita que es super mona para usarla como envoltorio.  Se ve que el metal es de buena calidad y no se ha puesto feo tras varios días de uso.</t>
  </si>
  <si>
    <t>Tarjeta sd Perfecta ppara la GoPro, gran capacidad - precio</t>
  </si>
  <si>
    <t>Excelente Se trata de una tarjeta de muy buena calidad. La velocidad en la transferencia de archivos es de lo mejorcito. La compré como tarjeta de memoria para mi smartphone y me permite almacenar los archivos de video y las imágenes con una calidad excelente. La recomiendo.</t>
  </si>
  <si>
    <t>relacion calidad precio faciles de usar, rapidez de carga y de uso, solo encuentro un pequeño fallo, no tener una separacion, para los cables y para los para el telefono, pero por todo lo demas ,muy buen sonido, y facil manejo, para niños, mayores de 8 años, si no necesitan la ayuda de un mayor, para la conexión inhalambrica. Bonito diseño, y comodos al oido</t>
  </si>
  <si>
    <t>Perfectas!! Me encanta la marca , y el modelo este en concreto, que lleve goretex es una buena cosa para invierno y si transitas mucho por lugares húmedos. Muy recomendable, mirar mucho la talla!!, hay tablas por internet</t>
  </si>
  <si>
    <t>mjose Ya tenía un hervidor como este y lo uso muchísimo. De fácil limpieza. He tenido otros y me quedo con este porque no se estropea el fondo y hierve el agua muy rápido. Además tiene un medidor para controlar la cantidad de tazas de agua que deseas llenar.</t>
  </si>
  <si>
    <t>Acoplan muy bien al ser cordone elásticos Los cordones son elásticos por lo que no hay que atarlos ni se desatan. Un gran punto a favor. Las he lavado en lavadora y no se han pelado. Quedan como nuevas. Las recomiendo</t>
  </si>
  <si>
    <t>Buena resistencia Cable resistente y con buena calidad de sonido. Perfecto para musicos y estudio</t>
  </si>
  <si>
    <t>m.paz Llego correctamente, tal y como se describe en el anuncio...lo estoy probando y estoy contenta...volvere a repetir cuando se termine.</t>
  </si>
  <si>
    <t>Buena batidora Casi un mes de uso y todo perfecto se nota los 1000w de potencia pues  cuando estás pasando pure por ejemplo notas como tira hacia abajo materiales de muy buena calidad. El enganchar los diferentes accesorios cuesta un poco hasta que te das cuenta que lleva una posición una vez visto como va no cuesta nada. buenos materiales y buenos acabados en acero inoxidable buena compra y producto recomendable por su relación calidad precio</t>
  </si>
  <si>
    <t>Que llegó tarde Es muy binito Gustó mucho, era para un regalo. Pero llegó muy tarde</t>
  </si>
  <si>
    <t>Para detallito de mesa dulce no está mal Un pelin pequeño, entran 5 sugus no más</t>
  </si>
  <si>
    <t>Raquel La pizarra es buena pero el soporte, además de un trasto, trae materiales de mala calidad, como los tornillos. No me ha gustado</t>
  </si>
  <si>
    <t>Tallaje grande Parecían unas zapatillas extremadamente cómodas pero tuve que devolverlas porque me quedaban muy grandes.</t>
  </si>
  <si>
    <t>no sirve para nada por mucho que lo vendan con el cepillo, éste no vale para nada</t>
  </si>
  <si>
    <t>Funciona perfectamente Cumple su función y la percecpción es que es un producto de calidad. Es más grande de lo que me esperaba, pero nada que sea un problema</t>
  </si>
  <si>
    <t>Buen reloj. Buen acabado, funciona correctamente es ligero, facil de visualizar y a un precio imbatible con la calidad de una marca como Casio.</t>
  </si>
  <si>
    <t>buen aspecto y muy práctico Se recarga bien y para limpiar es fácil. Lo uso a diario y cumple su función. El platito de apoyo es un detalle que le viene bien</t>
  </si>
  <si>
    <t>Buen producto He probado varios y este modelo es el mas duradero y el que mas temperatura alcanza. Yo tengo 3 en mi casa y, salvo a uno que se le ha roto la tapa de la ranura por donde se carga la bolsa, todos funcionan perfectamente, incluso éste al que le falta la tapa.</t>
  </si>
  <si>
    <t>Sencilla, práctica, poco ruidosa, fácilmente limpiable y bastante más económica que otras marcas Comprada para regalar. Por apenas 200€ la máquina va estupenda. Es menos ruidosa que mi Philips, y con los 3 programas de aspiración deja el suelo perfectamente. No la recomiendo para fregar más que superficies muy pequeñas. Con el mando es sencilla y muy manejable. La limpieza del aparato es rápida. Las instrucciones son dibujos, pero es sencillo de saber cómo funciona. Autonomía de 2 horas Mi suegra está encantada</t>
  </si>
  <si>
    <t>Ligero y buena calidad sonido Buena calidad de sonido y ligeros , en acorde a la descripcion  que se hacia en el articulo cuando lo compré</t>
  </si>
  <si>
    <t>Buena compra lo recomiendo Estoy utilizandola todos los días y estoy encantada con la aspiradora</t>
  </si>
  <si>
    <t>Producto Fantástico Perfecto. Justo lo esperado</t>
  </si>
  <si>
    <t>Funciona bien Es un pendrive normal, con USB 3.0 que se nota mucho al mover archivos pesados o al instalar sistemas operativos como es mucho más rápido que otros USB 2.0 que tengo. No recomendaría a nadie comprar USB 2.0 a estas alturas.  Tiene un buen diseño y se ve elegante y resistente, además que se puede llevar en el llavero. Lo compré para mi madre y no ha tenido quejas así que todo funciona correctamente por ahora.</t>
  </si>
  <si>
    <t>Perfecto para lo que las queria. Son unas allroad espectaculares Como se señala en algún comentario, hay que pedir una o media talla mas de la habitual. A mi, que gasto un 41 1/2, me ha calzado bien una 42. Todo correcto</t>
  </si>
  <si>
    <t>Seiko Perfecto, se ve muy bien por la noche, es un regalo de Reyes a mi marido</t>
  </si>
  <si>
    <t>Maravillosos auriculares. Maravilloso, es impresionante, tanto en sonido, comodidad, duración de la batería y estética. Un diez.</t>
  </si>
  <si>
    <t>Cómodos Son ligeros, frescos y cómodos, ideales para llevar en verano como calzado a la vez clásico y deportivo. El precio está bastante bien.</t>
  </si>
  <si>
    <t>Genial Fue para un regalo y le encantó. Pensaba que sería peor, pero nos sorprendió.Tiene muchas posibilidades. Suena genial. Lo recomiendo</t>
  </si>
  <si>
    <t>Envío rápido. Perfecta compatibilidad con IOS. Una verdadera pasada. Lo pedí una noche a las 23:00h y a la mañana siguiente a las 13:00h llego a mi domicilio. Todo perfecto, tengo Apple Watch también y este le supera con diferencia. Compatibilidad perfecta con el sistema IOS. Estoy encantado con este reloj. Recomendable 100%.</t>
  </si>
  <si>
    <t>Confianza Excelente producto y buen precio, mejor vendedor</t>
  </si>
  <si>
    <t>Gran calidad Lo tengo hace un año y lo uso todos los dias, aseguro que si se pusiera a la venta de nuevo el comprador no lo notaria, para llevar el movil y la cartera te sobra (tampoco le pidas mas)</t>
  </si>
  <si>
    <t>Para un secado rápido Muy cómoda de manejar. Ideal para suelos laminados o parquet y para unas prisas, por lo mucho que se escurre, lo que hace que el suelo se seque muy rápido</t>
  </si>
  <si>
    <t>el vendedor bien son las zapatillas originales y son mas baratas que el precio oficial. Aun así las considero caras, son las Stan Smith de toda la vida que ahora se han puesto de moda entre las niñas... pero de esto no tiene culpa el vendedor sino Adidas que es quien marca el precio. La valoración de 5 estrellas es para el vendedor, no para el producto. Este como digo es bueno, es piel, pero no justifica su precio</t>
  </si>
  <si>
    <t>Bonita y funcional Muy funcional y con un aspecto vintage muy atractivo. Es muy rápida para calentar casi dos litros de agua. El asa es ideal para cogerla con comodidad y no quemarte.</t>
  </si>
  <si>
    <t>80% algodón Cómodos, resistentes y diseňo bonito. 80% algodón, no pican. Si lo supiera antes hubiese cogido el pack de 12 directamente pero no me quise arriesgar...</t>
  </si>
  <si>
    <t>Genial Relación calidad precio 👍🏼</t>
  </si>
  <si>
    <t>A Escritura al revés</t>
  </si>
  <si>
    <t>:-/ la correa aspecto barato... poco pulida los bordes casi cortan... la caja desconcierta, pero parece casio autentico... lo recordaba mejor en los 80 :-)</t>
  </si>
  <si>
    <t>Comodidad Es cómodo aunque un poco cerrado</t>
  </si>
  <si>
    <t>calidad pésima Calidad pésima,  no tuve que pagar portes para comprar pero sí para devolver. No tiene nada que ver con la foto,  ni forma ni color</t>
  </si>
  <si>
    <t>descontemta El color no tiene nada que ver con la foto y la talla no responde ha una M</t>
  </si>
  <si>
    <t>Cómodo, muy adaptado y combinable. Combinación con chaqueta marca JOMA.Lo bueno  es mejor de lo que  parece, nada  que envidiar  a otras marcas más caras. BUENO</t>
  </si>
  <si>
    <t>PRODUCTO MEDIOCRE Todo bastante Bien excepto la suela que es muy rigida , parece que andas con zapatos.</t>
  </si>
  <si>
    <t>Cumple su función perfectamente Cumple perfectamente su función sin ningún problema. El plástico podría ser de mejor calidad y los conectores iguales, pero supongo que por eso tiene ese precio.</t>
  </si>
  <si>
    <t>Correcto correcto</t>
  </si>
  <si>
    <t>PERFECTAS Son las zapatillas originales, llegaron con la caja y la etiqueta acreditativa de Vans, el número el mismo que utilizo normalmente queda perfecto. Muy buena compra.</t>
  </si>
  <si>
    <t>tallan grande Uso una 39 y es como para una 37. Envío rapido. Bonitas y baratas. Una pena la talla</t>
  </si>
  <si>
    <t>Sorprendida con la calidad del producto Me sorprendió la excelente calidad del producto! Lo hemos usado ya bastante y la pizarra se mantiene muy fàcil de limpiar y en excelente estado. Estoy muy satisfecha con la compra!</t>
  </si>
  <si>
    <t>Lo recomiendo 100% Excelente 100% recomendado buena calidad buen material y tamaña que se esperaba</t>
  </si>
  <si>
    <t>Muy buen producto. Limpian de maravilla y rapidísimo. Me ha gustado mucho el resultado, es perfecto!!! Las compré para limpiar un decantador de vino y varias botellas de cristal que había forma de que quedaran limpios; había probado con agua caliente y detergente de lavavajillas, con limpiadores más fuertes, incluso dejando lejía toda la noche y no había forma de limpiarlas. Tampoco había quedado bien con escobilla para limpiar biberones. La verdad es que lo compré por probar, sin mucha esperanza de que quedara bien, pero me ha gustado muchísimo el resultado, solo tuve que poner un poco de agua, unas gotas de lavavajillas y meter las bolitas con un embudo. Lo agité un poco y no pudo quedar mejor, lo dejó como nuevo y rapidísimo!!! Cuando terminé vacié el contenido en un colador para que no se perdieran las bolitas, las puse en un platito con papel de cocina para que se secaran y una vez secas las coloqué, con un embudo, en su envase. Y hasta la próxima limpieza.</t>
  </si>
  <si>
    <t>Muy contento con en producto y poder controlarlo con el mando Muy buen producto y bonito diseño. Es muy fácil de utilizar , lo enchufas ,viertes el agua y el aroma y listo. Tiene muchos colores que también te dan un ambiente relajado. Pero lo que es todo un hacierto es el mando a distancia con el que puedes controlar el aparato. Muy contento la verdad</t>
  </si>
  <si>
    <t>Me encanta el aroma Huele muy bien ,lo uso para el humidificador y la verdad que con 5 gotitas en el agua se nota bastante el olor y es muy agradable.</t>
  </si>
  <si>
    <t>Calidad precio muy correcta Aceites esenciales 100% natural con gran concentración. Lo uso con humidificador y en combinación de los diferentes aceite, logras eliminar olores, usarlo para masajes etc..</t>
  </si>
  <si>
    <t>Muy bonito Un reloj muy bonito elegante y a un precio increíble.</t>
  </si>
  <si>
    <t>que sientan como un guante Los modelos en blanco de sckechers parecidos a éste están muy bien porque sujetan el pie si te las pones para trabajar</t>
  </si>
  <si>
    <t>PERFECTO Me ha llegado en 24 horas. Estoy muy contenta. Yo tengo una talla 38 y me quedan geniales para poder meter un calcetín gordo. Tal y como esperaba. Gracias</t>
  </si>
  <si>
    <t>COMODAS Y LIGERAS SON MUY COMODAS Y LIGERAS. Y  MUY RESISTENTES, LAS HE UTILIZADO TODOS LOS DIAS DESDE HACE MESES Y SIGUEN COMO NUEVAS.</t>
  </si>
  <si>
    <t>Casio clásico de calidad Un clásico básico que no defrauda. El único problema encontrado es que el plástico del reloj reacciona a ciertos productos de tipo repelente de mosquitos o cremas de protección solar y funden y manchan el reloj</t>
  </si>
  <si>
    <t>mejor masajeador tengo mucho tiemo de trabajar,y hace tiempo dolor de cuello，este masajeador facil de usar,y funcional bien,cuando descansar a casa usardo muy bien,hace masajer cual que parte.esta muy bien si tiene este producto para gente de mayor</t>
  </si>
  <si>
    <t>Calidad precio ,normal. Le ha gustado mucho a mi pareja, pero esperaba el algodón más grueso, en general está bien.</t>
  </si>
  <si>
    <t>Rapidez Justo lo necesario</t>
  </si>
  <si>
    <t>Un magnífico calzado El calzado es excelente y por experiencias anteriores lo he vuelto a comprar. El color marrón oscuro viene en perfecto estado y el paquete incluye el kit de limpieza así como unos cordones y una bolsa de tela para su transporte.</t>
  </si>
  <si>
    <t>Muy chulos Parecen muy grandes en la foto, para mi exagerados, pero tienen tamaño normal y son muy bonitos</t>
  </si>
  <si>
    <t>Genial Es genial! Muy cómodo y agradable para hacer deporte. Yo uso talla 90 y la M es perfecta. Lo recomiendo. El diseño es bonito, tal cual la foto.</t>
  </si>
  <si>
    <t>Muy útil Mi bebé de 6 meses no acepta biberón. Intentamos desde el inicio que tomase biberón, pero no quería y llegaba a provocarse vómitos. Con este producto hemos solucionado el problema. Incluso se puede adaptar a otros botes de la misma marca para tener mayor capacidad.</t>
  </si>
  <si>
    <t>Talla incorrecta Mal la talla, antes de pedir miré el tallaje que me dice la propia pagina, ademas lei las preguntas y respuestas acerca del tamaño para mis medidas 1,78 mts y  83Kgr. y al ponermela incluso me queda entallada en la cintura y con una camisa solo muy justa sin poder ponerme un jersey y cerrar facil la cremallera.</t>
  </si>
  <si>
    <t>Reducción entrada de aire. Reduce la entrada de aire, comprobado. Lo malo es que para limpiarlo necesitas una escobilla ha que no entran los dedos bien</t>
  </si>
  <si>
    <t>Producto frágil. Es mejor gastarse un poco más por unos auriculares mejores.El material es muy endeble ,a la semana ya se me había roto,los botones  de volumen ,encendido etc son un chiste de lo pequeño y frágiles que son.Propio de una tienda de chinos categoría b.</t>
  </si>
  <si>
    <t>NO COMPRAR PRODUCTO DEFECTUOSO. LA CIRCUNSFERENCIA DONDE AJUSTA EL XIAOMI ES DEMASIADO GRANDE Y NO ENCAJA.</t>
  </si>
  <si>
    <t>No es util Se atasca “inmediatamente”. No es útil. Apenas comienzas a usarla el “tubo” queda obstruido y no hay posibilidad de limpiarlo con facilidad</t>
  </si>
  <si>
    <t>Se notan los resultados con un poco de paciencia Lo he utilizado aproximadamente durante un mes casi cada noche junto con el aceite de higo chumbo masajeando las zonas con pequeñas arrugas de expresión y noto la diferencia. Me levanto con la piel más tersa, más luminosa, y con menos arrugas de expresión.</t>
  </si>
  <si>
    <t>Buena succion Buena potencia pero un poco pesado</t>
  </si>
  <si>
    <t>Que es inalámbrico Que es inalámbrico a suficiente distancia. Da un poco de zumbido.</t>
  </si>
  <si>
    <t>Son bonitas Tal como en la foto, muy comodas</t>
  </si>
  <si>
    <t>Buenas lupas La compre para realizar algunos trabajos que requieren unas lupas de estas características es un producto sencillo que cumple muy bien para lo que se necesita ,una visera a la cual se le pueden adaptar diferentes lupas que vienen en la caja de manera sencilla son lupas de varios aumentos para que puedas elegir en función si  se necesitas más o menos viene una luz led que funciona con tres pilas tipo AAA para tener mejor visibilidad en situaciones de poca luz ,en definitiva buen producto con materiales de construcción bastante buenos en relación a su precio ,yo lo recomiendo</t>
  </si>
  <si>
    <t>Buena calidad Muy bien calienta cuando hace frio y se lava muy bien. Seca rspidisimo</t>
  </si>
  <si>
    <t>Una muy buena compra Muy contento con los auriculares, se nota que son de buena calidad. Los materiales de construcción son realmente buenos, prácticamente enteros de aluminio y algunos detalles en plástico. Tienen una almohadilla para la cabeza de bastante buena calidad y es muy cómoda. Las almohadillas de las orejas son de muy buena calidad, son grandes y mullidas. Tienen microperforaciones para que se te calienten menos las orejas aunque realmente no creo que sirvan para mucho. El ajuste a la cabeza es adecuado pero hay que abrirlo algo mas de la cuenta para que la parte inferior de la almohadilla no se te despegue de la cabeza. El cable está cubierto por una malla que hace que no se rompa tan facilmente.  Con respecto al sonido, todo es adecuado pero tampoco destacan por algo concreto. El audio del micro sí es de destacar, en todas las llamadas que he hecho con ellos el sonido ha sido muy nítido.  Son una buena compra, algo caros tal vez pero merecen la pena.</t>
  </si>
  <si>
    <t>Versatilidad.tanto para un look más deportivo como más vestido Son cómodas,tienen almohadillado el interior. Me han encantado,tal y como se ven en la imagen</t>
  </si>
  <si>
    <t>Los responsables Todo perfecto</t>
  </si>
  <si>
    <t>cómodo Muy bueno</t>
  </si>
  <si>
    <t>Bueno, bonito y barato. Muy buenos escarpines con suela, son como se explica. Baratos,eficiente y de calidad, aconsejo su compra. Volveré a comprar. Todo bien</t>
  </si>
  <si>
    <t>Una cucada Parece para adultos! Yo la compré por error pensando que era grande jiji la devolví sin problema</t>
  </si>
  <si>
    <t>Tal cual se muestra el producto Organizadores de cables muy útiles para mi gusto. Pequeños clips para pegar en donde mejor te convenga, y tiras de velcro por si necesitas organizar muchos cables a la vez.</t>
  </si>
  <si>
    <t>Estupendas !! Cómodas , buena calidad relación precio .</t>
  </si>
  <si>
    <t>Gran sonido a bajo coste Me ha sorprendido la calidad de sonido para el bajo coste de los cascos, la caja de trasporte es muy chula, tiene la apertura de la tapa de apertura circular y son muy ligeros.  Se ajustan muy bien al oido y para correr aguantan bien puestos, la batería aguanta muchísimo, los he llevado de viaje y el avión 3 horas seguidas sin problema.</t>
  </si>
  <si>
    <t>Impresionante! &lt;div id="video-block-R3VBKBBYJFIUCH"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id="23" preload="auto" src="https://images-eu.ssl-images-amazon.com/images/I/A1b4TyoOHoS.mp4" style="position: absolute; left: 0px; top: 0px; overflow: hidden; height: 1px; width: 1px;"&gt;&lt;/video&gt;&lt;/div&gt;&lt;div id="airy-slate-preload" style="background-color: rgb(0, 0, 0); background-image: url(&amp;quot;https://images-eu.ssl-images-amazon.com/images/I/910R0t2vfpS.png&amp;quot;);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value="https://images-eu.ssl-images-amazon.com/images/I/A1b4TyoOHoS.mp4" class="video-url"&gt;&lt;input type="hidden" name="" value="https://images-eu.ssl-images-amazon.com/images/I/910R0t2vfpS.png" class="video-slate-img-url"&gt;&amp;nbsp;Impresionante! Una pasada! La verdad que me ha encantado! Además le puedes dar calor y le puedes dar velocidad y además te viene para que tú lo agarres con las manos y lo vayas manejando donde tú quieres que te dé el masaje! La verdad que te descontractura y se agradece! Además te lo puedes llevar donde quieras ya que no ocupa mucho! Muy bueno!</t>
  </si>
  <si>
    <t>Vapor instantáneo!! &lt;div id="video-block-R37RDBUU9BMT7J"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id="61" preload="auto" src="https://images-eu.ssl-images-amazon.com/images/I/A1tllYnR39S.mp4" style="position: absolute; left: 0px; top: 0px; overflow: hidden; height: 1px; width: 1px;"&gt;&lt;/video&gt;&lt;/div&gt;&lt;div id="airy-slate-preload" style="background-color: rgb(0, 0, 0); background-image: url(&amp;quot;https://images-eu.ssl-images-amazon.com/images/I/91yqCwkznQS.png&amp;quot;);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value="https://images-eu.ssl-images-amazon.com/images/I/A1tllYnR39S.mp4" class="video-url"&gt;&lt;input type="hidden" name="" value="https://images-eu.ssl-images-amazon.com/images/I/91yqCwkznQS.png" class="video-slate-img-url"&gt;&amp;nbsp;Tras probar con varios modelos adquiridos aquí y allá (Natura, Carrefour, Tienduchas, etc...) me decidí en gastarme un par de euros más y probar con este modelo que tenía muy buena pinta y no he podido tener un mejor acierto.  A primera vista, parece poca cosa porque en la caja lo único que ves es el exterior del dispositivo, pero una vez lo abres, encuentras en su interior tanto el cable de corriente como un mando a distancia que funciona a las mil maravillas. El humidificador es completamente configurable, te deja elegir entre iluminarlo (en distintos colores) o no iluminarlo, puedes ajustar el caudal de humidificación (low/high), activar el humidificador de forma continua o intermitente, etc...  Yo lo uso en un salón bastante grande y con tan solo encenderlo un par de minutos ya llega el olor a todos los pasillos del bloque de piso en el que vivo!!  =)</t>
  </si>
  <si>
    <t>Muy chulas!! Muy cómodas. Cómo se ven en la foto. Tallan conforme al número que pides. Fueron para un regalo y acertamos totalmente.</t>
  </si>
  <si>
    <t>Genial La verdad es que el pasa purés solo lo utilicé una vez por probarlo, me gustan los pures más "gruesos" y prefiero pasarlos a mano. Las varillas van geniales! Monto nata a menudo y todavia estan perfectas como el primer dia.</t>
  </si>
  <si>
    <t>Perfecto Confortable</t>
  </si>
  <si>
    <t>Bien Buena potencia, fácil de usar, trae dos vasos cada una con su tapadera, más fácil para preparar todo tipo de bebidas y batidos</t>
  </si>
  <si>
    <t>Recomendable 100% &lt;div id="video-block-RLTFZK1G0AODD"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src="https://images-eu.ssl-images-amazon.com/images/I/B1eGEtsxX3S.mp4" style="position: absolute; left: 0px; top: 0px; overflow: hidden; height: 1px; width: 1px;"&gt;&lt;/video&gt;&lt;/div&gt;&lt;div id="airy-slate-preload" style="background-color: rgb(0, 0, 0); background-image: url(&amp;quot;https://images-eu.ssl-images-amazon.com/images/I/91z7MqYS5GS.png&amp;quot;);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value="https://images-eu.ssl-images-amazon.com/images/I/B1eGEtsxX3S.mp4" class="video-url"&gt;&lt;input type="hidden" name="" value="https://images-eu.ssl-images-amazon.com/images/I/91z7MqYS5GS.png" class="video-slate-img-url"&gt;&amp;nbsp;El árbol de la vida,simboliza la energía y la salud Tiene un diseño muy bonito, también los colores de las piedras Es más bonita, que en las fotos,se adapta a todas las medidas,se la he regalado a mí madre y le ha gustado muchísimo</t>
  </si>
  <si>
    <t>Más que un brazalete. Bonitas, elegantes, muy seguros los enganches.sin duda una buena compra.</t>
  </si>
  <si>
    <t>NO VIENE CONFIGURADA CON FL STUDIO Pense que venia tambien preconfigurada para fl studio pero resulto que no</t>
  </si>
  <si>
    <t>Confort y relajación con calor tenue. Este calientapiés es una buena opción para relajar los pies, con confort y un calor de poca intensidad. No creo que sea una buena opción para aquellos que esperen un gran radiación (no es un brasero), o que sean muy frioleros, ya que que este aparato funciona a 100 W, y los calefactores de aire pequeños suelen rondar los 2000-3000W. Más que calentar, quita el frío en los pies, y los relaja, pero no es inmediato. Recomiendo usarlo al menos 45 minutos y 90 como máximo. Es un buen producto, pero no es milagroso. Piensen que un producto eléctrico de TELA, no debería alcanzar mucha temperatura, por lógica y seguridad. LO MEJOR es el relax que produce, LO PEOR es el tiempo mínimo para llegar al estado ideal.</t>
  </si>
  <si>
    <t>Letras descoloridas Precio rebajado</t>
  </si>
  <si>
    <t>Casio Reloj de Pulsera EF-552-1AVEF ESPERO QUE GUSTE ES PARA UN REGALO</t>
  </si>
  <si>
    <t>Chungo desde el primer dia Tal y como lo meto en pc me tira el mensaje de error de formato. Intento dárselo incluso con programas externos a windows y no hay forma. A devolverlo se dicho. Muy gracioso pero de calidad pésima...</t>
  </si>
  <si>
    <t>buen sonido se enlaza con facilidad,son cómodos,llevan diferentes "almohadillas" y sujecciones para combinar la que mejor se adapta a tus orejas</t>
  </si>
  <si>
    <t>a mi hija le ha encantado a mi hija le ha encantado</t>
  </si>
  <si>
    <t>Estupendos Me gusta este biberon...lo único k veo k coge color el plástico.... son cómodos ...y están genial de precio. Los volvería a comprar</t>
  </si>
  <si>
    <t>Calidad precio Esta genial para un regalo. Es original e interesante. La unica pega que me llego el album manchado ennuna esquina de color verde. Siendo la tapa color marron cartón</t>
  </si>
  <si>
    <t>Estupendas y bien de precio. Estupendas y bien de precio. Por ponerles una pega es que son algo mas largas que un tamaño A4 , con lo cual  no entran en los maletones convencionales, lo que me supone una dificultad.</t>
  </si>
  <si>
    <t>Comodisimas Perfecto. Me encanta toda la ropa de esta marca. Cómoda, barata y de una calidad extraordinaria. Ya he pedido varias cosas y muy bien.</t>
  </si>
  <si>
    <t>Cálida precio genial, yo ya llevo dos, el primer o se rompió la correa pero después de más de dos Número a grandes muy buen relog</t>
  </si>
  <si>
    <t>Buen producto Muy satisfecho con este producto. No he medido nada pero si puedo decir que va mucho mas rapido que mi antiguo disco duro mecanico y que funciona muy bien. Lo recomiendo.</t>
  </si>
  <si>
    <t>Pega con todo Muy buen producto, no suena apenas, y te viene con el mando para poder cambiar las luces led como tu quieras, tiene un buen recipiente para el agua, y puedes programarlo con el mando para que se encienda cuando tu quieras, y diseño precioso como se ve, compagina con todo, muy recomendable</t>
  </si>
  <si>
    <t>cómodas muy bien, las uso para el día a día y son perfectas. Eso sí, no tienen cordones.</t>
  </si>
  <si>
    <t>Las recomiendo Surtido de colores van geniales , aún no probadas para lavavajillas , pero se despegan bien y con la cameo se corta genial , volveré a comprar</t>
  </si>
  <si>
    <t>Gran compra, gran vendedor Material de primera calidad, vendedor excelente y muy profesional, funciona perfectamente y tiene una potencia descomunal.</t>
  </si>
  <si>
    <t>suave Muy suave, esta temporada puede ser realmente real es cómoda para más de una piedra se puede ajustar. Tirado en el sofá para envolverlo es realmente genial.</t>
  </si>
  <si>
    <t>Muy fino y elegante Igual que en el fotos,  y cuando lo regalamos,  le  gusto muchísimo al destinatario</t>
  </si>
  <si>
    <t>Bolso con departamento Es lo que esperaba y buena descripcion del producto</t>
  </si>
  <si>
    <t>Archivador Bien terminado</t>
  </si>
  <si>
    <t>Muy bonita! Muy bonita pulsera! Es delicada y brillante, de momento todo bien, me ducho con ella y no se ha puesto negra, parece ser de plata realmente.</t>
  </si>
  <si>
    <t>Asombroso Es una pasada, cero ruido y una calidad sonora asombrosa. Recomendado para grabar voces, amplificadores, para usarlo para podcasts, conferencias online...en fin, calidad-precio más que justificado</t>
  </si>
  <si>
    <t>La calidad La compra: genial. Se las regale a mi marido y está encantado. Para pie ancho, un pelin estrechas. Nosotros cogimos 1/2 numero más 45,5 (mi marido está entre el 45 y el 46 dependiendo del tipo de calzado)</t>
  </si>
  <si>
    <t>calidad precio genial Me ha gustado mucho, supera lo que esperaba por este precio. Calentita, bonita, muy suave y aunque aun no se como quedará despues de lavarla de momento me encanta</t>
  </si>
  <si>
    <t>¡Recomendable! Me han llegado perfectas, en caja original y antes de la fecha prevista, son originales, blancas de piel, ideales para invierno, igual que la foto. Me he cogido la misma talla que tenía en otras converse y perfecta, es mi número normal, tallan normales.</t>
  </si>
  <si>
    <t>muy bien! Llevo un año con el exprimidor y la verdad es que estoy contenta. Nos hacemos zumos todos los día, por eso quería  que hiciera los zumos rápido y que fuera fácil de limpiar...y ¡acerté!</t>
  </si>
  <si>
    <t>👍👍👍👍👍 El que quiera una batidora potente y que no se caliente aqui la tiene estoy bastante contento con el producto.</t>
  </si>
  <si>
    <t>muy buena compra Muy contenta con la compra.es mas bonito al natural, la talla como dice mas gente coger una mas de la q se usa.buen género.</t>
  </si>
  <si>
    <t>No cumple las expectativas. Nos ha decepcionado, debido a que no cumple las expectativas. El micrófono para que capte medianamente el sonido hay que hablar muy alto. No aíslan, y no dan sonido potente.</t>
  </si>
  <si>
    <t>Son cómodas, pero no volvería a comprarlas. Se despegan Esta bien, pero a las 2 semanas se me an empezado a despegar de los laterales</t>
  </si>
  <si>
    <t>Imitación Son una imitación. Comparadas con originales se ven las diferencias: forro, el final de la suela no es gris como la original, acabados y sobre todo la piel. Imitación clara</t>
  </si>
  <si>
    <t>Es pésima imitación a Dyson Te venden que con una aplicación se pueden graduar la potencia de succión pues yo llevo dos meses,que hace que la tengo y aún me ha sido imposible, pues te piden código ????????? Y para la limpieza del depósito, imposible desmontarlo completo, la venden como mejor que Dysson pero no le llega ni a la suela está</t>
  </si>
  <si>
    <t>¡OJO, ESTAFA! Pues bien, resulta que llevo esperando este artículo vendido y enviado por Amazon desde mayo (hace 3 meses) porque, decían en sus correos, la fecha de entrega se iba dilatando no se sabe muy bien por qué... Total, que finalmente se dignan a entregar el artículo y, cuando abro la cajita de Amazon, tan aparente y voluminosa, me encuentro un solo rollo de cinta adhesiva (cuando tenían que venir 10). Mi teoría es que se quedaron sin ello y han enviado a cada cliente un rollo de celo para no cancelar el pedido y quedarse las perras... Quién sabe... En fin, una vez más, CUTRE-AMAZON. Para la próxima, paso de ofertas y me voy a la papelería del barrio.</t>
  </si>
  <si>
    <t>Muy pequeños de tamaño Son bonitos pero muy pequeños son para una niña pequeña para una persona adulta no se lucen de lo pequeños que son</t>
  </si>
  <si>
    <t>Zapatillas Fue un regalo y la persona que las recibió está muy contenta con ellas, volverá a comprarlas otra vez seguro</t>
  </si>
  <si>
    <t>La recomiendo- y después a los dos años sin bateria Actualizo después de 2 años.  Va de fábula,buena batería.  También es cierto que poca capacidad si tienes perro.  Pero ocupa poco espacio y comodidad en su base de carga.  Dos años después.....  Parece que todo está programado para acabar la garantía....  La cuestión nos a ido de maravilla durante este tiempo, ahora nos damos cuenta que ya no dura la batería..justo al acabar la garantía y esto es verídico.ya no llega para aspirar los 80 -100 metros cuadrados...  Pensandolo bien a durado dos años bien sin ningún problema eso sí!!! Pero no es una marca nueva..es marca de fuese de toda la vida creo vamos,así que por lsnoarte negativa me parece mala puntuación en ese aspecto a la marca Taurus.</t>
  </si>
  <si>
    <t>Buen producto. Bota perfecta, única pega es la dureza de la piel que tarda en adaptarse al pie.</t>
  </si>
  <si>
    <t>Ligeros y buena calidad de sonido Tras comprar estos cascos inalambrico tengo decir que son la caña!! Ni los de la manzanita se acercan al sonido de estos! El precio muy competitivo, la conexión bluetooh es rapidísima y no tiene cortes! Una vez lo conectes ya lo hacen solo cada vez que los usas. Traen una cajita donde los trasportas y encima los cargas! Se adaptan muy bien a oído y incluso corriendo no se caen! Tiene muy buen agarre! La batería tiene aproximadamente unas dos horas a toda caña! Simplemente con meterlo en su caja se cargan en poco tiempo Son muy modernos y tiene su estilo propio, me gustan bastante su forma. Creo que ha sido una buena compra!</t>
  </si>
  <si>
    <t>Excelente El paquete llegó en perfecto estado y la entrega fue muy rápida. La calidad de estos biberones es excelente, los compré por recomendación de una amiga y al verlos me pareció todo un acierto. Lo que más me gusta es que son muy prácticos de lavar porque tienen la boca grande.</t>
  </si>
  <si>
    <t>genial Clasicazo donde los haya, unisex, perfecto para llevarlo continuamente y trabajar ensuciándote, meterte en el mar, ducharte con él, cualquier cosa. La función cronómetro viene genial para trabajar en el laboratorio y llevar un control de los tiempos de experimentación, y por el precio que tiene, puedes estar tranquilo que si se le cae algo encima no es una gran pérdida.Tuve que regalar otros porque varios compañeros del laboratorio me lo pedían prestado. Muy contenta, confío en este reloj 100%.</t>
  </si>
  <si>
    <t>Es muy resistente a los golpe y exacto Me gustó mucho en lo personal. Lo compré para el día a día así que no me lo quito para nada ( ni para bañarme ) y es verdaderamente confiable en todos los sentidos. Lo recomiendo</t>
  </si>
  <si>
    <t>Campana Por el precio es todo en 9/10 para esta gama de horno. Fácil de instalar y la iluminación led es super buena . Cocinamos en la casa todo el tiempo y aún podemos oler la comida cocinada en cualquier otra habitación,pero cerca de la estufa. Ese soplador se pone en marcha y tendrás a los vecinos oliendo lo que estás cocinando. En casa cocinamos bastante y nos ayuda bastante.Mi antigua campaña de estropeo hace unas semanas y las limpiezas de la cocina gastábamos el doble de tiempo.Ahorra estamos mucho mejor</t>
  </si>
  <si>
    <t>Microfono karaoke Vaya rision de microfono, se lo regale a mi nieta de 3 años y esta encantada haciendo el tonto, es como un altavoz bluetooh que tiene microfono</t>
  </si>
  <si>
    <t>Muy recomendable Peoducto perfecto, llego antes de los previsto. Muy recomendable</t>
  </si>
  <si>
    <t>Producto de 10 Solo hace falta decir que el fin de semana pasado me fui con mis amigos de viaje y me lleve los cascos solamente para enseñárselos. Sonido y insonorización inmejorables. Ademas, son cómodos y se ven hechos con buenos materiales</t>
  </si>
  <si>
    <t>Gran micro calidad precio Sonido de calidad ya sea para vídeo, Skype o cualquier motivo. Claro y con distinto modos que ayudan a solventar cualquier situación</t>
  </si>
  <si>
    <t>Muy bueno Muy buen producto</t>
  </si>
  <si>
    <t>Muy buena memoria USB, para cualquier equipo (PC, LT y SW). De una memoria solo podemos esperar que guarde información con seguridad, y ésto solo lo sabremos con el paso de los años. De momento, lo hace, como era de esperar. Es muy útil por su doble conector: USB 3.0 y USB-C, siendo reconocido por el teléfono rápidamente.</t>
  </si>
  <si>
    <t>Recomendable 100% Tarjeta totalmente recomendable, en mi caso muy satisfecho con la compra. Cumple con la velocidad y con la capacidad que indica Artículo totalmente original, no es ninguna copia china.</t>
  </si>
  <si>
    <t>Buen producto , fiable temperatura y rápido Rápido , con selección de temperatura que funciona muy bien . Un poco ruidoso ,  como otros , pero funciona muy bien .</t>
  </si>
  <si>
    <t>Ideales para Podcast y YouTube He usado micrófonos en otro tiempo, pero no de este tipo. Tampoco había incursionado en la faceta de speaker por las redes, a través de podcast o YouTube. Así que no quería gastarme un dineral para poder hacer la prueba ni tampoco que la calidad del equipo fuera tremendamente insuficiente. Así que, dentro de lo que había visto por ahí, consideré que esta era una de las mejores opciones para iniciarme en el mundillo sin tener que empeñar un riñón. El equipo es básico pero muy completo para empezar. Lleva el micro con la gomaespuma protectora y también un par de complementos para apagar ruidos que perjudican la escucha, como son la respiración en esas pausas entre frases. Tengo que confesar que desconozco la jerga para nombrar todos estos complementos, pero sí que conozco más o menos su uso y veo que da para mucho juego. Viene con soporte para enganchar a la mesa y tiene todo lo necesario para que las grabaciones sean de una calidad decente. He probado usando varios programas de grabación y el resultado ha sido mejor de lo esperado. Me he sorprendido al oír mi propia voz muy mejorada y hasta me ha parecido más bonita de lo que creía. Así que puedo decir que estoy muy contento con la compra de este micrófono y espero que me dure bastante. Creo que, con este precio, cualquiera puede atreverse a entrar en el mundo de la voz y probar con las múltiples opciones que la tecnología nos permite hoy en día.</t>
  </si>
  <si>
    <t>Adriana Bonito diseño,  resistente y funciona perfectamente.  Le he comprado hace un par de meses, no tengo queja. Buena opción y económica! !!</t>
  </si>
  <si>
    <t>Ultrarápido y de tamaño perfecto! Lo utilizo par la música y va super rápido. Si eres dj y usas pen drive para pinchar, este es el mejor usb del mercado sin lugar a dudas</t>
  </si>
  <si>
    <t>Buen aparato Soy autónomo y cojo las llamadas desde el coche y es muy cómodo. Quiero destacar que tiene un sistema que quien está en el otro lado del teléfono no escucha ruidos de ambiente. En mi caso no escuchan el ruido del coche.</t>
  </si>
  <si>
    <t>Calidad precisión y elegancia Una gran adquisición , encantado con mis auriculares. El sonido inmejorable tanto para escuchar música en cualquier parte como para atender las llamadas de teléfono.  Gran nitidez tanto para mí como para los que reciben la llamada. Aíslan muy bien el sonido al ajustar perfectamente a mi oido. Son fáciles de programar y se cargan muy rápido apenas una hora y la batería de los mismos dura varias horas funcionando a tope.  Son discretos y puedes usarlo en cualquier ocasión.</t>
  </si>
  <si>
    <t>Me ha decepcionado bastante. Es cierto que esta marca es lo que es. Pero las hojas no tienen filo, y el pomo que regula la altura de las mismas, se mueve solo. con la vibración misma de la maquina, se va moviendo y es imposible utilizarla porque en cuanto arranca, comienza a girar solo y la altura va variando. He tenido que hacerle unas perforaciones y colocar un pasador para "trabar" el pomo y de esta manera dejarlo fijo en la posición deseada.</t>
  </si>
  <si>
    <t>Opción barata para viajes en avión Vale para viajar en avión. Se me rompió la cremallera por usarla 3 o 4 veces.</t>
  </si>
  <si>
    <t>Difícil de usar Aunque cumple su función, no es el más fácil de usar de cuantos he tenido. Buen precio.</t>
  </si>
  <si>
    <t>Horrible No me gusta nada, le he echado como 20 gotas y no huele a nada .. un desastre, si lo sé no lo compro......</t>
  </si>
  <si>
    <t>Algo caro Es caro para lo fino que es ! Y gracias que me vale porque me mando una xxl cuando pedi una xl</t>
  </si>
  <si>
    <t>Buena potencia Muy buena potencia, muy útil aunque los micros no son gran cosa. La única pega es que la central USB da fallos pero fuera de este problema que se solucionará, muy buen producto.</t>
  </si>
  <si>
    <t>Relación calidad precio Por lo que pagué, el resultado ha sido óptimo. Lo recomendaría para los que no se pueden gastar un pastón. Son cómodos y se oyen muy bien</t>
  </si>
  <si>
    <t>Recomendable Funciona muy bien, es muy chulo el diseño y Bosch siempre es una garantía así que recomendable 100% Por ponerle una pega, es como todos estos cacharros, engorroso para limpiarlo</t>
  </si>
  <si>
    <t>Buen calzado Muy cómodo, incluso para pies delicados como ha sido el caso por el que fueron comprados. Cabría señalar que debido al grosor y esponjosidad de la plantilla, en esta zona no es muy fresco. Por lo demás, perfecto.</t>
  </si>
  <si>
    <t>Cómodo Me funciona perfectamente, ya compré uno para mí trabajo y lo he comprado también para casa</t>
  </si>
  <si>
    <t>cartuchos dimo he provado un cartucho en mi dimo y por aora funciona perfectamente</t>
  </si>
  <si>
    <t>Muy útil Relación calidad-precio muy buena.  Buscaba sólo el reposa muñecas del ratón, pero este conjunto me ha descubierto la utilidad del reposamuñecas para el teclado. Ahora trabajo mucho más cómoda y al llevar la almohadilla del ratón con la alfombrilla es mucho más cómodo.</t>
  </si>
  <si>
    <t>Todo Correcto Encantada mi pareja con las bambas</t>
  </si>
  <si>
    <t>Esta bien Es un bolso con varios compartimentos en lo que te cabe lo que llevas en el dia a dia, en principio las cremalleras y la tela se ven robustas, habra que esperar un tiempo de uso para comprobarlo.</t>
  </si>
  <si>
    <t>José Manuel La mochila cumple todas las espectativas. Buena calidad. Varios compartimentos separados. Me ha gustado mucho y la recomiendo a otras personas</t>
  </si>
  <si>
    <t>Sencillamente genial Se conecta a la primera sin problemas, muy fácil de usar y la calidad de sonido es muy buena. La distancia del micro al receptor he conseguido llegar a 18-20m manteniendo la conexión y calidad de sonido. Los materiales son muy robustos. Quizás me hubiera gustado que el micro llevase batería en vez de pilas, aunque es verdad que para usos prolongados en más rápido cambiar las pilas en 10 segundos que tener que cargar la batería. Muy recomendable para tener un micrófono inalámbrico sencillo, bueno y económico.</t>
  </si>
  <si>
    <t>rapidilla Micro SD rápida ... realmente más rápida que cualquiera de los aparatos donde la he podido probar. Al menos mi cámara me reconoce la tarjeta sin problemas y graba perfectamente a los 4k Con mi anterior sd no había manera, ya que era bastante más lenta. Aunque ciertamente tampoco necesito grabar a 4k .... Las pruebas de velocidad en mi PC dan lo que dan, ya que no es demasiado nuevo mi ordenador, pero aun así es grato ver que se consigue sin problemas pasar de los 30mb en grabación, y andar cerca de los 90 en lectura. Parece que cumple con lo que promete, así que quien quiera grabar a 4k lo tiene bien con esta tarjeta, aunque igual sería más aconsejable tirar a por la de 128, por asegurar tener suficiente espacio</t>
  </si>
  <si>
    <t>Perfecto Deportividad, elegancia, robustez, muy cómodo de llevar, etc. Sin duda de los mejores que he tenido. Un gran  reloj.Recomendado 100%100.</t>
  </si>
  <si>
    <t>A mi mujer les han encantado. A mi mujer les han encantado. Hay que comprar un número y medio más del que tengas.</t>
  </si>
  <si>
    <t>Encantada Tiene el tamaño y la forma (gracias a los botones) ideal para que sea cómoda llevarla. Calienta mucho y muy rápido. Soy muy pero que muy friolera y al ratillode tenerla al 6 tengo que bajarla al nivel 1 y estoy así súper agusto. ¡Todo un acierto!</t>
  </si>
  <si>
    <t>COMODOS Y SE AJUSTAN PERFECTAMENTE PERFECTOS PARA CAMINAR</t>
  </si>
  <si>
    <t>Muy práctica y funcional. Me ha gustado,, me parece muy comoda de manejar y muy ligera.</t>
  </si>
  <si>
    <t>Rosas y perfectos!! Genial!!  Lo mejor: el color rosa Barbie que hace que nadie en casa, salvo mi hija, me los quiera quitar.  Pero tienen muchísimas más cosas buenas!!  Se adaptan a las orejas más especiales (nunca antes habia conseguido que unos auriculares inalámbricos aguantaran sin caerse), tienen buen sonido, rápida conectividad, son muy fáciles de usar con pulsaciones rápidas o mantenidas, se pueden usar como manos libres sin interferencias, su bateria es duradera, su tamaño pequeño...  Desde luego, son los mejores auriculares que yo he tenido de este tipo, pues siempre busco un equilibrio calidad-precio y creo que éstos sí que cumplen a la perfección.  Para mí, una muy buena opción de compra si no buscas el último artículo de marca que despunta y lo que quieres es disfrutar de la música en el bus, de camino a clase,en la piscina...</t>
  </si>
  <si>
    <t>Casco muy comodo Lo compramos para una niña de 4 años y estamos muy contento con él.</t>
  </si>
  <si>
    <t>Silvia El micrófono es ligero para ser de condensador. Muy bonito y con un sonido increíble, brillante y nítido. Relación calidad/precio excelente. Super fácil de colocar en la araña directamente sin tener que desenroscar nada. Yo lo uso para hacer covers y el sonido es muy profesional. Incluso lo he usado sosteniendolo con la mano y la calidad del sonido no varía si no te mueves. Si lo mantienes a cierta distancia no he notado efecto pop ni silbido en las S aunque no use el filtro. Tengo dos amigos que lo usan para hacer tutoriales en Internet sobre canto y tanto cuando hablan como cuando cantan el sonido es muy bueno. Llegó en el tiempo establecido y muy bien embalado. Lo recomiendo.</t>
  </si>
  <si>
    <t>Parece un Gshock Excelentes prestaciones y estilo.</t>
  </si>
  <si>
    <t>Lo recomiendo Fácil de usar, calienta rápido y diseño práctico.</t>
  </si>
  <si>
    <t>Sirven para redescubrir la música Mis primeros auriculares de calidad, para música con bastante sub-bass y lineas de bajo són la caña en bicicleta, no se distorsionan y se escuchan súper limpios, desde indie, techno, electrónica, pop (parece mentida pero se puede apreciar la pasta a nivel de producción invertida en muchas canciones de pop famosas), puede que para rock, punk y metal se aprecie poco pero muchas veces es cosa del mixing de las canciones en sí pués en obras más recientes de metal se puede apreciar un bajo más potente y relevante. Dejando los bajos, los mids i highs también són espectaculares y en conjunto dan una sensación de profundidad muy particular y agradable. Los uso también para producción, a veces pasando 8 horas del tirón con ellos, no se hacen pesados ni incomodos, pero si pasas mucho rato con ellos al quitartelos és un alivio. En cuanto al acabado, parece bastante resistente debido al refuerzo metálico que tienen, aun así los he cuidado como a un bebé. De momento, mejor compra que he hecho en auriculares y puede que sea la mejor compra de mi vida, me paso tardes enteras con ellos sólo escuchando música, creo que no puedo disfrutar de la música con otros medios, necesito ayuda :(</t>
  </si>
  <si>
    <t>Conexión novedosa. He usado varios discos duros pero este es el primer que tiene conexión USB C y tengo que decir que es algo muy novedoso. Es tan rápido como un usb 3.0 y funciona sin problemas. Así mismo con W7 lo detectó sin problemas y se configuró a la primera. Además salió a muy buen precio. Lo recomiendo.</t>
  </si>
  <si>
    <t>No son para tanto Si estas esperando un bass extremo te dire que no los compres por 28 euros tienes cascos bluetooth que suenan el triple.. viene con 3 esponjitas a tamaños por si eres orejon y una bolsita para guardarlos pero como te digo si estas esperando que vayan a sonar muy fuerte no los compres ! Tengo unos que me vinieron con el movil que suenan mas...</t>
  </si>
  <si>
    <t>Para regalo Por el precio no esta mal. Son como se describe. Para regalo es perfecto ademas son bonitos y de tamaño lo justo.</t>
  </si>
  <si>
    <t>Compramos para regalo Lo compramos para regalo y la bandolera cumple su función, aparte le compramos una batería para recargar móviles y a quien se lo regalamos saltaba en un pie de la alegría, le molo.</t>
  </si>
  <si>
    <t>No es el que viene en la imagen! La imagen corresponde al producto Cedre, y en la descripción pone Cotonet.</t>
  </si>
  <si>
    <t>Barato y malísimo Un USB de 64 GB 3.0 muy muy lento que ha muerto en  2 meses de uso. Nada recomendable</t>
  </si>
  <si>
    <t>Mala comprq No son comodas. No las volveria a comprar otra vez. Mala compra. Pense que por ser victoria serian mas comodas.</t>
  </si>
  <si>
    <t>Comodisimos Muy cómodo, lo único destacar que vienen algo grandes</t>
  </si>
  <si>
    <t>Grande Numeración grande,pedir una talla menos</t>
  </si>
  <si>
    <t>Mejorable Cumple su funcion pero la cuerda es muy floja tube que comprar otra</t>
  </si>
  <si>
    <t>Calidad Es igual que la foto</t>
  </si>
  <si>
    <t>Muy práctico SSD externo portátil de 500GB. En mi caso comprado como Reacondicionado que como ya he dicho en otras ocasiones, si no fuera por la pegatina que lo indica nadie lo diría, el mio vino hasta precintado.  Es bastante pequeño, tiene una velocidades de lectura/escritura muy buenas para ser USB 3.0, si lo conectas a un puerto 3.1 (USB - C), las velocidades son mejores pero no he podido realizar pruebas de rendimiento. Actualizaré el comentario con alguna captura de la prueba de velocidad.  En la caja lleva 2 cables USB, por un lado un USB-C a USB-C y por el otro un USB-C a USB-A 3.0.  Se puede usar indistintamente en equipos Mac como en Windows siempre y cuando lo formatees como Ex-FAT o si usas NTFS en Mac OS usas algún software que permita escribir en NTFS como Tuxera NTFS o Paragon NTFS.  Muy recomendado.</t>
  </si>
  <si>
    <t>Envio rapido Todo perfecto</t>
  </si>
  <si>
    <t>Recomendable Es comodisima</t>
  </si>
  <si>
    <t>Regalo perfecto Esta pulsera es perfecta para hacer un regalo. Es muy fina y elegante, combinando con cualquier estilo, ya sea casual o arreglado. Es de buena calidad y parece duradera. Viene una bolsita para guardarla y, como ya he dicho, para regalo va perfecta. El dibujo del árbol de la vida está rodeado con un círculo compuesto de pequeñas piedrecitas que la hacen aún más bonita y distinguida. El cordel negro de terciopelo de la pulsera va enganchado a la circunferencia a ambos lados haciendo que el dibujo siempre esté recto; así mismo es suave al tacto y por ello no daña la piel. Esta pulsera puede ajustarse a la perfección a cualquier muñeca gracias al cierre que lleva, siendo muy fácil ponérselo uno mismo sin ayuda.</t>
  </si>
  <si>
    <t>Me encantan La suela es como de gel blandita...y son comodas , para verano al no ser de piel dan calor pero en invierno con unos vaqueros resultan super monas...me gustan mucho la verdad. Muy contenta.</t>
  </si>
  <si>
    <t>salta la rana... recibido cnformere.</t>
  </si>
  <si>
    <t>Original Es Preciosa, aunque da poca talla, ideal para entre tiempo</t>
  </si>
  <si>
    <t>Ok Es la talla correcta. como me esperaba. Es la talla correcta queda como me esperaba. La próxima vez compraré otra vez la misma marca</t>
  </si>
  <si>
    <t>Cumple su función Elegido para conectar diferentes máquinas para entrenamientos cardio/bici/estáticos. Funciona perfectamente y cumple sus especificaciones consiguiendo conectar varios dispositivos de forma simultánea.</t>
  </si>
  <si>
    <t>regalo perfecto para un regalo ,muy bonito ,plata de ley muy bien empaquetada con sello y garantia de lotus . lleva una inscripción preciosa me ha encantado y seguro que le encantara a la persona que va dirigida</t>
  </si>
  <si>
    <t>Reloj Casio color dorado. +Bonito esteticamente. +Es Casio, sinonimo de bateria duradera y calidad. +Buena relacion calidad/ precio.  -Nada negativo a destacar. Cumple en todo.</t>
  </si>
  <si>
    <t>Muy discreto y facil de usar Llego muy bien de fecha y en buenas condiciones. Es muy comodo y discreto para usar. Tambien es muy facil de usar. La unica pega es que es muy fragil. Este es el segundo que compro porque el primero se me  cayó en un deapiste y dejo de funcionar. A pesar de eso lo recomiendo.</t>
  </si>
  <si>
    <t>Genial Es muy amplia, muy buena para dar masajes, y cómoda. Aguanta muy bien el peso, muy buena camilla. La recomiendo.</t>
  </si>
  <si>
    <t>Excelente producto Botas de buena calidad de la conocida marca Dunlop. Las recibi muy rapido y estan muy bien. Se ven de muy buena calidad y tienen un diseño bonito. Los recomiendo. Si esta opinión te ha sido de utilidad, no olvides dejarme un voto.</t>
  </si>
  <si>
    <t>Justito Es lo que es, por lo que vale no se va a pedir mas, no hace ruidos extraños y funciona francamente bien.</t>
  </si>
  <si>
    <t>Andrea Nice nice nice. La calidad de los materiales es muy buena, la potencia del motor nunca falla, producto perfecto para comprar</t>
  </si>
  <si>
    <t>Tamaño perfecto Tamaño perfecto para una cocina mediana/ pequeña funciona muy bien.</t>
  </si>
  <si>
    <t>cumple con lo descrito esta muy bien el cubo con el limpiador , para las paredes y techos fenomenal, esto no es la biblia para tener que escribir un textamento</t>
  </si>
  <si>
    <t>Sencilla y económica. Sencillita, cumple su función. Buena relación calidad precio. No permite desmontar el cabezal para el lavado pero tiene un precio muy ajustado.</t>
  </si>
  <si>
    <t>USB ECONOMICO, PARA FICHEROS GRANDES BIEN, MUCHOS PEQUEÑOS MAL Me dedico desde hace muchos años a la informática y puedo dar una opinión desde mi punto de vista técnico sobre esta memoria, aviso que no es de las mejores que he tenido, económica, pero lenta en general.  La memoria USB llega en un blister como la mayoría de las memorias USB. Lo he estado usando y probando en dos portátiles distintos, para asegurarme de que, las medidas y las pruebas realizadas, fueran correctas. Esta es la versión  USB ARCANITE 256 GB USB 3.1.  • Esta memoria llega en formato FAT32, dejando libre realmente una cantidad de memoria de 115Gbyte, esto es normal ya que se reserva una parte para el sistema, no hay que asustarse por ello.  • El formateo completo, no el rápido, tarda lo suyo, pero siempre me gusta realizarlo con las memorias nuevas recién llegadas.  • En cuanto a la velocidad de copiado, no es tan rápido como se anuncia, con ficheros grandes trabaja bien, pero para el copiado de muchos pequeños el resultado es pésimo. En el test que le he realizado se aprecia esto último, velocidad cercana a los 323 Mb/s en lectura y 104.4Mb en escritura, siempre en secuencial, en tamaños pequeños se ve que es muy pobre el rendimiento que tiene. Formateado a NTFS funcionó algo más rápido, pero sin una diferencia a destacar.  Por lo tanto es una memoria USB que tiene un rendimiento aceptable con ficheros grandes, para muchos ficheros pequeños ya la cosa empeora con diferencia y se aleja de los 400Mb de lectura prometido (aunque dice hasta). Recomendable si copias ficheros grandes y buscas un USB económico, en caso contrario no.</t>
  </si>
  <si>
    <t>Precio y calidad normal.. No son las mejores para el dia a dia son cmo pa resolver por 1 o 2 meses Son normales...entre precio y calidad se ajustan..</t>
  </si>
  <si>
    <t>Trae buena suerte pero es de mala calidad. A los dos días se habían perdido unas bolitas que lleva y el ojo se soltó al poco tiempo de uso.</t>
  </si>
  <si>
    <t>Muy buena compra Nunca había tenido unos cascos de una buena marca. Solo ver la caja y la presentación del producto te hace ver que estos cascos son distintos.  Tras varias horas me parecen muy cómodos y aíslan lo necesario del exterior.  El audio me parece muy bueno, neutral y que permite oír todos los instrumentos sin que ninguno tape a otro.  Eso sí, 42ohm empiezan a pedir una fuente con algo de chicha. Si son para usarlos con móvil más vale que lleve un buen DAC o se escucharan bajo.</t>
  </si>
  <si>
    <t>La talla es pequeña Devuelvo el producto para una talla mas grande, yo llelvo normalmente 42,5-43, he comprado la 43 y me va jutisimo</t>
  </si>
  <si>
    <t>Archivador de tarjetas de una calidad aceptable Cubiertas de una calidad aceptable, y las hojas de plástico para guardar las tarjetas a parte de tener una muesca para poder extraerlas en la costura hay una pequeña separación para una mejor introducción de la tarjeta. Un saludo</t>
  </si>
  <si>
    <t>me gusta pues si es buena compra no hace ruidos al usarla tritura con mucha rapidez y también el emulsionador de salsas</t>
  </si>
  <si>
    <t>Buena compra El producto es bueno y por ese precio vienen dos biberones. Buena calidad, la escala de numeros no se borra con los lavados.</t>
  </si>
  <si>
    <t>Reloj estilo años ochenta pero con estética actualizada Aunque lo he comprado para un regalo y no puedo opinar de su uso, de apariencia es muy bonito y elegante. Más fino que la versión anterior que todos recordamos de pequeños. Y además es sumergible y está bien de precio. El envío fue muy rápido. Lo recomiendo y lo volvería a comprar.</t>
  </si>
  <si>
    <t>Muy toscas son de hombre no de mujer Son inicies tanto para mujer ,como para hombre,pero las que compre son más toscas en el acabado,he tenido que comprar las mismas  pero de mujer no mola nada gastar y volver a comprar muy mal</t>
  </si>
  <si>
    <t>el reloj casio es muy buena marca y además el reloj es una pasada de guapo.</t>
  </si>
  <si>
    <t>Buen reloj Este reloj, es estupendo, muy ligero y bonito. es cómodo, ni se nota, por este precio nada mas puedes pedir, excelente</t>
  </si>
  <si>
    <t>Práctico y original Clásico reloj de Casio con todas las funciones de siempre (alarma, cromo y luz). Decir que la luz no es como los relojes de antes que tenias que mantener el botón pulsado para iluminar, tiene un luz naranja que dura unos segundos. El color muy bonito, pero no es tan rosa como en las imágenes del anuncio, más bien seria una mezcla entre rosa y cobre. Muy contento con la compra.</t>
  </si>
  <si>
    <t>Genial Muy práctico y buena calidad, me ha gustado</t>
  </si>
  <si>
    <t>Muy buenas Al precio que están recomiendo estos modulos de memoria ram, Cumple a la perfección con todo lo que anuncia, ha llegado en tiempo y es mu útil/barato. Muchas gracias y lo recomiendo.</t>
  </si>
  <si>
    <t>Muy buena opción. Lo único que hay que tener en cuenta es que la cámara o el aparato al que vaya destinada admita tarjetas SDHC. Solo formatear la tarjeta con la utilidad suministrada por Toshiba, o no volverá a funcionar...</t>
  </si>
  <si>
    <t>Igual que en la foto 5 de 5 en todo, completamente recomendado. El sonido es MUY bueno, son cómodos, llevo gafas y no molestan y por el precio que tiene son de bastante calidad.</t>
  </si>
  <si>
    <t>Impresionante auricular!! Los auriculares son espectaculares, no podía creer que fueran de tan buena calidad al precio que tiene, se oyen perfectamente y claro, tienen un alcance enorme, me llega a todos los rincones de la casa, es súper fácil de conectar con cualquier dispositivo solo hay que sacarlos de la caja de carga y se conectan automáticamente. La batería de los auriculares dura muchísimo, alrededor de 10h de funcionamiento y la caja de carga tiene para 4 cargas completas, la carga de la caja se carga muy rápido. La caja es muy bonita y tiene un cierre muy bueno para evitar que se caigan, la caja es súper pequeña y manejable. Los auriculares tiene una mini pantalla táctil que solo con darle un toque al auricular pasamos y reanudamos música, con dos toques cambiamos de canción, y también nos permite descolgar y colgar llamadas solo tocando el auricular. Su estética es muy bonita y son muy cómodos, no es para nada pesado, por eso puedes llevarlos sin que te hagan daño o te canses por el peso. Recomiendo 100%</t>
  </si>
  <si>
    <t>Buen material Como en la descripción</t>
  </si>
  <si>
    <t>Sencillez Para regalo, y todo un éxito, es sencillo y viene muy bien presentado en su estuche.</t>
  </si>
  <si>
    <t>Es plata Es plata, no se estropea. Muy bonito</t>
  </si>
  <si>
    <t>Buena chaqueta Muy abrigada. Ligera i práctica</t>
  </si>
  <si>
    <t>El nombre lo dice todo Es una marca que a mi personalmente nunca me ha defraudado. La utilizo en mi Mavic Air y funciona sin problemas. Velocidades de lectura y escritura reales, en algunos tests a mi me han salido incluso más altos de lo que indica el fabricante. Comprobado con un lector usb 3.0 de SanDisk en un MacBook Pro.</t>
  </si>
  <si>
    <t>Geniales Perfectas!!! Tallaje correcto y mi hermano encantado con su regalo. Solo le pondria un defecto q ni siquiera es defecto, echo de menos un segundo par de cordones en otro color al que viene puesto, entonces ya serian un puntazo.</t>
  </si>
  <si>
    <t>Muy bonito Lo compre de ragalo para mi padre y le ha encantado. Le va genial y además los números grandes para él son muy importantes. Muy buen acabado y Casio a buen precio siempre da un producto genial. Lo recomiendo.</t>
  </si>
  <si>
    <t>Perfectas La talla es la correcta. No hay que pedir ni mas ni menos talla. Son botas robustas, comodas, se nota mucha calidad y quedan de p....madre. El envio como siempre rapidisimo y a un precio muy barato para el producto que es. Recomendable 100%</t>
  </si>
  <si>
    <t>Incomodos El diseño de estos bibes es muy chulo, pero al tener la boca tan ancha es bastante incomodo para beber. El tamaño grande todavía, pero el pequeño no lo recomiendo.</t>
  </si>
  <si>
    <t>No es el mismo color No es el mismo color que en la foto</t>
  </si>
  <si>
    <t>no es lo que me esperaba a las dos semanas de usarlas se despegan las perlas del enganche aparte que la plata tiene que ser no de muy buena calidad pq producen una reacción alérgica</t>
  </si>
  <si>
    <t>ESTAFA, imitación cutre Es una estafa, son una imitación mala, igual a la que puedas ver a los manteros de tu ciudad. La caja llegó rota por una esquina, la suela durísima (todo es una única pieza de plástico), tiene una forma extraña, calzan mucho más pequeño que las originales y la suela ha llegado rota. Por supuesto las he devuelto. Una vergüenza.</t>
  </si>
  <si>
    <t>No sirve para pegar cortinas tipo panel japones Se despega con facilidad, lo quería para sujetar cortinas tipo panel japones pero se despega</t>
  </si>
  <si>
    <t>Bien calidad/precio Calidad precio están muy bien, no las hemos estrenado ni mi hija ni yo, no sé el resultado. Pero una advertencia: Calzan PEQUEÑAS. Mi hija pidió el 40 y yo el 38, don los números que usamos y nos quedan un poco justas. Recomiendo pedir medio número más.</t>
  </si>
  <si>
    <t>Es barato, no se puede pedir más Es algo seca. Podría limpiar mejor, pero para el precio que tienen poco se puede pedir. Relacion calidad-precio más que correcta.</t>
  </si>
  <si>
    <t>Leggin normal y corriente No es nada del otro mundo, quizás viene un poco pequeño (aunque quizás de de si con el uso). Buena relación calidad-precio. Por 5 euros la verdad que esta muy bien, he visto leggins en los bazares chinos que están más caros y son mucho más malos que esto</t>
  </si>
  <si>
    <t>Buen producto Buena calidad del producto pero una pena ya que la publicación en cuanto al tamaño confunde y no esta clara con respecto al resto de las publicaciones. Quedo grande. No puede usarla.</t>
  </si>
  <si>
    <t>Aconsejable He usado diferentes productos para evitar la  caida del cabello, este es uno de los ue mejor resultado me ha dado.</t>
  </si>
  <si>
    <t>Aceites 100% naturales Me han sorprendido bastante. Nunca había comprado unos aceites, pero tenía el humidificador y quería probarlos. Al final, me decidí por estos y he de decir que son magníficos. Vienen muy cuquis en su cajita, y huelen de maravilla. Al abrir la caja ya se nota el olor que desprenden. Duran muchísimo y son 100% puros y naturales. Los recomiendo tanto por la calidad- precio, ya que son bastante asequibles como por los olores que desprenden. Gracias.</t>
  </si>
  <si>
    <t>Tiene eficiencia y calidad &lt;div id="video-block-R3LFZKPK7X3OLK"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src="https://images-eu.ssl-images-amazon.com/images/I/E1KfqavTqKS.mp4" style="position: absolute; left: 0px; top: 0px; overflow: hidden; height: 1px; width: 1px;"&gt;&lt;/video&gt;&lt;/div&gt;&lt;div id="airy-slate-preload" style="background-color: rgb(0, 0, 0); background-image: url(&amp;quot;https://images-eu.ssl-images-amazon.com/images/I/A1-AryNXXTS.png&amp;quot;);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center;"&gt;4:27&lt;/div&gt;&lt;div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1.97403%;"&gt;&lt;/div&gt;&lt;div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value="https://images-eu.ssl-images-amazon.com/images/I/E1KfqavTqKS.mp4" class="video-url"&gt;&lt;input type="hidden" name="" value="https://images-eu.ssl-images-amazon.com/images/I/A1-AryNXXTS.png" class="video-slate-img-url"&gt;&amp;nbsp;He probado el modelo 981 de Roomba y puedo confirmar que es uno de los mejores modelos que vas a poder encontrar en la actualidad. En mi caso, el modelo es de color negro.  Aunque puede funcionar perfectamente sin necesidad de utilizar la aplicación iRobot HOME para Smartphone (lo cual puede ser interesante para gente mayor que quiera algo sencillo), vale la pena utilizarla con este modelo, ya que se puede monitorizar el robot a distancia y manejarlo como si se tratara de un mando a distancia.  La 981 tiene 3 botones: -CLEAN:para funcionamiento, limpieza en general -SPOT: para limpiar dando círculos a un punto concreto -DOCK: para inicio y que vuelva a la estación de carga  Tiene sensor de desnivel, por lo que puede subir alfombras sin quedarse atascada, dejándolas limpias de restos (otros modelos suelen atascarse al no poder compensar los bordes de la alfombra). Pasa perfectamente por debajo de muebles, sofás, etc.  Trae un libro de instrucciones en varios idiomas (incluye español) y explica perfectamente: -Uso de robot -Mantenimiento -Solución de problemas, etc.  Trabaja muy bien, se desplaza por toda la habitación y, si a mitad de trabajo se queda sin batería, vuelve a la estación de carga, en la cual se recarga y vuelve para terminar su trabajo por donde lo dejó. Si quieres interrumpir el trabajo del robot primero el botón CLEAN y después DOCK y volverá a la base.  Al igual que los demás modelos, dispone de un depósito extraíble donde acumula todo aquello que recoge. Puedes vaciarlo cada vez que la uses o hacerlo tras dos o tres días, depende lo lleno que esté el depósito. Tiene 2 paredes virtuales, con pilas incluidas, para evitar que pase por donde no queremos, o choque con elementos que queremos proteger, jarrones, etc.  Una característica de este modelo que puede hacer que te decantes por él en vez de otro más económico, es su potencia de succión, 10 veces mayor que en la serie 600. Para una misma superficie es capaz de recoger más suciedad que otros modelos, por lo que se puede justificar su diferencia de precio.  Por el momento, es el mejor modelo de la casa (y de otras marcas) que he podido probar, y si buscara un robot aspirador de gama alta, probablemente me hiciera con este modelo.</t>
  </si>
  <si>
    <t>grapadora Hace ya meses que la tengo y la uso con frecuencia. Hasta la fecha no me ha fallado nunca. Estoy muy satisfecha con esta compra</t>
  </si>
  <si>
    <t>Buen sonido para ser sencillos y fácil plegado para almacenarlos Buscaba unos auticulares de diadema sencillos, que se pudieran plegar para almacenarlos fácilmente.  No tendrán la mejor calidad de sonido del mercado, pero para el uso que les doy y el precio que tienen, me han sorprendido gratamente. Se pliegan muy fácil y caben en cualquier cajón.</t>
  </si>
  <si>
    <t>Buena compra 👍🏻</t>
  </si>
  <si>
    <t>Perfect Muy buena kalidad</t>
  </si>
  <si>
    <t>100% RECOMENDABLE! Una relación de calidad precio fabuloso. Kit muy completo, con sus herramientas para quitar y poner las pasadas. El material está bien acabado, sin rasguños ni nada fuera de lo normal. Las dimensiones muy correctas. Pesa! Pero no lo digo por queja, ya que estamos hablando de una correa de metal, así que es lo más normal.</t>
  </si>
  <si>
    <t>Geniales Super cómodas. Compra inmejorable</t>
  </si>
  <si>
    <t>Igual que en la foto Esta muy bien el cable, se le ve con calidad</t>
  </si>
  <si>
    <t>Comodos Calentitos</t>
  </si>
  <si>
    <t>increiblemente buenos Sinceramente me compre estos auriculares, porque vi que la inmensa mayoría de usuarios que los habían comprado los ponían por las nubes y ya me entro curiosidad. dado que no creía que unos auriculares tan baratos diesen la calidad que decían. Pues bien, los compre!! y son increíblemente buenos, con una calidad de sonido perfecta y un precio prácticamente regalado. Para mi gusto también son comodísimos, con unas "orejeras" grandes que se adaptan muy bien y se pueden pasar horas con ellos puestos sin ningún problema. Estoy completamente alucinado con la calidad de estos auriculares. Tengo auriculares de 200 euros o mas, y os puedo asegurar que les pueden llegar en calidad de sonido. Me he quedado perplejo. Recomendables.</t>
  </si>
  <si>
    <t>Perfectos Son justo lo que buscaba</t>
  </si>
  <si>
    <t>sudadera no creo que va sudar mucho con la sudadera, pero a la niña le encanta</t>
  </si>
  <si>
    <t>CEPILLO BARBACOA de gran utilidad despues de una barbacoa , conseguir quitar todo lo que se queda pegado nunca ha sido cosa facil. pues desde que tengo ese CEPILLO BARBACOA la verdad que ya todo se queda limpio y sin rastros. va genial</t>
  </si>
  <si>
    <t>Muy comodas Zapatillas muy comodas y  en mi caso quedan perfectas.</t>
  </si>
  <si>
    <t>Pantalon Deportivo Muy buen producto, para todas las ocasiones, para no poner nada debajo, se ajusta perfectamente y la piel respira perfectamente, echo para lucir bien y sorprender.</t>
  </si>
  <si>
    <t>Geniales! Por los comentarios tenía dudas sobre la talla. Mi talla es la 38 y fue la que compré y me va perfecto tanto de largo como de ancho, tengo el pie estrecho pero me guié por la talla de unas Nike que tengo y como vi que tenía el mismo tallaje me decidí por mi número y acerté. Son muy cómodas y combinables y son muy chulas! Yo las pillé para el uso diario y para caminatas largas pero no para correr porque no practico running y en ese aspecto no puedo opinar, pero para lo demás estupendas!! Estoy encantada con ellas.</t>
  </si>
  <si>
    <t>Me gusta la calidad precoi Me encanta</t>
  </si>
  <si>
    <t>Practico y funcional me ha sorprendido para bien, buen producto, se escucha bien, el alcance quizas limitado no obstante es algo q no me.preocupa ya que suelo llevar movil en bolsillo o bolso. la música tambien se escucha muy bien y se maneja bien. con Android se conecto de momento, con móvil windows tube mas problema pero mas por el.movil que por el dispositivo,una vez emparejados los dos dispositivos, la conexion cuando lo enciendo es inmediata.  Es comodo de llevar, Estoy contenta con el producto</t>
  </si>
  <si>
    <t>128Gb Alta capacidad - Baja velocidad No lo recomiendo para estar escribiendo mucha cantidad de datos habitualmente, pues la velocidad es muy lenta (5Mb/s). Sin embargo si que la recomendaría como fuente de archivos de video o música.</t>
  </si>
  <si>
    <t>Bien Están bastante bien, algo incómodos cuando llevas más de una hora con ellos. El sonido algo grave cuando subes el volumen, pero en general recomendables.</t>
  </si>
  <si>
    <t>Bonita pero calidad floja. Estéticamente es muy bonita. Relación calidad/precio bien. El uso es muy sencillo. La calidad de los plásticos es lo que me parece muy floja. En teoría es apta para lavavajillas pero a la primera lavada la tapa del vaso se ha teñido como con un color pardo que no sale. El material plástico de toda la batidora se ve de poca calidad, he tenido otras similares y la calidad de los plásticos era muy superior y eran marca blanca. Aún la he usado poco para saber la durabilidad, lo mismo en dos meses ya no funciona, visto lo visto por la cantidad de opiniones negativas sobre Cecotec que he leído últimamente. Lo que sí es cierto es que mandé un email a Cecotec adjuntando fotos de como se había quedado la tapa tras el primer lavado y ni han respirado, ni lo harán, supongo. Espero que la empresa cambie de política con estas cosas y el servicio Post-venta o será otra prometedora empresa española que se va a tomar por saco por la mala gestión. Si tuviera que comprar una batidora de este tipo, a día de hoy, creo que elegiría otra marca, aunque estéticamente esta me gusta mucho.</t>
  </si>
  <si>
    <t>Talla pequeña La talla para nada es lo que corresponde. Es estremadamente pequeña. Tanto que la compre para mí mujer y se la va a quedar mí hijo de 9 años. No la devuelvo porque no vale la pena por 9€ que costó.</t>
  </si>
  <si>
    <t>El peor biberon que he comprado Fatal, mira que he comprado biberones de dr brown y estos me han salido malisimos, sale la leche por la rosca SIEMPRE.....</t>
  </si>
  <si>
    <t>Buena calidad Buena calidad para esta cajita de clips de 100 unidades de una marca muy conocida en el sector a un precio excelente.</t>
  </si>
  <si>
    <t>Zapatillas de estar por casa estupendas Aunque tengo sospechas de que ya estaban ligeramente usadas o probadas anteriormente (la suela estaba algo sucia), he decidido quedarme con ellas y creo que es un acierto. Muy cómodas, (aunque algo pequeñas, se nota la goma de atrás y la etiqueta que trae) acolchados y quedan genial para ir por casa. La suela agarra perfectamente y no paree que marque el suelo. Las recomiendo</t>
  </si>
  <si>
    <t>Práctico Cumple su función</t>
  </si>
  <si>
    <t>Excelente relación calidad/precio En mi caso lo utilizo para micros de platos de bateria, y la estabilidad que ofrece es más que correcta.</t>
  </si>
  <si>
    <t>Auriculares inalámbricos Están muy bien, se escuchan los dos a la vez no como otros auriculares que se escuchan uno solo, y además comodidad y buena calidad de sonido</t>
  </si>
  <si>
    <t>Borra... lo que debe hacer&amp;lt; ¿Qué más le vas a pedir a un borrador? Pues que borre correctamente. Además, la superficie es imantada por lo que se queda pegado a la pizarra metálica y resulta cómodo al no requerir un soporte.</t>
  </si>
  <si>
    <t>Estupenda Funciona muy bien. Ya tenía una igual anteriormente que también dio excelentes resultados. Ideal para purés, cocteles zumos...  se limpia fácil, pero cuidado con las cuchillas porque son muy afiladas.</t>
  </si>
  <si>
    <t>Excelente SD Muy buena tarjeta. Nunca me ha dado problemas. Suficientemente rápida y buena relación calidad precio. La tengo junta a otra de iguales características y marca en mi Nikon D7200 y van de maravilla.</t>
  </si>
  <si>
    <t>precio precio excelente</t>
  </si>
  <si>
    <t>Perfecto para relajarse y aliviar tensiones ;) He comprado el producto y funciona perfectamente. El masaje cambia el sentido del giro y su velocidad es configurable en 3 puntos. También aplica calor.</t>
  </si>
  <si>
    <t>GRAN compra Cómoda con una gran duración del calor, más de dos horas! Lo recomiendo!!! Mejor que una manta eléctrica. Se calienta rápido también.</t>
  </si>
  <si>
    <t>Una maravilla Tal como lo describe en su anuncio, sin engaños y llegó muy rápido</t>
  </si>
  <si>
    <t>Gran disco. Va como un tiro Gracias a un disco de estos por fin mi portátil va como la seda, ya que por muy bueno que sea tu portátil, si tiene un disco mecánico, este será un cuello de botella increíble. Y para un sobremesa también es la mejor inversión que puedes hacer junto con un aumento de RAM si va justo de ella. Con usar el SSD para la partición del sistema operativo y donde se instalan los programas de uso frecuente es más que suficiente. Para almacenar archivos, vídeos, fotos, documentos,... es suficiente con un buen disco mecánico; de hecho es mejor debido a que los SSD envejecen por escrituras (cuidado con guardar muchos archivos grandes con frecuencia). De todas formas con este disco tampoco es muy importante esto porque con un uso normal lo cambias antes por viejo que por llegar al fin de su vida útil. La aplicación de clonado de disco de Samsung que incluye en un CD es muy buena y me funcionó a la perfección. Cuidado si lo usas como disco externo (algo que no veo muy interesante) con una carcasa que no soporte TRIM, pues tu disco SSD puede morir muy rápido. Es una lastima que en el último año en vez de bajar hayan subido de precio este tipo de discos. En resumen: Totalmente recomendable, aunque no sea de los más baratos, pero su calidad lo vale.</t>
  </si>
  <si>
    <t>Útil Cómodo de usar y poner. Por ponerle una pega el mango pesa un poco y se escurre si tienes las manos mojadas</t>
  </si>
  <si>
    <t>Cómodas, ligeras y resistentes. algo grande pero se agradece para cuando este descendiendo para que los dedos no lleguen a tocar, muy comodas y se ven resistentes. Lo único malo es que a veces noto el remache del cordón por dentro. Pero muy satisfecho con ellas la verdad. 100% recomedables</t>
  </si>
  <si>
    <t>Genial Producto original y de acuerdo con la descripción. Totalmente recomendable. Los tamaños coinciden perfectamente. Viene en caja y envoltorio original.</t>
  </si>
  <si>
    <t>ok Vienen geniales, y tienen muchas utilidades, no son unas carpetas para toda la vida pero para transportar papeles, como los del médico, son estupendas y se pueden distinguir bastante bien por sus colores-</t>
  </si>
  <si>
    <t>Genial Bien quedan perfectos</t>
  </si>
  <si>
    <t>supera a lo que esperaba... perfecta... vintage, super precio y exactamente lo que esperaba...</t>
  </si>
  <si>
    <t>Voy a repetir Soy un amante del deporte y utilizo muchísimo la marca Adidas en el modelo response de Climacool y el Estro de ClimaLite. Esta camiseta Nike es espectacular, su tejido y el logo bordado. Eso sí la talla Nike es más ajustada que la Adidas y me gusta hace un cuerpo esterilizado.</t>
  </si>
  <si>
    <t>Muy bien Todo correcto</t>
  </si>
  <si>
    <t>Muy bonitos Son muy bonitos, tal como se muestran en las imágenes, pero al se pequeñitos hay que tener un poco de maña para cerrarlos. Puestos quedan muy cucos.</t>
  </si>
  <si>
    <t>La capacidad de almacenaje y la relación calidad precio Eficaz y eficiente</t>
  </si>
  <si>
    <t>Faltaba parte del producto Venían abiertos y no llegaron los 100</t>
  </si>
  <si>
    <t>Cabezal no extraible Bien, por el precio no se puede pedir mas. Incluye vaso medidor. Tiene poca potencia para determinados alimentos. Espero que sea util</t>
  </si>
  <si>
    <t>Están nien Depende se si tienes el pie finito o ancho te valdrá o no. Son muy bonitas. La suela es de goma, por encima esta acolchado pero no es repelente de agua por lo que a lo mejor se acaba rajando. A las niñas les encanta.</t>
  </si>
  <si>
    <t>Me han deteriorado la funcionalidad del cuerpo durante su uso Me han provocado desfunción plantar lo que me ha llevado a tener espasmos musculares que me impedían caminar, trabajé cojeando y con mucho dolor, cada vez que tenía un espasmo me fallaban los músculos y no podía sostenerme durante ese instante y caía. No lo recomiendo para nada. Es más, creo que voy a denunciar a la compañía. No le doy 0 estrellas porque no puedo. Fue cambiarme de zapatos y comenzar a recuperarme.</t>
  </si>
  <si>
    <t>Hacen rozaduras La parte trasera hace rozaduras en los talones.</t>
  </si>
  <si>
    <t>Reducidos Son un poco reducidos, yo normalmente soy 39 pero me quedaban muy ajustados, estrechos de los dedos, los 40 los siento un poco grandes.</t>
  </si>
  <si>
    <t>Calentador tetera Muy bueno. Practico y comodo. Calienta rapidamente en placa de induccion. Tiene mucha capacidad y un estilo elegante y funcional.</t>
  </si>
  <si>
    <t>Reloj que cumple con su cometido. Reloj basico de caballero, esfera bonita en azul oscuro, con numeros amplios. Correa practica y comoda. Nada mas que destacar.</t>
  </si>
  <si>
    <t>No va mal por ahora No va mal por ahora</t>
  </si>
  <si>
    <t>Por calidad precio está bien Utilizamos un robot cecotec 990 y como todos (mi padre tuvo otro) limpia y se comporta muy bien hasta que al año y medio deja de funcionar. Nos decidimos por este por las opiniones y la calidad de la marca y puedo opinar lo siguiente en comparativa con el anterior: Es más ruidoso y limpia de manera aleatoria chocando despacio con los muebles u objetos (aunque es verdad que limpia todo lo hacía más eficiente y sin chocar el cecotec) Es más rápido y la calidad de los materiales es más correcta que el cecotec. En resumidas cuentas si dura más que el cecotec si no pues es mejor el otro robot por eficiencia de limpieza</t>
  </si>
  <si>
    <t>Cumple con su función La verdad que esta muy bien y lo compre para utilizarlo en la piscina, así como de despertador. Consume poca energia y se suele apagar para no gastar. Es pequeño y no pesa nada ... A ver como resulta ...</t>
  </si>
  <si>
    <t>Cumple perfectamente su función. Perfecto para lo que lo compre, fácil de pegar, cómodo y no se despega con el tiempo. Envío rápido y embalaje perfecto.</t>
  </si>
  <si>
    <t>Calidad producto Excelente producto, cómodo y funcional.</t>
  </si>
  <si>
    <t>Perfecta nada que decir que no se sepa</t>
  </si>
  <si>
    <t>Cómodo y práctico sin hilos Por ahora , va estupendamente . Gracias y saludos</t>
  </si>
  <si>
    <t>TODO PERFECTO La chaqueta es bastante larga y muy caliente. Me ha llegado muchísimo antes de lo previsto.</t>
  </si>
  <si>
    <t>Encantada Me ha encantado, igual o mejor que en la foto</t>
  </si>
  <si>
    <t>¡Agua caliente en solo unos minutos! &lt;div id="video-block-R220MECHT7K33X" class="a-section a-spacing-small a-spacing-top-mini video-block"&gt;&lt;/div&gt;&lt;input type="hidden" name="" value="https://images-eu.ssl-images-amazon.com/images/I/818lw9AM09S.mp4" class="video-url"&gt;&lt;input type="hidden" name="" value="https://images-eu.ssl-images-amazon.com/images/I/A1BBtYoVw7S.png" class="video-slate-img-url"&gt;&amp;nbsp;Tomé esta tetera después de evaluar durante mucho tiempo entre las muchas opciones propuestas por Amazon, y debo admitir que realmente me sorprendió. El paquete llegó rápidamente, bien embalado y con una entrega muy precisa.  Según lo descrito, el hervidor está hecho de vidrio de borosilicato, y la base de hervidor de agua cristal está hecha de acero inoxidable. Todas las partes en contacto con el grado de agua están hechas de materiales de alimento. Los materiales son de excelente calidad e incluso cuando el agua hierve, aunque sienta el calor, no corre el riesgo de quemarse.  Lo uso regularmente y varias veces al día, especialmente en este período de invierno, para calentar agua para té, pasta, etc. A pesar del uso continuo, se comporta muy bien y funciona bien.  Muy fácil de usar: simplemente inserte el zócalo y presione la palanca. El color azul es elegante y no molesto, y me parece muy moderno, le da un toque de alta tecnología a la cocina. Cuando hace calor es bastante ruidoso, pero compensa con un calentamiento muy rápido  Todos los materiales son duraderos y fáciles de limpiar.  En el interior hay un manual de instrucciones muy claro en varios idiomas: contiene todas las advertencias, instrucciones y una guía de limpieza completa.  Compra superior, estoy muy feliz.</t>
  </si>
  <si>
    <t>Auriculares Buena calidad  embalaje perfecto</t>
  </si>
  <si>
    <t>Muy buen materia Nos gustó pero pensábamos q era más pequeño. El material muy bueno pero al no ser del tamaño q buscábamos lo devolvimos y la verdad es que seguiremos comprando. Llegó en una semana</t>
  </si>
  <si>
    <t>Ideal Toma los biberones con mucha facilidad</t>
  </si>
  <si>
    <t>Buen producto Ha cumplido mis expectaciones</t>
  </si>
  <si>
    <t>Bien relación calidad precio. Excelente.</t>
  </si>
  <si>
    <t>Nunca Falla Como todo lo que compro de Ugreen es de buena calidad y a un precio adecuado. Cada vez me gusta más esta marca!</t>
  </si>
  <si>
    <t>Usuaria habitual de Amazon Muy bien en general</t>
  </si>
  <si>
    <t>Diseño moderno, cómoda, liviana Muy buena jarra, excelente poder regular la temperatura.</t>
  </si>
  <si>
    <t>Calidad en sonido Muy buen sonido, con un sonido muy claro y excelentes graves.  El sonido en llamadas es muy bueno también, aislando mucho el ruido exterior, casi imperceptible.  La sujeción al oído es muy buena, casi no se mueven, incluso al hacer deporte. Después de un par de horas usándolos, no hacen daño.  Llevan la caja de carga, donde los guardas y cargas al mismo tiempo. El estuche de carga es de muy buena calidad, con un tacto semirugoso.</t>
  </si>
  <si>
    <t>Calidad / precio Solo lo he probado las primeras horas, la calidad de sonido sin ser lo mejor, es aceptable por el precio.  Veremos como el tiempo si los materiales aguantan bien ;)</t>
  </si>
  <si>
    <t>No funciona en dos usos. Ha dejado de funcionar el display. Con solo dos usos desde la compra.</t>
  </si>
  <si>
    <t>Sin cables De momento muy satisfecho con la impresora, al trabajar por conexión inalámbrica se puede colocar en el espacio que más oportuno y no necesariamente pegada al ordenador. Costó un poco conectarla con el router, pero una vez conseguido los demás dispositivos se vinculan sin problemas. La calidad de impresión está bien teniendo en cuenta que es por inyección de tinta. Lo que no me gusta es que al escanear documentos lo hace como jpg y no da opción a hacerlo en pdf directamente.</t>
  </si>
  <si>
    <t>Regular tirando a mal El acabado es normalillo. Las cremalleras funcionan bien pero se las ve debiles. En conjunto es mas pequeño de lo que parece, no cabe una tablet de 10". Los cordones que hacen de tiradores de las cremalleras se destan con la mirada y te obligan a rehacerlos cada poco tiempo. Se va destensando el tirante poco a poco y hay que ajustarlo muy a menudo. El mosqueton del tirante es de plastico, que se ve bastante endeble y no tiene pinta de durar mucho. Cumple su funcion en ambiente urbano, pero no sirve para outdoor</t>
  </si>
  <si>
    <t>Diminuto Es diminuto. Solo sirve para el dedo meñique. Caro por el tamaño que tiene.</t>
  </si>
  <si>
    <t>No se oye El volumen es muy bajo y la gente mayor casi no lo oye</t>
  </si>
  <si>
    <t>De agua Me ha gustado, pero esperaba que se verían los números de noche, no solo las agujas</t>
  </si>
  <si>
    <t>Muy pequeños Super pequeños.</t>
  </si>
  <si>
    <t>Calcetines Hola!!!  A lo unico que podria ponerle un comentario negativo es que para mi "es una opinion muy personal" quiza sea un poco aspero el calcetín,pero por lo demas muy bonitos. Espero que te ayude y tampoco lo tomes muy mal...es una simple opinion que espero no te moleste. Un saludo!</t>
  </si>
  <si>
    <t>Tallaje grande Compré una talla menos de la que uso y perfecto. Muy comodo.</t>
  </si>
  <si>
    <t>Calidad-precio buena pero no muy rápida (procesamiento) · Embalaje: Buen embalaje que suele ser lo principal de las "marcas". · Feedback positivo: Buena calidad para usar en tabletas y móviles. Buen material y calidad de producto. · Feedback negativo: Pienso que no es muy válida para cámaras fotográficas que requieren más rapidez de procesamiento.  · Conclusiones: Buen producto y buena calidad-precio pero siempre viendo el uso al que tenga que ir dirigido.</t>
  </si>
  <si>
    <t>Buen producto Buen producto de la típica marca de pegamento en barra. Para mi gusto, es la mejor marca en este tipo de productos.</t>
  </si>
  <si>
    <t>Todo bien Todo perfecto. Tamaño esperado, suave y calentita</t>
  </si>
  <si>
    <t>Pequeño gran pendrive He tenido un sin fin de pen drives anteriormente y este es de lo mejores hasta la fecha, se nota su calidad con tan solo abrirlo. Que el cuerpo se metálico en su totalidad le da un plus añadido. En cuanto a velocidad de lectura y grabación simplemente excelente, rápido y estable, sin picos raros u otros problemas. Sin duda un gran Pendrive!  Pros: Tamaño, capacidad, rapidez y precio. Contras: Hasta la fecha no puedo reportar ninguno.</t>
  </si>
  <si>
    <t>Envío super rápido Buena calidad, no transparente nada. Envío en 24 horas</t>
  </si>
  <si>
    <t>Me ha encantado Me ha gustado mucho, tenia otra pero ya había que cambiarla. Lo que mas me gusta es la rapidez en calentar el agua 2 o 3 minutos y ya está hirviendo y tanto para el the, las infusiones o cuando cocino y necesito tener agua caliente es fenomenal. Fácil de limpiar y de usar. La colocas en su plataforma le das al boton de seguridad y el led te indica cuando esta caliente el agua. Precio, uso, limpieza a un precio economico. Excelente</t>
  </si>
  <si>
    <t>Guarda fotos del móvil al USB Me ha gustado lo práctico que es para mover fotos, archivos y vídeos del móvil al dispositivo, no me ha gustado que no vale para el Mac book pro</t>
  </si>
  <si>
    <t>Muy buenas Perfectas, mi mujer esta encantada.</t>
  </si>
  <si>
    <t>Comodos y de buena calidad Aparte de su bonito diseño son muy comodos. Llevo dias con ellos escuchando la musica y a veces juego en los juegos , y quiero decir que el sonido es realmente bueno. Son muy ligeros y vienen con una pinza para mas comodidad, asi no se enredan los cables ni te molestan. Los he provado con el samsung y con Ipad y genial. Tambien tienen un microfono para hablar con manos libres. En general no tengo ninguna pega. Muy buena calidad por muy buen precio.</t>
  </si>
  <si>
    <t>Rápida y compacta. Compré esta tarjeta para mi cámara de acción y estoy encantado. Además de contar con mucha capacidad: 64GB, es muy rápida. Ha sido un acierto poder comprarla. 100% recomendable.</t>
  </si>
  <si>
    <t>Muy cómodas Muy cómodas, plantillas acolchadas, tacto suave por dentro, diseño atractivo y moderno</t>
  </si>
  <si>
    <t>Igual que foto Supe bien, con muchos departamentos</t>
  </si>
  <si>
    <t>Perfecto Muy contento con la compra. Mi portátil MSI CX72 7QL solo venía con un HDD, con lo que Windows iba bastante lento. Con este SSD he podido darle una segunda vida, ahora va muy fluido. Además, mover todo (incluido Windows) de un disco a otro es super sencillo.</t>
  </si>
  <si>
    <t>Ideal Me ha gustado mucho es preciosa</t>
  </si>
  <si>
    <t>Lechera de buena calidad. Muy buena relación calidad-precio. El envío rapidísimo.</t>
  </si>
  <si>
    <t>Cubo fregona Muy satisfactorio el producto, no pesa nada, muy bien y muy rápido la entrega</t>
  </si>
  <si>
    <t>Una betia parda Siempre ma ha gustado Crucial desde hace 20 años me encanta en todo lo que sea meoria flash, he tenido RAM, SSDs e incluso tarjetas SD antiguas de cuando eran de unos megas y no como ahora que son de gigas. Este SSD tiene un buen precio y un rendimiento muy bueno, puede que no sea como la versión extrema de otros fabricante pero es que cuesta la mitad. En la empresa donde trabajo alguno nos ha fallado de otras marcas como Kington, OCZ y Corsair, pero Crucial y Samsung no nos han fallado nunca. El rendimiento específico técnico es como se describe en la dandome entre 490 y 515 MB/s de escritura y lectura y una media de 89k iops. Sin duda lo recomiendo, yo tengo este de 1TB en el Pc pricipal y luego otros 3 (de capacidades menores) montados como unidad C en dos portátiles y un ordenador más pequeño.</t>
  </si>
  <si>
    <t>Me gusta mucho Con estos auriculares,no te equivocas entre los de precio medio.Los auriculares no se presionan en la cabeza(incluso después de un largo juego,las orejas no sienten dolor porque llevan mucho tiempo)</t>
  </si>
  <si>
    <t>Tal como aparece en la descripción Estoy súper contenta con estas zapatillas. El tallaje es perfecto, la calidad como se espera. No tardaron en llegar, son totalmente como me esperaba. Las volvería a comprar y las recomiendo 100%.</t>
  </si>
  <si>
    <t>Para deporte son super cómodos Estos auriculares los he estado usando para hacer deporte y son una pasada como se oyen y sobre todo lo cómodos que son, además lo mejor que tienen son la batería, no es que duren ya de por sí burrada y media sin tener que ponerlos en su basa para que carguen, sino que es que la base es una powerbank de las grandes y te puedes estar sin problemas 1 día entero sin pisar un enchufe y sin parar de escuchar música de Spotify, la verdad es que super contento con ellos, al principio estaba algo escéptico por el precio que costaban pero lo valen 100%.</t>
  </si>
  <si>
    <t>Se pone fea enseguida. Pierde su brillo muy pronto Yo no la regalaría. Se pone fea enseguida</t>
  </si>
  <si>
    <t>Para correr no valen El producto funciona bien, se escucha bastante bien y trae un cable bastante largo. El problema es que como auriculares deportivos deja mucho que desear... en cuanto sudas un poco corriendo se empiezan a caer y ya no paran, si quieres unos cascos para correr no los recomiendo.</t>
  </si>
  <si>
    <t>Muy decepcionante Último producto de Sandisk que compro. Un mes y una memoria rota( de 3 que trae el paquete). Ya me había pasado anteriormente con memorias microSD de la misma marca, pero no caeré más, esta marca está descartada para siempre. Incluso en Amazon se cuelan falsificaciones de SanDisk, buscad esto en Google y veréis ejemplos de las falsificaciones a las que me refiero: sandisk amazon scam</t>
  </si>
  <si>
    <t>Las marcas de agua no desaparecen. Las marcas de agua no desaparecen, por lo que un lado del documento se estropea. No es cierto lo que dice la publicidad.</t>
  </si>
  <si>
    <t>No funciona y esta usado No funciona el motor. El embalaje venía abierto y una de las palas parece que esta usada. Una de las palas encaja muy justo y cuesta trabajo sacarla. Las otras dos si salen y entran bien.</t>
  </si>
  <si>
    <t>Muy útil Era lo que necesitaba. Plástico rígido que protege bien la tarjeta y llavero que se puede enganchar a trabilla o como pinza lo que lo hace más versátil. Y el sistema retráctil que lo hace práctico en mi caso ya que tengo que acceder a diferentes zonas con la tarjeta y así la tengo siempre a mano. Buen producto.</t>
  </si>
  <si>
    <t>Genial Buena sujeción y muy comodo</t>
  </si>
  <si>
    <t>Lo que necesitas perfectamente hecho No lo he encontrado en ninguna parte mas que aqui, se conecta sencillamente y no genera ruido, su función la hace genial.</t>
  </si>
  <si>
    <t>Gran decepción. Demasiado lento para esa capacidad. Después de copiar casi 4Tb de archivos entre 1 y 3 Gb (películas de cámara réflex convertidas a MKV y MP4), los resultados son los siguientes:  Velocidad de escritura media (y casi máxima): 65 MB/s (un 25% más lento que mis viejos discos)  Velocidad de lectura media: 170 MB/s (un 15% más rápido de media que mis viejos discos)  Su única utilidad es la de almacén de datos que no se renuevan, pero que se deben leer con cierta velocidad.  En resumen: Sirve para hacer copias de seguridad (poco a poco, porque escribe muy lento) y guardarlo en una estantería, donde queda muy bonito.  Habrá que comprobar cuántos años aguantan los datos sin deteriorarse.  Actualizo: Hacía ruidos raros y se desconectó ayer varias veces. Le cambié el cable USB por uno de otro disco WD y ha desaparecido el ruido y no ha vuelto a perder la conexión.  He tirado el cable original. Recomiendo a quienes escuchan ruidos y pérdidas de conexión que prueben con otro cable USB.</t>
  </si>
  <si>
    <t>son muy comodas me gustan mucho, son muy cómodas pero hay que amarrarlas bien porque al tener tanta suela pesa un poquito mas que una victoria convencional</t>
  </si>
  <si>
    <t>Llegada muy rapida Me gusta mucho es una correa perfecta</t>
  </si>
  <si>
    <t>Muy cómodas Perfectas. Se ajustan como un guante. Parece que voy en zapatillas de estar por casa</t>
  </si>
  <si>
    <t>Genial Todo bien, nada que decir. Calidad precio al tope</t>
  </si>
  <si>
    <t>Maravillada 🙌 Llego en el tiempo estimado, el anillo es muy bonito con una piedra preciosa y bien sujeta, por ese precio estoy sorprendida por que vale la pena, me encanta.</t>
  </si>
  <si>
    <t>Gran batería, buen sonido y alto, muy muy comodos.etc... Solo tengo buenas palabras para este producto ya que supera de sobra a los galaxy buds y apple airpods que e tenido.  El sonido es expectacular. Sobretodo el alto volumen de sonido que pueden llegar a alcanzar.  Son in ear asi que aislan, la bateria es brutal e estado entrenando dias y solo a abajado al 80-90%. Entreno con ellos mínimo 2h al día, correr en cinta, salir a correr con lluvia aveces, en el gym sudo de tanto correr y soportan perfectamente y de sobra el sudor, agua también, pero no son aptos de sumergirse lógicamente.  También los e usando para flexiones, abdominales osea e echo también movimientos bruscos. Los e usado todo el entrenamiento de 2-3-3.30h sin quitarmelos para nada de lo comodos que son, enserio son muy comodos estas horas y no te hacen ni daño, claro tienes que ponerte los accesorios (gomas) para adecuarlos a tu oreja. No pesas casi nada. Bluetooth 5.0 muy rápida conexión.  En 4 semanas usandolos todos los dias, no se me han caído ni una sola vez, ni me han echo daño al tenerlos puestos por la gran variedad de accesorios(gomas) para ajustar tu comodidad que traen.  Compré los galaxy buds, apple airpods 2, y se les iba la conexión impensable para mi con esos precios y en cambió a este producto no se le va apenas, mucho menos que a los galaxy buds.  Aislan, son muy comodos, gran batería, resistencia al sudor y agua, gran calidad de sonido (los bajos brutales) y puede llegar a tener sonido muy alto.  Son excelentes. Enserio.  Y vienen aparte de accesorios para adecuar a tu tipo de oreja(gomas) viene con un estuche redondo perfecto de transporte. Los recomiendo 100%.</t>
  </si>
  <si>
    <t>Es sencillo y elegante Queda muy bien, y luce muy bonito</t>
  </si>
  <si>
    <t>Me va genial Me va genial</t>
  </si>
  <si>
    <t>Recomendables Recomiendo usar la guía de tallas en la web del fabricante, a mi me fue perfecta. Los zapatos me han parecido muy cómodos y el diseño muy bonito.  Decir también que mantienen el pie seco y transpiran bien.  Ahora faltar ver como envejecen, esperemos que bien.  El envío muy rápido.</t>
  </si>
  <si>
    <t>Auriculares 100% recomendados Auriculares que por su precio cumple a la perfección, muy contento 10/10.</t>
  </si>
  <si>
    <t>Muy recomendable. Muy buen producto a muy buen precio. Envío rápido. La talla perfecta con el número que suelo utilizar habitualmente en otros calzados. Totalmente recomendable.</t>
  </si>
  <si>
    <t>Clara Muy buen precio respecto a comprarlo en una parafarmacia. Tamaño medio y el agujero de la tetina es de flujo lento</t>
  </si>
  <si>
    <t>Ámbar Regalo perfecto para bebés alivia los dolores de los dientes</t>
  </si>
  <si>
    <t>lindo es bonito hoy me vino me uviera gustado mas sosten en los pechos pero es exacto como la foto esta precioso me encanta</t>
  </si>
  <si>
    <t>Desmaquillante ecológico Muy buen resultado. Pero lo más importante es que es ecológico. Ya no hace falta utilizar tanto desmaquillante y discos de algodón. Cuesta un poco más quitar el maquillaje de pestañas permanente, pero funciona perfectamente con todos lo demás. Y el medio ambiente nos lo agradecerá.</t>
  </si>
  <si>
    <t>Tostadora de bonito diseño y práctica Tostadora preciosa, decorativa y práctica</t>
  </si>
  <si>
    <t>Perfecto Súper cómodo</t>
  </si>
  <si>
    <t>Una buena compra Al principio tenía mis dudas, ya que tengo el samson meteor mic, que está muy bien. El Rode está a otro nivel, mucho más compensado, con unos medios y agudos claros. No he tenido que ecualizar las grabaciones, y no capta tanto ruido de fondo, teniendo en cuenta de que es un micro de condensador. Como desventaja, el tamaño. Materiales inmejorables. Si estás dudando, te recomiendo invertir un poco más de dinero y apostar por este micro, no te defraudará.</t>
  </si>
  <si>
    <t>Es como se anuncia Igual que el anuncio</t>
  </si>
  <si>
    <t>Producto correcto Lo utilizo para conectar un Pc (Win-7) con un teclado Yamaha (del 2007) junto con Synthesia y funciona. También lo he conectado a un teclado Casio bastante antiguo y también funciona. La instalación de drivers es automática y rápida. Basta con seguir las sencillas instrucciones que figuran en la propia caja. Para mis necesidades ha resultado totalmente adecuado. Recomendable. Aunque en la descripción del producto no se indica nada, tiene unos indicadores luminosos de operación.</t>
  </si>
  <si>
    <t>Mucha holgura en el dial exterior Al recibir el pedido y abrirlo observo que el dial exterior, tiene muchísima holgura y el fechador no cambia de hora He pedido un reemplazo del producto Amazon como siempre de lujo en plazo</t>
  </si>
  <si>
    <t>Mucha talla de largo, pedir 1/2 número menos, Da más talla de la esperada, sobre todo de largo.</t>
  </si>
  <si>
    <t>Producto ocurrente Responde a la descripción del fabricante, pero no apto para personas que midan mas de 1,80 de altura, pués el mango queda un poco corto y la fregona al ser grande y pesar mas que las normales se vuelve incomoda de manejar. Ideal para personas menudas. Escurre perfecto y a medida de lo que cada uno quiera.</t>
  </si>
  <si>
    <t>Como esperaba Cumplen su función, a día de hoy no se me ha roto ninguno (ya que me esperaba qu el plástico fuera más fino y con la presión para cerrar y abrir acabara cediendo). Además de colores muy alegres que hacen que destaquen en cualquier tejido.</t>
  </si>
  <si>
    <t>A la primera ducha le entra agua Cuando me llegó ya sospeché al ver alguna mota de polvo dentro del dial, pero no le di demasiada importancia, y a la primera ducha con él (con la corona obviamente cerrada) le entra agua dentro...</t>
  </si>
  <si>
    <t>Malo y para el precio que tiene una birria de dispositivo La calidad del sonido es pesima, he tenido auriculares 3 veces más baratos infinitamente mejores, el micrófono o gritas y te dejas la garganta o es imposible que alguien pueda oirte, en equipo windows no reconoce las pruebas de reproducción ni gritando, el sonido metalico a más no poder. Voy a devolverlo porque es una birria y un engaño y por este precio me compro tres que son más efectivos y de mayor calidad de sonido y reproducción, seguro que menos aparentes, pero infinitamente mejores en sonido. Una decepción.</t>
  </si>
  <si>
    <t>Buen producto Es un buen biberón. A mi personalmente me gusta mas que sea de cristal. La tetina es cómoda y le gusta bastante. Aveces la colapsa un poco y no deja pasar la leche, pero moviéndolo mínimamente en la boca se soluciona.</t>
  </si>
  <si>
    <t>Creo que está bastante bien Tiene bastante capacidad y para la escuela viene muy bien es original y de buena calidad estoy contenta</t>
  </si>
  <si>
    <t>comodos, pero..... estan bien, relación calidad precio, buena. pero la parte del talon tiene un bultito que crea alguna molestia</t>
  </si>
  <si>
    <t>Cómodas Comidas pero la suela un poco fina a penas me han durado 5 meses</t>
  </si>
  <si>
    <t>Perfectos para mi amiga Compré de nuevo los pendientes, más el collar en esta ocasión para una amiga. Está encantada con ellos. En la foto que me envió se aprecia que el pendiente es pequeñito, pero luce bien. Venían bien protegidos; ¡buena plata y un producto fino y elegante con un buen precio! Seguro que vuelvo a repetir.</t>
  </si>
  <si>
    <t>Encantado Me ha encantado el producto. Tiene un diseño bastante elegante que da una gran sensación de calidad. Son bastante cómodos de llevar en el oido y, además de ajustarse bien, es muy difícil que se te caigan, ya que se adaptan muy bien al contorno de tu oreja. La batería es otro punto fuerte del producto ya que tiene una larga duración. El control de volumen desde los auriculares, con sus botones es muy cómodo y útil. Tiene una conectividad fácil e intuitiva, sin haber usado antes otros lo sabras conectar sin tener nigún problema. La calidad del sonido es perfecta, ya que no se oye ningun tipo de interferencia, ni niebla, sino que es un sonido limpio que muchos otros auriculares del mercado querrían. Como se puede observar en las fotos que acompañan a la reseña, el kit viene bastante completo, en buen estado y con accesorios acertados, como el cable para cargar los auriculares o las distintas almohadillas para que se adapten mejor a tu oido. En conclusión, es un producto que recomendaría y volvería a comprar, ya que vale para todo tipo de cosas, los puedes usar para estudiar, para estar tumbado, para trabajar o simplemente para hacer deporte sin la preocupación de que se puedan caer.</t>
  </si>
  <si>
    <t>Perfecto Me encatado</t>
  </si>
  <si>
    <t>Todo perfecto Talla, material y punta de acero perfectos y como esperaba</t>
  </si>
  <si>
    <t>Buena impresión. Las compré para imprimir etiquetas y van muy bien con la impresora.</t>
  </si>
  <si>
    <t>Muy buen producto Muy buen producto. Entra un montón de cosas dentro y es muy cómodo a la hora de tener organizado la que quieres tener dentro.</t>
  </si>
  <si>
    <t>Compacto, ligero y con gran capacidad de almacenamiento Se trata de una unidad USB de 64 GB de capacidad con un bonito y sorprendente diseño en forma de huella animal. Estéticamente es un pendrive muy llamativo a primera vista, pero con una alta capacidad de almacenamiento, por lo que podrás guardar mucha información en él. Por otro lado es muy compacto y ligero, por lo que ocupa muy poco espacio y es muy ligero. Es ideal por tanto para llevar a diario en tu bolsillo y tenerlo siempre a mano. Por último añadir que una vez conectado al puerto USB de tu ordenador, éste lo detecta muy rápidamente, igual de rápido que accedes a la información guardada en él. Sin duda alguna os lo recomiendo como una buena compra!!</t>
  </si>
  <si>
    <t>Excelente Nada tiene que ver con el resto, tiene resistencia y pega perfectamente, se le nota con calidad no como las otras mas economicas.</t>
  </si>
  <si>
    <t>Buen producto Producto genial. Muy bonito y un pack a un precio muy bueno.</t>
  </si>
  <si>
    <t>Igual a la foto El producto está bien . Fue un regalo y queda todo bien guardado, ordenado y visible . Lástima que no caí en que  que no se puedan guardar pendientes de aro grandes .</t>
  </si>
  <si>
    <t>Funciona perfectamente No conseguía que mi móvil ni mi cámara de fotos grabaran el audio desde un micrófono  profesional externo (que tenía 2 rayas negras en el jack). Así que compré este adaptador (que tienen 3 rayas en el jack) y ahora ya puedo grabar el audio por el micrófono externo.</t>
  </si>
  <si>
    <t>Los separadores Muy bonito  y practico</t>
  </si>
  <si>
    <t>Satisfecho Comodo,ligero y bonito,el que para ponerle en hora no biene en castellano,pero no a sido dificil</t>
  </si>
  <si>
    <t>Muy útiles y prácticos. Buena calidad Los compré principalmente para que los niños puedan oír lo mismo desde la tablet en el coche, que está en el centro de los dos asientos traseros, sin mediar cables. Y funciona genial. Ademas los he usado para oír música con mi Xiaomi y la calidad es muy buena. Puedes usarlos además como dos auriculares bluetooth independientes, con lo que de un golpe tienes dos auriculares mono si se necesitan. La caja carga perfectamente. Sin queja alguna.</t>
  </si>
  <si>
    <t>No sabía que existía, y ahora no puedo vivir sin él. Como producto, un 9! No le pongo el 10 porque las tapitas se pueden perder con facilidad. La aplicación que te tienes que descargar sí que la mejoraría mucho; es poco intuitiva y no saber bien qué exportas y dónde se guarda.</t>
  </si>
  <si>
    <t>Fiable y duradero. No es la primera vez que compro este USB. Va muy bien y en general me a sido siempre muy fiable, dato a tener muy en cuenta.</t>
  </si>
  <si>
    <t>Muy cómodos y prácticos Muy cómodos, los uso para la hostelería por lo que paso muchas horas de pié con ellos y se adaptan muy rápidamente, la suela antideslizante va genial y el ser impermeables es muy práctico, los recomiendo totalmente.</t>
  </si>
  <si>
    <t>Fabulosos Tengo la suerte de haber probado diferentes modelos de auriculares bluetooth y estos son mis favoritos, los motivos son los siguientes: - Cómodos - Agarran bien, de todos los que he probado estos se me agarran muy bien. Bien es cierto que esto es subjetivo. - No dan problemas al conectarse y después de la primera sincronización con el smartphone se conectan de manera inmediata. - El botón funciona MUY BIEN, habrá modelos táctiles pero este botón responde de maravilla. - La batería dura mucho, de hecho en 5 días de uso intensivo aún no los he tenido que cargar.  Sin duda este es mi modelo favorito.</t>
  </si>
  <si>
    <t>Estaban rotas Bueno al abrirla del paquete estaban descosidas por los laterales se me derramo todo su interior., ademas no calienta mas de media hora, no cumple lo que promete, por lo demas solicite la devolucion y estupendo todo muy rapido y eficaz.-</t>
  </si>
  <si>
    <t>Buena calidad para escuchar musica, peor como manos libres Los auriculares tienen un buen aspecto y el packaging es correcto. Para escuchar musica estan muy bien. El problema - en mi caso- es al usar el manos libres, se me escucha muy mal, como si estuviera lejos...Uso un Samsung S7, por si a alguien de Android tambien le pasa :-(</t>
  </si>
  <si>
    <t>Pesimo producto Muy malos, en 3 meses de uso suela gastada y el interior todo el forro destrozado. No deja este producto nada bien a la marca</t>
  </si>
  <si>
    <t>Me ha durado 2 meses si llega Me ha durado muy poco, no llega a 2 meses, al mínimo golpe que se lleva el jack adiós, no compro más de esta marca que no me regalan el dinero</t>
  </si>
  <si>
    <t>Buena compra Después de usar esta aspiradora tres semanas puedo decir que cumple con lo que esperaba. La batería dura lo suficiente para limpiar mi piso de 90metros. La capacidad de aspiración es mejor de la que esperaba para una aspiradora inalámbrica. Y la forma de vaciar el depósito es facilísima y muy limpia. Lo peor que puedo decir es que es muy ruidosa y que no se mantiene en pie. En general creo que ha sido una buena compra</t>
  </si>
  <si>
    <t>Sencilla y práctica Batidora de buena marca por muy poco dinero. Funciona muy bien para comidas cotidianas y consume muy poco, 300 watios. La recomiendo por calidad-precio. Llegó como siempre a tiempo y muy bien embalada.</t>
  </si>
  <si>
    <t>ligero un poco pequeño.</t>
  </si>
  <si>
    <t>Después deporte La uso después de hacer deporte en zonas que a veces tengo algo de dolencia, y me va bien</t>
  </si>
  <si>
    <t>Perfecta Muy bonita. Rápidas en llegar. Y puestas quedan muy bien. Además son altas. Blancas y de chicas. Gracias a todos</t>
  </si>
  <si>
    <t>Excelente producto No siempre es facil encontrar unas zapatillas que te queden bien si debes usar plantillas,  pero estas son perfectas! Estoy muy contenta con la compra, por su comodidad.  Solo lamento que le precio ha aumentado !</t>
  </si>
  <si>
    <t>Un 10 Estoy encantada, y bate muy bien. Lo recomiendo</t>
  </si>
  <si>
    <t>bien calcetas muy bien, respiran, te sientes muy bien, y parecen fuertes, las he lavado y parece que no cambian en nada.</t>
  </si>
  <si>
    <t>Genial Magnífico producto</t>
  </si>
  <si>
    <t>Todo lo que buscaba Es muy bueno el sonido perfecto y comodo para lo que necesitaba me a venido muy bien</t>
  </si>
  <si>
    <t>Robusto y facilidad para el cambio Estructura robusta y facilidad del manejo de la calderilla. Yo que soy comercial y estoy siempre manejando cambio, me ha facilitado el trabajo.</t>
  </si>
  <si>
    <t>Aqupuncture. Mi opinion es que merece la compra,es lo que buscaba..  .</t>
  </si>
  <si>
    <t>Genial De tamaño es pequeño/ligero cómodo para llevar a cualquier sitio, el resto lo esperado de un SSD externo. Añado que no se calienta prácticamente nada cuando le estoy dando uso al 100% y muy contento con la compra, lo recomiendo.</t>
  </si>
  <si>
    <t>Perfecto. Es ideal. Muy fácil de poner y quitar. Buena calidad.</t>
  </si>
  <si>
    <t>Todo bien Ya las habíamos visto en tienda así que es lo que esperaba.</t>
  </si>
  <si>
    <t>Talla perfecta Los calcetines siguen como el primer dia aun despues de haber las lavado ya unas cuantas veces. La tela parece ser de calidad.</t>
  </si>
  <si>
    <t>Casco muy cómodo y blandito. El casco es muy blandito y cómodo para los niños, mi hija de 2 años y medio está encantada con el, el volumen es bajo, pero para los niños creo que está bien.</t>
  </si>
  <si>
    <t>Lo recomiendo Muy fácil de usar y el precio economico</t>
  </si>
  <si>
    <t>Bonito y práctico Cumple con lo que se espera por el precio y calidad, la compre para la casa de verano por lo que no la uso a diario pero esta bien tener una plancha.</t>
  </si>
  <si>
    <t>PERFECTOS He usado auriculares con cable, ahora me he decidido por esto inalámbricos. La batería le dura bastante, son cómodos de llevar, y el sonido es perfecto. La caja cargador es buena porque si por lo que sea te quedas sin baterÍa en los auriculares, los pones en su caja y se cargan . Por poco dinero tienes unos excelentes auriculares inalámbricos, para poder escuchar música cuando haces deporte o solamente andar e incluso responder al teléfono. Lo recomiendo.</t>
  </si>
  <si>
    <t>Buen producto, muy práctico Tras varios días de uso estoy contento con ella, quizás un poco pequeña pero es ideal para zonas concretas, tipo lumbares, cervicales. Es fácil de usar y muy práctica, tiene calor por niveles y se adapta muy bien a las necesidades de alivio de dolor, la uso normalmente al 4-5 intensidad durante 10 minutos solo.</t>
  </si>
  <si>
    <t>Lo. Volvería a comprar Lo he usado un par de veces de momento y es una gozada, quita los pelos muy buen, y el único pero que tiene es el botón de apertura del rodillo q sin querer lo aprietas y se abre, pero es solo cuestión de agarrar el mango de otra forma</t>
  </si>
  <si>
    <t>Las zapatillas recomendables..Sería estupendo tener colores más variables y bonitos. Anteriormente, he dado una valoración errónea, por confusión con otro producto. Quiero rectificar y volver a valorar, si es posible. Skechers, estupendas!!</t>
  </si>
  <si>
    <t>como espereaba Bastante buenos. Cómodas pero falta un poco de comodidad en la suela.</t>
  </si>
  <si>
    <t>Que es ajustable Está bien porque es ajustable pero material blando porque al segundo día me rompió.</t>
  </si>
  <si>
    <t>No funciona. No se seca nunca! Aunque la tengas puesta una hora. El olor es raro y no noto mejoría ninguna en mi piel después de usarla varias veces.</t>
  </si>
  <si>
    <t>Mala calidad Calidad pésima. Cuando lo recortas se abre y si lo recortas en linea curva peor. Para los que hacemos manualidades ha menudo, nos hace perder demasiado tiempo para que quede medio decente. Además no ayuda al reslate del brillo de la imagen como debería de ser, sino que lo deja opaco. Solo espero que no estropee el material conforme pase el tiempo porque se abra del todo. Muy decepcionada</t>
  </si>
  <si>
    <t>NO adquitir... HOLA. Dejo una estrella porque no puedo quitarla. Básicamente un cilindro de plástico pintado en dos tonos. Aparente en la foto pero feo y ridículo en la realidad. En cuanto a su función, ni he podido encenderlo porque la mecánica de los botones es pésima y redponde a duras penas. De lo PEOR que he adquirido en AMAXON.</t>
  </si>
  <si>
    <t>Buena relacion calidad precio. Iguales. Son iguales que los de samsung y se escucha muy bien. Quizas han tardado un poquito.</t>
  </si>
  <si>
    <t>Muy refrescante Muy buen resultado gran sensación de alivio. Pero quizá sea demasiado fuerte el olor que desprende al aplicar por la zona a tratar</t>
  </si>
  <si>
    <t>Relajante Es maravilloso. Te relaja mucho. Lo único malo, y tampoco lo es, que pesa y se puede cansar la mano. Por lo femás, bien de potencia, que sea inalámbrico es un punto a favor, la batería dura, los cabezales muy buenos. Lo recomiendo.</t>
  </si>
  <si>
    <t>Casio de moda. Lo recibí en una caja de carton ¿? Dentro habia una una pequeña funda de terciopelo/plástico azul con el reloj dentro. En calidad y funcionalidad semejante a los modelos similares. Relación calidad precio bastante aceptable. Sus correspondientes instrucciones y su garantía sellada por 2 años.</t>
  </si>
  <si>
    <t>Esta genial pero con algún perio La almohadilla está genial. Los 3 niveles de intensidad tienen regulados los niveles de temperatura bastante bien marcados. Un aspecto que tiene positivo/negativo es que al tiempo de tener activado un nivel, por seguridad se apaga. Eso quiere decir que si estás leyendo o haciendo algo de forma prolongada, tendrás que reactivarlo manualmente. El regulador es demasiado grande , pudiendo ser más cómodo si fuera más pequeño y discreto.</t>
  </si>
  <si>
    <t>Midi sencillo i eficiente Cable Midi , utilizado para Msc</t>
  </si>
  <si>
    <t>Cómodas y livianas No me esperaba menos de esta marca, son súper cómodas y livianas, las compré para el día a día y son perfectas, las recomiendo.</t>
  </si>
  <si>
    <t>Cumple lo que promete! No tiene mucha explicación: Si buscas una manta electrica para no pasar frio esta es la mejor solución. Sencillo de usar, grande y muy util Muy recomendable!</t>
  </si>
  <si>
    <t>La recomiendo Súper bonita, excelente relación calidad/precio.</t>
  </si>
  <si>
    <t>Calidad, precio!!! Cumplen totalmente mis espectativas, zapato muy comodo, pedir siempre una talla mas porque vienen pequeños, los recomiendo!!</t>
  </si>
  <si>
    <t>Robustez y envío rapidísimo Hace poco le regalé a mi hija uno y está encantada con el Pen, muy robusto y sin problema alguno, así que he comprado otro para mí y lo mismo, perfecto, lo que me me flipa es la rapidez de la entrega, comprarlo una tarde y al día siguiente me estaban despertando a las 9:00 para entregarlo</t>
  </si>
  <si>
    <t>Buen producto El vinagre de Beaba funciona muy bien. Ya lo he utilizado en dos ocasiones y descalcifica a la primera mi Babycook. Me queda para otros 2 usos más. Lo recomiendo porque es el producto específico de la máquina y con esas cosas creo que mejor no jugársela.</t>
  </si>
  <si>
    <t>Buena tarjeta Funciona perfectamente, alcanzando tasas de casi 30 Mb/s reales en escritura y los 90 en lectura a través de un lector USB3; muy similares a las Samsung Evo Plus, pero algo más económicas, con lo cual de momento contento. Espero que duren.</t>
  </si>
  <si>
    <t>Converse Rapidez y según lo esperado</t>
  </si>
  <si>
    <t>Un gran reloj a un precio estupendo. Reloj muy grande, a mi me encantan así. Funciona con energía sola y se recarga simplemente llevándolo puesto. La hora se actualiza sola por radio. Le he dado bastante batalla y de momento no ha dado problema alguno ni se han caído los tornillos como indican otras opiniones. De momento muy contento con la compra</t>
  </si>
  <si>
    <t>Buena calidad Fue para un regalo y le encantó a la chica. Lo recomiendo si quieres quedar bien ;)</t>
  </si>
  <si>
    <t>Reduce bastante ruido Hace su trabajo bastante bien, corta bastante el ruido del viento, lo justo para que quede natural y concuerde con la imagen</t>
  </si>
  <si>
    <t>Buena calidad Sientan perfectamente. Cómodos y de calidad</t>
  </si>
  <si>
    <t>Solo da el pego. La cadena ha durado 3 semanas igual que la luna, empieza a coger un tono más oscuro con los dias. La cadena se rompió con mucha facilidad. He comprado otro en joyería y nada que ver.</t>
  </si>
  <si>
    <t>Cómodos, ligueros y bonitos. Me han gustado mucho, son muy cómodos, la caja es muy pequeña y liguera. La calidad de sonido está bien, el tema de la aislacion con el sonido exterior se podría mejorar, la batería por ahora bien llevo un par de días usándolo, a pesar de ser de botón no se salen de la oreja, cosa que me pasaba con muchos otros.</t>
  </si>
  <si>
    <t>Perfecto Lo q espera... firme sujeción! Cumple todas las expectativas... el tallar no es el normal... yo uso una 90a y he tenido q comprar una 85b</t>
  </si>
  <si>
    <t>Como esperado Por suerte la talla que elegí me valió. Ya no tenía otros zapatos de esta marca/modelo y qué bien que me sirvió. Por el resto que decir? Articulo bueno, como esperado, buena calidad.</t>
  </si>
  <si>
    <t>Bueno producto Lo compré como regalo para padres, Ellos sufren bastante de los pies. Bueno producto, se calienta solo con agua fría y mantiene el temperatura. Muy fácil de usar para ellos.</t>
  </si>
  <si>
    <t>Cutre pero funciona Funciona pero es muy rígido</t>
  </si>
  <si>
    <t>Mas estetica que otra cosa. Ademas se me ha roto Es facil de llevar porque no pesa nada. La luz, efectivamente, no vale. El reloj digital funciona, pero las manecillas se me han bloqueado. Lo tengo que mandar a reparar. Es mas estitica que otra cosa...</t>
  </si>
  <si>
    <t>Dura poco No está mal, pero el efecto dura poco, una pena</t>
  </si>
  <si>
    <t>No puedo valorar Era reacondicionado y lo tuve que devolver, porque la alarma no funciona correctamente.</t>
  </si>
  <si>
    <t>Frutos destrozados de mala calidad Le doy solo 2 estrellas porque venian todas las nueces destrozadas...hay q poner unas pocas en la lavadora y yo pues tendré que poner muchos cachitos. He estado leyendo e informandone por internet y cuando vienen rotas es porque son frutos de muy mala calidad. Si veo que al menos lavan bien subiré las estrellas pero eso de momento no me ha gustado destrozadas y de un color muy oscuro, precisamente las características de frutos malos. Bajo la puntuación a una estrella porque a pesar de poner muchos cachos de frutos y remojarlos antes en agua caliente para q se ablanden esto no hace jabon. Realmente es como lavar con agua. Supongo que seran los frutos de esta marca que son de malísima calidad.</t>
  </si>
  <si>
    <t>Te dan unas zapatillas diferentes a las que compras Las pedí del modelo Smash V2 Blanco y me llegan de otro modelo diferente.  Bastante decepcionante, no recomendables.</t>
  </si>
  <si>
    <t>BUEN RELOJ Lo adquirí hace unos 4 años y sigue como el  primer dia, un producto de calidad a buen precio, totalmente recomendable.</t>
  </si>
  <si>
    <t>Poca cabida. Lo compré porque era el bolso que quería mi sobrino. Por el precio que tiene esperaba que fuera un poco más grande, con más cabida. Por eso no le doy las 5 estrellas. Sólo cabe la cartera, el móvil y poco más. De todas formas, él está encantado con su bolsito :)</t>
  </si>
  <si>
    <t>Muy entretenido recomendada su lecturas a los niños y los amantes de esta saga, recibido super rapido.</t>
  </si>
  <si>
    <t>Bien. El envío fue muy rápido. Es cómo se dice en la descripción. Los probé hoy en el gimnasio, escuchando Spotify y todo perfecto. Había leído que si pitidos o que si eran muy pequeños... yo no escuché pitido alguno e incluso atrevería a decir que me quedan justos. Estoy satisfecho con esta compra</t>
  </si>
  <si>
    <t>Cumple la función de masaje Va muy bien y no ocupa espacio</t>
  </si>
  <si>
    <t>todo perfecto Bien terminado. tiene el tamaño apropiado para llevar unas gafas en su funda más los objetos personales. Tiene departamento interior con cremallera más otros para llevar tarjetas, un bolsillo exterior delantero con su propio espacio y uno trasero también con cremallera. La calidad del producto es buena. Estoy satisfecho con la compra.Es muy práctico para no tener que llevar los bolsillos cargados. Seguro por que puede ir con la correa que lleva, pequeña, enganchado</t>
  </si>
  <si>
    <t>Me encantan Le doy  4 estrellas ya que no me gustaba como sonaban, le cambie los protectores (me quedaba pequeños) por unos sony que yo tenia y uff la digerencia es impresionante, me emcantan lo comodo y practicos</t>
  </si>
  <si>
    <t>Bien Como en la explicación</t>
  </si>
  <si>
    <t>Optima Original</t>
  </si>
  <si>
    <t>Precioso Más fino de lo que se ve en la foto, elegante...muy bonito, gracias</t>
  </si>
  <si>
    <t>Son originales La verdad cuando las pedi tenia miedo a que no fueran originales pero me equivoque, llegaron bien y sonde verdad buena calidad y la talla correcta</t>
  </si>
  <si>
    <t>Bonitas y cómodas Son unas zapatillas muy bonitas y fáciles de combinar con cualquier ropa. Tuve que cambiarlas por un número menos y toda la operación fue rápida y correcta.</t>
  </si>
  <si>
    <t>Durabilidade Fácil de usar</t>
  </si>
  <si>
    <t>Reloj tous El color engaña en la foto parece mas lila y es mas rosado però en general esta muy bien</t>
  </si>
  <si>
    <t>Todo correcto Ha cumplido todas las expectativas, calidad rapidez y precio</t>
  </si>
  <si>
    <t>Hervidor de Agua Perfecto para lo que viene indicado, muy buen producto y llego en tiempo, lo recomiendo 100%. para calentar la leche va un poco mal porque queda el fondo sucio.</t>
  </si>
  <si>
    <t>Bien Muy bien , talla correctamente</t>
  </si>
  <si>
    <t>Autenteica Me gusta todo , queda bien además con los aqueros</t>
  </si>
  <si>
    <t>Buen producto Funciona muy bien, manejable</t>
  </si>
  <si>
    <t>Masajeador Es una pasada! Masajeador profesional, consiste en una base larga donde tenemos el botón de encender y para dar más o menos potencia, incluye cabezales diferentes para diferentes partes del cuerpo. Es largo y pesa algo pero ese es el motivo de ser un buen aparato</t>
  </si>
  <si>
    <t>Bueno Estoy encantada, me deja el cuero cabelludo muy limpio.</t>
  </si>
  <si>
    <t>Lo bien que suenan Genisl</t>
  </si>
  <si>
    <t>Podria ser muy buena pero hay detalles malos de diseño En general la maquina parece ser de buena calidad. Tritura bien todo lo que dice en el anuncio. Hasta aqui bien. Pero a la hora de usarlo hay detalles muy malos de diseño... Pe. si utilizas el bote de "To GO" y si no lo cierras a la perfección, la dirección de abrirlo es la misma cuando lo sacas del motor con lo cual si no estaba 100% cerrado en este momento lo abres con el resultado que todo se te sale por encima del motor. Poniendo el cierre en contra no podría pasar... Para una chica es muy difícil cerrar y abrir correctamente, va muy duro. Sobretodo cuando trituras parece siempre se crea un poco de sobre presión dentro (como esta cerrado herméticamente). Claro se podría utilizar el vidrio pero el bote "to Go" es muy practico para limpiar. En general podría ser una maquina buena pero con estos detalles y este precio pues no...una pena. No la recomiendo. No es tan practico como parece.</t>
  </si>
  <si>
    <t>Cristofer Sólo son compatible con tetinas classic, y no son fácil de encontrar o yo no las encuentro y baratas no son o eso parece</t>
  </si>
  <si>
    <t>Pasable por lo que vale Es una chaqueta fina, un poco larga de cintura</t>
  </si>
  <si>
    <t>No es de fiar Fatal, no es el artículo anunciado</t>
  </si>
  <si>
    <t>Zapatos rotos Los zapatos han llegado rotos sin pegamento en las juntas.</t>
  </si>
  <si>
    <t>Davizz davizz Me ha gustado mucho ...todo correcto el pedido llego antes de tiempo .....y todo normal...la única cosa que no me gustó es que venía sin precintar y algo que se da como nuevo debe venir precintado ...en cuando a la visibilidad de las agujas es algo pobre pero bueno se ve....</t>
  </si>
  <si>
    <t>Hidrata. Aromoterapia. Cromoterapia. Muy practico y relajante, puedes añadir esencias.</t>
  </si>
  <si>
    <t>Se ajusta al producto descrito y precio interesante Lo mejor como siempre de los productos Prime es su rapidez de entrega, comprado en viernes entregado en sábado El bolso en general está bien cosido y parece resistente, al ser una tela plastificada tipo poli piel es de suponer que será impermeable lo único son las cremalleras que no son impermeables y el bolsillo con cierre clip aquí sí que puede entrar agua ya que está abierto El compartimentado interior y los bolsillos muy bien para un bolso con este tamaño bien estructurado, para llevar la cartera, llaves, monedero y teléfono esta sobrado pero no le pongas muchas cosas más</t>
  </si>
  <si>
    <t>un numero mas las compre de mi numero y me apretaban muchisimo pense que era la horma,las devolvi y pedi un numero mas. perfectas y muy comodas</t>
  </si>
  <si>
    <t>Funcionan La protección de para las tarjetas  con NFC en buena y funciona, hay que sacar la tarjeta de la funda cada vez que la uses, eso es normal, pero no es tan fácil volver a meter la tarjeta en la funda, por otra parte con la funda no cabe en las ranuras normales de monederos o billeteras, debes considerar esto al comprar este producto. En general funciona muy bien y lo recomiendo.</t>
  </si>
  <si>
    <t>Tan conveniente para la familia Lo publiqué en mi casa en todas partes, especialmente en la cocina.&amp;nbsp;Meto algunos utensilios de cocina en la pared y dejé mucho espacio.&amp;nbsp;Es tan conveniente, gracias!</t>
  </si>
  <si>
    <t>Perfectas para yoga Mucha cualidad para haver yoga perfectas</t>
  </si>
  <si>
    <t>Me encanta mis leggings  son de muy buena calidad Muy cómodo con una tela y tactil agradable. Me queda muy bien. 100% recomendable esta marca! Productos de buena calidad.</t>
  </si>
  <si>
    <t>genial lo que esperaba</t>
  </si>
  <si>
    <t>Exelente calidad-precio Después de haberlos usado varias veces puedo decir que son de una excelente calidad. El sonido muy bueno con unos graves y agudos compensados (de todas formas puedes ecualizar el sonido desde el movil). El táctil funciona muy bien para pasar musica, pararla y recibir llamadas, pero no permite el control del volumen que lo tienes que hacer por el movil. La batería dura mucho, unas 4 horas con musica continua, y la base tiene carga suficiente para unas 4 veces. El ascpecto es muy bonito con acabado de calidad. Recomiendo su compra y diría que no merece la pena gastarse un dineral en otras opciones.</t>
  </si>
  <si>
    <t>Bueno s Mejor de lo que esperaba, están muy bien lo recomiendo y llegaron rápido</t>
  </si>
  <si>
    <t>Muy recomendable 100% Diseño elegante y ligero. Ip68.resistente al agua.Máxima comodidad con muchas opciones de deporte a elegir.Perfecto para regalo.Repetiré sin duda.</t>
  </si>
  <si>
    <t>Biberón de diez. Utilizo estos biberones desde el nacimiento de mi hijo. Empecé por los de cristal, y me fueron muy muy bien. Ahora mi hijo empieza a intentar sujetarlos él solo y he comprado los de plástico, y estoy muy contenta con ellos. Los recomiendo muchísimo, no hubo confusión entre la lactancia y el biberón, no sé como valorar el sistema anticolico, pero si puedo decir que mi bebé no ha tenido cólicos, no sé si por cosa del biberón o por suerte. Son cómodos y fáciles de limpiar, hay una gran variedad de tetinas para los distintos tipos de líquidos. En resumen, son fantásticos. Seguiré usándolos y comprándolos. Tengo la experiencia de una amiga que cada poco tiempo compraba una marca distinta de biberón, porque su bebé no comía bien. Yo no he tenido este problema, lo probé en la cesta de regalo del embarazo y ya te digo, estupendo.</t>
  </si>
  <si>
    <t>Calidad y buena presentación Hace unos días compré el colgante compañero y su aspecto, tamaño y presentación fueron perfectos (nopuede hacer la valoración porque la pagina me lo ha impedido) A falta del paso del tiempo para ver la calidad del chapado, por ahora tiene un diez en todo lo demás.</t>
  </si>
  <si>
    <t>Excelente sonido y estetica Pues son unos auriculares esteticamente bonitos , se adaptan al oido genial el sinudo bastante bueno  , tambien se puede hablar por telefono , yo principalmente los utilizo para el gimnasio y es un lujo no tener cable que me daban tirones, bastante comodo ,recomendable.</t>
  </si>
  <si>
    <t>Fácil y útil Muy fácil de usar y de limpiar</t>
  </si>
  <si>
    <t>Auricular iphone Son para  mi hijo los de su iphone se le rompieron y buscando vi estos y eran igual. Los probe cuando se los puso y el sonido es perfecto.Se encaja muy bien  en el oido y los usa cuando va en autobus y en casa  esta encantado. Le comprare otros de repuesto  por si los pierde.</t>
  </si>
  <si>
    <t>Muy útil Potente y versátil. Además no consume demasiada pila. Los accesorios que vienen incluidos permiten batir, mezclar, agitar. Mejor que otro que tengo de Ikea</t>
  </si>
  <si>
    <t>bonito El módulo es como el del F91w del casio de toda la vida pero este en tamaño se parece mucho más a el g-shock 5600 con lo que se le ven mucho mejor los números de la pantalla y el led que lleva ilumina toda la pantalla, para los que crean que el f91w les queda pequeño les recomendaría éste modelo.</t>
  </si>
  <si>
    <t>Buenísima Top Muy top Llegó como esperado. No es una manta como he buscado, sino un cubre colchón. Entonces te acuestas encima y no te tapas con ella... esto hace que te metas en un horno cada noche (fuera broma antisemitas u otras tonterías) Muy buena compra La recomiendo 👌🏻</t>
  </si>
  <si>
    <t>Perfectas! Excelentes tijeras de oficina. No esperes usarlas en cocina o de modo profesional, no son para ello. Para un uso al que están destinados son geniales</t>
  </si>
  <si>
    <t>Un gran regalo!! Le regalé estos cascos a mi hermana por su cumpleaños y han sido un gran acierto.  En principio destacan por su estética elegante y moderna, después te das cuenta que acoplan a la perfección y te aíslan del mundo por completo, y por último compruebas que la calidad del sonido es muy buena.  Además de todo ello, el vendedor realiza una descripción del producto bastante ajustada a la realidad.  En definitiva, unos cascos con una relación calidad-precio muy interesante!!</t>
  </si>
  <si>
    <t>Gran calidad y muy cómodo Yo uso talla S en casi todo, he pedido talla S y me viene como anillo al dedo. Mido 167cm y mi complexión es atlética. Peso 64kg. En general muy contento con la gran calidad, lo suave que es y la comodidad que aporta.</t>
  </si>
  <si>
    <t>Mejor limpieza, mayor precisión y menos desperdicio Aunque sale un poco más caro por gramo que la opción son pincel realmente merece la pena está opción con bote de plástico y pincel por la limpieza, no te manchas las manos, la precisión al poner el pegamento es mejor por lo que no se desperdicia el producto y se mantiene mejor, además no se seca por lo que creo que es una muy buena opción si quieres usar pegamento loctite</t>
  </si>
  <si>
    <t>No justifican el precio que tienen Tenía ganas de hace tiempo en tener unas botas Panama Jack, ya que me parecen las mas bonitas dentro de ese estilo y me habían dicho que eran muy calentitas y cómodas. Después de una temporada usándolas, puedo decir, que a parte de la estética, poco mas se puede decir de ellas. Ni son especialmente cómodas, ni especialmente confortables. Así que, a mi parecer, no tiene justificación el precio tan elevadísimo que tienen. Espero que al menos sean duraderas, algo que de momento, no puedo valorar. No las recomendaría</t>
  </si>
  <si>
    <t>Malos No duraron naaaa</t>
  </si>
  <si>
    <t>Que puedo hacer? El micrófono inalámbrico no funciona</t>
  </si>
  <si>
    <t>Bonita pero de poca calidad Es muy bonita pero la banda ha llegado descosida, mas bien rajada y se está rompiendo más.</t>
  </si>
  <si>
    <t>batidora se me ha roto un pieza!!! ajjj me la han recogido el jueves 12 y a dia de hoy 17 no se nada de mi batidora....y la pieza no l he roto yo debia de estar defectuosa...no la recomiendo...aunuqe me atendieron muy bien por telefono voy. estar sin ella mas dias de lo esperado</t>
  </si>
  <si>
    <t>Bien Creo que el aparato te ayuda a conseguir un hábito de relajación antes de dormir, en ese sentido te ayuda, ya que te guía la respiración y es útil en eso. Pero pensaba que serían unas luces más elaboradas las que proyectaría por el precio que tiene, pero me pareció que tiene ese punto débil. Creo que lo recomendaría si tuviese un precio más bajo, pues creo que su precio es excesivo =S</t>
  </si>
  <si>
    <t>Perfecto para combinar con lactancia materna Compré esta tetina de Medela (también incluye el biberón) para combinar la alimentación de mi bebe con la lactancia materna (la usábamos con leche extraída) y nos fue muy bien. Mi hijo se seguía enganchando al pecho sin ningún problema a pesar de empezar con el biberón poco después del mes de vida. La tetina está formada por un par de válvulas que hacen que el niño tenga que hacer esfuerzo para comer, ya que el flujo que va obteniendo es parecido al del pecho, y si no succiona no sale leche. Es un poco más engorroso de limpiar que otras tetinas al estar formada de 3 partes pero nada del otro mundo. El fabricante dice que más o menos se cambien cada 3 meses. En mi caso teníamos dos tetinas, las cuales usábamos unas 4 veces por día (cada una) y nos duraron en perfectas condiciones poco más de 3 meses. A partir de ahí las válvulas debe ser que empiezan a coger holgura, y por ejemplo cuando lo ponías boca abajo y el bebé no succionaba, llegaba un punto en que perdía un poco de leche al darle la vuelta. Pero bueno, teniendo cuidado de darle la vuelta al biberón encima de una muselina para no manchar al bebé no pasaba de ahí el problema… No le doy 5 estrellas ya que para el precio que tiene cada tetina creo que debieran aguantar un poco más. Te agradecería que le dieras a voto útil si mi comentario te ha servido de ayuda.</t>
  </si>
  <si>
    <t>Buen disco, a un precio razonable Adquirido para instalarlo en un Proliant Microserver Gen8, con ESXi, ha funcionado sin problemas desde el primer momento. Es rápido y silencioso. Más adelante compraré otro igual para instalarlo en Raid 0 con este.</t>
  </si>
  <si>
    <t>Limpia muy bien el polvo,cumple su mision Es muy versátil  ya que se puede doblar y adaptar en cualquier punto del plumero y es muy espeso y suave,con lo a atrapa muy bien el polvo</t>
  </si>
  <si>
    <t>Mejor de lo que esperas Necesitarás un adaptador de TRRS a TRS para grabar con un iPad o un iPhone, pero en la Mac funcionan correctamente. La calidad es mejor de lo que esperaba y gracias al corta vientos que tienen no capturan siseos ni nada por el estilo.  Recomendados.</t>
  </si>
  <si>
    <t>Es muy firme Es gusto lo que necesitaba. Taladra muy bien</t>
  </si>
  <si>
    <t>Inmejorable Solo puedo decir que cumple mis expectativas sobradamente, los purés y cremas a mis hijas les encanta, no deja ni un grumito les hace súper cremosos, aún no me ha dado tiempo a usar todos los accesorios pero estoy segura que serán geniales 😍😍</t>
  </si>
  <si>
    <t>Muy útil Es algo más grueso que un boli y más o menos igual de largo, se sostiene bien en la mano y pesa poco</t>
  </si>
  <si>
    <t>excelente tj de memoria 128 gb por menos de 20€ que más quieres?, la calidad es excepcional, eso si. Como consejo para fotografía, yo intentaría hacer backups lo antes posible, si tienes tendencia a dejar que se llene la tarjeta seguramente acabará antes estropeandose y perderás todas las fotos/videos. Lo mejor de estas tarjetas es para uso de video ya que te permite grabar hasta 4k ya que la velocidad de la tj es hasta 90 mb/s, lo cual por ese precio esta bastante complicado de encontrar.</t>
  </si>
  <si>
    <t>Genial Sin ninguna queja, me esperaba mucho menos y me ha sorprendido.</t>
  </si>
  <si>
    <t>Cable alimentación Necesitaba un cable más largo para mí TV Samsung y este va perfecto.</t>
  </si>
  <si>
    <t>Buen tejido para hacer deporte con buen tiempo Ideal para entre-tiempo, no la recomendaría para invierno ya que no es suficientemente gruesa. Como toda marca americana hay que escoger una talla menor a la que se usa habitualmente. Por lo demás comprime bastante pero sin llegar a ser molesta, recomendable</t>
  </si>
  <si>
    <t>quedan bien sujetos en la oreja buena calidad de sonido y se siente bien al tacto. Lo que mas me importa en un auricular es que se quede fijo en la oreja porque se me suel salir, estos venian con gomitas de repuesto de otro tamaño y encontré la que me quedaba perfecta, llevo una semana usandolos y todo genial.</t>
  </si>
  <si>
    <t>Como caminar por nubes Sin duda alguna son super cómodas,además del diseño y su color que quedan muy bien,sin duda las volvería a comprar,me coji un 40 que es el pie que tengo y queda perfecta.</t>
  </si>
  <si>
    <t>Bonito diseño y colores vivos. Sudadera fabricada en materiales de buena calidad con un bonito diseño, yo la he comprado en naranja/negro que hacen un buen contraste de colores. El grosor de la tela es una cosa media, ni muy gruesa ni fina, por lo que sirve para frío poniendo algo debajo y para entretiempo usándola sola. Es cómoda de llevar tanto si la usa sola como si pones una camiseta debajo.</t>
  </si>
  <si>
    <t>Muy bonitos Genial de talla de tiempo de entrega</t>
  </si>
  <si>
    <t>. Excelente</t>
  </si>
  <si>
    <t>Un diseño y aspecto muy bonito. Adquirí estos auriculares para mi hija, fundamentalmente por el precio y el tipo de encaje en la oreja (sólo le gustan de este tipo). Ahora que los tengo en la mano y los he probado, tengo que decir que son muy, muy bonitos. La parte de la oreja es metálica por el exterior (o al menos eso me parece), así como el asidero de la clavija y la pieza cilíndrica que delimita el lugar donde se divide de uno a dos cables. Pero además, el cable está retorcido y recubierto con un recubrimiento transparente, lo cual me ha gustado también bastante. Trae la caja también una pinza para asir el cable con el micrófono a la solapa de la camisa. Con respecto al sonido, éste es muy, muy decente dado su precio. Además tienen cancelación de ruido y el típico botón donde se aloja también el micrófono para cambiar la canción, o contestar las llamadas. Muy recomendables.</t>
  </si>
  <si>
    <t>Reloj hombre grande El diseño es muy bonito. Lo compré para un regalo y triunfe. Se ve de buena calidad y resistente. Es resistente al agua,también es cierto que el agua,sobre todo la caliente,va reduciendo la vida útil de los relojes. Incluye un destornillador,bien sea porque se nos estropea algo o para ayudarnos a quitar alguna malla. Tiene minutero,segundero y fecha. Encantada con la compra.</t>
  </si>
  <si>
    <t>Muy satisfecho El producto funciona bien, y la goma lo "sujeta". Además, la goma se le puede quitar.</t>
  </si>
  <si>
    <t>Útil Genial, buscaba un reloj para hacer deporte y me decanté por este, por su precio y sencillez. También tiene cronómetro, útil para usarlo con las pasadas. También me lo pongo para dormir, es comodísimo ver la hora sin ni tener que incorporarse.</t>
  </si>
  <si>
    <t>Imprescindibles Imprescindibles para andar por la ciudad en invierno, sobre todo para los que vivimos en el norte.  Te mantienen los pies muy muy calientes, con unos buenos calcetines termicos y olvidate de volver a ir con lo pies mojados y frios.  Son jodi***mente cómodos, al final del dia, no tienes esa sensación de que necesites descalzarte.  para ser de goretex,( me cogí esta versión por algo más) son muy finos, el calzado de goretex suele ser muy tosco.  Lo que más me ha impresionado es el agarre de la suela en mojado, agarran muchisimo, pra andar con seguridad.  Si se pillan de oferta, de cabeza a por ellos. Me pille la versión verde oliva de goretex por 115€ y te dan ganas de pillarte otro par para cuando se te rompan estos.</t>
  </si>
  <si>
    <t>terciopelo suave es grande para cubrir la cama,es de terciopelo calentito,se lo e regalado a mi señora y esta encantada,lo e provado a maxima potencia y calienta muchisimo,y a minima potencia esta la manta templada,el enchufe es muy discreto y apenas molesta.</t>
  </si>
  <si>
    <t>Cápsulas Pone q viene con 5 capsulas, chuchara y pincelito, y solo me han llegado 3 de las 5 capsulas.</t>
  </si>
  <si>
    <t>Correctos Bueno lo primero el envio y el embalaje de 10 como siempre Amazon.  Luego los auriculares están bien se oyen bien,  los tengo a través del usb y se oyen bien la gente se queja de que se oyen bajo pero  vamos para mi están bien.  Te bajas el software de la pagina de Logitech y allí enredas un poco con el ecu el 7.1 y poco mas. Yo lo compre con la rebaja al 50% y esta bien pero pagar el doble por estos cascos no interesa ya que los amteriales no pparecen de calidad a simple avista pero bueno ya veremos como salen. Le doy 3 estrellas por el tema de los materiales que parecen plasticuchos.</t>
  </si>
  <si>
    <t>los relojes de las tómbolas de la feria son mejores que este de pena, lo he tirado a la basura. Es una tomadura de pelo. El reloj parece de juguete.</t>
  </si>
  <si>
    <t>Desenlace del movil Se desenlaza constantemente. El servicio Amazon /Huawei es excelente, me cambiaron el smartwach pero el problema continúa. Tengo un Samsung J5, al principio todo iba perfecto, el reloj es bonito y perfecto para lo que necesito, pero lo dejo por la noche apagado o a distancia y a la mañana siguiente graves problemas para enlazar.</t>
  </si>
  <si>
    <t>Buen reloj con funciones básicas Buen reloj. Buena relación calidad-precio. Lo compré por 20€ y está bien. Funciones típicas: hora, cronometro, alarma... Me costó un poco ajustar la correa a la muñeca pero imagino que cuando lo haga un par de veces más, acabará siendo mas sencillo.</t>
  </si>
  <si>
    <t>Alivia el dolor El producto cumple las expectativas, solo q el botón de encendido esta un poco escondido cuando tienes colocado en su sitio el masajeador</t>
  </si>
  <si>
    <t>Es buen calzado, pero al principio resbala un poco ... Es buen calzado, pero al principio resbala un poco la suela. A pesar de que resbale la suela cuando están nuevas, es el segundo par que me compro igual, y volveré a repetir.</t>
  </si>
  <si>
    <t>buena compra, actualización La verdad está super bien el precio y la cantidad de almacenamiento, se ve bastante resistente y el tamaño es normal, para mi se ajusta perfecto porque casi siempre los pierdo y este trae para ponerle un cordón si lo deseas. ACTUALIZACIÓN: es lento, tarde un momento notable para que la compu lo lea, pensé que era la mía y pasó en dos más, 4 estrellas xq por el precio no se puede pedir más</t>
  </si>
  <si>
    <t>.Buen producto, buen precio Buen producto, buen precio</t>
  </si>
  <si>
    <t>Me encanta Una mochila muy comoda y monisima perfecta para llevar pocas cosas y comoda el color muy bonito me ha gustado mucho</t>
  </si>
  <si>
    <t>Tela buena El pantalon está bien, pero queda algo grande, mi hija se cogio la m y le queda algo grande, tendré que retocarselo. Por lo demás lo recomiendo.</t>
  </si>
  <si>
    <t>Impresionantes! Impresionante!!!!es la primera vez que me las compro pero no tendre ninguna duda dn comprarlas otra vez!una pasada,super comodas!para conducir,para ir a la playa,para estar por casa,....no me las quito para nada!la talla perfecta</t>
  </si>
  <si>
    <t>Muy bien embalado Todo genial, encaja a la perfeccion y muy muy bien embalado.</t>
  </si>
  <si>
    <t>Excelente producto Perfecto, rápido, con capacidad y fácilmente transportable</t>
  </si>
  <si>
    <t>Pantalón Joma Pantalón perfecto para practicar deporte o utilizar a diario. Muy cómodo y práctico. Muy buen material. Sin duda alguna, buen producto.</t>
  </si>
  <si>
    <t>Es mi primera zapatilla de Trail y super contento. Me ha encantado. Para mi es la primera zapatilla de trail y sin duda he hecho una buena elección. Seguí los consejos y pedí un numero mas de mi talla (ojo un numero más no 2 por si acaso). En cuanto a la experiencia de uso fue buenísima. Me las puse nuevas con un calcetín normal (ni grueso/ni fino) y me tire al monte por caminos realmente duros y cuestas muy difíciles, con muchas piedras sueltas y no perdía tracción en ningún momento. A medida  que las vas llevando te dan mas confianza y ademas son muy comodas. Ni una sola ampolla recién estrenadas. Les doy un 9,5 de puntuación. Creo que es difícil superarlas.</t>
  </si>
  <si>
    <t>Comodas Muy contentos</t>
  </si>
  <si>
    <t>Zumos y batidos fáciles y rápidos Manejable, rápido y sencillo. Tanto el exprimidor como los vasos para batidos son fáciles de usar y de limpiar. Hace ruido, pero no excesivo. El exprimidor solamente rueda en un sentido, no va alternado como hacen otros, se obtiene el zumo rápidamente. Además el colador es tan fino que he dejado de colarme el zumo de naranja como solía hacer. Es bonito y funcional, justo lo que quería. Este modelo no incluye los tubitos para congelar para los vasos para batido, pero se pueden comprar por separado. Muy contenta con la compra.</t>
  </si>
  <si>
    <t>Polivalencia, potencia y gran aprovechamiento del espacio. Combina la potencia con la polivalencia de todos sus accesorios. Perfecta para zumos y batidos con los vasos pequeños pero también como picadora y batidora de baso normal. Todo en un mismo soporte y ocupando el mínimo espacio posible. Los materiales con los que está fabricada aparentemente son muy resistentes y con intuición de que va a ser un aparato que dure bastante tiempo. También resaltar la facilidad de manejo.</t>
  </si>
  <si>
    <t>La mejor opción Tenía otras de la misma marca que me han durado 8 años y están como nuevas a pesar del trote por el campo que las dí. Pero la suela perdió su agarre. Después de buscar mucho, por fín las encontre de nuevo. Ya tengo calzado cómodo y robusto para otros 8 años. Que alegria.</t>
  </si>
  <si>
    <t>Muy bien Me va muy bien, no puedo decir nada negativo, gracias</t>
  </si>
  <si>
    <t>Magnífico  micrófono para iPhone/iPad El producto es perfecto, cumple las expectativas. El cable es suficientemente largo para llegar del bolsillo donde se conecta al teléfono hasta el pecho o el cuello donde la pinza del micro se sujeta a la ropa.  La calidad del sonido es superior a la que se consigue con el micro del iPhone/iPad, además está dotado de una esponjita cortavientos.  Sin duda la relación calidad precio es perfecta.</t>
  </si>
  <si>
    <t>Muy contentos Fue un regalo. Respondía en todo a la descripción y a lo que se esperaba de él. Tallare adecuado .Al poder comprarlo de rebajas el precio quedo muy bien. Llego antes de lo previsto y la entrega sin incidencias</t>
  </si>
  <si>
    <t>Funciona perfectamente Hervidor de agua simple, pero calienta muy rápido y funciona perfectamente.</t>
  </si>
  <si>
    <t>Muy útiles y buen precio Son cables muy robustos. Funcionan perfectamente. Calidad/precio excelente.</t>
  </si>
  <si>
    <t>Bellas Es pefecto. Me queda cómo esperaba</t>
  </si>
  <si>
    <t>Apoyo perfecto Ideal para sujetar apuntes o libros!</t>
  </si>
  <si>
    <t>no meren la pena Cuestan poco dinero pero tampoco tienen muy buen aspecto. Estan como apagados. En la foto deben tener mucha luz y por eso se ven mejor</t>
  </si>
  <si>
    <t>No invita a su uso continuado Hace ya meses que tengo el producto. No me dado ningún problema, pero la verdad es que no lo uso demasiado, ya que ningún momento me he sentido cómoda con él. No es fácil de limpiar, ni de usar. Los recipientes de plásticos se volvieron algo opacos ya desde el primer lavado. Es lento y además hace falta gastar mucha fruta para el jugo que se obtiene. Para colmo utiliza bastante espacio en la encimera y los dos recipientes de plástico están siempre descolocados, de modo que hace ya mucho tiempo que se perdió en un armario. Creo que debería haber elegido otro tipo de electrodoméstico.</t>
  </si>
  <si>
    <t>Está bien pero... El exprimidor nos ha funcionado bien en todo momento, pero lo cierto es que en los 3 ó 4 primeros usos empezó a echar humo por la parte inferior y a oler a quemado. No sé si se trata de alguna especie de barniz que deba quemar pero sigue funcionando correctamente. Así mismo el susto de ver que la máquina está humeando genera algo de desconfianza.  En cuanto al funcionamiento está pensado para el uso de vaso alto. Su fácil montaje y desmontaje permite lavarlo de forma relativamente sencilla, por lo que lo convierte en un exprimidor de gama media aceptable. No esperéis nada en especial a parte de su diseño, pues el funcionamiento que tiene lo puede suplir de la misma forma otro mucho más económico.</t>
  </si>
  <si>
    <t>Calidad? Me los esperaba de mayor calidad</t>
  </si>
  <si>
    <t>Decepción Decidí probar esta marca ya que tiene buenos comentarios por lo general. En cuanto me llegaron empecé a usarlas y, aún siendo mi talla, las costuras interiores me hacían rozaduras en los meñiques (a esa altura hacen un pliegue que es el que va rozando) . Pensando que sería ocasional y el zapato cedería, seguí usándolas con tiritas, y entonces ambas suelas empezaron a hacer ruido al pisar, no sé si se están despegando. Pero vamos, la persona que va a tu lado lo escucha perfectamente, es como si pisases un zapato mojado. Despus de muchos intentos, y al ya ser imposibles devolverlas, he decidido que el mejor sitio para ellas es la basura.</t>
  </si>
  <si>
    <t>Caro para lo que da Sin más, un xlr amateur que mete bastante ruido para el precio que tiene</t>
  </si>
  <si>
    <t>Combinan muy bien con todo tipo de ropa Hola, en base a la  talla es la que calzo un 43 queda perfecto. Muy rápido en la entrega. Como todo el calzado al principio hay que quitar esa dureza.</t>
  </si>
  <si>
    <t>Muy completa Es bastante completa para sus prestaciones. Fácil y muy intuitiva de manejar. Mando muy bien diseñado y las seguridades correctas</t>
  </si>
  <si>
    <t>Bien Solo un pero el accesorio pequeño, si la fruta no está suelta no licúa nada al no bajar conforme pica el contenido de la base</t>
  </si>
  <si>
    <t>Compra buena Realmente a sido una buena compra por el precio que tienen, no llegan a la calidad de los originales pero cumplen plenamente las espectativas.</t>
  </si>
  <si>
    <t>Fenomenal disco duro externo Este ha sido mi primer disco duro de 4tb. Es una delicia pasar de uno de 1 tb a esto. Aquí ya no vas a tener problemas de espacio. Podrás guardar todas las series, pelis y porno con la mejor calidad.</t>
  </si>
  <si>
    <t>Bonita Muy bonita, queda fenomenal, aunque los colores no son tan vivos</t>
  </si>
  <si>
    <t>Buena calidad Buen cepillo con una púas de metal muy fuertes, buen mango</t>
  </si>
  <si>
    <t>Ideal para pequeñas cantidades Quería una batidora de vaso para poder hacer las papillas de frutas a mi bebé que acaba de empezar con ellas y necesitaba que fuera pequeña para hacer poca cantidad y esta va perfecta. Aunque sea poquita fruta la deja bien triturada en un momento. Y cuando me apetece hacerme un batido a mi también queda genial.Es muy fácil de limpiar y ocupa poco espacio.</t>
  </si>
  <si>
    <t>Sin cólicos del lactante Utilizo este tipo de biberón para mi bebe pq le previene de los cólicos del lactante ya q llevan como una válvula incorporada la cual no deja que trague aire a la hora de comer.</t>
  </si>
  <si>
    <t>Laura Son muy cómodas y flexibles. Al ser de piel se ensucian menos que las de tela. Muy contenta con la compra. Amazon envió  muy rápido. Genial!</t>
  </si>
  <si>
    <t>Adhesivo fuerte, magnífico producto Muy buen producto, que cumple su cometido sin problemas. Lo utilicé para pegar un artefacto no demasiado pesado, pero sí voluminoso, en una pared de gotelé, y el adhesivo es magnífico, pues lleva ya varias semanas fijo a la pared sin ningún problema.</t>
  </si>
  <si>
    <t>El precio Me a gustado</t>
  </si>
  <si>
    <t>me encantan Pensaban que serían más grandes pero es un tamaño correcto. Son muy bonitos. No pesan nada</t>
  </si>
  <si>
    <t>Perfectes Perfecte</t>
  </si>
  <si>
    <t>Perfecto! Ligero, bien construido, bonito y práctico. La relación calidad-precio es excelente.</t>
  </si>
  <si>
    <t>Geniales Preciosas y muy cómodas</t>
  </si>
  <si>
    <t>Como siempre muy buenas Como siempre muy buenas. Poco más cabe decir. Cómodas, clásicas y juveniles, muy prácticas y sobre todo atemporales. El envío muy rápido y cómodo. La talla correcta y el acabado el que se espera de esta marca de 10.</t>
  </si>
  <si>
    <t>Cómodos y con calidad Los cascos llegaron en perfecto estado y en el plazo indicado. La caja en la que vienen es muy práctica  y cómoda para guardarlos y cargarlos. Los cascos se conectan bien al teléfono y además se pueden conectar independientemente uno de otro. Se escuhan muy bien, con buena calidad de sonido aunque en las llamadas en algunas ocasiones, te escuchan un poco lejos. Son muy cómodos y se adaptan bien en las orejas,  tienen un tacto agradable.</t>
  </si>
  <si>
    <t>Perfecto Es el segundo que compro, muy contenta, es cómodo y sujeta muy bien.</t>
  </si>
  <si>
    <t>Muy bien, mejora el rendimiento de mi portátil bastante Pues me compré un nuevo portátil de oferta con prestaciones buenas pero equipamiento más básico, y con el dinero ahorrado me compré equipamiento que quiero, al final también eran buenas ofertas. Con el Samsung Evo Plus y su alto rendimiento para el sistema operativo y instalaciones de software (con 500GB vale), más memoria y adicional un Samsung SSD más lento, pero todavía bastante más rápido que un disco duro, el portátil va genial...¿Cómo...eh, arrancar? Sí claro la maquina tiene que arrancar. Ah, pero a mi me pide muy pronto el contraseña  :-D jejeje</t>
  </si>
  <si>
    <t>Estupendo Calentador de acero compacto y muy rapido: calienta una taza de agua en menos de un minuto. Con la base circular permite su acople facilmente. Tiene en el interior tres marcas para facilitar el llenado para una, dos y tres tazas grandes. También tiene junto al asa un marcador con medio litro, tres cuartos y un litro, que es la capacidad máxima. El interruptor de encendido/apagado está justo debajo del asa. Se apaga solo cuando el agua empieza a hervir. No tiene resistencia interior, lo que se calienta es la base. Hay que tener cuidado que la superficie de acero se calienta mucho, pero no es necesario tocarla para servirse el agua caliente. Estoy muy contento con la compra.</t>
  </si>
  <si>
    <t>Rapidísimo tanto en lectura como en escritura Excelente velocidad tanto de lectura como de escritura. Lo estoy usando como ampliación de la memoria interna en un Xiaomi Mi Box S y va perfecto. Muy recomendable.</t>
  </si>
  <si>
    <t>ideal me sirvió para lo que quería y pude utilizar cada bote varias veces, es muy bueno y con una gota minúscula pude pegar perfectamente cualquier cosa.</t>
  </si>
  <si>
    <t>Calidad justita Cuando los compré me los probé y bien, al lavarlos parece que hayan cedido y me van grandes, no me sirven.</t>
  </si>
  <si>
    <t>Justo Está bien aunque tiene una pieza en el final de la escobilla que no le deja llegar hasta el fondo de las cuchillas de la thermomix.</t>
  </si>
  <si>
    <t>No tan resistente Es bonito y práctico, pero esperaba que fuera más resistente. Compré otro producto de Koolerton como regalo y esperaba que esta bolsa saliera igual de bien. Pero han pasado unos meses y la cinta ya se está descosiendo.</t>
  </si>
  <si>
    <t>Ratios de velocidad de grabación y lectura muy inferiores a los indicados No llega a los ratios de velocidad indicados. Realizado test en speed-tester se queda a un 50% del rendimiento especificado. Embalaje en blister no original. Defectos de grabación en videos HD que arruinan el visionado de tus mejores experiencias. Una lástima de dinero el gastado en ella y precisamente no podemos decir que sea económica.</t>
  </si>
  <si>
    <t>Virginia Lo use para hacer pure de verduras y me quedo del plástico de color rojo, q no se quita.... Osea teñido el plástico con las verduras. Increible</t>
  </si>
  <si>
    <t>bonito collar Envió rápido, bien embalado y el collar muy bonito la única pega que le veo es la cadena tan fina la cual la hace ver poco resistente y frágil si alguna vez se engancha, es casi rotura asegurada pero por lo demás muy bonito y con el sello de plata de ley 925.</t>
  </si>
  <si>
    <t>Buena relación calidad precio Buena relación calidad precio</t>
  </si>
  <si>
    <t>Dura mucho Lo uso por mis lumbares, me alivia muchisimo, lo recomiendo!!</t>
  </si>
  <si>
    <t>La relación calidad precio Lo acabo de recibir y la verdad que por el precio no esperaba esa calidad de audio, lo que se ve un poco endeble seguro que con cuidado dura tiempo.</t>
  </si>
  <si>
    <t>Buena compra Muy buena calidad en los materiales, buen remate en las costuras, bandolera muy cómoda. Buena relación calidad precio.</t>
  </si>
  <si>
    <t>LA SERIEDAD La calidad del producto es aparentemente buena, pero aún está por comprobar, confiemos en la marca "CASIO". La seriedad del vendedor es muy importante, se puede confiar en él, he quedado contento con la compra, por supuesto que volvería a comprar, el pedido ha llegado dentro de los plazos previstos y el producto se ajusta se ajusta a lo anunciado.</t>
  </si>
  <si>
    <t>Buena compra Se trata de un cable de calidad.  Lo utilice para sustituir el que venía de fábrica en un electrodoméstico.  Tiene un ajuste perfecto.  Cumple su cometido.</t>
  </si>
  <si>
    <t>Un muy buen regalo La calidad es muy buena, hojas resistentes y buenos acabados.</t>
  </si>
  <si>
    <t>Mucho aguante del calor Se la regalé a mi novia y le dura media noche sin problema. Al principio hay que tener cuidado, pues la temperatura es bastante alta y mucho tiempo en el mismo sitio puede llegar a causar algo de molestia. Ahora la deja reposar 30 min antes de utilizarla y está muy contenta.</t>
  </si>
  <si>
    <t>Marcador Es una idea genial así no tienes que poner cintas para marcar la ropa una vez que monta las letras se marca la ropa en un momento no destiñe en los lavados si se va borrando pero con volver a marcarlo ya esta listo otra vez la prenda marcada, con las letras tienes algún dibujo para decorar el nombre</t>
  </si>
  <si>
    <t>The king CASIO... que decir...?  Pues un reloj grande como a mi me gusta. Todo correcto tanto el producto como el envío.</t>
  </si>
  <si>
    <t>Una zapatilla perfecta para caminar, correr, lo que quieras. Muy cómoda y de una calidad impresionante</t>
  </si>
  <si>
    <t>Muy útil Muy útil en la costura y fácil de usar</t>
  </si>
  <si>
    <t>Pilar Son preciosas y muy cómodas, pero dan poca talla hay que elegir por lo menos un número entero más, tuvimos que cambiarlas desde el 42’5 hasta el 44</t>
  </si>
  <si>
    <t>Uno de los grandes!!! Tras meses y meses pensando en si lo compro o no lo compro, al final me decidí. No es que dudase de sus cualidades ya que había mirado y remirado por internet opiniones por todos lados. Realmente lo necesitaba si quería dar el toque de calidad adecuado a mis vídeos para cursos y no quedarme ese paso atrás. Gran diferencia. Uso muy sencillo y de momento aquí está, además es súper decorativo y en este color me encantó, además más económico que el típico. Sin duda lo recomiendo y ojalá hubiese decidido dar el paso antes.</t>
  </si>
  <si>
    <t>Batidora de verdad Ideal para gazpacho, salmorejo, mahonesas, cremas, picahielo.... Potencia y calidad.</t>
  </si>
  <si>
    <t>Excelente producto Un poquito más grande de lo q pensé pero me encanta</t>
  </si>
  <si>
    <t>Bien Buena calidades</t>
  </si>
  <si>
    <t>Perfecto Las compraría más veces. Son perfectas. Dupersuaves y calentitas. Aguanta el calor. Si tuviera que poner alguna pega es ue pesan un pico</t>
  </si>
  <si>
    <t>Es natural Muy intenso. Con unas gotas basta. Me durará un montón de años</t>
  </si>
  <si>
    <t>buen producto lo probé en una figura de porcelana y resulto muy bien, también en una pantalla del casco de la moto y fue genial.</t>
  </si>
  <si>
    <t>Me encantan! Las sandalias son chulas y queda muy bonitas en el pie. Son muy cómodas y te permiten dar grandes paseos por la ciudad. Pero hay que tener en cuenta que calzan un pelín menos de lo normal.</t>
  </si>
  <si>
    <t>Básicas y bonitas Nike.... calidad asegurada</t>
  </si>
  <si>
    <t>Como un guante. Perfectos, apenas se ven en la zapatilla y lo mejor, el talón no se mueve.</t>
  </si>
  <si>
    <t>No le gustan Son muy anchas para mí mujer y un número menos la queda pequeño</t>
  </si>
  <si>
    <t>Buenas pero con problemas de guardado de vídeo Es apta para grabar 4k y lo graba fluido. El problema que me da, y no sé si también al resto, es que me guarda los vídeos en arhivos de 3,9GB y después empieza a grabar en un archivo nuevo. Es decir, consigo un vídeo completo de aproximadamente 1h partido en archivos pequeños, lo que es un engorro. ¿Es normal? ¿Cómo se arregla?  Utilizado en cámara deportiva SJCAM SJ7 STAR</t>
  </si>
  <si>
    <t>Buena calidad En relación a la calidad y precio es un producto excelente. Tarda poco en hervir y mantiene el agua caliente durante unos minutos.</t>
  </si>
  <si>
    <t>No tiene soporte para ordenar Lo he devuelto espero la devolución y’a que lo hice porque la tarjeta no tiene soporte para poner la en el ordenador</t>
  </si>
  <si>
    <t>Estafa bien grande No es plata.</t>
  </si>
  <si>
    <t>me sirve para lo que yo quiero la encuentro segura y me sirve para llevar varias cosas a parte de los documentos obligatorios</t>
  </si>
  <si>
    <t>Recomendables Útiles, buena calidad de sonido aunque poca duración de batería.</t>
  </si>
  <si>
    <t>Cumple su función El despertador funciona muy bien tal como se especifica y los despertares son muy agradables. Echaría en falta un altavoz de mayor calidad para hacer los sonidos más naturales, pero en general la calidad es buena.</t>
  </si>
  <si>
    <t>Ligero y pequeño Un clásico. Perfecto para muñecas pequeñas y ligero.</t>
  </si>
  <si>
    <t>Converse Chuck Taylor All Star Core Hi, Zapatillas Muy contenta quedó mi hija. El clásico de toda la vida. A un muy buen precio. Lo malo que se deforman y despegan enseguida. Esto no es culpa ni de Amazon ni del vendedor, es de la Marca que parece que cada vez la tela es más fina. Por eso no pongo las 5 estrellas. Gracias.</t>
  </si>
  <si>
    <t>Ana Muy bien para reparar un plumas es azul marino y el color cambia un poco pero era de esperar en cambio pega muy bien  y de momento todo ok</t>
  </si>
  <si>
    <t>Calendula Simplemente, me encanta.</t>
  </si>
  <si>
    <t>Buena compra A mi marido le encanto</t>
  </si>
  <si>
    <t>Bien Sientan muy bien, quedan pegaditas tal y como yo quería.</t>
  </si>
  <si>
    <t>Muy original Es muy comodo y original para regalar a una enbarazada.</t>
  </si>
  <si>
    <t>Me ha encantado Lo compré a modo de prueba para mi madre, que sufre artrosis en las manos y con ello dolores diarios. Sinceramente por el momento parece que alivia bastante, este mes la estamos probando y no hay queja.  No esperéis que cure, esto no es un gel milagroso únicamente produce alivio temporal de dolores varios (articulares, musculares, huesos, etc..) pero funcionar funciona, por ello van las 5 estrellas. Además huele a vick vaporub.</t>
  </si>
  <si>
    <t>Calidad y precio! El paquete ha llegado genial. Van en su caja muy bien presentados, por el precio que tienen es un producto estupendo. Ademas huelen de maravilla, sobre todo Lemongrass.</t>
  </si>
  <si>
    <t>Producto muy acertado funciona de maravilla Super practico para limpiar cualquier botella o envase de cristal, funciona de maravilla, un poco de agua 1/4 de botella aprox. las bolitas y agitar, las botellas quedan super limpias, totalmente recomendable,</t>
  </si>
  <si>
    <t>Microfono para fiestas muy top Microfono para regalo a mi peque, esta flipando. Muy buena calidad de sonido, se conecta por bluetooth al movil reproduce musica a modo karaoke. Muy bonito y la bateria aun no lo cargue y usandolo bastante.</t>
  </si>
  <si>
    <t>Buena calidad Ya es el segundo que tengo, me parece de buena calidad y correcto para las funciones que ofrece.</t>
  </si>
  <si>
    <t>Todas las figuras que tiene, son preciosas. Me han gustado todos los pendientes ideales para peques y no tan peques. Son super sencillos. La verdad no me los esperaba tan bonitos. Gracias</t>
  </si>
  <si>
    <t>Muy divertido Muy divertido</t>
  </si>
  <si>
    <t>Me encanta Envio super rápido. El paquete se entrega muy buen envuelto. Los productos geniales, y tienen un olor muy bueno. Gracias</t>
  </si>
  <si>
    <t>COMODÍSIMO Me ha parecido tan cómodo que ahora mismo voy a volver a comprarmelo en otro color. Como dicen por ahí en otra opinión se ajusta como un guante. Sientes el pecho muy sujeto pero no duele ni molesta. Los tirantes son muy cómodos y no se clavan y la forma de la espalda ayuda a liberar tensión de los hombros. Viene como acolchadito por los laterales. En resumen una muy grata sorpresa. Mucho más cómodo que el quede me dieron en el hospital. Lo recomiendo. Yo uso una 95/100 B y me compré una L.</t>
  </si>
  <si>
    <t>Buenos Buenos</t>
  </si>
  <si>
    <t>Bolso elegante y bonito para hombres Necesitaba desde hace mucho tiempo un bolso para poder salir, ya que ir a los sitios con mochila o riñonera era un poco antiestetico, y me decidí a comprar este bolsito para hombres, y la verdad que me ha dejado muy buenas impresiones. El material de este bolso es de muy buena calidad, al tocarlo te das cuenta de lo suave y comoda que es la tela. Respecto al diseño es realmente elegante y muy bonito, con un sistema de cierres de cremalleras que van bastante fluidas sin quedarse ninguna atascada, tambien dispone de un bolso con un boton de cierre. En el tema bolsillos es fantastica, ya que hay bolsillos de todos los tamaños, ideal para guardar desde el movil, hasta las llaves pasando por anotaciones, cartera o lo que quieras. Recomiendo este bolso sobre todo a esos hombres cansados de no saber donde guardar todos los objetos cuando salimos a la calle, y que quiera lucir un bonito look con este bolso. Gran producto, les doy las cinco estrellas porque me ha encantado. La unica pega q le pondría seria que la cinta por la q se cuelga es algo chica, pero tambien yo pq soy bastante alto, mido 1.92. Por lo demás genial.</t>
  </si>
  <si>
    <t>Excelente producto Muy buenas comodas y bonitas</t>
  </si>
  <si>
    <t>Una maravilla Una maravilla, me llego esta mañana y la he utilizado 5 minutos esta mañana y 5 ahora por la noche, al principio hay q hacerse a la idea jaja es como hosti esto pincha! pero luego notas como se te relaja la espalda. Por ahora encantada!</t>
  </si>
  <si>
    <t>Demasiada opinión de 5 estrellas Vamos a ver, ante todo, esto no son unos malos cascos, pero para ser los mas vendidos cuando los compré, no son nada del otro mundo. Cuando tenga una opinión formada y completa actualizaré la revisión, y si tengo que aumentar el número de estrellas lo haré... de momento, dejo mi granito de arena... no son los mejores cascos que he probado por este precio</t>
  </si>
  <si>
    <t>Bonitas...durante un tiempo Cuando llegaron a mi pareja le encantaron y la verdad que quedan genial. Eso sí, se ensucian con mucha facilidad. Hay que cuidarlas mucho para mantener ese color inicial.</t>
  </si>
  <si>
    <t>Mer No me han gustado. Una decepción. La tela es muy fina, no los recomiendo.No  tienen calidad y dan poca talla.</t>
  </si>
  <si>
    <t>Disco duro de 4 TB 5400 rpm y 256 MB de cache que viene sin formatear. Se intenta formatear y da sectores defectuosos. Viene embalado en plástico de burbujas y una caja de transporte demasiado grande.</t>
  </si>
  <si>
    <t>Deportivas Como lo esperaba</t>
  </si>
  <si>
    <t>Producto perfecto Esta bien</t>
  </si>
  <si>
    <t>Sencillo Presentador, compacto y fácil de usar. Compré este presentador para evitar el tener que ir al ordenador a dar a la tecla de avance en las presentaciones que tuve que realizar con ocasión de un curso.  Se conecta muy fácil al ordenador, solo introducir el usb antena y listo, Las funciones son las sencillas (avance,retroceso, pausa y entrar/salir de la presentación), es muy compacto, no ocupa ni la mitad de la palma de mi mano y el usb antena se introduce en el propio mando que viene con una funda, lo que le hace tranportable al máximo.  El puntero láser no lo utilizo mucho, pero es un punto rojo bien marcado y de gran alcance.  Yo he quedado muy contento, es lo que relamente buscaba.</t>
  </si>
  <si>
    <t>Increible calidad! Lo escogí como regalo para mi hermana el día de mi boda, como álbum de recuerdos desde nuestra infancia y fue un acierto! La calidad de las páginas es muy buena, las tapas son duras y consistentes y con muy buen acabado. Aún así, algunos de los sticks que vienen incluidos no pegan mucho y algunos bolis no pintan bien en las hojas, por lo que recomiendo comprar a parte algunas pegatinas y bolis para decorar el álbum.</t>
  </si>
  <si>
    <t>Relax total Embalaje perfecto y recibido en fecha acordada. Es una maravilla de aparato, masajea cualquier zona de la espalda, además también se puede utilizar para las piernas.</t>
  </si>
  <si>
    <t>Igual que en la foto Todo ok</t>
  </si>
  <si>
    <t>Diseño, comodidad y precio. Creo que inmejorable Relación calidad precio muy buena. A ver el paso del tiempo como le sienta</t>
  </si>
  <si>
    <t>Alfonso Saavedra Taboada Extraordinaria joya, mi esposa quedo encantada, la pena es el tamaño que no fuese unos milímetros más Grande de diametro</t>
  </si>
  <si>
    <t>Excelente La pulsera me ha dejado impresionado, en primer lugar se envió muy rápido y el embalaje en perfecto estado. Además el diseño de la pulsera es muy bonito, con un toque moderno y la pantalla vertical lo hace muy atractivo. La batería es una cosa que llama la atención, llevo 4 días usando la pulsera y aún me queda la mitad de la batería. Además de tener muchos otros modos de actividades. Las notificaciones y llamadas llegan correctamente e incluso puedes leer los mensajes, si no se acumulan muchos que en ese caso solo leerás quien te ha escrito. El precio que tiene y que sea impermeable hacen que sea una compra estupenda y muy recomendable. Estoy muy contento con el producto.</t>
  </si>
  <si>
    <t>Bonito y de buena calidad Llego hace solo 10 días pero hasta ahora estamos muy contentos. El hervidor (color rojo) es bonito, parece de buena calidad y funciona bien. No se ve muy grande en la cocina pero tiene capacidad de 1 litro, suficiente para 4 tazas grandes de agua. Hierve rápido y se apaga automaticamente unas pocos segundos después. Tiene garantía de dos años y se puede extenderla 1 año más solo por registrarla online. Total, muy recomendable.</t>
  </si>
  <si>
    <t>Casio, calidad. Cumple con lo prometido, buenos acabados, buen tamaño de números, buenos acabados...  Buena opción precio-calidad.</t>
  </si>
  <si>
    <t>Funcionó Conforme a la recomendación de GOPRO, sobrepasaba el problema que tenía con otra tarjeta de características inferiores a ésta. Todavía no he probado a 4K, pero estoy seguro de que funciona. Recomendaciones:</t>
  </si>
  <si>
    <t>Collar árbol de la vida Es un collar precioso de un árbol de la vida con cinco cristales coloridos de Swarovski, todo ello rodeado de un círculo hecho de cristales de Swarovski también. Un regalo muy elegante.</t>
  </si>
  <si>
    <t>Servicio Para calidad superior</t>
  </si>
  <si>
    <t>Auriculares con muchísimas funciones recomendadas. Muy buenos auriculares para nuestros días de deporte con unos 4 horas de autonomía y un estuche de carga de hasta 22h se conecta con Siro y función de llamadas responde y finaliza llamada y también la rechaza en música función de reproducción pausa canción siguiente y anterior . En definitivo auriculares de muy buena calidad con un montón de funciones. Dispone de 4 pares de ganchos para la oreja para una mayor seguridad.</t>
  </si>
  <si>
    <t>Buena marca GENIAL, DE LAS MEJORES MARCAS, SIEMPRE REPITO</t>
  </si>
  <si>
    <t>Genial El producto esta en perfecto estado y cumple con su función. Es muy cómodo, y fácil de portar en la cintura. Abulta muy poco en la cintura.</t>
  </si>
  <si>
    <t>Buen precio y un buen servicio. Las fundas folio de 90 micras me han sido de gran utilidad puès al no encontrarlas de 120 micras me arriesgué por ellas y ha decir verdad me han funcionado, guardan una vea puesta la cartulina din A4 aguantan bien para lo que yo quería. Aconsejable para quien las tenga que adquirir por  precio y calidad. Buen servicio y entrega.</t>
  </si>
  <si>
    <t>Perfecto. Original, grande, con instrucciones, caja de exposición y todo en regla.</t>
  </si>
  <si>
    <t>Todo bien Me llegó en la fecha prevista. Muy bonito y la calidad estupenda. Cuesta un poco ver la hora con poca luz.Gracias!</t>
  </si>
  <si>
    <t>Excelente De lo mejor.</t>
  </si>
  <si>
    <t>Muy contento! Amazon como siempre perfecto respecto al envío! En cuanto al reloj tiene las funciones de todo Casio (hora, alarma, cronómetro...) Pero el diseño está muy cuidado, muy elegante y acabados muy finos La única pega que le pondría sería la lud led, que no es como la de su hermano a168w que ilumina en azul toda la pantalla, pero si estás a oscuras se ve bien con la luz La segunda es que si eres hombre y tienes algún que otro pelo en el brazo de vez en cuando vas a notar que se te engancha uno en el reloj, pero no es gran cosa.</t>
  </si>
  <si>
    <t>no lo recomiendo baja calidad un mes de vida hace agua mas que el Titanic</t>
  </si>
  <si>
    <t>Se acaba pronto Vienen pocos metros</t>
  </si>
  <si>
    <t>En frío bien... Me gustaba mucho, hasta que hice puré de calabacin el vaso quedó como muestro en las fotos.... Es cristal?</t>
  </si>
  <si>
    <t>Faber que? Malísima calidad, similar a cualquier conjunto que puedes comprar en la tienda  para niños de primaria y bastante más baratas. Nada que ver con mis antiguas faber</t>
  </si>
  <si>
    <t>Salomón XA pro 3d Zapatilla un poco estrecha y esperaba más amortiguación en la zona delantera, buenos acabados.</t>
  </si>
  <si>
    <t>👌 👌</t>
  </si>
  <si>
    <t>MUY BIEN Es un modelo que funciona muy bien, el anterior que tuve, de la misma marca y similar y lo he vuelto a comprar, es por algo.</t>
  </si>
  <si>
    <t>Buenas pero pesadas.. Muy comodas la verdad, lo unico que las encuentro muy pesadas...</t>
  </si>
  <si>
    <t>Correctísimo producto Por el precio y lo que ocupa no se le puede pedir mucho más. Suena bien con cascos y altavoces caseros. Perfecto para practicar en tu habitación sin molestar a los vecinos.</t>
  </si>
  <si>
    <t>Muy bueno Hace ya tiempo que lo uso y me encanta. Se nota que es un aceite esencial de calidas. Me encanta el aroma y la textura que tiene. Lo recomiendo</t>
  </si>
  <si>
    <t>Playeras rosas. Están muy bien y son cómodas.</t>
  </si>
  <si>
    <t>Cómodas y ligeras Super contenta! Son cómodas y ligeras. Las he usado varias veces y aguantan la tralla, están como nuevas.</t>
  </si>
  <si>
    <t>Sorpresa grata Me han sorprendido con el casio G-Shock y la verdad que es una pasada y con muchas funciones, el precio estaba en oferta y la verdad que vino bien protegido con su caja en acero.</t>
  </si>
  <si>
    <t>Bonito diseño. Las deportivas vienen envasadas al vacío y dentro de una bolsa de tela con una asa, cremallera y una ventanilla transparente para ver que hay dentro de la bolsa: Será muy práctico para llevar calzado en la maleta en un viaje, muy buen detalle por parte del vendedor!!! El diseño de las deportivas es muy bonito y original, con color vivo degradado hacia el negro. Y me gusta mucho que no llevan ningún nombre absurdo escrito en la zapatilla (ni running, ni fashion ni nada) así no se ve de dónde vienen las mismas, o si son de una u otra marca rara.</t>
  </si>
  <si>
    <t>Perfecto Buena calidad</t>
  </si>
  <si>
    <t>Lo primero que me llamó fué si precio fuera de Amazone costaba 20 euros más. Si quieres un reloj para una persona que sea poco cuidadosa con sus cosas este es el reloj que estabas buscando. Es prácticamente irrompible. La persona a la que se lo regalé está muy contenta. Eso si, es un reloj de batalla, para todos los días y con línea de estilo juvenil.</t>
  </si>
  <si>
    <t>Original. Perfecto , cumple con las velocidades de W/R . Original.</t>
  </si>
  <si>
    <t>Super cómodos Yo tengo el oído muy pequeño y todos los auriculares me hacen daño a los pocos minutos. Este sin embargo ni los noto, son súper cómodos y se ajustan perfectamente a mi oído no haciéndome nada de daño.  La calidad de sonido es muy buena y el aislamiento también. El hecho de que se carguen en la caja me da mucho más tiempo de uso antes de tener que cargarlos de nuevo.  Estupendo el detalle del recambio de las gomas en un color más moderno.  Muy fáciles de vincular con el teléfono</t>
  </si>
  <si>
    <t>excelente excelente</t>
  </si>
  <si>
    <t>BONITAS Y PRÁCTICAS Me ha gustado mucho el producto, si bien es cierto que calza pequeño. Son perfectas para ir a la playa.</t>
  </si>
  <si>
    <t>Auricular comodisimo &lt;div id="video-block-R1GVOWFEAAX5ZJ"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src="https://images-eu.ssl-images-amazon.com/images/I/B1hJOMIlTIS.mp4" style="position: absolute; left: 0px; top: 0px; overflow: hidden; height: 1px; width: 1px;"&gt;&lt;/video&gt;&lt;/div&gt;&lt;div id="airy-slate-preload" style="background-color: rgb(0, 0, 0); background-image: url(&amp;quot;https://images-eu.ssl-images-amazon.com/images/I/91OehV7yT0S.png&amp;quot;);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value="https://images-eu.ssl-images-amazon.com/images/I/B1hJOMIlTIS.mp4" class="video-url"&gt;&lt;input type="hidden" name="" value="https://images-eu.ssl-images-amazon.com/images/I/91OehV7yT0S.png" class="video-slate-img-url"&gt;&amp;nbsp;Auriculares Bluetooth muy fáciles de manejar, se empareja muy rápido además de que no sólo los puedo usar con el móvil. Se adaptan muy bien a la oreja y su forma de botón no incomoda para nada en la parte de dentro del conducto auditivo ya que se adapta perfectamente. Sonido nítido y claro, se enciende con una simple pulsación sobre los auriculares si está pulsación se mantiene unos segundos más es para realizar el emparejamiento de ambos(esto es para que no sólo se reproduzca el sonido por un solo auricular). La caja de carga es super práctica en el momento que se introdicen en ella se empiezan a cargar(tienen luces indicativos de la carga de estos) se carga via micro usb. Uno de los aspectos más llamativos dd estos auriculares es la larga duración de sus baterías algo muy recomendable para todo aquel que quiera disfrutar dd hora de disfrute con su música favorita. Yo los adquirí por una recomendación y estoy encantadisimo.</t>
  </si>
  <si>
    <t>Económico Pack muy bien de precio.</t>
  </si>
  <si>
    <t>Cómodas. Un poco más rápidas que mis antiguas zapatillas. Las zapatillas están muy bien. Son cómodas y un poco más rápidas que las anteriores nike Vomero que utilizaba. Se adaptan muy bien al pie. Tuve que pedir un 42 2/3 ya que el anterior número me estaba pequeño, mi número de pie normal es un 41, por lo que recomiendo comprar una o dos tallas más. Por lo demás muy bien por ahora, solo las he usado tres veces,  pero estoy contento con ellas. Recomendables para obtener un poco más de velocidad.</t>
  </si>
  <si>
    <t>Sujeta del todo Lo compré para el gimnasio y no tengo ninguna pega. Es comodisimo y el pecho queda totalmente sujeto.</t>
  </si>
  <si>
    <t>Perfectas Sin duda un gran compra, son unas zapatillas fuertes y resistentes, volvería a comprarlas!</t>
  </si>
  <si>
    <t>10 Excelente compra!</t>
  </si>
  <si>
    <t>Barato Me gustan. Pero el cierre me gustaría más seguro</t>
  </si>
  <si>
    <t>Bolso bandolera caballero Me ha gustado y a mi marido también,fue un regalo que le hice y ahora no sale a ningún sitio sin ella.😀</t>
  </si>
  <si>
    <t>Lo devolví, por incompatible. Lo devolví porque no servía para mi radio-cd con cargador "cabasse" modelo "tronic" de un Laguna III. La publicidad del producto no es muy precisa, y la traducción una chapuza. Suerte que para probar, no hay que romper el precinto, pues va en un sobre con un "Flip". Me volví loco para acceder a la radio por detrás  (los utensilios no sirven par todas las radios) y después de llegar al amplificador-sintonizador (lo que se ve en el coche solo es el cargador y la botonera, la radio en sí está detrás de la guantera), resulta que no hay "hueco" para esta conexión.</t>
  </si>
  <si>
    <t>Sonido malo Suenan a lata, la batería les dura un suspiro y parece que además uno de ellos tiene menos batería que el otro. Igual tengo que descambiar.</t>
  </si>
  <si>
    <t>muy recto El tejido era el que esperaba,calentito y con un largo que me llega justo por debajo de las rodillas (mido 1,60),lo que no me gustó es que en la foto parece que es más entallado en la cintura pero al ponérmelo lo encontré demasiado recto , como si llevara un saco encima,se lo recomiendo a mujeres con pocas curvas,si eres una mujer de cintura estrecha y caderas anchas te hará muchos pliegues en la parte baja de la espalda y la zona del vientre. Uso la talla 42/44 y me queda grande. No lo volvería a comprar.</t>
  </si>
  <si>
    <t>Buen tacto Se abre seguido al rozar con cualquier cosa</t>
  </si>
  <si>
    <t>Mala calidad de materiales y de sonido Lo devolví, tiene una calidad infima. Si lo quieres para escuchar el fútbol, pueden valer, para música, ni por asomo.</t>
  </si>
  <si>
    <t>Tetinas del 1 Las tetinas que traen son para recién nacido, las del 1. Y no lo indica en ninguna descripción del producto.</t>
  </si>
  <si>
    <t>Me encantan Me gustan mucho</t>
  </si>
  <si>
    <t>bueno bueno</t>
  </si>
  <si>
    <t>Una gran compra Un herbidor super practico y muy estetico, la lastima es que minimo tiene que tener siempre 0'8l de agua, pero como bueno tiene mucha capacidad</t>
  </si>
  <si>
    <t>BUENAS Son botas que para el trabajo está muy bien y la verdad que son muy recomendables, para el precio que tienen, es mejor que otras botas más profesionales.</t>
  </si>
  <si>
    <t>Líquido Vino con un poco de fuga, todavía no lo he probado</t>
  </si>
  <si>
    <t>Buena Ok</t>
  </si>
  <si>
    <t>Recomendable Buen producto para correr pues no se nota su peso y no da calor. La conectividad es un poco incomoda pues vas a ciegas. Si lo conectas al móvil mejor porque llevas control de las canciones, pero si vas con la radio no sabes en qué emisora estás ni volumen.... sería ideal poder controlarlo con una App.</t>
  </si>
  <si>
    <t>100% recomendable Limpia muy bien,  excelente relación calidad precio</t>
  </si>
  <si>
    <t>Relación calidad precio inmejorable Un reloj bonito, cómodo y que casi no pesa por un precio más que razonable. Recomiendo su compra. Excelente encío por parte de Amazon.</t>
  </si>
  <si>
    <t>Perfectos Se escuchan muy bien, son súper prácticos para el gimnasio , llevan imanes para que si te los quitas un momento no se caigan, traen su bolsita y una cajita metálica para guardarlos que viene muy bien, traen también almuadillas de varios tamaños para que te encajen perfectamente. Muy contenta con la compra</t>
  </si>
  <si>
    <t>Poder antigrasa Es muy  eficaz</t>
  </si>
  <si>
    <t>Mejor que he visto Suena mejor que mucho auriculares caros para escenario (monitores). Unos graves increíbles !!!!</t>
  </si>
  <si>
    <t>Bueno Muy buen reloj. Fue un regalo pero el regalado quedó satisfecho</t>
  </si>
  <si>
    <t>Satisfecho Me han gustado mucho los cascos, siendo estos muy buenos conforme a la relación calidad-precio. También me ha gustado mucho que los tamaños de las almohadillas para los oídos vengan por colores según el tamaño y vienen con una herramienta para enrollar los cascos y tenerlos cogidos de manera que no se enrollen. Bastante satisfecho.</t>
  </si>
  <si>
    <t>Buen sonido Por calidad precio está estupendo, sonido muy nítido y se escucha muy bien. El diseño muy cómodo para colocarlo en la oreja y no incomoda. Viene dentro de un bolsito con su cable para cargarlo y cómodo de llevar y guardar.</t>
  </si>
  <si>
    <t>Buen sonido Auriculares inalámbricos en color blanco y con toque táctil en el propio auricular. Tienen un diseño muy moderno, además al ser blancos le aportan un toque extra. El sonido es muy bueno, de hecho me ha impresionado por su precio. La conectividad es muy sencilla, y viene con una caja que sirve de cargador al mismo tiempo. En cuanto a la duración de la batería no puedo confirmarlo ya que me los dejé enchufados durante toda una semana.</t>
  </si>
  <si>
    <t>Perfecta Va perfecta para llevar de viaje ,fácil de usar y de desmontar ,tiene bastante potencia para triturar sin problemas</t>
  </si>
  <si>
    <t>Buen hervidor Me gusta su diseño y capacidad . Hierve rápido y mantiene tiempo el agua caliente. Aunque la apertura de la tapa es distinta a otros hervidores que he tenido, me parece cómoda y segura.</t>
  </si>
  <si>
    <t>JESU Su material de cristal transparente permite ver su interior para ver su nivel, temperatura y color.En mi caso es un electrodomestico imprescindible, y con este no solo calienta el agua sino que además puedo hacer mi infusión casera (limón, jengibre y canela) con el filtro extraible y prescindir de olla.  tiene indicador de temperatura constante por lo que puedes ajustar la temperatura a tu gusto. Si decides comprarlo, ten en cuenta que el hervidor tarda un momento en apagarse desde que el agua hierve, así que produce bastante vapor/condensación. Asegúrate de cerrar bien la tapa, de lo contrario no se apagará automáticamente.</t>
  </si>
  <si>
    <t>Ideal para los dolores de espalda Excelente producto, funciona de maravilla a muy buen precio</t>
  </si>
  <si>
    <t>Practico hervidor de agua Necesitaba un hervidor para mi lugar de trabajo. Me decidí por este por su elegante diseño. Cuando esta funcionando, se enciende una luz en su base y cuando el agua está caliente se apaga, indicando que ya ha finalizado. La jarra es práctica y tiene una capacidad de 1.7 litros. Tiene un sistema de parado por si la jarra se queda sin agua. Fácil de limpiar.</t>
  </si>
  <si>
    <t>Ok Antialérgico, bonito y de tamaño perfecto</t>
  </si>
  <si>
    <t>Adhesivo de mala calidad, pega muy poco y se despega He comprado esta cinta pero tiene un adhesivo muy malo, la pegas y al poco rato se despega solo, al menos en nuestras cajas de carton</t>
  </si>
  <si>
    <t>Funciona muy bien, pero no es tan rapido Estoy contento con el producto, pero por la información del producto creía que iba a ser mas rápido, quizás lo noto mucho porque estoy acostumbrado a trabajar con discos SSD, pero funciona bastante bien.</t>
  </si>
  <si>
    <t>Normal Es un aspirador sin grandes pretensiones, aspira normal, el cepillo recoge muy bien los pelos, la batería dura poco, bueno, lo que indica el fabricante, y no es ligero, depende quien lo use le cuesta un poco manejarlo, una persona mayor con no demasiada fuerza no puede con el manejo. Por el precio que me costó de cincuenta y dos euros es buena compra, por mas precio no merece la pena</t>
  </si>
  <si>
    <t>Duración cero. Tres veces usado. A la cuarta empezó a fallar la conexión y "petardeaba", solo con tocar levemente la parte de cable mas cercana al jack. (la cubierta por el plastico protector)</t>
  </si>
  <si>
    <t>SE DESCONFIGURA Y PIERDES TODOS LOS DATOS No dice que se trata de un disco "reparado". Dos veces se me ha desconfigurado y he perdido los datos. Último Seagate que compro.</t>
  </si>
  <si>
    <t>basico basico</t>
  </si>
  <si>
    <t>Calidad precio Calidad precio y su capacidad</t>
  </si>
  <si>
    <t>Pega realmente fuerte y es de facil instalación Los he utilizado para pegar unas regletas de enchufes y la verdad es que pegan más fuerte de lo que me esperaba. Muy facil de utilizar e instalar. Todo correcto.</t>
  </si>
  <si>
    <t>Bonitos Están muy bien para regalo de clase</t>
  </si>
  <si>
    <t>Excelentes Son unos auriculares de buena calidad,Samsung.</t>
  </si>
  <si>
    <t>Muy buena licuadora Me ha encantado..encaja facil..facil de limpiar..liviano... tamaño justo...recomendado</t>
  </si>
  <si>
    <t>Mascara La uso dos veces por semana, la piel queda super suave, mas clara, super limpia. Se nota mucho mas saludable.</t>
  </si>
  <si>
    <t>si es bueno se repite el mejor pegamento rápido que e usado fantastico</t>
  </si>
  <si>
    <t>Muy cómodas Muy cómodas, perfectas. Fue un regalo y le encantó</t>
  </si>
  <si>
    <t>Muy contenta. Las botas las recibí antes de lo esperado. Muy rápido el servicio y muy bien. Las botas en su caja y bien guardadas. El producto es sensacional y quedan muy bonitas puestas. Cómodas, pero al principio hay que darles grasa para que se vayan adaptando a tu pie. Muy buenas para invierno.</t>
  </si>
  <si>
    <t>Hermosos Muy sorprendida. Son pequeños pero muy bonitos.</t>
  </si>
  <si>
    <t>Va muy bien Consulté varios modelos con un técnico de sonido y éste tenía buenas prestaciones y, la verdad, es que funciona todo de maravilla.</t>
  </si>
  <si>
    <t>Magnifica batidora! He comprado esta batidora para regalársela a mi madre ya que yo tenía una parecida, pero esta es mucho más completa. El diseño precioso y tiene diferentes vasos para picar diferentes alimentos y batir comidas. Tiene además diferentes velocidades que se agradece! He acertado con el regalo!</t>
  </si>
  <si>
    <t>Encantada Me han encantado. Son originales. No son blancas, más bien blanco roto pero no me importa mucho la verdad. Me arriesgué sin tener ninguna opinión y creo que he acertado.</t>
  </si>
  <si>
    <t>Discreto La luz no es potente</t>
  </si>
  <si>
    <t>Esta genial y la recomiendo. Está genial! Yo suelo comprar muchas carpetas clasificadoras en tiendas de gama lowcost y no suelen durarme mucho. Esta me dio buena impresión y la verdad que después de utilizarla, puedo decir que ha conseguido suplir todo lo que necesitaba. Esta genial para organizar folio, facturas, etc Y su textura es buena, es resistente. La recomiendo 100%</t>
  </si>
  <si>
    <t>Genial para mantener la lactancia materna El producto llego en la fecha propuesta en la cesta de la compra con las características indicadas en la descripción. Tenía la versión de hace 2007, después de probar diversas marcas y tipos.  En términos generales muy satisfecho y recomendado</t>
  </si>
  <si>
    <t>Muy bonito Más bonito todavía que en la foto. Sienta fenomenal. Cogí una talla más de la que uso normalmente y me va bien. Compré el gris y volvería a repetir la compra.</t>
  </si>
  <si>
    <t>Genial Colores exactos a la foto.</t>
  </si>
  <si>
    <t>Los mejores que he tenido! Muy buenos!! Tiene todo tipo de funciones, con un solo toque en cada auricular pasas a la canción previa o siguiente según te interese. Puedes igualmente descolgar o colgar la llamada con un solo clic en el mismo auricular. Si el clic es prolongado se sube o baja el volumen, son geniales!!! 6000 miliamperios de batería, si te vas unos días de ruta o vacaciones, basta con una sola carga para varios días, increíble.  La calidad y volumen de audio más que suficiente, son los mejores que he probado hasta el momento. Marca la cantidad de batería en la caja, fantástico. Es verdad que son caros comparando con otros, pero son de calidad. También son pequeños y no se mueven aunque corras o hagas movimientos bruscos. Merecen la pena, si aconsejo la compra, además son super chulos y aguantan el agua y el sudor, se pueden usar juntos o por individual.  Le doy un 10 a estos auriculares. Gracias.</t>
  </si>
  <si>
    <t>Buena compra económica Se nos rompió la batidora que teníamos en el campo y la verdad es que buscamos una batidora económica y que tuviera buena potencia. La verdad es que es muy fácil de usar tiene dos botones con dos diferentes velocidades.  Por lo que hemos visto también es bastante fácil de limpiar y la relación calidad precio es bastante buena.  El precio es correcto y el accesorio que trae como vaso también es correcto con lo cual estamos bastante contentos.</t>
  </si>
  <si>
    <t>Excelente para uso doméstico Llegó hace dos semanas y está yendo muy bien. Todos contentos en casa. No es muy ruidoso y muy sencillo para limpiar.</t>
  </si>
  <si>
    <t>Camiseta deportiva La talla es la perfecta, la calidad bastante buena, muy contenta con la comprar</t>
  </si>
  <si>
    <t>No me los pongo Son muy bonitos. No le doy 5 estrellas porque cuando te los pones y te miras de frente se ve la partede atras del pendiente y no el diseño del mandala. Así que en general cuando alguien esta hablando contigo los ve feos. Supongo q desde el lateral se verán preciosos.</t>
  </si>
  <si>
    <t>Mala calidad del sonido Estoy agradecida por la fecha de entrega, fue el día que me lo dijeron. Mas el producto es de mala calidad, cuando estoy grabando el video, suena un ruido como si fuera un reloj, no me deja grabar bien, mis videos salen muy mal con ese sonido. Espero lo solucionéis un saludo.</t>
  </si>
  <si>
    <t>Pantalla de plástico El reloj genial, pesa poco, estéticamente es muy atractivo pero... La pantalla se raya con facilidad ya que es de plástico. Llevo tres semanas con él y parece que tenga un año.</t>
  </si>
  <si>
    <t>No funcionan las esferas de dentro Es muy bonito, pero no funcionan las esferas de dentro</t>
  </si>
  <si>
    <t>No cierra Muy mala calidad las anillas se quedan abierta</t>
  </si>
  <si>
    <t>Los Mercedes o BMW de los biberones Como dicen por ahí, son los "Mercedes" o "BMW" de los biberones, cómodos, pocas partes, fáciles de limpiar y duraderos, el bebé lo aceptó a la primera. Lo único es que Philips Avent, debería hacer estas tetinas en forma automática ya.</t>
  </si>
  <si>
    <t>Se nota elmasaje Buena compra</t>
  </si>
  <si>
    <t>Axl nike originals, totalmente verdaderas, recomiendo q las pruebes en una tienda para que sepas cuál es tu talla, a mí me están un poco grandes</t>
  </si>
  <si>
    <t>Incomprensible lo del bloqueo en caso de error. ScanDisk me envió otra sin gastos. Apenas un año de uso y ya dio errores de lectura. Pero lo incomprensible es que, por una presunta medida de protección interna para evitar pérdidas de datos (según se puede encontrar por la web), la tarjeta se autobloquea y ya no permite escribir y ni siquiera formatearla.  Editado: Buena atencíón por parte de ScanDisk. Hice una reclamación y me han mandado otra igual sin gastos y relativamente rápido. Subo a 4 estrellas. 5 si no se hubiera estropeado, claro.</t>
  </si>
  <si>
    <t>Muy bueno!! Un reloj perfecto para los aventureros. Se lo regale a mi hermano y esta encantado. Es cazador y pescador y cada dia lo usa mas. Le encanta la estetica y todas las funciones que trae. Incluso me estoy plantandolo para mi, ya que la estetica militar que trae es brutal y soy un apasionado de los relojes.</t>
  </si>
  <si>
    <t>Mala calidad herrajes, pero muy buen servicio El bolso es bonito, tela como vaquera pero gris, y con muchos departamentos, que es lo que buscaba. El envío muy bien y rápido. Sin embargo, a los pocos días se cayó una pieza que tiene con un gancho para colgar unas llaves, como no lo usaba no le di importancia. Pero menos de tres meses después una de las cremalleras laterales de la parte delantera se ha salido y es imposible volverla a introducir. No le he dado mal uso como para que haya ocurrido esto, por lo que supongo que la calidad de los materiales es pésima. (Actualización) Este año 2019 he recibido mensaje del vendedor, proponiéndome enviarme un producto nuevo (sin haberlo solicitado yo), cosa que han hecho ayer. Chapeau por ellos. Espero que hayan mejorado los materiales y este me dure más, ya informaré por aquí</t>
  </si>
  <si>
    <t>Recomendable RECOMENDABLE</t>
  </si>
  <si>
    <t>Buena relación calidad-precio Para el precio, está bastante bien. Cumple su función a la perfección. Cuesta un poco pillarle el truco para quitar los accesorios pero de potencia está perfecto para un uso cotidiano. Llevo desde enero usándolo y hasta ahora no ha dado ningún problema</t>
  </si>
  <si>
    <t>Muy bueno Lo llevo siempre encima. Tiene un muy buen sonido, una buena duración de la batería, y la ventaja de que es sólo un auricular, por lo que no te aisla del entorno, cosa que para mi es importante por la calle y en la oficina. Lleva dos cargadores comodísimos de usar también. Gran compra.  Actualizo, porque creo que es importante. Al año y medio de uso, y después de darle MUCHA guerra, la batería murió. Contacté con el vendedor para ver si era posible conseguir una batería de repuesto, y nada, directamente me ofrecieron un auricular de repuesto. O_O. Muy, muy buen servicio el de este vendedor y con este producto.</t>
  </si>
  <si>
    <t>potencia Es una batidor  buena .Con los tres niveles de potencia llega para lo que sea .Yo estoy contenta con ella .El tapon esta muy justo ,pero se pone al reves y ademas te sirve para añadir algo despues puesto que en la oquedad se puede poner algo de azucar ,etc.</t>
  </si>
  <si>
    <t>Funcional Es lo que esperaba. Ligero, adaptable... Funcional!</t>
  </si>
  <si>
    <t>MUY BONITAS IGUAL QUE EN LAS FOTOGRAFIAS Me han gustado muchisimo, ligeras, cómodas y bien diseñadas para caminar o correr. Materiales de calidad. En mi opinión muy recomendables. Relación calidad precio excepcional</t>
  </si>
  <si>
    <t>Ideales Supercòmodas y muy gustositas al tacto. Muy contenta de haberlas comprado. Viene bien en su número. Me las voy a poner mucho mucho</t>
  </si>
  <si>
    <t>Lo recomiendo!! Procesador midi muy profesional. Gran calidad del material realizado, con una sensibilidad muy alta en los pensadores. Estoy muy contento en haberlo comprado. Lo recomiendo!!</t>
  </si>
  <si>
    <t>Maria Es genial. Calienta el agua en muy poco tiempo y el manejo es tan sencillo como pulsar suavemente una pequeña palanca que se ilumina cuando se pone en funcionamiento y se apaga cuando el agua ha hervido.</t>
  </si>
  <si>
    <t>precio mejor de el de la tienda es lo que buscaba, precio mejor que en tiendas</t>
  </si>
  <si>
    <t>Calidad Abriga  tallaje amplio como todo lomque adidas</t>
  </si>
  <si>
    <t>Forro Calidad, confort y estética a buen precio, tallaje estándar</t>
  </si>
  <si>
    <t>Auriculares bluetooth Estos auriculares los he comprado para cuando hago directos soy una persona que suda y estos auriculares no se me mueven también soy un poco exigente con los graves y este los tiene bastante logrados yo tengo las orejas pequeñas y por suerte estos se adaptan muy bien ya que los últimos que tuve se me caían. Los utilizo con iPhone y huawei y no dan problemas. La caja también carga los auriculares es pequeña fácil de llevar. El producto llega en una caja con instrucciones bien explicadas para poder emparejar sin problemas con cualquier tipo de terminal. La duración de la batería está muy bien si quieres hacer ejercicio de dos horas sin problema, a la hora de llamar por teléfono el sonido y la calidad de llamada y de voz está muy bien es clara y de momento hasta día de hoy no he tenido ningún tipo de problema, he preguntado cómo se escucha y las personas me dicen que bien normal. El auricular es fácil de limpiar.</t>
  </si>
  <si>
    <t>Perfecto!!! Me encanto la compra barato y muy ùtil ..</t>
  </si>
  <si>
    <t>Calidad-precio inmejorable El TOP Nike Sport-BH Pro Victory Compression más económico del mercado. Inclusive comparando en outlets de la marca. Muy satisfecha con su compra.</t>
  </si>
  <si>
    <t>Geniales Quedan muy bien y van geniales para correr por sitios agrestes y con piedra , muy buenas, muy buen producto, lo recomiendo,además llegaron antes de lo previsto</t>
  </si>
  <si>
    <t>Muy buen aparato Genia¡¡ Funciona genial. Tritura fenomenal la papilla de fruta, avena, smoothies. Me gusta más que la batidora de mano, mucho más. Aunque más pequeña claro. Hay que hacer dos batidos por separado pero una vez picado todo lo pones y listo.</t>
  </si>
  <si>
    <t>flojo altavoces auriculares buena calidad precio pero no le pidas mucha matraca conector flojo.envio rapido,embalaje muy bueno,por ese precio no puedes pedir algo mejor.</t>
  </si>
  <si>
    <t>Alivia pero no elimina contracturas No te quita las contracturas pero alivia. Tiene 4 botones: uno de encendido y apagado, otro pagar encender y apagar el calor, otro para activar la vibración en las manos y otro para regular la velocidad de las bolas. El calor se nota muy poquito. Tiene 3 velocidades. No lo veo muy cómodo ya que tienes que estar sentado recto para poder colocarlo bien (eso si te lo pones en la espalda o el cuello). Lo dicho, como masaje o para aliviar el dolor fumciona pero no hace milagros</t>
  </si>
  <si>
    <t>Que cumplan no engañen Nada son de imitación</t>
  </si>
  <si>
    <t>Producto aceptable La verda que no lo use mucho porque tapaba totalmente mi voz ante el micro. Puede ser porque el micro que usaba no era bastante bueno como para necesitar un reductor de ruido. Pero el producto tiene buena pinta.</t>
  </si>
  <si>
    <t>Calidad aunque un poco justo de potencia vengo de los eternos 141 y los utilizo en la emisora de radio que dirijo, de la marca siempre hay que destacar la comodidad y fidelidad plana del sonido, así como la calidad de los materiales, pero en este modelo en concreto para mi tiene 2 ventajas la primera el cambio de cable de forma rápida a través de un conector, además resulta muy cómodo el cable rizado pues así no esta arrastrando por el suelo, la otra ventaja es el recambio de almohadillas muy cómodas y que sea de pabellón grandes. El modelo además a mi parecer tiene algunas desventajas, la primera y peor de ellas es que satura pronto, le falta soportar un poco más de potencia, otra desventaja para el uso que yo le doy es que al ser abiertos sale demasiado sonido al exterior por lo que no se puede utilizar con cualquier micro porque llega a aclopar.</t>
  </si>
  <si>
    <t>Calidad precio Buen producto para dar otro aire a tu reloj, fácil montaje con el útil que viene incorporado</t>
  </si>
  <si>
    <t>Util Buena calidad como zapato laboral ..algo pesado pero util</t>
  </si>
  <si>
    <t>Buen producto, mal control de calidad Los pendientes son muy bonitos, pero he tenido que comprar 3 pares para poder sacar uno sin que tuviese una muesca en el cristal. El control de calidad del producto muy malo. Sobre la devolución con Amazon, como siempre un diez. Después de unos días, Angel Nina contactó conmigo debido a la incidencia ocurrida y como gratificación por las molestias ocasionadas, me regaló el collar a juego. Un buen detalla por parte de ellos.</t>
  </si>
  <si>
    <t>Muy practico Funciona muy bien con los biberones y el extractor de leche. No puedo pedir más de este producto aunque la parte de abajo para dentro de la tetina me parace un poco inútil.</t>
  </si>
  <si>
    <t>Lo compré para regalar Mi nieto está muy contento con el regalo, por lo que lo valoro positivamente.</t>
  </si>
  <si>
    <t>Buena compra &lt;div id="video-block-RRMCJB4QCS7WF"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src="https://images-eu.ssl-images-amazon.com/images/I/B1URQzi9urS.mp4" style="position: absolute; left: 0px; top: 0px; overflow: hidden; height: 1px; width: 1px;"&gt;&lt;/video&gt;&lt;/div&gt;&lt;div id="airy-slate-preload" style="background-color: rgb(0, 0, 0); background-image: url(&amp;quot;https://images-eu.ssl-images-amazon.com/images/I/91d+NTADT+S.png&amp;quot;);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center;"&gt;0:30&lt;/div&gt;&lt;div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4.07952%;"&gt;&lt;/div&gt;&lt;div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value="https://images-eu.ssl-images-amazon.com/images/I/B1URQzi9urS.mp4" class="video-url"&gt;&lt;input type="hidden" name="" value="https://images-eu.ssl-images-amazon.com/images/I/91d+NTADT+S.png" class="video-slate-img-url"&gt;&amp;nbsp;El producto me llego en el tiempo estimado y en perfectas condiciones. La tengo instalada en mi teléfono y va muy bien sin ningún tipo de problema. El uso que le estoy dando es el normal de almacenar música, fotos y vídeos entre otros. Estoy contento con la compra que hice y volvería a comprarlo si me hiciera falta. Lo recomiendo.</t>
  </si>
  <si>
    <t>Relación calidad precio No es de piel, por supuesto, pero la relación calidad precio me parece muy buena. Buen bolso para viajar</t>
  </si>
  <si>
    <t>Perfecte. Tant les botes com l'entrega perfecte. Les botes van arribar en bon estat i complien totes les expectatives. El servei d'entrega, ràpid i eficient, va arribar abans i tot del que estava previst. Totalment recomanable.</t>
  </si>
  <si>
    <t>Batidora elegante y práctica. La batidora viene dentro de una caja, bien protegida. Se incluye la propia batidora, un recipiente de 1 litro con tapa para guardar alimentos, y las instrucciones.  Nada más sacarla de la caja se aprecia que han cuidado todos los detalles, y estéticamente es muy bonita, mezclando el rojo con el color plateado del acero inoxidable, y consiguiendo un look retro.  La batidora tiene una potencia de 700 W, dos velocidades y función “Pulse”, que equivale a una función «turbo», permitiendo un mayor control durante cortos periodos de tiempo, realmente consiste en un incremento máximo e instantáneo de la velocidad en las cuchillas.  Estas cuchillas son de acero inoxidable y tienen tecnología infinty con diseño antisucción, por lo que consiguen un triturado total de cualquier ingrediente, independientemente de su textura y dureza.  La batidora es muy cómoda de usar, dispone de asa ergonómica de tacto suave y tiene potencia suficiente. En función de la velocidad elegida tendremos un nivel y texturas más o menos finos en el triturado. La limpieza de la propia batidora se realiza de manera muy sencilla, el pie de acero inoxidable se puede desmontar y meter en el lavavajillas.  Se recoge ocupando poco espacio, pudiéndose guardar además dentro del propio recipiente, la verdad es que queda muy bonita donde la pongas. Se entrega con 2 años de garantía más 1 año adicional al registrase online.  En fin, por el precio que tiene actualmente, 39,95 €, muy recomendable.  Un saludo.</t>
  </si>
  <si>
    <t>Camila de masaje Esta como escrito y cumple lo que promete!</t>
  </si>
  <si>
    <t>Excelente Tejido de calidad y muy cómoda. Pagas por lo que vale el producto. Nada que ver con otras imitaciones de tela mala. Tal y como esperaba. ¡Excelente!</t>
  </si>
  <si>
    <t>Muy buena compra Ahora mismo estoy con los Timberland en mis pies. Muy buena compra. Junto con los náuticos Camper que he usado muchos años, los mejores, Por eso tienen esta diferencia de precio con el resto de nautícos del mercado. Nada que ver con el resto salvo con los Camper. ahora es la segunda compra que hago y aún me duran lo anteriores a full time, aunque algo gastados ya y por eso he aprovechado la oferta</t>
  </si>
  <si>
    <t>Precio sin competencia Producto muy bueno para la desinfección, no deja olor a lejía, huele muy bien. Lo uso para limpiar las zonas donde viven mis mascotas y lo toleran muy bien. Lo recomiendo para quien tenga mascotas.</t>
  </si>
  <si>
    <t>Ideales Son preciosas y quedan súper bien.</t>
  </si>
  <si>
    <t>Bien Para ponerlo en la muñeca El podometro</t>
  </si>
  <si>
    <t>Buena calidad a muy buen precio Los pendientes son de una calidad muy buena y a un precio inmejorable, ideal para cualquier tipo de regalo. Son de un tamaño bastante bueno y lucen muy bien.</t>
  </si>
  <si>
    <t>Compra estupenda. Muy buen precio! Satisfecha con la compra</t>
  </si>
  <si>
    <t>UN BUEN AMBIENTADOR más barato y mucho mejor que el que tengo en casa porque suelta más vapor, lo he comprado para el trabajo y están todos encantados. en un sitio donde hay mucha gente y lo he puesto en una zona de paso y se nota, dura unas 5 horas con el juego de luces muy bonito y sacándole un rendimiento impresionante.</t>
  </si>
  <si>
    <t>Que puedo cambiarlo Me gusta el producto, necesito cambiar por una que sea una talla más grande. La marca new balance usan unas tallas diferentes a las demás marcas</t>
  </si>
  <si>
    <t>Igual Bien igual que la foto</t>
  </si>
  <si>
    <t>Muy práctico. Me ha resultado muy útil, la verdad, sí lo recomiendo, es muy práctico, aunque un poquito incómodo al usarlo en la parte alta de los cristales, pero eso, es algo inevitable.</t>
  </si>
  <si>
    <t>muy util Genial!!!  justo lo que necesitaba.</t>
  </si>
  <si>
    <t>Uggg; Una gran quedada</t>
  </si>
  <si>
    <t>Sirve Correcta. Encaja perfectamente para su uso. La calidad del material también es buena. El diseño tambuen es perfecto. Todo ok</t>
  </si>
  <si>
    <t>Su diseño. Me encanta el diseño. Pero son muy frágiles, se doblan fácilmente.</t>
  </si>
  <si>
    <t>No lo recomiendo Lo compre el 31 de julio lo he usado 4 veces y ya no funciona!! No me ha durado ni 6 meses</t>
  </si>
  <si>
    <t>Malo No es como en la foto, no tiene nada de forma, es simplemente la tela. Tallan bastante más grandes de lo que pone, ya que me cogí una talla menos de lo que uso y me queda grande.</t>
  </si>
  <si>
    <t>Defectuosa Ha tardado casi una semana en llegar. Buena apariencia y acabado. Me ha llegado defectuosa ya que no hay manera de poner la combinación correctamente . He Solicitado la devolución a los 5 minutos de recibirla .</t>
  </si>
  <si>
    <t>Muy bueno pero un poco corto Esta muy bien pero creo que podría ser un poco más largo, lo mejor que tiene es que se Le puede poner una variedad increíble de micrófonos y se ve de buena calidad. Mi micrófono es el blue snowball</t>
  </si>
  <si>
    <t>Buena calidad precio Buen producto y buen material por este precio La talla está bien Me gusta el color que tiene y parece de buena calidad Los cordones también son de buena calidad Al igual q la suela Estoy satisfecho, era para un regalo y he acertado</t>
  </si>
  <si>
    <t>Cómodo. El pantalón es de tejido muy suave, es fino y bastante cómodo. Uso la talla 40/42 y me tuve que comprar la XXL para que me quedará bien. La única pega es que me llegó con una semana de retraso</t>
  </si>
  <si>
    <t>Simplemente genial Es una pasada, me ha picado incluso tocas de sal del Himalaya</t>
  </si>
  <si>
    <t>El reloj de Johnny Depp Soy un gran amante de los relojes, tengo varias marcas de relojes de mayor precio que El vostok, pero éste ha pasado a ser uno de mís relojes prefiero. Prácticamente no me lo he quitado desde que me ha llegado... Tiene una precisión increíble, no he tenido que modificar la hora en ningún momento... es un reloj antiguo pero nuevo, al cual hay que darle cuerda todos los días (para mí todo un placer) aparte de todo esto , indagando sobre el reloj he descubierto que este reloj lo a utilizado el actor Johnny Depp... Para darle cuerda es un poco diferente a otros relojes. Hay que desenroscar la corona empujar ligeramente hacia afuera y proceder a darle cuerda (siempre empujando ligeramente hacia afuera mientras se da cuerda)</t>
  </si>
  <si>
    <t>Perfectas Son perfectas y preciosas</t>
  </si>
  <si>
    <t>Bonito collar Todo perfecto era para regalar y gustó mucho</t>
  </si>
  <si>
    <t>Buena compra Suelo usar Fender y Cordial, pero por nuevas adquisiciones decidí probarlos. Me gustan, sobre todo que no quedan duros, son muy moldeables. Tengo los azules. Sonido OK. Buena relación calidad/precio.</t>
  </si>
  <si>
    <t>Top Muy bien gracias!</t>
  </si>
  <si>
    <t>Encantado Hacia tiempo que queríamos incorporar un robot de limpieza a nuestra casa, principalmente la idea es que a diario mientras estábamos trabajando aspirara la casa de modo que no se alojara tanto polvo en suspensión en los muebles, en definitiva para ayudar a mantener la casa un poco mas limpia, al tiempo que nos obligaba a ordenarla para que el robot hiciera su trabajo. El resultado con la Ecovacs ha sido muy satisfactorio, es un aparato que escanea y mapea a la perfección la casa de modo que tras unas primeras limpiezas de reconocimiento luego realiza su trabajo de forma efectiva y rápida. Incluso teniendo la casa limpia de un día para otra recoge suciedad en forma de polvo. Lo que mas me ha gustado de este modelo con respecto a los de la competencia son que dispone de dos cepillos, en vez de uno, de forma que recoge mejor las paredes y esquinas, que el deposito de fregado es de mayor capacidad y cuenta con una bomba de agua que regula el flujo de la misma, la aplicación es muy sencilla de usar y el deposito de polvo minimalista y muy fácil de extraer y colocar. Por el momento estoy encantado con este robot. Tiene tanta fuerza que a veces se puede quedar enganchada por su perseverancia a entrar en un espacio (normalmente bajo de los sofás) y luego no poder salir, pero la aplicación te avisa de inmediato, o cuando intenta saltar las varillas de alguna silla demasiado gruesa...pero recogiendo la casa y utilizando las zonas de exclusión el problema se resuelve.</t>
  </si>
  <si>
    <t>Perfecto Perfecto,  mejor de lo que pensaba</t>
  </si>
  <si>
    <t>Lo que esperaba! Es lo que esperaba.Ha venido casi en 24 horas,muy rapido ,todo funciona correctamente.</t>
  </si>
  <si>
    <t>Gran crema antiinflamatoria. Gran crema antiinflamatoria, no es la primera vez que la uso. Efecto frio y calor. Tengo confianza ciega en ella.</t>
  </si>
  <si>
    <t>que funcione buen producto</t>
  </si>
  <si>
    <t>Entrega muy eficaz Todo perfecto</t>
  </si>
  <si>
    <t>Muy bien Encantada con el rollo,es práctico ya que puedes cortar la medida deseada ayudándote con la cuadricula q viene detrás ( se parece a los forros de libros). Sobretodo limpiar la superficie donde vais a pegar la pizzara con alcohol pq sino se despegará</t>
  </si>
  <si>
    <t>Geniales. Auto-carga. Pequeños. Resistentes al agua. Auriculares estupendos. La calidad de sonido es bastante buena, con graves profundos y agudos nítidos (Importantísimo buscar la almohadilla adecuada para tu oreja ya que sino, como todos, sonarán metálicos al escaparse el aire).  Los uso habitualmente para el gimnasio y por lo pronto no se me han resbalado de la oreja ninguna vez. Otra cosa cómoda es que la propia base carga los auriculares por lo que solo tengo que cargar la base 1 o 2 veces a la semana). La conexión blueetoth es muy sencilla y si tienes el móvil cerca no se desvinculan. Lo único que si cabe resaltar es que los auriculares van chupando batería de la base de carga por lo que si quieres guardarlos un tiempo largo es mejor apagarlos de forma manual como indican las instrucciones.</t>
  </si>
  <si>
    <t>EXCELENTE MICRO BOYA 100% recomendable un micrófono de alta calidad</t>
  </si>
  <si>
    <t>Me gusta Limpia bien</t>
  </si>
  <si>
    <t>Muy bonito Es precioso igual que en las fotos y de una gran calidad , se nota claramente que son originales 😊</t>
  </si>
  <si>
    <t>De diario. Básica. Perfecto para ir de diario. Es finito.  De calidad normal. La talla cogí la mía normal y súper bien , aunque las mangas un poco cortas. Pero todo genial</t>
  </si>
  <si>
    <t>UN CLÄSICO Un reloj con muchos años de trayectoria que siempre funciona bien. La novedad del color de la correa porque era para una jove.</t>
  </si>
  <si>
    <t>Bien poder calorifico debil pero estoy contento, al llevar productos naturales me tranquiliza</t>
  </si>
  <si>
    <t>Chanclas Numero muy pequeño</t>
  </si>
  <si>
    <t>Bueno Algo pequeño</t>
  </si>
  <si>
    <t>Calidad del sonido peor a lo que esperaba Aparentemente se ven cómodos y material de buena calidad pero no estoy contenta con la calidad de sonido. No es que sea mala pero se nota que son de gama baja. Los bajos y graves no suenan todo lo bien que deberían. Prefiero otros de la marca Noontec que tenemos en casa a pesar de que no son inalámbricos. Otra pega es que son demasiado grandes incluso plegados, al menos para mi gusto. Lo que sí me gusta es que me cubren toda la oreja y ayuda a aislar el sonido externo.</t>
  </si>
  <si>
    <t>Hay que revisar los artículos antes de enviarlo La base estaba defectuoso no podía hacer la carga porque tenía la conexión rota ,lo bueno que me devolvieron el dinero</t>
  </si>
  <si>
    <t>Buen precio y calidad Es como esperaba</t>
  </si>
  <si>
    <t>Secan bien pero son pequeñas Pack bastante completo con un precio adecuado pero sueltan pelusa y no son de las grandes.</t>
  </si>
  <si>
    <t>Comodidad Es muy comoda para todo,estoy muy contenta, nada que cable, es ligera y aspira muy bien,potente, la utilizo para uso  domestico  no  dura mucho  la bateria pero vale  para  mi :)</t>
  </si>
  <si>
    <t>me encanta le doy 4 estrellas porque no tiene directamente un botón de encender y apagar y porque el temporizador, nunca sabes si lo has puesto o no..por lo demás está genial, y el precio estupendo.</t>
  </si>
  <si>
    <t>Auriculares sony Muy contenta. No me hacen daño ( tengo los oídos pequeños) y son muy cómodos, los llevo en la oficina casa todo el día y aísla un poco el ruido. El único pero que les daría es que no tienen control de volumen.</t>
  </si>
  <si>
    <t>Genial Maravilloso</t>
  </si>
  <si>
    <t>La fiabilidad de Western Digital Tengo cinco duros externos Western Digital y uno Hitachi.  Ninguno me ha dado problemas y por eso repito con WD, porque nunca he tenido un solo problema.  Dentro de la alta gama el negro o rojo eran demasiado para el uso que le iba a dar y creo que este azul es el más apropiado para usarlo como disco para las copias de seguridad.</t>
  </si>
  <si>
    <t>Buena relación calidad precio Buena calidad de sonido, con agudos y graves equilibrados. Buena cancelación de ruidos diría que anda en torno al 90, 95 % para inhibirse del entorno. La construcción es robusta y moderna. Lleva micro y mando de control incorporado en el cable, para poder avanzar, retroceder, subir y bajar volumen.... Buen producto a un precio asequible. Si necesitas unos auriculares de batalla,  no lo dudes.</t>
  </si>
  <si>
    <t>Bajar el audio desde el auricular. Compre estos auriculares porque tengo el oído muy pequeño, he probado varios y estos tienen la opción de ponerlo sobre la oreja y no se caen .Le pongo 4 estrellas en cómodidad  porque el soporte es un poco blando , pero son geniales no notas que los llevas .Como sonido muy buena calidad y también los compre por la opción que tiene de poder bajar el audio desde los auriculares apretando el botón .Como estético podrían hacerlo más modernos...😀😀😀🎧</t>
  </si>
  <si>
    <t>La rapidez de inicio y búsqueda es brutal Muy rápido, de fácil instalación y con aplicación para realizar copia completa de mi antiguo disco al nuevo. En mi caso restauré el sistema después de realizar una copia de seguridad de los datos y con la aplicación he conseguido hacer un ghost del disco, y tener un disco sólido con todo el sistema, Drivers y partición de Recuperacion en poco tiempo y sin complicaciones.</t>
  </si>
  <si>
    <t>Calidad. Muy contento con la relación calidad precio.</t>
  </si>
  <si>
    <t>Está bien Lo busqué y aquí lo encontré a buen precio para las manualidades de mi hija, que al verlo se puso contentísima.</t>
  </si>
  <si>
    <t>Perfecto Lo uso para grabar películas desde el PC y luego verlas en la TV, lo compré sólo para tener más capacidad de almacenamiento pero pensé que seguiría siendo lento como otros pendrives que tengo ya que mi PC es antiguo y no tiene USB 3.0, pasar una simple película era desesperante pero me ha sorprendido que ha ganado velocidad de transferencia de datos a pesar de que la conexión sea una antigua usb 2.0, sólo se que ahora se transfieren 3 películas en el tiempo en que antes lo hacía solo una. Lo he formateado a NTFS ya que viene en Fat32 y no podía pasar archivos de más de 4 GB.</t>
  </si>
  <si>
    <t>Buen producto! Buen producto! Los auriculares vienen en un estuche de buen tamaño con tapa. Son ligeros y buena calidad de audio. Se sincronizan de manera fácil y rápida. Detectan el bluetooth sin problema. Además  estuche funciona también como batería externa para cargar el móvil. El envío ha sido rápido.</t>
  </si>
  <si>
    <t>Perfectas Escogí un número más del que llevo habitualmente ya que las suelo lavar en lavadora y "encogen" un poco. Me han ido perfectas tanto antes como después de lavarlas.</t>
  </si>
  <si>
    <t>estupendo buen soporte</t>
  </si>
  <si>
    <t>Ok Útil para lo que lo queria</t>
  </si>
  <si>
    <t>Como en la foto La verdad es que me esperaba algo estilo a plástico y la verdad es que la calidad es buena. Por poner alguna pega sería la esfera que gira que parece que no es muy precisa, pero en general muy contento con la compra.</t>
  </si>
  <si>
    <t>Perfecto Todo genial!</t>
  </si>
  <si>
    <t>No se puede pedir mas Las prestaciones, la durabilidad, la calidad en general es incuestionable</t>
  </si>
  <si>
    <t>Calienta bien y rapido Funciona bien pero hay que usarlo poco rato porque quema el fusible se calienta demasiado sirve para calentar pero no hervir</t>
  </si>
  <si>
    <t>Mas pequeños que en la foto Algo pequeños, no son como en la foto son más,  pero queda bastante bien, los utilizo para el día a día y son muy cómodos.</t>
  </si>
  <si>
    <t>Muy util prácticos, no te das cuenta de que los llevas puestos y perfectos en su función: permiten llevar pendientes adheridos a la oreja, en su sitio sea cual sea su peso</t>
  </si>
  <si>
    <t>Facil de usar Muy facil de usar y de desmontar para limpiarlo sencillo</t>
  </si>
  <si>
    <t>Se me ha roto el primer dia El pantalón al tacto de ve de una tela bastante gruesa y abriga; pero me lo puse según me vino estuve con el toda la tarde sin hacer nada y cuando me fijo ya había un orificio a la altura de la entrepierna, por lo tanto me ha salido muy malo.</t>
  </si>
  <si>
    <t>Obtienes lo que pagas Sinceramente, el sonido me ha decepcionado. El material y diseño está bien pero si eres minimamente exigente vete a otros más caros. Los he comparado con unos Sennheiser de botón de 10€ y me parece que los de botón tienen más riqueza de sonido. Sí, los Sony tienen más graves, pero el sonido es más oscuro y triste algunos sonidos muy bajitos ni los oyes. En general suenan con poco volumen.</t>
  </si>
  <si>
    <t>No funciona La luz se queda encendida todo el rato, no hace lo que se supone debería hacer. La devolución fue bien.</t>
  </si>
  <si>
    <t>embalaje no original puesto que el embalaje ( Caja ) no es original y yo las compre para un regalo,el vendedor dice que las mando en caja original, a mi me llego una caja blanca,asi que queda en duda la originalidad y claro esta mi regalo parece mas una compra de imitacion,una pena...</t>
  </si>
  <si>
    <t>Belén Me duraron 2 semanas, ya que un auricular dejó de funcionar de la nada y la parte que sostiene el cable y el móvil se salía todo el rato, decepción absoluta ;-;</t>
  </si>
  <si>
    <t>Buena calidad Buena calidad y comodidad al principio es algo incómoda pero con el uso te vas adaptando</t>
  </si>
  <si>
    <t>muy bonitas Fue un regalo y aunque cogí la misma talla de otras que tenía exactamente igual pero de otro color, estas le van un poco más justas. Por el resto se alegró mucho de tener sus bambas kill bill</t>
  </si>
  <si>
    <t>Muy cómodos Buena calidad del producto</t>
  </si>
  <si>
    <t>Zapatos para piscina Ideales para caminar por paseos marítimos pero no para la playa, ya que la arena entra y se hace incómodo para caminar. También buenos para piscina públicas..</t>
  </si>
  <si>
    <t>Perfecto como todo lo de logitech Como todos los productos de la marca Logitech es un producto de 10, tiene una calidad de materiales mas que aceptable, incorpora láser para poder señalar, el producto incluye las pilas y el software de la marca es fácil e intuitivo  *VENTAJAS: - Calidad y garantía de una gran marca como es Logitech - Puntero láser incluido - Buenos acabados y ademas es ergonomico - Tiene buen tacto en las pulsaciones de los botones - Software bastante intuitivo y con las opciones justas y necesarias  *DESVENTAJAS: - Hay marcas muchísimo mas baratas que funcionan igual, evidentemente tienen peores acabados y calidad de materiales</t>
  </si>
  <si>
    <t>Buen material y amplia. Buena calidad, es amplia. Buscaba una riñonera porque al llevar ami niña siempre encima me es imposible cargar con un bolso. Se abrocha y se desabrocha fácilmente. Me gustó esta porque al ser negra pega con todo y porque tiene unas líneas Reflectante de varios colores!</t>
  </si>
  <si>
    <t>Relacion calidad precio Instalada en una Nintendo Switch, funciona a la perfección, tasa de transferencia mas que suficiente para jugar sin problemas</t>
  </si>
  <si>
    <t>Excelente sin dudas Muy bonitas y una buena calidad.</t>
  </si>
  <si>
    <t>muy rapido muy bien, perfecto y es como pone en el articulo</t>
  </si>
  <si>
    <t>Casio G-Shock Magnífico reloj,pega con todo,funciona correctamente y la esfera es moderna y vistosa.La única pega es que la luz es un poco ténue.</t>
  </si>
  <si>
    <t>Perfecta Buenísima la recomiendo!</t>
  </si>
  <si>
    <t>Mola El bolso de hombre es muy bonito y cómodo, ya que pesa poco. Excelente calidad/precio. Lo volvería a comprar si pudiera.</t>
  </si>
  <si>
    <t>Muy bonito Era para mi madre y le ha gustado mucho</t>
  </si>
  <si>
    <t>Comodas y calientes El producto llego el dia señalado con exactitud y en perfecto estado Son unas botas muy abrigadoras</t>
  </si>
  <si>
    <t>Perfecto para Podcast Llevo tiempo haciendo Podcast y precisaba de un buen micrófono. Tras mucho mirar vi que éste para el uso que iba a hacer  era perfecto. Percibe muy bien la voz, le da muy buen toque estilo radio y es muy cómodo por sus patitas que podremos poner donde queramos.  Usa un cable USB bastante largo que es conectar y pillar el pc o mac, lo uso en ambos. Tienes que adquirir a parte un software de la marca para poder  grabar, pero yo uso 'Audacity' programa totalmente gratuito que tiene muchas más opciones y tras unos cuantos tutos por Youtube sabrás usarlo perfectamente y grabar con él.  Para usarlo en programas de radio o hablar cerca de el es muy recomendado, para gente que lo use para grabar vídeo de youtube creo que no es el apropiado a no ser que estés cerca, 10, 20 cm de el.  Os dejo mi canal por si queréis escuchar alguno de mis podcast, normalmente los últimos son grabados con el micrófono.  Te puedes subscribir en iVOOX, también hay aplicación.  ME ENCANTA LA TECNOLOGÍA ( Podcast de Tecnología ) [.....]  PLAYERS GFB ( Podcast de Vídeo Juegos ) [....]</t>
  </si>
  <si>
    <t>reloj estupendo Todo según articulo presentado. Llevo dos días con el y parece un reloj mejor que lo que yo esperaba. Fácil de configurar y de momento muy contento. Eso si hay que acostumbrarse al peso, cosa casi normal en este tipo de reloj. El ajuste de muñeca sencillo de hacer, y yo recomiendo no dejarlo muy suelt,o por que se te puede clavar el botón de rueda central en la parte superior de la mano al apoyarte en algún lado. En definitiva muy buena compra a buen precio.</t>
  </si>
  <si>
    <t>Five Stars La entrega ha sido rápida y el hervidor una pasada!!</t>
  </si>
  <si>
    <t>Dan más de lo que cuestan Trataré de ser justo y no perder de vista que son unos auriculares de 50 euros. En conjunto la valoración es muy superior a su precio. Cómodos, muy cómodos, incluso usando gafas, he llegado a estar 5 horas sin sentir molestia alguna. Ni en la parte de los oídos ni en la de la diadema. Los mandos, intuitivos y a mano. Aún siendo diferente a los mostrados en las imágenes, te haces rápido a ellos. Aunque choca que para subir el volumen haya que pulsar el botón de abajo y para bajarlo se use el botón de arriba. Debería ser al revés. La duración de la batería es más que suficiente. He llegado a usarlos durante 4 días y una buena cantidad de horas cada día y todavía no he visto el momento en que pide recarga. Aunque sea para saber, pienso dejar que se agote la batería para poder ver sus limitaciones. El tiempo de carga se sitúa en unas 3-4 horas. El cable un poco corto. El sonido es más que adecuado aunque tira un poquito más hacia graves y le faltan un poco más de agudos (para mi gusto) pero en general muy bien balanceados. No perdamos de vista que son de 50 euros. Por último el aspecto es muy bueno. Se notan sólidos y con calidad en los materiales, aunque la parte de los oídos es, como la mayoría de los teléfonos, un imán para las huellas. En resumen diría que su relación precio /calidad está en 2 a 1, ofreciendo una calidad de equipos de más valor. Una muy buena compra sin lugar a dudas. En cuanto a los portes, en éste caso muy buen servicio (como suele ser habitual) pero en honor a la verdad debo indicar que estos no son los auriculares que pedí en un principio, (unos edifier 806 creo recordar) pero después de esperar 2 semanas se dió por perdido el paquete y no habiendo más unidades me decanté por estos aunque tenían mucha menos autonomía. Soy cliente de Amazon desde hace mucho y siempre han destacado por su impecable funcionamiento, pero en el último mes se han perdido ya 2 envíos. (el segundo todavía lo estoy esperando). Espero y deseo que pronto vuelva a ser un ejemplo de funcionamiento. Gracias.</t>
  </si>
  <si>
    <t>perfecto. perfecto.</t>
  </si>
  <si>
    <t>Auriculares con buen sonido He comprado estos auriculares a mi hijo de 9 años para usarlos con la tablet. Estoy contento porque se oyen muy nítidos y mi hijo dice que son cómodos. También cumple su función jugando a la consola, ya que lleva micrófono para charlar con los amigos. El diseño es moderno y bonitos. Parecen de buen material.</t>
  </si>
  <si>
    <t>Efectivo!!! Me aguantó unas 9 horas y la contractura desapareció completamente. Lo recomiendo encarecidamente ya que cumple con su cometido. Tal vez para otras dolencias no sea efectivo pero para los musculos tensos un 10.</t>
  </si>
  <si>
    <t>Perfecto Magnífico,  gran álbum de fotos con un magnífico precio</t>
  </si>
  <si>
    <t>Barato y bonito El precio es el más barato del mercado y queda muy chulo. Se agarra bien. De momento no he perdido ninguno.</t>
  </si>
  <si>
    <t>Reloj Regular</t>
  </si>
  <si>
    <t>Mi opinión es muy normal pero por el precio no esta mal</t>
  </si>
  <si>
    <t>Tardó mucho en llegar. No está mal, borra muy bien lo que acabas de escribir aunque le cuesta un poquito borrar lo de hace más tiempo... Lo único malo es que tardó en llegar un montón de tiempo.</t>
  </si>
  <si>
    <t>Altas expectativas baja realidad Me encantanba la idea que se exprimieran las dos mitades a la vez, pero una de ellas me rompía la naranja y no la exprimía y si no funcionan las dos no funcionan En fin una pena xq me encantaban</t>
  </si>
  <si>
    <t>Decepcionantes Compre estas bolsas por las buenas criticas y las he utilizado en el teastero y en el coche y en mas de 2 semanas no he notado ninguna mejoria en ninguno de los dos sitios..es como tirar el dinero. No lo recomiendo.Son caras y no hacen su función. No las volveria a comprar.</t>
  </si>
  <si>
    <t>bueno bonito y barato buen producto para gimnasio, tiene buen sonido y buena sujeccion, ademas buen precio, la unica pega es que en mi caso llevo el movil en la cintura y en algunos movimientos hay cortes de musica, pero si me lo pongo en el brazo va perfectamente, pero esto sucede con todos los que he probado de siferentes precios y marcas.</t>
  </si>
  <si>
    <t>Tras un mes se oye mucho mejor. Igual soy yo pero una vez acostumbrado a estos cascos todo lo demas se oye " mal". Al principio lo oia todo demasiado " nítido" como muy afilado?? con el tiempo y tocando el ecualizador he conseguido un buen balance. Los tengo puestos unas 5 horas mínimo al dia y son cómodos, las almohadillas en verano dan algo de calor ahora en invierno hasta me los dejo puestos aunque no escuche nada.  Pesan muy poco lo que a la larga yo creo q es una ventaja</t>
  </si>
  <si>
    <t>Tiene las tres BBB Buen reloj,Buen precio y muy Bonito. Si he  de poner algo negativo es que es un poco mas grande de lo que esperaba pero me va perfecto.</t>
  </si>
  <si>
    <t>Geniales Me encantan!!! Me las pongo casi a diario, son originales y de tallaje perfecto, no son copias son venta directa de Converse</t>
  </si>
  <si>
    <t>Dura el calor todo el dia Que alivio</t>
  </si>
  <si>
    <t>Muy recomendable Muy recomendables, los uso para jugar al padel (2 veces por semana), en pleno verano, no se han estropeado nada en la lavadora y siguen suaves como el primer día. Anteriormente compré otros más ajustados de una marca no muy conocida, tenían refuerzos pero costaban el tripe comparado con estos.  Repetiré seguro.</t>
  </si>
  <si>
    <t>Se nota que es de buena calidad Es ajustadita, como a mí me gusta, cómoda y formal para el día a día. Me gusta la marca Charles Wilson</t>
  </si>
  <si>
    <t>Calidad y resultado profesional! (Adjunto fotos) Después de usar las pegatinas a doble cara para poner fotos....os cuento  - en cuanto a fácil de usar si, es fácil, ir separando y colocando en las 4 esquinas de la foto  - cómodo de usar no mucho, pq es engorroso... Cada foto 4 pegatinas, en mi caso he hecho dos álbumes de 100 fotos cada uno, os podéis imaginar el rato que me ha llevado jaja  - el resultado es perfecto, os dejo foto de la primera foto que puse en uno de los álbumes, queda perfecta además bien pegada y no temes que se caiga ni nada por el estilo. Eso queda ahí fijo pa siempre  - el envío llegó en un día, es perfecto..  En resumen lo recomiendo pq el acabado es profesional no es como los álbumes estos antiguos donde poníamos la foto en el plástico... Para mi gusto esto es mucho más bonito y elegante.  Yo he usado el álbum de fotos Hama fine art 50 páginas (que da para poner 100 fotos) y ya os digo... Muy recomendable, podéis hacer un regalo chulo o para vosotros mismos.</t>
  </si>
  <si>
    <t>Davidv Bru tal... pre cio aluci nante y ca lidad su pre ma. Estoy suma mente im pre sio na do.</t>
  </si>
  <si>
    <t>Muy comodo Es realmente comodo y el tallaje es exacto. El material del zapato es resistente aunque hace mucho olor durante unos dias.</t>
  </si>
  <si>
    <t>Bonitos pequeños y vistosos Muy bonitos un tamaño discreto y muy finos, me gustan mucho</t>
  </si>
  <si>
    <t>Suavidad y doble funda. Buen productor calidad precio, viene con dos tipos de fundas de distinto color y muy suaves, parecido al terciopelo. Es fácil el uso y llenado. Esta genila para los días de frío o que quieras calentar la cama antes de dormir. También para cuando necesitas poner calor en alguna zona del cuerpo dolorido .</t>
  </si>
  <si>
    <t>Buena compra Es exactamente como se describe. Queda muy bien y los detalles azules resaltan el reloj. Funcional y práctico. La batería recarga muy bien.</t>
  </si>
  <si>
    <t>Muy buen aparato relación calidad precio Muy buena compra relación calidad precio. Una vez que configuras correctamente las distintas opciones en settings se eliminan prácticamente todos los ruidos de fondo que otros usuarios mencionan. Lógicamente no se pretende que sea un aparato para profesionales, pero cumple de sobra con lo que ofrece</t>
  </si>
  <si>
    <t>Simple, sencillos y de muy buena calidad El tema de los auriculares es muy particular, ya que a cada usuario le irá bien un determinado tipo. En mi caso destaco tres puntos: 1) no aguanto los que son "de meter" en la oreja y siempre he tirado por los de toda la vida; 2) que el auricular se ajuste al tamaño del oído de uno; 3) que sea una marca de confianza. Este modelo de Sennheiser cumple perfectamente las tres condiciones aunque bien es cierto que los que tuve anteriormente (mismo modelo) han dejado de oírse por un auricular (concretamente el izquierdo) pasados unos pocos meses de los 2 años de garantía. Aun así, les doy otro voto de confianza porque he estado muy a gusto con ellos, y por apenas 12€ creo que no se puede pedir más.</t>
  </si>
  <si>
    <t>Genial producto. Excelente para tazos.</t>
  </si>
  <si>
    <t>Muy práctico. Llevaba tiempo con ganas de comprar un pendrive para mi IPhone y éste supera lo que buscaba, ya que también es totalmente compatible con terminales microusb y tipo c, lo que permite pasar archivos entre mi teléfono y el de otras personas de forma muy sencilla. Buen recurso para hacer copias de seguridad sin necesidad de iTunes. Velocidad de transferencia aceptable. Relación calidad-precio, insuperable.</t>
  </si>
  <si>
    <t>César El primer altavoz Ibiza port8 que pedí no funcionaba la batería ,me mandaron otro sin coste ninguno y el nuevo va perfecto .</t>
  </si>
  <si>
    <t>Cafetera Me encanta, que sabor le saca al café 😀</t>
  </si>
  <si>
    <t>Buenos para uso no muy intenso Funcionan bien, pero se calientan un poco a veces cuando se traspasan muchos datos. Además se quedan muy apretados a la ranura usb, por lo menos en mi portátil, y da la impresión de que con un uso intenso puedan rajarse al ser de plástico. Pero para un uso bajo/medio no veo que sea un problema.</t>
  </si>
  <si>
    <t>Durabilidad óptima y poco peso Necesitaba un pen duradero ya que siempre se me rompen y he acertado, me gusta el mosquetón que lleva para las llaves porque es de buen material</t>
  </si>
  <si>
    <t>Los mejores auriculares de botón que he tenido Este es el segundo par de auriculares que compro de este modelo, los compre para dejarlos en la oficina, son los mejores que he tenido en cuanto a calidad de sonido y duración, los otros los compre hace ya dos años y siguen funcionando perfectamente y sonando como el primer día.</t>
  </si>
  <si>
    <t>No tiene sistema de auto limpiado como algunos mam No tiene sistema de auto limpiado como algunos mam</t>
  </si>
  <si>
    <t>Funciona bien pero el sonido es mejorable No esperes gran calidad de sonido, perfecto para megafonia pero el de la musica no</t>
  </si>
  <si>
    <t>rotura cremalleras a las cuatro semanas de usarlo, empezaron a desintegrarse las cremalleras, todo lo demas bien , pero si le falla lo principal ...</t>
  </si>
  <si>
    <t>De la caja a la basura en 2 dias Producto de muy mala factura. Parece un juguete de niños. A los 2 días dejo de funcionar. Mas vale gastar 5€ mas. Lo barato siempre sale mas caro al final.</t>
  </si>
  <si>
    <t>Buena relación calidad precio Estan bien</t>
  </si>
  <si>
    <t>Calidad precio genia a 30 € Verdura fruta</t>
  </si>
  <si>
    <t>Buenos biberones De los biberones que he probado es de los que más me gustan. Se oye cómo pasa el aire por la válvula cuando succiona. Aunque al principio una de las dos no funcionaba muy bien.</t>
  </si>
  <si>
    <t>Era lo que esperaba Era lo que esperaba</t>
  </si>
  <si>
    <t>Perfectas y de calidad Poco hay que decir de SanDisk en cuanto a almacenamiento.  Son unas tarjetas de clase 10 con muy buena velocidad y calidad. Compré 3 para meter una en cada Camara IP que tengo por lo que estan funcionando las 24horas estas tarjetas y van a la perfección.  Viene con un adaptador para usarla como tarjeta SD. Por lo que se puede decir que esta microSD también es una SD con ese adaptador.  Sin duda muy buena adquisición, recomiendo su compra.</t>
  </si>
  <si>
    <t>Seriedad en la operacion El producto es muy bueno, la entrega fue antes de lo informado, calidad del producto ny servicio, excelente</t>
  </si>
  <si>
    <t>Buena funda. Se ven de buena calidad.</t>
  </si>
  <si>
    <t>Muy bonitos y de buena calidad Son muy bonitos pero tallan grandes pedí una talla menos y me quedaron perfectos</t>
  </si>
  <si>
    <t>Comodidad y estilo Zapatillas de la máxima calidad y cómodas en extremo. Suela segura y flexible, amortigua perfectamente la pisada y la piel es suave y firme en el ajuste del pie. Envío en menos de 48h</t>
  </si>
  <si>
    <t>Perfecto Buen producto. Me quedan como esperaba. No es el primero que compro. Calidad inmejorable para el precio que tiene. Lo recomiendo.</t>
  </si>
  <si>
    <t>Rapidez en el envío Me ha gustado todo</t>
  </si>
  <si>
    <t>Correcto Mucha comodidad y durabilidad. El material es de alta calidad lo que garantiza su durabilidad. Los colores son exactamente como muestra la imagen.</t>
  </si>
  <si>
    <t>El diseño retro, unido a unas prestaciones magníficas, la hacen un excelente tostador El diseño, desde luego, es espectacular. Ese reloj analógico de aguja en el centro, es una auténtica pasada.  Es la más rápida (o de lás que más) que he probado hasta el momento, y he probado varias, tanto de esta marca, como de otras. Sin duda, es la más veloz de todas, ya que tiene mucha potencia y las resistencias, están más juntas que en otros modelos. Tanto es el calor capaz de desprender, que con el accesorio para panecillos de la parte superior, en menos de 1 minuto, también es capaz de dorar el pan.  Válido para pan normal, pan de molde, molde XL, rústico y rebanada gruesa, ofreciendo mucha polivalencia en este sentido.  Como otros tostadores de la marca, incluye una bandeja recojemigas, selector de tiempo de tostado, que va en escalas del 1 al 6, y que comprende tiempos de tostado de entre 40 segundos en el 1 y 3 minutos en el 6, aproximadamente. Adicionalmente, tiene un botón para pan congelado, que aumenta ligeramente el tiempo en que trabaja la tostadora.  La posibilidad de elevar para ver, en esta tostadora, es necesaria, ya que los primeros usos, hasta que no le cojamos el punto por su rapidez, se hace imprescindible para no tostar en exceso.  Cuenta también con botón de expulsión rápida y recogecables, aunque este, no es demasiado largo. Mide 1 metro aproximadamente.  La estética, me parece muy bonita personalmente. Creo que la combinación vintage con el diseño americano y el acabado crema-blaco / cromado, dan un toque diferente a la cocina.  En definitiva, uno de los tostadores más rápidos que he probado hasta la fecha, lo que tiene una clarísima ventaja, y es que se pueden hacer 2 tandas de tostadas, en lo que tardaría un tostador de rebanada larga en sacarnos 4, con el ahorro de espacio que esto conlleva.  Se acompaña de un diseño impactante y bonito, es compacta y polivalente, y de la mano de una marca nº1 en UK, por lo que estamos ante un producto magnífico.  Recomendable</t>
  </si>
  <si>
    <t>Chanclas de calidad Chanclas realizadas in mold de una sola pieza que duran años con un trato normal. Ya son las terceras que compro. Vengo de unas Nike en dos piezas que duraron años pero que acabaron desmontandose.</t>
  </si>
  <si>
    <t>Correcto Recambios correctos. Entrega rápida. Sin problemas</t>
  </si>
  <si>
    <t>Genial Muy bonitas y bien la talla además la combinación de colores genial.</t>
  </si>
  <si>
    <t>Calidad-precio inmejorable Encantado con la compra. Muy cómodos de llevar, incluso haciendo deporte. Calidad y potencia de sonido muy buena. Estéticamente son bonitos. Genial la opción de poder usarlos con cable o inalámbricos con todo tipo de dispositivos. Buena duración de la batería. Puedes pasar las canciones o atender una llamada usando los botones que se incluyen en los cascos. En definitiva, producto muy recomendable.</t>
  </si>
  <si>
    <t>Buena calidad-precio Compré este producto dentro de una promoción (dos difusores por 14€), lo que calidad-precio excelente. Quizás más grande de lo que imaginaba, pero tienen mucha capacidad y funcionan perfectamente. Puedes encender las luces led (para crear ambiente, no es que iluminen mucho) o solo poner la opción de humificador. Yo lo utilizo como difusor de aceites esenciales y cumple perfectamente su función. Cómo pequeña pega, el cable adaptador para la corriente es un poco corto, así que según dónde se quiera colocar se necesita un alargo.</t>
  </si>
  <si>
    <t>Cómodas y calzan muy bien. Las compre para un regalo y dudaba un poco de su calidad, pero me ha sorprendido gratamente. No tiene nada que envidiarle a otras botas del mismo estilo. El calce es cómodo y tienen pelo por dentro, cosa que se agradece en los dias de tanto frío. Se las regale a mi padre para un viaje y vino muy contento con ellas, son cómodas y no han escatimado en materiales, puesto que son de muy buena calidad. Conformes 100%.</t>
  </si>
  <si>
    <t>Ayuda a reducir los colicos Es igual que el de la foto y me encanta esta marca.</t>
  </si>
  <si>
    <t>Petercito Precioso bolso messenger, de un tamaño perfecto, y de una calidad excelente, igual que las fotos y con un tacto en mano increíble. Muy satisfecho con esta compra. 100% recomendado.</t>
  </si>
  <si>
    <t>Los volveré a comprar Tengo un mueble con una tele, no-sé-cuantas consolas, el PC, etc. Me he pasado una semana cableándolo por detrás y, gracias a este producto, ha quedado de fábula. Las tiras de velcro, se nota que el material no es el mejor del mundo, pero cumplen su función. Los clips, la única pega que puedo ponerles es que si el cable es muy grueso, no llegan a cerrar. Para que quepan algunos cables de alimentación, por ejemplo el de la torre del PC, he tenido que cortar el trocito de plástico interior, y los cables gruesos, como por ejemplo, una regleta de enchufes, no caben. Aún así, esto es algo que hay que tener presente cuando lo compras, porque se nota sólo con ver las fotos. Les doy 5 estrellas porque no hay más. Ya los tengo en el carrito de nuevo para cablear otros muebles de la casa...</t>
  </si>
  <si>
    <t>se estropean rapido Los auriculares muy cómodos y se escucha genial. El problema es que en ninguno de los dos funciona el monitor de parar, poner la siguiente o retroceder; al igual que su micrófono. Este, no funciona ni para llamadas ni para grabar audios. Ademas, uno de los dos, a las dos semanas de uso, ha dejado de funcionar por un oido sin razón ninguna (no se dieron ningún golpe, ni le paso nada al cable); espero que el segundo par dure mas.</t>
  </si>
  <si>
    <t>Muy práctico Muy práctico y casi diría que imprescindible para poder tener una buena distancia entre el micro de corbata y la cámara.</t>
  </si>
  <si>
    <t>Se transparenta He devuelto el producto y me ha dado rabia porque el tejido es de buena calidad y el diseño es muy bonito; pero, me quedaba un poco grande a pesar de que lo he cogido siguiendo las indicaciones del vendedor y al agacharme se transparentaba la ropa interior y es algo que no me gusta nada.</t>
  </si>
  <si>
    <t>ABSOLUTAMENTE DEPLORABLE EN CUANTO A CALIDAD.MADE IN CHINA TOTAL. POR LO QUE, ENCIMA CALZA PEQUEÑO La calidad es absolutamente DEPLORABLE. Jamás hubiese imaginado que Amazon con lo seria que es pueda vender artículos de esta pésima calidad. Made in China total y absolutamente , con la diferencia de que el precio es , a pesar de todo, desorbitante respecto a  la calidad del producto, que , repito es NEFASTA. Por si fuera poco, calza pequeño, lo cual ahora , viendo el producto entiendo dado que en China se calza más pequeño Resumiendo dinero tirado.</t>
  </si>
  <si>
    <t>NO ES UN BUEN PRODUCTO En mi opinión no es un buen producto, ni vale el precio, yo pedí una XL y parecía una M , también vino roto ,se ve muy plástico y además la costura de atrás en el trasero está mal cosido lo que parece un pañal. La peor compra de la historia.Pd: no me deja devolver.</t>
  </si>
  <si>
    <t>Simplicidad, elegancia y recarga solar por bajo precio Con los relojes Casio que he tenido antes, era laborioso poner la hora. Con esta, un placer! La batería se recarga con la luz (solar o otra) y aún no puedo decir si tardara. Saberlo ya es algo más. Con el fondo negro, se ve todo de noche, no hace falta encender el light. El precio bajísimo de la maravilla oculta el hecho que excepto las cintas, el reloj es esencialmente en plástico. Por eso, y vale la pena, pesa como una pluma! Solo por la materia del boîtier, he tirado una estrella.</t>
  </si>
  <si>
    <t>Muy comodo,muy fácil de usar Estoy encantada , por lo cómodo que es , lo bien que limpia.No tienes que hacer fuerza con los riñones ni espalda y el suelo queda precioso.</t>
  </si>
  <si>
    <t>Cumple con su cometido La uso para identificar películas de Super8 y funciona bien.</t>
  </si>
  <si>
    <t>Silencioso Exprime muy bien, rápido y con potencia pero apenas hacer ruido, que se agradece. Quizás un poco elevado el precio, pero yo estoy contenta con la compra. Es muy exprimidor, pero entiendo que puede haber otros en el mercado parecidos por menos precio. Respecto a la durabilidad, espero que dure, pero sólo llevo con el un mes.</t>
  </si>
  <si>
    <t>Bien con algunos peros... Es el primer hervidor que tenemos. Su uso va a ser para calentar agua para tes y poco mas, así que cuando vi que estaba de oferta por 22€ no lo dude. El envio rapidísimo, menos de dos días y al abrir la caja las primeras impresiones fueron muy buenas porque no queríamos otro armatoste en el marmol de la cocina. Se ve de calidad, aspecto actual y combina a la perfección con el resto de electrodomésticos. Los peros son que cuesta encajarla en la base. Tengo un batidor de leche de nespreso y encaja mucho mejor, siendo el mismo sistema. El otro pero es que a nuestro parecer le falta un pulsador para levantar la tapa. Instintivamente la mano lo requiere y se echa en falta. Después de 3 días no puedo decir mucho mas sobre el hervidor...</t>
  </si>
  <si>
    <t>Bien Lo que me esperaba, satisfecha</t>
  </si>
  <si>
    <t>Todo perfecto. Todo perfecto. Y cómoda.</t>
  </si>
  <si>
    <t>Recomendado Medida perfecta</t>
  </si>
  <si>
    <t>Comodidad Gratamente sorprendido , aparte de que te puedan parecer más o menos bonitas estéticamente (eso va en gustos pero para mi son muy bonitas) lo que más me importa es que son muy cómodas con una suela gorda y blanda que te permite llevarlas todo el día de pie sin cargarte las piernas tanto , relación calidad precio muy buena</t>
  </si>
  <si>
    <t>Hervidor Lo compré  hace poco  es muy cómodo y calienta super rápido y cuando se calienta apaga automáticamente  , estoy contenta con este producto</t>
  </si>
  <si>
    <t>Maria Calidad precio , cumple con lo que dicen auqnue se ce mas pequeña en realidad , pero es elegante pequeña y guapo</t>
  </si>
  <si>
    <t>Muy buena Sencilla, buen tamaño, buen material y buen material. Nada más que añadir</t>
  </si>
  <si>
    <t>Funciona perfectamente La SD entra perfectamente y el adaptador también entra sin problemas en la consola. Funciona muy bien.</t>
  </si>
  <si>
    <t>Lo que buscaba Hermosos y entrga a tienpo</t>
  </si>
  <si>
    <t>Buena marca Perfecto Llego al día siguiente</t>
  </si>
  <si>
    <t>Super rigidos. Buen material Son perfectos. Pedí los de oferta  reembasados y me enviaron nuevos. Calidad followell.</t>
  </si>
  <si>
    <t>Buen precio Todo bien</t>
  </si>
  <si>
    <t>Lo pega todo Todo perfecto</t>
  </si>
  <si>
    <t>Genial! Es como sale en la foto esta genial, lo he comprado para mi hija como regalo y ha quedado encantanda no se la quiere quitar</t>
  </si>
  <si>
    <t>Precioso Muy bueno, encantado con el reloj.</t>
  </si>
  <si>
    <t>Muy bonito Tal y como lo quería</t>
  </si>
  <si>
    <t>Buenos. Bonitos y baratos Me encanta estos teteros son sencillos y muy practicos. y lo mejor es que la tetinas que traen son excelente para los cereales</t>
  </si>
  <si>
    <t>Estuche eastpack Estuche sencillo pero muy resistente. Ideal para adolescentes</t>
  </si>
  <si>
    <t>aprietan mucho aprietan mucho , no las compren , acaban en un cajón . no vale la pena comprarlas . para regalar juntar dos y hacer pulseras ...</t>
  </si>
  <si>
    <t>Hace su funcion Hace su funcion,tiene gran capacidad de agua,pero es todo plastico,da la sensacion de articulo muy endeble.</t>
  </si>
  <si>
    <t>EL AROMA NO PERDURA EN EL AMBIENTE LO SUFICIENTE El sistema de este nuevo ambientador es que lleva aceites esenciales y los convierte en vapor con aroma, en este caso el aroma es de colonia Nenuco y huele muy bien, pero no dura mucho el olor en el ambiente, está muy bien para los segundos que expulsa el vapor, pero pasados unos minutos deja de olor el ambiente de la estancia donde esté colocado, existen otros ambientadores cuyo olor que perdura más en el tiempo.  Tiene un diseño color blanco muy discreto, yo lo he colocado en el cuarto de baño y combina muy bien con los muebles que tengo, es muy discreto, donde lo tengo colocado es un espacio pequeño por lo que da bastante olor, pero lo tuve anteriormente en el salón, y lo dicho al principio, el aroma no perdura, son dos partes, una encaja sobre la otra, en el interior va colocado el bote que contiene el aceite esencial, en la parte inferior lleva una pequeña palanca con cuatro posiciones posibles, que serían apagado, uno, dos y tres niveles de potencia, de tal manera que la primera es baja, la cual vaporiza durante 4 segundos y tiene una pausa de 17 minutos, la segunda posición vaporiza durante 5 segundos y su pausa es de 12 minutos, y la tercera posición suelta vapor durante 6 segundo, pausando 10 minutos para la próxima vaporización, el sistema funciona con tres pilas del tipo AA y la duración del bote de esencia es de 45 días en la posición primera o baja.  No me llega a convencer porque el aroma no perdura, y si lo ponemos en la posición más alta para que tengamos más aroma continuo el bote se gasta muy rápido, y el recambio es caro, personalmente no me gusta, buen olor, pero no aguanta en el ambiente.</t>
  </si>
  <si>
    <t>Buena marca, mal producto. La primera no encendía, la segunda de salía por debajo, cuando lo que se quería batir era líquido.</t>
  </si>
  <si>
    <t>Pésimo, se rompe en seguida Se rompe en seguida. Ya lo tengo haciendo un ruido continuo que no quita. Y lo he tratado siempre muy bien</t>
  </si>
  <si>
    <t>No funciona correctamente El pendrive no funciona bien. La entrada para el mvl no entra del todo en la ranura del movil por lo que no lo detecta, hace un clic pero porque el pitorro de fuera se hecha para atrás, por lo que no se puede meter correctamente . Solo funciona la entrada a el ordenador. y no soy la única a la que la pasa. Yo lo compre junto a otra amiga y a ella también le ocurre lo mismo</t>
  </si>
  <si>
    <t>Bien Bien, aunque con esa tetina mi niňa se atraganta un poco</t>
  </si>
  <si>
    <t>Muy recomendable. Buen cafe Me ha gustado la compra. Recomendable.</t>
  </si>
  <si>
    <t>No es para usar "a lo béstia". Pero necesitaba un soporte ligero, y esto es lo que buscaba El eje principal no está pensado para ser utilizado en situaciones de Directo, donde no se cuída mucho el material. Pero si lo tratas con cuídado, y necesitas algo ligero, y no lo vas a andar moviendo mucho, va perfecto (al ser tan ligero, no lo recomiendo para Micrófonos pesados, porque se irá al suelo facilmente)</t>
  </si>
  <si>
    <t>Talla 100C / XL Es como esperaba y como valoraban otras  clientes talla pequeño, por eso cogí una más grande. Por lo demás. Es de un material muy cómodo. Yo lo necesito por una próxima operación de pecho.</t>
  </si>
  <si>
    <t>Calienta agua! Perfecto para hacer té</t>
  </si>
  <si>
    <t>Buen producto Estas mayas son muy chulas, la zona de la barriga suda mucho gracias a la zona adaptada. La verdad que estéticamente quedan muy bien y son muy cómodos. Le doy 5 estrellas porque quedan ajustadas, me he sorprendido por su buena calidad. No me esperaba esto.</t>
  </si>
  <si>
    <t>Me encanta mucho con esta producto Me encanta mucho</t>
  </si>
  <si>
    <t>Buena calidad Muy buen zapato</t>
  </si>
  <si>
    <t>Justo lo que buscaba Me encanta, es perfecta. Queda muy elegante y con la herramienta se ajusta a la perfección. Tengo la muñeca muy pequeña y me queda muy bien.</t>
  </si>
  <si>
    <t>Merece la pena vivir sin dolor Efectivo al cien por cien,entrega rapidisima y del precio segun veo inigualable,lo cierto es que cuando hay dolor y alguien o algo te relaja es de agradecer,el dia que llego no me lo podia creer,tan rapido</t>
  </si>
  <si>
    <t>Comodidad Precio/calidad muy bueno</t>
  </si>
  <si>
    <t>Me encanta Muy contenta con esta bayeta lo deja todo limpio y sin rastros.</t>
  </si>
  <si>
    <t>Recomendable Cumple sus funciones y va bien.</t>
  </si>
  <si>
    <t>Buena compra, cómoda y util Es muy cómoda, tiene un tacto muy bueno y parece resistente, estoy contenta con la compra, es muy util si pasas muchas horas en el ordenador y tienes molestias en las muñecas. La recomiendo.</t>
  </si>
  <si>
    <t>Un reloj muy bueno Reloj impresionante y robusto, te acostumbras rapido a el y no pesa tanto como aparenta. Da un aspecto bonito. Lo recomiento</t>
  </si>
  <si>
    <t>Muy buena compra Pack ideal. Al llevar 6 podré dejar uno en la guardería y uno en casa de cada abuela. Son colores bonitos</t>
  </si>
  <si>
    <t>Buen sonido y cable amplio Teniamos unos altavoces grandes para cuando haciamos algunha fiesta y nos faltaba el micro para hacer karaoke. Nos decantamos por este y la verdad es que estamos muy satisfechos. Se oye perfectamente y va muy bien de volumen. Trae botón para encender o apagar lo que también es muy útil sin necesidad de tener que enchufarlo o desenchufarlo según se necesite. Decir también que trae bastante longitud de cable. Sin duda nos pegaremos unos grandes conciertos.</t>
  </si>
  <si>
    <t>Fiabilidad y potencia Potente y resistente a un uso intenso. Buenos encajes entre sus componentes.</t>
  </si>
  <si>
    <t>tres años sin problemas Mi chica lo utilizó hace hasta poco. Tiene casi 3 años. Ya se lo quitamos por tema de que ya no es un bebe'. jejeje. GENIAL</t>
  </si>
  <si>
    <t>El WS-2000H en naranja es precioso. El contador de pasos va fenomenal y el display es de los más nítidos y grandes de Casio, la luz led es una maravilla, el crono, el timer y las alarmas y este reloj tiene una de las correas más cómodas de Casio.</t>
  </si>
  <si>
    <t>Salomón de gran calidad Zapatillas increibles de gran calidad</t>
  </si>
  <si>
    <t>Cómodas para correr Son muy cómodas y bastante bonitas. Compré mi talla habitual, el 38, y al principio creí que eran grandes, ya que notaba muy ancha la parte delantera, pero sólo es la sensación por la forma de la plantilla. Ya las he usado para correr y me han gustado mucho. Aproveché además una oferta, y salieron genial de precio.</t>
  </si>
  <si>
    <t>puma Perfectos, en la foto me gustaban pero en mano son geniales y muy comodos. Gracias.</t>
  </si>
  <si>
    <t>Nuria Pone que es de plata pero no lo creo,por el precio me pueden decir que no pida mucho,pero no digan que es de plata</t>
  </si>
  <si>
    <t>Pequeña Buen diseño, tejido cómodo y con buena transpiración pero tallaje muy pequeño</t>
  </si>
  <si>
    <t>Reloj En el anuncio pone que es de 48mm de diametro de caja y no lo es, es de 40mm escasos.</t>
  </si>
  <si>
    <t>PRODUCTO DEFECTUOSO, LA CORREA Y EL CIERRE, LOS DOS. FALTAN ESLABONES QUE SE PUEDAN QUITAR, HAY QUE CORTAR CON UN TALADRO, MAL.  CIERRE DEFECTUOSO, AL CERRAR YA ES IMPOSIBLE ABRIR, HE TENIDO QUE DESMONTARLO PARA PODER ME LO QUITAR..... PEOR.</t>
  </si>
  <si>
    <t>Desepsionada Transparentes</t>
  </si>
  <si>
    <t>Tal como uno espera Son tal como uno espera. Para preparar el te. Muy buen precio. Lo único negativo veo que la cuerda que sujeta la bola es un poco corta, pero creo que ya está bien para su uso.</t>
  </si>
  <si>
    <t>calidad/precio La relación calidad/precio es excelente. El interior se puede configurar completamente. Es muy cómoda y el método de abrir la cremallera sin descolgar la mochila un 10.</t>
  </si>
  <si>
    <t>Buena compra Comodas y calentitas . Tienen la horma más bien ancha. Mi mujer esta muy contenta con la compra. La marca no decepciona</t>
  </si>
  <si>
    <t>Un juguetito fantástico Es cierto que tenía algo de recelo cuando lo compré por el "leve sonido de la vibración" que leí en otros comentarios... al final lo compré y sí es verdad que se oye si estás en un sitio sin ruido externo con una conversación a tono normal... pero no se oiría nada en fiestas o con el ruido de la calle. El material es SUPER SUAVE y se limpia muy fácil. El control remoto funciona muy bien, y da mucho juego en pareja. Lo recomiendo!</t>
  </si>
  <si>
    <t>Muy cómodas y calentitas Son unas zapatillas muy cómodas y suaves. Dan una sensación muy agradable y un confort muy grande. Te hacen sentir muy bien por su suela que no resbala y el calorcito que te dan al ponértelas. El diseño que he escogido es muy moderno y muy guapo. Al andar con estas zapatillas te sientes en la gloria y no tienes ganas de quitártelas para nada. Sin duda creo que ha sido una buena compra. Mi modelo en concreto, lo puedes usar con la caña subida o bajada según los gustos de cada uno.</t>
  </si>
  <si>
    <t>Perfecta Perfecta para la utilidad que le doy</t>
  </si>
  <si>
    <t>Excelente proporción precio-producto Buen producto en cuanto a la proporción precio-calidad, en mi hogar casi no se usan las batidoras asi que espero dure muchos años</t>
  </si>
  <si>
    <t>Calidad medela Botes originales de medela, fáciles de limpiar, recomendables para acompañar con el extractor de leche.</t>
  </si>
  <si>
    <t>Muy bien Bien aunque lo cambié por una talla menos. Tengo más artículos de esta marca y los recomiendo.</t>
  </si>
  <si>
    <t>Calidad , precio y Chulisimo Neceser de calidad , eastpack la tiene . Te durarán mucho tiempo , soporta perfectamente la lavadora y los remates de las costuras son fuertes al igual que la cremallera y los detalles . Recomendadisimo ! Y por 8 euros más</t>
  </si>
  <si>
    <t>Estilo Excelente producto. Totalmente satisfecho en todos los ámbitos.</t>
  </si>
  <si>
    <t>Fantastico reloj Fantástico reloj, como siempre casio no falla. Bueno bonito y barato. Para uso diario viene genial. Lo recomiendo al 100%</t>
  </si>
  <si>
    <t>Muy bien acabado La verdad es que esta muy chulo, a mi hija le encantó</t>
  </si>
  <si>
    <t>Útil Buena calidad</t>
  </si>
  <si>
    <t>Comodidad Calzado muy cómodo y actual</t>
  </si>
  <si>
    <t>FANTASTICA Bueno esta manta a los abuelos les ha venido divina. Comoda. Facil de usar.  Se adapta muy bien al colchon</t>
  </si>
  <si>
    <t>. És lo que esperava. Muy bien</t>
  </si>
  <si>
    <t>Buen tejido y acabado. El tejido es delicado y absorbente al mismo tiempo. Acabado elegante. Paños muy recomendables.</t>
  </si>
  <si>
    <t>Buena zapatilla La verdad que no las esperaba tan buenas, por él precio que tienen están genial, suela gorda y muy comodas</t>
  </si>
  <si>
    <t>Perfecto Funciona muy bien</t>
  </si>
  <si>
    <t>Económicos Auriculares cómodos y prácticos y a un buen precio. Son originales y vienen perfectamente embalados. Por el precio que tienen están genial.</t>
  </si>
  <si>
    <t>SU DISEÑO Y ADHESION PERFECTA ES IDEAL PARA DEBAJO DE LAS MESAS Y HACE MUY FACIL Y SEGURO EL CABLEADO.</t>
  </si>
  <si>
    <t>Me encantaron Hermosos !!</t>
  </si>
  <si>
    <t>Algo lenta La memoria es de gran capacidad y es muy rápida cuando manejas archivos de gran tamaño. Cuando la conectas al ordenador tarda demasiado tiempo hasta que el ordenador la ve, y cuando das la orden de desconectar también es muy lento el proceso de desconexión. No estoy demasiado contento, para ser Kinsgton.</t>
  </si>
  <si>
    <t>Delicado El primero q me enviaron no funcionaba. Seguramente estaria rota la resistencia interior porque lo doblan. El segundo lo “mimo” mucho. No se lo q durará.</t>
  </si>
  <si>
    <t>Buen servicio correcto. Muy buen servicio de Amazon. producto segun lo esperado aunque demasiado fragil. Posibles debilidades estructurales y la correa demasiado delicada</t>
  </si>
  <si>
    <t>No esperba Son muy pequeños</t>
  </si>
  <si>
    <t>Talla pequeño A mi marido no le han gustado por lo que le apretan, a pesar de usar una talla 42 y el modelo indicar que da hasta la 46.</t>
  </si>
  <si>
    <t>tal y como esperaba Fue un regalo y acerté.  A mi hija le han encantado.</t>
  </si>
  <si>
    <t>Buena calidad Para el precio que tiene, bueno no se atrasa ni adelanta, recomendable.</t>
  </si>
  <si>
    <t>Buena calidad La talla perfecta .pedí S y muy bien.El tejido es un poco brillante a mi personalmente me gustan más mate.muy buena calidad no transparenta</t>
  </si>
  <si>
    <t>Muy rápida y decorativa Elegí este modelo sobre todo por una cuestión de diseño, queda muy bien a la vista en la cocina a diferencia de las de diseño más moderno. La única pega es que al no tener un tapón para el agujero por donde sale el agua este suele acumular polvo y hay que verter un poco de agua antes de usarla para limpiarla.</t>
  </si>
  <si>
    <t>Utilidad Son interesante para hacer yoga no patinas.</t>
  </si>
  <si>
    <t>Muy cómodas y bonitas Tallaje perfecto,tengo 37y me pedí media talla más ,por los comentarios,pero me quedan bien éstas y otras que me he comprado justo mi talla,son cómodas, parece que voy en una nube, no me duelen tanto los pies</t>
  </si>
  <si>
    <t>La rapidez de llegada del producto Excelente y buen precio</t>
  </si>
  <si>
    <t>Muy bonito Precioso, elegante y justo lo que buscaba para regalar. Encantada con la compra y mi hijo encantado con el regalo.</t>
  </si>
  <si>
    <t>Impecable. Ligero de peso y diseño, fiable,precio razonable, ecológico. En el tiempo que los tenemos, funcionamiento perfecto. Muy satisfecho con la compra. Envío, embalaje, etc. Impecable.</t>
  </si>
  <si>
    <t>Bien hecha y resistente Me encanta todo de la pulsera. Muy bien hecha. Se ve resistente.</t>
  </si>
  <si>
    <t>Comodisimos. Son genial. Los volveré a comprar siempre que los necesite.</t>
  </si>
  <si>
    <t>ideal para día a dia Muy bonitas, comodas y ligeras para hacer deporte y caminar. Son muy cómodos y suaves, perfectos para una larga jornada de pie. Los recomiendo. La talla perfecta,las compraría de nuevo sin dudarlo.</t>
  </si>
  <si>
    <t>Todo bien Funciona, Jajaja espero que dure muchos años pero de momento funciona, ps4 va de escándalo</t>
  </si>
  <si>
    <t>Se ajusta a la descripción Buen algodon. No ha habido problema con las tallas.</t>
  </si>
  <si>
    <t>Muy buenas tijeras. Esperaba que fueran unas buenas tijeras, pero han superado esa expectativa. Son peligrosas porque son puntiagudas y muy afiladas, pero han resultado ser muy buenas.</t>
  </si>
  <si>
    <t>Biberon 360 avent Me encanta el biberón. Todo el aire se queda dentro... Es muy bueno para los colicos</t>
  </si>
  <si>
    <t>Cable de cobre de calidad con precio adequado Lo producto cumple a 100% las especificaciones anunciadas. De verdad que estaba un poco receoso después de ler alguns comentários. Diámetro y sección son cosas diferentes e la sección del cobre sin lo isolamento es lo que pedi. Lo comprimento total esta aproximado y igual a la foto, es un par de cable para altavoces con dos conductores. Lo conductor rojo está perfectamente identificado con una línea larga. Lo compraría otra vez si volver a necesitarlo.</t>
  </si>
  <si>
    <t>La sencillez Lo compré para mi suegro y por ello tenía que ser sencillo de usar y así es. La aplicación es muy fácil de instalar y de manejar. Puedes programarlo para unos 14 deportes entre ellos la natación, programar el tiempo, para las pulsaciones,... lo demás como los demás podómetros. La batería dura poco más de una semana. Mi suegro está contento con el regalo.</t>
  </si>
  <si>
    <t>Muy recomendable En principio lo que la llevo utilizando va genial. Muy buena relación calidad -precio  . Lo único comentar por decir algo pero como todo es para gustos que quizás sea un poco alta la parte de arriba pero nada mas , funciona genial , tritura a tope los pures y quedan todo pasado muy finito . Muy recomendable si no necesitas accesorios mas que solo la batidora y el vaso .  Todo muy bien embalado .</t>
  </si>
  <si>
    <t>Buena compra Me ha gustado mucho porque son muy cómodos, transpiran bien y son de buena calidad.</t>
  </si>
  <si>
    <t>Muy satisfecho Muy satisfecho. Es Bastante firme y sólida. Aunque pesa bastante, es fácil de plegar y desplegar. La Calidad-precio es inmejorable.</t>
  </si>
  <si>
    <t>RELACIÓN CALIDAD-PRECIO INMEJORABLE Estoy muy contenta con la alfombrilla. Se agarra bien a la mesa y la parte de la almohadilla para apoyar la muñeca es muy cómoda y me ha encantado. Por el precio que es no se puede pedir más.</t>
  </si>
  <si>
    <t>Un complemento de salut y bienestar Lo compré para masajes de cuello y hombros, pero he comprobado que sirve para todo el cuerpo. Para el cuello es genial, alivia el dolor y produce una gran sensación de relax. Cuando llegó el pedido tenia un problema de rodilla y fue muy útil para relajar toda la musculatura de la pierna .Se agradece el calor de la función infrarroja que puedes usar con masaje o independientemente para calentar diferentes partes del cuerpo.</t>
  </si>
  <si>
    <t>Malo Baja calidad</t>
  </si>
  <si>
    <t>Me lo esperaba más chulo Un poco decepcionados para lo que yo esperaba, es un poco más pequeño de lo que esperaba y el aspecto es un poco "plastiquero"</t>
  </si>
  <si>
    <t>Dejó de funcionar al poco tiempo Dejó de funcionar al poco tiempo</t>
  </si>
  <si>
    <t>no se emparejan entre si A mi no se emparejan entre si, asi que aunque la verdad es que tienen una pinta estupenda, los devolvere.</t>
  </si>
  <si>
    <t>Buenas botas Las botas están bien, el material se ve de buena calidad, solo no me gusta lo mucho que resbalan en aceras mojadas. Aunque yo las conseguí a buen precio, me parecen demasiado caras los 200 euros que piden en tienda.</t>
  </si>
  <si>
    <t>Pequeño y muy versatíl Muy contento con la adquisición pero se me ha quedado un tanto corto para lo que lo necesitaba, pues lo había previsto para el audio de mi coche y este no lo reconoce, aunque no tiene que ser así con todos lo reproductores de audio, pues lo comprobé con otros equipos y bien... pero no en mi caso. Lo que pude deducir que la velocidad de transferencia de 2.0 me era insuficiente y tuve que hacerme con un 3.0 y arreglado.</t>
  </si>
  <si>
    <t>Buen reloj Buen reloj, lo esperado. Para el precio que tiene está muy bien. Como unica pega quizás que la correa sea demasiado larga pero es una pega subjetiva, quizas para otra persona no sea una pega.</t>
  </si>
  <si>
    <t>Bueno Comprado en julio de 2012, por 9,07 euros. Los datos de CrystalMark, medidos en USB 2.0 son:  Sequential Read :  34.922 MB/s Sequential Write :  19.247 MB/s Random Read 512KB :  34.295 MB/s Random Write 512KB :  1.457 MB/s Random Read 4KB (QD=1) :  5.411 MB/s [  1321.0 IOPS] Random Write 4KB (QD=1) :  0.059 MB/s [  14.3 IOPS] Random Read 4KB (QD=32) :  4.592 MB/s [  1121.2 IOPS] Random Write 4KB (QD=32) :  0.038 MB/s [  9.3 IOPS]  A mi me sirve perfectamente.</t>
  </si>
  <si>
    <t>Buena compra Me han gustado mucho, son utiles, buen tejido, bonitos y comodos. Los recomiendo.</t>
  </si>
  <si>
    <t>Encantadisima con La compra Llegaron muy rápido, son muy cómodos y bonitos yo uso normalmente un 41y pedí un 40 me quedan perfectas</t>
  </si>
  <si>
    <t>De lo mejor para hacer deporte Es de lo mejor en sujetador deportivo, si haces deporte de impacto,runing además te hace un pecho muy bonito. es superaconsejable</t>
  </si>
  <si>
    <t>Muy cómodo Muy muy cómodo, el mejor que he probado, lo utilizo mucho en viajes, para dormir en el avión o en lugares donde no tienen persianas y tapa la luz perfectamente. Ademas es ergonómico y se adapta perfectamente, ni lo notas que lo llevas puesto. Como decía el mejor que he utilizado hasta la fecha.</t>
  </si>
  <si>
    <t>Muy contenta, son originales Genial, super contenta, pedí medio número menos como en mis anteriores converses ya que tallan medio número más, yo utilizo 40 pero en converses siempre 39.5, son originales y llegaron antes de tiempo, las recomiendo</t>
  </si>
  <si>
    <t>Estimula los pies Me encantan 😍 pero al no estar acostumbrada me duelen las plantas de los pies 🦶🏽 es como andar casi descalza y esa es la idea así que bien</t>
  </si>
  <si>
    <t>Tremendamente práctico Es una tetera/hervidor de calidad, con el cuerpo hecho de cristal, de modo que en todo momento puede verse la cantidad de agua que echamos y el proceso de hervido. La temperatura puede ajustarse desde los controles del mango, ya que no siempre querremos o necesitaremos agua a 100º, pudiendo ajustarla a 50º, 70º ó 90º. En todo momento da sensación de robustez y control del proceso.  Además, el accesorio (filtro) para poder colocar las hierbas en su interior hace que sea tremendamente práctico, ya que el té no siempre viene en bolsitas con filtro incorporado.  En definitiva, muy contento con su adquisición y tiene pinta de que durará mucho tiempo con un mantenimiento mínimo (cada pocos meses usar vinagre en su interior, a modo de descalcificador, para impedir que se formen depósitos de calcio en las paredes, provenientes del agua dura).</t>
  </si>
  <si>
    <t>perfecto Es mejor de lo que se cree, de buena calidad, mi hija se ríe y grita, y esta es perfecta para la familia.</t>
  </si>
  <si>
    <t>Perfectas! Me encantan. Han llegado 2 días antes de lo previsto. Vienen con su etiqueta y en su caja. Producto original. Lo recomiendo.</t>
  </si>
  <si>
    <t>Precioso Me ha sorprendido por su tamaño y buen precio, precioso. Acierto para regalar</t>
  </si>
  <si>
    <t>Calidad y Bonita Color rosa mate precioso. Encaja con la descripción del producto. Queda muy bien y tiene un buen soporte de sujeción del mi band. Es muy ligera.</t>
  </si>
  <si>
    <t>Estupendos y cómodos Son muy bonitos, el tamaño está muy bien, lo digo porque a veces me han llegado algunos que eran muy pequeños, el cierre tambien muy practico y seguro.</t>
  </si>
  <si>
    <t>Buena compra estás Elewert Están genial y de momento estoy encantado con la compra. Ojalá espero sean duraderas. Se las ve bien hechas y son muy cómodas. La caja donde vienen es un magnífico estuche ideal para regalar incluso a ti mismo! Jajajaja. Y la bolsa de viaje viene muy bien. El envio rápido y bien. Lo mejor es que están fabricadas aquí en España.</t>
  </si>
  <si>
    <t>Cumplen su función Compré unos altavoces para mi tocadiscos pero no leí que los cables eran muy cortos. Estos son perfectos para su función. La calidd de sonido es buena</t>
  </si>
  <si>
    <t>De invierno Muy buenas mallas, son gorditas por lo que mejor para invierno o días frios. Se adaptan muy bien al cuerpo y tienen como detalle un pequeño bolsillito interior para llevar unas monedas o llaves.  Compraré más de esta marca porqque me han parecido de muy buena calidad y acabados. Veremos como llevan el paso del tiempo y lavados pero pintan bien.</t>
  </si>
  <si>
    <t>Bueno, bonito y barato Es muy bonito y elegante, tal como se ve en la foto, estoy muy contento con el, gracias</t>
  </si>
  <si>
    <t>Pequeño y portati. Tamaño bolsillo El disco duro es bastante pequeño pero a la vez da una buena sensación al tenerlo en las manos. Los materiales de la carcasa parecen duraderos y viene bien sellada, así que no se abrir accidentalmente y salirse el disco duro. Solo hay que conectar el disco al PC a través del cable que trae, aplicarle formato y ya se puede usar como metodo de almacenamiento. Yo actualmente lo uso para guardar las copias de seguridad de mis archivos mas importantes, y me gusta la velocidad de transferencia y el cero ruido que produce.</t>
  </si>
  <si>
    <t>Elegante, preciso, eterno... Es el segundo reloj Casio solar radio-controlado que tengo. El otro es un waveceptor (el 21242686F) que sigue funcionando desde 1998 (en efecto, 21 años!!), y eso que siempre he nadado con él en piscina y mar. Su punto débil era el cristal y algunas piezas de resina pintada en la caja, y por eso me he decidido por este, con cristal de zafiro y caja íntegramente de acero inoxidable. Además el diseño de este es mucho más elegante. He de decir también que otros relojes que he tenido de gama alta y más de 600€, no han superado los 15 años de vida, cuando su maquinaria suiza dejó de funcionar. Confío en que este sea tan duradero como el waveceptor. Aunque con este no podré nadar porque su resistencia a la presión son sólo 5 atmósferas. Resido en Valencia y se sincroniza perfectamente por la noche.</t>
  </si>
  <si>
    <t>genial por el precio este auricular es genial... funciona de maravilha... en todos los sentidos... perfeto... se escuta perfetamente... es muy muy pequeno e leve.. e con gran calidad de construcion por el precio... simplesmente fantastico</t>
  </si>
  <si>
    <t>Gran elección. Gran producto, sólido, bonito, práctico. Detalles agradables como tapa del vaso, ventosas en el suelo de la cubeta de la picadora. Gran elección.</t>
  </si>
  <si>
    <t>Buena maquina pero... La tengo hace 6 meses, y hasta ahora muy contento, buen motor, bien de ruido para la potencia que tiene, muy buen acabado, el cable flexible muy bien, un poco pesada pero bien. El problema me ha surgido ahora, se me ha roto el sistema de enganche del motor con el brazo, ahora mismo lo tengo pegado con cinta adhesiva y pendiente reparar, me parece un poco mal que tan buen producto falle y se quede casi inservible por una pequeña pieza de plástico.</t>
  </si>
  <si>
    <t>Satisfecho con las botas, pero... Quizás para este tipo de compras es mejor verlas en tienda física, pues es mejor poder probarlas una y otra vez hasta estar seguros de su comodidad.  En mi caso por ejemplo, me he dado cuenta al cabo de los días de que la plantilla del pie derecho no asienta bien, queda algo levantada en la zona del puente del pie y me molesta bastante al andar. He probado a sacarla y recolocarla más de 20 veces, pero no hay manera, nunca queda tan bien como la del pie izquierdo. No se si venderán estas plantillas por separado, pero tendré que buscar alguna solución.  También tuve que solicitar el cambio al recibir las botas porque las primeras que me enviaron tenían un defecto en la piel de la lengüeta. De haber sabido que las segundas que me mandarían tendrían el defecto de la plantilla, me hubiese quedado con las primeras</t>
  </si>
  <si>
    <t>Talla 37 pequeña, mejor talla 38 Cuidado porque la talla 37 quedará justa para quienes a veces tengan una 38, así que recomiendo directamente optar por esta última talla para no andar devolviendo.</t>
  </si>
  <si>
    <t>calidad malissima Para emprezar, engañaron en precio. Cobraron cuatro euros de mas. y las zapatillas duraron 4 semanas hasta que las partes de suela que van en color se despegaron de parte blanca, las puntas se despegaron, y los anillos metalicos,por donde pasa la cordonera, han salido de su sitio.</t>
  </si>
  <si>
    <t>No me han gustado Buscaba abalorios para llaveros, pero son para pulseras</t>
  </si>
  <si>
    <t>NADA RECOMENDABLE Pésimo artículo, no entiendo cómo pueden vender esto Se devuelve</t>
  </si>
  <si>
    <t>Muy útil. Muy bueno</t>
  </si>
  <si>
    <t>botas timberland comodas y bonitas.  buena proteccion contra el agua  ligeras  la piel le da un toque perfecto para ponerlas un fin de semana y salir por la noche</t>
  </si>
  <si>
    <t>Buenas reglas Las utilizo para redactar informes de campo en mi empresa y dan buenos resultados aunque no esperes la calidad de unas de dibujo técnico.</t>
  </si>
  <si>
    <t>Mochila Muy fuerte y bien terminada con alta capacidad</t>
  </si>
  <si>
    <t>Bien Bien Como esperaba</t>
  </si>
  <si>
    <t>Uno de los relojes más bonitos que he visto Lo compré para un regalo. Reloj elegante y muy bonito. La calidad de Seiko no defrauda. Un acierto.</t>
  </si>
  <si>
    <t>Cantidad y precio.... De momento bien... Solo lo he usado una vez y no huele mal.... Son 5 litros y está muy bien de precio....</t>
  </si>
  <si>
    <t>CADENA TOUS ENTREGA RAPIDÍSIMA. MUY BONITA Y MUY BUEN PRECIO</t>
  </si>
  <si>
    <t>Perfecto Calidad precio excelente,,, muy buena velocidad en ransferencia de datos y muy estable.</t>
  </si>
  <si>
    <t>Totalmente recomendados Hace años que uso estos biberones y me gustan mucho. Se lavan bien y se desmontan con facilidad. La única pega es que se ponen algo feos con el uso pero vamos, como el resto de plástico supongo. Los biberones siempre traen la tetina más pequeña (número 1) y cuando es necesario se pueden comprar las siguientes sueltas.</t>
  </si>
  <si>
    <t>Muy buena calidad Se adapta muy bien a la muñeca y sobre todo es apropiada para los alergicos a las correas de caucho el kit que viene con la correa es muy completo.</t>
  </si>
  <si>
    <t>Me encantan Fantásticas, producto de marca como se indicaba. Muy bonitas, el color no es chillón y la calidad la esperada. Me han gustado y a mi hija más. El precio genial sólo 35 €. Que más se puede pedir ?</t>
  </si>
  <si>
    <t>Estupendo Va estupendamente. Yo estoy muy contenta</t>
  </si>
  <si>
    <t>Perfecto Perfectas se ajustan perfectamente al pie. Una gran compra tal y como esperava. Las volveria a comprar una y mil veces</t>
  </si>
  <si>
    <t>Cómoda y sudoración Están geniales, se duda mucho con ellos. Solo traen la parte efecto sauna en la zona del abdomen, pensé que la traían por toda la malla pero bueno....Son muy comodas. Normalmente uso la talla 40 o L y me he cogido la XL, me queda algo olgaditas pero ajusta bien.</t>
  </si>
  <si>
    <t>SOLUCIONADO Y CONTENTA CON EL PRODUCTO EDITO OPINIÓN: TRAS CONTACTAR CON EL VENDEDOR, LE DOY 5 ESTRELLAS, SON MUY RÁPIDOS, INTERESADOS POR EL PROBLEMA Y SOLUCIONES RÁPIDAS. MUY CONTENTA. Le doy 2 estrellas porque no me deja darle menos.He comprado este cepillo, por las valoraciones positivas, pero en mi caso el depósito se abre continuamente y lo acabo de estrenar. Mirando despacio, parece que la muesca de plástico que hace que sujete el cierre, está rota, quizás debido a una devolución de alguien, o a un defecto en la fabricación. Es raro, porque todas las valoraciones son positivas. He mandado un mail al vendedor, pero me dice Amazon que no puede ser entregado. Voy a esperar un par de días y si no recibo contestación alguna, procederé a la devolución del cepillo. Lo siento, porque recoge bien los pelos, sobre todo en tejidos lisos, aunque tengo que estar sujetando el mecanismo de cierre con el dedo, para que no se abra el depósito. Espero que me lo solucione el vendedor y poder cambiar mi opinión a mejor.</t>
  </si>
  <si>
    <t>Bien de calidad Es muy cómodo y solido. Lo he vuelto a pedir pero 1 talla menos</t>
  </si>
  <si>
    <t>Perfecto Perfecto, encaja con la descripción.  Lo utilice en la boda para poner nuestros nombres en lo detalles para los invitados</t>
  </si>
  <si>
    <t>Calidad a buen precio. Genial SSD, por su precio prestaciones. Ningun problema, clonado hdd del portatil, puesto el SSD y arrancar sin ningun error. La velocidad con respecto al HDD increible. Calidad de crucial, normalmente uso la serie MX, pero para un uso ofimatico y de navegacion, no se nota diferencia. Revitalizado el portatil donde lo he montado.</t>
  </si>
  <si>
    <t>bueno Todo correcto</t>
  </si>
  <si>
    <t>Muy cómodas Buena calidad</t>
  </si>
  <si>
    <t>El ancho de la horma es fenomenal. Recomendable cien por cien. La calidad y precisión  de los cosidos, un diez.</t>
  </si>
  <si>
    <t>Funciona a la perfeccion Lo recomiendo,me ha sorprendido gratamente  su funcionamiento.Ha sido desenvolverlo y viene listo para engancharse a cantar!.</t>
  </si>
  <si>
    <t>Cumplen Hace un tiempo compré un humificador. He gastado anteriormente 2 paquetes de esencias diferentes y no acababan de convencerme, no olían ni bien ni mal... Realmente manchaban el aroma pero no se podía apreciar un olor... Finalmente me decidí por probar estos aceites y aunque me han llegado sólo hace unos días estoy muy contenta con ellos.</t>
  </si>
  <si>
    <t>La retina se unde Van bien para los cólicos, pero le pongo dos estrellas, porque las tetinas son un rollo, tienes que cogerle el truco o sinó se unen todo el rato y cogen más aire!</t>
  </si>
  <si>
    <t>Se calientan las paredes Funciona y el diseño está bien. El único defecto es que se calientan las paredes por fuera y te puedes quemar.</t>
  </si>
  <si>
    <t>Pendientes largos Bonitos y sencillos</t>
  </si>
  <si>
    <t>INUTIL Buscaba justo lo que anuncia un envase para clips que con el imán se mantuvieran arriba pero el imán no tiene fuerza ni para sujetar un clip finalmente opte por colocar un imán de más potencia que tenía por casa  y eso era lo que no quería hacer así que no lo recomiendo para nada</t>
  </si>
  <si>
    <t>Fallo ajuste del pie . Esta batidora me gustó por el modelo y por la marca ,que tengo más electrodomésticos y me están dando buen resultado, pero creo que tiene un fallo de diseño por que el pie no encaja bien, queda con bastante holgura .Pedí un cambio y la siguiente tenia el mismo fallo, la devolví .Las 5 estrellas se las daría a la gestión de amazon .</t>
  </si>
  <si>
    <t>Marc Perfecto micrófono y depende de que ordenador tengas no hace falta el Phantom power como dicen. Yo no tengo el Phantom y se escucha ruido pero en Audacity pongo la opción de reducción de ruido y ya está. Por lo demás accesorios perfecto</t>
  </si>
  <si>
    <t>Cumple su función Es un set bastante completo de cepillo y estropajos que te facilitan algunas labores de limpieza, son fuertes y resistentes y los hay de distinto tamaño para que puedas usar en diferentes espacios, los cepillos son de celdas duras todos, y los estropajos son algo más suaves. Me parece mejor opción para limpiar los estropajos.</t>
  </si>
  <si>
    <t>Tallan grandes Lo compre a 35€ pero tuve que devolverlo porque tallan muy grande, recomiendo un número menos del habitual.</t>
  </si>
  <si>
    <t>Distinta correa Muy bonito, pero la correa no es la misma que aparece en la foto, parece buena pero no es la misma.</t>
  </si>
  <si>
    <t>Perfecto Ha cumplido todas las expectativas. El servicio técnico de Synology ha resuelto en 24 h todas mis dudas a cerca de su uso.</t>
  </si>
  <si>
    <t>Salomóntásticas !!! Como siempre SALOMON no defrauda, yo xa hacer trailer tuning siempre escojo SALOMON impecables, envío rápido y el lugar más barato donde las he podido encontrar es AMAZON</t>
  </si>
  <si>
    <t>Con las tres B Rápido, barato y bueno.</t>
  </si>
  <si>
    <t>Quedan genial. Realmente los compré con algo de miedo pero, cuando llegaron, material, talla y como quedan puestos, me dieron ganas de comprar más.</t>
  </si>
  <si>
    <t>Just perfect. El pedido, a pesar de haber tardado 3 días, si, 3 días, el pedido venia desde Alemania,  en menos de 1 día desde que realizaron el envió no tardo nada, en una noche ya estaba en Madrid, el embalaje era el plástico antiestatico recubierto por otro de burbujas dentro de 2 cajas estilo sobre grande de amazon, para un disco duro lo veo mas que suficiente, he revisado los smart del disco duro, como debe de ser, el primer ciclo de encendido ha sido el mio, todo perfecto, temperatura y demás, realize unos benchmarsks desde Linux sin haber creado tabla de particiones, como cada barracuda que he tenido de seagate, la tasa mínima de escritura es de 90mb/s, de lectura no baja de 180mb/s, para un disco duro mecánico a 7200rpm lo veo perfecto, como especifican, para juegos, workstations, backups y "pequeños" servidores de oficina y domésticos (el próximo sera para el servidor ) perfecto, unos cuantos mas comprare dada la rapidez, claro esta, sin contar esos "2 días", que se me han pasado volando, lo veo perfecto.</t>
  </si>
  <si>
    <t>Suave Calentito</t>
  </si>
  <si>
    <t>Bonito colgante Me gusta mucho ,es lo que esperaba,aunque la cadena podia ser un poco mas gruesagado en la fecha prevista y en una cajita muy bien precintada,aunque el embalaje de fuera venia totalmente roto el colganta me llego en buenas condiciones;aunque aun no la he husado,espero que con el tiempo no se ponga fea.Aunque creo recordar que venia con un paño para su limpieza no lo he visto por ningun lado.Recomiendo su compra es un detalle muy bonito para regalar.</t>
  </si>
  <si>
    <t>Muy buena calidad precio De momento muy contento con el producto. La tengo instalada en mi tablet Sony</t>
  </si>
  <si>
    <t>Que gusto Me a gustado del todo es muy facil de usar enchufa ya funciona..yo trabajo siempre mucho tiempo de pie i cada dia termino del trabajo cansado muxichimo del pie. Despues de usar la maquina dios que gusto muy recomendable</t>
  </si>
  <si>
    <t>Cómoda y ligera La mopa está muy bien, es ligera, se monta en un momento (viene todo en una pequeña caja, desarmado: 3 tubos para montar el mango, más la zona de agarre, con agujero por si queremos colgarla).  La base es de plástico, y se lo ponen los repuestos fácilmente.  Limpia genial, y lo mejor de todo es que no hay que lavar los paños, son de usar y tirar.  Me ha gustado, es cómoda, moderna, ligera y limpia muy bien.</t>
  </si>
  <si>
    <t>Buenísima relación calidad-precio Por diseño y precio. Muy recomendable. Gran solidez en su estructura (caja y pulsera) y además (no es quartz) bastante exacto</t>
  </si>
  <si>
    <t>Rejuvenece a tu viejo portátil Si tienes un portátil con disco duro SATA y notas que los tiempos de carga se hacen eternos, entonces este SSD es una excelente opción para sustituirlo y cargar rápidamente el sistema operativo y los programas que uses. Lo compré cuando estaba de oferta para sustituir a un disco duro de 500GB de un portátil. Cloné el antiguo disco con una base de conexión de discos SATA con dos bahías (marca Inateck, modelo FD2005) y no tuve ningún problema.  Estoy muy satisfecho hasta el momento con su rendimiento.</t>
  </si>
  <si>
    <t>LOS MEJORES USADOS PARA MIS DOS NENES.  SON ESTUPENDOS Y DURADEROS. Y SU PRECIO GENIAL.  LO RECOMIENDO A TODO EL MUNDO. PERFECTOS</t>
  </si>
  <si>
    <t>Cómodas Perfectas</t>
  </si>
  <si>
    <t>Muy Buen Producto Excelente producto y buena presentación del envase. No necesita pasar a un recipiente cuentagotas ya que el mismo envase te permite dosificar el aceite por gotas. Lo utilizo para hacer un ambientador mezclado con alcohol y agua y también con aceite de oliva para hacer friegas. Como ambientador mezclo 50% alcohol 50% agua destilada y 40 gotas de aceite de lavanda por cada 100 ml de mezcla. Deja un aroma suave y persistente. Lo uso para rociar la almohada y el dormitorio antes de ir a dormir. Es una ayuda eficaz para conciliar el sueño y evitar la tos. Respecto al aceite de oliva lo utilizo mucho para curar eczemas en la piel. En particular lo aplico sobre la cabeza de mi padre que debido a su medicación le produce eczemas como efecto secundario. En unos pocos días, su piel empieza a regenerarse y limpiar. También lo aplico como friega sobre su rodilla que sufre de artrosis y no le deja andar. Usando estas friegas puede andar mucho más al comenzar a sentir las molestias con mucho mas retraso.</t>
  </si>
  <si>
    <t>Mucho mejor que otros con precio bastante superior. Tuve varios difusores de aromas y este es el mejor con diferencia, lo volvería a comprar sin duda.</t>
  </si>
  <si>
    <t>Rapidez y Es el producto que esperaba pero me equivoque de talla.</t>
  </si>
  <si>
    <t>Agm Fue regalo para niña y le encantaron.gran calidad y preciosos para niñas.le gustaron mucho.está encantada con su pendientes de “niña mayor”</t>
  </si>
  <si>
    <t>Recomendable Están bastante  bien  por el precio  que  me costaron.Unica pega que  es muy  resbalosa.</t>
  </si>
  <si>
    <t>Regular En general bien, aunque se retrasa, y si lo dejas unas pocas horas, se para, no tiene demasiada cuerda, un poco decepcionante</t>
  </si>
  <si>
    <t>Imagen de la tapa pixelada La calidad de la imagen de impresión de la tapa es deficiente, está  pixelado..</t>
  </si>
  <si>
    <t>Pendientes Super pequeños, un engañó con la fotos</t>
  </si>
  <si>
    <t>NO LOS RECOMIENDO Tenía un cruzer Blade antiguo de 4 GB que me gustaba por su pequeño tamaño y por eso decidí compra este pack de 3 unidades de 16 GB porque para el uso que les voy a dar (conectar al equipo de audio de mi moto) es perfecto que sean pequeños.  Pues bien, no los voy a utilizar porque el fabricante a cambiado el molde y ahora, la "boca" del pendrive tiene el perfil rectangular que hace de enchufe más grueso (es de plástico en vez de como suele ser habitual metálico), e imagino que el fabricante lo ha reforzado porque sería un punto débil del diseño original. Como consecuencia de esto, hay que hacer MUCHA fuerza para enchufarlo a cualquier toma USB, y me da miedo que la toma de la moto sufra por ello.</t>
  </si>
  <si>
    <t>Buena relación calidad precio Buena relación calidad precio y resuelven rápidamente las incidencias. De uso diario, mejor usar una caja o soporte porque la base inferior se termina deformando.</t>
  </si>
  <si>
    <t>Perfecta Sencilla</t>
  </si>
  <si>
    <t>Calcetines yoga Todo correcto. Tienen la planta con modelo antideslizante y creo que se van a sujetar bien. - han sido un regalo y aun no los ha usado.</t>
  </si>
  <si>
    <t>Muy buen producto Lo único malo es el precio, pero el producto es ideal, muy práctico, con varias formas de enganche.</t>
  </si>
  <si>
    <t>Cómodo y de calidad. Yo este sujetador ya lo había comprado en Amazon BuyVip, con lo cual iba sobre seguro. A me gusta mucho, es muy cómodo si duermes con él porque no tiene ni aros, ni copas, ni rellenos, es algodón con lo cual es muy fresquito, y también para verano estar en casa o con el típico vestido sueltecito queda genial o bien para hacer gimnasia, porque sujetar sujeta, otra cosa es que haga una forma menos redondeada y preformada de lo que estamos habituadas.  Yo si lo recomiendo, el tejido buenísimo y el precio estupendo. Amazon fenomenal!</t>
  </si>
  <si>
    <t>Buena compra Siempre he utilizado los cascos oficiales de Apple y estos no tienen nada que envidiarlos. Aguantan 4 horas escuchando música y lo tengo que poner al mínimo de potencia porque se escuchan con mucha intensidad, por lo que el volumen no es problema.  La calidad del sonido es muy buena, y el micro se escucha como si estuvieras con el manos libres del coche.</t>
  </si>
  <si>
    <t>La verdad que es un poco raro y no tenia mucha esperanza pero.. Funciona vaya, osea hemos enganchado todo el cableado de una fibra optica con eso, también tengo cosas flotando con eso, como por ejemplo regletas de enchufe que las tengo enganchadas a la pared con eso, esta muy bien, un poco caro pero yo que se, costara mucho hacerlo o algo.</t>
  </si>
  <si>
    <t>Purés, batidos... Me viene muy bien esta batidora para hacer los purés del niño ya que la otra que tenía se rompió. También la he utilizado para hacerme algún que otro batido y me ha funcionado estupendamente. Aún no he probado a picar hielo, no se si tendrá potencia suficiente. Pero por el momento todo ok. Se limpia muy bien, funciona bien y además llego muy rápido así que todo muy bien.</t>
  </si>
  <si>
    <t>Auriculares bluetooth Auriculares bluetooth inalámbricos de buena calidad-precio, muy útiles, fáciles de emparejar con todo tipo de dispositivos: TV, móvil etc. La calidad de sonido es buena y son muy estéticos y cómodos en su porte. Y su precio es genial!!!!</t>
  </si>
  <si>
    <t>Es muy grande y antideslizante Alfombrilla de muy buen tamaño ya que tengo un escritorio muy grande  ya que entra perfectamente un ordenador portatil y te queda especial suficiente para poner más cosas a su alrededor  muy cómoda y esponjosa es antideslizante por lo que una vez que la colocas no se mueve y eso es muy importante  el muy bonito el dibujo y muy original también es  fácil de limpiar .</t>
  </si>
  <si>
    <t>Buen auricular Buena conexión: rápida y con buen alcance. Buena calidad de sonido. Batería con duración, al menos para mí, más que suficiente y carga bastante rápida. Además me encanta que en el teléfono muestre un icono con la carga restante.</t>
  </si>
  <si>
    <t>Ideal El colgante es una preciosidad, mucho más de lo que se aprecia en la foto. Lo compré el año pasado para regalar y lo he vuelto a comprar para otro regalo porque sabía que sería un acierto. Además viene muy bien presentado en una cajita azul celeste. Me encanta!</t>
  </si>
  <si>
    <t>Imprescindible Si necesitas organizar tus cables, esto te va a resultar imrpescindible a partir de ahora. Tiene una estructura semirrígida que coloca a la eprfección los cables y los mantiene en su sitio. Recomendadísimo.</t>
  </si>
  <si>
    <t>Bueno, bonito y barato Ya lo he resumido todo. Es un buen reloj, funciona perfectamente, con segundero y día del mes. Números grandes pero elegante y de precio está muy bien. Yo había estado mirando otros similares de otras marcas: unos valían el doble más o menos y uno en concreto, cuatro veces más.   En lo referente a la recepción fue bien. Antes del día previsto y todo llegó bien empaquetado.   Perfecto.</t>
  </si>
  <si>
    <t>Tamnaño perfecto y muy útil Tiene un tamaño perfecto (no muy grande ni muy pequeño) y es muy cómodo de usar. Tiene el peso ideal para que sea útil, sin pesar demasiado. Lo volvería a comprar.</t>
  </si>
  <si>
    <t>Una bandolera de buena calidad y económica Buen material, tamaño adecuado y con bastantes apartados para guardar cosas. La verdad es que es mejor de lo que esperaba por ese precio</t>
  </si>
  <si>
    <t>Geniales!!! Muy buenos, ademas estás seguro porque no daña los oídos de tu hij@. Me encantan y a mi hijo tb!!!</t>
  </si>
  <si>
    <t>Muy bonito Precioso</t>
  </si>
  <si>
    <t>Buen producto Era para regalo y le ha gustado mucho. Llevaba bastante tiempo buscando uno parecido y este cubre todas sus necesidades.</t>
  </si>
  <si>
    <t>Gran Pendrive muy buen pendrive a todos los niveles. Tiene un tamaño muy muy pequeño para la capacidad que tiene. Esta hecho de aluminio y se puede llevar con las llaves sin ningun problema aunque no este tapado y ya hace tiempo que lo llevo en el llavero. He tenido dos de tapados tipo zippo muy pequeños y se me han roto. La unica pega es que no es usb 3.0 porque como la mayoria de usb lleva a ir lentisima la transferencia de datos. Pero es un pendrive para salir del paso y con una enorme capacidad, no para copiar archivos de 40gb de forma habitual como es logico. Un 10 para kingston. 100% recomendable</t>
  </si>
  <si>
    <t>Muy contento con la compra Muy contento con la compra, se lo he regalado a mi pequeña y no para de cantar, además tiene grabación en tarjeta SD, es una pasada la verdad y de muy buena calidad y buena autonomía.</t>
  </si>
  <si>
    <t>100% recomendable Se lo regale a mi madre y esta muy contenta con el producto, es muy efectivo para un sin fin de tratamientos.</t>
  </si>
  <si>
    <t>Clásico reloj casio Uno de los relojes más sencillos y duraderos de la historia, viene muy bien embalado con la caja original y los típicos libritos de instrucciones, garantía, etc.</t>
  </si>
  <si>
    <t>Calidad de cepillo Buena calidad de cepillo. Al ser de goma llega a mas sitios que el normal y huele menos. Muy contenta con la compra, lo recomiendo</t>
  </si>
  <si>
    <t>cuidado con la talla. El paquete ha llegado corectamente, y en tiempo. Pero ha surgido el problema del tallaje del calzado, el cual marca un 39 Europeo, pero en la realidad equivale a un 38, por lo que talla más pequeño de la realidad. Por lo demás bien el producto.</t>
  </si>
  <si>
    <t>Normal. Calidad precio, normal Lo que menos me ha gustado es que la foto engaña, los números no se ven tan claros como en la foto ni por asomo. Cuesta mucho más verlos de un vistazo. Si quieres darle uso a la parte digital (cronómetro, etc), no lo recomendaría. Los botones no tienen mucha sensibilidad, o sea, que para deporte tampoco está muy bien. Por otra parte, estéticamente es muy chulo, queda bastante pequeño, vamos, que no se ve ningún tocho en la muñeca, y pega con todo.</t>
  </si>
  <si>
    <t>El cable es incómodo Los pedí porque el hecho de tener BT 5.0 haría tener una mejor conectividad.  Vienen en un estuche rígido, así que está bien para llevarlos de viaje, porque este es pequeño.  El sonido está bien, pero no noto la cancelación de ruido; quizás si omitieran esta característica les iría mejor.  El ajuste está bastante bien, si notar sensación de que se vayan a caer.  Tienen imanes para poder dejarlos "atados" al cuello sin necesidad de tener que guardarlos, pero el tamaño de los controles y la ubicación me incomodan, porque parece que el cable se va hacia un lado y da la sensación de que está tirante.  El panel de control tiene 3 botones:  - Uno que sube el volúmen y si lo presionas como 2 segundos pasa a la canción siguiente.  - Un botón para encender/apagar el auricular, pausar/reanudar la canción, contestar/finalizar una llamada y activar la vinculación.  - Un botón que baja el volúmen y si lo presionas como 2 segundos debería ir a la canción anterior, aunque no lo hace y comienza la misma canción desde el principio; ignoro si es normal, pero creo que es un fallo de la unidad.  No me ha gustado el sonido durante una llamada, siendo excesívamente "metálico" y no es confortable.  La duración de la batería no parece mala, pero debido al problema con no poder ir a la canción anterior, así como la incomodidad de lo que molesta el cable, hace que no lo haya querido probar haciendo deporte.  Sin duda, este auricular no es lo que estoy buscando.  Es más que probable que lo devuelva, ya que no cumple las expectativas y me parece caro para lo que es.</t>
  </si>
  <si>
    <t>Mi niño no lo sabe usar A mi no me ha funcionado, para mi hijo debe ser que no se le parece al pecho porque se lía a morderlo como si fuera un mordedor y nunca aprendió a usarlo para beber.. de calidad es bueno. Un poco rollo para limpiar que la boquilla sea más estrecha</t>
  </si>
  <si>
    <t>Cabezal no encaja Ya lo habia leido previamente pero lo he comprobado en persona. El cabezal no encaja correctamente en el motor, restandole potencia y haciendo que tiemble al hacerla servir. No me esperaba para nada un encaje tan pesimo de una minipimer supuestamente de alta calidad. Lo he devuelto y probaré con otro fabricante.</t>
  </si>
  <si>
    <t>buen producto todo correcto buen producto</t>
  </si>
  <si>
    <t>Gabriel Martin En un primer pedido tuvimos el error de pedir la talla actual,pero hay que tener cuidado porque puedes mezclar la talla brasileña con la europea,eso nos paso,pero en 48 h Amazon nos cambió el modelo por una talla más, así que genial todo</t>
  </si>
  <si>
    <t>Txuki El producto llegó en tiempo fenomenal Tal cual indica la foto Es exacto anla foto tallan perfecto En mi opinión resultan un poco duras Será x la doble cuña En la goma me rozan un poco en el lateral interno del pie en la zona juanete</t>
  </si>
  <si>
    <t>Perfectas Buena zapatilla</t>
  </si>
  <si>
    <t>Buen producto Talla perfecta entrega muy rapida</t>
  </si>
  <si>
    <t>Mam nunca defrauda Mam nunca defrauda! Seguire comorandolos y las tetillas tb</t>
  </si>
  <si>
    <t>Sorprendentemente cómodos y muy buena calidad de sonido Me ha sorprendido gratamente la calidad de estos auriculares para el precio que tienen. Vienen en su propia funda, ideal para guardarlos y que no se enreden. La calidad de sonido es fantástica y son muy muy cómodos. Los recomiendo 100%. Buena compra.</t>
  </si>
  <si>
    <t>Muy bueno Realmente es un marcador fuerte, me sirve para separar distintos apartados de las libretas, un buen uso como describe el producto</t>
  </si>
  <si>
    <t>Pizarra para el NIÑ@/s Una pizarra bastante grade de momento estoy encantada, al chaval le viene genial para hacer ejercicios de matemáticas y para repasar</t>
  </si>
  <si>
    <t>Muy contenta La taya es perfecta! Son preciosos. El envío fue rápido y sin complicaciones.</t>
  </si>
  <si>
    <t>ASHWOOD - Camden 8351 - Bolso bandolera Es como se ve en el pc. Buenos acabados, se presume robusta.Adecuada a mis necesidades, ni grande, ni pequeña.No he encontrado otros similares con aspecto envejecido.</t>
  </si>
  <si>
    <t>Encantada Todavia las esta usando, ya que cuando se compraron no habia su numero, las ha llevado con una plantilla adicional, se limpian muy bien con un trapo humedo y kh7</t>
  </si>
  <si>
    <t>Efectivo y cómodo de usar Me pidió mi mujer que le comprar algo para poder limpiar la cara, quitar espinillas y alisar un poco las 1arrugas . Encontró este producto porque conocía las propiedades de la piedra de Jade y quería probarlo. Lleva una semana usándolo por las noche, pero no los 15' que aconsejan las instrucciones y aún así dice que nota que tiene la piel mejor. También aocnseja que se caliente antes de uso y así no lo ha probado, sólo en frío. Ha notado que limpia los poros y se le queda más suave la cara después de utilizarlo. está encantada con la compra y lo usa con cuidado porque como se caiga es probable que se pueda romper. Recomendable su compra.</t>
  </si>
  <si>
    <t>Fenomenal Me encantan, compra de 10, lo único que quedan un pelin más grandes de tu talla habitual, pero en mi caso, al lavarlas encogieron un poco, al menos con el modelo en blanco. Aún así, las recomiendo totalmente.</t>
  </si>
  <si>
    <t>Muy buen producto Un producto de muy buena calidad como todas las skechers que he comprado hasta ahora. Queda perfecta para la talla. Un producto que seguramente vuelva a comprar.</t>
  </si>
  <si>
    <t>Su comodidad Las uso para vestir y son muy cómodas.</t>
  </si>
  <si>
    <t>IDEAL. Producto que cumple con mis necesidades. Utilizado como HDD para copias de seguridad cuando formateo el móvil o el PC portatil. Hecho en falta que no lo vendan con una funda protectora donde guardarlo junto con su cable. Viene con manuales pdf para sacarle el máximo partido. Silencioso. Capacidad ideal. Conexion USB 3, rápido en lectura y escritura</t>
  </si>
  <si>
    <t>Bonita y practica Después de bastante tiempo usándola estoy muy contento con ella, la uso todos los días para hervir el agua y preparar unas buenas infusiones. La uso en cocina de gas</t>
  </si>
  <si>
    <t>Tamaño perfecto y buen acabado Para mi tiene el tamaño perfecto. Cabe lo necesario para ir al gimnasio. Además la tela es blandita por lo que se amolda a lo que lleves dentro. Tiene un bolsillo en un lateral para guardar la llave de la taquilla, el carnet del gimnasio, o cosas pequeñas.... Buena compra y contenta</t>
  </si>
  <si>
    <t>Bonita sudadera y Buena calidad Muy buena calidad era un regalo y le ha encantado , dejándome guiar por los comentarios de los compradores en lo referido a la talla hemos acertado de pleno. Muy satisfecha . Se la compramos junto con otro pantalón Joma y el conjunto es perfecto y de la misma tela.</t>
  </si>
  <si>
    <t>Ideal Es ideal para hacer deporte, sujeta y además es muy cómodo</t>
  </si>
  <si>
    <t>Adios a la maraña de cables. Todos los que tenemos ordenador y sus correspondientes periféricos deberíamos tener un organizador de cables como éste. Ya me estaba volviendo loco con tanto cable (monitor, impresora, escaner, latiguillos de red, router, etc etc) más los aparatos de electrónica (fuente alimentación, pistola aire caliente, estación soldadura, etc etc) pues la jungla de cables. Con este organizador, que por cierto es muy fácil meter los cables con la guía que lleva, he ganado en espacio, limpieza y tranquilidad, todo en su sitio y queda hasta bonito ver un tuvo anillado como decoración, muchísimo más estético que ver cables a tutiplén. Muy imprescindible.</t>
  </si>
  <si>
    <t>Perfecto Como en las fotos, es genial. No tarda mucho en calentar el agua a máxima capacidad, es muy limpia y no hace mucho ruido.</t>
  </si>
  <si>
    <t>Gran capacidad y muy facil de limpiar Batidora con vaso grande (2 litros) y varias funciones extras ademas de batir como son hacer un smoothie, o picar fruta o picar hielo, incluso una para lavar el vaso. Si simplemente quieres batir, pues giras la rueda hacia la derecha seleccionando la intensidad y si quieres usar los programas, giras hacia la izquierda, seleccionas el programa y luego pulsas ON. Facil de limpiar, simplemente echando un poco de agua, poniéndola en el programa de lavar y una vez lavado aclarar con agua y un paño húmedo. Lo mejor que tiene es la gran capacidad, pues con 2L puedes meter un montón de fruta y hacer batidos o lo que quieras sin tener que hacerlo en varias tandas</t>
  </si>
  <si>
    <t>Fino Es más fino de lo que aparece en la foto, en la foto parece gordito y no es así</t>
  </si>
  <si>
    <t>Son bonitos Le falta soporte a los lados. Deben recordar que los senos son redondos y requieren soporte completo</t>
  </si>
  <si>
    <t>0 recomendable. Necesitaba una tarjeta wifi para un trabajo que necesitaban las fotos según se iban haciendo. La probé varios días antes y todo perfecto... y justo el día que la necesitaba me falló completamente, o no conectaba con la aplicación o no me cargaba las fotos en la aplicación y por lo tanto ni podía descargarlas al movil ni enviarlas... Instalamos la aplicación en otro movil y tampoco funcionaba. Fue dinero tirado a la basura ya que la compré especificamente para ese trabajo.</t>
  </si>
  <si>
    <t>Emitacion / Decepción Cuando llegaron las zapatillas me quede verdaderamente sorprendida, el logro de la talonera estaba desteñido y no solo eso si no que la caligrafía no corresponde en nada a las converse originales ( la original tiene una Estrella entre sus letras)  ..... son emitacion ya que me metí en la página de converse y ninguna de sus zapatillas tienen el logo como estas . Decepción total , las devolví sin ningún problema</t>
  </si>
  <si>
    <t>No es para calentar leche y chocolate, se eterniza He querido devolverlo y todo son  pegas. Me ha el proveedor que tenía que llervalo a su taller....Todo a sido con el que lo ha vendido, no con Amazon</t>
  </si>
  <si>
    <t>Puntera más ajustada. Son lo esperado. Aunque tiene la puntera algo más justas que las Duramo antiguas.</t>
  </si>
  <si>
    <t>Muy bien La verdad q las compré para regalar, y según mi mujer, le encantaron, son cómodas, llegaron en el tiempo acordado... En fin, muy bien.</t>
  </si>
  <si>
    <t>Cable correcte Cable correcte que funciona. Esperem que duri una bona temporada. No tinc res més a dir de moment. Bon dia</t>
  </si>
  <si>
    <t>EL color es exacto a la foto Me lo he puesto y es muy comodo, me falta lavarlo y comprobar que no encoge, porque es bastante grueso y si encoge igual aprieta. Lo sabré pronto</t>
  </si>
  <si>
    <t>Todos los accesorios incluídos Llegó con un día de retraso sobre lo que yo compré, pero bueno, embalaje bueno, y producto en perfecto Estado. Lo que más aprecio es que vienen todos los accesorios a un buen precio. Ya he usado el triturador y va muy bien y con poco ruido.</t>
  </si>
  <si>
    <t>Bien Resistente, buen precio. Lo que te esperas realmente con este tipo de reloj.</t>
  </si>
  <si>
    <t>Me encanta Me gusta mucho su diseño y es muy cómodo de llevar. Es un reloj que puedes ponértelo tanto si vas de sport como para ir a un evento. A mi me encanta.</t>
  </si>
  <si>
    <t>Todo perfecto Envío puntual, bien embalado. Producto que proporciona gran sujeción en tallas grandes. Buen precio. Esperemos a ver como se comporta tras unos cuantos lavados</t>
  </si>
  <si>
    <t>Calentitas Zapatillas botines, súper calentitas. El diseño es muy moderno y el color es oscurito muy sufrido. La suela es antideslizantes y bastante gordita que hace de aislante del frío del suelo. La plantilla es de foam muy blandita La talla es perfecta, me pedí la 39 y me queda muy bien</t>
  </si>
  <si>
    <t>Tarjeta profesional La mejor tarjeta calidad precio. La utilizo para grabar video 4k50p a 100mbps en un Osmo Pocket y va perfecta. En cuanto al envase viene muy bien presentada,con su adaptador SD incluida. Siempre uso esta marca con la gh5 (en formato SDXC) y sin ningún problema, y ahora para el Osmo opté por esta. Encuanto a capacidad me da una hora y pico en la resolución antes mencionada, que para mí es más que suficiente, y de necesitar más, hay con más capacidad. Sin duda volveré a comprar más!</t>
  </si>
  <si>
    <t>Ideales, Skechers la mejor opción!! Me gusta todo de Skechers, lo han vuelto a conseguir, es ideal para personas que están mucho rato en pie, no te las querrás quitar... si las compras .. repetirás!!!</t>
  </si>
  <si>
    <t>Perfectas Me han encantado,me queda a la perfección,las recomiendo 💕😝.</t>
  </si>
  <si>
    <t>Funciona de verdad Excelente producto, me ENCANTÓ !! Lo recomiendo 100% el resultado fue sorprendente 👍🏼🤩 desinflamo las bolsas debajo de los ojos. El sentimiento refrescante de los parches además de curar las bolsas, da efecto relajante para la zona alrededor de los ojos.</t>
  </si>
  <si>
    <t>Brillo Funciona muy bien</t>
  </si>
  <si>
    <t>La relación calidad - precio Lo uso como soporte para tableta y me resulta ligero y robusto. También muy prácticas las diferentes posiciones, cosa que en otros no he encontrado, para utilizarlo de pie, sentado, tumbado etc. los apoyos de sujeción son fuertes y responden bien sin caerse.</t>
  </si>
  <si>
    <t>Excelente No tengo quejas, a este precio realmente cumple muy bien con su deber, bastante buenos materiales y construcción, la calidad del sonido está muy buena considerando lo que cuesta y sin duda supera a cualquier producto en esta categoría y precio, por eso le doy 5 estrellas</t>
  </si>
  <si>
    <t>Super bolso Te cabe de todo. He metido un Ipad y cabe genial y queda protegido. Tiene multiples bolsillos para separar todo lo que lleves. Muy buen acabado y buena calidad tanto en exterior como interior y cremalleras muy buenas.</t>
  </si>
  <si>
    <t>Perfectos Igual que la imagen que enseñan. Me los he puesto varias veces y no me mancha el dedo ni se han puesto feos. Son todos preciosos</t>
  </si>
  <si>
    <t>Una pasada, me encatan! Son comodísimas, más de lo que me pensaba. Calzan grande, yo he cogido medio número menos del que uso normalmente.</t>
  </si>
  <si>
    <t>Perfecto para su cometido Necesitaba un cable jack de 6,35mm más largo para la conexion a mi amplificador y lo cierto es que este ha cumplido mis expectativas 100%. Despues de llevar usandolo un par de semanas puedo decir que no pegas que ponerle. - La calidad del audio, a pesar de la longitud del cable, no se ha visto afectada. - El cable y las clavijas se ven muy resistentes y bien acopladas. (Es cierto que, una vez conectado, no lo he movido mucho) - El cable está bien aislado. Lo tengo junto a varios cables de electricidad y no hay interferencia alguna.  Si el objetivo es simplemente, un cable jack 6,35mm (tambien podrias ponerle adaptadores a otras medidas), de esta longitud, lo recomiendo 100% por la calidad-precio que ofrece.  Packaging correcto, la marca cuida bastante bien el aspecto del prodcuto y su envoltorio. Manuales/instrucciones en castellano (entre otros idiomas).</t>
  </si>
  <si>
    <t>Mercedes La regalé y ayer hablé con el destinatario del regalo y dijo que le funcionava muy bien. Y me salió muy bien de precio.</t>
  </si>
  <si>
    <t>Seguro Excelente</t>
  </si>
  <si>
    <t>Natalia F Para mí son lo más. Soy bailarina y las uso regularmente para dar mis clases de baile urbano. Son súper cómodas desde el día uno. Claro ésto ya lo sabía. Tengo 43 y también las usé en el cole y cuando volví a verlas no dudé.</t>
  </si>
  <si>
    <t>No lo compraría El aroma no dura mucho y tampoco son muy agradables</t>
  </si>
  <si>
    <t>LAs tallas son pequeñas. Yo calzo un 43 y pedí un 44.... y el empeine es muy pequeño tendría que haber sido un 45, LAs tallas son pequeñas. Yo calzo un 43 y pedí un 44.... y el empeine es muy pequeño tendría que haber sido un 45, de hecho la lleva puesta mi mujer que tiene un 39. El hueco de empeine no corresponde con la talla. No obstante la zapatilla presenta buena calidad</t>
  </si>
  <si>
    <t>El motor se a parado, y cuchillas imposible de desmontar. Nos acaba de llegar. Mencionar, que la conexión del vaso al aparato, es de clip, no hay que girar el vaso. NOS ES IMPOSIBLE DESMONTAR LAS CUCHILLAS; y también nos es es difícil, conectar el vaso. A veces conecta de una manera, y otras tenemos que girar, y girar el vaso para poder anclarlo a la base. La primera vez, me pareció que hacía demasiado ruido, pero está bien. Sería que aún estaba sin usar. La COMIDA la deja perfecta, cremas... con texturas exquisitas. Y es algo pequeña si, pero por el precio...! Habrá que hacer dos tandas para ciertas cosas. ¡La tapadera es hermética!, y el CRISTAL es muy bueno...cómo debe de ser. DESPUÉS DE UNOS 10 BUENOS USOS, (Salmorejo, y batidos), EL MOTOR... SE A PARADO, ASÍ POR QUE SI. (Se para durante un gran tiempo, por seguridad) NO ES UN PRODUCTO PROFESIONAL, EN EL QUE PUEDAS CONFIAR.</t>
  </si>
  <si>
    <t>Maria Para el precio que tiene esta muy bien. El tamaño esta bien. Para ponerlas mezcladas con otras de otro tipo la puedo aconsejar. Imita un poco a las pandoras</t>
  </si>
  <si>
    <t>Bien Muy pequeños , la foto engaña . Yo pague 7,95 está bien el precio ...</t>
  </si>
  <si>
    <t>Bibe Todo correcto</t>
  </si>
  <si>
    <t>Buena calidad El número viene bien talla tal cual uses habitualmente, cojer un número demás es tontería!!! Viene con plantilla son muy ligeros, los e usado poco estoy de vacaciones pero lo poco q use, son estupendos, volveré a comprarlos.</t>
  </si>
  <si>
    <t>No se caen cuando hago deporte &lt;div id="video-block-R32HXGF1PTRKWA"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id="23" preload="auto" src="https://images-eu.ssl-images-amazon.com/images/I/B1QLm5NvG7S.mp4" style="position: absolute; left: 0px; top: 0px; overflow: hidden; height: 1px; width: 1px;"&gt;&lt;/video&gt;&lt;/div&gt;&lt;div id="airy-slate-preload" style="background-color: rgb(0, 0, 0); background-image: url(&amp;quot;https://images-eu.ssl-images-amazon.com/images/I/A1ji9Ja7UMS.png&amp;quot;);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value="https://images-eu.ssl-images-amazon.com/images/I/B1QLm5NvG7S.mp4" class="video-url"&gt;&lt;input type="hidden" name="" value="https://images-eu.ssl-images-amazon.com/images/I/A1ji9Ja7UMS.png" class="video-slate-img-url"&gt;&amp;nbsp;Es excelente para cuando salgo a hacer deporte, buena calidad de sonido, la batería todavía no se a gastado</t>
  </si>
  <si>
    <t>Contenta con la compra Está bien el maletín en relación calidad precio.el color púrpura es muy bonito. La única pega el asa que no se cierra con belcro son dos asas separadas y así es un poco más incómodo de llevar</t>
  </si>
  <si>
    <t>Funciona bien Calidad precio está muy bien, tiene mucho almacenamiento y aún tirando fotos con RAW cunde bastante. Es la segunda que compró y por ahora no he tenido ningún problema.</t>
  </si>
  <si>
    <t>Para la vitrocerámica En realidad me lo dijeron y lo compré para salvar una vitrocerámica muy rayada y fue mágico. Luego para los grifos, mucho mejor que cualquier antical. Muy contenta</t>
  </si>
  <si>
    <t>Muy cómodas Lo uso para trabajar</t>
  </si>
  <si>
    <t>Excelente Super comodo</t>
  </si>
  <si>
    <t>Tarjeta fiable y con buena relación calidad precio Según lo esperado. Una tarjeta de memoria de una marca contrastada. No merece la pena irte a tarjetas de dudosa fiabilidad teniendo en cuenta el precio de esta.</t>
  </si>
  <si>
    <t>Sorprendente calidad Me han sorprendido gratamente, la calidad del sonido es muy buena, así como el sistema de agarre al oído (soy de los que le suelen molestar casi todos los auriculares). Serían perfectos si fueran totalmente inalámbricos y no tuvieran un cable que va de uno a otro auricular, aún así muy bien hasta ahora.</t>
  </si>
  <si>
    <t>Zapatillas Zapatillas muy chulas vinieron en tiempo</t>
  </si>
  <si>
    <t>Brilla mucho y se agarra bien Por la parte de atrás de la diadema tiene para agarrarse al pelo como estilo peine-horquilla. Las piedrecitas brillan mucho, si te fijas mucho y muy de cerca se nota que no es original de joyeria etc pero de lejos queda muy bien sobre todo por el brillo y queda realmente bien, para recreación histórica incluso para una boda o un evento queda seria, no parece de juguete ni nada, una joya como otra cualquiera</t>
  </si>
  <si>
    <t>A juego de mi gargantilla Quería unos pendientes a juego de mi gargantilla y vi que tenían estos y no puedo estar más contenta. Son unos pendientes pequeños en forma de corazón y con una perla en su interior, así como brillantitos a su alrededor. Su cierre es el típico de tuerca y a mí al menos no me hacen daño. No pueden ser más monos y quedar más elegantes. Vienen también en una cajita como de textura vaquera, bien protegidos, son perfectos para hacer cualquier detalle a alguien.</t>
  </si>
  <si>
    <t>Cascos muyu buenos para su precio Me quede sorprendido con estos cascos,  tiene un precio muy buen para la calidad que tienen, se conectan muy facilmente por bluethoot al telefono y televisor, tiene bastante autonomia de bateria ya que llevo usandolos desde que lo compre y aun ni lo he cargado, se pueden doblar para ocupar menos espacio y asi poder transportarlos mas facilmente donde quieras sin ocupar espacio y tambien tiene diferentes medidas para la cabeza para ponerlo a tu gusto o tamaño. Tambien puedes escuchar la radio y tiene manos libres para llamadas y una ranura para escuchar musica mediante una microsd y tambie nuna entrada de auxiliar por si quieres escucharlo con cables. En definitiva un buen producto por el coste que tiene.</t>
  </si>
  <si>
    <t>Ambientadores Me han regalado un difusor estas navidades y necesitaba las esencias. Este juego trae 6 de diferentes aromas, citricos, flores y aromaticas. El de limon es muy fresco y deja la casa con un buen olor. He probado varias y todas funcionan como ambientador. Ya depende del gusto de cada uno, pero la casa la perfuman totalmente.</t>
  </si>
  <si>
    <t>Diseño deportivo. Precio/calidad aceptable. El reloj es un poco distinto a lo que muestran las imágenes. Esperaba que el reloj fuera algo más brillante y de un aspecto más premium, pero es diferente ya las imágenes que tienes son de que son imágenes digitales. Aún así, me he dispuesto a darle una oportunidad y la verdad es que me han convencido. Tienes un aspecto de reloj deportivo y los materiales de fabricación son El mecanismo es silencioso. El cronógrafo es 100% funcional y exacto. Lo más destacable del reloj es que correa es cómoda y se ajusta bien a la muñeca, quizás un poco dura pero es normal al principio. No creo que sea un reloj excepcional, pero el aspecto es bastante elgante, cómodo y te da la hora. No creo que se le pueda pedir más a un reloj con este precio. Mejor que comprarlo en cualquier mercadillo del barrio.</t>
  </si>
  <si>
    <t>Buena relación calidad-precio Ha llegado en el plazo previsto y de muy buena calidad el producto</t>
  </si>
  <si>
    <t>Memoria Flash 64 GB Muy buen producto y se lo he conectado a la Xiaomi mi box s para aumentar el almacenamiento interno.</t>
  </si>
  <si>
    <t>Genial Funciona perfectamente</t>
  </si>
  <si>
    <t>Buena compra Muy buena.bueba calidad</t>
  </si>
  <si>
    <t>comodísimo y funcional Un aspirador super práctico, cómodo y funcional. Es ligero y fácil de usar, a diferencia de otros aspiradores que son aparatosos e incómodos. Fácil de guardar y de con un mantenimiento muy sencillo. Muy satisfecho con el producto.</t>
  </si>
  <si>
    <t>todo terreno Reloj  muy práctico,elegante,duradero y comodo.no pesa nada y es muy fácil de llevar,no lo notas apenas que lo llevas puesto.los colores en rojo mate y gris negro muy buena convinacion.ya tengo el mismo reloj pero en blanco mate con el fondo también en gris negro y estoy encantado con estos relojes.muy probable que me vuelva a comprar otro color.te sirve para deporte,curro,y para incluso vestir</t>
  </si>
  <si>
    <t>Lo bien que va Muy eficaz y util</t>
  </si>
  <si>
    <t>Las de siempre Un básico para tener en casa sin necesidad de ser arquitecto, sacan de un apuro para muchos pequeños trabajos, manualidades o simplemente trazar rectas paralelas o medir un ángulo</t>
  </si>
  <si>
    <t>No es swarovski El diseño es bonito pero tiene dos pegas importantes: no es Swarovski (no incluyen el certificado de que lo sean) y el enganche de uno de los pendientes venia pegado un poco torcido.</t>
  </si>
  <si>
    <t>Nada que destacar Normalucho.</t>
  </si>
  <si>
    <t>No vuelvo a comprar este tipo de calzado en Amazón. Para mi estás zapatillas son una clara imitación de las originales. En cuanto las vi y toqué tuve la sensación de q me daban gato por liebre. Tallan un poco mas grandes q las originales a las q estoy acostumbrada y cuando las he usado.... la lengueta se va para un lado cosa q nunca me ha pasado y las costuras internas son mucho mas toscas.</t>
  </si>
  <si>
    <t>Jose Mi última compra de un reloj Invicta fue mala. Las agujas pequeñas se caen y dejan el reloj feo e inútil. No recomiendo relojes Invicta.</t>
  </si>
  <si>
    <t>Buen micrófono, manejable y fácil de usar Buen producto a buen precio. No hace falta acercarse demasiado y se oye bien en un buen equipo. Contento con el producto y de fácil manejo. Buenos cables y buen  sonido</t>
  </si>
  <si>
    <t>Muy bien Muy bonita</t>
  </si>
  <si>
    <t>Un buen micrófono de gama media Después de probarlo unos días, os dejo mi valoración por si os ayuda a decidiros a comprarlo o no.  - CONTENIDO  El producto viene en una caja que contiene:  El micrófono, con el amplificador y el cable de 6 metros Una almohadilla cubremicrófono Un clip para corbata Un adaptador de plug de 3.5 mm a 1/4" Una pila para el amplificador (LR44) Una nota de precaucion (en chino, inglés y aleman) El manual de instrucciones (en inglés)  - PRIMERAS IMPRESIONES  El producto viene bien presentado en una caja que contiene todos los accesorios y las instrucciones.  El micrófono mide aproximadamente 1.5 cm y se acopla a la almohadilla bastante bien. También tiene un surco para acoplar al clip de corbata.  El amplificador es metálico y tiene un clip integrado para engancharlo a la ropa y no tenerlo colgando.  - PRUEBAS DE USO  El producto es bastante facil de usar.  El amplificador se abre con una rosca para colocar la pila (el lado positivo hacia arriba).  Si se quiere utilizar en un smartphone hay que mantener el interruptor en OFF/SMARTPHONE y conectarlo al movil. Esto no gastará bateria ya que el amplificador no se utiliza.  La calidad es buena. Lógicamente no tanto como un micrófono profesional, pero cumple muy bien la función para entrevistas y tomas alejadas de la cámara, para lo que viene muy bien el cable tan largo.  También lo he probado con una cámara reflex Canon EOS 70D y funciona bastante bien, aunque hay que tener cuidado con el ruido ambiental, ya que el micrófono es omnidireccional y no tiene filtro de ruido.  Es importante que no se cambie el interruptor del modo Smartphone / Camera mientras se está utilizando, esto hará que el sonido sea intermitente, se pierda a ratos, o directamente no grabe nada.  Una gran desventaja es que no posee ningún indicador de batería baja o de funcionamiento en el modo cámara. Echo en falta aunque sea un pequeño led que parpadee sólo al activar el modo cámara o cuando quede poca batería.  Os dejo unas fotos de ejemplo.  - VALORACION FINAL  Producto de calidad media. Un poco caro en comparación a otros micrófonos del mercado. El cable viene muy bien para tomas a distancia, pero es muy incomodo en distancias cortas, recomiendo que se transporte siempre bien enrollado. Ocupa poco espacio para transportarlo. Sonido y ruido mejor que la mayoría de los micrófonos de su rango de precios. No le doy 5 estrellas porque pienso que el precio podría ser mas bajo y por la falta de un indicador luminoso de funcionamiento y pila baja</t>
  </si>
  <si>
    <t>Calidad- precio buena Por el precio que tienen no está nada mal, se escucha bien y se adaptan bien al oído, eso sí, para mi gusto el cable un pelín corto quizás.</t>
  </si>
  <si>
    <t>Buen biberón para que el bebé trague menos aire Me recomendaron este biberón para evitar cólicos y la verdad es que estamos muy contentos con él, nuestra niña lo aceptó bastante bien y le ayuda a reducir el aire que traga. Quizás sea más laborioso de lavar que otros biberones, pero merece la pena si ayuda a evitar cólicos y gases.</t>
  </si>
  <si>
    <t>Estuche A mi hijo,le ha encantado</t>
  </si>
  <si>
    <t>Ligero y elegante No me gustan los relojes grandes y este tiene el tamaño ideal para mi gusto. La combinación acero pulido-negro es elegante</t>
  </si>
  <si>
    <t>Calidad y resultados Fantástica!!</t>
  </si>
  <si>
    <t>Fácil de usar y totalmente manejable Enchufar y listo. Lo reconoce Microsoft Powerpoint para pasar diapositivos y activar el modo presentación desde le propio mando, y también lo reconoce cualquier lector de pdf. Probado en Windows 10 y ubuntu 18.04.2. Muy manejable, se adapta perfectamente a la mano y la textura del material del mismo es de calidad, muy suave y agradable al tacto sin ser resbaladizo.</t>
  </si>
  <si>
    <t>Imprescindible para los colicos. Como siempre,esta marca no defrauda. Au que sea un poco mas caro merece la pena y mucho. Sin duda la mejor opcion para lactantes.</t>
  </si>
  <si>
    <t>Buena relación calidad precio Está muy bien Es un poco grande</t>
  </si>
  <si>
    <t>Cumple adecuadamente con su función Estas almohadillas de gomaespuma cumplen perfectamente con el cometido para el que han sido diseñadas. Es decir, evitan las vibraciones sobre la mesa o escritorio y, por tanto, hay una mejora perceptible en la calidad sonora, sobre todo en las notas graves. El precio es muy asequible (unos 18 €), pero es que el material con el que están construidas también lo es. En defintiva, compra recomendable.</t>
  </si>
  <si>
    <t>Alivio rápido y duradero Para mi este articulo no es precisamente una novedad. Lo usa mi madre y siempre tiene en casa una caja de lumbares y otra para cuello y hombros. Lo que me ha comentado al respeto es que se pega con facilidad y aguanta bien sin despegarse hasta que toca quitarlo. Esto también es fácil de hacer, ya que con pillar una de las esquinas se despega con facilidad todo el parche, así que el tipo de adhesivo usado es de 10 Respecto a si funciona o no ... pues cuando se le acaban, me manda comprar mas, así que la respuesta es que si funciona Ella me dice que le alivia bastante el dolor las 16 horas de duración del parche, y que le va bien</t>
  </si>
  <si>
    <t>buena calidad buena calidad y muy bien de talla</t>
  </si>
  <si>
    <t>Bueno Muy bonito, me sorprendió.</t>
  </si>
  <si>
    <t>Buena relación calidad precio Se adaptan bastante bien, no se mueven y tienen varias gomas con distintos tamaños. Vienen con un estuche y un mini-cable para cargarlos. Por poner una pega, el botón de encendido/apagado está en una zona que normalmente yo aprieto para ajustarme el auricular y, en ocasiones, se apaga la música.</t>
  </si>
  <si>
    <t>Akai apc mini Buen producto la instalación fácil</t>
  </si>
  <si>
    <t>Útil Muy útil para la gestión diaria de documentos y ordenación interna en carpatacios. Calidad justa, como todas. A veces no son fáciles de encontrar, Amazon las puso en casa de forma sencilla y rápida. De hecho se pidieron con otras cosas que llegaron primero y Amazon las envío más tarde de forma individual.</t>
  </si>
  <si>
    <t>Màgic. Màgic, molt aconsellable</t>
  </si>
  <si>
    <t>Pas Llega según lo previsto, sin retraso. La talla perfecta. Muy cómodo, se adapta perfectamente al cuerpo y sus tirantes anchos hacen que no moleste nada. A la vez que sienta bien. Repetiré la compra</t>
  </si>
  <si>
    <t>Muy chulos Queda un poco grande habitualmente uso 37,5 y pedi un 38 y me quedan bien con una plantilla, pedir talla habitual o media menos si la hay disponible</t>
  </si>
  <si>
    <t>100  %  O.K. Lo recomiendo totalmente, para los buscamos y valoramos la comodidad (no la estética).</t>
  </si>
  <si>
    <t>Buen material y excelente aspecto. El producto se adapta a las especificaciones indicadas y el precio es más que interesante. Ahora solo falta ver el resultado que ofrece y su durabilidad.</t>
  </si>
  <si>
    <t>no originales Cumplen con su función si, pero no son los originales. LÑos que me venían con el móvil el cable era más largo, los botones eran parecidos pero a la vez diferentes. Estoy seguro qde que nos son iguales, se parecen mucho pero me fastidia que lso vendan como originales.</t>
  </si>
  <si>
    <t>No mojarlos, o se estropean al instante Son muy bonitos, pero perdieron su color a los dos días. Pero por ese precio no esperaba más.</t>
  </si>
  <si>
    <t>Que muy justo de la cintura a pesar de escoger tallaje correcto Mi mujer refiere que la calidad no es mala; tiene cintura de 69 cm; ella tiene un tallaje  small; pero en esta prenda es muy ajustado y para hacer deporte poco saludable dado que refiere que no hay buen drenaje linfático con esa presión en el abdomen .</t>
  </si>
  <si>
    <t>Articulo deplorable Tras no llegado ni al primer mes de uso, empieza a descoserse y abrirse las costuras, ha sido usado prácticamente 5 veces y ya está empezando a romperse, articulo defectuoso como muestro en las imágenes, vergonzoso.</t>
  </si>
  <si>
    <t>X No es lo q esperaba.... pero x el precio esta bn</t>
  </si>
  <si>
    <t>Llegó bastante rápido La verdad es que está muy bien, sobretodo por el precio.</t>
  </si>
  <si>
    <t>ligeras y cómodas. Ligeras y cómodas. Tuve que cambiarlas por una talla mas porque son un poco estrechas, pero por lo demas están perfectas</t>
  </si>
  <si>
    <t>Suficiente si no se busca algo súper profesional Está muy bien la relación calidad/precio, pero no tiene muchísima potencia... Si es para hacer cremas, batidos etc. es suficiente.</t>
  </si>
  <si>
    <t>Muy resistente El producto coincide con su descripción, me parece un poco caro para los metros que trae, saldría a 3,50€ el metro y aunque es de calidad y aguante mucho peso podría ser ligeramente más barato el metro. No digo que en este vendedor sea caro, sino el producto en si es caro.</t>
  </si>
  <si>
    <t>Bonito chandal Lo he pillado en oferta por 36€ y la verdad que me encanta..mido 1.78m y peso 94kg y me he comprado una talla XL,que me viene fenomenal(un poquito grande,pero muyyyy poco)...Es muy buen chandal para primavera y otono.En mi opinion calidad/precio le doy un 10.</t>
  </si>
  <si>
    <t>Pulsera elegante Una pulsera fina y elegante. Las perlitas granate brillan muchisimo. La goma elastica permite adaptarse a cualquier muñeca y no pesa casi nada. Me encanta que no te pilla el vello de la mano ... como es típico en este tipo de pulseras. Elegí el corazón plateado porque es muy discreto. Es una pulsera preciosa. Un regalo muy acertado.</t>
  </si>
  <si>
    <t>Producto de Calidad Calienta muy rápido. Es fácil de limpiar y mantener.</t>
  </si>
  <si>
    <t>me gusto mucho la suela queria suplir unos que tuve muy parecidos y por esto busque estos, nunca antes habia tenido esta marca, de momento muy bien!</t>
  </si>
  <si>
    <t>Pendrive tipo C Me ha gustado su diseño y color plateado y sobre todo, lo que me ha decantado por ello es la posibilidad de conectar tanto a PC cómo al smartphone por su conector tipo C.</t>
  </si>
  <si>
    <t>Muy buenas zapatillas Perfectas, preciosas ,ya había comprado este modelo más veces y son las originales. Hay que tener en cuenta el tallaje de Adidas al elegir la talla, ya que con respecto a algunas marcas son zapatillas algo más pequeñas. Muy contenta el precio ofrecido increíble</t>
  </si>
  <si>
    <t>Justo lo que buscaba Perfecto!</t>
  </si>
  <si>
    <t>Calidad precio Es un SSD que por su calidad/precio es inmejorable, llevo ya unos 6-7 comprados para renovar maquinas antiguas y se nota una barbaridad el cambio, le da una nueva vida al equipo.</t>
  </si>
  <si>
    <t>Calidad y buen precio. Envío inmediato. Sus varios colores permiten distinguir su uso sin necesidad de etiquetarlos. Para almacenar música, por ejemplo.</t>
  </si>
  <si>
    <t>todo ordenadito está genial para dejar tus pendientes a la vista y ordenados</t>
  </si>
  <si>
    <t>Capacidad en tamaño contenido y prestaciones buenas Llevo con él funcionando asociado a un NAS Synology más de dos meses y perfecto. No es un SSD pero la velocidad de lectura y escritura, son muy buenas para un magnético, si bien, como en todos, la gestión de cientos de ficheros menores de medio mega cada uno, la acusa mucho, tanto en lectura como en escritura. De momento, perfecto.</t>
  </si>
  <si>
    <t>Batidora de mano Batidora de mano, con mucha potencia y  muy completa.  Viene con la batidora, la picadora y amasadora.</t>
  </si>
  <si>
    <t>Las recomiendo Es una pasada lo que se llega a sudar con estas leggins son muy cómodas y la cintura es alta para que cubra el abdomen.Es se muy buena calidad y esteticamente me gustan mucho.</t>
  </si>
  <si>
    <t>BIEN BUENA RESERVA DE CARTUCHOS A MUY BUEN PRECIO</t>
  </si>
  <si>
    <t>Parece de buena calidad la durabilidad esta por decidir Perfecto para cámaras deportivas, tiene suficiente almacenaje y encaja perfecto, buena marca</t>
  </si>
  <si>
    <t>Me gusta mucho este micrófono recomendable! Este micrófono tiene un buen tono, no hay nada más que ruido, un micrófono de mi última compra, mucho mejor.Viene con una línea, se pueden conectar directamente en el teléfono, también se puede utilizar la radio, conexión bluetooth, que permite insertar la tarjeta de memoria de la parte inferior, la parte intermedia puede ajustar el micrófono voz móvil canciones y reproducir sonidos.En general, esta compra, muy satisfecho, vale la pena recomendar a un amigo</t>
  </si>
  <si>
    <t>Buena compra Se trata de un aparato muy aparente además de práctico. El vaso es de cristal, y ocupa relativamente poco espacio. El picado que se consigue es muy bueno y rápido, al tener bastante potencia. Se enchufa mediante un micro USB, lo que lo hace muy práctico. Ha sido buena compra</t>
  </si>
  <si>
    <t>Solucion profesional La calidad es maxima, el sonido queda muy limpio, cómodo de usar, sin aparatos extras, ya que se conecta al usb.</t>
  </si>
  <si>
    <t>Recomendable Se lo compre para ponerle peliculas a los niños y muy contento de momento... buenos materiales y muy manejable</t>
  </si>
  <si>
    <t>Se le sale las presillas del cordon Se le sale las presillas del cordón de la cintura. Por lo demás queda bien y la tela no es muy gorda y aparentemente no se le hacen. Orillas al tejido</t>
  </si>
  <si>
    <t>Para lo que vale está chulo... A tardado muchísimo las manecillas están flojas y bueno para lo k vale ....</t>
  </si>
  <si>
    <t>auriculares aceptables Por 13,45€ no se puede pedir mucho más (aunque dos semanas más tarde vi unos de la misma marca y modelo en tienda física por 11,5€). El plegado de la caja de los auriculares tras casi 3 meses de uso, todavía dura, los sonidos graves se suelen oir un poco saturados sin ser la pista de audio. Sé que no se puede pedir más, pero el modelo inferior a este (me duraron sobre 10 meses) y parecían algo mejores.</t>
  </si>
  <si>
    <t>No funciona No funciona</t>
  </si>
  <si>
    <t>Mucho bombo para unos calcetos TANNNNN malísimos Malos pa perro. No se quedan en su sitio, se dan la vuelta como David Bisbal. Eso sí, si eres un amante de las pelusas, te van a cautivar desde el primer momento. Muchas pelusas y muy bien educadas, de ésas que salen a saludar a las visitas.</t>
  </si>
  <si>
    <t>Mala calidad Lo acabé devolviendo porque al segundo día el auricular izquierdo dejó de funcionar y tenía problemas de conectividad.</t>
  </si>
  <si>
    <t>Comentario tras prueba Cinta americana básica. Buena relación calidad precio.</t>
  </si>
  <si>
    <t>Un poco grande pero muy bonito reloj El reloj es muy bonita aunque más grande de lo que esperaba. La luz del fondo es azul claro.  No me gustó que el producto llegó con la batería ya en marcha. El resto bien.</t>
  </si>
  <si>
    <t>Buena compra Son chulísimas y cómodas , les han encantado todo el mundo.</t>
  </si>
  <si>
    <t>Limpia normal. Lo bueno que tiene es que la ropa no huele a nada. Lo menos bueno es que parece que al tercer lavado, tirar las bolas da sensación de desperdicio. De todas formas, lo volvería a comprar.</t>
  </si>
  <si>
    <t>Su transportabilidad Para estudiar temas de oposición durante muchas horas</t>
  </si>
  <si>
    <t>Juan La verdad es que Casio es una marca que da confianza, es de toda la vida, despues de probar varias marcas durante varios años, como Casio en relojes de batalla no hay ninguna, el envio muy rapido, contento 100%</t>
  </si>
  <si>
    <t>Muy buenos auriculares Los compré para mi Home Studio y van de perlas. El sonido es excelente. Plano, sin coloraturas. Perfectos para la grabación y el proceso de mixing. Sin duda una buena compra, con garantía de una buena marca como es AKG!</t>
  </si>
  <si>
    <t>Todo perfecto Cumple con todo lo especificado . Un reloj muy completo con agenda telefónica, luz, crono, alarma calculadora, calendario y todo lo necesario</t>
  </si>
  <si>
    <t>Muy buenos cables Gran calidad, son de buen material y no meten ruidos o alteran el color del sonido. Los recomiendo sin duda</t>
  </si>
  <si>
    <t>Buen producto a buen precio La primera impresión es muy buena. Buenos materiales y acabados. Hay que tener en cuenta que es grande y un poco alto. Si te gustan mas bien planos este no es tu reloj. Bien presentado. A todos mis amigos les encanta y a mi más. Lo recomiendo. Bueno, bonito y por 118€ barato.</t>
  </si>
  <si>
    <t>Perfecta Funciona perfectamente, muchos accesorios. Poder de succión impresionante y regulable (aunque al máximo es demasiado)  Fácil de desmontar y limpiar, recomendable totalmente.</t>
  </si>
  <si>
    <t>Me encanta Me encanta como huele. Lo recomiendo</t>
  </si>
  <si>
    <t>Buen producto Muy suave y queda muy buen</t>
  </si>
  <si>
    <t>Magnifica Me encanta es muy bonita y queda súper linda en el cuello, la recomiendo, es presiosa</t>
  </si>
  <si>
    <t>Muy buena compra Una buena zapatilla. Cómoda con su Memory Foam y un buen acabado. Justo lo que quería a muy buen precio por no venir en la caja original que estaba dañada. Un detalle que no tiene importancia a mi modo de ver.</t>
  </si>
  <si>
    <t>Me gusta el tamaño y la calidad Cumple con mis expectativas para grabar con cámara de fotos, si le hablas a unos dos menos de distancia el resultado es casi como un micro de corbata, tienes que asegurarte de tener la fuente principal de sonido a tus espaldas para que no destaque en la grabación, el tamaño y la calidad de construcción esta muy bien.</t>
  </si>
  <si>
    <t>Bambas perfectas Tal como esperava el precio increible, siempre con NEW BALANCE.</t>
  </si>
  <si>
    <t>May Buen chándal, es igual que en la foto la talla me llegó bien, me encanta muy agusto con la compra!</t>
  </si>
  <si>
    <t>Una Kingston de 32GB en metal a este precio... dónde la encuentra? La unidad flash es fantástica no solo por el precio absolutamente ventajoso sino también por toda una gama de ventajas que ofrece:  - Es muy pequeña, por lo tanto muy portátil. - Es metálica, insertado en un llavero con las llaves hace su bella figura. - gracias a su ligereza, no hay riesgo de dañar los puertos USB de la computadora, que a menudo están sujetos a la deformación de los contactos de las puertas en sí en presencia de llaves muy grandes y pesadas - Sigue siendo un Kingston, por lo que detrás está la garantía de una gran marca. - no se calienta, a excepción de un poco en los casos de lectura-escritura continua (pero es un calentamiento no exagerado absolutamente fisiológico para un pendrive)  Podría ser un poco lento en la transferencia de grandes cantidades de datos, especialmente cuando la cantidad de archivos es alta, pero ciertamente no es un problema para una clave comprada para uso general.  Si lo recomiendas? ABSOLUTAMENTE SI' !!!  Esta opinión es el resultado de una experiencia personal, ya que el objeto ha sido comprado, utilizado, probado y revisado personalmente (de hecho, es una "Compra verificada"). Nadie me envió el artículo en forma gratuita a cambio de una opinión positiva. Espero que esta opinión haya sido útil para decidir si comprar este producto o no.</t>
  </si>
  <si>
    <t>Auriculares de uso comodo y calidad Auriculares inalámbricos de gran calidad. Puede utilizarse solo 1 lado o los dos y la calidad de sonido es buena. Dispone de botones tactiles a los lados a los cuales hay que qcostumbrarse ya que sino..... Colgaras la llamada o apagaras la música. Es buena compra y la duración de la batería genial. Dispone de un cake tin para guardarlos que atraves de un iman acopla los dispositivos y automática mente los pone a cargar. Son muy comodos en ese sentido.</t>
  </si>
  <si>
    <t>Unas zapatillas muy cómodas Son bonitas y con calidad. Igual la horma es excesivamente ancha.</t>
  </si>
  <si>
    <t>Un juguete muy divertido Lo compré para jugar con una compañera de trabajo. Cuando está trabajando cerca de mi, lo conecto y menudas risas que nos hechamos. Algún compañero le a llegado a preguntar que si le pasaba algo. Un juguete muy divertido.</t>
  </si>
  <si>
    <t>Comodidad Super comodos. No pesan nada, y se oyen estupendamente. Llevan un estuche redondo con cremallera con un diseño moderno, muy util para el transporte. También llevan recambios de almuhadillas. La conectividad bluetooth perfecta, no tiene cortes, enlaza a la primera con varios dispositivos y sin ningún problema. Muy contenta con la compra y mis hijos mas</t>
  </si>
  <si>
    <t>Apenas me duraron un año Compre tres pares y los tres estan rotos. Calcetín cómodo pero de duración limitada. No los volveré a comprar puesto que los de otras marcas son mas duraderos.</t>
  </si>
  <si>
    <t>funciona bien, realiza sus funciones. lo que menos es el peso. pero los hay mas ligeros y mas caros, que valen mucho menos.</t>
  </si>
  <si>
    <t>Capacitat acceptable. La capacitat està bé,  però, com més gran és la capacitat, més diferència hi ha entre la capacitat anunciada (4 TB) i la real (3.7 TB). És un problema general, no d'aquest en particular. Com a problema, a diferència d'altres discs durs externs de 3 TB que tinc, aquest ha perdut diverses vegades el flux de corrent i he perdut el que tenia en pantalla.</t>
  </si>
  <si>
    <t>Malisimos No se porque no se oyen, al principio se escuchaban más los efectos de sonido que la voz, luego solo se escuchaba por un auricular, ahora no se escucha nada, pensé que había que ajustarlo, pero no hay que ajustar nada y ya no puedo devolverlo.</t>
  </si>
  <si>
    <t>muy bien! Le han gustado  mucho</t>
  </si>
  <si>
    <t>un colgante muy bonito genial. me ha gustado mucho y para un regalo queda muy bien</t>
  </si>
  <si>
    <t>Calidad Muy buena calidad, buen precio, por ahí le cuesta agarrar conectividad</t>
  </si>
  <si>
    <t>Genial pendrive type-c otg El complemento perfecto para los que no tengáis móvil con tarjeta micro-sd y con entrada type-c. La única pega que le veo es que no es especialmente rápido y se calienta bastante, pero recomiendo el pendrive sin duda alguna.</t>
  </si>
  <si>
    <t>Cumple su cometido. Hay que tener cuidado si los cartones van justos, se despegan los bordes. Yo recorto un poco los cartones y ya entran sin problemas.</t>
  </si>
  <si>
    <t>Relación precio calidad Este artículo esta bien hecho y no genera ruidos. Los he utilizado para conectar pedales que están muy cerca unos de otros de un modo que queda la pedalera limpia y sin cables sobrantes. Un saludo</t>
  </si>
  <si>
    <t>Genial Tal como esperaba</t>
  </si>
  <si>
    <t>Ideal para deporte Ideal para deporte, muy ligero y resistente al agua</t>
  </si>
  <si>
    <t>La calidad y la rapidez Todo perfecto</t>
  </si>
  <si>
    <t>almudena Muy buen producto el envio muy rapido y funciona muy bien uo lo quiero x que padezco de lumbago y me ha venio fenomenal lo recomien esta marca la tengo devtermometro y un tensionetro y funcionan muy biem despues de 10 años</t>
  </si>
  <si>
    <t>Ok Todo perfecto</t>
  </si>
  <si>
    <t>Cumple su función Para un 42 un XXL. Lo demás genial</t>
  </si>
  <si>
    <t>Es el pack perfecto para empezar Es un set muy completo, de muy buena calidad, no decepciona.</t>
  </si>
  <si>
    <t>Muy buena calidad Es tal cual aparece en las fotos. Aunque en mano se aprecia una gran calidad y robustez. Al ser de piel envejecerá bien e irá ablandándose con el tiempo.</t>
  </si>
  <si>
    <t>todo perfecto. mejoró enormemente la calidad todo perfecto. mejoró enormemente la calidad</t>
  </si>
  <si>
    <t>Para arañazos de la vitro no sirve Lo he utilizado en el cristal de una vitro Fagor de hace 20 años y aunque es un vidrio de gran dureza, el resultado ha sido aceptable, pero los arañazos no los ha quitado, es demasiado duro. Ha quedado pulida sin más aunque la mejora se nota. Ahora se limpia más facilmente</t>
  </si>
  <si>
    <t>Calidad Un clásico elegante</t>
  </si>
  <si>
    <t>Que el artículo funciona muy bien Muy bien,funciona genial me es muy útil 😉</t>
  </si>
  <si>
    <t>Envío rápido y buen producto Envío rápido y buen producto</t>
  </si>
  <si>
    <t>Muy buena compra Están muy bien. Nada que envidiar a las originales. Quizás tallan un poco pequeñas de lo normal, y cuando estás entre dos números es mejor coger el número mayor. Me han encantado</t>
  </si>
  <si>
    <t>El mejor brazo de micrófono que nunca he tenido He pasado por 3 brazos para el micrófono diferente, y cada uno tenía un fallo (y algunos compartían fallos entre si).  - El primero, tenía dos muelles a cada lado del brazo que se acabaron rompiendo (muy pronto). - El segundo dejaba unas marcas horribles en cada escritorio al que lo anclaba  Finalmente llegué a este que para mi, es el perfecto.  Se le nota muy estable y robusto, y obviamente de materiales de mucha calidad. Aguanta muy bien el peso del micrófono (que pesa unos 450 gr).  Los angulos que tiene son una pasada, es como si no hubiera límite en cuanto a las posiciones que tiene (obviamente con un poco de cabeza).  Es muy muy estable, si lo dejas en una posición, permanecerá en esa posición sin moverse ni sin vencerse con el tiempo. Hace "solo" un año que lo tengo, pero sigue como el primer dia, sin duda prefiero gastarme 70€ en un brazo que me dure toda la vida, a 30€ y tener que estarlo cambiando año tras año, aunque tardé 2 intentos en entender esto.</t>
  </si>
  <si>
    <t>Muy contento por el precio que tienen De sonido tienen muy buenos bajos y agudos, diría que suenan bastante parecidos a los earpod. A mi gusto son unos auriculares bastante bien construidos, con un buen sonido para mi gusto, dan unos graves muy bonitos.El cable de los cascos, es redondo, que ayuda a que no se enrede demasiado, y tiene una buena longitud, para poder meter el smartphone, o reproductor de música en el pantalón y que el cable no quede tenso.Un detalle que me ha gustado mucho, es que vienen acompañados de una pequeña bolsa de tela con cierre, para poder guardar los auriculares cómodamente, en vez de la típica caja de plástico. Como he dicho la calidad del sonido es muy buena, tanto agudos como bajos y soprendentemente la cancelación de ruido es notable. En cuanto al diseño aunque no haya mucho que fijarse en unos auriculares tan pequeños se nota que están construidos en buenos materiales.</t>
  </si>
  <si>
    <t>Buena selección, el de limón, mi favorito. Buena selección y bastante concentrados, unas poquitas gotas son suficiente. El de limón es sin duda mi favorito pero todos huelen muy bien-</t>
  </si>
  <si>
    <t>Una y no mas Decepcionada. Después de comprar este aspirador he tenido que comprar un conga por qué esto aspirar,aspira poco. Además lo poquito que aspira una vez lo paras, lo deja caer al suelo. Es decir...que he tirado el dinero y todo por creer en la marca Taurus</t>
  </si>
  <si>
    <t>Más preciso y limpio, pero caro para la cantidad de producto que trae Es cianocrilato igual que los botes estándar de este pegamento, el aplicador no está mal, pero prefiero el bote de toda la vida o el de pincel, este trae menos producto, si es cierto que puede resultar más limpio y preciso, pero no veo justificado el precio por tan poca cantidad de producto. Pegar pega bien, pero sigo prefiriendo los botes normales.</t>
  </si>
  <si>
    <t>se estropeo al cabo de 1 semana de usa se estropeo al cabo de 1 semana.</t>
  </si>
  <si>
    <t>Funciona intermitentemente y mal &lt;div id="video-block-R1A2G8953FEM28"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src="https://images-eu.ssl-images-amazon.com/images/I/B165nS0jl4S.mp4" style="position: absolute; left: 0px; top: 0px; overflow: hidden; height: 1px; width: 1px;"&gt;&lt;/video&gt;&lt;/div&gt;&lt;div id="airy-slate-preload" style="background-color: rgb(0, 0, 0); background-image: url(&amp;quot;https://images-eu.ssl-images-amazon.com/images/I/91TZAqngcrS.png&amp;quot;);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value="https://images-eu.ssl-images-amazon.com/images/I/B165nS0jl4S.mp4" class="video-url"&gt;&lt;input type="hidden" name="" value="https://images-eu.ssl-images-amazon.com/images/I/91TZAqngcrS.png" class="video-slate-img-url"&gt;&amp;nbsp;A veces va, a veces no y cuando va se ven rallas, vibra y se ollen pitidos. Me ha decepcionado teniendo en cuenta las buenas reseñas que tiene. Lo he devuelto.</t>
  </si>
  <si>
    <t>Buena marca para comprar ratones He probado ratones de esta marca y quedé satisfecho. Al decidir comprar unos cascos buenos de este intervalo de precios me fié de anteriores experiencias y opté por estos... craso error. Si los observas detenidamente puedes ver como se empiezan a deshacer al sacarlos de la caja. Materiales penosos, son supuestamente los mejores cascos que he comprado y de los que peor se escuchaban y los que menos han durado con diferencia.</t>
  </si>
  <si>
    <t>Tallaje pequeño Buen precio, pero de haberlo sabido hubiera cogido un número más, talla demasiado pequeño.</t>
  </si>
  <si>
    <t>La duracion de la bateria es buena!! Los estoy probando suenan estupendos Pero muy ostigosos</t>
  </si>
  <si>
    <t>Bambas salomon Bamba muy buena y todo terreno la unica pega q es un pelin estrecha y yo tengo el pie estrecho recomiendo que os cojais 1 numero mas o medio de lo que soleis usar! Agarre 🔝</t>
  </si>
  <si>
    <t>Adaptador el aparato está bien, aunque no lo pude probar bien por culpa de programa, es el segundo que compro , el primero defectuoso y no lo devolví, tardé en probarlo, ya sabemos que esto de la electrónica es muy sensible, pero funcionando con programa, recomendable</t>
  </si>
  <si>
    <t>Entrega rápida La marca es conocida y que tenga el brazo metálico me gusta mucho, lo que me incomoda bastante es que los botones , al estar recubiertos de silicona, hay que apretar muchísimo. Por lo demás todo correcto y su función la cumple perfectamente</t>
  </si>
  <si>
    <t>Recomendado Producto  de calidad</t>
  </si>
  <si>
    <t>Buena relación calidad precio. Las compre junto con una plastificadora y son 100% compatibles. Los resultados son muy buenos.</t>
  </si>
  <si>
    <t>Muy mono. Es un anillo gracioso, cómodo de llevar  si tienes los dedos finitos. Esta bien para el precio que tiene,</t>
  </si>
  <si>
    <t>Micro Excelente micro, que funciona perfectamente y llego a tiempo.</t>
  </si>
  <si>
    <t>Perfecto Muy funcional......bueno barato</t>
  </si>
  <si>
    <t>Estupendo. Genial. Me encantan los masajes y me vienen muy bien para momentos de carga por mala posición o por exceso de deporte. Va muy bien y además puedes quitar la función de bolas calientes, aunque cuando ya lleva mucho rato notas calorcito igual.</t>
  </si>
  <si>
    <t>Genial. Como todos los G-Shock, modelo perfecto. Si te gusta el amarillo, este es tu reloj. Acabados geniales, muy cómodo y un color genial. Sin duda una gran opción.</t>
  </si>
  <si>
    <t>Ideal Fantástico para darle la leche extraída cuando estoy trabajando. Tetina blandita que no se colapsa. Sale la leche justa para  no frustrarse y no dejar el pecho por tener una opción fácil.</t>
  </si>
  <si>
    <t>Correa 44mm Correa perfecta con un iman muy bueno y la calidad d el pedido oscuro relación precio es excelente. Estoy muy contenta con la compra.</t>
  </si>
  <si>
    <t>Sellado definido y exacto Muy completo, el sello viene con el cartucho de tinta, las pinzas para colocar las letras y  dos paleteas de letras, una paleta para letras más grandes y otra para letras más pequeña, contiene todo tipo de caracteres. El sellado es bastante bueno y exacto, en comparación con otros sellos que he usado que dejaban las letras apretujadas y con borrones. Lo recomiendo, calidad-precio buena.</t>
  </si>
  <si>
    <t>200/10 Es bastante util</t>
  </si>
  <si>
    <t>Sirve para más cosas Tiene más moldes para hacerlo</t>
  </si>
  <si>
    <t>Sorprendido la calidad de sonido en cuanto a lo económico del precio.Solo lo he conectado a PC y bien, pero vamos que se puede conectar a otros sistemas Hi-FiSolo le pondría dos pegas Sorprendido la calidad de sonido en cuanto a lo económico del precio.Solo lo he conectado a PC y bien, pero vamos que se puede conectar a otros sistemas Hi-FiSolo le pondría dos pegas: - manual no castellano, aunque no tiene mucha pérdida - viene cable jack macho - jack macho, pero es de 6.35mm y no trae el adaptador a 3.5mm por lo que para usarlo en móvil o PC hay que comprar el adaptador a parteNo obstante y con la experiencia de las dos veces que lo hemos usado, merece la pena comprarlo, diversión asegurada.</t>
  </si>
  <si>
    <t>Perfecto Rápida y con mucho espacio</t>
  </si>
  <si>
    <t>Perfecto Me ha resultado perfecta para utilizar una micro sd genérica en mi PSP. Funciona sin problemas y buena velocidad de lectura (no se ve afectada la velocidad de la micro sd), y además permite conectar 2, con lo que aumenta la capacidad.</t>
  </si>
  <si>
    <t>Increibles para PS4! :: Lo bueno ::  ✅ Presentación : Inmejorable. Buena caja. Buena funda para transportar y buen material. ✅ Diseño : De los auriculares más bonitos que he visto. Colores y diseño muy cuidados. ✅ Comodidad : Más de (+4h) jugando y no me han dolido las orejas. Mucha comodidad para muchas horas de juego. ✅ Sonido : Supresión de ruido muy alta (no escuche el exterior) calidad acojonante y escucho todos los pasos rivales. ✅ Micrófono : Cancelación de ruido y de muy alta calidad. Me ha servido para gameplays y muy top el sonido. ✅ Botones : 1 Power. 2 Volumen. 1 Graves . 1 Muteo. ✅ Batería : Más de 30h ... nunca se acaban y duran mucho más que los de Sony. ✅ Conectividad : PC , Tablets , Moviles , TV , Mp3/4.. todo sin problemas y a la primera. ✅ Cableado : Trae muchos accesorios : USB Carga , Alargador jack y conector para enchufe en aviones. ✅ Funda : Muy grande e bonita. Un detalle para llevarlo a donde quieras sin coger polvo y sufrir golpes. ✅ Adaptabiidad : Se adaptan perfectamente a cualquier cabeza y no duele al usar las gafas de vista. ✅ Otros datos : Se pueden cargar por cable y usar por bluetooth al mismo tiempo.  :: Lo malo ::  ⛔ Para PS4 necesita un adaptador USB (los hay en Aliexpress o aquí en Amazon por menos de 5 euros)   - Si no lo compras , no podrás usarlos en modo blueetooth (que si por cables) pero no funcionaría el micrófono. Esto es más bien problema de Sony que no deja conectar aparatos blueetooth de forma directa.  :: Opinión final :  🏆 Tiene mi sello de calidad. Muy recomendados para jugar.</t>
  </si>
  <si>
    <t>Potentes auriculares El producto me llego rápido y en perfectas condiciones. Los compré por las buenas opiniones y ha sido todo un acierto, son muy ergonomicos, son formato mini, se adaptan perfectamente al oído, son cómodos y se conectan rápidamente, de hecho una vez enlazados la primera vez, se conectan directamente al sacarlos de su cajita. El sonido que tienen es muy muy bueno y no tiene interrupciones, recomendados para hacer deporte, además tienen bastante autonomía e incluye microfono para poder contestar llamadas. Una vez usados me parece que la relación calidad-precio es muy buena y los recomiendo sin duda. Se agradece tambien que las intrucciones que llevan son en español e incluye un cable de carga para la bateria de los auriculares. Mi opinion estos auriculares calidad precio es una pasada, los recomiendo sin duda.</t>
  </si>
  <si>
    <t>ESTUPENDA Me encanta la batidora. Con un montón de accesorios y encima súper eficaz porque se puede hacer de todo. Salsas, batidos, mantequillas... ¡la recomiendo!</t>
  </si>
  <si>
    <t>trail running Trail running básico. Muy cómodas</t>
  </si>
  <si>
    <t>Buena apariencia, aunque es muy pequeña En general la apariencia y calidad es buena, aunque tiene detalles poco prácticos como que cabe un ipad aunque suelto en el compartimento central, dado que el bolsillo a dicho efecto es muy pequeño</t>
  </si>
  <si>
    <t>No dan alergia Son demasiado demasiado finos. A veces no encaja el cierre.</t>
  </si>
  <si>
    <t>PRODUCTO PROMEDIO Funciona correctamente, no obstante lleva una marca de agua que se nota un poco incluso después de adherido.</t>
  </si>
  <si>
    <t>Velocidad real escritura: 14,4 Mb/s Este producto no corresponde con sus especificaciones. Comprobando la velocidad de escritura con el programa "Disk Speed Test" da como resultado 14,4Mb/s ,siendo en teoría, una tarjeta de 170 Mb/s. Los vídeos en resolución 4K - 25FPS se graban a tirones, debido a la baja velocidad. En definitiva, creo que el producto es engañoso y Amazon debería regular estas ventas, ya que son un auténtico timo. Toca devolver el producto y perder media mañana en la oficina de correos.</t>
  </si>
  <si>
    <t>No convence Bastante cutre para lo que cuesta</t>
  </si>
  <si>
    <t>Muy bueno Me ha parecido muy bien, lo único que le pondría un protector en las puntas para que no cogiesen suciedad</t>
  </si>
  <si>
    <t>Calidad Todas las memorias SD que he comprado han sido Samsung,  y ninguna me ha dado problemas y tengo más de 15 tarjetas de distinto tamaño. Por eso sigo comprando las tarjetas de memoria de esta marca. Ya sé que hay otras marcas a unos precios muy bajos...pero no me fio.</t>
  </si>
  <si>
    <t>Bien És como el original q venia cuando compré el teléfono</t>
  </si>
  <si>
    <t>Jose Miguel Prieto Perfecto para lo que lo necesitaba. Letras grandes y el añadido de que da también la temperatura. Correcto bueno, funciona bien.</t>
  </si>
  <si>
    <t>Pulseras Son un poco rígidas pero son tal cual se ven en la foto</t>
  </si>
  <si>
    <t>Perfecto Me gusta todo</t>
  </si>
  <si>
    <t>Muy práctica Perfecta para la que lo he perdido</t>
  </si>
  <si>
    <t>Genial y útil para senderismo Esta muy bien para hacer senderismo de cortas y medias distancias que no tengas que llevar mochila. Agua y alguna barrita o chocolate,  teléfono, cartera, y pañuelos. He repetido y comprado el segundo para regalar.</t>
  </si>
  <si>
    <t>lo que mi hijo quería Mi hijo usaba auriculares con cable tanto para Tablet como para ordenador, pero el de la Tablet dejó de funcionar, no los podía conectar, así que buscamos unos inalámbricos que estuviesen bien de precio y tuviesen buenas valoraciones. Parece que era correcto porque mi hijo está contentísimo, los utiliza tanto para móvil, tablet como portátil. Fáciles de usar, batería bien, se oyen bien... justo lo que quería. Los volvería a comprar</t>
  </si>
  <si>
    <t>todo correcto pié de micro con más opciones que otro, trae 2 pinzas para 2 micros, bien pensado, robustez y buenas roscas de agarre</t>
  </si>
  <si>
    <t>Prqctico Bien</t>
  </si>
  <si>
    <t>Perfectas. Las diademas aguantan bien el pelo, las uso para el gym y no se caen y los colores son idénticos a las fotos. Buena relación calidad-precio.</t>
  </si>
  <si>
    <t>Un sonido brutal Vienen con su cajita de plástico, varios adaptadores para las orejas y con un sonido muy bueno. Los graves que es donde suelen pecar la mayoría de las marcas baratas, son realmente buenos y trasmiten una sensación de producto premiun. Son ligeros , pequeños y discretos .</t>
  </si>
  <si>
    <t>Todo como se ve en las imágenes Perfecto</t>
  </si>
  <si>
    <t>Cumple con la descripción del producto El producto cumple con la expectativa. La descripción es exacta. El pedido ya llegado en el tiempo acordado</t>
  </si>
  <si>
    <t>Calidad - precio más que aceptable Yo no los uso para ir en transporte y oír música y son realmente cómodos. La batería aguanta bastante y tienen la posibilidad de quitar la "arandela" que viene en el auricular para cuando haces deporte,  que a mi no me gusta. Vienen con bastantes almohadillas  y un estuche para guardarlos. Calidad -precio más que aceptables.</t>
  </si>
  <si>
    <t>MUY PRACTICO &lt;div id="video-block-R2JXRDYUCO475J"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id="111" preload="auto" src="https://images-eu.ssl-images-amazon.com/images/I/A1HuMmZPe9S.mp4" style="position: absolute; left: 0px; top: 0px; overflow: hidden; height: 1px; width: 1px;"&gt;&lt;/video&gt;&lt;/div&gt;&lt;div id="airy-slate-preload" style="background-color: rgb(0, 0, 0); background-image: url(&amp;quot;https://images-eu.ssl-images-amazon.com/images/I/B1dDKT+SeVS.png&amp;quot;);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value="https://images-eu.ssl-images-amazon.com/images/I/A1HuMmZPe9S.mp4" class="video-url"&gt;&lt;input type="hidden" name="" value="https://images-eu.ssl-images-amazon.com/images/I/B1dDKT+SeVS.png" class="video-slate-img-url"&gt;&amp;nbsp;Me he ido de viaje una semana a Malaga, y me lo he llevado para ir pasando fotos/videos... me ha venido de perlas, es rapido, y la app funciona a la perfección, sirve tanto para un regalo comodin, es decir, que se lo puedes regalar a quien quieras que CON SEGURIDAD, le viene genial, estoy muy contenta.</t>
  </si>
  <si>
    <t>Un zurrón elegante Es cuero. Es muy bonito -el color es menos rojo que en las fotos, más color tierra-. Puedes llevarlo yendo elegante o hecho unos zorros, porque pega con todo. Los que dicen que la correa es corta... mido 1,90 mts. y aún queda correa pa'más. ¡Por favor, que alguien les explique cómo funciona el mecanismo de una correa ajustable! Llegó dentro del plazo de envío, y todos contentos. Original y de calidad.</t>
  </si>
  <si>
    <t>Pequeño y práctico Cumple lo que dice, muy silencioso. La única pega que le pondría es que en donde lo pongas se moja todo por debajo. Imagino que algo un poco inevitable. Por lo demás todo perfecto. Lo volvería a compra sin duda. Muy recomendable.</t>
  </si>
  <si>
    <t>Lleva bolsillos Muy cómodo y con bolsillos</t>
  </si>
  <si>
    <t>Grande pero cómodo y ligero Reloj grande pero cómodo y muy ligero. La foto no le hace justicia: en la muñeca tiene una apariencia magnífica.  Por ponerle una pega, la rueda me parece que sobresale demasiado y es muy grande, por lo que no se si no acabará molestando a la larga. Ya se verá</t>
  </si>
  <si>
    <t>Excelente Temía porque no fuese mi talla y también porque no fuesen las originales...ya que había leído comentarios de otros vendedores que no parecían ser originales. Estoy contentísima. Acabo de recibirlas y tallan bien. Mi número un 38 y me quedan perfectas. Además que vienen en su caja y todo. Me encantan!!!</t>
  </si>
  <si>
    <t>Suela muy blanda Cinco salidas y ya estoy sin tacos en la suela. Decepcionante en unas zapatillas de este precio.</t>
  </si>
  <si>
    <t>Normal Es muy práctica tiene un seguro muy bueno 0ara evitar que salga. Siento que no tiene mucha potencia pero por su precio está bien</t>
  </si>
  <si>
    <t>cortadora El producto lo uso principalmente para manualidades, la única pega que le pongo es que cortando de izquierda a derecha el corte no es limpio, en cambio de derecha a izquierda fenomenal, no se si es por la cuchilla, para el uso que yo le doy es suficiente.</t>
  </si>
  <si>
    <t>Murió en menos de un año Está claro que han salido mal, teniendo en cuenta la cantidad de gente que ha tenido problemas con ellas.  En mi caso la tenía en un Moto G2 y de la noche a la mañana ya no me la reconocía el teléfono. La dejé en un cajón pensando que podría recuperarla más adelante, cuando pudiera dedicarle un tiempo. Pues bien, ese tiempo ha llegado y puedo confirmar que está completamente averiada/inservible: ni Linux ni Windows la reconocen (y he probado de todo...).  Muy mal Samsung, no volveré a comprar SD de esta marca.</t>
  </si>
  <si>
    <t>Para no repetir Los compre por el prestigio de la marca para grabar música para el coche y tengo que decir que son muy malos. He leído posteriormente que los azo de esta marca son mejores pero no sé si es cierto. No sé si es consecuencia de la deslocalización pero no son como los de antes. He tenido que ir tirandolos porque o dan problemas con la lectura en reproductores o a la hora de grabar dan problemas que no me pasa con otras marcas.</t>
  </si>
  <si>
    <t>Anna No me hizo nada y lo devolví. Relajarme me relajó pero aliviarme nada...así que lo devolví. No lo recomiendo la verdad.</t>
  </si>
  <si>
    <t>Es perfecta para espacios reducidos, por lo poco que ocupa al plegarse. Está muy bien. Cumple los requisitos esperados. Es flexible y ocupa muy poco espacio, ya que se plega totalmente. Un poco inestable si se llena demasiado.</t>
  </si>
  <si>
    <t>Muy buenas gafas para cerca Muy buenas gafas para cosas que requieran mucha precisión, vienen las lentes en un estuche de plástico para protegerlas, se be muy bien. las recomiendo para trabajos de precisión y delicados, la luz que trae alumbra muy bien, y son cómodas.</t>
  </si>
  <si>
    <t>Práctica y bonita Muy útil la presilla que tiene situada en la parte superior y sirve para enganchar una prenda de ropa. Es bonita y práctica</t>
  </si>
  <si>
    <t>Buen Sonido Sorprendente Me sorprendió suenan muy bien y para dar clases de zumba esta muy bien y lo probé para cantantes u también funciono muy bien y tiene buena cobertura y la batería dura un buen tiempo</t>
  </si>
  <si>
    <t>Perfecto para el gimnasio Reloj perfecto para calcular los tiempos de descanso en el gym. Da la hora obviamente y tienes alarmas, crono y crono hacia atrás, entre otras opciones. Totalmente recomendable.</t>
  </si>
  <si>
    <t>Buen precio por un buen artículo Ya las tenia en color blanco. Es lo mismo que tenia pero con cambio de color. Se ajustan perfectamente. Los detalles dorados de la foto no se ajustan del todo a la realidad pero no supone un problema.</t>
  </si>
  <si>
    <t>enchfar y ya... Simplemente funciona. Enchfar y listo. Probado en ubuntu 18.04</t>
  </si>
  <si>
    <t>Ideal para invierno Es muy abrigada y cómoda. Me cogí una talla pequeña porque me gusta más ajustada.. Llegó antes de lo previsto</t>
  </si>
  <si>
    <t>Perfecto para pequeña cámada de fotos Hemos adquirido dos unidades de esta tarjeta y he de decir que el resultado ha sido muy satisfactorio. Bien es cierto que no le hemos exigido gran cantidad de prestaciones, dado que el destino ha sido dos cámaras de fotos que utilizan dos niños, pero cumple a la perfección con el resultado esperado y sin ningún tipo de problema. Proe l precio que cuesta merece la pena tirar por esta tarjeta antes que por otras.</t>
  </si>
  <si>
    <t>Producto adidas, poco más que decir. Todo ok. Son perfectas, lo que buscaba. Me las probé previamente para determinar la talla, y suelen ser algo mas pequeñas, ya que usan un sistema más fraccionado del tallaje.  Como medio número o así más pequeñas de lo que suelas usar.</t>
  </si>
  <si>
    <t>La comodidad del calzado Muy buenas y resistentes</t>
  </si>
  <si>
    <t>Cómodo Bonita. Llegó  antes de lo previsto. Genial.</t>
  </si>
  <si>
    <t>Cómodas y bonitas Geniales. Cómodas y bonitas.</t>
  </si>
  <si>
    <t>Que venga bien explicado en la web Me encanto relación calidad precio</t>
  </si>
  <si>
    <t>pendiente elegante Es pequeño pero muy elegante</t>
  </si>
  <si>
    <t>Genial La batidora es genial, la uso para pasteles y cupcakes y funciona genial! Es una muy buena compra. La única pega es que tengo una cocina pequeña y para guardarla es un engorro</t>
  </si>
  <si>
    <t>Buen biberón El biberón es muy bonito, tiene una forma muy ergonómica, ideal para los padres, ya que la zona para cogerlo se estrecha dejando la forma de los dedos.  El tamaño está bien, trae 260 ml, aunque personalmente yo compraría el de 340, así duraría más tiempo.  La tetina es de silicona, suave, con la boquilla de forma redondeada- Trae tapa para taparlo tras usarlo, y la forma delantera tiene unos dibujos.  Las  calidades son muy buenas, y el precio está genial para la calidad que ofrece.</t>
  </si>
  <si>
    <t>Perfecto Me encanta, solo que es un poco caro</t>
  </si>
  <si>
    <t>Todo bien y rapido Es lo que necesitaba realizó su trabajo perfecto</t>
  </si>
  <si>
    <t>Perfectas Buen precio y modelo que no se encuentra facilmente en tiendas</t>
  </si>
  <si>
    <t>Buena compra Lo que esperaba</t>
  </si>
  <si>
    <t>Sorprendida Muy contenta con esta compra, compré varios anillos y estos sin duda son los que mas me gustan, parecen hechos a medida, llevo con ellos puestos casi dos semanas y ni una mancha en el dedo.</t>
  </si>
  <si>
    <t>no es lo que esperaba se pegan mucho las pelusas no me ha gustado de l t o  d o c r e o que el color es negro pero deslavado no me gusta</t>
  </si>
  <si>
    <t>Cumple su función Protege las tarjetas no sólo físicamente sino también de lecturas indeseadas aunque, cuesta y mucho, meter la tarjeta con el protector en la ranura de la cartera. No es cómoda de usar si necesitas sacar la tarjeta con frecuencia.</t>
  </si>
  <si>
    <t>No está mal Corta muy bien, la única pega es que no lleva una guía para saber por donde vas a cortar exactamente, si te guías por cm o pulgadas perfecto pero la primera medida es una pulgada, no lleva marca para poder cortar 1 o 2 cm</t>
  </si>
  <si>
    <t>Llegó incompleto Me llegaron 7 en vez de 8 me faltó la argolla grande negra</t>
  </si>
  <si>
    <t>Libro El libro cumple con las espectativasl, es perfecto para niños, muy manejable. Seguiré comprando el resto de la colección. Recomendable.</t>
  </si>
  <si>
    <t>Ok Para ponerle cordones tienes que descoser una costura lateral que une la lengüeta con la hilera de corchetes a través de una goma. No es difícil</t>
  </si>
  <si>
    <t>Cómoda  y bonita sudadera Bonita sudadera. Es finita, ideal para primavera. Los colores tal y como en la imagen. Talla pedí una L, yo utilizo habitualmente la M, pero en este caso la L me va perfecta.</t>
  </si>
  <si>
    <t>Buen producto Las zapatillas son como aparece en la foto,  buena calidad,  veremos como se comportan con el paso del tiempo. Tallas pequeñas se recomienda pedir una talla más.</t>
  </si>
  <si>
    <t>Contento con la compra Tejido de buena calidad y abriga bastante. Pedi una M y es un poco holgada, por si estais pensando que talla pedir.</t>
  </si>
  <si>
    <t>Correcto Muy bien</t>
  </si>
  <si>
    <t>Excelente calidad,  ni se sienten. Lo he usado ya por casi una semana y me he adaptado desde el primer dia, suelo trotar con ellos y me han encandato. El precio pues una pasada, no tienen competencia en relacion a su precio. Al final cumplen su proposito, el sonido es bueno y se conectan al movil muy facil. No debemos pagar mas por marca si al final todo es casi lo mismo, la bateria bastante duradera.</t>
  </si>
  <si>
    <t>Muy bien Tallan normal. Como se describe.</t>
  </si>
  <si>
    <t>BONITOS Y ELEGANTES Son como aparecen y describen. Perfectos.</t>
  </si>
  <si>
    <t>Todo un acierto Estoy contentísima. Necesitaba una prenda que me abrigara lo suficiente en invierno pero a la vez ligera, que me permitiera libertad de movimientos mientras practico deportes al aire libre y que fuese entallada. Lo he encontrado, y tanto me gusta que lo utilizo incluso como vestimenta "casual". En cuanto a la talla, podría haber pedido una menos y me quedaría más pegada, pero prefiero que me quede un poco holgada, para poder llevar capas en caso de frío extremo; aún así, me sigue quedando entallada. De largo está perfecta. Me tapa el culete y de mangas también perfecto, con elástico pero no aprietan. Si os sirve de ayuda: mido 167 cm, peso 63 kg (complexión media), cintura ombligo 74, pecho 90 cm.</t>
  </si>
  <si>
    <t>Va siempre conmigo Usado en un iphone con el app de røde se puede obtener un sonido realmente bueno. El app de røde permite controlar la ganancia de grabación del micro además de incluir varios filtros digitales interesantes. También se puede usar directamente con el app de video. Este es un ejemplo de video grabado con el app de video del iphone directamente. [...]</t>
  </si>
  <si>
    <t>Preciosos pendientes Son preciosos, me tienen enamorada con esos destellos no pasan desapercibidos</t>
  </si>
  <si>
    <t>Lo mejor para el verano. Las chanclas de toda la vida. Muchos colores guapos y combinaciones. Tallaje un poco pequeño. Suela resistente y muy cómodas. Abstenerse pies delicados.</t>
  </si>
  <si>
    <t>Meli Para el precio que tiene fantástico</t>
  </si>
  <si>
    <t>Perfecta Chulisima, original y queda como un guante!</t>
  </si>
  <si>
    <t>muy recomentado a relajar me encantado este masajeador de pie, hay diferentes modo y presion para que elijas tambien hay opcion de calentamiento, personalmente me gusta mas la de presion te deja muy relajado ~recomiendo a auqellos que anda mucho y esta mucho tiempo de pie</t>
  </si>
  <si>
    <t>Carito Excelente, fue un regalo para mi esposo y esta encantado, no se las quiere quitar de lo cómodas que son</t>
  </si>
  <si>
    <t>Buena calidad. Tras probar varios mp3 acuáticos, me quedo con este  iPod Shuffle de Apple impermeablizado por Underwater Audio por su calidad, fiabilidad y lo ligero que es...no se nota cuando estas entrenando. Ademas, puedes utilizarlo para todo tipo de actividades, aguanta la lluvia y el sudor perfectamente.Cuando terminas de entrenar lo lavas con abundante agua y punto. Tiene una capacidad de 2G (suficiente para entrenamientos largos) la batería aguanta muchísimo, no he calculado cuanto pero me lo deje encendido durante un día entero y sigue funcionando. Viene con los auriculares Swimbuds sumergibles con el cable extracorto...son de muy buena calidad y se acoplan perfectamente en el agua.  Tal vez sea un poco caro 150€ pero vale la pena...yo ya estaba harto de comprar mp3 acuáticos que no duraban nada, este parece que tiene muy buena pinta. Se me olvidaba: Es necesario descargarse el programa de Apple itunnes para poder meterle y quitarle música.Los usuarios de Apple ya lo sabríais, pero lo comento por si hay alguien que le pueda interesar...es muy fácil de usar por cierto. El servicio de Amazon excelente como siempre.</t>
  </si>
  <si>
    <t>Auriculares bluetooth calidad excelente Me ha encantado estos auriculares bluetooth. Tienen un sonido con agudos y graves de mucha calidad. Se cargan muy rápido en su cajita soporte. Viene con una pantalla LCD que te indica la carga de cada auricular. Contiene un cable USB para cargar y distintos tapones que se adaptan según nuestro oído. Recomendado por su calidad</t>
  </si>
  <si>
    <t>Buena calidad a buen precio Voy a dividir esta review en tres apartados que considero los mas importantes: comodidad, calidad de sonido y bateria.  Comodidad: los cascos vienen en una cajita muy practica y facil de transportar. Se emparejan facilmente con el movil u otro dispositivo al sacarlos de la caja, y una vez emparejados la primera vez, la conexion sera automatica para el resto de veces. En mi caso, los cascos se adaptan perfectamente a la oreja, sin que de la sensacion de que se vayan a caer incluso cuando estoy en movimiento, andando, etc.  Calidad de sonido: los cascos, una vez en la oreja, tapan por completo el conducto auditivo, por lo que ofrecen un aislamiento del ruido exterior bastante bueno, especialmente cuando hay musica puesta. Poseen bastante buena calidad de sonido, con un bajo bastante potente, y sin ningun ruido o suciedad de fondo.  Bateria: en todo el tiempo que llevo usando los cascos, no he tenido ningun problema con la bateria. Normalmente los uso en sesiones de 3-4 horas, y nunca se me han descargado del todo mientras los usaba. Los cascos de recargan mientras estan dentro de su cajita, y la cajita en si se carga como cualquier movil por usb.  En definitiva, por este precio, son unos auriculares de bastante buena calidad, comodos y muy utiles.</t>
  </si>
  <si>
    <t>A Muy bueno</t>
  </si>
  <si>
    <t>Funcionales Buen producto a muy buen precio</t>
  </si>
  <si>
    <t>Comodos y muy bien sujetos Lo que mas me ha gustado de estos es lo facil que es colocarlos en los oidos y lo bien sujetos que quedan. Despues de una tirada de mas de 10Km no se han movido. Ademas son muy agradables al tacto. Muy contento con la compra.</t>
  </si>
  <si>
    <t>El señor de todos los Casio Un señor reloj, el segundo día le pegue un par de enganchones colocando bandeja eléctrica y va como un tiro, muy buenos estos de casi, ooooye</t>
  </si>
  <si>
    <t>Es más fino de lo que parece Es muy ancho</t>
  </si>
  <si>
    <t>Notificaciones OK, Deporte fatal Buena construcción y muy bonito, notifica muy bien y el bisel giratorio es fabuloso para su control, PERO, para deporte olvídalo, el GPS tarda un mundo en encontrar la señal y cuando lo hace. En 3 meses con el y corriendo 2 o 3 veces por semana, solamente me ha funcionado 2 veces el gps, encontrándolo muchas veces después de acabar el entrenamiento, es decir, más de media hora buscando señal sin encontrar, y en otras ocasiones la pierde al poco de empezar y ya no la recupera.... Para colmo, el lector de ritmo cardiaco es intragable durante el deporte, marca cosas irreales con diferencias de 50 pulsaciones por encima, o deja directamente de leerlo por el sudor... Tengo un amazfit Bip que no falla ni en broma en el tema deporte, y no lo entiendo con la diferencia de precio y calidad entre ambos. En mi caso, y para colmo de males, no puedo usar las correas de serie porque me produce un ezema bestial en la muñeca, y hasta me tuve que poner corticoides durante una semana para currarlo, pero debo ser un caso aislado</t>
  </si>
  <si>
    <t>usuario amazon prime Mal producto, se despegó la suela el segundo día, para ir a comprar el pan, igual valdrian.. Aparentan lo que no es</t>
  </si>
  <si>
    <t>Mucho ruido Mucho ruido, mal no lo recomiendo</t>
  </si>
  <si>
    <t>Muy incomodo - Terrible Compré una talla grande porque vi los comentarios, el tamaño esta perfecto. Pero el material es terrible, mi pie se queda sudando todo el tiempo y la verdad es que me molesta mucho. No me gustó nada y no puedo devolverlo porque ya lo usé.  Actualización: Después de 1 mes de "uso", en realidad casi sin usar porque realmente no me gustaba nada, dejé las zapatillas unas horas al sol y cuando las vi estaban completamente deformadas y apenas me quedaban los pies, así que tuve que hablar con Amazon y hacer la devolución.</t>
  </si>
  <si>
    <t>Buena relación calidad/precio. Buena calidad para el precio. Cumplen su función, las uso de un Rega Mira 3 a ProAc Tablette Ten Signature con cables Van den Hul Goldwater. Son muy fáciles de montar, hacen buen contacto y quedan bien. Muy ligeras de peso. Las hay mejores y mucho mejores pero también más caras.</t>
  </si>
  <si>
    <t>Un básico en la cocina Para quienes no queremos utilizar el microondas, es la alternativa perfecta. Es un poco lento dada su baja potencia, pero es algo que asumí antes de comprarlo y tampoco me molesta. Viene cubierto con un antiadherente para que no se pegue al calentar. Fácil de limpiar</t>
  </si>
  <si>
    <t>Producto correcto Esta dentro de lo esperado</t>
  </si>
  <si>
    <t>Cómodo Es cómodo y se ajusta perfectamente. Yo tengo una 90B y compré una talla M. Me va justa pero no me oprime y la verdad es que lo prefiero porque supongo que con los lavados y el uso irá perdiendo calidad y se estirará un poco.</t>
  </si>
  <si>
    <t>Pequeña maravilla Le cuesta un poquillo sí mezclas cosas sin líquido (por ejemplo frutas solo), pero x lo demás estupendo. Hago smoothies, gazpacho, sopas, de todo..... Y cabe en cualquier sitio. Lo del vaso es una maravilla, sobre todo par los zumos y smoothies, ya que no hace falta ensuciar nada más. Una idea genial.</t>
  </si>
  <si>
    <t>Comodidad en el guardado de archivos Una forma cómoda de tener tu copia de seguridad de fotos y archivos</t>
  </si>
  <si>
    <t>Cumple las expectativas con creces Cumple las expectativas con creces</t>
  </si>
  <si>
    <t>Comodas Bonitas</t>
  </si>
  <si>
    <t>Lo volvería a comprar. Buena relación calidad-precio. Contenta con la compra. El producto se adapta a la descripción. Buena relación calidad-precio. Grata sorpresa al recibir el pedido varios días antes de lo esperado. Muy recomendable</t>
  </si>
  <si>
    <t>Lo recomiendo Buen acabado, textura agradable. Lo compré para el trabajo porque paso muchas horas con el ordenador y estaba empezando a tener muchos problemas. Al principio me costó un poco adaptarme pero ahora me resulta muy cómodo y me parece que tiene muy buena calidad sobre todo teniendo en cuenta el precio. Lo recomiendo!</t>
  </si>
  <si>
    <t>Crocks buena marca Era para mi muer y le van perfectos. Un descanso para los pies...</t>
  </si>
  <si>
    <t>De lo mejor Buenísima opción para poder ampliar o darle un buen empujón en velocidad y fluidez a tu antiguo o nuevo equipo. Las lecturas me han llegado a 1500 por lo que comparado con un HDD normal que puede llegar a 60-80 MB/s o un SSD por SATA3 que nos llegaría a unos 540 MB/s hacemos que nuestro inicio de windows vaya al os 6-7 segundos de tardanza, por ejemplo. 3 veces más rápido que un SATA y más de 20 veces más rápido que un HDD mecánico. Lo recomiendo</t>
  </si>
  <si>
    <t>Es el mejor hervidor que conozco LO QUE MÁS ME HA GUSTADO: + Muy buena calidad de construcción, bien diseñado en todo (boquilla, filtro, asa y tapa superior - que se apague al sacarlo de la base, protección contra funcionamiento en vacío...) + Calienta realmente agua en un minuto. Las marcas para medir 1-3 tazas son muy prácticas. + Mantiene el agua caliente y es difícil tirarlo de su base.  LO QUE MENOS ME HA GUSTADO: - No echo en falta nada.  Ya reseñé en enero un hervidor de esta misma marca funcionalmente idéntico, el&amp;nbsp;. Entonces como ahora, hierve agua en poco menos de un minuto, está construido íntegramente de metal (no quema al contacto pero tampoco da gusto) y lleva un indicador interior para medir hasta  tres tazas de agua (235 ml por taza). El sistema de funcionamiento me gusta mucho y está muy bien pensado: el hervidor se conecta a una base, donde puede rotar 360º para agarrarlo cómodamente del asa y levantarlo. Sólo funciona la resistencia interior cuando permanece en la base y automáticamente se apaga al retirarlo.  Para los que, como a mí, les da pánico verter cualquier cosa caliente porque siempre se nos derrama líquido (es porque no inclinamos o suficiente el recipiente), la boquilla está diseñada para evitar que se derrame el agua por el cuerpo del hervidor y nos escaldemos. Hay que señalar que hay que acostumbrarse a sujetar la tapa superior al verter el agua y que la boquilla lleva un filtro lavable.  En el manual curiosamente se cita la siguiente indicación "Descalcifique regularmente, (como mínimo mensualmente). Descalcifique el aparato con un descalcificador del fabricante del aparato. Siga las instrucciones que figuran en el envase del descalcificador". Consultada la marca directamente (cuyo soporte web gestiona en España PRESAT, SA de Barcelona) aseguran que no venden ningún descalcificador: "No comercializamos ninguno, los adquirimos en las tiendas de electrodomésticos o ferreterías grandes". Lo comento como curiosidad: yo vivo en una zona con el agua muy dura y hasta ahora no he tenido problemas por la cal en un aparato de funcionamiento tan sencillo.  Por último, mucha gente se pregunta si esto no puede servir para hervir leche. Respuesta corta: ni se te ocurra. Respuesta larga: estos hervidores lo que buscan es hervir agua lo más rápidamente posible y si hierves leche lo que lograrás es que se quede pegada al interior del aparato e incluso se queme en contacto con la superficie interna, provocando además de un intenso mal olor que te pases un rato bien entretenido rascando leche quemada. Si necesitas un calentador de leche, te recomiendo&amp;nbsp;&lt;a data-hook="product-link-linked" class="a-link-normal" href="/este-clásico/dp/B00NW2R5B0/ref=cm_cr_getr_d_rvw_txt?ie=UTF8"&gt;este clásico&lt;/a&gt;. En esta capacidad de 1,7 litros el hervidor está muy bien para varias personas, si sólo lo van a usar 1-2 personas, mejor un&amp;nbsp;&lt;a data-hook="product-link-linked" class="a-link-normal" href="/modelo-de-1-litro-como-este/dp/B00M7Z40AM/ref=cm_cr_getr_d_rvw_txt?ie=UTF8"&gt;modelo de 1 litro como este&lt;/a&gt;.  Como hervidor yo no echo de menos nada. Mantiene el agua caliente y si te haces infusiones a menudo (si tomas yerba mate ni te cuento) viene muy bien poder disponer de agua hirviendo en un minuto y luego disponer de ella en un recipiente muy conveniente. Todos los hervidores de esta marca parecen funcionar igual, variando en precio según características estéticas. Este es de lo menos extravagantes y tiene un precio acorde con una primera marca y los 3 años de garantía (uno extra si te registras en la web). Vamos, que te lo recomiendo sobre cualquier otro modelo de los que conozco.</t>
  </si>
  <si>
    <t>Lo que esperaba Ya conocia otras etiquetas de Apli y estas no me han defraudado. Buena impresión en ellas y de buena adherencia. Sin duda repetire. Buen embalaje y me llegaron en 2 dias</t>
  </si>
  <si>
    <t>Relación calidad/precio perfecto Me ha convencido todo. Un diez</t>
  </si>
  <si>
    <t>Precioso El anillo es precioso y ajustable para todas las medidas llego con los diamantes en blanco pero igual muy bonito</t>
  </si>
  <si>
    <t>Muy bien. Hace tiempo me compré un hervidor de marca súper bonito y a los pocos meses estaba lleno de cal y lo tiré! Sin embargo, con este me va genial, aún no tiene cal y es muy económico. Cumple su función a la perfección.</t>
  </si>
  <si>
    <t>Y ya van dos comprados!! Perfecto para.su uso</t>
  </si>
  <si>
    <t>Muy recomendable Diseño elegante y a la vez practico. Tengo una 110D y muestra una sujección perfecta para ejercicios tales como Spinning, Zumba y Running. Tallaje correcto y adecuada. Totalmente recomendable.</t>
  </si>
  <si>
    <t>Que no tienes que pedir media, pues los adaptas, a tu dedo. Genial 😉👍 Hola encantada, ya os mandó foto, no se ponen feos, eso, sí me los quitó para fregar,y por el precio, que puedo pedir más. Un saludo 😉</t>
  </si>
  <si>
    <t>Muy bonitas y de calidad Bota preciosa y muy cómoda. Siempre quise tenerlas pero su elevado precio las hacía inalcanzables. Gracias a Amazon y sus increíbles ofertas pude comprarlas a mitad de precio</t>
  </si>
  <si>
    <t>Perfecto En abril compré uno para mi pc de sobremesa. Me ha ido tan bien que me decidí comprar otro en mayo para el portátil. Antes me iban ambos ordenadores super lentos. Ahora estoy feliz. Encienden y se apagan muy rápido. El ruido es mínimo. La instalación ha sido facilísima. Y por ahora todo funciona a la perfección.  Cogí esta marca por recomendación de un amigo que también la usa en su portátil desde hace un año y no le ha dado problemas.  Yo no entiendo de precios por gigas ni nada de eso, sólo sé que lo barato siempre sale caro y que prefiero pagar un poco más por algo que sé que saldrá bueno. A mí el primero me costó 69,99€ y el segundo 67,14€. Me parecen precios muy asequibles para el buen resultado que estoy obteniendo. Y si esto dura, aún con más razón.</t>
  </si>
  <si>
    <t>Encantada Encantada de la calidad y precio, para mi es un buen microfóno para grabar podcast.</t>
  </si>
  <si>
    <t>Falta de ficha técnica y etiquetare en el zapato. Falta la ficha técnica ya que es un EPP  y debido a ello no los puedo usar pues trabajo en una empresa de químicas donde es obligatorio el calzado S3. Tampoco lleva la descripción en el zapato lo cual es obligatorio por CE. No se puede tratar como un equipo de protección personal.</t>
  </si>
  <si>
    <t>Flojitos Hay que echar media botella para enterarte</t>
  </si>
  <si>
    <t>Bonita Es cómoda pero un poco grande.</t>
  </si>
  <si>
    <t>Aceptable No es lo que yo esperaba estaba bien pero no es para tirar cohetes</t>
  </si>
  <si>
    <t>No No es lo que esperaba, es totalmente de plastico, por lo tanto la duracion del producto es potencialmente baja, ya que dice picar hielo pero se rompera a la primera de usarlo, el vaso es demasiado pequeño</t>
  </si>
  <si>
    <t>No valen res No son cómodas  i la solas son molts dolentas,el sistema de lligar els cordons no es  practic.</t>
  </si>
  <si>
    <t>Sencilla pero completa Es lo que andaba buscando. Tamaño ideal, no grande ni pequeña, discreta, sencilla pero útil.</t>
  </si>
  <si>
    <t>Es práctica Es muy chula y moderna</t>
  </si>
  <si>
    <t>Mochila grande Terminé cambiándola ya que esta es demasiado grande (cambiada por https://www.amazon.es/dp/B01MAUTMEU/ sin problemas gracias a Amazon).  Como mochila para una cámara DSLR con un montón de accesorios está genial, pero para una mirrorless queda grande por todos lados, no hay forma de configurar los separadores para que no bailen dentro la cámara y los accesorios.  Los acabados y la sensación general es que se trata de una mochila de calidad, se ve muy resistente y personalmente la encontré muy cómoda en el hombro al probarla. Hay espacio para muchas cosas y se pueden mover prácticamente todos los separadores excepto el que separa el bolsillo superior.  Pero tiene algunos puntos que considero que no están bien resueltos: el enganche lateral de trípode cumple con su propósito pero hace que el conjunto se desequilibre al poner un trípode (supongo que con una cámara muy grande o pesada no se notará tanto). Los separadores permiten muchas combinaciones, pero es complicado ajustar la cámara dentro, personalmente creo que hace falta algún separador adicional.</t>
  </si>
  <si>
    <t>Buena fregona principalmente para parquet. Me la aconsejo el carpintero para limpiar el parquet, ya que se seca muy bien la microfibra en el escorredero, y como aquel que dice no deja agua. La compre porque la pusieron a 26,95€ , la verdad que el mejor precio que habia encontrado hasta la fecha.  No me gusto como llego el pedido. Llego en la caja sin envolver, se veia que era el producto. Llego con golpes en la caja.</t>
  </si>
  <si>
    <t>Perfecto! Perfecto para mejorar el ambiente de tu casa, tienes que comprar aceite con fragancia y con el pequeño deposito de agua da para unas 8h. Se pueden poner varios colores incluso intermitentes. Gran producto</t>
  </si>
  <si>
    <t>Un 10 para skechers Muy contenta. Es como andar sobre una almohada. Y con Amazon llegó muy puntual.</t>
  </si>
  <si>
    <t>Ha sido mi primera SSD, y aún no he visto motivos para cambiarla Pues he pasado varios años trabajando con HDD, pensando que la velocidad de mi pc, era la adecuada. Por capricho del destino, tuve la oportunidad de adquirir nuevos componentes, y opté por comprar los de WD. De la misma forma que el WD Blue me contentó, este me ha maravillado. Es rápido, y aunque no tiene una increíble capacidad, sirve para personas organizadas y que no utilizan programas de gran carga que requieran velocidad.</t>
  </si>
  <si>
    <t>Comodidad Todo 👍</t>
  </si>
  <si>
    <t>4 años y siguen funcionando Como pegas diría que el cable es muy fino y demasiado largo. Al principio son muy cómodos pero al llevar un rato corriendo y empezar a sudar, se vuelven inestables en la oreja, llegando a soltarse alguna vez cuando hace mucho viento. El sonido es muy bueno y los usaría a diario, pero para el deporte no son los mejores que he probado. He cambiado mi reseña y pese a que no son de lo mejor para el ejercicio, llevo 4 años usándolos habitualmente y nunca me dieron in problema de funcionamiento. Están más que rentabilizados, ya que nunca me han durado tanto unos auriculares sin empezar a fallar (ya sea la conexión al auricular o al jack). Como apunte decir que les he colocado desde el primer día un muelle de bolígrafo en la conexión cable-jack, porque he visto un hack de que aumenta la durabilidad de los auriculares en y veo que funciona.</t>
  </si>
  <si>
    <t>Funciona perfectamente Funciona perfectamente</t>
  </si>
  <si>
    <t>Auriculares de calidad a buen precio Buscaba unos auriculares con cable para utilizar mientras estoy sentado con el portátil. No buscaba nada excesivo ya que muchas veces sólo me pongo un auricular para poder escuchar a los compañeros. Me decidí por estos y estoy contento, suenan bien, incluso mejor que los que usaba antes que venían con un móvil Samsung. La parte exterior del conector y los auriculares son metálicos. El cable está forrado en plástico, supongo que es para dar más durabilidad, aunque el tacto se me hace raro. Recomendado.</t>
  </si>
  <si>
    <t>Muy completo De los más completos, gran variedad de funciones. La calidad del sonido es buena alta, viene con dos cable para conectar con el teléfono. Viene con dos fundas protectoras del micrófono para evitar que la saliva provoque daños mayores, todos sabemos que algún perdigón puede escaparse...</t>
  </si>
  <si>
    <t>Muy recomendable Estaba buscando algo barato pero de buena calidad y por ahora ha cumplido mis expectativas. La jarra es de plástico,lo que la hace algo más barata, pero es bastante resistente al calor. He probado a batir cremas de verduras desde la olla y sin problema. En teoría tiene un sistema de refrigeración...pero cuando llevas un minuto o así ya empieza a oler un poco a plástico quemado. De todas formas, para un uso normal, en un minuto ya lo tienes todo listo. Para su precio,tiene bastante potencia, y lo mejor,es que es muy fácil de fregar gracias a que se desenrosca la parte de las cuchillas. Muy recomendable</t>
  </si>
  <si>
    <t>Muy contenta con la compra. Era un regalo para un familiar y está muy contento. Se ajusta perfectamente y tiene muy buen sonido. Viene con una bolsa para protegerlo y se recoge fácilmente.</t>
  </si>
  <si>
    <t>Sonido Buena calidad y comodidad. Muy buen sonido. Aconsejo la compra. Buena relación precio calidad</t>
  </si>
  <si>
    <t>No te pueden robar Lo recomiendo al 100% funciona a la perfeccion</t>
  </si>
  <si>
    <t>Llegó super rápido. Simplemente perfecto.</t>
  </si>
  <si>
    <t>Bateria duradera y sonido muy bueno Se oyen muy bien y se conectan miy rápido, la batería dura muchísimo, yo pillé a mitad de precio cuando estaban a 40€, 100% recomendados</t>
  </si>
  <si>
    <t>La funda sirve como una batería móvil Los auriculares están diseñado para conectar con cualquier dispositivo incluido móviles mediante vía bluetooth, también se puede vincular separada, es decir cada auricular con distintos dispositivos. Se puede realizar las llamadas teléfono sin problema y se escucha claramente al otro lado. Los auriculares encajan muy bien al oídos, no se escapan fácilmente, aún entrenando los ejercicios deportivos. Me encanta es que la funda donde guardan los auriculares se puede usar como una batería móvil para cargar los auriculares. Me gusta mucho esta compra.</t>
  </si>
  <si>
    <t>Desiree Cómodas y  muy resistentes. Pedí un número más por recomendación de algunas usuarias y  me quedan estupendas. Recomiendo al  100%</t>
  </si>
  <si>
    <t>Bastante bueno por el precio y muy agradable estéticamente Confieso que había visto esta marca antes y que a pesar de que este reloj me había llamado la atención por la estética y la gama de colores usada, no me había animado porque es de esas marcas genéricas chinas que aparecen sin ningún respaldo real y con nombres que le suenan interesantes (o que le quieren sonar interesantes) a un público europeo; entonces, supuse que cualquier reloj sería, al fin y al cabo, nada más que una chapucería. Pero no es el caso. Aparentemente este es, más bien, el otro caso: el de empresas chinas queriendo hacer cosas de buena calidad con buena presentación a un precio irrisorio.  Me sorprendió lo que consigues por 20€ con este reloj (más abajo profundizo en ello).  Sin duda alguna este reloj por 20€ avergüenza a otros relojes de la misma o incluso menos calidad que ostentan marcas de 60-90€, tipo Kokomo (ara el que quiera leer una reseña sobre un reloj espantoso, la tiene en mi perfil), o marcas con precios incluso más exorbitantes como lo son los Hugo Boss, Calvin Klein, Tommy Hilgigher, etc., etc., todos relojes que aprovechan de sus marcas, presentan un diseño pasable, te cobran 200-300€ pero que, dentro, tienen exactamente el mismo mecanismo que este reloj de 20€: sin duda un mecanismo Seiko que cuesta entre 2-5€!  No he abierto este reloj como para asegurarlo, pero pondría las manos al fuego de que, como casi todos los relojes de cuarzo baratos, este reloj tiene un mecanismo Seiko. Así como definitivamente sé que los relojes de 200-300€ que menciono arriba tienen el mismo, exacto mecanismo. Como lo oyen, sin exageración alguna. Lo que pagas en términos de relojes de “gama media” es el diseño, nada más; o, mejor dicho, la marca, pues varios de estos tienen diseños bastante genéricos. Si quieres un reloj que verdaderamente te ofrece algo nuevo y te ofrece calidad, mecanismos propietarios, y diseño único y excepcional, pues tienes que ir ya por encima de los 2.000-3.000€, buscarte un Rolex, Hamilton, Patek Philippe, etc. Pero mientras no aspires a algo tan costoso, mejor saber con qué cuentas bajo el caparazón y saber por qué exactamente estás gastando tu dinero y si, entonces, vale la pena.  La descripción corrobora la posibilidad de mi sospecha respecto del movimiento, pues menciona que es un movimiento japonés de cuarzo. Es cierto que los relojes que usan movimientos Seiko suelen decirlo pero también me he topado con relojes de este tipo y de esta gama que no lo mencionan, pues no están dirigidos a un público que sabe o que le interesa esta clase de cosas.  En todo caso, lo que importa decir aquí es que cuando estos ponen en la descripcion “MANTENGA EL TIEMPO PRECISO” no están mintiendo ni exagerando, pues los movimientos de cuarzo son lo más simple y barato que existe, y además lo más funcional y de confianza y, entonces, sí, incluso un reloj de 20€ o más barato puede mantener un tiempo preciso sin problema.  El problema con los relojes baratos es que suelen colocarles las agujas de mala manera y, entonces, sobre todo en el segundero, se nota que no cae la aguja con precisión sobre los segundos. En este caso no he notado nada del género pero, debo mencionar, que al tener el segundero en una cara separada, y siendo esta tan pequeña y sin marcas para todos los segundos, es casi imposible saber bien dónde cae la aguja cuando marca ciertos segundos. Sin embargo, me parece que ha sido bien colocada, o lo suficientemente bien como para que mi mirada crítica no halle nada que reprocharle.  Pues bien, ya no hablando de lo que según mi experiencia podría estar dentro del reloj, obviamente no consigues una marca conocida o reconocida pero consigues un reloj que funciona perfectamente bien, sin reproche alguno, y que tiene un diseño bastante agradable: elegante, simple, minimalista y con una gama de colores poco usual. Las agujas tienen un diseño lindo y el movimiento elegido que tiene el segundero en una cara separada debajo le da un toque de elegancia antigua, tal vez algo de distinción que lo podría separar de relojes con movimientos más “tradicionales” en relojes baratos, es decir, con el segundero en la misma cara que las agujas de hora y minutos.  Los materiales son buenos, aunque solo la correa es de acero inoxidable y la caja es más bien de aleación de zinc. No obstante, encuentro que eso es bastante común con relojes de esta gama. De modo que parece ser bastante robusto y, además, promete cierta resistencia a ser mojado (aunque yo no recomendaría ir a nadar con él, evidentemente).  Hablando de robustez, el cristal se siente de muy buena calidad, de modo que probablemente sea robusto. La descripción dice que es vidrio mineral de alta dureza, de modo que eso también promete buena resistencia a los arañazos. Pero el detalle que más me ha gustado y que no se puede ver en las fotos del producto es que el cristal que tiene es levemente abovedado, cosa que no solo magnifica la cara del reloj, sino que le da ese toque extra que lo separa de los relojes “normales”. La verdad que un cristal abovedado, incluso ligeramente abovedado, como este, puesto en un reloj en el que va bien, hace que se vea considerablemente mejor un reloj que, de otro modo, podría verse bastante “normalito”.  Otro detalle que me ha gustado es que, a pesar de no usar otro color en el cara, han marcado las horas en bajo relieve, cosa que se ve apenas pero que esta ahí disponible para cuando quieras ver la hora y necesites de esas pautas y, además, le da otro toque de distinción. En términos similares, el único detalle que no me ha gustado tanto es la inclusión del 60 en rojo en el segundero. Sin duda es algo muy personal pero me parece que la limpieza y minimalismo de toda la cara se quiebra de manera importante con ese detalle que, sin embargo, no tienen ninguna utilidad, pues no tiene sentido marcar los 60 segundos, mucho menos con los número 6-0, sobre todo en vista de que no has marcado ningún otro número… Si, por otro lado, se hubieran querido hacer los interesantes y hubieran marcado, por ejemplo, el 10 o el 43, es decir, rompiendo las reglas por completo, mejor dicho, asumiendo el hecho de que están marcando eso por absoluto gusto, pues no tiene ningún sentido práctico, y, entonces, estuvieran marcando cualquier cosa, me hubieran venido mejor el hecho de que haya dos números en rojo que resaltan sobre una cara perfectamente negra y que, entonces, llamen la atención. Pero, como digo, es un detalle.  En fin, no sé si el diseño hay que atribuírselo a la marco o si es una copia de otro reloj pero me parece que está muy bien logrado. Y que, copia o no, esta marca lo ha hecho o reproducido con completo éxito, mucho tino y con un acabado que no se puede reprochar por ninguna parte.  Por último, la presentación es mucho mejor que la mayoría de relojes de la gama y el precio que he probado, pues este viene con una adecuada (incluso linda) caja de presentación, bien protegido ahí dentro con espuma, las correas protegidas bajo un plástico e incluso viene con una herramienta de relojero para ajustar la correa a tu gusto y necesidad. Por 20€ me parece que te podría ir bastante peor que eso—yo he recibido relojes que vienen dentro de una simple bolsa de plástico, sin ninguna protección…  Terminaré diciendo que a mí me encantan los relojes automáticos pero lo cierto es que si no inviertes en un buen mecanismo vas a tener un reloj impráctico y que te va a traer dolores de cabeza. Mucho mejor pagar un reloj mucho más barato pero con un mecanismo de cuarzo… no será nada elegante, y tú sabrás que tienes algo barato en la muñeca, pero al menos será fiable y te dará buena hora, y durará un largo tiempo antes de que se acabe la batería y tengas que cambiarla. En términos de relojes, lamentablemente así funciona la cosa. Pues bien, este es el caso de un reloj barato que se ve bien y que tiene un mecanismo de cuarzo dentro, de modo que es fiable. Que te va a dar una hora precisa de aquí hasta que comience a faltarle carga, es probablemente cierto (a menos que el mecanismo te venga fallado).  De modo que si no puedes o no te interesa invertir en un reloj buena y caro, es mejor que inviertas en uno lindo, con buen diseño y que te guste, que sea de cualquier marca desconocida, pero con un movimiento Seiko dentro, y que cueste considerablemente barato. Ya está. Si no eres un amante de los relojes, ese reloj que menciono te tendrá contento y probablemente no te decepcione durante mucho tiempo.  Este es un buen candidato, pues para lo que cuesta ofrece bastante. Y me parece que el diseño es de los mejores que he visto, incluso mejor que el de algunos de esos relojes más caros que menciono arriba, o relojes como el Daniel Wellington que está tan de moda ahora (por llevar las correas NATO) y que a mí me parecen un robo a mano armado, pues sin duda alguna ni el diseño ni los materiales ni mucho menos el movimiento son mejores que lo que viene en este reloj.</t>
  </si>
  <si>
    <t>Buena calidad y precio Genial. Mi nene no quiere otros</t>
  </si>
  <si>
    <t>Está genial Está chulisima, es genial puedes hacer in montón de cosas con ella</t>
  </si>
  <si>
    <t>siiiiiii De calidad el tiempo lo dirá pero no tiene mala pinta relación calidad precio</t>
  </si>
  <si>
    <t>Meh Buena opción para familiarizarse con este tipo de cosas.</t>
  </si>
  <si>
    <t>Tiene para monedas desde 2 € asta 1 centimo Tiene pinta de ser muy duro y resistente pero a venido con una pinta muy mala, esta lleno de grietas y golpes que para lo robusto que es se an tenido que hacer al frabricarlos. Ya veré si lo devuelvo porque me corría prisa tenerlo y ahora me veo en un compromiso. Pero no lo recomiendo.</t>
  </si>
  <si>
    <t>ES UN TIMO Las manecillas se iluminan en la oscuridad por el pijo ¡¡¡¡ Lo compré por esto precisamente. Por lo demás un reloj de los moros y poco más. Dejaré de comprar aquí por un tiempo largo, algo que deberiamos hacer todos y nos evitariamos devoluciones y demás chorradas.</t>
  </si>
  <si>
    <t>Tarja de memòria SD per a mòbil No hi ha molta cosa a comentar, és una tarja de memòria SD per a ampliar l'emmagatzematge del mòbil. El preu era molt bo, i l'enviament per part d'Amazon, com sempre, rapidíssim.</t>
  </si>
  <si>
    <t>Bien Tamaño adecuado</t>
  </si>
  <si>
    <t>New Balance negro-naranja Lo esperado para este tipo de calzado. Por 40€ bien. No pagaría más por unas zapatillas de textil y goma EVA.</t>
  </si>
  <si>
    <t>Imagen no se corresponde con el pedido Pedí los zapatos como siempre los había utilizado con agujeros y me los enviaron lisos y sin agujeros Al final de la jornada laboral me acuerdo de la transpiración se echa de menos</t>
  </si>
  <si>
    <t>Cómodas !! Cómodas y muy bonitas... apenas pesan.</t>
  </si>
  <si>
    <t>Las originales y cómodas Muy bonitas. Son las originales. Muy cómodas.</t>
  </si>
  <si>
    <t>Buena compra Era un regalo para un familiar y acerté .  Cómodas y perfecto de talla .</t>
  </si>
  <si>
    <t>Casio Buen reloj. Buena marca. Ajustable. Sumergible. Ligero. Llevo 2 años con el y no me a dado problemas. Cuando se rompa compraré otro.</t>
  </si>
  <si>
    <t>Calidad Buena calidad , va con pilas.</t>
  </si>
  <si>
    <t>Originales Me hacen juego con unas flores k compre tbm en amazon para hacer un tocado pars una boda</t>
  </si>
  <si>
    <t>Cómodas y muy agradables Estas crocs con borreguito son cómodas y calentitas, muy buena opción para el invierno. Compré una talla más de mi talla habitual y me quedan perfectas, con y sin calcetines.</t>
  </si>
  <si>
    <t>contento con la compra Lo uso casi a diario y va de lujo con los pures de verdura y los batisdos de frutas. Lo deja bastante bien, para el precio que tiene esta fenomenal. Recomiendo la compra de este producto.</t>
  </si>
  <si>
    <t>Graba lo que sea con el movil Genial en mi caso lo uso en android, no va bien pero le encontre el truco. Creo que es por el modelo de Huawei. Pero funciona. Yo con éxito un POCKET OPERATOR y lo grabo con el movil, la calidad es la mejor que pude conseguir incluso con otros equipos. Totalmente recomendado para grabar cualquier dispositivo en el móvil como entrada de línea. Usado splitter para monitoreo claro.</t>
  </si>
  <si>
    <t>Humidificador práctico y elegante Además de ser un difusor de,aromaterapia, queda nuy bonito en la estancia. Poder elegir el color tb es un punto a su favor.</t>
  </si>
  <si>
    <t>Fantastico , buenisimo precio y muy util Fantastico i muy buenisima calidad</t>
  </si>
  <si>
    <t>Perfectos!!!! Si queréis combinar lactancia materna con biberones estos son los mejores que hay, no he tenido ningún problema con mi bebe de 1mes se engancha exactamente igual al pecho y al biberón. Los materiales son de buena calidad, los recomiendo 100%</t>
  </si>
  <si>
    <t>Similitud al original Cómodos y muy parecidos a los originales. Segunda vez que los compro</t>
  </si>
  <si>
    <t>Muy bueno va genial Muy bueno va genial</t>
  </si>
  <si>
    <t>Excelente Buen producto, llego antes de tiempo y el troto vendedor excelente, recomendable</t>
  </si>
  <si>
    <t>PENDIENTES CON REFLEJOS PENDIENTES MUY FAVORECEDORES, ORIGINALES. PERO LOS ENGANCHES, ENTRE LAS BARRITAS Y LOS CUBITOS, NO SON HÉRMETICOS, DE TANTO EN TANTO SE SALEN Y TIENES QUE ENGANCHARLOS ; PODRIAN ESTAR SELLADAS LAS UNIONES</t>
  </si>
  <si>
    <t>Va bien Lleva poco tiempo pero de momento genial. 1400mb/sec en puerto PCI de macpro 5,1</t>
  </si>
  <si>
    <t>Perfecto Bonito</t>
  </si>
  <si>
    <t>Se ven resistentes Aunque son un poco diferentes a las originales en diseño y calidad creo que cumplen muy bien su función. Las volveria a comprar, creo que la calidad precio es muy buena.</t>
  </si>
  <si>
    <t>Todo perfecto. Todo perfecto. Vendedor 100% recomendable.</t>
  </si>
  <si>
    <t>Mala sensación de producto Lo he comprado para un regalo y viene en una caja de cartón, da la sensación de imitación.  Espero que funcione bien al menos y no pierda el color con facilidad</t>
  </si>
  <si>
    <t>Bueno si no es uso profesional No está mal para el precio que tiene, pero tal vez vale más la pena gastar  más dinero y comprar algo mejor  Le veo una gran pega al apoyo, se le despegan las gomas y cuesta un poco que quede bien sujeto, es algo frágil pero al final me ha quedado fijo. El  cable no es bueno y, si quieres  mayor calidad, te aconsejo comprar otro. Yo lo compré porque grababa  relatos con el del ordenador y quería mejorar mis grabaciones, pero sinceramente la diferencia que noto es bastante poca. Buen micro para un karaoke o para animar una fiesta, pero si buscas algo más profesional, convendría invertir más dinero.</t>
  </si>
  <si>
    <t>Luis Miguel. Faltaban los tornillos. El soporte de silicona para sujetar la correa no es robusto y se acabará rompiendo. Demasiado cara para lo que es.</t>
  </si>
  <si>
    <t>No son estéreo. A pesar de lo que dice la descripción "estéreo HD" son mono, aunque la fuente sea estereofónica suena exactamente lo mismo por los dos auriculares, si pasas el test del PC lo ves enseguida. No perdáis el tiempo y el dinero comprando estos auriculares, falla en lo más importante.</t>
  </si>
  <si>
    <t>Que no es igual No son los mismo,este son normales,los cogí X los muñecos para mi hijo de 3 años y el tatu, pero nada llegaron 3 en una bolsa y listo..Me gusta comprar lo que se ve q no te engañe.. Xq esto fue cosa de poco y si llega a ser de más.</t>
  </si>
  <si>
    <t>me Encanta Son mas pequeños de lo que parece en la foto ¡ Pero me gustan de todas formas ¡¡¡</t>
  </si>
  <si>
    <t>BUENA COMPRA Todo bien</t>
  </si>
  <si>
    <t>Buena calidad; para uso Técnico. Buena calidad; materiales y diseño moderno, resistente y ligero. Flexible para uso con lapiz, bolígrafo de tinta... No es barato pero es de calidad.</t>
  </si>
  <si>
    <t>Bien Esta bien y buena calidad. Todavia no he lavado la funda.</t>
  </si>
  <si>
    <t>ANILLO CHAPADO QUEDA MUY BONITO PUESTO Y  LAS PIEDRAS ESTAN BIEN MONTADAS AUNQUE PARA MI GUSTO DEBERÍAN TENER MÁS ENGARCES PARA QUE NO SE DESPRENDAN. EL CHAPADO ES PERFECTO. SOLO QUEDA ESPERAR SI SU CALIDAD ES TAMBIÉN BUENA</t>
  </si>
  <si>
    <t>Idoia Perfectas, rápido , talla acertada uso 39/40 cogi el 40 y me estaban bien Muy bien en todos los aspectos</t>
  </si>
  <si>
    <t>Feliz Lo necesitaba para cantar y tocar el Bongo a la vez y me ayudado de manera satisfactoria.</t>
  </si>
  <si>
    <t>Diver mítico Se ajusta a todo lo que cabe esperar de él. Es un reloj soberbio por su precio. Pero si de esperar se trata, hay que ser paciente y observar la variable escala de ofertas de este producto para no pagar por él un molesto sobreprecio.</t>
  </si>
  <si>
    <t>Lo recomiendo Me encantan</t>
  </si>
  <si>
    <t>Me encantan Comodisimas y perfectas .</t>
  </si>
  <si>
    <t>Llego rapido Muy bonitas y cómodas.</t>
  </si>
  <si>
    <t>Grapadora extrafuerte. Un buen utensilio muy practico y facil de usar. Es recommendable leer las instruciones antes de comenzar a usarlo. Lo recomiendo.</t>
  </si>
  <si>
    <t>Una pasada Es precioso, decora la cocina. Mejor q el smeg.Funciona muy bien, calienta rapido . El cable se enrolla dentro de la base y queda encajado. Lo volveria a comprar</t>
  </si>
  <si>
    <t>Pendientes muy chulos Pendientes muy chulos</t>
  </si>
  <si>
    <t>Me encanta Perfecto me encanta funciona a la perfección,me encanta su estilo de los noventa.......lo recomiendo,aparte no pesa nada,viene muy bien embalado.</t>
  </si>
  <si>
    <t>Genial Muy bien.</t>
  </si>
  <si>
    <t>A+seller Mejor calidad de la esperada y muy buen servicio al cliente.</t>
  </si>
  <si>
    <t>Genial Era un regalo para mi peque y nos lo hemos pasado genial se conecta perfectamente y el volumen del altavoz es muy bueno.</t>
  </si>
  <si>
    <t>Pequeño pero potente Enchufado a la television se ve muy bien todos los archivos, pero en el ordenador, tengo Mac, los archivos AVI tengo que convertirlos y es una operación que oupa mucho tiempo . Pero cumple bien por lo que lo quería ver archivos por la TV</t>
  </si>
  <si>
    <t>Me han gustado mucho Son como aparecen en la foto. El tejido es como si fuera licra, y se pegan al cuerpo. Para mí, el único problema, es que quizás he escogido mal la talla, porque cuando me agacho se me bajan, y tengo que estar todo el tiempo tirando de ellos para arriba. Por lo demás, son geniales.</t>
  </si>
  <si>
    <t>Buena calidad y mejor precio Todo lo k se espera de este pantalon de chandal para vestir.comodo bonito y economico.recomendado 100%.llego muuuuxo antes d lo esperado. Y ademas d marca. K mas puedes pedir ???</t>
  </si>
  <si>
    <t>Perfecto Es precioso el diseño y el surtidor es muy potente. Hay muchos aromas y me encanta. He comprado varios para regalar y está todo el mundo encantado. Lo recomiendo. No como humidificador si tienes una enfermedad ya que hay más potentes y mejores, pero sí para humedecer un poco el aire, aromatizar la estancia y ayudar a respirar un poco mejor.</t>
  </si>
  <si>
    <t>Buen masajeador Masajeador de hombros y cervicales de calidad precio razonable.No es como si fuese profesional pero lo puede usar desde casa sin problemas</t>
  </si>
  <si>
    <t>Malo Las personas te escuchan como si estuvieras hablando escondido en el baño tapandote la boca. Lo devolví de inmediato.</t>
  </si>
  <si>
    <t>falla el cierre, por lo demas bien esta bien , pero el cierre no esta muy logrado, se desabrocha con mucha facilidad</t>
  </si>
  <si>
    <t>Opinión para futuros compradores °Positivo:  -Sonido aceptable, se aprecia un poco de ruido, si tuviera que calificarlo sería 8/10. ¿Podría ser mejor? Por supuesto, pero no llega a molestar ese ruido, si has tenido unos buenos auriculares apreciarás ese mínimo ruido, si has tenido unos normalitos estos te asombrarán de su buen sonido.  -No se caen de las orejas. Debido a su forma se adhieren muy bien a la forma de la oreja (por lo menos en mi caso), llegando al punto de que para caminar y mover algo la cabeza (al son de la música, si pones rock no puedo asegurar que no se lleguen a caer). Para correr no sé si aguantarían (tampoco lo he probado).  -Tienen una pinza con la que engancharlos a la ropa para que no se te caigan en caso de soltarlos de la oreja.  -El cable es resistente y viene trenzado.  °Negativo:  -A la hora de enchufarlos al teléfono, si, se enganchan bien, pero en ciertas ocasiones hay que volverlo a colocar pues no se ha conectado bien.  -EL MICRÓFONO. Es muy malo, se escucha mucho ruido y no se puedo apreciar lo que dices, por lo tanto si queréis un buen micrófono, este NO es vuestro auricular.  -EL botón de detener la canción es apenas apreciable, por lo que hasta que te acostumbres igual tardas en conseguir detener la música.  Conclusión:  -¿Te importa el micrófono? Si la respuesta es si, BUSCA otros auriculares, estés NO te servirán  -¿Te importa únicamente el sonido? Aquí depende de la concepción que tenga cada uno, si, hay un mínimo de ruido. No son perfectos, pero el sonido es bastante bueno. De todos los auriculares que he tenido estos ocupan el segundo lugar.</t>
  </si>
  <si>
    <t>Pides flujo medio y te mandan flujo lento Pedí un Pack de 2 biberones de flujo medio y me los mandan de flujo lento, que no me sirven para nada, ahora que hago.... Gastar más dinero en unas Tetinas de flujo medio.... No entiendo porque pasan esas cosas y que solución me puede dar la tienda?</t>
  </si>
  <si>
    <t>No es plata. No es plata.</t>
  </si>
  <si>
    <t>Defectuoso Se rompió a los 3 usos y ya no estoy en periodo de devolución</t>
  </si>
  <si>
    <t>Calidad justa para precio bajo Quedan muy chulas, aunque la calidad es regular. Son cómodas. Para el precio que tienen, no se puede pedir más. Por el tipo de material, se ensucian con facilidad.</t>
  </si>
  <si>
    <t>Clásico renovado muy bonito Mi padre tiene el clásico original plateado de los años ochenta y es prácticamente igual, salvo por el peso: este pesa menos (para bien o para mal). El aspecto es como el de la foto. Nota especial sobre los rombos: sin ser "hologramas" se ven con mayor o menor intensidad según el ángulo. Unisex.</t>
  </si>
  <si>
    <t>Pegamento Buena marca de pegamento dos tamaños distintos uno para estuche y otro para casa.buen precio,quizás algo caro.esta marca pega bien</t>
  </si>
  <si>
    <t>maika Tal cual se ve en la foto color muy bonito y la sujeción muy buena es grueso la talla igual a la que tenga cada una pienso en pedir otro color mas</t>
  </si>
  <si>
    <t>Regalos cumpleaños Perfectos para un detalle</t>
  </si>
  <si>
    <t>Son espléndidas. Son cómodas, bonitas y funcionales, ha sido todo un acierto comprarlas. Si tengo que poner alguna pega es que cuando ando buenas caminatas con ellas me provocan roces en los dedillos meñiques el pie, pero para paseos cortos son cómodas.</t>
  </si>
  <si>
    <t>Muy buena compra. Los calcetines son muy buenos, se acoplan al pie perfectamente y además son super frescos.Los aconsejo. Repetire la compra sin duda.</t>
  </si>
  <si>
    <t>Sensación de calidad El reloj es mucho más bonito en la realidad que en la foto publicada en Amazon. Color azul muy oscuro, con brillantes reflejos cuando se expone a la luz del sol. Buena luminiscencia. El peso hace que sientas que llevas un reloj en la muñeca. Para los que no tenemos la muñeca muy ancha el tamaño es el adecuado. La única pega, por poner alguna, es que los días de la semana vienen en inglés y alemán, pero no tiene mayor importancia.</t>
  </si>
  <si>
    <t>Ningún problema de los que denuncian. Necesitaba renovar algunos biberones de mi niño y me encontré con esta renovación de diseño en los modelos Dr.Browns. Iba a comprar el pack de 4... pero vi los comentarios! ¿Cómo es posible que se salga la leche en un biberón de una marca de reconocido prestigio? De cualquier forma me decidí por comprar solo uno para probar. Bendito Amazon que no pone nunca pegas en las devoluciones.  El resultado es que el biberón es incluso mejor que el modelo anterior en mi experiencia. Ningún tipo de goteo (y he maltratado a fondo el biberón con agua bien agitada), rediseño de la cánula interior. Mejora en la visibilidad de los niveles, que antes eran por relieve y ahora serigrafiados en azul oscuro.  Así que honestamente, o hay una partida que ha salido con defectos de fabricación, o no entiendo las quejas por el nuevo diseño de los biberones. Yo compraré más, sin duda.</t>
  </si>
  <si>
    <t>Un aliado para dias dificiles Masajeador spa para pies muy completo.  Tiene luz infrarroja, temporizador para elegir el tiempo que vamos a estar utilizandolo, burbujas, piedra exfoliante rotatoria,  rodillos de masaje con diferente intensidad y para ponerlo de forma  intermitente, además tiene un regulador de temperatura con el que podemos mantener la temperatura constante o subirla si nos está dando frío, está función está muy bien de cara al invierno.  Además de todo esto tiene un asa de transporte, una salida de agua en la parte más baja del exterior para poder vaciarlo completamente y una gran capacidad, ya que no solo cubre las plantas sino que puede llegar hasta mas arriba de los tobillos.  Estupendo para usarlo en cualquier momento, especialmente cuando ha sido un día duro de trabajo y necesitamos un ratito de relax.</t>
  </si>
  <si>
    <t>Nubes De los zapatos más cómodos que he tenido en mi vida. Siempre he tenido problemas para encontrar zapatos por tener los pies planos, estos zapatos son como andar sobre nubes</t>
  </si>
  <si>
    <t>Ideal para TV El tamaño que tiene hace que sea un poco incómoda de extraer, pero es ideal para dejarla como "disco"  para grabaciones de TV ya que no sobresale nada del mismo y tiene suficiente capacidad para grabar algunas horas. Usada en un pc con un puerto usb 3.0 ofrece aceptables velocidades de lectura y algo lentas de escritura para ser una 3.0.</t>
  </si>
  <si>
    <t>Casio GSHOCK Muy buen artículo</t>
  </si>
  <si>
    <t>Auriculares de alta calidad fantástico regalo de cumpleaños. La calidad de sonido es buenísima te aísla de todo ruido exterior y tiene un sonido fantástico sin cortes. Se adapta al oido perfectamente puedes ejercitarte sin ningún problema. Te traee varias esponjas para elegir la que mejor se adapta al oido. La conectividad es fantástica fácil de emparejar y no tienes que volver hacerlo cuando ya lo hayas emparejado una vez. El control de volumen es muy bueno. El artículo es súper resistente y tiene muy buena calidad es de los mejores articulares que he comprado. Son para regalo de cumpleaños de mi hermana y ella está súper contenta con su regalo.</t>
  </si>
  <si>
    <t>Qué están bien Cómodas</t>
  </si>
  <si>
    <t>De siempre Talla perfecta, se me ajusta sin apretar y cuando la lave me seguirá entrado la de siempre y con ese olor como siempre.</t>
  </si>
  <si>
    <t>Muy recomendables Buena calidad buena presentación del envoltorio y sobre todo muy buen sonido. Desde luego aconsejo su compra por la marca que es súper conocida</t>
  </si>
  <si>
    <t>muy buena compra la niña se lo pasa genial, y los adultos tmb tuvimos la tentacion de probarlo vale la pena diversion asegurada y puedes montar un buen karaoke</t>
  </si>
  <si>
    <t>Encantada Como en la foto. Me ha llegado antes del día que me decían. Muy contenta</t>
  </si>
  <si>
    <t>Buen SSD Un producto perfecto para almacenar datos que no se van a modificar.</t>
  </si>
  <si>
    <t>Buena compra El producto viene presentado en una bonita caja, es de calidad, apenas huele pero ya lo he probado con mi crema y es hidratante sin ser pejoso, me gusta mucho.</t>
  </si>
  <si>
    <t>Buena compra Perfectos aunque deberían traer una tapa para poder llevarlo en el bolso sin que se salga nada, tengo uno de color morado y ese si trae tapa.</t>
  </si>
  <si>
    <t>Bolso bien, no concuerda con el asa Lo que es el bolso bien. Con sus múltiples cremalleras, lona fuerte. Esto bien. Lo que no está bien es que siendo un bolso de hombre el asa sea cortísima. Por arriba de la cintura. Fatal. Si es para hombre y para llevarlo colgado a modo de bandolera, muy mal. Llega por arriba de la cintura. En un hombre de peso normal.</t>
  </si>
  <si>
    <t>Bambas con talon demasiado alto y un poco pequeñas La volaración de 3*, porque son bambas con buena suela y material transpirable y es como la foto. Pero tiene un talón alto y son algo pequeñas por su talla y toca un poco el dedo y cuesta. El talón alto hace que no sean del todo comodas. Estas son las valoraciones de mi mujer. Mi consejo es si el talon no molesta y dudais entre dos tallas coged la más grande.</t>
  </si>
  <si>
    <t>Caras para lo que son Cuesta hasta que se hace a tu pie y al principio son duras.No son de la más comodo que me he puesto</t>
  </si>
  <si>
    <t>Un engaño Te venden que es un producto de piel y en la propia etiqueta ves que es todo plástico y materiales sintéticos. Un engaño</t>
  </si>
  <si>
    <t>Desencantada Muy caro para lo pequeño que es me esperaba otra cosa</t>
  </si>
  <si>
    <t>Muy bien Este libro se lo regalé al hijo de mi novio y por ahora está contento con la lectura. Si se lo termina le compramos el siguiente.</t>
  </si>
  <si>
    <t>El color no coincide con la fotografía Bonito son!! y muy pequeños. Para una niña de 8 años geniales para una mujer, un poquito pequeños. El color no es ese azul intenso es más bien clarito tirando a gris. Aun así, son bonitos. Un poquito decepcionada.</t>
  </si>
  <si>
    <t>Que es muy llevable Solo le encuentro un pequeño defecto, el cosido de las cremalleras no es muy recto y se podría haber mejorado su longitud</t>
  </si>
  <si>
    <t>Frutos rojos bien El olor es super intenso a frutos rojos. Lo compre porque oli una marca de ropa la usaba y me gustaba cuando el aceite es para usar en un difusor es algo distinto pero aun asi me gusta.</t>
  </si>
  <si>
    <t>Rápido y bonito Venía de un hervidor de agua con sistema de termoresistencia en el propio depósito frente a este que lo que calienta es el fondo del hervidor. Este es muchísimo más rápido. Muy buen estilo y dimensiones. Por destacar algo a mejorar, el interruptor no sé la vida que tendrá o si va a causar problemas porque se le ve algo endeble. Por lo demás, buen producto a un buen precio. Esperemos que dure.</t>
  </si>
  <si>
    <t>Adhiere genial Genial, se adhieren muy bien aunque son pequeños, y llevan gran cantidad. Son de color blanco y son ideales para manualidades, yo lo utilizo para actividades en el aula de infantil. Se pega muy bien a superficies de plástico porque llevan todos su propio adhesivo</t>
  </si>
  <si>
    <t>Pantalón Mut bien</t>
  </si>
  <si>
    <t>Como anillo al dedo Las zapatillas son justamente lo que se ofrece y el tallaje es perfecto. Son muy cómodas y quedan muy bonitas puestas.</t>
  </si>
  <si>
    <t>Perfecto Calentitas y comodas</t>
  </si>
  <si>
    <t>Es muy Bonita Esta muy bien hecha tiene buena calidad,y se ve muy bien en la muñeca, la uso todo el día sin quitarla y no parece estropearse.</t>
  </si>
  <si>
    <t>La capacidad de memoria... Y en general todo.. Esta todo perfecto gracias...</t>
  </si>
  <si>
    <t>Muy bueno La relación calidad precio es muy buena, 134 euros es un precio muy ajustado para un reloj de estas características. El dorado es precioso y se ve de calidad, el verde de la esfera y los detalles están muy logrados. Sin duda una muy buena compra, Amazon muy bien, tardó 24 horas en entregármelo en un envío normal. El peso se nota y el tamaño también, pero sólo es una pega para quien no le guste este tipo de relojes. Si esperas un reloj grande, llamativo y con unos acabados de primera marca te gustará.</t>
  </si>
  <si>
    <t>Buen sonido Buena calidad de sonido. No es el cable solo si no reforzado como con una especie de material de cuerda. Gran calidad</t>
  </si>
  <si>
    <t>estupendas y baratas la verdad es que no conocía esta marca y está muy bien por su precio y calidad, totalmente recomendables, las cogí con la grapadora , volveré a comprarlas</t>
  </si>
  <si>
    <t>perfecto. Perfecto.</t>
  </si>
  <si>
    <t>david Va muy bien aunque lo m3jor es no utilizar las ruedas por que da muchos saltos y a mi se me esteopeo por eso pero me han dado otro nuevo</t>
  </si>
  <si>
    <t>GENIAAAL Fue un Regalo de aniversario para mi esposo que es bajista y está encantado, es muy util, vale la pena</t>
  </si>
  <si>
    <t>Muy divertido! Fue una compra compulsiva, todo hay que decirlo, pero ha resultado ser muy divertido. Siempre hay algún pequeño que le gusta y así se mantienen entretenidos :)</t>
  </si>
  <si>
    <t>Muy comodos Desde que descubri esta marca, practicamente no he utilizado otro tipo de calzado. Muy recomendable por su comodidad, perfectos para caminar y vida diaria</t>
  </si>
  <si>
    <t>. Lo esperabamos mas pequeñas pero nos entra perfectamente el sello a estampar. Son como en la foto y vienen intactas con la cuerda incluida.</t>
  </si>
  <si>
    <t>Contenta con la compra. Muy lindos y de tamaño aceptables, colores bonitos y bien impresos, contenta con la compra y el producto calidad- precio excelente.</t>
  </si>
  <si>
    <t>Muy buena Lo vi por internet, me pareció curioso y decidi comprarlo. La verdad que muy contento con el producto, se puede pegar en prácticamente cualquier sitio aunque conviene fijarla para que aguante indefinidamente y no halla que preocuparse. Muy útil para estudiar, sobre todo en grupo (yo la uso en un piso de estudiantes y uno de mis compañeros ha pedido otra). Los materiales buenos y buen detalle el de incluir 3 bolígrafos en el interior del rollo. En general estoy muy satisfecho con la compra y lo recomiendo sobre todo para el estudio y hacer tareas.</t>
  </si>
  <si>
    <t>Buenos vascos recomendables Muy recomendables y muy buen precio, alta calidad de sonido, sobre todo activando la reducción de sonido exterior, es sorprendente!!. Muy buena compra para regalo.</t>
  </si>
  <si>
    <t>Se estiran a la primera. Son para dormir, porque para hacer deporte no valen, No contienen nada y se estiran de solo verlos, los devolví.</t>
  </si>
  <si>
    <t>Bluetooth y software Tras varios contactos con sony, voy a devolver estos "earbuds". Primero porque el software "sony conect" a mi personalmente se desconecta tras 5 a 10 minutos, por lo cual pierde casi todo su gracia, siguen sonando pero sin sony conect. Las luces azules de bluetooth siguen funcionando (flashes cada 2 segundos), aun tras conectar, lo cual resulta muy molesto por la noche o en un vuelo nocturno, mis orejas parecen un árbol de Navidad y no hay forma de apagarlo (confirmado por Sony). Seguiré con mis bose.</t>
  </si>
  <si>
    <t>Bambitas de lona Están bastante bien, aunque no son de gran calidad y se les ve la pega :( Me han apurado pero no sé cuánto durarán, eso sí!</t>
  </si>
  <si>
    <t>Skechars Lo recibí y lo devolví suelo utilizar esta marca desde hace muchos años y cuando me lo probé me resultó incómodo y la caja venía en muy mal estado ,he tenido muy mala experiencia me ha quedado la duda de si eran originales,no me gustó nada .</t>
  </si>
  <si>
    <t>LOS DIGITOS CAMBIARLOS LA MIER  MAS GRANDE QUE PUDE COMPRAR  DIOS  NO SE VEN LOS NUMEROS  PARA CAMBIAR  MEJOR LLAMAR  A UN TECNICO  FATALLLLLLLL</t>
  </si>
  <si>
    <t>SE PASÓ LA PIEZA DE PLÁSTICO DE UNIÓN DEL MOTOR CON EL PIÉ La batidora es estupenda: Potente Robusta; No entiendo como algunos usuarios se quejan de este punto. Eso es que es robusta y con buen motor. De cierta calidad salvo la pieza de plástico interior  donde conectan ambas partes, se pasó y ya no se puede batir. La tengo inutilizada. Cómo reclamo esa pieza y a dónde? es una piecita de nada.</t>
  </si>
  <si>
    <t>Pendientes TOUS bonitos Bonitos, pequeños y comodos. Relación calidad-precio mas que correcta.</t>
  </si>
  <si>
    <t>Pendientes Me hubiese gustado que fuesen un poco más grandes</t>
  </si>
  <si>
    <t>Barata y cómoda. Pero el motor se calienta mucho Es muy potente, pero el motor se calienta en seguida. Para uso no muy exigente</t>
  </si>
  <si>
    <t>Excelentes cascos a excelente precio Muy buenos cascos, son comodos, entran en mi cabeza(que no es pequeña) muy bien, el precio inmejorable, el servicio de garantía muy bueno, tuve un pequeño problema con los primeros y me enviaron otro, la calidad de sonido muy buena para el precio de los cascos y la comodidad como ninguno que haya probado antes.</t>
  </si>
  <si>
    <t>fantastico que decir que no se haya dicho ya , fenomenal ,fantastico y es lo que buscaba</t>
  </si>
  <si>
    <t>Brutal Es increíble cómo te puedes divertir tanto con un trasto tan pequeño... Ya no me hace falta ir a ningún karaoke, podemos montar la fiesta en casa con los amigos. Nosotros lo conectamos por Bluetooth con los videos karaoke de YouTube y a cantar... Y la verdad es que suena bastante bien, nos lo pasamos genial!</t>
  </si>
  <si>
    <t>Calcetines de Yoga Para hacer yoga o pilates estupendas</t>
  </si>
  <si>
    <t>grapas duras tenia unas grapas mas pequeñas que se doblaban cuando intentaba grapar muchas cosas. COn estas grapas no tengo ese problema, puedo grapar muchos folios a la vez y con la cantidad que vienen tengo para mucho tiempo</t>
  </si>
  <si>
    <t>Delicado Lindo collar muy delicado regalo perfecto</t>
  </si>
  <si>
    <t>Encantado Encantado</t>
  </si>
  <si>
    <t>Muy bueno Te haces unos zumos magníficos. Le hechas fruta hielo y lo pica que da gusto. Tienes recetas en internet para hacer mucha variedad de zumos. Viene con dos tubos para llenarlos de agua y meterlos al congelador por si te haces un zumo y te lo quieres llevar en verano y tenerlo fresquero. También viene con dos botellas.</t>
  </si>
  <si>
    <t>Muy cómodas Es la segunda vez que compro estas zapatillas, aunque éste en el fondo es otro modelo (el primero tenía tela de rejilla que se estropeó al año, aproximadamente. Las uso muchísimo para andar (más de una hora diaria). Son cómodas, protegen pies y rodillas. Son ligeras y elegantes. Yo las uso con ropa de trabajo para cambiarme al llegar y al ser totalmente negras son muy discretas. Calidad-precio excelente. Muy recomedables.</t>
  </si>
  <si>
    <t>Buena compra No pesan nada y son muy cómodas. He pedido mi número y me quedan perfectas.  Y tienen un buen precio</t>
  </si>
  <si>
    <t>Fácil de lavar, silencioso y ergonómico Tal como publican muchas personas, es muy silencioso, muy cómodo y muy fácil y rápido de quitar y de lavar gracias a su diseño ergonómico y su rejilla de metal. Altamente recomendado. Gracias a las valoraciones encontré este producto.</t>
  </si>
  <si>
    <t>Buen hdd Hdd de 2 y medio silencioso y muy rapido fiable. Buena elección.</t>
  </si>
  <si>
    <t>Perfecto por ahora. No es falsa. Pues por lo que he leído en los comentarios he tenido suerte. Me ha llegado una original,no una falsa. Me vino en su cajita de cartón bien impresa con su número de serie y su made un China. He hecho el test de velocidad y me ha dado 84mg/s de escritura y 96 de lectura. Muy contento con la compra. A ver qué tal la durabilidad.</t>
  </si>
  <si>
    <t>Calidad y precio . Son muy comodos calentitos  y bonitos , soy talla M y me pedi la S . y perfecta ... Esta marca suele ser mas grande . me lo volvere a pedir en todos los colores disponibles.</t>
  </si>
  <si>
    <t>Me quedan Genial! Las recomiendo ! Justo la talla q yo uso la M .... Se ajustan bien al.cuerpo se hace bien deporte con ellas...</t>
  </si>
  <si>
    <t>Los zapatos más cómodos que he tenido nunca Esta marca calza grande. Pide un número menos del que habitualmente compras para otros zapatos, yo he tenido que cambiarlos. Aparte de esto: yo ya no puedo vivir sin ellos. Son comodísimos, ha dejado de dolerme el espolón del talón. Y camino con la sensación de ir flotando, porque no pesan nada. Te los recomiendo muchísimo.</t>
  </si>
  <si>
    <t>Muy bonitos La calidad esta bien, y la talla es segun la tabla  de medidas. Están  muy bonitos.</t>
  </si>
  <si>
    <t>Buen invento Buen invento para meterse fruta en vaso individual. Buenos zumos y todo muy manejable y cómodo</t>
  </si>
  <si>
    <t>Buen sonido pero muy incomodos La calidad de sonido no está mal pero son muy incómodos. Las orejeras son pequeñas y duras y aplastan las orejas, mientras que la diadema es dura y se clava. No los esperaba tan incómodos. Son baratos, pero en este rango de precios mejor unos in-ear decentes que al menos no duele llevarlos puestos.</t>
  </si>
  <si>
    <t>Unas zapatillas sencillas Unas zapatillas sencillas, son de buena calidad pero nada del otro mundo, no son todo lo cómodas que se esperan por ser de la marca que és, pero tampoco son incómodas. Las definiría como unas zapatillas normales.</t>
  </si>
  <si>
    <t>Un desastre Solo giran las cuchillas cuando no les pones nada para triturar. Además la cuchilla que está doblada raya el plástico del recipiente. Asi que un desastre. Llame a amazon para quejarme y me dijeron de escribirle a cecotec. Llevo un mes y todavía no me han contestado. Asi que un verdadero desastre!</t>
  </si>
  <si>
    <t>2 Pendrives no funcionan Pedí un pack de 5 pendrives y 2 de ellos no funcionan. El resto de ellos muchas veces fallan.</t>
  </si>
  <si>
    <t>Para el precio muy buena calidad Pero tendré que esperar unos meses para ver que tal con los lavado. Ahora que quedar no quedan como una buena marca que se ocupa del diseño, pero son más que aceptables por precio. En tienda valen el doble.</t>
  </si>
  <si>
    <t>Fácil manejabilidad y gran potencia Ha cumplido mis expectativas. Aspirador robusto con sensación de producto de calidad. Muy buena potencia de succión, muy manejable y fácil de montar y desmontar.</t>
  </si>
  <si>
    <t>Buena relación calidad precio Muy buena relación calidad precio. Las manillas se ven correctamente de noche. La pulsera de acero es muy correcta, aunque viene muy larga y hay que ir a una relojeria que la corten a medida.</t>
  </si>
  <si>
    <t>buena sudadera relación calidad precio Me ha gustado el material y el estampado no es tan endeble como otras sudaderas de bts. Es bastante amplia. Tiene pinta que va a ser duradera.</t>
  </si>
  <si>
    <t>Pequeño y funcional Ya no tendré que ir recortando Velcro para hacer las manualidades en el colegio. El tamaño es pequeño pero ideal para el colegio, en torno a 10 mm de diámetro (en la foto he colocado una moneda de euro para que veáis dimensiones). Se adhieren con facilidad (tal y como se ve en la fotografía). Solamente hay que seleccionarlos adecuadamente y no se despegan al fijarlos a las superficies que queramos unir. Considerando el tamaño, en mi opinión es un excelente producto para manualidades.</t>
  </si>
  <si>
    <t>Muy buen precio en relación con tienda El pendrive está muy bien, y a un precio muy bueno. Se puede llevar con las llaves de casa sin problema, ocupa muy poco y es de buen naterial. El envío tardó en llegar bastante, pero bueno, como no me urgía.</t>
  </si>
  <si>
    <t>ligerapara maleta de mano,  buena capacidad ypotencia . Recomiendo la compra Me ha encantado esta pequeña detalle del tamaño de un palmo, era muy escéptica cuando la compré, pero merece la pena muchísimo, en la maleta pequeña no abulta nada, no pesa, funciona rápido y bien, el cable es normal de largo para enchufarla, yo la he llevado para una estancia de 15 días en un hotel y poderme tomar las infusiones que me apetezca cuando me apetezca, la pienso llevar a todos mis viajes y utilizar en la oficina del trabajo. Los vasos son útiles para viajar, vienen dentro de la kettle</t>
  </si>
  <si>
    <t>Buen envío. Este gran producto funciona muy bien.</t>
  </si>
  <si>
    <t>Efe felix Bien</t>
  </si>
  <si>
    <t>Me encantan! No es el primer pack que tengo de LAGUNAMOON, y sin duda compraría muchas mas veces sus aceites, tienen una variedad increible, y salvando algunos olores que no me agradan personalmente creo que están bastante bien conseguidos, así que recomiendo la marca, van de lujo!</t>
  </si>
  <si>
    <t>Muy rápido y perfectas Un clásico</t>
  </si>
  <si>
    <t>sudadera Adidas Bonita de buena calidad y buen precio</t>
  </si>
  <si>
    <t>Muy Recomendables He usado este producto para escuchar música mientras me ejercito en una bicicleta de ejercicios y un entrenador elíptico y ha sido completamente satisfactorio. La calidad de audio, que es excelente. Muy buen bluetooth, cómodo y claro. Si quieres un juego de auriculares decente, obtén este ahora. Vale la pena.</t>
  </si>
  <si>
    <t>Buenas relacion calidad - precio Perfectos. Calidad perfecta de esta marca. Muy aconsejables para alternar con la lactancia materna ya que se asemejan mucho al pecho. Mi niña no ha querido otros y estos los coge sin problemas</t>
  </si>
  <si>
    <t>Contento Muy buen disco, rápido y con diseño moderno. Por relación calidad precio es lo más equilibrado que pude encontrar. La marca Seagate es de confianza.</t>
  </si>
  <si>
    <t>Llegada rápida Muy buen articulo para marcar, lo recomiendo</t>
  </si>
  <si>
    <t>Encantada Producto perfecto</t>
  </si>
  <si>
    <t>Buen producto Buen producto, perfecto para masajes.</t>
  </si>
  <si>
    <t>éxito fue un regalo y ha sido todo un éxito. Al parecer, la calidad, el diseño...y que están de moda, hace que sea un acierto.</t>
  </si>
  <si>
    <t>Fran Lo compraré de nuevo pero en una talla menor, el pantalón y tejido está muy bien las tallas no coinciden hay que comprar la inferior.</t>
  </si>
  <si>
    <t>BUENA RELACCIÓN CALIDAD PRECIO Lo compré un tanto escéptico debido a su precio, la verdad, pero lo cierto es que me ha sorprendido gratamente. Fue muy fácil vincularlo a mi portátil. Viene con pilas incluidas para el puntero láser. Además es un poco más corto (y por tanto mucho más cómodo y discreto) de lo que aparenta en las fotos. Todavía no lo he usado para una presentación pero tiene toda la pinta de que no va a decepcionarme. Compra recomendada.</t>
  </si>
  <si>
    <t>Comodisimas Comodisimas !!! Estaba dudoso al comprar calzado por internet,me he sorprendido de lo cómodas que son, repetiré en un futuro</t>
  </si>
  <si>
    <t>Ligera y estética Es muy ligera, cómoda, y bastante bonita (para los "mamotretos" que ahora se venden).</t>
  </si>
  <si>
    <t>No se me oye! Bueno, estoy un poco desilusionado y me voy a explicar, hoy me llegaron los auriculares y estuve escuchando música, buen volumen, sonido bueno, lo mejor sin duda la conexión, fue muy fácil, hasta aquí todo perfecto, mi problema fue cuando quice llamar a mi mujer, no me escuchaba bien me preguntaba todo 2 veces, me decía que es como si estuviese muy lejos, colgué y llamé a mi hermana a ver si el problema lo tenía mi mujer y para mi mala suerte, esta tampoco me oía, con mucho pesar creo que los voy a devolver, el hablar por los auriculares es esencial para mi y no si este equipo en particular está dañado, pero a mi no me vale.</t>
  </si>
  <si>
    <t>Pueden mejorar Son cómodas, bonitas y aguantan los golpes, la única pega que le pondría es que la suela es poco resistente y se acaba desgastando al poco tiempo, me han durado menos de un año.</t>
  </si>
  <si>
    <t>Cómodas pero han durado poco A mis pies les han encantado. Son muy cómodas. pero a mi bolsillo no tanto porque tienen menos de 2 meses de uso y ya están rotas. El diseño es muy bueno pero el material muy regular</t>
  </si>
  <si>
    <t>SON DE PAPEL MALISIMOS NO LOS COMPRÉIS, SON DE PAPEL, DE COLORES SI, PERO DE PAPEL, NO DURAN 2 DÍAS. Hice un pedido de unas agendas escolares y mis hijas de paso me pidieron que cogiera los separadores. Pensé son caros, 3,50€ pero digo vienen 10 y la mitad para cada una. Por ese precio compro 2 juegos en el chino de plástico. No lo devuelvo porque ya los usaron (se deshacen y al pasar las hojas te quedas con ellos en la mano rajándose los agujeros). UN TIMO EN TODA REGLA QUE AMAZON DEBERÍA VIGILAR. SE TE QUEDA CARA DE TONTO.</t>
  </si>
  <si>
    <t>No me han durado sanos Ni un mes me han durado sanos. Se ha averiado una salida y ahora tengo que escuchar solo por un oído. No es la primera vez que me pasa con este tipo de auriculares. Les diría que me lo reintegren, pero van a decir que me los quede.</t>
  </si>
  <si>
    <t>Casi perfecto Buen producto,los usb no cargan los mandos de la ps4,es el unico pero</t>
  </si>
  <si>
    <t>Bonita, ligera Es bonita pero la cadena es mucho más delgada de lo que pensaba</t>
  </si>
  <si>
    <t>Buena compra El producto es tal y como aparece en el anuncio, la talla es la adecuada, son muy cómodas y de buena calidad, no pesan nada.</t>
  </si>
  <si>
    <t>Bien como escoba barredora, ligera y pequeña Me gusta mucho que la escoba se doble, no pesa nada y ocupa muy poco. Tiene bastante autonomía. La única pega que de momento la encuentro es que no se tumba del todo, por lo que no se puede pasar bien debajo de los muebles. Y tampoco tiene la potencia de un aspirador. Para el uso que Le doy que es como escoba barredora para recoger migas y cosas así después de comer, me va bien. Pero si buscas más la función aspirador, no la recomiendo.</t>
  </si>
  <si>
    <t>buen producto excelente igual que en la foto de venta ,,me encanta solonque al principio tuve que quitar las plantillas hasta que cedieron un poco más..</t>
  </si>
  <si>
    <t>Muy buena compra Su construcción parece sólida. A su vez, la flexibilidad de los materiales permite que se puedan usar varios pedales en la pedalboard sin miedo a que se deterioren. Me gusta bastante el diseño de 90 grados del JACK, aparte, no produce ruidos ajenos a la conexión. Sin duda compraré más como estos cables. Lo he usado una media de 2-3 horas al día durante dos semanas, ininterrumpidamente, y no registro problema alguno. Recomiendo esta compra.</t>
  </si>
  <si>
    <t>Muy bien Me compré para usar durante el tiempo del entrenamiento de fitness, tampoco quería los auriculares de dos unidades. La conexión de vía bluetooth es fácil y estable, no se pierde la cobertura en distancia como 10 pasos aproximadamente. Se puede escuchar las canciones emocionado y realizar las llamada teléfono móvil. Está bien para mis necesidades.</t>
  </si>
  <si>
    <t>Zapatillas La talla, no correspondía, con el pedido tuve que devolverlos</t>
  </si>
  <si>
    <t>Perfecto y fácil Perfecto. Facilísimo limpiar los cristales con este aparato. Vale lo que se paga por el sin duda. Ojalá lo hubiese comprado antes.</t>
  </si>
  <si>
    <t>José Simplemente precioso, buena calidad, tengo unos 45 relojes y este no tiene nada que enviar a la mayoría de ellos.</t>
  </si>
  <si>
    <t>Comodísimo Funciona genial. Yo suelo abrir el grifo con agua caliente para que así tarde menos en calentarla. Tarda en hervirla menos de un minuto y medio, con lo que es muy cómodo para infusiones por ejemplo.</t>
  </si>
  <si>
    <t>Precioso Me ha gustado todo, muy rápidos. Y un collar precioso</t>
  </si>
  <si>
    <t>ME GUSTA ME QUEDA PERFECTA PORQUE YA TENIA UNA Y PEDI UNA IGUAL</t>
  </si>
  <si>
    <t>Estupendo Es uno de los productos que más me ha durado teniendo en cuenta el uso dado. Ha durado más de 3 años usándolo los meses de otoño e invierno casi a diario así que genial la relación uso-durabilidad. El calor que produce es correcto, no es una sauna pero calienta bien. Muy recomendable</t>
  </si>
  <si>
    <t>Buen producto Excelente brazo por ese precio llevo varios meses y sin ninguna pega</t>
  </si>
  <si>
    <t>Muy recomendable. Esta genial, muy buena calidad para el precio que tiene.</t>
  </si>
  <si>
    <t>No calienta mucho mucho.. No calienta mucho mucho..  pero te saca del apuro. Para poner a potencia máxima si que quiere usar.  Relación calidad / precio: ok.</t>
  </si>
  <si>
    <t>Buena compra Estoy encantada con mi compra. Suprr util y super fresco. La enfrega fue perfecta. Unico hace ruido al servir, mas solo al servir</t>
  </si>
  <si>
    <t>Perfectos! Los pantalones quedan fenomenal. A mi hijo le han encantado! Debes coger una talla menos de la habitual para que te queden perfectos.</t>
  </si>
  <si>
    <t>Zapatillas Skercher Excelente producto muy cómodas para caminar con la suela de goma que se agarra muy bien, incluso en zonas húmedas</t>
  </si>
  <si>
    <t>Sujeta bastante Estoy encantada con el, lo pillé a buen precio y además de bonito y de calidad sujeta bastante. Muy buena compra.</t>
  </si>
  <si>
    <t>Muy buena y funcional bonita y abriga un montón Abriga un montón vamos para no pasar frío y sin que pese ni agobie la prenda</t>
  </si>
  <si>
    <t>Muy comodos Me gustan mucho buena calidad</t>
  </si>
  <si>
    <t>Buen sonido, el micrófono funciona bien y cómodos Son unos auriculares muy buenos, la calidad del sonido es buena y con buenos bajos, cuando hablas por teléfono se escucha en estéreo también. Lo que más me preocupaba era el micrófono, que me escucharan bien al hablar por teléfono y han superado mis expectativas. Traen unas gomas para que encajen mejor en las orejas pero la verdad a mi no me parecen muy cómodas, es posible que sean útiles para mejor sujeción al hacer ejercicios, pero no los he utilizado con ellas. Se sincronizan solos al encenderlos y te indican por audio cuál es el derecho e izquierdo.</t>
  </si>
  <si>
    <t>Felisa J. R El colgante hes completamente diferente de como seved .mas pequeño .loqueria para un regalo y me parece muy poca cosa</t>
  </si>
  <si>
    <t>Muy bonito pero calidad regular Este kettle es muy bonito, y queda como elemento de decoración muy bonito. Sorprende lo liviano que es.  Lo malo es que en cuanto tras el primer uso aparecieron en su interior algunas manchas de óxido. Hemos seguido utilizandolo sin darle importancia, pero gustaría que tuviese más resistencia.</t>
  </si>
  <si>
    <t>CALIDAD obvio q por precio no hay q eseprar nada mas pero  sin envolver,  mala presentacion y  muy mala calidad</t>
  </si>
  <si>
    <t>Penoso Velocidad de transferencia penosa, por debajo de los 100MB/s. Probado frente a una memoria SD de 300MB/s menos de la mitad de velocidad (mismo ordenador, mismos ficheros, misma boca USB, Samsung 96MB/s, Lexar 196MB/s). Empieza la transferencia a 200MB/s pero a los pocos segundos baja y se mantiene a 96MB/s, Tipico de Samsung, compensan la baja calidad de sus productos con un marketing bastante agresivo y bueno. Poco recomendable</t>
  </si>
  <si>
    <t>Es un timo Es un timo</t>
  </si>
  <si>
    <t>Buena calidad precio Buen reloj y buen precio</t>
  </si>
  <si>
    <t>Buen producto Todo bien. Contento, por el precio que sale es un buen producto.</t>
  </si>
  <si>
    <t>Aspecto 10 Era el modelo de reloj que llevaba buscando estéticamente y con sus funciones bastante tiempo, acaba de llegarme, y primeras impresiones muy satisfecho. Todavía no he podido hacer gran cosa con el. Aunque tenga muñeca pequeña, queda bastante bien. Viene todo en su caja y en el manual muy bien explicado junto a su garantía. El tiempo de entrega de 10</t>
  </si>
  <si>
    <t>Muy bueno!! Muy elegante, para mi gusto... muy bien.</t>
  </si>
  <si>
    <t>Potente. Fácil de usar y completa. Estoy encantada con la batidora Ultimate de Moulinex. Gracias a su potencia (1000w) me lleva mucho menos tiempo el preparar mis cremas y eso es un lujo porque prácticamente preparo una cada día. Además, hace muy poco ruido. Viene con varios accesorios muy útiles como el vaso y la picadora. Y, aunque no sea muy repostera, también tiene un accesorio para montar nata. Hasta ahora no he probado ninguna tan eficaz :)</t>
  </si>
  <si>
    <t>Realmente cómodas No creía que unas zapatillas de plástico resultaran tan cómodas. Toda la familia las tenemos y las usamos tanto en verano como en invierno.</t>
  </si>
  <si>
    <t>Encaja a la perfección! Compré un micrófono 1byone y encaja de maravilla, estabilidad del micrófono decente. Calidad media.</t>
  </si>
  <si>
    <t>Buen material Perfectas. Buena calidad y quedan increíbles y super cómodas</t>
  </si>
  <si>
    <t>Muy buen disco ssd He estado esperando para hacer esta reseña y después de 430 hrs. sigue funcionando a tope, con una velocidad de lectura muy buena, baja un poco en escritura, pero es normal en casi todos los discos SSD de gama media. En definitiva, buena compra y muy recomendable.</t>
  </si>
  <si>
    <t>Perfectos Perfectos,  hemos probado varias marcas y esta es la única con la que no se atraganta y tose. Es un poco rollo de limpiar pero te acabas acostumbrando.</t>
  </si>
  <si>
    <t>Recuerdos de mi juventud A los 15 años me compre un Casio y ahora a los 65 he vuelto a comprar otro... Parece que Casio no le pasan los años son los mismos en tamaño y forma... Hayyyy aun recuerdo mis 15 años pero yo si que he cambiado</t>
  </si>
  <si>
    <t>Genial, portátil super rápido Ahora mi ordenador portátil funciona a la velocidad de un rayo. Antes tenía un HDD en un Toshiba Satellite P850 y tardaba como 5 o 6 minutos en arrancar y responder a órdenes; ahora tarda 10 segundos o menos. Es increible. Es muy fácil de instalar, solo hay que abrir la carcasa inferior del portátil sacar el viejo e instalar el nuevo. En cuanto al sistema operativo, yo tenía Windows 10, tuve que hacer un USB de recuperación e instalarlo en el nuevo SSD, la clave de activación la guarda la BIOS, así que por eso no os preocupéis.</t>
  </si>
  <si>
    <t>Viene tal cual... excelente Calzado fantástico</t>
  </si>
  <si>
    <t>Grande Buscaba un despertador grande y con buena luz y éste cumple muy bien. El sonido también me gusta.</t>
  </si>
  <si>
    <t>Buenas Muy chulas, hay que modificar en la placa base el dimm para ponerlas a 1600mhz, sino vienen a 1330 de serie.</t>
  </si>
  <si>
    <t>Muy comoda y practica. Perfecta...</t>
  </si>
  <si>
    <t>Calidad Transcend Buena calidad y de momento sin problemad</t>
  </si>
  <si>
    <t>Justo lo que esperaba Buena calidad. Para dos tarjetas perfecto. De tener que llevar una, se caería al no tener presión contra el plástico suficiente</t>
  </si>
  <si>
    <t>Buenos bonitos y baratos Tienen las 3 B,  si buscas unos cascos sencillos, que suenen bien y faciles de usar a buen precio, estos son una muy buena opción.  De momento estos dias solo tengo buenas sensaciones con ellos.  La bateria dura bastante, son faciles de conectar, suenan bastante bien y los materiales dan confianza.  Ademas, biene con una bonita bolsa de viaje y los cables cargador y de audio.</t>
  </si>
  <si>
    <t>Batidora perfecta Es tal y como aparece en la descripción e imágenes. Una batidora y trituradora muy completa y con mucha potencia. Estoy feliz con la compra.</t>
  </si>
  <si>
    <t>Muy satisfecho con el microfono Compre este micrófono para usarlo para chats en juegos tipo Skype, teamspeak etc, y la verdad que va perfecto a las mil maravillas, muy recomendado.</t>
  </si>
  <si>
    <t>Muy ligeros Muy buenos auriculares bluetooth de calidad más que decente, de tamaño muy reducidos, muy ligeros que apenas notarás que los llevas puestos. Fácil de sincronización y con pequeña botonera para subir y bajar volumen y botón de encendido y apagado. Dispone de varios complementos, cable para carga microUsb, así como varios accesorios para escoger cual es el que mejor se ajusta a tus oídos.</t>
  </si>
  <si>
    <t>Excelente El un producto excelente probado , te deja la piel en perfecto estado, suave y súper limpia</t>
  </si>
  <si>
    <t>Me duele el pie La entrega y el producto bien. Ahora bien me las he puesto un día y me han dejado rozaduras y heridas importantes en un dedo. Unas zalatillas como estás de lona no deberían ser suaves con los pies??????</t>
  </si>
  <si>
    <t>En general, bien. Buen reloj, buena relacion calidad precio, como me esperaba, pero solo tiene una pega, y es muy importante para mi: si tienes vello corporal NO lo compres, la pulsera al ser metalica, entre eslabones hay un pequeño espacio y se engancha a los pelos con tal exageracion que no pude soportar los tirones de pelos y no lo puedo llevar. Si no tienes vello, ningun problema</t>
  </si>
  <si>
    <t>Aceptable Aceptable relación calidad precio</t>
  </si>
  <si>
    <t>Calor no suficiente La devolví porque el calor no me parecía el suficiente.  Compre otra por Amazon que si que me funcionó</t>
  </si>
  <si>
    <t>Nos han arruinado las fotos Pésima calidad. Las fundas tienen la marca y unas flechas dibujadas. Según el paquete esos dibujos desaparecen al pasar por la plastificadora, pero no es así. Ahora parece que nuestras fotos tuvieran marca de agua.</t>
  </si>
  <si>
    <t>Rompeado Soy un estudiante extranjero de Alemania.  Compró ese reloja y ese rompear un poco mas de un mes despues. Aunque es barato, no es suficiente.</t>
  </si>
  <si>
    <t>Son originales Realmente se pueden encontrar más baratas, pero este modelo se me hacía imposible. Es el precio justo y el producto original.</t>
  </si>
  <si>
    <t>Velocidad de rendimiento No consigue la máxima velocidad indicada en mi pc solo funciona a 1333 MHz no a 1600</t>
  </si>
  <si>
    <t>Elegante y cómoda La llevo usando como 1 mes y la verdad es que estoy bastante contento con ella. Solo tiene un problema y es que para ajustarla me ha hecho falta un destornillador y un martillo XD, deberían de hacerlo más fácil el ajuste a la muñeca. Por lo demás todo perfecto. Eso si, si tienes la muñeca muy pequeña no te valdrá, yo la tengo pequeña y llega justa.</t>
  </si>
  <si>
    <t>buena compra si los bordes estuvieran rematados le pondria 5*</t>
  </si>
  <si>
    <t>El más bonito del mercado Es el smartwatch con diseño de reloj clásico que más me ha gustado del mercado. Su sistema operativo Tizen 3 va muy fluido. La batería me dura 5 días aunque se de mucha gente que apenas le dura 2 días. Este es el principal problema de este reloj. Misteriosamente hay unidades que salen bien de batería como la mía y otras que aún cambiándole la batería siguen durando muy poco. Otro problema que da es que solo muestra el último mensaje de whassapp y Telegram. Hay que ponerle una app de terceros que resolver este problema. La sincronización fue sencilla y el único problema que me dio fue en el paso de tapar la pantalla con la palma de la mano. Hace falta tener el reloj puesto para que funcione y así finalizar la puesta en marcha inicial. Le vale cualquier correa de 22 mm del mercado. No hace falta que sea de Samsung.</t>
  </si>
  <si>
    <t>Una marca muy buena Buenisima</t>
  </si>
  <si>
    <t>Perfecto La compré para regalo. Está genial, las medidas se ven muy bien, cierra perfectamente, y al calentarlo no quema mucho el vidrio. Lo único es que pesa, pero eso entra dentro de mis expectativas ya que el vidrio es más pesado que el plástico. Mejor para los bebés.</t>
  </si>
  <si>
    <t>Excelente Excelente. No deja tropezones. Antes tenia una de 1300w y 6 cuchillas y dejaba muchos. Supongo era más por tema de disenyo que de potencia, ya quebesta con 800w va mejor. A velocidad 1 o 2 y sin problema. La 3 ni la uso. La jarra encaja fàcil y suave. La palanca selectora de velocidad muy pràctica, mejor que los modelos giratorios. Pica cubitos sin problema. Además és muy bonita.</t>
  </si>
  <si>
    <t>Botas ugg autenticas Las botas son autenticas, calentitas y comodisimas</t>
  </si>
  <si>
    <t>Muy bien Es lo que habia pedido así que bien</t>
  </si>
  <si>
    <t>Memori Kingston Como siempre, esta marca no suele defraudar. No es de los más veloces, pero para el uso que le doy y el precio que tienen, no le pido más.  Recomendado.</t>
  </si>
  <si>
    <t>Compatibilidad 100% Genial. 100% compatible, por ponerle un pero. Se calienta mucho.</t>
  </si>
  <si>
    <t>Para lucir bien Bello y elegante</t>
  </si>
  <si>
    <t>Muy entretenido A la niña me encanta. Lo único que no me gusta es que si se equivoca en una tecla tiene que volver a empezar la canción desde el principio.</t>
  </si>
  <si>
    <t>Calidad - precio Son una preciosidad.</t>
  </si>
  <si>
    <t>Buena calidad, fácil configuración Me han parecido de bastante calidad. La configuración es muy fácil, solo sacarlos de la caja, apretar el botón y listo. Más o menos alcanzan unos 7 metros de autonomía con respecto a la distancia del aparato al que lo conectes, si hay paredes de por medio unos 5 o así. Son muy cómodos y al venir con 3 almohadillas de diferentes tamaños se pueden ajustar a muchos tipos de oreja. El sonido está bastante bien, y para el precio que tienen merecen la pena.</t>
  </si>
  <si>
    <t>Aceites aromaticos Vienen muy bien presentados en una pequeña cajita. Son 6 botecitos con un pequeño difusor que permite controlar la cantidad de gotas que ponemos en el aromatizado. Son aromas muy frescos y naturales (frutas y plantas aromáticas)</t>
  </si>
  <si>
    <t>Encantada Me encanto el color está tal cual la foto,lo único la talla me quedo un poco justa,pedí mi talla la 38,pero por lo demás se ajusta a mi estilo calidad precio..</t>
  </si>
  <si>
    <t>Super util si quieres zumo por las mañanas Se acabo eso de no tomarme un zumo en el desayuno, antes me daba mucha pereza ponerme a exprimir narajas por la mañana (ya que mi exprimidor no era eléctrico y tenía que hacerlo a la fuerza), ahora tardo apenas 3 min en hacer un zumo.</t>
  </si>
  <si>
    <t>Muy bonito Muy bonito. Tal como en la foto. Lo regalé y a la futura mamá le encantó!!!!</t>
  </si>
  <si>
    <t>Muy bien Muy bueno todo perfecto y justo a tiempo</t>
  </si>
  <si>
    <t>Regalo perfecto Justo lo que buscábamos. Rapidez y bien empaquetado. En la muñeca queda perfecto. Quizá la única pega es que la luz que se ve que ilumina la pantalla, no es como la que se muestra en la foto, es una luz normal como la de todos los relojes.</t>
  </si>
  <si>
    <t>Funciona buena Funciona muy bien. Bueno producto por ese precio</t>
  </si>
  <si>
    <t>Mala calidad Al cabo de un par de veces de uso la pulsera ha cogido un color rojizo, sin haber estado en contacto con ningún producto abrasivo</t>
  </si>
  <si>
    <t>Material Supongo que es cartón Craft reciclado aunque tiene un acabado en plastico que evita que se rajen los bordes.</t>
  </si>
  <si>
    <t>No está mal. Y es algo grande No se ajusta como se espera. No está mal, al final lo uso para estar en casa. Pero para lo que cuesta...</t>
  </si>
  <si>
    <t>Vende como nuevo producto como mínimo reacondicionado Como se puede ver en la foto la tapa trasera del reloj está arañada, lo mismo sucede con la pulsera, debían venderlo como producto reacondicionado o de segunda mano, no como nuevo</t>
  </si>
  <si>
    <t>Decepcionado Nada mas recibirlo lo pise en hora y fallolo volvi hacer 3 veces en el primer dia . Es muy bonito pero no funciona menuda decepcion ya que era para un regalo</t>
  </si>
  <si>
    <t>Un poco grande Calidad y aspecto buenos. Las medidas corresponden con lo que pone, pero al ser de tela y muy ancho, si no lo llenas, al llevarlo colgado se aplasta y da sensación de ser mucho mas grande. Si quiere un bolso con mucha capacidad, es perfecto, pero a mi me resulta un poco grande.</t>
  </si>
  <si>
    <t>Práctico, pequeño, cómodo y barato Me compré este hervidor pequeño de agual (0'6 l.) para utilizarlo en mi trabajo ya que soy el único que es aficionado a las infusiones. Es exactamente lo que buscaba ya que calienta el agua de forma rápida y su capacidad es más que suficiente para dos tazas. Reconozco que el que adquirí para mi casa es bastante mejor (y el doble de caro....) pero como digo, me satisface todas mis necesidades a un precio muy asequible</t>
  </si>
  <si>
    <t>Buen producto No la he exprimido mucho todavía porque hace poco que la tengo pero las primeras impresiones son buenas. La uso como disco duro para un mini PC y va bien.</t>
  </si>
  <si>
    <t>ok el reloj está bien. a ver como sale. lo único malo y aunque nadie las lea falta las instruciones, y eso que hasta los relojes de 3€..... vienen.</t>
  </si>
  <si>
    <t>Genial calidad precio Buenos materiales, sorprende incluso la parte metalica que le aporta calidad a los auticulares. Por menos de 10€ tienes unos cascos de 30€ en adelante.</t>
  </si>
  <si>
    <t>Calidad sonido y ajuste Muy buena calidad de sonido con múltiples acaparadores de sujeción para la oreja. No se mueven al hacer deporte y son muy cómodos. Se adapta al diámetro del oído y con las gomas efecto muelle al pabellon auditivo para que no se muevan.</t>
  </si>
  <si>
    <t>Todo!, Estupendo. Nieto encantado!,,</t>
  </si>
  <si>
    <t>Buen pantalón Pantalón de buena calidad. Para 1'75 de estatura y 85 kilos la L es perfecta. Tiene bolsillos y cremalleras en los laterales de abajo. Lo peor el envío, me tenía que llegar el 22 de diciembre y me llegó el 26. Por lo demás todo bien.</t>
  </si>
  <si>
    <t>Sonido perfecto y buena calidad de producto Poco que decir. Sonido buenísimo, mejor con alimentación, y soporte muy cómodo. Quizás echo de menos algún manual, pero es todo sencillo de montar.</t>
  </si>
  <si>
    <t>Salomón speedcross es la mejor zapatilla deportiva que he calzado. Es el segundo par del mismo tipo que compro. No digo más.</t>
  </si>
  <si>
    <t>facil de usar Me ha gustado la sencillez para usarlo.  Lo malo es que las instrucciones no estan en español.</t>
  </si>
  <si>
    <t>Increible velocidad Sin duda la mejoría es apreciable desde el primer momento que enciendes el equipo. Todo se carga mucho más rápido y hace menos ruido al funcionar. Además resulta mucho mas facil de instalar que un disco duro convencional mecánico ya que es mucho más pequeño. También deja más espacio para cables y para que circule el aire y mejore la refrigeracion.</t>
  </si>
  <si>
    <t>Es prime muy bien Muy buena estoy muy contenta con ella.</t>
  </si>
  <si>
    <t>Muy cómodas y funcionales Nunca había comprado la marca NB y lo primero que más me ha llamado la atención es lo cómodas que son.  Las suelas agarran muy bien, estos días de lluvia lo he podido comprobar. El pié queda bien recogido y se ven unas zapatillas relativamente robustas. La goma de la suela le da bastante peso al conjunto. Muy contento con la compra, repetiré marca/modelo pero cambiaré el color.</t>
  </si>
  <si>
    <t>Estefania Casares Totalmente recomendable. No escurre nada, son muy cómodos y los colores exactos a como aparecen en la foto. Repetiré seguro.</t>
  </si>
  <si>
    <t>Muy cómodo Pega muy bien, se despega fácil d la pared y no deja manchas. Amazon, como siempre me lo enviaron rapidisimo</t>
  </si>
  <si>
    <t>Recomendado Muy buen producto recomendado</t>
  </si>
  <si>
    <t>muy buenos recomiendo estos auriculares por su calidad, al precio que tienen suenan muy bien,ademas son los segundos que compro iguales.gracias,un saludo</t>
  </si>
  <si>
    <t>Según lo esperado Perfecta</t>
  </si>
  <si>
    <t>Buen producto Llegaron en su tiempo y la verdad es que ayuda mucho a que los niños adquieran bien la postura del lápiz.</t>
  </si>
  <si>
    <t>Primera impresión muy buena La primera impresiómn ha sido muy buena. La talla viene grande. Normalmente uso un 43-44 dependiendo de modelos y pedí un 43 y me quedaba grande. Lo devolvi y pedí un 42 y perfectas. La gestión de la devolución con Amazón perfecta.</t>
  </si>
  <si>
    <t>Perfecta! Llegó de un día para otro, perfectamente embalado y funciona a la perfección. Lo probamos y funcionaba perfectamente. Hicimos un batido con hielo y frutas y el otro con leche y fruta (muy ricos los dos). El montaje es sencillo, y el manejo muy intuitivo. Si que es cierto que hace bastante ruido, pero eso es algo que no se puede evitar en este tipo de aparatos. Muy comoda de montar y desmontar y fácil para su limpieza. Encantada con la compra!</t>
  </si>
  <si>
    <t>Unas botas perfectas Cumple con las perspectivas. Son unas botas de montaña muy cómodas y duraderas. Tallan bien y son para pie ancho así que quedan planchadas. Las volvería a comprar.</t>
  </si>
  <si>
    <t>Under Armour, increíble tallaje Antes de comprar la camiseta, leí una por una todas las opiniones relativas a la talla, factor primordial a la hora de comprar. Algunas decían: "En caso de duda, compra una talla menos"; otras: "En caso de duda, compra una talla más". Así que ¡duda resuelta! Al final compré mi talla habitual de camisetas, camisas, pantalones..., XL (1,87 m x 82 kg). Cuando me la probé me llevé la sorpresa de una talla totalmente nueva para mí. Ancho de tronco, bien. Ancho de brazo, ideal para Stallone, caben mis dos brazos. Longitud, apenas queda camiseta por debajo del pantalón, ideal para Willow. Así que éste ha sido mi primer y último artículo de Under Armour, al menos hasta que entiendan la anatomía europea. Tengo dos camisetas de compresión de Nike y son perfectas, pueden quedar más o menos ajustadas, eso depende de gustos, pero hay buena correlación entre las distintas dimensiones de la camiseta y no te llevas sorpresas desagradables. En cuanto al tejido, muy bien.</t>
  </si>
  <si>
    <t>Comodos Son muy comodos. La única pega es el micrófono que es demasiado rígido</t>
  </si>
  <si>
    <t>Muy mala calidad Si los uso para hablar, la persona que me llama se escucha a si misma. Los use muy poco debido a esto, y como auriculares solos, se caen, no se ajustan bien (lo hemos probado varios).  no los recomiendo</t>
  </si>
  <si>
    <t>Malo Funcionó 2 veces y se acabó, ya no va</t>
  </si>
  <si>
    <t>Buen producto si eliges talla adecuada La copa esta muy bien. Es muy suave y el rabito en forma de bola es muy suave . En mi caso no me fue bien porque escogí un tamaño pequeño y tenia fugas. Lo que no me gusto fue la manera en que me la enviaron que fue en un sobre cartón y la copa llego aplastada y nunca recupero su forma redonda</t>
  </si>
  <si>
    <t>Todo ok a falta de la funda rigida Ya he utilizado este tipo de tarjeta para mi Canon y estoy muy satisfecho con los resultados. De este pedido solo echaría en falta la "cajita" para preservarla ya que viene sin ella. Por lo demás y a falta de usarla todo bien</t>
  </si>
  <si>
    <t>Diseño sólido en acero que encaja en casi todas las cocinas. Rapidísimo. El diseño en acero inoxidable, casa casi con cualquier cocina de hoy en día, con unas líneas de diseño muy limpias y satisfactorias. Ese el el punto más fuerte estéticamente hablando del producto.  Luego, es un hervidor rápido, mucho, con la característica marca de la casa Russell Hobbs, de llevar un indicador de 1-2-3 tazas (de desayuno), para nunca hervir de más, ni gastar corriente innecesariamente. Esto es de lo más útil del hervidor, ya que permite que sea increíblemente eficiente, ya que sólo gastas la electricidad necesaria para la cantidad seleccionada. Además, es rapidísimo. Una taza en menos de un minuto.  El diseño como digo es bonito, la boca de carga de agua no es muy amplia, esto no me ha gustado mucho, pero la zona de vertido, no deja derramar una gota por la pared del hervidor.  El mango, de toque frío, hace que sea totalmente seguro de usar.  Para ser perfecto, necesitaría tener una regulación para tés específicos que desprenden su aroma y sabor a 80ºC, pero con un poco de práctica, simplemente con el sonido y ver, gracias, de nuevo a su luz led, cuando el agua empieza a burbujear para tener una temperatura similar a esos 80ºC.  Si lo dejamos que hierva hasta que salte solo el interruptor de la base, tendremos el agua a 100ºC, y es efectivo tanto en pequeñas cantidades, como hasta su máxima capacidad que son 1.7 litros, estirando, casi los 2 litros si no necesitas que hierva a los 100º. Tarda, a máxima capacidad, sobre los 4 minutos, por lo que compensa frente a cualquier otro sistema de calentar agua. Recomendable.</t>
  </si>
  <si>
    <t>Hèctor Está bien, pero tiene una función que no funciona, el de la iluminación automàtica. Por todo lo otro es buena la relación calidad precio.</t>
  </si>
  <si>
    <t>Tamaño clasico Las he devuelto no son lo que esperaba.</t>
  </si>
  <si>
    <t>Gran calidad y comodidad Los he comprado para usarlls cuando entreno y la verdad que me han sorprendido gratamente, no sólo la calidad y potencia de sonido si no sobre todo en este caso lo bien que se adaptan al oído y que aún no he tenido sensación de que se me vayan a caer. La batería dura bastante y además el estuche que le sirve para cargarlos es todo un cierto. Muy contento con la compra.</t>
  </si>
  <si>
    <t>Geniales Son perfectas. Muy cómodas</t>
  </si>
  <si>
    <t>Buen robot a precio contenido Después de buscar y buscar opiniones y comparar varios robot me decidí a coger el conga y la verdad el resultado no ha podido ser mejor. Escribo esta opinión tras 2 meses de uso, y en todo este tiempo el funcionamiento del robot ha sido impecable, limpia perfectamente y saca bastante polvo, la verdad que es increíble la cantidad de porquería que recoge el robot cuando aparentemente esta todo limpio. El modo de fregado no está tan logrado, pero cumple perfectamente, mantiene limpia la casa diariamente, te quita de tener que barrer y fregar diariamente, pero no de tener que hacer una limpieza profunda de vez en cuando. Ademas el manejo desde la aplicación es muy cómodo y puedes ponerlo desde el móvil estés donde estés.</t>
  </si>
  <si>
    <t>Mejor de lo que esperaba. Perfecto. Me ha gustado mucho este producto para el uso que le he dado pues es muy versátil y pega bien. Recomiendo</t>
  </si>
  <si>
    <t>Apli 1281 - Etiquetas, 100 hojas Muy adhesivas</t>
  </si>
  <si>
    <t>Excepcional Previamente habia comprado el robot aspirador cecotec y por eso me decidí por la misma marca. Funciona genial, con una rueda para diferentes velocidades. Los accesorios un poco más grandes pero a la que te acostumbras, lo agradeces.</t>
  </si>
  <si>
    <t>Bolso práctico y de buena calidad a un precio genial Impresionante..muy cómodo, pegadito al cuerpo. Muchos bolsillos y todos útiles, un precio genial, muy asequible a todos los bolsillos. Tanto de tela como de cremalleras va estupendo. Muy contento con él, siempre salgo de casa con mis cosas....una de mis mejores compras en Amazon. Totalmente recomendable.</t>
  </si>
  <si>
    <t>Muy buenos cascos La cancelación de ruido activa funciona genial, son cómodos y bonitos, los materiales son de calidad y funciona todo perfecto. Volvería a comprarlos. La única queja (por poner una) que tienes que comprarte un aparato externo que haga minijack a bluetooth si tu ordenador no tiene bluetooth para poder usarlos sin cable, por este precio debería venir algo así. Pero bueno, que los recomiendo.</t>
  </si>
  <si>
    <t>Excelente Es la segunda vez que la compró. Las 2 veces para regalar. Es muy bella y seguro la volveré a comprar y también una para mi</t>
  </si>
  <si>
    <t>Muy buena compra Magnífica batidora. Muy potente, mucho más que otras que había usado, y se nota. Es muy fácil adaptar la potencia que se quiere, y sin embargo hace muy poco ruido. Se nota muy robusta y los materiales son de gran calidad. Viene con varios accesorios (vaso, picadora (¡muy útil!) y varilla, que uso mucho para montar nata y va perfecta), y en todos se nota la calidad de fabricación y materiales. Fácil de limpiar, de diseño bonito, en general un producto sin inconvenientes, magnífico, y una compra totalmente recomendable.</t>
  </si>
  <si>
    <t>Sencillo. Básico pero eficaz Destaco la sencillez de la puesta en marcha, el manejo funcional y el mantenimiento. No tengo con qué comparar, pero me ha parecido un poco ruidoso. Vamos que no es para ver la TV mientras funciona por las proximidades. Pero para mí esto no es problema, pues cuando él trabaje yo no estaré cerca. Es un producto básico por lo que no se le puede exigir lo mismo que a un producto de precio cuatro veces superior. Cumple su misión con eficacia, es exhaustivo y por lo que le he observado en una primera y única sesión de trabajo no ha dejado rincón ni espacio por rastrear y ha vuelto solito a su base de carga cuando ha terminado. Por tanto, de momento contento con él. En casa ya le hemos puesto nombre. Por cierto, es chico.</t>
  </si>
  <si>
    <t>Muy buena compra El bolso es perfecto. Tiene un tamaño ideal. Muchos compartimentos. Gran calidad y a un precio muy competitivo. Desde luego es una buena compra.</t>
  </si>
  <si>
    <t>Bonita zapatilla Todo perfecto.</t>
  </si>
  <si>
    <t>Bonitas y llegaron antes de tiempo  genial Muy comodas</t>
  </si>
  <si>
    <t>Bravat Lo compramos por que ya teniamosun roomba que solo aspira,  lar verdad es que cumple para lo que queríamos, para ponerlo en habitaciones ,cocina ,baño, si lo husastodos los dia te mantiene l limpieza del apartamento, no es para limpiar toda la casa de golpe pero si para  ir por partes.</t>
  </si>
  <si>
    <t>LIGERO, UTIL Y RAPIDO ESTE DISCO PORTABLE, ES DE FÁCIL USO, RÁPIDO EN EL TRASLADO DE ARCHIVOS, LIGERO... LO ÚNICO QUE NO ME GUSTA ES EL CABLE USB QUE INCLUYE LA COMPRA, CON UN ADAPTADOR A SU VEZ PARA USB, EN LUGAR DE UN CABLE DIRECTO SIN SUPLEMENTO ADAPTADO.</t>
  </si>
  <si>
    <t>++ La talla es un pelín de más pero son estupendas</t>
  </si>
  <si>
    <t>Artículo perfecto. Despertar más natural y fácil. Si se pudiera elegir el color de la hora sería perfecto ( en la imagen sale la hora retroiluminada en blanco, en el mío sale naranja). Otra mejora sería poder meter canciones en él.</t>
  </si>
  <si>
    <t>no me gusta Lo compre para una persona con bastante pecho y lo devolvi ya que primero compre su talla y le quedaba muy raro ya que no sujetaba el pecho, pedi otra talla y le quedaba enorme.</t>
  </si>
  <si>
    <t>No demasiado bueno Se nota que no es un forro de primera calidad en el momento del enganche, aceptable, pero te hace perder más tiempo del necesario si eres un poco perfeccionista</t>
  </si>
  <si>
    <t>La tapa de los bibes se vende aparte, Se les ve resistentes, pero los compras como un bibe desde los 0m y en la caja aparece desde 3m, la tapa para agitarlos se vende aparte, cosa que me parece fatal,porque es necesaria para agitar la leche de fórmula.</t>
  </si>
  <si>
    <t>Que la batería se recargue!!! Fantástico aspirador: peso ligero, con variedad de complementos que se adaptan a todas las superfícies ... hasta que después de la primera carga de batería el aspirador se muere. No puedo reclamar al vendedor Hoover porque no me ha llegado, después de cinco días, el mail de valoración del producto. Sólo desde Amazon transmitir mi caso.</t>
  </si>
  <si>
    <t>Rafael Madrid Tarda mucho tiempo en comenzar a calentar. Y no calienta mucho. Lo compré para cuando llegas a casa con los pies fríos y no lo uso nunca porque tarda mucho en calentar.</t>
  </si>
  <si>
    <t>Hosaire en Joyería Pulsera de Plata de Flor de... Hosaire en Joyería Pulsera de Plata de Flor de...Es muy bonita, aunque no sea de muy buena calidad. Me la he puesto en dos ocasiones.</t>
  </si>
  <si>
    <t>Clasicas Havainas Bien, todo correcto. Producto segun lo esperado. Bonito color verde botella.</t>
  </si>
  <si>
    <t>Calidad precio excelente Son muy chulas y de momento no se a puesto feas y ya las tengo un tiempo..las recomiendo para regalo de amigos</t>
  </si>
  <si>
    <t>Bien Fuerteventura y duradero</t>
  </si>
  <si>
    <t>Muy mona para regalar Muy bonita pero es algo grande. Tiene fácil solución cambiándole la goma y quitando las bolitas que sobren. Más vale eso a que esté pequeña. Supongo que lo hacen así para que valga para todos los públicos. Tardó bastante en llegar.</t>
  </si>
  <si>
    <t>muy satisfecho Muy satisfecho con la mochila.las cremalleras parecen de calidad y la tela es dura y parece remitente. Tiene multitud de bolsillos y espacios amplios para poder llevar incluso una videocamara grande un smartphone de 6" etc. Polivalente tanto para campo como para ciudad. Ya sería perfecto que tuviera una segunda cincha para una sujeción en la cadera y evitar así que se mueva mucho o de botes si corres pero por lo demás estoy encantado.</t>
  </si>
  <si>
    <t>bueno sonido fantastico, muy comodos y robusto pero un contra necesita amplificacion si o si y bastante amplia si no, no disfrutaras de el</t>
  </si>
  <si>
    <t>Compatible Apple perfecta mente. Es facilísimo de usar en un Apple.</t>
  </si>
  <si>
    <t>MUY UTIL. Lo puse en la cocina y sus ínterruptores independientes me permiten tener desconectados algunos aparatos cuando no están en uso sin desenchufarlos. Me da más tranquilidad.</t>
  </si>
  <si>
    <t>Muy cómodos Me fastidia que Timberland pase del 47,5 al 49. Compré un 47 y me quedaba pequeño y el 49 son un poco grandes. Son muy cómodos y finos para ir arreglado e informal a la vez</t>
  </si>
  <si>
    <t>Perfecto Lo recibí un día antes de lo previsto. Se oye de maravilla. Te aislan bastante o mucho de los sonidos externos. Si te hablan tienes que separarlos para poder oir. Los recomiendo a todo aquel que quiera o busque unos auriculares perfectos y sin ser caros.</t>
  </si>
  <si>
    <t>Muy bonitas y comodas Bonitas, comodas, de muy buena calidad. Llaman la atencion.</t>
  </si>
  <si>
    <t>Casio. Exelente.</t>
  </si>
  <si>
    <t>Almacenaje fotográfico infinito Infinito. De momento, ningún fallo</t>
  </si>
  <si>
    <t>Para el día a dia Bastante correctos</t>
  </si>
  <si>
    <t>.CUMPLIENDO UN SUEÑO,CREAS NECESIDÁD,DE SATISFACÉR OTRO. .Los zapatos,que compré en Amazon,tuvieron un precio insuperable,en relación a su calidád;Pero me quedan pequeños;Al principio,apretaban,(yo calzo un 46,antiguo;ahora,en tiendas OnLine,es un 48;Y mis zapatos son un 47),pero poco a poco fueron cediendo,(cómo las prendas de calidád),y se adaptaron a mis pies,cómo un guante.¿Debí,comprár un 48?.Nunca lo sabré.</t>
  </si>
  <si>
    <t>Los mejores que he tenido. Son los mejores auriculares que he tenido. Me encanta la capacidad de aislamiento y la calidad del sonido, la cual es de lo mejor que he probado. En cuanto a la durabilidad, podré hablar con el tiempo, por ahora llevo 6 meses con él usándolo a diario en el trabajo y por ahora sin problemas. Los recomiendo 100%, de hecho he regalado algunos.</t>
  </si>
  <si>
    <t>Contentisima Gran compañero. Compre uno de mas baja calidad y se nota mucho. Es ruidoso pero da muy buen resultado. Potencia increíble y varios modos e intensidades. Perfecto para masajes.</t>
  </si>
  <si>
    <t>Precioso lotus a un buen precio Lo compre para un regalo y quedo súper encantado y yo feliz con la compra ,para nada caro y es muy bonito</t>
  </si>
  <si>
    <t>Me gusta Mucho Me gusta que se pueda apagar las luces. Que puedas colocar el aceite que quieras. Y tiene buen aspecto</t>
  </si>
  <si>
    <t>Buena calidad y bien cobrado Muy buena calidad y comodidad. Si te gusta el modelo, no te vas a arrepentir. Colo es un poco más ocuro al de la foto.</t>
  </si>
  <si>
    <t>Calidad - precio inmejorable Me encanta su tamaño, y lo rápido que calienta el agua. No le pongo ninguna pega.</t>
  </si>
  <si>
    <t>perfectas son rigidas, es decir, el primer dia no pretendas andar 5 km con ellas...por que vas a morir. hay que darlas poco a poco los dos primeros dias, luego ya son comodas y no pesan exageradamente.</t>
  </si>
  <si>
    <t>`perfectas Cómodas, perfectas y buen precio.... han sido las que buscaba y pendientes quizas de otra compra similar... ya veremos más adelante....</t>
  </si>
  <si>
    <t>Como las ves. Tal cual</t>
  </si>
  <si>
    <t>regular Bastante regular , pero para el precio es pasable</t>
  </si>
  <si>
    <t>Calidad-precio Las zapatillas se hacen bolisas al uso continuado, pero por el precio no se puede pedir mas.</t>
  </si>
  <si>
    <t>Buena compra Perfecto tamaño q seaprecia normal</t>
  </si>
  <si>
    <t>Me siento engañado El producto no ha llegado ni me han reenvolsado el dinero. Sigo a la espera de contestacion. Kk mk n</t>
  </si>
  <si>
    <t>Muy descontenta!!! Creo qué compraré poco....... Me llego un pendiente roto el pasador . Esparo cambio o devolución . Una consulta ahora si no compras 19 € no puedes comprar cosas más económico.</t>
  </si>
  <si>
    <t>Gatomama El tejido es fino y muy suave, muy confortable. Pedí la L O 42 y es más una 42 que una L, no importa porque holgados quedan muy bien. He pedido una M en gris y quedan perfectos. Los he recomendado.</t>
  </si>
  <si>
    <t>Zapatillas resistentes y cómodas Después de dar muchas vueltas buscando información sobre zapatillas de ciclismo un amigo me recomendó estas zapatillas y la verdad es que estoy muy contenta. Son bastante ligeras y cómodas y el velcro agarra bien el pie. La mayoría de las opiniones del produto decían que era mejor pedir un número más del calzado habitual y acerté porque me quedan muy bien. Recomendables.</t>
  </si>
  <si>
    <t>No está mal Fue un regalo, pero la persona que lo recibió no ha sido muy constante en su uso, así que no puedo asegurar si cumple con su función.</t>
  </si>
  <si>
    <t>Jarra Russell Hobbs Buen producto. Funciona bien después de meses de uso. Al ser negro las marcas de cal se notan demasiado y el nivel de ruido al calentar es algo alto. La luz azul le dan le da un plus de elegancia...</t>
  </si>
  <si>
    <t>Muy chulas. Las zapatillas están muy bien. Vienen en un embalaje muy simple pero por el precio que tienen tampoco se puede pedir mucho más. Son bastante chulas, a mi hijo le han gustado mucho.</t>
  </si>
  <si>
    <t>Fácil de usar y sonido de calidad Tengo varios auriculares inalámbricos con cable y este es sin cable. Al principio me costó acostumbrarme porque da la sensación de que vas a perderlos, sin embargo cuando te acostumbras a ellos son muy cómodos. Te vienen varias esponjitas para que elijas aquella que mejor se ajusta a tu oreja.  Importante leerse antes las instrucciones porque te explica cómo debes conectarlos y vincularlos con el móvil. Es muy fácil. También indica que el izquierdo se conecta en 3 segundos y el derecho necesita más tiempo. Puedes oír los dos o solamente uno, pudiéndolo elegir. Adjunto imágenes de una de las hojas explicativas. Además, lleva instrucciones en varios idiomas, incluido en castellano.  Respecto al sonido, yo los encuentro de calidad. La base sirve para cargarlos y guardarlos. Mide unos 6 cm de largo y 3 cm de alto. Muy prácticos para llevarlos en el bolso o bolsillo. Recomiendo su compra.</t>
  </si>
  <si>
    <t>Muy buen biberón. He notado la diferencia con los demás biberones, con éste mi bebé expulsa los gases fácilmente y como le obliga a beber más despacio luego no vomita tanto.</t>
  </si>
  <si>
    <t>100% recomendable!!! Muy buena calidad-precio Funcionan a la perfección, hemos estado cantando con ellos 4h y solo se ha consumido una parte de la batería, el receptor funciona cargando por si se t acaba la batería. Son tamaño profesional, cuando los saqué de la caja me sorprendió verlos tan grandes. Tienen apariencia profesional en acabados. 100% recomendables</t>
  </si>
  <si>
    <t>Magnìfico Increible por este precio. Me ducho con èl y no me lo quito para nada. Es muy còmodo porque es muy fino y de tamaño perfecto. No es el tìpico gigante ni pequeño como de niño. Muy bonito y funciona perfectamente.</t>
  </si>
  <si>
    <t>Perfectos 👍</t>
  </si>
  <si>
    <t>Muy útiles y cómodos, se escuchan perfecto Se escuchan perfecto. Es fácil de conectar y usar, y son muy cómodos. Lo mejor que tiene es que puedes usar el cargador de los auriculares para cargar tu móvil también, lo cual es muy muy útil. Que sean impermeables también es una gran ventaja ya que no te tienes que preocupar si los mojas porque llueva o porque estés sudando por llevártelos a hacer ejercicio. La cancelación de ruido también es muy buena. En relación calidad precio es un diez de diez, los recomiendo mucho. Perfectos para hacer deporte o simplemente escuchar tu música o ver tus series.</t>
  </si>
  <si>
    <t>Opinión producto Ya había utilizado la hernesurina,en esta ocasión me diagnosticaron piedras en el riñón y esto me ha venido de maravilla consiguiendo que se me pasara el insoportable dolor.</t>
  </si>
  <si>
    <t>Muy buenos Geniales!! son los unicos que usa mi hija, las tetinas muy acertadas así de anchas y al ser anticólicos perfectos</t>
  </si>
  <si>
    <t>Perfecta Un buen filtro.</t>
  </si>
  <si>
    <t>Envío rápido y zapatillas bonitas Envío super rápido y zapatillas tal y como las esperaba. Son muy bonitas y cómodas. Todo de 10.</t>
  </si>
  <si>
    <t>Calidad Llegaron al otro día y están espectaculares</t>
  </si>
  <si>
    <t>Alta calidad a buen precio Unos cascos deportivos para un regalo,  estos son ideales, son cómodos, (traen varios juegos de gomas de tamaños diferentes, el sonido es muy bueno y se emparejan fácilmente, tanto entre ellos como con el móvil. La caja en la que se guardan es una caja de carga,  es decir que por ejemplo dejo por la noche la caja cargando y después tengo batería para cargar los cascos 4 o 5 veces Creo que tienen muy bien precio. Me gustan muchísimo.</t>
  </si>
  <si>
    <t>calorcito para invierno! Nosotros la usamos como manta de cama, la tenemos dentro de la cama, la enciendes unos minutos antes de ir a dormir y cuando entras la cama esta calentita calentita. Meterte en una cama calentita en invierno no tiene precio! El tacto de la manta es muy agradable, el mismo que la tipica manta de sofa. El modulo "programador" se puede desenchufar para poder lavar la manta en la lavadora, segun las instrucciones no hay problema en meterlo en la lavadora, aunque aun no lo hemos hecho. Tiene 6 niveles de "calor", solemos ponerlos al 3-4 y dentro de la cama es suficiente, aunque si la usas en el sofa yo la suelo subir hasta el 6. Tiene un temporizador, a las 3 horas se apaga, asi no se queda encendida toda la noche o todo el dia si se te olvida apagarlo. El consumo electrico es bajo y es una forma de estar caliente en casa sin consumir muchisima electricidad. Por ahora encantados! Ah! nuestra cama es de 1,35, perfecto!</t>
  </si>
  <si>
    <t>Comodisimas Tal cual lo descrito. Me encanta.</t>
  </si>
  <si>
    <t>REGALO PERFECTO Y BARATO PROBADO SIN PROBLEMA A 40M DE PROFUNDIDAD HAY QUE TENER CUIDADO CON LA GOMA Y LAVARLA CON AGUA DULCE PUES LA SAL PODRIA CORROERLA SI SE DEJA TIEMPO PARADO</t>
  </si>
  <si>
    <t>Muy buena compra Comodísimos y quedan muy bien. La atención del vendedor excelente.</t>
  </si>
  <si>
    <t>Excelente Muy buen producto altamente recomendable, buen alcance y buena cobertura.</t>
  </si>
  <si>
    <t>calidad a buen precio Cuando la compre parecia buena, y asi ha sido, buen tejido, buena densidad, se ajusta bien al cuerpo y queda como esperaba. Me ha encantado!!! es asi que voy a coger otra de otro color.</t>
  </si>
  <si>
    <t>No cumple expectativas Se atasca siempre en la alfombra y no es de pelo largo ni tengo mascota</t>
  </si>
  <si>
    <t>No conforme. En principio aparentemente bien,pero no han durado nada,se han roto enseguida.Para em precio que tienen,podian haberse esmerado un poco.</t>
  </si>
  <si>
    <t>Tendria que haber pedido una talla mas Son calentitas, le guataron a mi hijo pero le quedan muy justas, muy pequeñas.</t>
  </si>
  <si>
    <t>Fatal Horrible</t>
  </si>
  <si>
    <t>No es el producto que pedi. El color no corresponde con el mostrado. No es bonito. La calidad es mala. No volveré a comprarlo. Decepción!</t>
  </si>
  <si>
    <t>Zapatillas comodas Bonitas zapatillas. Llego antes del plazo indicado.</t>
  </si>
  <si>
    <t>buen manejo cuando empiezan con las papillas de cereales está muy bien, tienes tres posiciones para regular el flujo y tiene buena forma el biberón para que el pequeño pueda agarrarlo con sus manitas</t>
  </si>
  <si>
    <t>Buen reloj Es un buen reloj digital. Posee todas las funciones básicas que se esperan y muchas avanzadas e imprescindibles.</t>
  </si>
  <si>
    <t>Son bonitos pero muy pequeño Son muy bonitos pero demasiado pequeños</t>
  </si>
  <si>
    <t>Buen microfono a ese precio Uso de Gameplay y grabacion de video perfecto. Conectado a Pc torre no portatil (lo digo por las valoraciones de la q hace falta fuente) Lo dicho perfecto para todo.</t>
  </si>
  <si>
    <t>Auriculares muy buenos para cualquier telefono Han llegado unos dias antes sel plazo, son iguales a como muestra en la fotografia. Se escuchan muy bien incluidos a otros modelos mi telefono es un zte y se escuchan perfectos son muy comodos para los oidos. El cable es de un tamaño razonable 3 cm de largo</t>
  </si>
  <si>
    <t>Funciona muy bien Muy bueno a buen precio</t>
  </si>
  <si>
    <t>Chandal under armour. Chandal muy comodo, es mas tirando a maya.</t>
  </si>
  <si>
    <t>Excelente calidad,buen precio y muy comodos. Poco que añadir a lo dicho en el título. Acabo de compararlos con otros de un pack similar que compré hace la friolera de 8 años y son el mismo modelo. Conque me salgan la mitad de buenos me conformo.</t>
  </si>
  <si>
    <t>Pues desacansados Super cómodos</t>
  </si>
  <si>
    <t>Totalmente recomendables Fantásticas para caminar! Las usé en un viaje en el que caminé mucho y no noté los pies. Amortigua muy bien la pisada y puedes usarla durante horas sin que te duelan los pies. Además, combinan muy bien con vaqueros.</t>
  </si>
  <si>
    <t>Muy bueno y rápido, gracias amazon👌 Me gosto el reloj, muy preciso y buena calidad.</t>
  </si>
  <si>
    <t>Zapato bonito y de calidad. Talla grande El zapato es bonito y de calidad. La suela es algo dura. Talla muy grande, por lo menos hay que coger una talla menos de lo que te correspondería.</t>
  </si>
  <si>
    <t>Genial Excelente</t>
  </si>
  <si>
    <t>Perfecto Exactamente lo que necesitaba para mí barbacoa.</t>
  </si>
  <si>
    <t>BUENA RELACIÓN CALIDAD/PRECIO Compré uno para mí y otro para una amiga. Nos ha encantado.</t>
  </si>
  <si>
    <t>biberones chulisimo conjunto de biberones, soy comprador habitual de nuk puesto que tengo tres niños y este conjunto lo encontré superchulo y ha un precio increíble. y la calidad pues nada que decir los compro desde hace nueve años y no cambio.</t>
  </si>
  <si>
    <t>Carpeta resistente y barata Esta bastante bien la carpeta. La portada es de un material plástico bastante duro y resistente. Cumplió con mis espectativas y en comparación a otros precios, no vale la pena gastarse más.</t>
  </si>
  <si>
    <t>Calidad Auriculares de gran calidad. El sonido es bastante bueno, y aumentan el volumen de la música.</t>
  </si>
  <si>
    <t>Me gusta Me gusta mucho y me sujeta bastante, es el sujetador que estaba buscando para hacer baile y deporte, lo recomiendo</t>
  </si>
  <si>
    <t>Estudio portàtil Es lo más parecido a un estudio de grabación portátil, muchas opciones. Buenos acabados. Múltiples entradas, compacto sin las cápsulas</t>
  </si>
  <si>
    <t>Recomiendo su compra Buenos auriculares, son muy fáciles de conectar y tienen buena sujeción, no se caen al hacer ejercicio. Funcionan a una distancia considerable y desde el botón se puede pausar, pasar a la siguiente y manejar el volumen sin necesidad de tener el dispositivo a mano. La batería dura bastantes horas y la propia caja de los auriculares también tiene carga que dura una semana. Cargan rápido. Recomiendo su compra</t>
  </si>
  <si>
    <t>Parches muy hidrayados Los parches son muy cómodos de poner, vienen con mucho producto. Una vez puesto tarda unos 15 o 20 minutos en que la piel lo absorba todo. Cuando ha finalizado el tiempo y retiras los parches, notas la zona súper hidratada y esponjosa, con buen aspecto.</t>
  </si>
  <si>
    <t>No servía para lo que buscaba. No servía para lo que quería... no me valía.</t>
  </si>
  <si>
    <t>el precio es el único pero Fueron para un regalo y nos ha gustado mucho, sobre todo al que los recibió, si bien el precio me parece algo elevado para la calidad del producto. No esperen algo excepcional, aunque cumplen</t>
  </si>
  <si>
    <t>La unidad parece dañada El rendimiento general no se asemeja en nada a lo que se supone que ofrece la unidad. Los juegos crashean con errores de acceso al disco. Voy a devolverlo</t>
  </si>
  <si>
    <t>Mala calidad El producto es una imitacion exteriormente conseguida pero el interior de malisimo material y nada comoda</t>
  </si>
  <si>
    <t>Está bien Cumple con lo esperado, pero si el micro es pesado y se saca el cuello del soporte hacia delante, éste vence con facilidad porque el agarre no es muy potente. Por todo lo demás bien</t>
  </si>
  <si>
    <t>Todo bien El envío correcto y todo bien pero no me termino de acostumbrar a las 24 h. Es muy buen reloj</t>
  </si>
  <si>
    <t>Buen producto! Me gusta mucho, el precio es competitivo y es como el resto de los comentarios lo han descrito. Hasta ahora se ha comportado muy bien conmigo. Yo personalmente me gustaría que tuviera algo para que no se resbalara en la mesa pero igual me las ingenié con lo que viene en la caja.</t>
  </si>
  <si>
    <t>Bien pero no estable en la base El hervidor funiona muy bien, es bonito y la calidad/precio es buena. El unico inconveniente que le hemos encontrado es que al encajarlo en la base no es estable, se mueve un poco y cuando hierve se mueve y no queda plano del todo</t>
  </si>
  <si>
    <t>Buen producto por el precio que tiene Era para un regalo y la verdad que de tamaño es idóneo para la zona lumbar. No tiene demasiada potencia para calentar (no quema pero si calienta) pero para tenerlo en la cama para ir a dormir es ideal, además se apaga a los 90 min. Recomendado.</t>
  </si>
  <si>
    <t>Bandolera Me ha gustado mucho lo he comprado para un regalo y el material es muy bueno, muy elegante para un hombre</t>
  </si>
  <si>
    <t>Perfecto para su tamaño y precio Teclado MIDI que como se indica en su nombre tiene 32 teclas (2 octavas y media) y con sus respectivas funciones detalladas por el vendedor. Al ser MIDI significa que necesita de un ordenador o tablet con entrada USB y un programa musical para ser reproducido ya que por si solo no suena. Es perfecto para transportarlo. Las teclas obviamente son más pequeñas que un piano convencional y se nota, pero eso no impide poder tocar en el. Y sobretodo y más importante, el piano reproduce perfectamente la velocidad a la que son tocadas las teclas y con la presión que han sido presionadas. Obviamente para mi este teclado fue la elección perfecta ya que dispongo de un piano convencional y utilizo el teclado para transportar mis notas al programa de producción de música de mi PC y no quería gastarme mucho dinero en un segundo teclado. Si no hubiera buscado un teclado MIDI mas grande.</t>
  </si>
  <si>
    <t>Excepcional calidad del producto Máxima calidad y confianza en la marca. La cantidad de flujo se puede regular en tres posiciones según los meses que tenga el bebé.</t>
  </si>
  <si>
    <t>Perfecto Esta perfecto muchas gracias por todo y por toda la rapidez del producto de lo aconsejo a todo el mundo,de nuevo Gracias por todo...</t>
  </si>
  <si>
    <t>Si lo recomiendo Es un rulo pequeño para hacer ejercicios en casa.Me va mut bien.Tengo espolon y fascitis plantar y lo estoy utilizando y me gusta.Si lo recomiendo.</t>
  </si>
  <si>
    <t>Muy muy contenta Una pasada!!!!! Con lo poco que la tengo ya la estoy amortizando xD yo me hago batidos y smoothies a diario y tiene un botón específico para hacerlos. También otro para picar hielo y un botón súper útil de autolimpieza, que con 1,25 litros de agua y dos chorros de difusor de fairy te lo deja limpito a falta de un aclarado. Y también puedes regular la potencia tú manualmente. Un 10</t>
  </si>
  <si>
    <t>Que el artículo es nuevo y el  requerido . Me resulta mas útil para el fin o proposito requerido.</t>
  </si>
  <si>
    <t>Bastante bien En perfecto estado</t>
  </si>
  <si>
    <t>POTENTE, BUENA CALIDAD Batidora muy completa, trae muchos vasos para poder picar sin tener que ir limpiando. Me la pille para hacer los smoothie aora que llega el verano... tiene una gran potencia que pica hasta los hielos... me encanta porque pongo las frutas e hielo en los vasos y coloco más cuchillas y a triturar... y luego le saco las cuchillas y colocó la tapa y a correr !!!! Salen muy triturados y rápidos al tener tanta potencia. Después puedo usarla también como poca dora normal, incluso para granos de café salen bastante molido. Muy contenta!!</t>
  </si>
  <si>
    <t>Económica y buena Me hacía falta una batidora de vaso y me decidí por esta debido a su precio y que la vi muy completa, estoy encantado con ella ya que bate genial con dos modos de potencia y tiene muy buén cierre de vasos para que no salga ni una gota, tiene bastantes accesorios y se ven bastante resistentes, contento con la compra y muy buén precio.</t>
  </si>
  <si>
    <t>ORIGINALES Estamos muy contentas con esa compra ! Un regalo para mi hija y está súper feliz. Alguien subió unas fotos que nada tiene que ver con el produto que recibí......empecé a leer los comentarios después de comprarmela y me quedé  super preocupada ...he visto hasta un tutorial para distinguir original  X  replica.! Y os pude decir que son  100%originales la que hemos recibido! Os dejo fotos para que veáis.  Lo volvería a comprar sin duda!</t>
  </si>
  <si>
    <t>Genial！！ Me encanta el color y el tamaño el  tamaño es pequeña y ligera. Ideal para llevar al trabajo en la mochila ya que encima no pesa nada ni hay que enchufarla. Llevo la fruta, la meto en la licuadora y zumo recién hecho. También es muy útil para los purés de los niños. Rápido y sin perder vitaminas.en definitiva y para lo mi mejor, es una licuadora ideal para llevar al campo, playa, etc... y tomarte tu batido recién hecho.</t>
  </si>
  <si>
    <t>Impresionante Aun estoy aprendiendo, pero con ableton 9, va genial</t>
  </si>
  <si>
    <t>Super caliente Térmica muy caliente y con rebaja queda un precio increible</t>
  </si>
  <si>
    <t>Aparato 10 Seur cero jubile una braun 600w d hace 8 años Va muy bien y puedo usar los accesorios d la antigua espero me dure otros 8 años la anterior era made in spain esta nueva made in poland</t>
  </si>
  <si>
    <t>Aconsejable Poco que añadir de este artículo. Cumple su función y parece resistente, aunque aún no le he dado mucho uso. Espero que dure.</t>
  </si>
  <si>
    <t>todo perfecto TODO OK</t>
  </si>
  <si>
    <t>Volveré a comprar otro para tenerlo de repuesto Lo compré sin saber si era efectivo  y me encanta lo uso todas las noches en masaje facial, tengo bolsas en los ojos y es muy efectivo usándolo de noche y día</t>
  </si>
  <si>
    <t>Muy ligera Abriga bastante, ultra ligera</t>
  </si>
  <si>
    <t>Cómodos pero flojos en conexion. Son muy cómodos, pero tiene muchos cortes de conexion, supuestamente su bluetooth 5.0 deberia mejorar ese aspecto. Con el movil en el bolsillo del pantalón (un s9+) los cortes de audio son demasiado molestos. Espero que lo solucionen con alguna actualización.</t>
  </si>
  <si>
    <t>Pierde las costuras El producto tiene una calidad aparentemente buena, pero solo aparente y es una lástima porque la calidad de la piel parece buena y el tamaño es perfecto. El problema es al poco tiempo empiezan a aparecer hilos por todas partes y las costuras se van desvaneciendo. Lo he solucionado con una fina capa de silicona líquida a lo largo de las costuras interiores. Una falta de calidad de fabricación porque el diseño y los materiales son buenos.</t>
  </si>
  <si>
    <t>Calidad de sonido Fácil instalar</t>
  </si>
  <si>
    <t>los numeros vienes pequeños Lo tengo k devolver .Yo uso un 44/45  y pedi un 46 , pensando k venian pequeños .Y el 46  me esta muy justo .Aconsejo pedir siempre 2 o 3  numeros mas</t>
  </si>
  <si>
    <t>Modelo diferente al pedido Me ha llegado más tarde de lo indicado, pedido 4 septiembre y no es el mismo modelo que el que anuncian.</t>
  </si>
  <si>
    <t>Ni se parecen a las de las fotos Me llegaron unas botas totalmente diferentes,publique fotos ,mi comentario y fotos no aparecen en ningún lado. Me cuestiono muy mucho las formas de Amazon</t>
  </si>
  <si>
    <t>Están bien. Son muy bonitas esteticamente, aunque los materiales de la suela ya no son los que solía utilizar esta marca, la cámara de aire es bastante dura y no amortigua, la suela ya no tiene acolchonamiento como los modelos de hace años, ahora es de goma rigida completamente. La lengueta fina que iba aparte de la sugección del tobillo en los modelos antiguos, también ha desaparecido, ahora es un mero detalle cosido en la sujección nada más. Las tallas son un poquito más pequeñas que en otras marcas, en el largo, en el ancho estan bien, he pedido un 43, que normalmente en otras marcas me suele dejar un pequeño espacio en la puntera, con estas está más justo y el dedo gordo llega a tocar la puntera. Aun asi, por el precio estan muy bien, son preciosas, las costuras y acabados son de buena calidad. El servicio de Amazon, impecable, llegaron un día antes de la fecha estimada. Las recomiendo pese a que ya no son lo que solían ser.</t>
  </si>
  <si>
    <t>Auriculares Bluetooth PROS: - Muy fáciles de usar - Valen para casi cualquier móvil - Ligeros - Batería duradera - Admiten bastante distancia (10m) - Para manejarlos tienen un botón fisico, no uno de esos táctiles que van fatal - El micrófono es bueno - Puedes usar ambos por separado CONTRAS: - Se caen de vez en cuando (aún así se sujetan mucho mejor que otros que he probado)</t>
  </si>
  <si>
    <t>Hace su función Buena relación calidad precio</t>
  </si>
  <si>
    <t>Contento Buen acabado y calidades. Incluye sólo el vaso pero es lo único que quería, nada de accesorios innecesarios. recomemendado 100%</t>
  </si>
  <si>
    <t>Comodidad Son muy cómodas y transpirables. La única pega que le pongo es que los cordones se desatan constantemente debido al material en que están echas.......demasiado plásticos.</t>
  </si>
  <si>
    <t>Contenta Satisfecha con la compra, son un poco más grandes de lo que esperaba, hacen 3 cm y el gancho, pero quedan muy bien y son muy cómodos.</t>
  </si>
  <si>
    <t>Buena compra Es muy cómodo y el diseño permite poner los biberones, tapas y soportes como quieras El agua se queda en la parte de abajo y es fácil de vaciar</t>
  </si>
  <si>
    <t>Muy guapo Queda genial</t>
  </si>
  <si>
    <t>rapidez y calidad Perfecto</t>
  </si>
  <si>
    <t>Bonito reloj Reloj de presencia muy buena bonito, por el precio que tiene merece la pena lo que durará no lo sé, la correa se regula muy fácil con la herramienta que trae dentro de la caja y un trapito para limpiar el reloj, viene muy bien embalado a mi personalmente me a gustado mucho, para el precio que tiene la calidad es muy buena</t>
  </si>
  <si>
    <t>Gran calidad, mejor precio. El producto es de buena calidad, cómodo y perfecto para realizar deporte. La relación calidad precio está muy bien. Muy recomendable.</t>
  </si>
  <si>
    <t>Perfecto para transportar nuestros datos Un disco duro portatil pequeño y fácil de llevar, además ahora nos viene con conexión USB-C para poder conectarlo a cualquier dispositivo con ese puerto y también con adaptador USB-A.  El diseño de la carcas es de plástico resistente, se puede comprar un protector de carcasa o una funda para que no se raye si lo vamos a transportar mucho.  El fabricante nos vende dos versiones, la de pc y la de MAC, solo cambia el sistema de ficheros, ambas son compatibles, solo tendremos que formatearlo al sistema de archivos necesario y funcionará perfecto.  Esta versión trae un disco duro de 4 Tb mecánico, también hay una versión ssd con la que ganamos velocidad, depende para lo que lo vayamos a usar, aunque si vamos a guardar archivos de gran capacidad os recomiendo la versión de disco mecánico.  La conexión al ordenador se puede hacer mediante el puerto USB-C o a un puerto USB-A, trae un adaptador para ello, pero hay que tener mucho cuidado al usar estos adaptadores, ya que se tiene que insertar el cable en una única posición, no es reversible, si lo introducimos mal podemos dañar el equipo y el disco duro.  Tienen la posibilidad de encriptar los datos mediante el programa de westerm digital "wdpassport-utils", así solo lo podremos ver el contenido si instalamos el software y tenemos las contraseñas. Un plus de seguridad que viene bien a gente que almacene información confidencial.  Un disco duro muy práctico para llevar los datos a cualquier parte, si usamos la encriptación mucho mejor.</t>
  </si>
  <si>
    <t>Bueno, Bonito y Barato Compre este despertador para un regalo, ya que hablando un dia por telefono con esta persona me dijo que ya llevaba 3 despertadores comprados en los chinos, los cuales 2 se le habian estropeado sin mas al cabo de un mes o poco mas y otro directamente se atrasaba solo.  Al final, me decante por este despertador que, sin tener ninguna floritura, cumple perfectamente con lo que se le pide y al ser Casio, ya sabemos que va a durar toda la vida. El tamaño es normal, la base es amplia y el sonido es tirando a alto sin ser tampoco una burrada de estas que te da un vuelco al corazon.  Si buscais un despertador facil de usar, con un buen sonido, duradero... esta es vuestra eleccion. Casio siempre es sinonimo de calidad, sea el producto que sea.</t>
  </si>
  <si>
    <t>muy comodo me gusta por su comodidad y es de un tamaño que te cabe todo y no parece que sea grande y un buen precio yo estoy contento con la compra del bolso bandolera</t>
  </si>
  <si>
    <t>Muy bueno funciona perfectamente. Una buena compra. Funciona con dos pilas y se lava muy bien.</t>
  </si>
  <si>
    <t>Mini caja fuerte ideal para billetes o joyería Me encanta. La compré hace meses y es ideal. No muy grande pero cumple su función.</t>
  </si>
  <si>
    <t>Buen precio Buen producto</t>
  </si>
  <si>
    <t>Cumple expectativas Robusto y fiable. A ver cuando pase el tiempo. La única pega es que el cable es demasiado corto</t>
  </si>
  <si>
    <t>Calidad y potencia. Sé lo he regalado a mi hija que le encanta cantar y al abrirlo, ya nos llamó la atención lo bonito y buenos acabados que tiene. Aunque puede parecer pesado, es muy ligero y cómodo de manejar. Tiene 3 modos para configurar el volumen. Uno es el eco, que es una pasada. Otro el sonido de la música y el otro el del micrófono. La batería al desenroscar el mango del micrófono. Y el sonido es nítido y bastante fuerte. La verdad es que es mejor de lo que esperaba. Muy contento con la compra y mí hija encantada también y cantando por todas partes.</t>
  </si>
  <si>
    <t>Limpia cristales Me a gustado todo Lo e utilizado cristaleras</t>
  </si>
  <si>
    <t>Cómodos y muy prácticos Auriculares súper recomendables, se ajustan perfectamente al oído y no se caen al hacer deporte. La caja en la que vienen es perfecta para cargarlos y no perderlos, diseño muy bonito. Se escuchan perfectamente y la batería aguanta varias horas. De momento, muy contenta con el producto.</t>
  </si>
  <si>
    <t>Calidad x precio Es más bien un zapato de invierno, yo pedí una talla de más y me fue perfecto. La cámara de aire de talón va muy bien a mí mujer.</t>
  </si>
  <si>
    <t>Perfectas Son perfectas!! muy comodas y bonitas, tal y como se ven en las imágenes. El único problema es que al haberlas comprado en blanco, el primer día que me las puse se ensuciaron bastante ya.. Pero es lo malo del color.</t>
  </si>
  <si>
    <t>Como las orginales Son cómodas y bonitas. Llevo varios meses usándolas y están como el primer día. Personalmente no busco las marcas asi que estas zapatillas son perfectas, no llevan etiquetas ni pegatinas. El color es genial. Todo ok.</t>
  </si>
  <si>
    <t>Ana Baja potencia, no licua con rapidez y hay que mover constantemente el contenido (si el contenido no tiene mucha agua)</t>
  </si>
  <si>
    <t>Aceptable La caoacidad indicada no es cierta, es menor. La tapa del vaso cuesta muchísimo de sacar, Bate bien, aceptable</t>
  </si>
  <si>
    <t>Poca potencia de olor Huele muy bien, pero hay que echar bastante</t>
  </si>
  <si>
    <t>Demasiado pequeño El esfera es pequeña y la correa demasiado corta. Aunque en la descripción aparece como "reloj casio collection para hombre" por su tamaño parece mas un reloj infantil. He tenido que devolverlo y comprar otro modelo.</t>
  </si>
  <si>
    <t>No funciona No funciona el micro. Lo he devuelto y he vuelto a comprar otro. A ver si tengo suerte. Ya os contare</t>
  </si>
  <si>
    <t>No la recomiendo La aspiradora funciona fatal, la manguera se ha agujereado, los filtros se desprenden. No lo recomiendo</t>
  </si>
  <si>
    <t>Buen producto Buen producto. Aguanta los lavados del lavavajillas.  El problema es que yo no le se sacar el rendimiento adecuado. Así que es un producto que es muy bueno , cierra muy bien y no hay escapes pero no es un producto para mi.</t>
  </si>
  <si>
    <t>De cuero y lo resiste todo Tiene suficiente espacio para guardar una batería externa, una cartera y un móvil (sobra algo de sitio). La única pega que le doy es que la cuerda es corta para mi. Mido 1.96 cm ;-)</t>
  </si>
  <si>
    <t>Lo que esperaba Lo que esperaba. La pulsera algo endeble, pero el conjunto es ligero. Se pone en hora casi todos los días. Si lo haces de manera manual, mucho mejor por la noche.</t>
  </si>
  <si>
    <t>Diseño compacto y buena funcionalidad Bolso que cumple sus espectativas, faltaria un bolsillo en el interior, pero por el precio es recomendable.</t>
  </si>
  <si>
    <t>Five Stars Recomendable, calidad precio perfecto.</t>
  </si>
  <si>
    <t>Jonathan Muy contento con esta cafetera hace un café muy bueno  y ami que me gusta fuerte con poco café que heche sale fuerte volvería a comprarla.</t>
  </si>
  <si>
    <t>Genial Todo perfecto,es la tercera que compro y esta es un poco mas pequeña, pero todo muy bien igual que las otras.</t>
  </si>
  <si>
    <t>Calidad precio Perfecto</t>
  </si>
  <si>
    <t>CANTA Me han encantado, funcionan muy bien y son fáciles de instalar. Ya por fin puedo jugar al karaoke. Son resistentes y no pesan.</t>
  </si>
  <si>
    <t>calidad precio le encanta usarlo ademas no gotea nada , lo compre para la guarderia , la calidad es buena y la tetina es de goma. las asas son finas y el lo puede coger muy bien . no lo lleno mucho de agua porque sino pesa y entonces no puede beber sin ayuda.</t>
  </si>
  <si>
    <t>Verbatim GO V3 Una memoria USB 3.0.que está bien entre precio y calidad. las velocidades de transferencia oscilarán según el puerto al que lo conectes y al equipo que tengas pero en general es un buen artículo. No te defradudará. La boca es retráctil.</t>
  </si>
  <si>
    <t>Encantada! Me encantó el producto. Tiene un bolsillo detrás que está grandísimo y ahí te puede caber el móvil lo que es perfecto si vas corriendo o andando. Además tienen calidad muy buena. No se caen y te tapan la barriga. Yo tengo la talla 38-40, cogí una M y queda justo. Muy contenta.</t>
  </si>
  <si>
    <t>Todo ok Ok</t>
  </si>
  <si>
    <t>Perfecto para estos tiempos Me encanta la tela, que es super suave, y si le añades el calorcito del agua caliente, ya es lo más de lo más, sobre todo con el frío que está empezando a hacer. Estoy muy contento con la compra.</t>
  </si>
  <si>
    <t>Se para sola al rato es estupendo Tuve un accidente de coche. Tanto el fisio como el médico me han recomendado calor. Esta esterilla es perfecta por su tamaño, se me adapta al hombro, lumbares y cuello, lo voy alternando. Me precio fantástico la cinta para agarrartela a la cintura. Me ha encantado que me la pongo por  la noche y me acabo durmiendo pero se para sola. Eso me va genial.</t>
  </si>
  <si>
    <t>Genial Calentito y a mi mascota le encanta</t>
  </si>
  <si>
    <t>Buena calidad Corta super bien y es muy adecuada para niños ya que sus puntas son romas. El manejo es cómodo y la superficie de agarre amplio y anatomico para esas edades. El precio es muy bueno.</t>
  </si>
  <si>
    <t>Llego a tiempo i me va bien Si. para no ir descalzo</t>
  </si>
  <si>
    <t>Perfecto Con todos los comentarios malos que hay por amazon sobre estos ssd ... (falsos, funcionan mal, ...), no me he arriesgado y lo he comprado vendido y enviado por amazon a pesar de ser algo mas caro. Perfecto, ha llegado en su bliste de kingston con su sello de producto original. El funcionamiento tambien es el adecuado. Recomendable.</t>
  </si>
  <si>
    <t>No defraudan Perfectos!!!</t>
  </si>
  <si>
    <t>CALIDAD Funciona correctamente para videos UHD 4K. Un poco cara todavia.</t>
  </si>
  <si>
    <t>Talla mal Demasiado pequeño</t>
  </si>
  <si>
    <t>Dobla el precio del close to nature normal, y no noto diferencia entre ambos Es el mismo biberón que el close to nature normal, pero con el tubito central, que sinceramente, no se si sirve para algo, y sin embargo, solo por eso cuesta el doble. Así que sale más rentable comprar más unidades de los biberones close to nature normales, y una sola unidad del anti cólico, y ponerles ese tubito a todos cada vez que se use, en caso de que veáis que sirve para algo.</t>
  </si>
  <si>
    <t>No lo reconocen los PC En primer lugar, tiene menos capacidad de la que anuncia, y en segundo lugar, lo he probado en ordenadores con distintos sistemas operativos y ninguno le reconoce.</t>
  </si>
  <si>
    <t>Muy distinto a la foto. Muy distinto a la foto.</t>
  </si>
  <si>
    <t>Excelente reloj , pero justo de batería . La verdad es que es un producto excelente . Personalmente después de probarlo he decidido devolverlo porque no se adecuaba a mis expectativas . Es un gran reloj. Muy completo en funciones y que a pesar de su pantalla monocroma no le falta de nada . Es un reloj robusto y elegante, bastante grande pero nada incomodo . Muy ligero . En muñecas estrechas como la mía sobra bastante correa , pero nada que no se pueda acortar .  Un reloj que cumple perfectamente para senderistas , gente de campo , montañeros* , etc...  Cumple con todo lo que promete , excepto con la autonomía . He podido llegar a registrar un maximo de 9:50 min dejando el reloj parado en una mesa . En movimiento la cosa cambia y la batería disminuye a razón de 15 % la hora , con lo cual tendremos más o menos poco más de 6 horas de autonomía (maxima precision ). Aquellos que no tenga muchas pretensiones,  usen el gps esporádicamente, o que le interesen más el resto de funciones , etc... están ante un excelente reloj . El altímetro / barómetro funciona muy bien . El gps posiciona superrapido y con excelente precisión . El modo visión nocturna magnifico... pero volviendo al modo reloj la autonomía de 14 días solo se cumple si desactivas todo aquello prescindible (bluetooth, sonidos de botones , brillo por debajo de 50% , etc.. )  Sin extenderme más . Realmente es magnífico . Solo necesita más batería para ser el reloj de montaña perfecto . Por desgracia suunto ha decidido ponerle una batería insuficiente para el que sale a La montaña más de 8 horas . (Que les habría costado meter la batería del Ambit3 Peak¿?)  Lo recomiendo,  pero tengan Ena cuenta el uso que le van a dar. El modo extendido de auntonomia de 100 horas es simplemente para trazar una ruta aproximada.  4 stars.</t>
  </si>
  <si>
    <t>Muy comodas Más cómodas que el modelo anterior, pero hay que acostumbrarse a ellas</t>
  </si>
  <si>
    <t>M.Carmen , Granada Genial batidora en su clase; ideal para las papillas de los bebés ....mucha potencia, deja un puré muy fino .La tercera que compro, para cada uno de mis hijos.</t>
  </si>
  <si>
    <t>Buena opción de compra Van bien, cuando disparas en RAW tarda algo más pero calidad precio están muy bien, es una buena opción para tener varias para la cámara.</t>
  </si>
  <si>
    <t>Sonido bastante bueno. Precio 26.99 e Sonido bastante bueno y graves aceptables Tuve algún problema al principio, solo se escuchaba un auricular. Asi se restaurara a la configuración de fábrica: Mantenga presionado el botón MFB durante aproximadamente 6 segundos durante la carga, hasta que ambos indicadores LED parpadeen con luz azul 3 veces para restaurar la configuración de fábrica. Primero asegúrese de que Bluetooth esté apagado para todos los dispositivos habilitados para Bluetooth, luego saque los auriculares del estuche de charing al mismo tiempo, los auriculares están encendidos y se emparejan automáticamente, Mientras tanto, la luz azul del auricular izquierdo desaparece, las luces roja y azul del auricular derecho parpadean alternativamente, ahora encienda el Bluetooth de su teléfono, borre los registros de conexión anteriores del "S3", busque y vuelva a conectarse. Si aún no funciona bien, vuelva a borrar el registro de reparación de "S3". Por favor, intente más que unas pocas veces para tener éxito.</t>
  </si>
  <si>
    <t>Buen producto He comprado otras en almacenes para profesionales igual o mas caras que esta y ni por asomo... esta es muchísimo mejor, se adhiere muy bien y lo mas importante aguanta tiempo...</t>
  </si>
  <si>
    <t>Bien Buen peso y aparicuencia por si poco precio, muy buen acabado, correa de. Muy buen tamaño, muy contento por su precii</t>
  </si>
  <si>
    <t>Perfectos Son muy cómodos y aunque de tamaño tallan un poco más grandes, aún así están bien. Los volvería a comprar.</t>
  </si>
  <si>
    <t>Excelente producto Perfecto!! Me ayudo con mi problema en el cochecito de bebe en la capota que se me rajo en un viaje de avion</t>
  </si>
  <si>
    <t>He comprado mas Muy comodos, son calcetines altos, suben arriba del tobillo bastante, lo que buscaba</t>
  </si>
  <si>
    <t>Sonido bueno El sonido es realmente bueno y permite reproducir música durante bastantes horas. Estéticamente son bastante bonitos. Buen sonido Estos auriculares se adaptan perfectamente a la oreja e incluso puedes hacer deporte con ellos sin miedo a que los pierdas.</t>
  </si>
  <si>
    <t>Bonito y muy rápido Muy buen hervidor de agua, potente, rápido y bonito. Tiene capacidad para 1,7L de agua que es capaz de hacer hervir en algo menos de dos minutos.  Como todos los hervidores de esta marca, en la parte interior tiene un medidor muy visual que ayuda a calentar el agua justa necesaria para llenar una, dos o tres tazas. Esto es algo que me gusta mucho y que agradezco que la marca implemente en todos sus hervidores, ya que te ayuda a no desperdiciar ni agua ni energía calentando más de la que es necesaria.  Por otro lado, este modelo en concreto cuenta con un indicador de temperatura muy útil en la parte inferior que, además de dar información, le da ese toque retro característico de este hervidor.  En general me ha gustado mucho este modelo, aunque bajo mi punto de vista, el precio es algo elevado para lo que ofrece.</t>
  </si>
  <si>
    <t>Versátiles y cómodos No están mal. La calidad de sonido es aceptable, son ligeros y están bien construidos. El material no parece que sea muy endeble, lo veremos con el tiempo. La batería dura lo suficiente como para ver una peli sin problemas y la cajita que los guarda tiene energía almacenada para cargar los in-ear un par de veces.</t>
  </si>
  <si>
    <t>Me parece un album fantástico Me encanta. A superado mis expectativas. Las fotos quedan genial. Yo he comprado las pegatinas de la misma marca para poder pegar las fotos y queda fenomenal.</t>
  </si>
  <si>
    <t>La relación calidad-precio es excelente. Incluyendo la caja, es perfecto para regalar.</t>
  </si>
  <si>
    <t>Mochila Muy cómodo. Se lleva genial. Perfecto para llevar en moto debajo de la cazadora</t>
  </si>
  <si>
    <t>Me encantan Ambos productos resultan muy confortables, descansa bastante la mano y la muñeca, se agradece cuando tienes que estar al ordenador muchas horas. Los recomiendo</t>
  </si>
  <si>
    <t>Excelente y fácil de montar Excelente Ponerla en el reloj y cambiar totalmente Muy buena y bonita</t>
  </si>
  <si>
    <t>Buen producto. Llegó pronto y bien. Es como se ve en La foto. Lo recomiendo.</t>
  </si>
  <si>
    <t>Low power kettle If you are looking for a lower power kettle, because your house has insufficient current, then this is a real beauty. Instead of the typical 3kw rapid boil units, the Tristar consumes half that. Also it is stylish and very stable. It is smaller capacity, but how often do you need to boil more than 5 mugs of water? Excellent ... this is met my expectations and would recommend this is others.</t>
  </si>
  <si>
    <t>Original Pandora y el buen servicio de entrega Precioso</t>
  </si>
  <si>
    <t>Agradable alivio del dolor Excelente almohadilla eléctrica. Se calienta rápidamente y ofrece una sensación de alivio en el dolor, el control permite ajustar fácilmente la temperatura a una que se adapte a tus necesidades y la textura suave de su recubrimiento lo hace muy cómodo y agradable al tacto. Puede ser tan versátil como para usarse para aliviar dolores o simplemente calentar en invierno. Compra recomendable!</t>
  </si>
  <si>
    <t>Genial. Muy buen producto, y muy bonito para decorar.</t>
  </si>
  <si>
    <t>Es genial! Ha sido el unico biberon que mi hija de 4 meses ha aceptado, ya que al tomar solo pecho no quería ningún tipo de tetina. Pero este biberon lo ha aceptado sin problemas. La tetina es suuuuper suave y controla muy bien la cantidad que succiona.</t>
  </si>
  <si>
    <t>Número mal Me mandaron una talla y no era exacta a la de la tienda xq yo me probé otras en la tienda y éstas ersn gigantes.</t>
  </si>
  <si>
    <t>Se nota que no es Aptx El diseño está bien, a mi me a lo largo de las horas me dolía bastante usarlo. Pero sobre todo lo descambie por qué al no tener Aptx se nota la latencia, es decir hay retardo entre imagen y sonido, no son buenos para ver series o vídeos en YouTube. Si es para el gimnasio todo ok pero lo demás nada.</t>
  </si>
  <si>
    <t>Buen artículo La batidora cumplió mis expectativas hasta que de un día otro se empezó a escuchar que hacía un corto al momento de enchufarla. Pedí la devolución y volveré a comprar otra. Tiene buena potencia, fácil de limpiar.</t>
  </si>
  <si>
    <t>Caja abierta Ayer recibimos la batidora y de momento no tenemos pegas, pero parece que la caja ya había sido abierta y mal cerrada ya que venía con precintos despegados y roto, las instrucciones rotas, y algún producto mal puesto</t>
  </si>
  <si>
    <t>Un fraude Producto demasiado feo. Basura Encima,li pedi negro pero recibe azul No recomiendo a nadie</t>
  </si>
  <si>
    <t>Buena calidad Buena calidad y calentitos</t>
  </si>
  <si>
    <t>Poco peso Corta bien y no es aparatoso. No pesa mucho y es necesario sujetarlo un poco, pero para un uso esporadico está bien.</t>
  </si>
  <si>
    <t>Un guante para spinning Pedí un número más y después de 2 meses....encantado, la verdad!</t>
  </si>
  <si>
    <t>Excelente calidad-precio Cascos de muy buena calidad, tanto en materiales como en sonido, después de un año  y bastante creo que se puede opinar ya con objetividad y así poder ayudar a los que precisen de información certera. Decir que por el precio que ronda los 50€, este artículo te ofrece una conexión fiable Bluetooth, sin cortes, tanto para hablar por teléfono como para multimedia, con una capacidad de batería asombrosa, más de 20 horas de autonomía es mucho tiempo en una sola carga de unas 3 horas aproximadamente. Más que contento, se lo puedo recomendar con total tranquilidad a cualquier consumidor y si es exigente como es mi caso, va a quedar completamente satisfecho. Si te pareció bien mi aportación, pulsa útil.</t>
  </si>
  <si>
    <t>Buena compra. El envío un poco lento, pero detro del plazo. Son normales, de plástico, pero cumplen su función perfectamente. Los llevo usando unas semanas y no se ha roto ninguno, que he leído por ahí que dicen que son de mala calidad, ....para nada...son como los que compras de ese tipo en una tienda física. Yo los volvería a comprar. Recomendables por precio y calidad</t>
  </si>
  <si>
    <t>Perfecto el articulo y el servicio Me equivoque de talla ya que este producto tiene poca talla, y aunque lo ponia en todos los comentarios, no los hice caso, a partir de ahora los tendre mas en cuenta.  La cambie y el pedido entregado de nuevo en dos dias y sin ningin incovenien un 10 al producto y un 10 a amazon</t>
  </si>
  <si>
    <t>Muy útiles Son cepillos para limpieza de mugre incrustada que haya por la casa. Pese a la pinta de cepillos de dientes sus cerdas son mucho más fuertes y sacan muy bien la suciedad. Eso sí, para usarse en superficies resistentes como cristales, metales o azulejos, no el plástico de la pantalla del móvil.  Uno de los cepillos es más grande y de forma rectangular, y el otro es más pequeño y con forma de "V" para trabajos más finos. El pequeño tiene además una útil cuña de goma que sirve para sacar toda la roña de juntas y cavidades.  Muy contento!</t>
  </si>
  <si>
    <t>Queda bonito puesto Comprado para hacer un regalo a mi mujer, le ha encantado, queda muy bonito puesto y el tamaño según ella es ideal, ni grande ni pequeño.</t>
  </si>
  <si>
    <t>Buena compra Buena potencia para fiestas particulares. En menú  aparece la opción de radio pero no tiene. Tienes que poner bluetooth con móvil para poder oirla</t>
  </si>
  <si>
    <t>Funciona perfecto en mac Buen producto, bien acabado.</t>
  </si>
  <si>
    <t>El estilo que yo quería Bonitas y cómodas cuando las llevas unos días.</t>
  </si>
  <si>
    <t>El artículo era como esperaba El artículo era como esperaba</t>
  </si>
  <si>
    <t>La calidad Estupendas tal cual las fotos y originales</t>
  </si>
  <si>
    <t>Todo correcto El masajeador llego en perfectas condiciones. Funciona muy bien y lo estoy probando en la zona de las cervicales y parece que destensa bastante.</t>
  </si>
  <si>
    <t>Bonita y calidades muy buenas Muy buena calidad de la mochila, sorprendido gratamente. Diseño súper chulo. La verdad me ha encantado. La recomiendo 100%.</t>
  </si>
  <si>
    <t>Cascos de buena calidad a precio asequible Son los segundos cascos bluetooth que compro, ahora buscaba algo compacto y manejable para utilizar en la oficina y de camino a ella. Algo para quitar y poner facilmente y que resultaran comodos para largas horas. Después de estas semanas de uso estoy muy contento con ellos. Viene presentado en una caja de carton con el cable de carga micro-USB y almohadillas de silicona de distintos tamaños. La caja de los auriculares se abre comodamente pero sin peligro de abrirse sola. Tiene un indicador que nos muestra cuando estan cargando los auriculares y la capacidad de carga restante de la caja. En el interior los cascos vienen sujetos con unos imanes que hacen imposible que se suelten mientras están dentro. Una vez se encienden los cascos se enciende una luz asi como otra azul cuando emparejan. PROS - Caja pequeña y manejable pero rigida. Buen acabado. - Cascos y tapa bien sujetos. - Capacidad de los cascos y la caja, asi como indicadores de carga de la caja. - Uso mono/esterero. - Calidad del sonido. - Soporte técnico.  CONTRAS - Acostumbrarse a la patilla larga de su diseño. - Me costó sincronizarlos, pero con ayuda del soporte técnico lo consegui solucionar muy rapidamente.  En resumen, muy buen producto y a buen precio. Como comento, además el soporte técnico fue muy rápido y solucionaron mi problema con la sincronización con una lista de pasos a seguir.</t>
  </si>
  <si>
    <t>Perfecto Igual que en las fotos. Tamaño perfecto</t>
  </si>
  <si>
    <t>Muy buen sonido y cómodos Son cómodos y tienen una calidad de sonido muy buena</t>
  </si>
  <si>
    <t>Cable Bien precintado, es lo que necesitaba</t>
  </si>
  <si>
    <t>airpods pro mucho mejor que los AirPods clasicos  el diseño esta bien las almohadillas se adaptan bien el punto negativo el precio</t>
  </si>
  <si>
    <t>Estructura metalica resistene y facil de limpiar El motor es dificil de frenar al exprimir, cosa que me agradó notablemente, facil desmontage de las partes para su limpieza, lo coloco en el lavaplatos y sin problema a dia de hoy. La parte metalica del recubrieminto exterior aguanta bien sin decoloraciones ni abolladuras leves por pequeños golpes, aguanta bien. Diseño sencillo, lo recomiendo si necesitas un buen exprimidor</t>
  </si>
  <si>
    <t>Muy buenos Aún no los he usado porque son de invierno, pero los he probado y son excelentes. Cómodos, el tamaño justo para mis pies. Todo piel, buena calidad. Espero que con el uso no se deterioren rápidamente.</t>
  </si>
  <si>
    <t>Buena función Perfecto, cumple su función, y además es bonito.</t>
  </si>
  <si>
    <t>un micro de buena calidad y estetico para el uso que le estoy dando es justamente lo que necesitaba. buen micro. tiene una respuesta de calidad impresionante</t>
  </si>
  <si>
    <t>NO ME CONVENCE Pensé que eran como los que tenía, pero no. Son lisos, no aristados como deberían ser lo que me lleva a pensar que no son TOUS</t>
  </si>
  <si>
    <t>se rompo al poco de usarla y no es muy grande se me ha roto el boton al poco de usarla, y al meter una libreta dentro se queda rígido, por lo que no es muy grande.</t>
  </si>
  <si>
    <t>No me gustó este producto No estoy contenta con este producto huelen mucho a pintura pedí mi talla y me enviaron una más que no es mía y Le tacharon el número de calzado de verdad que mal producto no las use ni 20 minutos así que ese producto no lo recomiendo y son tan incómodas que cansan</t>
  </si>
  <si>
    <t>Problemas de compatibilidad con ficheros avi y problemas de expulsión del pendrive del ordenador El pendrive me da problemas en el iPad Pro 10.5 con la lectura de ficheros avi, (la imagen va a saltos), a pesar de que pone que son compatibles. He comprobado en un ordenador que estos ficheros están bien. Da problemas también en la expulsión de disco porque hay que forzar la salida para extraerlo, a  pesar de trabajar en un iMac que se supone que es totalmente compatible.</t>
  </si>
  <si>
    <t>Cómodo pantalón deportivo Geniales,tal como esperaba. Estupenda relación  calidad-precio, talla bien, algodón genial y acopla al tobillo y pierna. Largaria bien y color igual.</t>
  </si>
  <si>
    <t>Suela de cerámica y vapor vertical Plancha sencilla, de funcionamiento sencillo, con rueda para temperatura de: sintéticos, lana y seda, algodón y lino.  En la parte superior trae botón de chorro de vapor y chorro de agua. También tiene una palanca para seleccionar la intensidad del vapor.  Tiene botón de autolimpieza.  La suela es de cerámica, ofrece buen deslizamiento y la punta de precisión permite un buen planchado entre botones.  Trae un cable de casi dos metros, lo que resulta cómodo sobre la tabla de planchar habitual. Para el planchado en vertical debemos seleccionar la máxima temperatura y pulsar el botón vapor.  No utilizo mucho el planchado vertical, pero por el precio que tiene la plancha me parece muy bien que lo ofrezca. En cuanto al planchado tradicional no está nada mal.  Buena relación calidad precio.</t>
  </si>
  <si>
    <t>Buen artículo Cable balanceado idóneo para microfonía. El producto venía bien embalado.</t>
  </si>
  <si>
    <t>Puedes escribir algo bonito. Estupendas para regalos.</t>
  </si>
  <si>
    <t>Buen relacion precio calidad Funciona perfecto. Tiene buen nivel de potencia.</t>
  </si>
  <si>
    <t>Repetí compra en una semana La compré para casa y a la semana siguiente me compre otra para el trabajo. Bien acabada, tamaño suficiente para trabajar bien con el raton, muy comoda para la muñeca</t>
  </si>
  <si>
    <t>Buena calidad He leido que pulsar los botones es molesto, pero a mi no me lo parece. Es bastante práctico el regulador de potencia-velocidad que tiene en la parte superior.  El accesorio picador, es bastante pequeño, pero muy efectivo. He probado accesorios picadores más grandes, pero no terminan de picar todo bien. Este en cambio, realiza el picado muy rápido y bien.</t>
  </si>
  <si>
    <t>Buen comprar. Batería incorporada que se puede llevar a cualquier otro lugar. Fácil de usar, hacer batido de leche y jugo son muy convenientes. Adecuado para preparar comidas nutritivas, mis niñas les gusta. Buen comprar.</t>
  </si>
  <si>
    <t>Muy chulo Es un colgante muy bonito, fino y elefante. Aunque un poco pequeño quizás. A mi hermana, que es a quién se lo regalé, le ha encantado.</t>
  </si>
  <si>
    <t>BONITO Y COMODO BUENA COMPRA ES CÓMODO Y ESTÉTICAMENTE DEPORTIVO , ACUÁTICO UN MATERIA DE CALIDAD LO UTILIZO PARA COMBINARLO CON ROPA DE VERANO.</t>
  </si>
  <si>
    <t>Muy bien Muy cómodas y talla exacta</t>
  </si>
  <si>
    <t>Cómodas Lo uso para un gimnasio</t>
  </si>
  <si>
    <t>Un clásico Es un reloj que no decepciona, todo un clásico. Muy buen acabado. Tiene buena calidad y muy buena relación calidad/precio.  .</t>
  </si>
  <si>
    <t>me llegaron dos a falta de uno. lo he montado en el pc y es una pasada la rapided de carga de programas,se lo recomiendo a todo el mundo.</t>
  </si>
  <si>
    <t>Zapatos seguridad Zapato muy  cómodo para trabajar durante todo el día. Muy ligeros.</t>
  </si>
  <si>
    <t>Perfectas Perfectas. Cómodas y de gran calidad.</t>
  </si>
  <si>
    <t>Buen producto Buena calidad, buena velocidad, buen tamaño y el led le da un toque de originalidad. Muy contento</t>
  </si>
  <si>
    <t>Mont Se pega genial</t>
  </si>
  <si>
    <t>Buen articulo Cumple perfectamente sus funciones. tiene un sonido claro y va muy bien para grabaciones de video sin mucho ruido. tiene dos modalidades, smartphone y videocamara. Elección perfecta antes de comprar un micro/radio.</t>
  </si>
  <si>
    <t>Es lo que esperaba Es lo que esperaba</t>
  </si>
  <si>
    <t>Que funciona correctamente. Todo bien</t>
  </si>
  <si>
    <t>Execelente Excelente producto y fácil de lavar cuando se ensucie</t>
  </si>
  <si>
    <t>Tallaje pequeño Para chicas con pecho,no sujeta lo que debería. Aún cogiendo mi talla,me lo veo pequeño y los tirantes largos.</t>
  </si>
  <si>
    <t>Bota básica Básico</t>
  </si>
  <si>
    <t>No me gustan Pille medio numero mas y me queda juTo y muy apretado</t>
  </si>
  <si>
    <t>Muy caro para su calidad Lo esperaba de mejor calidad por el precio pagado. Es el mismo o muy similar al de Ikea pero 3 veces más caro.</t>
  </si>
  <si>
    <t>lentisimo Estos pen drives se venden como USB 3.0 pero es solo de fachada. Si intentas copiar algo desde un PC a uno de estos pen drives por USB 3.0, la máxima velocidad que se alcanza son uno 10MB/s. Es decir que si tienes fibra de 100Mbps, tardas menos en descargarte un fichero de internet que de copiarlo localmente por USB. Una vergüenza. Sabemos que por el pecio no se puede pedir mucho pero viniendo de una marca reconocida como kingston me parece una burla.</t>
  </si>
  <si>
    <t>Cumple muy bien El producto está genial, yo creo que relación calidad precio es de lo mejor del mercado, el único inconveniente que le veo y por lo que le doy 4 estrellas en vez de 5 es por la velocidad de escritura, me parece algo lenta para la capacidad que tienes, por lo demás ha cumplido con mis expectativas.</t>
  </si>
  <si>
    <t>S Muy buena adquisición</t>
  </si>
  <si>
    <t>Muy recomendable Producto muy recomendable. Muy completo en cuanto a funciones, aunque un poco grande. Solo queda comprobar su durabilidad y su garantía.</t>
  </si>
  <si>
    <t>Bien!! Eso ya va el cuerpo de cada uno también... pero a mi chico se le queda bien, no como esperaba pero bastante bien</t>
  </si>
  <si>
    <t>Satisfecho, pero la pantalla es de plastico y se ralla con facilidad Muy buen reloj, he probado a sumergirme con él y bucear a pocos metros, y resiste genial. Lo unico malo: la pantalla (que por cierto es de plastico) se ralla con muuucha facilidad, con el mas minimo roce, te encuentras con que tiene un arañazo nuevo.</t>
  </si>
  <si>
    <t>Que sorpresa funciona muy bien! Esstou 100% contenta con mi copita Meluna. La llevo jugando tenis cuando voy a la sauna y tb si estoy de viaje. No la nota y a veces olvido que la tengo puesta... Que invento para la libertad y independencia de nosotras.....!!! Espero que haya mas mujeres que se atreven.....Animo!!!</t>
  </si>
  <si>
    <t>silencioso y fiable perfecto  fácil de instalar con unos conocimientos medidos de informática total mente silencioso</t>
  </si>
  <si>
    <t>Excelente Pizarra sencilla que cumple para un uso personal. Tras varios usos aparece cierta suciedad, la cual puede ser eliminada fácilmente aplicando un poco de alcohol. Si cuentas con un borrador dicho problema es inferior.</t>
  </si>
  <si>
    <t>Todo perfecto Bien embalado. Buen Precio. Mucho espacio de almacenamiento. Muy bonito. Me encantó.</t>
  </si>
  <si>
    <t>Buen producto a buen precio La sensación que tienes es muy agradable cuando te levantas de haberla usado, las tensiones de la espalda desaparecen por completo.</t>
  </si>
  <si>
    <t>Ligera y muy cómoda Mochila muy práctica, es ligera y cómoda de llevar. Tiene bolsillos suficientes para llevar todo muy a mano. Es pequeña si se quiere usar como un bolso pero para llevar móvil, llaves, cartera y algún accesorio hay de sobra.</t>
  </si>
  <si>
    <t>Genial No tengo palabras negativas. Calidad buena, se ajusta a lo que esperaba, de talla va bien... estoy muy contenta</t>
  </si>
  <si>
    <t>Perfec9 Precioso</t>
  </si>
  <si>
    <t>Satisfecho Buen precio y buena calidad. Como yo esperaba.</t>
  </si>
  <si>
    <t>Comodidad y calidad de sonido Después de varios días de probarlos, estoy encantado con ellos, no se caen, y sobre todo suenan muy bien, tiene una gran calidad de sonido, no soy un experto pero suenan muy bien..  ademas del sistema que lleva para poder cargarlos con esa batería o porta auriculares que lleva incorporada!!, se sincronizaron prácticamente solos entre si y después super rapido con el movil, solo los uso para escuchar música con lo cual los extras de contestar telf etc no puedo opinar, aunque al ser tactiles he comprovado que solo tocarlos ya hacen la funcion. su presentacio y acabado son super .. los uso para ir y venir del trabajo y en esos ratos no he cargado el portador y llevo mas de una semana.. fantasticos relacio calidad precio</t>
  </si>
  <si>
    <t>Expectativas cumplidas Muy buena compra y de buena calidad. Muy util ya que tiene muchos bolsillos. De momento no veo ninguna cosa negativa.</t>
  </si>
  <si>
    <t>Buen sonido,ligereza y ergonomía Buenos auriculares para hacer deporte o entrenar en el gimnasio gracias a su comodidad. No se caen como otros modelos y son muy ligeros. El sonido es bueno y gracias a su panel táctil puedes encenderlo o apagarlo y subir el volumen. Sin duda una buena compra ya que la relación calidad/precio está muy bien. Ahora falta saber la durabilidad en el tiempo de la batería ya que yo compré otro modelo de otra marca pero inalámbrico también y me duraron 6 meses. De momento le dejo las 5 estrellas y si pasa algo actualizaré mi comentario.</t>
  </si>
  <si>
    <t>Recomendable 100% Disco duro fantástico. Muy pequeño y con gran capacidad y velocidad de trasferencia</t>
  </si>
  <si>
    <t>És perfecto. Muy buen producto, ropa limpia, inolora y muy eco.</t>
  </si>
  <si>
    <t>Muy recomendable Me encanta este modelo, muy elegante y de una gran calidad</t>
  </si>
  <si>
    <t>Muy comodas Las zapatillas  con muy calentitas y muy cómodas para el invierno.  Las veo de buena calidad. Son recomendables</t>
  </si>
  <si>
    <t>Memorizando con Harry Potter A mi hijo le encantó. Esxtal como aparece en la foto.</t>
  </si>
  <si>
    <t>Calidad precio muy bien Me decidí por esta batidora por la referencia de la marca Oster y sus cuchillas con conexión metálica. La uso para todo: purés, batidos, salsas... Incluso pica hielo. La jarra es de cristal y resiste tanto el frío como el calor. El encaje puede parecer algo "suelto" comparado con otras batidoras, pero sólo se trata de encajara bien. Yo busqué videos en YouTube de gente usándola y ahí aprendí a hacerlo bien. La relación calidad/precio es muy buena. Recomendada para un uso doméstico. De hecho, esta es la segunda que compro, para otra vivienda. Muy contenta con ella</t>
  </si>
  <si>
    <t>Recomendables. Comodas y muy bonitas.</t>
  </si>
  <si>
    <t>El tallaje debería ser más preciso. El diseño de la zapatilla es precioso, el material parece bueno, pero la talla es increíblemente pequeña, pedí 41 1/3, y es una 40 a lo sumo. Por lo que me genera dudas el comprar la 42.</t>
  </si>
  <si>
    <t>Sigue buscando Son caros para la calidad que tienen.</t>
  </si>
  <si>
    <t>Bien Se puede mejorar</t>
  </si>
  <si>
    <t>CIERRE MUY INCÓMODO Y POCO DURADERO. El collar es bonito, como se ve en las fotos. Pero las cadenas son muy finas y el cierre tiene un diámetro muy pequeño y es muy fino y delicado. Es para ponerlo con ayuda; una misma, es complicado. Las cadenas están bien soldadas al cierre, así que de fallar, sería por el propio cierre. Tiene buen brillo, tanto las cadenas como el colgante y las circonitas, aunque sintéticas, tienen buena talla y reflejan mucho la luz. Parece plata auténtica, por el peso y aspecto. En el cierre lleva el sello 925, casi invisible. La caja en la que viene en mi caso estaba defectuosa y no cerraba, se quedaba entreabierta, lo que sumado a lo otro, no me ha acabado de convencer. No lo recomiendo. Espero haber sido de utilidad con mi opinión.</t>
  </si>
  <si>
    <t>Desastrosas El vendedor promociona el "masaje" producido por las protuberancias en la planta del pie, pero el resultado es exactamente el contrario. Parecen un instrumento de tortura ideado por los maestgros de la Inquisición. No me puedo imaginar a nadie sintiéndose cómodo con ellas. Una estrella porque no hay menos.</t>
  </si>
  <si>
    <t>Nada El tejido es muy agradable, pero, la sudadera que me han mandado a mi está deformada, un costado es más largo que el otro</t>
  </si>
  <si>
    <t>Bastante sencilla, pero correcta Se trata de una batidora de mano de la sobradamente conocida marca AEG. En la caja basicamente encontramos la batidora y el vaso medidor, sin más.  En cuanto a construcción, sí que hay que decir que aunque es de plástico se ve sólida. El cable tiene una longitud correcta para poder usarla cómodamente (1,2 metros). Las cuchillas son resistentes, de acero inoxidable, con doble cuchilla de acción vertical y horizontal. El vaso medidor que incluye es de 600ml.  Es una batidora sencilla que simplemente tiene el botón de funcionamiento y el botón turbo.  Para la limpieza de la parte inferior es tan sencillo como girar las dos piezas, ya que van ancladas.  La verdad que por precio no está mal, pero es un pack sencillo la verdad, se echa en falta al menos la herramienta de varillas.</t>
  </si>
  <si>
    <t>Lo completa que viene. El cristal es muy grueso y pesado.por lo demás está bastante bien.</t>
  </si>
  <si>
    <t>Muy bueno En general, muy buena compra, es comodo, grande, bonito y se ve bien, tanto iluminado como sin luz. Por poner un pero, la alarma suena bastante baja</t>
  </si>
  <si>
    <t>Reloj Era lo que esperaba</t>
  </si>
  <si>
    <t>Solo falla una cosa El tirador genial, muy fácil de usar y el sabor de la cerveza muy bueno, realmente sabe a cerveza tirada del grifo del bar. El único fallo que tiene, es que no creo que este pensado para zonas calurosas, a no ser que se use en una habitación aclimatada, ya que si la temperatura ambiente es sobre los 30 grados, por mas horas que este conectado no se pone en verde, y la cerveza no sale fría del todo. Genial, pero para usar en invierno, olvidarse de cerveza fresquita en verano.</t>
  </si>
  <si>
    <t>Mejor SSD para darle vida a un viejo Dell Hace unos meses, por la falta de presupuesto, decidí que en vez de comprar un pc nuevo iba a renovar un viejo Dell Optiplex 760. Le compré un procesador, una tarjeta gráfica, más memoria pero lo que más se notó fue este SSD. Windows 10 pro se inicia en segundos, nada más que salga el escritorio puedo abrir cualquier programa, abrir cualquier menú en segundos cosa que con HDD era imposible. Sabía que un SSD iba a mejorar el rendimiento de mi PC pero tanto la verdad que no me lo esperaba nada. Súper contento con la compra y en 6 meses no me dio ningún problema. Lo único es que al instalar windows, no me salía el SSD hasta que lo formateé (NTFS, default, formateo rápido) pero aparte de eso nada. Muy contento la verdad.</t>
  </si>
  <si>
    <t>Son perfectas Cómodas como unas deportivas pero parecen unas botas, los pies van calentitos pero sin pasarse, las usé en Galicia y ahora en la Costa Brava,las volvería a comprar</t>
  </si>
  <si>
    <t>Buena calidad precio Poco más que decir, sencillamente funciona. Actualmente he comprado dos, uno de ellos está sobre un Windows 10 y el otro sobre una distribución Linux, Kde Neon concretamente, problemas 0.  Por 45€ que en oferta me costó, estupendo.</t>
  </si>
  <si>
    <t>Cumple su función Contentos con la compra, cansados ya de los típicos soportes malos de plástico que no se quedan apoyados y que se acaban rompiendo a los dos días, este tiene peso suficiente para ir cortando celo con una sola mano y la calidad de los materiales parece muy buena.</t>
  </si>
  <si>
    <t>El reloj de los recuerdos *****************************Disclaimer***************************** Actualmente existe una creciente cantidad de valoraciones "patrocinadas" por los mismo vendedores, esto genera desconfianza en la clasificación de los productos, que es la base de la plataforma de Amazon. Al margen de que Amazon debería regularizar esta situación, creo que el aporte que podemos hacer como usuarios es escribir valoraciones interesantes, objetivas y concretas. *********************************************************************** ¿Por que compre el producto? Es el reloj que use toda una vida y por el precio valía la pena probarlo. Compre dos mas para regalarlo a amigos  Opinion Estoy encantado con el reloj, es de muy buena calidad, original y con muy buen packaging  Pros - Diseño - Precio - Resistente al agua (lo uso para nadar)  Contras - Ninguna destacable</t>
  </si>
  <si>
    <t>Todo. Me gusta Es barata. Y muy eficaz. La recomiendo</t>
  </si>
  <si>
    <t>ME ENCANTA ME ENCANTA EL ESTILO QUE TIENE, MUY MODERNO FINO Y RÁPIDO, SOBRE TODO PEGA EN CUALQUIER COCINA YA QUE ES BASTANTE ELEGANTE. ES SUPER PRACTICO. ME ENCANTA. EL PEDIDO ME LLEGO AL DÍA SIGUIENTE EN PERFECTAS CONDICIONES. GENIAL.... A ESTE VENDEDOR LO RE COMIENDO.</t>
  </si>
  <si>
    <t>Elegante Muy bonito gustó mucho buena presentación</t>
  </si>
  <si>
    <t>Dolor de espalda Perfecta para aliviar los dolores de espalda. Tiene un tacto muy suave y diferentes niveles de temperatura.</t>
  </si>
  <si>
    <t>Rapidez Cómodo y buen precio</t>
  </si>
  <si>
    <t>Buen producto Buen producto corta bien, aunque le vendría  bien otra cuchilla para que cortará por arriba tambien</t>
  </si>
  <si>
    <t>Es amplia La bandolera es bastante grande lleva dos cremalleras y una interior dentro fue un regalo para mi marido y la utiliza en su día a día</t>
  </si>
  <si>
    <t>Buena calidad Es muy resistente la verdad es que me he alegrado el comprarlo porque me parece buena calidad.</t>
  </si>
  <si>
    <t>El sistema de apertura y cierre un poco latoso, pero en cuanto a su capacidad es excelente Aunque no termino de hacerme con el sistema de apertura, se trata de un pendrive ingenioso, y lo más importante, que ofrece mucha capacidad. No me ha dado ningún problema hasta ahora.</t>
  </si>
  <si>
    <t>Comodo y talla correcta Según la opinión de la persona a la que se lo he regalado me ha dicho que es muy cómodo y que es como si no llevaras nada, la presión de ajuste es la correcta y es bonito. Queda muy bien y es muy estético.</t>
  </si>
  <si>
    <t>MUY BIEN Y PRECIO GENIAL ZAPATILLA CLASICA DE ENTRETIEMPO MUY BONITA. TENGO TRES PARES. HE DESCUBIERTO EN AMAZON QUE EXISTEN NUMEROS MEDIOS. LAS DEVOLVI PORQUE ME ESTABAN MUY JUSTAS Y MEDIO NUMERO MAS PERFECTAS. Y PRECIO GENIAL.</t>
  </si>
  <si>
    <t>Mejor de lo q esperaba Muy cómoda, estable y ligera</t>
  </si>
  <si>
    <t>sin titulo Puede ser culpa mia por no fijarme bien pero los numeros salen en blanco y la pantalla en negro , no se ve bien la hora.</t>
  </si>
  <si>
    <t>ojo son un poco grandes mi mujer tiene varios pares y estos son como una talla mas de lo que pone</t>
  </si>
  <si>
    <t>COLOR DISTA DE LA FOTO Es un gris muy muy negro. Es una pena. Mucho más interesantes en la foto que en realidad. Eso si comodííííísimas y muy muy calientes. La calidad se deja notar. Pero como esto es una compra online, que la foto no corresponda 100% con el artículo no es una buena experiencia para el comprador.</t>
  </si>
  <si>
    <t>NO SON ORIGINALES He tenido que cambiarlas porque he pedido el numero que uso siempre en Reebok y me quedaba pequeño. Encima solo las he puesto tres veces durante unas horas y ya se han despegado por la suela. Muy raro todo si tan originales son como dicen.... Por mi parte no recomiendo comprarlas.</t>
  </si>
  <si>
    <t>El sonido Corrijo 3 usos y el auricular izquierdo ya no funciona y no puedo sincronizar con el movil. Espero me lo cambie. Lo peor el transporte y no poder conseguir un manual en español</t>
  </si>
  <si>
    <t>BUEN RELOJ Estaba buscando un reloj hacía tiempo G shock, me sedujo el tema de radio control, siempre me ha desquiciado el adelantar o atrasar las horas con el cambio de hora anual, este lo hace automáticamente, aparte es solar se carga con solo 5 minutos expuesto al sol, el tamaño es el suyo no es tan aparatoso como parece, si es cierto que si buscas algo mas sofisticado este no es tu reloj pues aparte de lo escrito te controla las fases lunares y mareas y es un típico reloj digital, existe otro modelo mas barato igual a este pero que no es radicontrolado, y también otros que son estéticamente mas bonitos de Casio y mas baratos, si lo pensáis dos veces merece la pena estos últimos el ahorro es del doble. Por hablar de mi reloj deciros que controla la energía automáticamente cuando detecta que no lo usas se desconecta al completo hasta que pulsas un botón para volverse a encender.La luz se enciende con un giro de la muñeca y pulsando un botón, es la justa para ver la hora.Me agrada que el calendario se totalmente automático y no tengas que ajustarlo ciertos meses.</t>
  </si>
  <si>
    <t>Silencioso Es bastante silencioso, cosa de agradecer pues lo uso en el despacho. La tapa con filtro es útil si quisieras echar alguna hierba dentro con el agua hirviendo.</t>
  </si>
  <si>
    <t>Valoracion Muy bonito el reloj y elegante que lo puedo combinar con lo que  te pongas y muy satisfecho con la compra</t>
  </si>
  <si>
    <t>Correcto pero muy justito Es más chica de lo que pensaba,y la cerradura aunque va bien tiene pinta de que ese bombín durará poco,para lo que cuesta está bien</t>
  </si>
  <si>
    <t>Buen detalle Bonito</t>
  </si>
  <si>
    <t>gran autonomia!!! auriculares inalambricos con un diseño muy bonito y tamaño pequeño que se adapta muy bien en las orejas y ademas viene con tres  diferentes tamaños de almhoadillas.La bateria dura bastante y su capacidad de 2200 mah permite cargar nuestro telefono(eso me a gustado bastante).  La calidad del sonido esta muy bien por el precio que ofrecen.Se conectan muy facil y rapido y no hay interupciones a la hora de hacer ejercicio. Su certificado de impermeabilidad ipx7 permite aguantar el sudor y la lluvia. en fin,unos buenos auriculares que los recomiendo</t>
  </si>
  <si>
    <t>Me ha encantado Camiseta muy cómoda y bonita. La primera vez que compraba esta marca y estoy muy satisfecha.</t>
  </si>
  <si>
    <t>Están muy chulas Me gustan mucho estas zapatillas, sobre todo por el color que le da un toque diferente. Son cómodas y ligeras, pero cuando andas durante mucho rato con ellas causan dolor en el costado del pie, de momento no he notado rozaduras después de usarlas.</t>
  </si>
  <si>
    <t>Muy buen bolso bandolera para hombre. Muy buena calidad, práctico en tamaño y bolsillos.  Recomiendo mucho su compra en este tamaño y en el más pequeño también.</t>
  </si>
  <si>
    <t>Buen producto Bonito y ligero</t>
  </si>
  <si>
    <t>Llegó pronto Está bien, para un regalo para una persona , hacer un detalle</t>
  </si>
  <si>
    <t>Buena relación calidad precio De momento llevo usándolo tres meses y funciona a la perfección</t>
  </si>
  <si>
    <t>Comodidad Son muy cómodos, aguantan bien el sudor y no se caen.</t>
  </si>
  <si>
    <t>Genial Me ayuda mucho a colocar cableado rj45 en instalaciones sin tener que taladrarle al cliente. Ellos encantados y yo también, he comprado varios</t>
  </si>
  <si>
    <t>Buena compra Me encantan. Son el tercer par que me compro del mismo modelo porque pegan con todo y son comodisimas. Yo tengo el 39 y ese es el que compré y me queda perfecto</t>
  </si>
  <si>
    <t>Excelente para su precio Excelente para su precio</t>
  </si>
  <si>
    <t>Lo que necesitaba La verdad que un muy buen producto, excelente calidad por el precio pagado!. Tamaño acorde a lo que estaba buscando, muy contento con la compra.</t>
  </si>
  <si>
    <t>Buen sonido con un diseño muy práctico y cómodo Me ha gustado mucho porque son muy cómodos a la hora de llevarlos puestos , se acoplan muy bien a la oreja con un sonido que roza la perfección por el precio que tienen , vienen en un estuche redondo donde también hay varios recambios para los tapincitos de los oídos y el cable para ponerlo en carga .Fácil de emparejar con el dispositivo Bluetooth,  yo tengo un S7 edge y no he tenido problemas.</t>
  </si>
  <si>
    <t>El producto es bueno El producto cumple muy bien con lo que esperaba de él. La limpieza es más cómoda y se coloca rápido.</t>
  </si>
  <si>
    <t>Fácil y rápido Es una compra segura, no hay trampa ni cartón, el envío es rápido y en la fecha prevista, y en relación al producto es exactamente lo que se describe</t>
  </si>
  <si>
    <t>Todo lo que necesitas, en un vistazo Me encanta, lo tienes todo a un golpe de vista y de forma clara, hora en dos modos (para los que como yo no se aclaran si les dices las 18:00), dia y mes para no ir despistado y saber que en dia y mes estás. Luz, que para la oscuridad te viene muy bien, aunque no llegue a iluminar del todo la pantalla, pero lo puedes ver bastante bien. Cronómetro simple y de una hora, cuando llega a 1 hora empieza de nuevo, para lo que lo tienes que usar, más que de sobra. Con su alarme de beep beep de toda la vida, y pitido cada hora activable, que se agradece para saber que tienes que mirar el reloj porque ya ha caido otra hora más y llegarás tarde. Ligero, no molesta para nada, sumergible de verdad no como los de ahora, lo puedes llevar siempre hasta en la ducha, piscina, playa, este si que no se jode, no como los moviles sumergibles de ahora. Es una liberación no tener que estar pasando pantallas y abriendo aplicaciones para poder hacer o ver las cosas.  ME ENCANTA Retro, ligero, super útil, recomendable a 200% y con estos precios no queda lugar a dudas.</t>
  </si>
  <si>
    <t>cumplen su función No se si son originales, para mi gusto, tiene peor sonido que los que vienen con el teléfono</t>
  </si>
  <si>
    <t>Sorpresón Llevaba tiempo probando distintos auriculares de tipo intraurales. Se estropeaban y entonces compraba otros. Ninguno de ellos merecía mención alguna. Sonido correcto, algunos mas o menos mejor en cuanto a sujeción... Acabo de comprar estos y sólo puedo decir ¡WOW! Muy por encima de la media en este rango de precios!!! Bajos muy buenos y la mejor sujeción al oido que he experimentado nunca en este tipo de auriculares. ME HAN ENCANTADO.</t>
  </si>
  <si>
    <t>regular los auriculares llegaron defectuosos. uno de ellos no funciona. deberían ofrecer opción de cambio. ofrecen devolución del dinero. pero si ahora quiero volver a comprarlos el precio ha subido..</t>
  </si>
  <si>
    <t>Buena calidad pero tamaño impreciso Los materiales eran de buena calidad pero la talla que escogí no era adecuada y no se ajustaba perfectamente.</t>
  </si>
  <si>
    <t>solo viene uno el pendiente no esta mal, algo complicado de poner. Solo viene un pendiente, y mejor así ya que es bastante llamativo.</t>
  </si>
  <si>
    <t>Calzado de seguridad Estaba contento con ellos hasta que empece a notar que las suelas no iban bien, como que se había despegado algo por dentro, incluso hacia sonidos cuando pisaba agua. La suela se ha desgastado notablemente incluso se ha agrietado el material. Decepcionado por la compra, de todos los calzados que he tenido, algunos me han durado incluso 3-4 años, este es el que menos lo ha hecho. Además toda la información viene en chino, no traen caja porque  vienen embalados con un plástico.</t>
  </si>
  <si>
    <t>No recomendables mala calidad No son pendientes de buena calidad. Las roscas no están bien hechas y cuesta enroscar y desenroscalos</t>
  </si>
  <si>
    <t>No son tallas europeas Buen producto, tallas para asiáticos, talla je europeo es diferente, 8xl corresponde a 3xl.</t>
  </si>
  <si>
    <t>Las 3 B: Bueno, Bonito y Barato. La he usado 3 o 4 veces solamente pero la potencia es excepcional. El cuerpo se le ve robusta y duradera. En cuanto a los demas accesorios, todavia no he tenido ocasion de usarlos, pero a poco que funcionen correctamente, la batidora junto con todo el set por el precio que cuesta... merece la pena.</t>
  </si>
  <si>
    <t>Esta bien, falta un pequeño estuche Lo cierto es que por el precio  no están mal, comparando con otros mucho mas caros y de marcar reconocidas y sobre todo bastante mas caros. El embalaje e una caja de cartón, mejor pocos plásticos. Ajustan muy bien a la cabeza, tiene almohadillas de varios tamaños (seis) para los distintos tipos de orejas... Si que hecho de memos un pequeño estuche para poderlos guardar, no siempre los llevamos colgados. Con respecto al sonido, no soy estricto en ese sentido, los voy a utilizar para hacer deporte y la calidad del sonido para mi no es lo mas importante. Pero aun así he de reconocer que suenan muy bien para el precio. Han conectado con dos dispositivo a la vez sin problema, un reproductor y un teléfono móvil, se puede escuchar música en el reproductor y contestar a una llamada con el teléfono, eso si cuando entra la llamada se corta la música. Muy contento con la compra y si duran por lo menos un año ya seria perfecto, he tenidos otros mucho mas caros que  solo me ha durado seis meses, creo a que como sudo mucho se estropean por eso.</t>
  </si>
  <si>
    <t>Cumplen bien Calcetines buenos para la temporada otoño invierno.</t>
  </si>
  <si>
    <t>Botas muy cómodas y de calidad Panama Jack es una compra segura. Las botas son muy cómodas y se ajustan perfectamente al pie. Además para el invierno son calientes y resistentes al agua.</t>
  </si>
  <si>
    <t>Espectacular Lo mejor del mercado a nivel de disco duro. Gran capacidad y muy rapido.</t>
  </si>
  <si>
    <t>Puntualidad en la entrega Es lo que esperaba, ni más ni menos</t>
  </si>
  <si>
    <t>Muy cómodos y buen sonido. Compre estos auriculares para hacer deporte. Lo mejor de todo es que las pequeñas diademas que abrazan la oreja son súper cómodas. Al ser de un material blando no se clavan en ningún punto. Traen una caja pequeña muy cómoda para guardarlos y llevar el cable cargador. El sonido por el precio es genial, igual que el volumen. El botón de encendido y pausa esta ubicado a la derecha justa en la parte externa del auricular así que es muy fácil ponerlos en marcha o pausar. Sin duda los recomiendo.</t>
  </si>
  <si>
    <t>Fundas de buena calidad Las fundas tienen buena calidad y son resistentes. Venían en una caja por lo que en el transporte no se estropean</t>
  </si>
  <si>
    <t>Reloj necesario Llevaba tiempo buscando un reloj de éste tipo para mi padre y me decidí por éste modelo por su diseño. Es un reloj muy elegante y clásico, la correa es fuerte y queda ajustada a la muñeca. Viene en una bonita caja y con un tornillo para ajustar la correa. Es un reloj muy recomendable.</t>
  </si>
  <si>
    <t>Gran producto Se escucha de maravilla</t>
  </si>
  <si>
    <t>Muy buena No había utilizado nunca está marca en dispositivos de almacenamiento y tengo que decir que me ha sorprendido muy gratamente. Compré la de 128 GB y tiene reales 119.3 y en el test de velocidad me ha dado 48.3 MB/s en escritura y 63.1 en lectura, ambos valores estables y que no están nada mal, incluso mejores que los de otras tarjetas de "primeras" marcas mucho más caras. He grabado vídeos 4k sin ningún  problema. Viene en un embalaje perfecto. Aunque pone que fabricada en Taiwán la marca es japonesa. Recomiendo su compra en base a mí experiencia</t>
  </si>
  <si>
    <t>Triunfé con el regalo Fue un regalo para un amigo invisibe y le encantó. Esta persona trabaja mucho haciendo fotos con el móvil a documentación y luego era un engorro para él tener que estar viendo las imágenes. Se descarga rápido y tiene mucha capacidad. Genial para volcar fotos, audios, vídeos, imágenes y no llevarlo todo en el móvil, por lo que pueda pasar.</t>
  </si>
  <si>
    <t>Es rapida y lo Es genial</t>
  </si>
  <si>
    <t>Auriculares cómodos, buena calidad de sonido y precio muy ajustado Auriculares estupendos para el día a día. Se ajustan perfectamente a mi oreja, pero en caso de que tuviera algun problema de tamaño, viene con unas gomitas ajustables de tres tamaños diferentes. Yo los utilizo sobretodo como manos libres para el teléfono. Tiene un botón en rl cable que sirve para coger la llamada entrante o para colgarla, dado el caso. Tambien los uso para escuchar la radio desde el móvil, ya que hace de antena. Y por último los uso para escuchar música. El material del cable es de malla, recubierto por una capa de plástico suave y flexible muy cómodo. La calidad del sonido es adecuada para el precio que tiene, lo recomiendo.</t>
  </si>
  <si>
    <t>Alta calidad a bajo precio. Pues me he comprado un montón de auriculares inalámbricos en el pasado, pero solo estos me satisfacen. El precio cuadra con la calidad del producto, es un producto que permite experimentar música en todo su esplendor. Me ha gustado la marca, por eso voy a seguir comprando productos de la marca y recomendándolos a todo el mundo.</t>
  </si>
  <si>
    <t>Potente limpiador Alucinando estoy con este producto, lo compré por su económico precio y para probar si realmente funcionaba. Y sólo hay que ver las fotos.. El producto cumple su misión 100%. La única pega que Le pongo, es que una vez que vas usando la barrita, tienes que ir cortando para quitar lo sucio, y es muy difícil y duro de hacer. Si alguien me puede decir cómo lo hacen ustedes, yo encantada de escuchar. Repetiré esta compra SEGURISIMO</t>
  </si>
  <si>
    <t>Contenta con la eleccion La compre principalmente por la picadora y renovar mi antigua batidora, al tener varias velocidades se puede adecuar a los alimentos, sin problema tampoco para hacer mahonesa. No he probado a picar hielo, pero viene con instrucciones que dice que lo permite. Le pongo menos comodidad porque las cuchillas de la picadora no se pueden lavar.</t>
  </si>
  <si>
    <t>Recomiendo su compra Son unos buenos auriculares hasta ahora no me han fallado, el cable está hecho de un material que nunca se enreda se queda siempre como enrollado, a alguna gente a lo mejor puede molestarle porque no se puede doblar, pero para mí es una ventaja ya que te los puedes colocar sin necesidad de desliarlos. Se escuchan muy bien.</t>
  </si>
  <si>
    <t>Milagrooooo Estaba desesperada, quería destetar a mi hijo y no había manera, probé muchos biberones, leches distintas y nada, compré este y el niño cogió el bibi fenomenal. Estoy encantada</t>
  </si>
  <si>
    <t>Recomendable. Buen producto a muy buen precio. Recomendable.</t>
  </si>
  <si>
    <t>Practico y para uso diario Muy ligero de llevar y muy buen precio</t>
  </si>
  <si>
    <t>Un acierto Muy bonita y fina. La compré para regalar y ha sido todo un acierto.</t>
  </si>
  <si>
    <t>Ha durado 4 meses La tapa de las cuchillas ha durado 4 meses</t>
  </si>
  <si>
    <t>Hay que pedir por lo menos dos tallas más Muy calentita pero aprieta bastante, a pesar de que pedí una talla más. Al apretar se sube y deja la cintura al descubierto. Imagino que eso no ocurrirá sino consigue dar con la talla adecuada</t>
  </si>
  <si>
    <t>Caca Ponía 170 velocidad de escritura. Realidad :  30</t>
  </si>
  <si>
    <t>Frágil Es bonita pero es muy frágil, a la semana sin hacer nada se rompió el enganche que sujeta la cadena.</t>
  </si>
  <si>
    <t>Recomendables por relación calidad-precio Son muy cómodos, se manejan y se conectan al móvil fácilmente. El sonido, claro que es mejorable, pero con este precio es lo esperado, se escucha correctamente. Tengo algún problema para usarlo como manos libres en una llamada, oígo bien la llamada, pero me comentan que a mi se me oye muy lejos.</t>
  </si>
  <si>
    <t>Muy práctica y ocupa poco Es perfecta para quien no tenga espacio. Se guarda y no ocupa nada. Tuve otra y se acabó rompiendo por los pliegues, espero que esta me dure algo más, aunque la otra me duró un año y medio. El pedido llegó rápido y perfecto.</t>
  </si>
  <si>
    <t>Si tienes un iPhone debes tener esto Tenía muchos problemas para pasar mis Fotos y vídeos del iPhone al pc y desde que descubrí esto ningún problema. No le doy 5 estrellas porque no es todo lo intuitivo que debería, aunque tampoco es difícil de manejar.</t>
  </si>
  <si>
    <t>Muy cómodos y sencillos de usar. Cómodos. Sencillos de usar y se pueden emparejar con cualquier cosa con bluetooth sin ningún problema de incompatibilidad. El sonido también es excelente. Lo único que me incomoda son las almohadillas, tuve que comprar unas de mi tamaño.</t>
  </si>
  <si>
    <t>Comodidad Cómodo, pero no me queda para dormir porque es muy justo para mí.</t>
  </si>
  <si>
    <t>es muy bonita es super bonita</t>
  </si>
  <si>
    <t>Muy buena Es una batidora muy facil de usar con diferentes niveles de velocidad y potente. Es muy comoda en la mano y con el accesorio que trae se puede hacer muchisimas cosas.</t>
  </si>
  <si>
    <t>Llegó en buen estado y rapido Es más bonito que en la foto....lo recomiendo</t>
  </si>
  <si>
    <t>es preciosa!.. es muy potente y el acabado cuando la tengas en la mano lo notaras que es de muy buena calidad; la recomiendo por el precio!</t>
  </si>
  <si>
    <t>dani Perfecto y de bastante calidad. Volvería a comprar porque por lo que me ha costado me compraba 1 solo. Aquí es el par.</t>
  </si>
  <si>
    <t>Un sudadera perfecta. Simplemente genial. Parece de calidad.</t>
  </si>
  <si>
    <t>Bien Producto de siempre en envase grande. Todo correcto</t>
  </si>
  <si>
    <t>Cumple su función Cumple perfectamente su funcion, calienta en la potencia máxima lo suficiente cuando lleva unos minutos encendida y se apaga sola por tema de seguridad.</t>
  </si>
  <si>
    <t>Buena relación calidad precio. Se ajusta a descripción, es adaptable y supercoómodo! Lo recomiendo</t>
  </si>
  <si>
    <t>Muy bonita, para mi gusto. Me gusta la camiseta. No entiendo algunos comentarios como que son largas o si la tela es de mala calidad. Si alguien quiere probarsela o ver la calidad de la tela que vaya a una tienda física. La camiseta en sí está muy bien, no puedo asegurar que sea falsa o verdadera, pero me da igual, por 11 euros que me ha costado esta genial, muy cómoda y además es bonita. Compré una en azul y otra en blanco, y si que es verdad que la blanca la tela parece algo diferente, como más gruesa. En cuanto a la largaría, yo mido 1,73 y la M de largo me queda algo larga, pero es comprensible que haya gente de 1,80 que también use una M y tendrá q ser larga. En fin, a quien no le importe si es verdadera o falsa ( yo creo que es verdadera) y la vaya a usar para el gym, es perfecta, tanto por precio como por calidad.</t>
  </si>
  <si>
    <t>SORPRESA AGRADABLE Es un SEIKO, automático, que hasta el momento funciona a la perfección.La sorpresa agradable es que en la oscuridad son luminiscentes tanto las agujas ,como las "rayas" que señalan cada número por lo que se ve estupendamente. Me ha decepcionado un poco la correa, que aunque es deportiva, un poco simple para la categoría del reloj.</t>
  </si>
  <si>
    <t>Óptimo Son geniales! Me encantan!</t>
  </si>
  <si>
    <t>Semibotas Ideales para senderismo Son ideales para trekking (senderismo). La punta tiene refuerzo de caucho, anti golpes. Por dentro son cómodas y agarran bien los tobillos. La planta tiene la rigidez justa que lo hacen flexibles al caminar. El precio estaba por debajo de los de la tienda oficial.</t>
  </si>
  <si>
    <t>Perfectos Los pantalones son muy comodos, muy calentitos y sientan genial, mido 1,90 y peso 82kg me pedí una L y me esta perfectamente volvere a comprarme de otro color sin duda</t>
  </si>
  <si>
    <t>Muy bien Es pequeño pero muy bonito. Con varias ilustraciones, una de ellas, un mapa de Hogwarts y sus alrededores muy chulo. Pediré los demás libros de la colección.</t>
  </si>
  <si>
    <t>Excelente Calidad garantizada</t>
  </si>
  <si>
    <t>Estéticamente precioso Producto estéticamente precioso con un diseño bonito moderno y con gusto. Pega con cualquier estilo de decoración y su uso es muy fácil y sencillo. Viene con un cable de alimentación con bastante longitud lo que facilita la instalación del producto a larga distancia de un enchufe. Contento con su resultado.</t>
  </si>
  <si>
    <t>Buen diseño El diseño es chulísimo, mucho más de lo que se aprecia en la propia imagen.  Los acabados exteriores son muy buenos, bien cosido, pegado, sin hilos y bien confeccionado. Los colores son buenos y uniformes y los materiales adecuados.  En cuanto al interior son cómodas de utilizar, salvo que en la parte del puente del pie se nota ligeramente el cosido exterior e incómoda un poco.  En general es una buena zapatilla y estoy contento con la compra.</t>
  </si>
  <si>
    <t>Me encantan Es perfecto. Al niño le encantan</t>
  </si>
  <si>
    <t>correcto era lo que buscaba</t>
  </si>
  <si>
    <t>Para mejorar l circulación sanguínea Como masajeador funciona para activar la circulación pero nada más no esperéis milagros que pueden hacer el deporte y una buena alimentación a no ser que tengas problemas de circulación porque en ese caso ayuda.</t>
  </si>
  <si>
    <t>Muy cómodos Muy bonitos y cómodos, como pero le pondría q al lavarlos unas pocas veces kes salen bolitas</t>
  </si>
  <si>
    <t>🤔 Para estar por casa</t>
  </si>
  <si>
    <t>Mal diseño y mal resultado La verdad que este artículo me ha decepcionado desde el principio. Primero lo tuve que cambiar porque el gore tex no funcionaba y se colaba el agua( un 10 para Amazon que lo cambio sin ningún problema). Posteriormente cada vez que me he puesto estas zapatillas he sufrido fascitis plantar y dolor de talon( ando mucho por montaña y campo y solo sucede con estas zapatillas). Me parece que no están bien diseñadas. Lástima que cuando me he dado cuenta del problema ya no las podía descambiar.</t>
  </si>
  <si>
    <t>Lamentable Lo que he recibido es un desproposito, esta todo desarmado e inutilizable. las piedras sueltas los engarces hechos una pena y sin posibilidad de uso ni colocacion</t>
  </si>
  <si>
    <t>Bastante bien Se ve bastante bien, la he utilizado una vez. Tarda mas de 10 mins en calentar. Pero calienta muy bien y aguanta mucho vajo las sabanas.</t>
  </si>
  <si>
    <t>PARA LO QUE ES Cumple su funcion.</t>
  </si>
  <si>
    <t>Compra perfecta Mi pareja está encantada con ellas, no las deja de poner ni una noche....</t>
  </si>
  <si>
    <t>Buen oegsmento Pega super bien</t>
  </si>
  <si>
    <t>Muy cómodas y numeración correcta Son unas zapatillas de material sintético bastante cómodas, con bonito diseño y ligeras. Me ha gustado sobre todo la correcta talla, y no tener molestias con devolución. Para mujer si tienes un 39 de calzado normal, pues en estas queda perfecto. Envío en un día.</t>
  </si>
  <si>
    <t>Muy útil &lt;div id="video-block-R1ILMQJR10VA6T"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id="71" preload="auto" src="https://images-eu.ssl-images-amazon.com/images/I/B1VhghbUsHS.mp4" style="position: absolute; left: 0px; top: 0px; overflow: hidden; height: 1px; width: 1px;"&gt;&lt;/video&gt;&lt;/div&gt;&lt;div id="airy-slate-preload" style="background-color: rgb(0, 0, 0); background-image: url(&amp;quot;https://images-eu.ssl-images-amazon.com/images/I/81Qc5jqHamS.png&amp;quot;);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value="https://images-eu.ssl-images-amazon.com/images/I/B1VhghbUsHS.mp4" class="video-url"&gt;&lt;input type="hidden" name="" value="https://images-eu.ssl-images-amazon.com/images/I/81Qc5jqHamS.png" class="video-slate-img-url"&gt;&amp;nbsp;El producto es genial. Muy sencillo de utilizar y versátil , además te permite programarlo desde la app del móvil. Se puede utilizar como luz, despertador o radio. Muy contento con la compra.</t>
  </si>
  <si>
    <t>Una pasada Era para regalar a mi marido y triunfé... la caña sale Perfecta</t>
  </si>
  <si>
    <t>bien a mí parecer, son  correctos calidad precio, se escucha bien y cumple lo q dice. El material es cómodo y maleable para cada oreja contenta 😋</t>
  </si>
  <si>
    <t>Genial Es justo lo que esperaba. No se calienta tanto como otras memorias que he tenido</t>
  </si>
  <si>
    <t>Como me esperaba Talla bien,quedan como un guante,bonitos y comodos,estoy contento</t>
  </si>
  <si>
    <t>Muy bien Cuando se nos estropeó la que teníamos mi mujer me pidió que le buscara una nueva batidora, en esta me gusto la marca y el precio así que la compré y creo haber acertado ya que no ha habido quejas y si salsas y pasteles.</t>
  </si>
  <si>
    <t>Relación calidad/precio casi inmejorable Funciona perfecto. Increíble SSD por su precio.</t>
  </si>
  <si>
    <t>Comodidad Muy cómodos. La parte negativa, es q el exterior es frágil a los golpes dado q es de tela. Muy frescos y recomendables.</t>
  </si>
  <si>
    <t>Cómodas, bonitas y buena calidad Compré estas zapatillas para un regalo y han sido un acierto. El modelo es muy bonito, son cómodas como todas las Skechers y de buena calidad. El envío me llegó mucho antes de la fecha prevista. Recomiendo 100% tanto las zapatillas como el vendedor.</t>
  </si>
  <si>
    <t>Referido a la talla Vi por los comentarios que había controversia con el tema de las tallas. En nuestro caso resultó fácil acertar con la talla pues ya tenía unos similares, pero en este sentido, me gustaría comentar que yo creo que la horma de este tipo de zapato es holgada de serie y mucha gente piensa que comprando una talla menos se le ajustará mejor. No es así, la horma es la que es y has de coger la talla que te corresponde. Precisamente porque la horma es ancha, si tienes el pie estrecho, el zueco te baila un poco pero es normal. Hay que tener cuidado entonces con el uso que le das. Por lo demás, es la marca que creo hace mejor este tipo de zueco. Importante que tenga agujeros para poder airear el pie sino te puede llegar a sudar bastante.</t>
  </si>
  <si>
    <t>PERFECTAS Confiamos plenamente en la marca MEDELA y no nos podemos quejar, no hemos tenido problemas con los cólicos ni problemas de atragantamiento. El bebé en ningún momento ha mostrado señales de rechazo.Y si como nosotros  usas todo de la misma marca no tienes ningún problema de compatibilidades ni cosas parecidas.</t>
  </si>
  <si>
    <t>Camiseta Buen producto buen precio muy bonita</t>
  </si>
  <si>
    <t>Buena compra Tal y como se indica</t>
  </si>
  <si>
    <t>Excelente funda en relación calidad/precio No es la más barata ni la más cara, pero había seleccionado esta funda porque era algo más grande que otros modelos. Encaja perfectamente con discos duros del modelo Transcend 25M2, 25M3 (que son algo más grandes que los normales) e incluso queda algo grande para otros modelos de disco como los Thosiba Stor.e basics.  Tiene buen acabado, resistente y lo único mejorable es la cremallera, que da sensación de ser algo más endeble que el resto de la funda.</t>
  </si>
  <si>
    <t>Todo bien recogido Está muy bien si quieres ordenar tus cables pero no hacer agujeros en los muebles, ya que va con adhesivos.</t>
  </si>
  <si>
    <t>Tiras Velcro Sirve para lo que lo compre.</t>
  </si>
  <si>
    <t>Muy bonitos Muy bonitos y llegaron en perfecto estado, me encantan!!!</t>
  </si>
  <si>
    <t>Escobilla higiénica y limpia. Escobilla higiénica y limpia. Cansado de cambiar escobillas de las baratas, he decidido probar esta de goma que no acumula suciedad y no acumula agua en el deposito o soporte. Funciona muy bien, es muy sencilla y no se mancha. Tampoco acumula agua, se limpia muy fácilmente. El soporte donde se coloca la escobilla es resistente y no se cae como los de plástico.</t>
  </si>
  <si>
    <t>No me gusta Ha llegado pronto y bien, pero el producto queda algo pequeño y el material al estirarse se ve blanco,  para nada me gusta, por ello no lo recomiendo.</t>
  </si>
  <si>
    <t>Buena calidad a buen precio Zapato de.buena calidad, lo único es que cuando flexiono el empeine, me roza el pliegue del zapato con el pie</t>
  </si>
  <si>
    <t>Demasiado grande. Reloj devuelto... Funciona bien, pero el diámetro de la esfera es demasiado grande, y la correa se ve algo endeble y fina, no se cuanto duraria, el color gris es algo mas claro de lo que se ve aqui.</t>
  </si>
  <si>
    <t>Un engaño, son folios no cartulinas resistentes. Son folios, nada de cartulina. No llevan ningún revestimiento de plástico en los bordes como dice. Una estafa no comprarlos.</t>
  </si>
  <si>
    <t>Conectar APP No puedo conectar el app.</t>
  </si>
  <si>
    <t>Muy satisfecha Todo correcto. El producto viene y es tal como lo publicitan. Fácil de limpiar. El bebe come perfectamente. Vienen con tetinas del numero 3. Llego todo fn perfecto estado. Muy satisfecha con la compra.</t>
  </si>
  <si>
    <t>Bueno para niños que comienzan a usar el compás El material es plástico así que lo hace más ligero y más facil de usar para niños que están empezando. Para abrir el compás tiene una rueda por lo que no se cerrará cuando se está usando. Las dos patas son articuladas. También tiene un adaptador  para poder usar bolis o rotrings. Trae una única mina como recambio. Todo viene en un estuche que facilita el transporte.</t>
  </si>
  <si>
    <t>Botas para durar Botas de buena calidad y buen acabado, aunque no trajeran la bolsa de transporte y el kit de limpieza</t>
  </si>
  <si>
    <t>mola Tenia el modelo anterior y decidí comprar este con salida para cascos y con salida de Jack normal para poder usar con un amplificador! Genial!</t>
  </si>
  <si>
    <t>Recomendable! Excelente todo en tiempo y forma.  Lo único a tener en cuenta es que de noche no se ve nada. Cuesta mucho ver la hora ya que las agujas son negras.</t>
  </si>
  <si>
    <t>Es tal como lo presentaban Su versatilidad</t>
  </si>
  <si>
    <t>Correa elegante y económica Es muy fcail de insertar la Mi Band 3. Tan solo hay que tirar para atras las placas de ambos lados e insertarla.  Para retirarla basta con apretar unos muelles que hay por debajo y sale sola.  Me parece muy comoda para llevarla a diario y además queda super elegante. Puedes llevarla en cualquier situación.  Nos incluye en la caja 2 protectores de pantalla de plástico.  Calidad precio esta muy bien.</t>
  </si>
  <si>
    <t>Correcto Muy comodas y vistosas</t>
  </si>
  <si>
    <t>Recomendado Es perfecto, mucho mejor que el anterior</t>
  </si>
  <si>
    <t>perfecto es tal como esperaba y se ven en la foto, gracias.</t>
  </si>
  <si>
    <t>Muy buena compra Ha llegado antes de la fecha indicada. Soy un 39.5, pedi una 39 tras leer las criticas online y quedan perfecta. Buena calidad, y dentro de lo poco esteticos que son estos no estan nada mal cuando comprados en color transparente.</t>
  </si>
  <si>
    <t>Geniales Vienen cortadas y si las quieres hacer más pequeñas, con las tijeras no hay problema. Se pegan y imantan bien</t>
  </si>
  <si>
    <t>Buena calidad Genial super contenta , la mejor marca de Copa menstrual,  no molesta nada parece que no llevas nada . Buen producto.</t>
  </si>
  <si>
    <t>Muy buen precio,calidad!!!! Preciosa pulsera,con cuentas de piedras con un buen tamaño.El precio es genial !!!</t>
  </si>
  <si>
    <t>bueno y barato es una buena oferta</t>
  </si>
  <si>
    <t>Retro Reloj estilo retro de la famosa marca Casio.  Para un regalo perfecto y económico. Dos años de uso y como nuevo. Ni un rasguño.  Lo recomiendo.</t>
  </si>
  <si>
    <t>Espectaculares Colocas en la oreja con la marca SONY en vertical, los giras hasta que SONY se quede en horizontal y,… adiós RUIDOS!   📦 CONTIENE: -  Auriculares inalámbricos - Estuche de carga - Cable de carga USB-C a USB - Instrucciones - 6 pares de almohadillas de recambio  🧱 MATARIALES: Desde que quitas el envoltorio y tocas la caja, notas que SONY se ha esmerado y ha fabricado a conciencia este producto. El tacto de la caja en sí ya es una pasada. Todo va cuidado al mínimo detalle para proteger los auriculares, acolchado y mimado. La caja de carga está fabricada en plástico negro o beis (según el color elegido) y la tapa está fabricada en metal de color dorado en ambos casos. El aspecto que le da la combinación de colores es premium sin duda alguna.  Los auriculares son muy ligeros gracias a la fabricación en plástico pero bajo ningún concepto son flojos, al contrario. Estamos ante un producto que se nota de gama alta.  ✍️ DISEÑO: La combinación de colores elegidos negro/dorado o beis/dorado da a ambos casos un aspecto premium y de calidad al producto. La elección de color no la veo negro hombre y beis mujer. Ambos me parecen idóneos para cualquier sexo y preciosos al mismo tiempo. Ya va a ir a gusto de cada uno. A mi parecer el negro me parece una pasada y vengo de unos blancos y por cambiar, si me tuviera que decantar por unos lo haría por los negros.  El estuche de carga, si lo comparamos con los AirPods (sin duda la referencia del sector), es muy grande. La de Apple mide 4 cm y la de Sony 8 cm, justo el doble.  Pero como es extremadamente bonita, no lo veo como un problema. Al final estos dispositivos son como un accesorio más y gusta lucirlos. Además, el tamaño se ve directamente reflejado en la duración de la batería. Por el contrario, el diseño de los auriculares los veo muy currados. Son muy pequeñitos y el sistema de colocarlos facilita que no se caigan del oido hagas lo que hagas. He ido al gym con ellos y también he salido a correr y sin problemas. La introducción de los auriculares en la batería mola mucho, están imantados y se acoplan directamente en la caja. Luego, hay en el exterior de la caja un indicador LED con el indicador de batería según su estado de carga. Al igual, los dos auriculares indican mediante luces led (rojo/azul) el estado de carga.  🎧 SONIDO: Realmente suenan muy bien. Son un producto Bluetooth con muy buen resultado de sonido. Poco a poco los nuevos productos de este tipo van alcanzando calidades espectaculares y este modelo de auriculares va por este camino. Tienen una potencia espectacular, que junto a la cancelación de ruido hace que no tengas la necesidad de usarlos a máxima potencia para tapar el ruido del exterior y así cuidar y proteger más tus oídos. En cuanto al sonido propiamente dicho, son unos auriculares que calificaría como muy equilibrados en todos sus registros. No tiene unos graves potentes y molestos pero si es lo que estás buscando no te preocupes, desde la APP puedes retocar la ecualización y darle mucha más potencia al registro que más te guste o el que quieras en cada momento. Sin duda, un sonido claro y rico con buenos matices. Sin duda tienen lo que le faltan a los Airpods, la cancelación de ruido. Y como plus, el distintivo “Made for iPhone” lo que le da máxima compatibilidad con dispositivos iOS.  ⚙️ FUNCIONAMIENTO: Sin duda uno de los puntos fuertes de estos auriculares ya que la diferenciación de gestos en cada uno de ellos hace que puedas hacer de todo con ellos sin la necesidad de usar tu móvil UNA PASADA. Cada uno de los auriculares tiene una especie de mini trackpad en la parte superior que se ve a simple vista. El auricular izquierdo controla todo lo referente a la cancelación de ruido y modos de audio: NC (noise canceling, cancelación de ruido); sonido ambiental; desactivado: cambia con un toque. Si mantienes presionado continuo el izquierdo, baja el volumen de la música automáticamente y pasas a escuchar lo que pasa a tu alrededor e incluso amplifica el sonido para mantener cómodamente una conversación (algo muy muy útil). El auricular derecho controla todo lo referente a la música: un toque play/pausa; dos toques siguiente canción; tres toques canción anterior; doble toque responder a llamada telefónica y si mantienes pulsado usas el asistente virtual de tu dispositivo móvil. Realmente funciona muy bien y es ágil y rápido en los gestos. Me he acostumbrado rápidamente.  📱 APP: La app te da muchas opciones como control adaptativo del sonido según la situación en la que te encuentras: andando, metro, avión,… Funciona muy bien y va cambiando automáticamente. Lo malo es que usa batería de tu dispositivo móvil ya que necesita usar ubicación. El resto de funciones que te da la APP son ecualizador (ya sea personalizado o previamente predeterminados), control de la música que escuchas, cambio de idioma de las notificaciones de los auriculares, descarga automática del software de los auriculares y nivel de carga de la batería.  ☎️ LLAMADAS TELÉFONO: Al tener cancelación de ruido funciona perfectamente para esta finalidad. Los micrófonos incorporados hacen que te escuchen perfectamente y sin problemas. Muy fácil de atender llamadas y tener las manos libres. Los uso mucho mientras estoy cara al ordenador haciendo cosillas y tengo que atender al mismo tiempo llamadas.  🔋 BATERÍA: 32 horas de duración de la batería es un auténtico lujo. Sin dudas pocas veces vamos a pasar tanto tiempo al día como para dejarlos secos en un par de días. Así que por mi uso, que es bastante (gym, en casa mientras trabajo, yendo al trabajo,..) me van a durar más de una semana. Así que nada, a olvidarse de cargarlos. Además, la carga rápida con el cable USB-C te da con tan solo 10 minutos de carga 90 minutos de música. Un lujoso.  ✏️ CONCLUSIÓN. Auriculares de perfil de gama alta con muy buenas prestaciones y con un sonido de muy buena calidad que hace que sean aptos para todo tipo de música. Si disfrutas de la música y no te importa gastar lo que cuestan para disfrutar de un buen sonido y altas prestaciones, este es tu producto sin duda alguna.</t>
  </si>
  <si>
    <t>Buena calidad Se no ta la calidad al desenrrollar la cinta, no se arruga con facilidad y se maneja comodamente al usarse</t>
  </si>
  <si>
    <t>Recomendable!! Producto muy bueno a un súper precio puesto en casa!! Queda bastante bien en cualquier tipo de suelo. Lo utilizo tanto en plaqueta tipo tarima como en parquet y el resultado es muy bueno. El olor es muy agradable pero no de larga duración como leí en otras opiniones.  Todo reluciente y brillante ✴️✴️ en cantidad y a buen precio!!! Recomendable!! 👍👍</t>
  </si>
  <si>
    <t>perfecto para llevar de viaje Muy compacto cuando está plegado, no ocupa nada de espacio y no pesa, es perfecto para llevarlo de viaje.</t>
  </si>
  <si>
    <t>Fácil de utilizar y buena calidad Quería probar a ver que tal los complementos estos de limpieza.  Básicamente quería probarlos con una mampara de cristal, que es muy tediosa de limpiar y también azulejos del baño. Y he de decir que te ahorra bastante faena y se hace más rápido, ya solo con eso vale la pena la compra.</t>
  </si>
  <si>
    <t>Buena compra Por el momento me están gustando mucho, a ver si duran. Se escucha muy bien tanto los auriculares como el micrófono. Buena compra.</t>
  </si>
  <si>
    <t>Demasiado finos Son “calcetines” no tienen suela y no evitan el roce con suelo de piedras</t>
  </si>
  <si>
    <t>Que funcione bien Bien</t>
  </si>
  <si>
    <t>Relación calidad precio Tardo en llegar pero valió la pena</t>
  </si>
  <si>
    <t>no sirven precinto muy fino, se rompe constantemente, no pega. No vale la pena comprarlo</t>
  </si>
  <si>
    <t>No cumplió las expectativas Un tanto decepcionante, no iba muy bien a la hora de descargar y cuando lograba hacerlo iba muy lento, yo al final lo devolví.</t>
  </si>
  <si>
    <t>Cumple su funciom bien Lo use para colgar unos cuadros y la verdad que bastante bien, solo hay qur limpiar bien la superficie y se adhiere bien. Como unica pega, podría ser un poco mas barato.</t>
  </si>
  <si>
    <t>Compra acertada Si no quieres gastarte mucho en una usb y quieres buena capacidad de almacenamiento esta usb es la que estabas buscando. Tiene un estilo diferente a las demás usb que estan fabricadas en forma de bloque, es fácil de manejar y es lo suyo recalcar que no vienen los 32 gb intantactos en mi caso vienen 28.8 GB lo que es normal ya que ningun dispositivo de almacenamiento tiene los GB que promete a entera disposición del cliente por temas de software etc, Asi que no os asusteis.  Relación calidad- precio EXCELENTE. comprarse uan usb de 64 o 128 GB, no es necesario con esta vais sobrado 'para cualquier tipo de tarea, si lo que queries es almacenar grandes cosas no compreis USB, comprar discos duros.  LA USB PERFECTA.</t>
  </si>
  <si>
    <t>Perfectas Me gustaron mucho muy fresquitas pa el veranito</t>
  </si>
  <si>
    <t>Correcto Cumple con lo que necesitaba. Producto correcto. Lo recomiendo y además a buen precio. Llegó en optimas condiciones.Volvería a comprarlo.</t>
  </si>
  <si>
    <t>Es de bambú Es como en las fotos. Perfecto</t>
  </si>
  <si>
    <t>Alta calidad y suave. Muy hermoso y maravilloso, fácil de usar y de alta calidad, me encantó.</t>
  </si>
  <si>
    <t>Contenta con la compra Funciona perfectamente. Diseño tal como aparece en las fotos. Recomendable!</t>
  </si>
  <si>
    <t>Zapatillas caducadas Apenas los use un solo día y se le despegó la tela que cubre la plantilla. La plantilla comenzó a desmoronarse al segundo día de usarlos</t>
  </si>
  <si>
    <t>Muy buen producto Resulta cómoda para entrenar, transpira bien y queda de maravilla</t>
  </si>
  <si>
    <t>perfecto estado Muy contenta vino en perfecto estado, el inconveniente es que se para muy rapido al ser automatico funciona con el movimiento de mano y por el precio que tiene no se puede pedir mucho</t>
  </si>
  <si>
    <t>Perfecto Perfectos, cambie los dr.brown por estos cuando el peque ya me cumplió los 5 meses y le van genial y mucho mejor para la limpieza...</t>
  </si>
  <si>
    <t>Ideales Perfectas</t>
  </si>
  <si>
    <t>Perfectos Perfectos</t>
  </si>
  <si>
    <t>Muy buena velocidad de transferencia Después de estar barajando varios modelos, compré este porque ya tengo otro instalado en el pc (aunque de menos capacidad). Y en general ha sido otra buena compra. La velocidad de transferencia es muy buena (suelo usar archivos grandes) y como todos estos discos, es fácil de instalar en el pc.  En cuanto al ruido ya no sabría decir, pero bueno, no noto mayor molestia ambiental desde que lo uso.</t>
  </si>
  <si>
    <t>Perfecto para el sacaleches Mi bebe ya tiene 5 meses y las tetinas Calma no le gustan, así que pasamos a las de flujo lento y le van genial. Los biberones, como los de medela, van estupendos con el sacaleches.</t>
  </si>
  <si>
    <t>Genial!!! Son geniales aunque por poner un pero su peso es significativo teniendo en cuenta que el material es cristal</t>
  </si>
  <si>
    <t>MUY MUY MUY BIEN el producto es estupendo, ahora comprar una mas para mi hermano, y el servicio de la empresa es estupendo y muy agradable.  recomenda esta producto!</t>
  </si>
  <si>
    <t>LEER, IMPORTANTE: VENDEDOR TOTALMENTE FIABLE (vs Otros que no) Tal y como una usuaria dice, están mezclados los comentarios de varios vendedores porque Amazon unifica todos los comentarios del mismo producto (espero que lo cambien porque es muy confuso).  Este venderdor es perfectamente fiable. Me han llegado en perfecto estado y son las originales. Me lo ha confiado converse con el código de la lengüeta. No busquéis la estrella dentro de la O porque no la vais a encorara ya que el logotipo de converse hace ya un tiempo que cambió. La R de marca registrada tampoco aparece ya. Las he comprado a través de vendedor Converse, directamente gestionado por Amazon a precio imbatible y en perfecto estado. El resto de comentarios son de otros vendedores.</t>
  </si>
  <si>
    <t>Recomendado Llevo rápido. Es un biberón que interfiere menos de lo habitual en la lactancia materna, ya que obliga al bebé a succionar, no cae a presion, como el de medela . Recomendado</t>
  </si>
  <si>
    <t>Ni tan mal! Para niños es un buen producto! Queda muy chulo y les encanta. Además, no te preocupa que se rompa, así que ni tan mal!</t>
  </si>
  <si>
    <t>Muy a gusto con ella Estupenda para cuando te duelen las cervicales, el cuello y/o la espalda, muy cómoda y funciona perfectamente.</t>
  </si>
  <si>
    <t>diseño El diseño y el material de los pendientes me encanta</t>
  </si>
  <si>
    <t>El color precioso Me encanta Y funciona a la perfección</t>
  </si>
  <si>
    <t>Buena compra Tal cual. Excelente compra y tallaje de acuerdo con Adidas( en mi caso siempre un número más del que calzo normalmente).</t>
  </si>
  <si>
    <t>No se adaptan al contorno Los parches son, para mi gusto, cortos y demasiado gruesos, de tal forma que no se adaptan bien al contorno del ojo. Deberían de ser más alargados. Además, hasta que se secan un poco y se fijan a la piel tienden a caerse hacia abajo.</t>
  </si>
  <si>
    <t>Micrófono Micrófono de calidad aceptable</t>
  </si>
  <si>
    <t>Hubo un fallo en un frasco Llego ayer y solo probe el Eucaliptus esta bastante bien, lo Unico ue estaba equivocado y pusieron 2 de lavanda y no pusieron el de menta</t>
  </si>
  <si>
    <t>FRACASO La he pedido dos veces y las dos veces la he devuelto, a la media hora de ponerlas se descose en la parte del empeine. Una vez puede ser normal, pero dos veces en el mismo sitio, cuando son unas zapatillas que siempre las he tirado por excesivo uso..... Este modelo no lo recomiendo. La devolución de las primeras rapida y correcta, de las segundas están en tramite</t>
  </si>
  <si>
    <t>No funciona ni se enciende No funciona. He comprado 2 y uno no se enciende. Tengo que devolverlo con la ilusión que me hacía. Que mal</t>
  </si>
  <si>
    <t>A amigo fernandez Aceptable, sin problemas y con buena conexión al IPad / IPhone y al ordenador en todas las ocasiones que se intentó</t>
  </si>
  <si>
    <t>Perfecto para hablar por PC y PS4 Todo muy bien. Lo mejor es que trae de todo, filtro anti-pop, araña, brazo y el conejo ese que supongo que hace lo mismo que el filtro anti-pop.  No le pongo 5 estrellas porque, mientras que es bueno y cumple lo que promete, siempre podría ser mejor.  Lo uso para hablar por PC e incluso grabar mi voz, y va muy bien. También lo uso en la PS4, pero utilizando una tarjeta de sonido/adaptador para poder conectarlo por USB a la Play.  En general muy bien. Eso sí, comprad a mayores la alimentación Phantom. Si no, vais a tener que gritar para que se os oiga.</t>
  </si>
  <si>
    <t>Huele muy bien. Muy buena relación calidad/precio</t>
  </si>
  <si>
    <t>Jullafe Buen reloj!!! Buen acabado y muy llamativo. Me encanta y va muy bien. No lo puntúo con 5 por que va con el movimiento y por las mañanas esta parado.</t>
  </si>
  <si>
    <t>Colgante Es muy bonito aunque un poco pequeño.</t>
  </si>
  <si>
    <t>Son excelentes pero el tamaño no es para mi. Me encantan pero las devolví, porque eran muy pequeñas , tengo un pie ancho y este calzado no es para mi. Pedí 44 , siendo 42 y me quedaban pequeñas.</t>
  </si>
  <si>
    <t>Reloj precioso Es muy bonito, queda genial y llama mucho la atención por su estética, la gente piensa que es un reloj mucho más caro. A mi hijo le encanta</t>
  </si>
  <si>
    <t>Muy buena compra. Son muy chulas quedan estupendamente, y muy cómodas,  el envío llegó rápido y todo en perfecto estado, es cierto que quedan un pelín grandes pero muy poco, nada importante, pedí mi número habitual un 39 y muy bien.</t>
  </si>
  <si>
    <t>Una de mis mejores compras Super útil y funcional. Me encanta tener los cables organizados y con esta compra lo he conseguido.</t>
  </si>
  <si>
    <t>Bien Bien. Lo que se pide</t>
  </si>
  <si>
    <t>Resistente y elegante. Después de estar usándola durante un tiempo solo puedo decir cosas buenas. La calidad de construcción es muy muy buena, la tela es perfecta porque aguanta la humedad y no se mancha fácilmente. Una capacidad para llevar las cosas necesarias del día y su diseño es atractivo, aunque esto ya son gustos personales. La recomiendo al 100%</t>
  </si>
  <si>
    <t>Perfectas Las zapas son perfectas. Son 100% ORIGINALES. Fabricadas en Vietnam, como todas las Reebok Classics actuales, con la caja original.</t>
  </si>
  <si>
    <t>Me gusta el producto Subo fotos para que veais el tamaño. A mi me gusta mucho. Lo que la diferencia de otros es que tiene un mando para cambiar la funcion o los colores desde lejos. Es super economico porque con agua y un poco de aroma ya te sirve para toda la habitacion. Yo lo tengo puesto en el salón y me sirve.</t>
  </si>
  <si>
    <t>Toshiba TR200 25SAT3-240G Buen ssd, ya llevo dos comprado, los he utilizado para revivir una torre HP con un I5 2500 y 8ram y un portátil Asus  A52F con i5 de tercera generación. No he comprobado velocidades, eso si van mejor que cuando los compre nuevos!. Recomiendo su compra.</t>
  </si>
  <si>
    <t>Genial. Es justo lo que to quería. Es muy completo y su precio está fenomenal.</t>
  </si>
  <si>
    <t>Es muy bonita Tan fina que parece de color blanco!. Es cortita y muy fina (hay que tener cuidado que no se enrede).  Tiene buena pinta aunque todavía no sé si destiñe o si cambia el color con el uso.</t>
  </si>
  <si>
    <t>Ambientador muy completo y original El ambientador es una pasada,el diseño es muy bonito y elegante ,lleva para ponerlo por temporizador y a parte tiene varios colores de luz que da un toque muy original,no hace casi ruido</t>
  </si>
  <si>
    <t>Grandes auriculares! Estos auriculares son realmente bonitos. Realmente cancelan el ruido y tienen muchos graves. Tienen puntas de goma de diferentes tamaños para mayor comodidad y los niños son cómodos. Estos han estado en mi oído casi sin parar desde que los obtuve. Los amo. Creo que la única vez que los quité fue para cargarlos. También me encanta el hecho de que son a prueba de agua. Pude usarlos bajo la lluvia el otro día sin tener que preocuparme de que arruinen. Si está buscando un par increíble de auriculares Bluetooth. Definitivamente deberías obtener estos. No te puedes equivocar.</t>
  </si>
  <si>
    <t>EarPods con cable Buen sonido.</t>
  </si>
  <si>
    <t>Es un reloj de los que duran años Reloj casio de toda la vida resistente y chulo muy bonito, los de toda la vida son muy duros recomendable y aparte este de color plata muy bonito</t>
  </si>
  <si>
    <t>Lexar siempre es calidad Solo he probado una de las dos que he comprado, pero aparentemente, funciona muy bien</t>
  </si>
  <si>
    <t>Bailarinas, son lo que dicen. La calidad es genial, la plantilla partida lo ideal para ballet, talla correcta, para pie de 31, pedí, nº32 y genial. color suave exacto al de la presentación del articulo. A pesar de los problemas en aduana el producto llego antes de lo previsto por correo urgente. Por poner una pega el color es mas salmón que rosa.</t>
  </si>
  <si>
    <t>Monedero para taxi Es ideal para el trabajo, muy resistente y bonito</t>
  </si>
  <si>
    <t>Buen sonido con fecha de caducidad Auriculares con muy buen sonido pero pésima durabilidad. Tres he comprado en seis meses y los tres han perdido el sonido en un auricular con un uso moderado. No volveré a comprarlos.</t>
  </si>
  <si>
    <t>Pendientes Árbol de la Vida Parecían un poco más grandes, pero son muy bonitos</t>
  </si>
  <si>
    <t>NO TRITURA UNIFORMEMENTE Lo devolví. Intenté picar una cebolla y había trozos grandes y trozos pequeños. Insatisfactoria. Además pesa mucho. No la recomiendo.</t>
  </si>
  <si>
    <t>Fail Típicas mallas de los chinos, cero abrigo.</t>
  </si>
  <si>
    <t>Menudo engaño las crock Malísimas. No llevan ni un mes y la suela desgastada. Tengo unas de los chinos que me han durado más. No las recomiendo, pensaba que Crocks serían mejores pero ya veo que no</t>
  </si>
  <si>
    <t>Buen teclado con 2 octavas y media Aún no he probado todas las funciones ya que simplemente me lo compré para usarlo con trackers (que no pueden usar todas sus funciones) en lugar de tener que depender del teclado de pc. Quizás el tacto de las teclas no es el apropiado del todo pero cumple perfectamente su función, y viene con un par de programas bastante buenos para empezar a tocar y componer.  Lo bueno: -Barato, buena relacion calidad precio -Programas "gratis" (versiones lite) -Pequeño y manejable.  Lo malo: -No se porqué me esperaba que fuese un pelin mas grande. -Las teclas no tienen el tacto de todo correcto.  Lo sorprendente: -Lo pedí hace una semana. Y me dijeron que me llegaba el día 14 de septiembre, me llegó al día siguiente de comprarlo. Sin aviso previo ni nada, dio mucha casualidad de que alguien estuviera en casa para recibir el paquete. Quizás el vendedor debería dar mejores herramientas para que el cliente supiese como va su pedido, o al menos estimar mejor cuando el paquete será enviado.</t>
  </si>
  <si>
    <t>Incómodo Hace daño el botón, por lo demás bien</t>
  </si>
  <si>
    <t>Por ese precio está muy correcto Buen aparato, luces bonitas, se puede graduar todo. Quizá un poco ruidosos y derrama algo de agua, pero muy satisfecho con la relación calidad-precio</t>
  </si>
  <si>
    <t>Muy buena relación calidad/precio. Perfectas para uso escolar Juego de dibujo compuesto por una escuadra, un cartabón, una regla y un semicírculo con una funda para poder guardarlo. Están fabricados en plástico metacrilato de color verde transparente con fresado de alta precisión. Son reglas técnicas de 2 mm de grosor con cantos biselados y graduaciones grabadas a prueba de emborronamiento. Son de muy buena calidad a pesar de ser tan finitas y del tamaño adecuado para usarlas en dibujo técnico.  Se las compré a mi hijo para 1ª de Bachillerato porque confiaba en la marca plenamente y además no las queríamos demasiado grandes pues las usa en cuadrículas de láminas pequeñas. Por eso para nosotros tienen el tamaño adecuado. Estamos contentos con ellas. Cumplen su función y son mucho mejores que otras de otras marcas menos conocidas y el precio es adecuado. A veces la calidad hay que pagarla.</t>
  </si>
  <si>
    <t>Buena elegante y de calidad He comprado esta pulsera para la mi band 3 para utilizarla tambien para vestir. Este modelo con correa en negro y base de metal en negro antracita queda muy elegante. De materiales parece que bien.</t>
  </si>
  <si>
    <t>Un clásico inmortal Compradas para estilo casual. Recomiendo medirse el pie y guiarse por la talla en centimetros, de esa manera no se falla a consecuencia de las diferencias entre las distintas marcas. Cómodas, bonitas y usables.</t>
  </si>
  <si>
    <t>Preciosas Talla perfecta. Son más bonitas de lo que se ve en la foto</t>
  </si>
  <si>
    <t>Es lo que esperaba Todo correcto</t>
  </si>
  <si>
    <t>Cómodas desde el primer momento y duraderas Lo mejor de estas zapatillas no es que sólo que sean comodísimas desde el primer momento y se ajusten como un guante. Además, es que casi una año después usándolas a diario siguen siéndolo. En algunas opiniones se recomienda usar un número menos pero yo pedí el mío y me quedan perfectas (sí es cierto que en otras marcas de zapatillas suelo pedir uno más).</t>
  </si>
  <si>
    <t>El mejor del mercado Tras mucho buscar por Internet comparativas de discos duros SSD, decidí decantarme por el Samsung ya que en general la crítica era muy buena, tras bastante tiempo de uso puedo concluir que es una auténtica maravilla.  Si vienes de un disco duro HDD, tu primera impresión va a ser simplemente alucinante, la mejora de rendimiento es abrumadora, pasas de poder ir a prepararte un café tranquilamente a la cocina mientras se enciende tu ordenador y volver mientras todavía esta terminando de encenderse a directamente no llegar ni a levantarte de la silla antes de que tengas el SO levantado con todas las aplicaciones listas para su uso.  El arranque suele sorprender, pero la mejor sensación de todas es abrir de forma instantánea cualquier programa, te da una sensación de fluidez, que una vez probada será imposible volver al antiguo HDD.  Viniendo de otra marca de SSD ya no serán tan notorias las mejoras, no obstante según mi percepción personal, si que ha mejorado algo la velocidad, no esperes el mismo resultado que el antes citado, pero los más exigentes si que notarán una mejoría.  En cuanto a la capacidad me parece que lo mejor si haces un uso elevado de espacio en disco es 1TB, hace tiempo tuve uno de 500GB y si eres de los que tienen varios videojuegos y algún que otro contenido multimedia el de 500GB se puede llegar a quedar justo con el paso del tiempo(como a mi me pasó)  En referencia a la facilidad de instalación, no es algo que pueda hacer sin ningún esfuerzo alguien sin ligeros conocimientos, pero tampoco es nada imposible y viendo algún que otro tutorial en internet se puede llevar a cabo sin problema.  Como conclusión decir que este producto es bien merecedor de las 5 estrellas y recomiendo su compra.</t>
  </si>
  <si>
    <t>Cable largo pero que lo llevas en cualquier sitio. Me gusta mucho poder disponer de un cable así para resolver entrevistas con micro cableado con un cable así. al ser tan fino pasa desapercibido  y no molesta. lo enrollas fácilmente y lo llevas en cualquier bolsillo de la mochila sin que moleste. Al estar hecho de kevlar promete durabilidad aunque su pequeño tamaño parezca frágil. Cuidado porque al ser tan fino fácilmente te lo pisan y te lo castigan, señalizalo y estate pendiente.</t>
  </si>
  <si>
    <t>Comprar una talla menos de lo q se utiliza Hay q comprar un número menos, ya son los segundos q compro y dan muy buen resultado.</t>
  </si>
  <si>
    <t>Reloj resistente Casio, calidad</t>
  </si>
  <si>
    <t>Bonita y práctica Nos ha gustado mucho, es práctico para el día  a día. Los materiales parecen resistentes. Y como siempre, la entrega ha sido correcta.</t>
  </si>
  <si>
    <t>Suave y relajante Su tacto es suave y frío, ayudando así a calmar la piel y relajarnos, yo lo utilizo todas las noches con un aceite facial de vitamina E que me ayuda a hidratar mi piel. Es muy manejable y destaca por sus dos piedras de cuarzo rosa, una más pequeña y otra un pelín más grande, cada piedra de cuarzo está destinada para diferentes partes faciales.  Su relación calidad-precio está genial, me ha llamado mucho la atención! Un producto de 10!</t>
  </si>
  <si>
    <t>Muy bien En su medida justa y cómodo</t>
  </si>
  <si>
    <t>se hace bien el zumo ¡Estoy encantada! Llevo unos días con ella y tomó más fruta que nunca. Los zumos deliciosos, espumosos, suaves y sin pulpa. Por poner un pero, la pulpa no cae del todo en el recipiente y eso hace que la limpieza sea más complicada....</t>
  </si>
  <si>
    <t>Muy buen precio Llegó  antes de tiempo.  De calidad</t>
  </si>
  <si>
    <t>PARA MI, El mejor auricular in-ear de 2019 con ANC, con sus cosas a pulir Vamos a ver, que estoy leyendo opiniones y sobre todo comentarios de usuarios, y esto, se nos va de las manos un poco. Primero aclarar conceptos y diferenciar una opinión de cliente, de un análisis de un producto.  - Opinión de cliente: Es lo que estáis leyendo aquí, en Amazon y es justamente eso. Una opinión de un cliente totalmente subjetiva y libre de un producto, como son estos Sony. Puede ser positiva, negativa, neutra, de 10 palabras o de 2.000, y la puede estar dando una persona entendida en audio, o un usuario normal... a ver si para comprarse estos Sony, hay que ser audiófilo o algo similar. Faltaría más. .... “ya, pero es que es una Voz Vine”... claro!... y pensarás que a esa persona, la han hecho voz Vine por su cara bonita. Los años de escribir opiniones de forma totalmente desinteresada que hay detrás y las veces que a ti, que estás leyendo, o a otros, os han ayudado a tomar una decisión acertada de compra... ¿eso ya no?... No lo veo justo. Yo llevo más de 10 años escribiendo para que vosotros leáis, sea aquí en Amazon España, USA o UK, y supongo que he ayudado a los compradores, al igual que mis compañeros. Deberíais de valorar eso un poco más, y nunca olvidar que estamos hablando de una opinión de cliente, que es muy distinto a....  - Análisis de producto: Ves, esto ya es otra historia. Un análisis de producto, lo hace un medio especializado, bien sea revista, web, canal de youtube, etc, y se supone lo hace un experto en materia, y debería ser, por ende, algo exhaustivo y veraz, elaborado, bien redactado, y con una rigurosidad técnica impecable. Por eso, una opinión de Amazon, NUNCA suele ser un análisis al uso, aunque aquí, ya va a gusto de cada uno, escribir más o menos, por lo tanto, se deberían de respetar las opiniones desde mi punto de vista personal, ojo.  Llegados a este punto, sólo caben 2 opciones: 1.- Te gusta la opinión, la lees y le das a útil (o no). 2.- No te gusta, pues pasas a la siguiente e ya. No lo veo yo tan difícil. Es lo que llevo haciendo yo desde que abrió Amazon. ¿O pensáis que por ser el comentarista nº1 no me leo vuestras opiniones? Claro!, cada vez que tengo que hacer una compra, así como vosotros leéis las mías porque así es como considero yo, que nos podemos retroalimentar entre clientes, porque no olvidéis, que todos los que escribimos aquí, somos clientes, somos IGUALES.  Y dicho esto, MI opinión: Primero decir como he mencionado en varias ocasiones, que si bien no soy técnico en audio, llevo algo de experiencia en audio a mis espaldas. 16 años de DJ, cientos de equipos Hi-Fi montados en hogares, salas, restaurantes.... car audio. Pero mi oído, es mío, y mis gustos por el audio, también, así que acompáñame a ver si te sirve lo que te voy a contar sobre los auriculares.  Primero decir que les doy 4* porque a día de hoy, no es un producto 100% como para la excelencia. Hay algunas cosas que mejorar, y como pasó a la salida de los 1000XM3 de diadema (los cuales también tengo), les falta pulir el software como hicieron en su día. Te los podría comparar con otros 20 auriculares distintos que tengo en casa, porque he de decir que soy amante del buen sonido, pero no me gusta meter otras marcas en el ajo.  Creo que te sobra con saber, que a día de hoy, cuando escribo estas líneas, no hay auricular in-ear, con mejor cancelación de ruido activa. Te podrá gustar más o menos, te podrá parecer suficiente o escasa, pero NO hay ninguno que trabaje mejor este aspecto, no, no llegan al nivel de sus hermanos de diadema, porque son un producto totalmente DISTINTO.  -La principal característica por lo que los vas a adquirir, es por su cancelación de ruido. Asombroso lo que ha conseguido Sony en un auricular tan pequeño. Es, de largo, la mejor del mercado, y me da a mi, que va a seguir siéndolo durante mucho tiempo. En este aspecto, 10/10 con la tecnología de hoy en día. En gama de auriculares de botón, no hay nada mejor (insisto en no comparar con otra categoría distinta). Sony ha hecho un excelente trabajo en este campo.  -Calidad de sonido muy buena. Dentro de que es un sonido COMERCIAL, que te pueda gustar más o menos, el sonido es muy bueno. Graves muy potentes, con mucha pegada y desarrollo, profundos, sin reverb en oído, sobrados para la música actual y comercial, que para nada, ensucian el resto de frecuencias. Posiblemente el que los auriculares, tengan un tamaño más grande lo habitual, da para que haya un espacio extra que fomente un driver con algo más de espacio que consigue un mejor sonido. Eso sí, recargado y a tono con la tendencia actual (algo menos que en los de diadema), en la línea de Sony, manteniendo su esencia, pero tengo que decirte, que si quieres un sonido nítido y fiel, estos no son tus auriculares. Mejor, opta por una diadema con drivers abiertos y prepara el bolsillo.  Los medios son como casi siempre cuando hablamos de botón, el punto más flaco, aunque debo decir que no son para nada malos, los vocales son nítidos y sin ningún tipo de distorsión. Donde más decaen estos auriculares es en la escena, aunque es algo normal dado el tamaño del driver, a menor tamaño es muy difícil dar un mayor espaciado a los instrumentos.  Los agudos, tienen un brillo muy digno a mi gusto, y cubren perfectamente todo el espectro sonoro sin ensuciar frecuencias medias ni distorsiones armónicas chirriantes, como ocurre con auriculares de poca calidad sonora.  Como digo, a groso modo, el sonido es “tipicla Sony” con un grave algo más plano, una tendencia general en EQ que simula una V, pero menos acentuada que en otros productos de la marca. En definitiva, sonido comercial, que es lo que se demanda. No apto para puristas, pero tampoco creo que se pretenda buscar la excelencia en ese aspecto. Sonido muy correcto y limpio, más allá de la ecualización elegida por la marca para ofrecernos el producto. No va a defraudar a nadie en este aspecto.  - Micrófono. Es en lo que más flojea, y sinceramente, se tiene que trabajar más en ello. Al igual que los de diadema cuando salieron, los micros, dejan bastante que desear. Esto es algo que no debería de preocuparte demasiado, por la sencilla razón, de que con actualizaciones, van a mejorar muchísimo. De hecho, los grandes, pasaron en una actualización, de no ser usables para llamadas, a tener unos micrófonos la mar de decentes. Aquí, pasará igual, por la sencilla razón, de que por calidad en los micros, no será, ya que supuestamente, tienen que tener una sensibilidad muy alta por ser los mismos que se usan para la cancelación, así que si cuando lees esto, el micro no está a la altura, tranquilo, se arreglará.  Batería - conectividad: Poseer BT 5.0, hace, no sólo que sean más eficientes energéticamente, sino que hacen que tengan un rango muy bestia de escucha (casi todo mi piso sin desconectarse del móvil también con BT 5.0). Al tiempo, la sincronización es perfecta entre ambos auriculares, no hay delay y he podido ver películas con él en diferentes servicios de streaming, además de videos en youtube sin problemas de retrasos en el audio ni lag de ningún tipo.  La batería, si bien no he cronometrado si llega a las 6 horas que promete, diría que incluso las supera a medio volumen. El estuche carga a velocidad pasmosa con conector USB-C.  La estética del estuche, me parece sencillamente espectacular, si bien de un tamaño algo desmesurado.  Para terminar en lo técnico, y volviendo de nuevo a la cancelación de ruido, indicar que tiene varios modos. -Normal (sin cancelación) -Activa. Reduce drásticamente todos los ruidos, especialmente las frecuencias más continuas, donde les es más fácil trabajar. Donde pierde (como todos) es en los sonidos súbitos. Un golpe en seco, le cuesta más. Una voz estridente, un portazo, etc, es algo que no parecer que le de tiempo a procesar. De todos modos, es muy superior a todo lo probado, incluso a diademas de otras marcas y lo digo con conocimiento de causa. No sé como lo ha hecho Sony, pero ha puesto el listón muy alto. En casa, mientras escribo estas líneas, los tengo puestos con los críos dando guerra a mi alrededor, y apenas los escucho. El resto de sonidos, desaparecen. No escucho el aire acondicionado, la campana de la cocina que está encendida, etc. -Modo escucha: una pasada. Cuando veo a mi mujer haciendo gestos con las manos, sé que me quiere decir algo, pongo el dedo encima del auricular izquierdo, y baja la música, y realza los sonidos medios y agudos que recibe de una forma muy notoria. Se escucha la voz de la interlocutora un poco robótica, procesada, pero con una claridad perfectamente audible. Muy útil para estar absorto en mi mundo, y pulsar el auricular para mantener una breve conversación. -Modo ambiente: muy útil sobretodo si quieres escuchar música pero a su vez quieres oír todo a tu alrededor sin perder audición. Es justo el proceso inverso a la cancelación de ruido, lo mejor sin duda es lo personalizable que es mediante la app.  Otro punto negativo, es que de momento, he tenido problemas para conectarlos con Windows 10. En el primer portátil al que traté de conectarlos, no emitían audio alguno, y con el segundo se me desconectaba constantemente si encendía el mando de la Xbox One. Así que si conseguís conectarlo con vuestro ordenador, no creo que podáis jugar si tenéis más periféricos conectados por bluetooth.  No dispone del códec de audio propietario de Sony: LDAC. Además tampoco tiene APTX ni APTX HD. Los dos códec de audio es SBC y AAC, este último sólo es una ventaja si usas itunes como en mi caso, ya que las canciones vienen comprimidas con este códec, lo cual hace que la descompresión bluetooth sea más rápida. Por lo demás, el AAC, sólo es más ventajoso en que consume algo menos que el SBC. En realidad es probable que esto último sea la razón de que Sony no haya incluído ni LDAC ni APTX, y es por el consumo de batería, ya que con estos códecs es más elevada.  En definitiva, los auriculares, me han parecido los mejores en su campo de cancelación de ruido, e independientemente de que te guste más o menos el sonido Sony, no se puede negar que tienen una gran calidad sonora y de construcción, unidos a una batería muy digna y una aplicación para controlarlo todo muy bien trabajada (al menos en iOS).  Creo que se orientan a un público generalizado para usos estrictamente no deportivos, ya que no llevan ningún tipo de protección IP. Esto, evidentemente, no les va a restar ningún punto en mi valoración, puesto que Sony, no los publicita como auriculares deportivos en ningún momento, y del mismo modo que no le resto puntos a un auricular que no lleva cancelación de ruido por no llevarla (ni que fuera obligatorio), tampoco va a ser en el caso de la protección IP, y sinceramente, tampoco les veo demasiado sentido a cancelación mientras haces deporte, pues no podrías enterarte de nada en tu entorno, los veo hasta peligrosos si se usan con la cancelación mientras vas por la ciudad. Eso sí, decir que en agosto, en la costa, los uso con un nivel de sudor importante y humedad relativa de hasta el 90%, y ningún problema, por las dudas.  Finalizando... ¿los recomiendo? Sí, muchísimo Puede que tenga sus inconvenientes, como cualquier otro auricular, y sus puntos débiles, pero creo que sus puntos fuertes son los más importantes y los que decantan la balanza a su favor. Además algunos puntos débiles se podrían solucionar con actualizaciones de software. Son sin duda alguna los mejores auriculares de botón del mercado y los únicos que conozco con cancelación de ruido REAL Y EFECTIVA (La mejor para este tipo de auriculares). Junto a su espectacular autonomía y excelente conectividad en rango y ausencia de microcortes, no puedo dejar de recomendarlos. Además de que de salida salen por 100 euros menos que otros auriculares de diadema con cancelación de ruido. Siempre que no te importe que el micrófono no esté de momento a la altura y no los vayas a usar para hacer deporte, creo que es la elección.  Podría haber publicado la reseña antes, pero he decidido esperar un par de semanas para ver si entraba una actualización de mejora de los micros, pero bueno, de momento, no ha sido así, por lo tanto, creo que ya tienes suficiente información para decidir si este texto te es de utilidad para decidir su compra, o por el contrario, optar por otra opción de mercado. Sin duda, como digo al principio, yo los recomiendo, pero esto, solo es mi opinión de usuario. Saludos</t>
  </si>
  <si>
    <t>Genial Era para mi sobrina y esta encantada</t>
  </si>
  <si>
    <t>Estupendo, se ve muy bien la temperatura y humedad. Muy comodo para saber la temperatura y humedad, tanto fuera como dentro.</t>
  </si>
  <si>
    <t>Zapatillas ok! La zapatillas son ok y es lo que esperaba, son comodas y me gustan. Lo unico es que nada de una talla menos, por lo menos en mi caso, uso una 44 y la 43 duele.</t>
  </si>
  <si>
    <t>Muy recomendable Funciona muy bien. Me encanta el material del que está hecho y su fácil funcionamiento. Muy recomendable</t>
  </si>
  <si>
    <t>Poco duró Después de usarla en mi cámara de fotos por un año, empecé a tener problemas y perder gran número de fotos.</t>
  </si>
  <si>
    <t>No esta mal para el precio, recomendada Llevo usandola unos dias y no me parece mal producto pero tiene algunos fallos, LO BUENO es q la potencia de la maquina es suficiente para triturar hielo y fruta congelada, es facil de limpiar y cumple perfectamente con su funcion, LO MALO es q una vez q terminas de triturar si no tienes cuidado giras el vaso y el modulo de cuchillas puede quedarse junto con el motor, se te puede derramar todo, tamb la tapa del vaso no es nada practica se ensucia mucho la parte exterior y te llenas la cara de batido con el tapon q al beber queda a la altura de la nariz. Lo dicho un producto q cumple pero facilmente mejorable.</t>
  </si>
  <si>
    <t>Lo siento pero no Los he tenido que devolver, me hacian daño</t>
  </si>
  <si>
    <t>Mejor buscar otros... Actualizo:  Mejor buscar de otra marca, no he tenido la mejor experiencia con estos. Ya he tenido que enviar uno al SAT por que murió, cargandose la RAID0 que tenía con sus archivos.  También os adjunto una imagen del rendimiento en RAID0 con una controladora INTEL en una ASUS Z270-A.  Es su mayor atractivo, ya que nos encontramos con un HDD con una velocidad de lectura y escritura de unos 100Mb/s. Otros modelos como los WD Green llegan a 150Mb.  Perfecto para almacenar gran cantidad de datos.</t>
  </si>
  <si>
    <t>se me abre constantemente Compré dos aros, de diferente tamaño. Este en concreto se me abre todo el tiempo, sin tocarlo.</t>
  </si>
  <si>
    <t>Más o menos.. No entiendo como se usa.</t>
  </si>
  <si>
    <t>Producto correcto. Positivo el que pueda ser tan pequeño. A su vez creo que es necesario que sea tan pequeño, cuesta cojerlo con los dedos para desconectarlo del pc. Ésto no es una pega del producto, es una apreciación personal. Su sitema de encriptación interna de archivos es un poco lenta. Una vez encriptados los archivos, si estos son de imágenes, no se pueden visualizar en la carpeta como imágenes antes de cargarlos. Forma de poder mover los archivos encriptados, poco ágil. El sistema de encriptación requiere con cierta frecuéncia que se actualice online. Atención!: El programa de encriptación que lleva, ya no es válido para Windows XP.</t>
  </si>
  <si>
    <t>Cumple su función Es un tarjetero básico que cumple su función. Lo malo es que si lo llenas de tarjetas no cierra bien.</t>
  </si>
  <si>
    <t>muy bien se oyen razonablemente bien, volumen excelente, 0 interferencias.. quizás no son los más cómodos del mundo, pero los uso para entrenar y funcionan genial y apenas si se mueven incluso corriendo.  además la batería dura varias horas; yo lo llevo usado no menos de 6, y todavía no he tenido que cargarlo de nuevo.</t>
  </si>
  <si>
    <t>Cumple y es bonito Los dígitos son grandes y muy visibles. Le he metido en la piscina sin problemas, aunque creo que no se debe abusar. Muy bien para su precio</t>
  </si>
  <si>
    <t>No está nada mal Me ha gustado mucho</t>
  </si>
  <si>
    <t>Buena opción de regalo Un gran producto. El resultado es espectacular y es muy divertido de hacer. Da mucha libertad de creación. Importante tener en cuenta que al precio de la caja hay que sumarle lo de todas las fotos y demás que quieras poner...</t>
  </si>
  <si>
    <t>Cristal transparente imprescindible en la limpieza. Muy importante el cristal transparente, a efectos de limpieza todos los que no son de cristal no ayudan a saber cuando se deben de retirar por ejemplo posibles restos de cal que son difíciles de identificar.</t>
  </si>
  <si>
    <t>Utiles Están bien y te quitan de apurillos</t>
  </si>
  <si>
    <t>Velocidad excelente Lo utilizo para almacenar archivos y documentos, es de fácil lectura en todos los ordenadores, de momento ha sido todo un acierto.</t>
  </si>
  <si>
    <t>Perfectamente perfecto Es perfecto para un regalo de cumpleaños o cualquier otro evento. La bolita tiene muchos brillitos y el tipo de letra es precioso.</t>
  </si>
  <si>
    <t>cumple todas las espectativas. Muchas memorias para memorizar tiempos. Buena calidad cumple todas las espectativas. Muchas memorias para memorizar tiempos. Buena calidad. Lo recomiendo. Intuitivo, casi no hacen falta instrucciones. satisfecho</t>
  </si>
  <si>
    <t>Me encanta y en muy buena calidad Me encanta y en muy buena calidad, muy satisfecho por la compra y lo recomiendo mucho. Es barato y muy buena calidad.</t>
  </si>
  <si>
    <t>Vendedor Recomendable. Rapidez- comunicacion ok Recibido en su fecha. Muy buena calidad para su precio. Se corresponde a la descripción: Botones táctiles con buena sensibilidad. Lo que más me gusta es que son resistentes al agua. La calidad del sonido es buena y clara. He podido escuchar música durante 3h y 20 minutos aproximadamente y en 1 hora más o menos los tienes cargados</t>
  </si>
  <si>
    <t>pendrive usb 128 GB . recomendables despues de comprar varios , es uno de los mejores pendrives he probado , y la velocidad correcta. lo unico es que se calienta un poco , pero hasta ahora ningun problema con su so. seguiremo repitiendo cuando necesitemos un pen de esta capacidad</t>
  </si>
  <si>
    <t>Calentita Cumple su función perfectamente. Con el nivel 1 y 2 esta bien, con el 3 te asas como un 🐔</t>
  </si>
  <si>
    <t>Fantastica calidad Todo un casio fiable y bonito por un precio ridiculo</t>
  </si>
  <si>
    <t>Zapatos muy cómodos Zapatos cómodos y prácticos,envió aunque con retraso pero en perfectas condiciones</t>
  </si>
  <si>
    <t>Indispensable en casa Muy práctica</t>
  </si>
  <si>
    <t>Chulisimas Muy cómodas de llevar. Perfectas. No pesan absolutamente nada. Veremos que resultado dan . Solo las he llevado 2 días.</t>
  </si>
  <si>
    <t>No está mal Perfecto para lo que no quiero que es para trabajar. De momento contento. Haber lo que dura.</t>
  </si>
  <si>
    <t>Calidad a buen precio contento Muy bonita y cómoda lo que esperaba</t>
  </si>
  <si>
    <t>Un USB correcto. El USB es pequeño, reúne lo que yo quería de capacidad. Discreto, y con un enganche que parece robusto. Mi ordenador no ha tenido problemas en reconocerlo.</t>
  </si>
  <si>
    <t>Un SSD de 500GB por 60€? nada más que añadir... Lo dicho, un SSD de 500GB a estos precios es simplemente increible... hay pendrives de menor capacidad que cuestan el triple... esas capacidades en SSD a ese precio hay que comprarlo si o si y con los ojos cerrados... y más aún siendo de un primera marca (Crucial) y no una marca desconocida o de fabricante chino.  Tenía mis reservas al leer comentarios negativos diciendo que venían usados etc, por eso en lugar de seleccionar la opción "blister transparente" seleccioné la opción de recibir en caja y fue todo un acierto... mismo precio y precinto de garantía anti-manipulación, por lo que se ve perfectamente que la unidad es nueva y la caja nunca ha sido abierta -el sello de garantia cambia su dibujo cuando lo despegas y sería imposible re-pegarlo sin que se vea manipulado-.  Respecto a otros comentarios negativos de duración/etc todavía no puedo hablar, pero vamos, pienso que es una tasa de fallos similar a la que puede tener cualquier otro fabricante como Kingstone o Samsung... de todos modos si muriese o me diese algún problema cambiaré la reseña y lo bajaré a 1 estrella para hacerlo saber.  Resumiendo: Recomiendo pedir la opción en caja (mismo precio), viene más protegido y se ve perfectamente si la unidad es nueva o no. Respecto a tasas de lectura/escritura puntúa similar a otros en su mismo rango y por ese precio (60€ en lugar de 90€ de la página del fabricante), en marca conocida y con esa capacidad no hay ni que pensárselo ;)</t>
  </si>
  <si>
    <t>Muy suaves Genial. Ya tenía una con mando, pero siempre con problemas para encontrar pilas. Ésta va con batería. Super suaves y cómodas. Y la caja perfecta super discreta y para tenerlas ordenaditas.</t>
  </si>
  <si>
    <t>El regulador No tiene regulador de velocidad</t>
  </si>
  <si>
    <t>Licuadora Tiene poca fuerza. La manzana sin pelar x ejemplo le cuesta.  Poco peso tiene .</t>
  </si>
  <si>
    <t>No funciona bien Muy descontento, ruido claveteos, 4 días me ha durado el primero hasta que empezó a meter ruido y posterior desapareció con toda la información dentro y tras cambiarlo por otro el segundo exactamente igual. Tengo que decir que tengo otro disco duro externo de WD de 2TB que tiene 3 años y funciona estupendamente, pero con este me he llevado un gran chasco.</t>
  </si>
  <si>
    <t>No funciona A las 3 semanas de la compra ha dejado de funcionar. Se han cambiado las pilas y tres días mas tarde ha vuelto a dejar de funcionar. Amazón no permite devolver el producto porque han pasado 4 semanas desde la compra. ¿Donde están los 2 años de garantía que marca la legislación?</t>
  </si>
  <si>
    <t>Igual Tal y como se ve en la foto. El único fallo que solo se puede grabar por una cara</t>
  </si>
  <si>
    <t>Llego rápida y cumple lo esperado. Llego antes de lo esperado. Era para un regalo y lo entregamos a tiempo. Antes lo probé, un poco lenta al calentar, pero después se mantiene bien. El tamaño es el adecuado para la zona lumbar. La funda es de poco espesor, pero secará más rápido si se lava.</t>
  </si>
  <si>
    <t>Lo que queria Geniales. Y llegaron enseguida.</t>
  </si>
  <si>
    <t>Elegante y bonito Me ha gustado mucho</t>
  </si>
  <si>
    <t>Bien pero con puntualizacion Tras un mes de uso la plantilla memory foam ya no recupera su forma inicial por lo que ya parece una plantilla normal.</t>
  </si>
  <si>
    <t>collar de plata A juego con los pendientes ( si se quiere). Es muy fino y elegante. Ideal para regalar a tu pareja, a tu hija o a una amiga.</t>
  </si>
  <si>
    <t>Genial Es pequeña comprada con otras, en esta puedes calentar hasta 1L de agua, pero está muy bien. Es de aluminio, muchísimo mejor que las de plástico, ya que el agua no da olor al calentarse y no está en contacto con la resistencia. Tiene dentro un medidor para hasta 3 tazas de agua, por si necesitas la cantidad exacta, y la base es giratoria, con lo que puedes moverla sin que vuelque. Ruidosa como todos los hervidores, pero muy contenta con la compra. La tengo poco tiempo así que no puedo opinar sobre durabilidad, pero el material se ve bueno, y teniendo en cuenta la marca, seguro que sale rentable por los 21€ que cuesta.</t>
  </si>
  <si>
    <t>Zapatiilas Fila Todo muy bien. Entregado antes de tiempo y muy contenta con el pedido.</t>
  </si>
  <si>
    <t>Buen producto Unas zapatillas cómodas. Lo que estaba buscando ya que trabajo en hostelería y necesitaba comodidad para los pies. Muy buen producto y de talla la que llevo no hace falta pedir un numero mas.</t>
  </si>
  <si>
    <t>EXCELENTE MUY CONTENTOS CON LA COMPRA</t>
  </si>
  <si>
    <t>Micrófono Muy práctico</t>
  </si>
  <si>
    <t>Me gusta mucho. Es práctica, cómoda, y fácil de llevar.</t>
  </si>
  <si>
    <t>Estoy encantado Utilizo agua filtrada de la Brita (también comprada por amazon) y así no me importa que deseche agua al encenderla y al apagarla.  No me parece que haga mucho ruido al moler como dicen de otras. Ni mucho menos.  Mirad la evolución del precio porque veo que fluctúa un poco y la compré por 314 euros y de pronto subió 100 euros.</t>
  </si>
  <si>
    <t>Cómodos Es una buena opción para hacer deporte o salir a pasear, son cómodos no hacen daño ni mandan y se escuchan muy bien asiq los recomiendo</t>
  </si>
  <si>
    <t>Unos pendientes muy cuquis Estoy muy contenta con los pendientes, son como en la foto. El pedido no me tardo mucho en llegar y me llegaron en perfecto estado.</t>
  </si>
  <si>
    <t>Muy contenta Bien producto.</t>
  </si>
  <si>
    <t>Un limpiacristales bonito y de calidad Nunca antes había usado un limpiacristales y éste lo compré a petición y para la asistenta. Pero como lo puse en el mismo toallero dentro de la ducha, lo usé por curiosidad y me ha encantado!  Es muy manejable, el mango muy cómodo, se desliza muy bien incluso en las paredes de porcelana. Encima es muy bonito, el inoxidable es de buena calidad. En mi caso no hizo falta instalar la ventosa porque se cuelga perfectamente del toallero y, como es del mismo cromado, hace juego con él. Lo podéis comprobar en las fotos que he colgado. El vendedor muy atento, se ofrece para gestionar la instalación y aunque no me hizo falta, se agradece. Recomiendo el limpiacristales al 100%</t>
  </si>
  <si>
    <t>calidad muy buena calidad y sobre todo la luz en las laterales estan muy bien</t>
  </si>
  <si>
    <t>Buena calidad a buen precio Me gusta mucho, el tejido es suave y se le ve  buena calidad. Llegó muy rápido, al día siguiente de pedirlo. Cuando lo desempaqueté pensé haberme equivocado con la talla, lo veía enorme, pero puesto queda bien. He pedido la S que es la talla que uso habitualmente, por lo que creo que el tallaje es correcto. Lo pedí en rosa, el color es bonito, como tirando a color chicle.</t>
  </si>
  <si>
    <t>Perfectos Muy bonitos! Recomendado</t>
  </si>
  <si>
    <t>está muy xulo y el precio es imbatible Para este precio es brutal. compra recomendable.</t>
  </si>
  <si>
    <t>Muy buena relación calidad precio! Lo utilizo para mantener una image del disco duro de my macbook...</t>
  </si>
  <si>
    <t>La confianza en una gran marca Gran marca de unidades de almacenamiento, fiable y óptima. Desde siempre he utilizado esta marca por su durabilidad, son las únicas que me siguen funcionando, la de las demás marcas toda muertas. Este modelo resulta muy económico y con velocidad más que suficiente para raspberry o moviles. Yo esta la tengo instalada en raspberry, tras miles de formateos y lo que conlleva soportar un sistema operativo, no me ha dado ningún problema.</t>
  </si>
  <si>
    <t>Caja en mal estado El reloj en sí me gusta mucho y está perfecto, pero la caja me llegó medio abollado y semi abierto y el reloj no venía en una bolsa de plástico, que en un unboxing que he visto sí que tenía. Además el reloj estaba fuera de su sitio al abrirlo, no estaba enrollado alrededor de la goma-espuma negra. Las instrucciones y el papel de la garantía también estaban descolocados.  Cuando compro un producto de este precio, a parte de la calidad del producto en sí, también espero calidad en el empaquetado. Muy decepcionado en este aspecto.</t>
  </si>
  <si>
    <t>Está bien pero es pequeño Soy hombre de muñeca delgada y pensé que este reloj quedaría bien en mi muñeca; pero no. Es demasiado pequeño para un hombre, al menos para mi gusto. La calidad y el diseño, precioso, así que se lo he dado a mi mujer. Por 15 euros me parece un precio excelente. Ojalá fuese un poco más grande.</t>
  </si>
  <si>
    <t>Todo bien Toso bien</t>
  </si>
  <si>
    <t>no me ha funcionado a mi no me ha funcionado</t>
  </si>
  <si>
    <t>Producto defectuoso Estoy muy descontenta con el producto en menos de un mes las zapatillas están despegadas y ya para no usar. Creo q no son verdaderas tengo converse desde hace muchos años y algunas aún están impolutas a pesar de haber pasadl por la lavadora varias veces.</t>
  </si>
  <si>
    <t>Luna color oro El envío rápido ,bien envuelto y presentado ,con cajita ,bolsa de tela y pañito para limpiar el colgante .El tamaño es pequeño pero ya lo sabía y le quería así ,la verdad queda muy fino y elegante puesto .El único pero que le pongo es el color de la cadena ,es un amarillo-oro muy artificial ,hasta me he planteado devolverlo solo por eso  ,también es verdad que síempre uso plata y alomejor por eso veo raro el dorado. De momento me lo quedo y he pedido la estrella en color plata xq aparte de lo del color de la cadena me ha ha dado muy buena sensación el producto.</t>
  </si>
  <si>
    <t>Todo correcto Son muy cómodos y agradables, de grosor medio y van perfectamente para hacer algo de footing que es lo que necesitaba.</t>
  </si>
  <si>
    <t>CRUZER BLADE 32 GB. No es la primera memoria flash de esta marca y de la misma capacidad que compro, en esta ocasión a través de Amazon. De momento, el funcionamiento de ésta es correcto.  En cualquier caso, espero que no me falle como la anterior, ya que si lo hace, para hacer uso de la garantía de reposición, el cliente debe enviarla a la República Checa a su coste y por médio certificado para que se la repongan, y eso cuesta mucho más que la memoria en sí misma.  Como compra, la considero buena (si dura como mínimo un par de años de uso medio).</t>
  </si>
  <si>
    <t>Bien Tal y como la foto.</t>
  </si>
  <si>
    <t>Bueno Calidad precio estupendo queda muy bien pedire otro</t>
  </si>
  <si>
    <t>Buena compra Una buena compra. Se pliega fácilmente y no ocupa apenas espacio.mi pequeño tiene 15 meses y entra perfectamente, creo que le durará unos añitos</t>
  </si>
  <si>
    <t>Excelente compra El tamaño es perfecto, ocupa en la mesa lo necesario y el reposa muñecas, es blandito y cómodo. 10 de 10.</t>
  </si>
  <si>
    <t>Buen producto Buen reloj, preciso y fiable. No lo he probado bajo el agua, pero me fio de las indicaciones. Estéticamente se muy bonito y para mi gusto es elegante. Muy ligero y cómodo.</t>
  </si>
  <si>
    <t>Todo bien Pedido perfecto</t>
  </si>
  <si>
    <t>Muy comodas Son comodisimas y no pesan nada pero vienen un poco grandes hay que pedir un número menos</t>
  </si>
  <si>
    <t>Muy buena opción Muy buena calidad de sonido, además se adaptan muy bien al oido.</t>
  </si>
  <si>
    <t>Muy buen reloj. Lo acabo de recibir y despues de ajustarle la correa y ponerlo en hora no puedo estar mas que muy contento con este reloj. Muy buenos acabados, una buenisima presencia y se ve que tiene calidad. La relación calidad precio es muy buena. Viene con la mecanica seiko nh35 y aun no puedo decir nada sobre su funcionamiento, solamente que funciona a poco que lo muevas. Es un reloj grande y pesado, pero es lo que ahora se lleva no? igual no es para llevarlo a diario (que yo creo que si) pero para usarlo en ocasiones si. No puedo mas que recomendar su comprar. A fecha de hoy 06/03/15 puedo decir que su funcionamiento despues de una semana en mis manos esta sobre los 3 o 4 segundos al dia de adelanto, lo cual segun he leido esta bastante bien para ser un automatico. Su uso diario no es facil pero tampoco es una pesadilla, una vez que te acostumbras a llevarlo ahi esta para decirte la hora que es. Saludos.</t>
  </si>
  <si>
    <t>Perfecto, cumple con su cometido. Cumple con su función a la perfección.</t>
  </si>
  <si>
    <t>Versátil Muy bonito, práctico y con poco peso. Ideal para uso diario. Pensaba que su tono iba a ser más oscuro, u resulta que es un cobrizo muy elegante</t>
  </si>
  <si>
    <t>Muy bien Todo genial, llego en tiempo y en perfectas condiciones. La calidad buena y apariencia también buena, fácil de plegar. Accesorios también on</t>
  </si>
  <si>
    <t>Correcto De momento muy bien</t>
  </si>
  <si>
    <t>Buena compra Buena compra. Vino perfecto embalara</t>
  </si>
  <si>
    <t>Gran calidad Son tal cual la imagen, súper cómodas y resistentes va para casi un año y están en perfecto estado... algo más sucias eso si 🤣</t>
  </si>
  <si>
    <t>Buen producto para los padres Nada más en llegar ya estoy ilusionado de probarlo, llevo usando ya 2 semanas con mis padres, sobre todo para ellos. Se relaja mucho cuando enciendes el masajeador que está dentro de la máquina, durante el baño de los pies si le echas sal y vinagre se suaviliza mucho el piel, te quita los restos poros.</t>
  </si>
  <si>
    <t>Super comodos Muy contenta con la compra, si hubiera en otros colores o estampados los volvería a comprar. Son muy comodos y frescos, no transparentan, lo único que tuve que comprar la talla L aunque habitualmente use una 38, porque la goma de la cintura sino aprieta bastante.</t>
  </si>
  <si>
    <t>Compra satisfactoria Aunque todavía no lo hemos usado (este mes queremos introducir algún bibe para cuando empiece a trabajar), se ve muy resistente y cómodo. Para ser de cristal es ligero. Nos decidimos por un bibe de cristal por poderlo usar diractamente al microondas o baño maría, no es recomemdable calentar en envases de plástico. La tetina incluída es del nivel 1.</t>
  </si>
  <si>
    <t>Duradero Buen estuche, es un tamaño que parece pequeño pero caben mucha cosas, aguanta bien el día a día y el paso del tiempo.</t>
  </si>
  <si>
    <t>Muy útiles Van muy bien para pegar las fotografías o lo que necesites. De fácil uso y un precio muy ajustado. Lo recomiendo para hacer álbumes de fotos, de forma fácil y sin destrozar la foto.</t>
  </si>
  <si>
    <t>Decepción Son los terceros auriculares de este tipo de Mpow que tengo, la calidad del sonido es paupérrima, y no se ajusta al oído tan bien como otros auriculares inalámbricos de esta misma marca (los que no llevan esa "arandela" tan grande).  Espero que al menos duren más que los otros que tuve, unos dejaron de encenderse después de año y medio, y a los últimos cada vez le dura menos la batería. La próxima vez tocará comprar una marca más reconocida.</t>
  </si>
  <si>
    <t>No es lo que esperaba La máquina está bien pero no hace un café como el de un bar, si es verdad que el cafe sale espumoso pero a mí no me convenció, de hecho me he comprado un espumador de leche porque el que trae no hace suficiente espuma para mi gusto.</t>
  </si>
  <si>
    <t>perfecto Mi valoración son tres estrellas, por que a pesar del que el producto es autentico las botas no han venido en la caja original de Timberland.</t>
  </si>
  <si>
    <t>No es lo que esperaba No me ha gustado nada. El tallaje,  la tela....</t>
  </si>
  <si>
    <t>No tiene la capacidad que dice La descambié. No era lo que anunciaban</t>
  </si>
  <si>
    <t>Calidad Regalo</t>
  </si>
  <si>
    <t>Buen producto Como muestra la imagen, todo correcto, talleje normal</t>
  </si>
  <si>
    <t>Cómodo Bonito comodo y resistente, aunque ni por eso me gusta limpiar la parrilla, no se le puede pedir más por el precio, lo recomiendo</t>
  </si>
  <si>
    <t>Estabilidad Responde a las expectativas. Aunque las uso con plantillas la amortiguación y la estabilidad excelente.</t>
  </si>
  <si>
    <t>Loctite Buen producto</t>
  </si>
  <si>
    <t>Muy comodos Me encantan mis zapatillas. Muy comodas, pero hay que tener en cuenta qué esta marca hay que pwdir un numero menos</t>
  </si>
  <si>
    <t>Lo esperado Lo esperado</t>
  </si>
  <si>
    <t>Adidas Todo está perfecto</t>
  </si>
  <si>
    <t>Buena calidad. Lo esperado Carpeta tipo Din A4 con 4 anillas. La tapa es gruesa y parece resistente. Tiene 4 aperturas para que las anillas no choquen con el interior de la tapa. Es en tono mate (no va plastificada y con brillo) y las 4 anillas parecen cumplir su función a la perfección. Por dentro tiene un estampado a topos blancos y la cinta de sujeción se puede cambiar con facilidad. Estoy contento con el producto.</t>
  </si>
  <si>
    <t>cable bicolor rojo/negro cable bicolor rojo y negro del que se suele usar para cualquier altavoz, en mi caso para sustituir los cables del hilo musical</t>
  </si>
  <si>
    <t>Geniales, sonido sin cables Son los primeros auriculares totalmente inalámbricos que voy a usar. Anteriormente he usado normales con cable y de tipo deportivo, pero estos últimos tienen un cable que une ambos auriculares y aunque son bastante cómodos el cable a veces incordia un poco. Debo decir que estos auriculares Umi se adaptan bien y son realmente cómodos. Los auriculares nos llegan en una caja pequeña, lo comprenderéis al ver las fotos ya que la caja de carga no mide más de 6 cm de largo y 4 cm de alto con una anchura de apenas 2cm. La caja es muy pequeña y cabe en cualquier bolsillo, sirve para su carga y su transporte. Los auriculares se cargan al meterlos en la caja y cerrar la tapa. La caja se carga mediante un cable microUSB ya sea conectándola directamente al ordenador o a un adaptador que podamos tener de los que usamos para cargar los móviles, eso sí, siempre que no supere una potencia de salida de 5V - 2A. El cable micro USB que trae para cargarlo es muy corto, unos 20 cm, ideal para cargar en el ordenador, pero como quieras cargarlo conectado a un enchufe con un adaptador ya puedes tener algo cerca si no quieres dejarlo colgando. Se conectan bajo Bluethoot 5.0 y el emparejamiento ha sido muy rápido y efectivo, mi Xiaomi A2 lite los ha reconocido sin ningún problema. Se pueden usar en modo monoaural y biaural, o sea los dos auriculares o uno solo. Una vez emparejados no hace falta volver a hacerlo se conectan solos una vez los sacas de la caja. Tiene certificado IPX7,  lo que nos  garantiza resistencia al agua y al sudor. Lleva dos juegos más de almohadillas de silicona de diferentes tamaños para que usemos el que mejor se adecue a nuestro tamaño de oído. Según las características con una carga completa tendríamos autonomía para: 100 horas en espera 240 minutos en llamada El tiempo de carga del auricular es de unos 60 min. De las luces que tiene la caja de carga, la de la izquierda y la derecha nos indican la situación de carga de los auriculares izquierdo y derecho respectivamente (roja si está cargando, azul cuando está cargado, cuando está cargado o funcionando las luces se apagan solas después de un tiempo), la del centro nos indica la situación de la caja de carga, cuando la luz es azul es que está entre el 30% y el  100% de carga, cuando la luz se vuelve roja es que nos queda menos del 30% de potencia. Cuando es roja parpadeante nos quedan solo un 1% lo que nos da unos 5 minutos de uso. Tienen un alcance de unos 15 metros. La verdad es que me han sorprendido mucho estos auriculares de la marca Umi, no sé el precio que tendrán cuando estén disponibles, pero me parecen unos buenos auriculares.</t>
  </si>
  <si>
    <t>Sabe mal XD. Todo ok, me hace gracia que Amazon me pida q evalúe el sabor...</t>
  </si>
  <si>
    <t>La calidad es la mejor del mercado. La verdad es que se nota la diferencia, tenía una sandisk 128G U3-A2 y mi Mobil se calentaba mucho al filmar videos y sin duda esta EVO de Samsung no me da esos problemas de calentamiento. Muy buena calidad precio.</t>
  </si>
  <si>
    <t>Buena calidad Es muy bonita y queda genial</t>
  </si>
  <si>
    <t>Olor muy natural Encantada con este aceite, viene muchísima cantidad y eso es lo que más me gusta. El olor es súper natural, lo he usado para el humidificador y me deja la casa con ese rico olor a lavanda, luego también he mezclado algunas gotas en el champú y en mis aceites de cuerpo y huele delicioso.</t>
  </si>
  <si>
    <t>Buena compra Buena compra. Recomiendo estas fundas. Además se quedan blanditos y manejables para poder colgar o poner en algún sitio. Recomendable</t>
  </si>
  <si>
    <t>buenisimas increibles para la cocina van genial cortan todo genial</t>
  </si>
  <si>
    <t>Buenos calcetines de verano. Bien rematados y con tallaje europeo correcto. Son finos, la parte de arriba muy transpirable, lo que yo esperaba pues no me gustan muy gruesos, pero para invierno no serían recomendables.</t>
  </si>
  <si>
    <t>Labadm Muy bonito, la relacion calidad precio no puede ser mejor. El diseño es impecable, es muy parecido a los Breitling</t>
  </si>
  <si>
    <t>Mejor biberón anticólicos Este biberón es de los mejores que hay en el mercado, previene los cólicos del bebé y al ser de cristal es muy fácil de limpiar y de esterilizar.</t>
  </si>
  <si>
    <t>Muy buenas Unas magnificas botas a un buen precio. Sim duda son comodisimas y tienen un buen diseño. Perfectas para el invierno. Tallan bien.</t>
  </si>
  <si>
    <t>Humidificador de aromas. Me encanta el humidificador de aromas es divino. Deja un aroma especial en toda la casa. Fácil de usar. Sin ruidos. Le puedes aplicar el aroma que más te guste. Es sensacional. Lo recomiendo para que lo tengáis en todos los hogares, es fabuloso.</t>
  </si>
  <si>
    <t>Malo La memoria me acaba de fallar. Ha durado escasamente un año. El uso del pc es ofimático, es para una oficina, así que el rendimiento demandado ha sido escaso. He comprado 2 más espero que sean más fiables que ésta.</t>
  </si>
  <si>
    <t>Algo caro para lo que es. Producto de "bazar chino" no está mal y se ve "robusto" la única pega es que se abre y cierra con relativa facilidad cuando te arrascas, lo puedes encontrar algo más económico en cualquier bazar chino, una pena no haber buscado antes por ahí.</t>
  </si>
  <si>
    <t>Una vergüenza de zapatillas LO PEOR! Una vergüenza de zaptillas tienen menos de 4 meses de uso y ya están así desde el primer mes la suela ya empezó a despegarse y a medida que las vas usando se destrozan completamente y eso que yo las utilizo bien poco un trabajo de ir todos los días yo creo que en 3/4 meses están para tirar ... por el precio que tienen las hay infinitamente mejores yo no las recomiendo</t>
  </si>
  <si>
    <t>llegaron de segundamano y amazon se lava las manos obviamente me gustan los airpods pero me llegaron de segundamano y amazon no se hace responsable de ello</t>
  </si>
  <si>
    <t>Precio bien. Talla pequeña. Tejido flojo El número escogido es pequeño. Os recomiendo coger una talla más de la vuestra. Se rompen con cierta facilidad. Tejido poco resistente.</t>
  </si>
  <si>
    <t>Ligero Sencillo , cumple con lo que se necesita de un reloj.</t>
  </si>
  <si>
    <t>Gran compra Todo perfecto, gran calidad. Los completos son increíbles. Uno puede hacer de todo. La cuchilla no se atasca xq sube y baja según uno quiere al igual que la potencia. El seguro de manipulación funciona perfectamente</t>
  </si>
  <si>
    <t>Apariencia retro, tamaño justo, y buena calidad de grabación Aunque las patas se pliegan sobre el cuerpo para hacerlo más transportable, la verdad es que es una chulada tenerlo en la mesa con ese aire retro que tanto adorna. La calidad de las grabaciones que he hecho, para algún vídeo de youtube que otro, es muy buena. Tanto que me pregunto por qué hay tanto vídeo y podcast que suena tan mal, existiendo opciones tan ajustadas de precio como ésta.  En definitiva, muy contento con la compra.</t>
  </si>
  <si>
    <t>Jarra aprendizaje y antigoteo Jarra-vasito cuando tu bebé está aprendiendo a beber, el diseño es precioso, yo tengo el de de Minnie para mi niña. Desde el primer día lo coge de una manera muy natural y bebe sin problemas. La boquilla que lleva es antigoteo, si se vuelca no se sale eso sí, a veces empieza a agitarla boca abajo y algo de agua cae pero muy poco. Venden repuestos de la boquilla-tetina, porque como les encanta morder las cosas, pues al final rajo la tetina, pero me duro bastante. No como otra que tengo de Philips Avent que la rompió el primer día. Importante destacar que es fácil para los niños beber, no tienen que succionar muy fuerte para hacerlo, mi hija la usa desde los 9- 10 meses, pero se puede usar desde antes sin problemas. Viene marcada la cantidad hasta 150 ml, pero le cabe un poco más.  VENTAJAS - Diseño - Venden tetinas de repuesto.  INCONVENIENTES - Precio con respecto a otras. - Y que la encontré después más barata en la farmacia de mi barrio.</t>
  </si>
  <si>
    <t>Buen SSD con buenas velocidades, incluso superiores para su gama de precio. Le ha dado una nueva vida al portátil de mi suegro de 8 años de antigüedad. Como de costumbre, los arranques, apagados e inicio y cierre de programas era un infierno de espera, pero ahora es como si fuera otro portátil mucho más moderno. Si bien es un portátil usado para labores ofimáticas, su rendimiento es espectacular con este SSD.  Comparativamente con mi Kingston SSD 120 GB (la gama negra básica) este Toshiba va mejor (se nota en los arranques y tareas de incio/apagado).  Aunque no he hecho tests de velocidad, otros usuarios lo han hecho y estoy de acuerdo con los resultados, es decir, sin ser de gama ultra rápida, se nota que la velocidad de este modelo de SSD es más alta que las de su gama de precio, por lo que lo hacen un 10 para su gama.</t>
  </si>
  <si>
    <t>Me encanta A la vista, al tacto y todo se aprecia de muy buena calidad. He llevado antes otras que en la descripción decían características similares, pero no comparación. Estoy encantada, la volvería a comprar siempre.</t>
  </si>
  <si>
    <t>Me gusta para contracturas y zonas cargadas, no relajante Hay que tener cuidado porque el masaje es descontracturante, no relajante, si hay alguna zona dañada, es mejor probar despacito porque igual hace daño. Por lo demás, yo lo he probado en cuello y piernas y está muy bien, notas como las bolas estiran el músculo. Lo he utilizado en el modo suave, sin problemas. El modo más fuerte a mí me molestaba un poco.</t>
  </si>
  <si>
    <t>Para limpiar pelos de animales ok Perfecta para pelos de mascotas. Los leds inferiores los reflejan bien y no se deja ninguno. Duracion de la bateria correcta. Llega para las dos plantas.</t>
  </si>
  <si>
    <t>PERFECTAS preciosas, cómodas, muy buena calidad. mi hija está encantada con ellas y yo también.  Lo recomiendo totalmente sin duda alguna.</t>
  </si>
  <si>
    <t>Cliente amazon Muy contenta con la compra, hasta ahora sólo la utilicé para hacer puré y va muy bien. No es desmontable pero puede lavarse bien, la recomiendo, llegó pronto</t>
  </si>
  <si>
    <t>Todo un aliado. Soy maestra y desde que lo tengo mi voz ha mejorado. Tiene bastante potencia para usar dentro y fuera del aula.</t>
  </si>
  <si>
    <t>Que el artículo llegue, digo por la mala experiencia Muy bonito</t>
  </si>
  <si>
    <t>correcto perfecto y muy bueno</t>
  </si>
  <si>
    <t>Buen producto calidad-precio A pesar de saber las dimensiones, la hemos visto pequeña. Al sacarla de la caja, un tanto rígida y de tacto tosco. Una vez probada la impresión es diferente. La gente habla de que calienta poco, pero da un calor más que suficiente. ( no sé si es que lo prueban por encima del abrigo...) pero como es algo subjetivo, no se puede valorar únicamente por ello. Resumiendo, producto recomendable.</t>
  </si>
  <si>
    <t>Cumple con mis expectativas El material es bueno, elegante. Fue para un regalo</t>
  </si>
  <si>
    <t>Muy buen producto 100% recomendable. Gran potencia y muy práctico en cuanto al uso y limpieza. Sus dos vasos vienen muy bien ya que te da el contenido exacto para una persona y siempre tienes el otro de repuesto. Es muy fácil de montar y limpiar y queda los batidos muy bien. Sin duda una gran compra. La pena es que haya que estar pulsado el botón para que esté en funcionamiento, pero lo cierto es que tanto lo que tarde</t>
  </si>
  <si>
    <t>Mucho espacio en un pen peuqueño El anuncio no especifica si es microusb o tipo C, es microusb, menubiera gustado más que fuera del tipo C ya que ahora los teléfonos empiezan a tener este tipo de clavija. El USB funciona bien y me parece genial tanto espacio en un pen tan pequeño.</t>
  </si>
  <si>
    <t>Muy buenas Muy buenas</t>
  </si>
  <si>
    <t>Zapatilla Se las recomendo el podologo a mi suegra y se las pedimos, esta muy contenta con las zapatillas y dice que son muy comodas.</t>
  </si>
  <si>
    <t>Calcetines Nike Cotton Crew Son algo caros pero la calidad es bastante buena. Si quieres calidad y no te importa pagar un poco más es una muy buena opción. Producto original.</t>
  </si>
  <si>
    <t>hacen honor a su fama Son mis primeros cascos "buenos". Me los recomendó un amigo, los probé en su casa y es... como descubrir un mundo nuevo. La primera vez que los usé, para escuchar estilos musicales tirando a duros (death metal, black) la potencia de los bajos me resultó demasiada para mis desaconstumbrados oidos. Nada que no se pueda arreglar usando el equalizador del reproductor y bajando sólo esas frecuencias. Para estilos musicales más suaves (progresivo, pop, folk, bandas sonoras...) el comportamiento en todas las frecuencias es excelente "tal cual", sin necesidad de tener que tocar nada. Es un placer escuchar mis discos favoritos y redescubrirlos como si tuviera "oidos nuevos"</t>
  </si>
  <si>
    <t>Buena calidad precio Falta la rosca para ke lo aprietes y ajuste,el resto es genial</t>
  </si>
  <si>
    <t>Esta bien y cumple las expectativas Lo compre para regalarselo a mi hermana, en el grabe series, pelis y fotos, y fué fácil, llevo un tiempo normal de grabación, y quedo mucho espacio libre para más cosas. Ella esta contenta y yo también, así que cumple con lo que esperas de él.</t>
  </si>
  <si>
    <t>Muy pequeña La chaqueta esta genial, acabado buenos, calidad precio bien pero... ES ENANA! La compré para mi chico, normalmente usa una L, cogí una XL después de leer las opiniones, le faltan por lo menos otras dos tallas, esto es 3XL! Una pena</t>
  </si>
  <si>
    <t>Pierde agua La bolsa interior está dañada y gotea, con lo que no sirve para nada. La bolsa interior está dañada y gotea, con lo que no sirve para nada.</t>
  </si>
  <si>
    <t>Reloj Muy descontento  lo compre no hace muchos meses y al cambiar la hora tire de Corina se rompió Espero que pueda tener garantía Un saludo</t>
  </si>
  <si>
    <t>Falla la suela La suela no tiene una posada muy ergonómica</t>
  </si>
  <si>
    <t>Todo ok! Algo pequeñas para mi muñeca pero están chulas.</t>
  </si>
  <si>
    <t>Aceptable Se adaptan bien. Son ligeros. Se demoró mucho la entregs</t>
  </si>
  <si>
    <t>Sencillo de utilizar Me gusta su diseño (aunque quizás un poquito largo de más) y que es muy fácil de instalar y utilizar. Según las instrucciones del producto, si mantienes pulsado la flecha en dirección hacia arriba, debería de poner en negro la pantalla, pero no lo hace. No sé si es fallo del producto o que es un error en las instrucciones. Por todo lo demás todo genial.</t>
  </si>
  <si>
    <t>USAR UN MES Y TIRAR Lo valoré al llegar pero ya las he tirado, son malas. El forro sintético se degrada y ennegreca rápidamente. No las compraria ahora producto calidad mínima</t>
  </si>
  <si>
    <t>Buen producto La relación calidad precio es asequible y buena</t>
  </si>
  <si>
    <t>Excelente Es una camiseta perfecta para cualquier tipo de ejercicio y se adapta perfecto a tu cuerpo, excelente calidad y gran atención de los vendedores, todo perfecto!</t>
  </si>
  <si>
    <t>MUY BUENAS Se las he comprado a mi marido y me dice que son muy cómodas y calentitas. Aún no hemos probado el Goretex en caso de lluvia.</t>
  </si>
  <si>
    <t>Correcta De momento funciona muy bien</t>
  </si>
  <si>
    <t>Minimalistas Son muy cómodas y se adaptan genial al pie. Las uso para hacer deporte</t>
  </si>
  <si>
    <t>colgante koala Precioso para un regalo , y fue un acierto , perfecto todo</t>
  </si>
  <si>
    <t>Muy buena relación calidad precio Auriculares muy cómodos, idóneos para hacer deporte o incluso el día a día, no se caen y se sujetan muy bien. La calidad es bastante buena, ten en cuenta que no son caros. Además, se pueden cargar sin estar conectados a la corriente ya que lo que se carga es la base, por lo que puedes recargar estando en la calle. La base la puedes apagar y encender. Una cosa que me gustó mucho es que tiene cargador para cargar un solo auricular. Muy buena calidad precio.</t>
  </si>
  <si>
    <t>Excelente calidad Utilizo este tipo de microtarjetas para mi cámara de vídeo adaptada a mi silla de ruedas. La grabación es fantástica, y la rapidez del envío genial. Merece la pena el apellido de PLUS.</t>
  </si>
  <si>
    <t>Quedo muy satisfecho con la transacción Valoro con esta puntuación porque está todo perfecto. Muy satisfecho. Nada me disgustó Lo recomendaría a todos mis amistades. Saludos</t>
  </si>
  <si>
    <t>Portable SSD de bolsillo. Disco duro portátil SSD, bueno más que portátil diría yo de bolsillo, rapidísimo a la hora de cargar juegos y programas, un imprescindible en mi caso si se dispone de un portátil. Capacidad correcta para el precio que tiene.</t>
  </si>
  <si>
    <t>Muy buena compra Me compré solo una para ver qué tal me quedaba y ahora voy a coger 6 más para tener siempre repuesto. Muy buena calidad y para mi es una de las mejores marcas. Por mi parte es un producto muy recomendable.</t>
  </si>
  <si>
    <t>Genial Súper cómodas. Un número más grandes de lo normal. Recomendables</t>
  </si>
  <si>
    <t>Pequeña comoda Me gusto que es pequeña facil de usar . Lo que no me gusta qje vaya a pilar podia ser de bateria o alguna otra cosa</t>
  </si>
  <si>
    <t>Precio/calidad Rico!</t>
  </si>
  <si>
    <t>se ajusta a lo anunciado. Bueno.</t>
  </si>
  <si>
    <t>Va muy bien para el día dia Es un clasico para llevar día ah dia</t>
  </si>
  <si>
    <t>Comodisimos No defraudan para nada. Súper cómodos y la calidad un 10</t>
  </si>
  <si>
    <t>Auriculares de calidad con buen precio Auriculares baratos, aunque la verdad, tiene más calidad de lo que esperaba. Viene en una bonita caja y los cables tienen un tacto de goma muy curioso. Creo que ayuda a que no se hagan nudos.</t>
  </si>
  <si>
    <t>Masaje portatil Es genial. Cualquiera de los 4 modos de masaje es maravilloso. Lo mejor: no moverse de casa para recibir un buen masaje. Muy completo y muy bien preparado.</t>
  </si>
  <si>
    <t>un auricular me dejó de funcionar a la semana La forma y el sonido me gustaban mucho. Lo único de repente un día ya no se escuchaba por un auricular. No se si fue porque dí algún tirón o algo y se rompería algún cable por dentro. Como veo en los comentarios que a nadie le ha pasado, los he vuelto a pedir, a ver si tengo más suerte porque la forma y el sonido estaban muy bien</t>
  </si>
  <si>
    <t>Tira defectuosa La cinta negra que sale del libro para atar está defectuosa (girada, como mal enganchada, queda un poco rara). Por lo demás todo bien.</t>
  </si>
  <si>
    <t>Auriculares baratos Presentación estupenda, caja con cremallera, accesorios: mosqueton y pinza. Y el auricular es cómodo y se escucha genial. También tiene micro. Y baratisimos.</t>
  </si>
  <si>
    <t>Defraudada Las tengo desde el 2 de noviembre y ya se están rompiendo tengo un disgusto. La calidad deja mucho que desear</t>
  </si>
  <si>
    <t>Timo Me llegaron rotos.son de mala calidad no los recomiendo para nada</t>
  </si>
  <si>
    <t>Una estupenda memoria USB De momento va de cine y nunca mejor dicho porque lo uso conectado a la tele para ver películas, documentales y series. No se calienta demasiado y su único defecto es que el mecanismo retráctil no es demasiado fuerte y hay que sujetarlo para conectarlo al USB.</t>
  </si>
  <si>
    <t>está bien para los pelos de animales Recoge muy bien los pelos de animales, pero no deja de ser una mopa eléctrica y no te quita de pasar el aspirador.</t>
  </si>
  <si>
    <t>No parece de mala calidad Todo correcto el micro no va mal llegó en el tiempo estimado El tiempo dirá venía igual que en la descripción</t>
  </si>
  <si>
    <t>Bonito regalo para hombre Muy bonito diseño, elegante y cómodo. Muy buen regalo para cualquier hombre. Materiales resistentes y de buena calidad. También puedes grabar alguna inscripción en la parte de metal. Buena calidad precio</t>
  </si>
  <si>
    <t>El antideslizante funciona Compré estos calcetines porque uso plantilla en un pie, y hace que el calcetín se deslice hacia el interior de algunos zapatos. Con el diseño de este calcetín, y el antideslizante del talón, eso no pasa.  Por lo demás, parece de buen algodón. No es muy fino, pero en mi caso viene bien porque me salen ampollas muy facilmente.</t>
  </si>
  <si>
    <t>Genial La almohadilla funciona perfectamente para cuello y parte superior de la espalda, tienes varios niveles y calienta lo suficiente. Por ese precio, lo mejor que he encontrado.</t>
  </si>
  <si>
    <t>todo correcto Se recibe lo que se publicita en la página, nada más ni nada menos. Todo correcto No tengo ninguna queja de este producto</t>
  </si>
  <si>
    <t>Son justo el número q pides Igual q en la foto,lo único q para invierno no valen traspiran demasiado,pero están chulas</t>
  </si>
  <si>
    <t>Es practico.comodo de hacer zumo Es cristal.pesa un poquito.debajo del aparato lleva un boton de seguridad.su capacidad es un vaso.es practico.cualquiera lugar puedes hecer zumo reciente.es con cargador de miniusb.</t>
  </si>
  <si>
    <t>Funciona muy bien Recoge muy bien, no da problemas y es muy robusto</t>
  </si>
  <si>
    <t>In-ear por 8 veces menos que un Shure Sorprendentemente han superado mis expectativas. Mis anteriores in-ear fueron los Shure SE315 y la verdad que en comparación con estos es de calidad similar. Claro que comparar unos in-ear 8 veces más baratos y de igual resultado. El acabado de aluminio da un toque diferente y el cable trenzado es de buena calidad. Y también te dan la posibilidad de conectarlo módulo inalámbrico CSR8675 que se compra por separado. No he visto nada más barato con tanta calidad.</t>
  </si>
  <si>
    <t>muy bien Pues la verdad es que para el precio que tienen (poco más de 4€) , no se le puede pedir más.  No tengo un uso exigente para las tarjetas, son para almacenar unos datos y si bien no dan mucha velocidad, la clase 4 la cumplen siempre, incluso he visto picos de 10MBps, pero se mantienen en 4 la mayor parte del tiempo, por tanto es justo lo que esperaba de ellas y cumplen lo prometido.</t>
  </si>
  <si>
    <t>Buen trato y muy buena atencion y comprension Despues de que surgieron algunos problemas con el material, me lo resolvieron y siempre con atencion y la maxima solucion.</t>
  </si>
  <si>
    <t>Funcionamiento bueno y rapido. Esta bien terminado y su funcionamiento es sencillo y empieza a echar el humo a los pocos segundos. Aconsejo su compra, pues realiza su función perfectamente, esta bien terminado y se tiene un precio ajustado.</t>
  </si>
  <si>
    <t>Gran tarjeta Micro SD para GoPro Hero 7 Black u otras cámaras para 4K La tarjeta va de maravilla en una GoPro Hero 7 Black para grabar en 4K a 60 FPS. Sin duda una buena tarjeta para poder sacar el máximo partido a una buena cámara. También la he probado en una Sony Alpha 6000 y va de maravilla. Tiene mucha capacidad para poder sacar fotos y vídeos en alta calidad. Además la propia SanDisk da una garantía adicional de 10 años si se registra en su página web. Yo la compre en oferta por unos 30€ con la capacidad de 128gB. Es cara pero de momento no me ha dado problemas.</t>
  </si>
  <si>
    <t>Es un muy buen zapato. Comodo y con gore-tex aisla del agua como niniguno. Como siempre la marca no defrauda en su gama media-alta y alta. Zapato comodo, flexible, aislante. Una maravilla. Muy recomndable.</t>
  </si>
  <si>
    <t>Buena cinta de embalaje Ha llegado perfectamente protegida, cumpliendose todas las especificaciones del anuncio. Cada rollo trae una gran cantidad de cinta que se es muy resistente y se pega con bastante fuerza. Lo adquiri a traves de un descuento del vendedor y estoy muy contento con la compra.</t>
  </si>
  <si>
    <t>Perfecta Los compré para dar en la comunión de mi hija y todo el mundo estuvo encantado y sorprendido</t>
  </si>
  <si>
    <t>Plancha de Corte,a de corte. Todo perfecto.</t>
  </si>
  <si>
    <t>Bien Encaja bien y es como en la descripción.</t>
  </si>
  <si>
    <t>Perfecctos. Era lo que esperaba.</t>
  </si>
  <si>
    <t>Zapatillas blancas Perfectas, corresponden perfectamente a lo anunciado, muy buena relación precio calidad, mucho más baratas que otras de marca con calidad similar</t>
  </si>
  <si>
    <t>diseño super bonito, pequeño, liviano Producto excelente. Por poner alguna pega, el cable es muy corto, apenas unos 10cm. Lo pongo en mi iMac y queda colgando... De resto es perfecto. Muy pequeño, diseño y acabado precioso, liviano, súper rápido...! Lamento no haber tenido dinero para comprar el de 2T...!!!</t>
  </si>
  <si>
    <t>No es muy adhesivo Lo compré para unos posters.. y a los días estaban en el suelo, no me ha gustado</t>
  </si>
  <si>
    <t>Buen producto Buen producto, quizás recomendaría el de cremallera</t>
  </si>
  <si>
    <t>Auricular He adquirido este producto,por relación calidad precio,los utilizó sólo para tv, en principio el sonido es aceptable,la única pega que veo es que si subes el volumen del auricular mucho se oye un zumbido muy intenso, pero si lo bajas al mínimo y subes el sonido de la tv se escucha bastante bien y se anula el zumbido, en resumen bastante aceptable.</t>
  </si>
  <si>
    <t>Carlos Caro para la calidad ,por no tener no tiene ni luz y que las abujas brillen en la oscuridad 3 minutos después de darle con una luz fuerte El plástico de la Correa pésimo No me a gustado nada</t>
  </si>
  <si>
    <t>Defectuosos Muy descontento, el 2o dia dejó de funcionar el auricular derecho, el del microfono. Además tienen un sonido muy agudo, estridente.</t>
  </si>
  <si>
    <t>Sudadera delgada Algo fino pero suficiente para tiempo no muy frío.</t>
  </si>
  <si>
    <t>Como cualquier vinagre Blanco Envío rápido, la estoy probando para hacer limpiezas en babycook, pero realmente es como utilizar vinagre blanco, es el mismo olor y tampoco es que limpie mucho más, creo que el resultado es el mismo.</t>
  </si>
  <si>
    <t>aislaría la botonera. Funciona genial, me encanta. El servicio técnico impecable. No le pongo un 5 porque hay que tener cuidado no se cuelen líquidos por la botonera. Si tuviera una funda de goma como algunos electrodomenticos que la protegiera de los líquidos se podría decir que que estamos ante una batidora perfecta con un servicio técnico impecable. Muy satisfecho!</t>
  </si>
  <si>
    <t>Si mejoraran la velocidad y evitaran su sobrecalientamiento seria el usb perfecto PROS: El precio es bueno. Es un pendrive que ocupa poquísimo espacio lo que facilita insertarlo en múltiples sitios como tv, reproductores, PC's,etc. Es tan pequeño que puedes llevarlo de llavero. Es 3.1.  CONTRAS: La velocidad no es tan alta como promete. Es tan pequeño que se puede perder con facilidad. No incluye ninguna luz para saber cuándo está traspasando información.  He comprado dos usb de 64 GB y los estuve probando ayer. Estoy contento con la compra aunque tiene algunas cosas que mejorar. La velocidad en un puerto usb 3.0 pasando un archivo de 30 GB, empieza alta en 50/60 MB para luego quedarse en unos tímidos 20 MB. Para este archivo de 30 GB tarde 25 minutos. Es verdad que con usb 2.0 hubiera tardado 45 minutos. Se calienta un poco, pero nada como para asustarse, es normal dado su pequeño tamaño.  Lo probé en una Smart TV Samsung para ver en 2K Vengadores End Game y de funciono de maravilla. Un pendrive lo llevaré en la cartera para urgencias y el otro se queda en casa para ver pelis de alta resolución.  Si tuviera una mejor velocidad y se añadiera una luz para saber cuándo está transmitiendo sería perfecto. A pesar de estos defectos lo recomiendo.</t>
  </si>
  <si>
    <t>Aceptable Batidora aceptable para el precio que tiene. Lo que no me gusta en absoluto es el clip para desenganchar el brazo Los botones son pequeños y muy duros Lo mejor sería a rosca...como toda la vida</t>
  </si>
  <si>
    <t>Combinan con todo Zapatillas muy cómodas y combinan con casi todo, elegí la talla 44.5 ya que en deportivas asics uso esa talla y queda algo holgado pero no te impide correr por ejemplo, no va a salir disparado el calzado, aunque no están hechas para correr. En un futuro para zapatillas de este estilo en Asics elegiré medio número menos y quedarán perfectas,estoy seguro</t>
  </si>
  <si>
    <t>Lo esperado Muy bien</t>
  </si>
  <si>
    <t>Relación calidad-precio correcta. La verdad es que estos auriculares no defraudan, me resultan muy cómodos, teniendo en cuenta que los uso varias horas al día, con un reproductor de música hd fiio y con un amplificador (cuando toco el bajo eléctrico). Buen sonido y calidad de construccion, los plásticos parecen de muy  buena calidad. Polivalente gracias a los tres cables que incluye, uso el de 1,2 y 3 metros sobretodo.</t>
  </si>
  <si>
    <t>Perfecta Muy buenas ,bonitas y de calidad</t>
  </si>
  <si>
    <t>Buen producto Buen producto, aunque me equivoqué de talla</t>
  </si>
  <si>
    <t>Está bien Sólo lo utilizo para la playa pero no lo meto en el agua, Es muy ligero y es bonito</t>
  </si>
  <si>
    <t>perfecto muy bueno</t>
  </si>
  <si>
    <t>Bien con matices - primera opinion - Supondremos que son cosas de las traducciones pero, de licuadora nada. molinillo, batidora, picacpica, pero licuadora. No obstante para mi me esta bien, trabajando fuera de casa te da una autonomia tanto por tamaño, prestaciones comodidad,etc. es comodo poder cargarlo en el coche . Lo primero que he tenido que hacer es afilar un poco las cuchillas, estaban cuadradas y luego, dadas las caracteristicas del vaso y potencia, no poner la fruta muy grande. Habría sido interesante un manualillo en castellano y las indicaciones de donde obtener otro vaso.</t>
  </si>
  <si>
    <t>Las recomiendo! Es la primera vez que las uso, y tengo que decir que son geniales. Vienen tres diferentes, dos de ellas son normales y la otra vibra si lo activas con el mando. Viene con un manual de instrucciones. Si que es cierto que hubiera agradecido una pequeña bolsa de transporte, pero aún así son geniales. La batería dura bastante y tarda poco en cargarse y eso va genial. Son las primeras que compro y van muy bien. Son fáciles de limpiar, y el tanto es suave. Parecen de muy buena calidad, las recomiendo la verdad!</t>
  </si>
  <si>
    <t>El regalo perfecto Me costó mucho encontrar este abalorio, pero ha sido todo un éxito!!</t>
  </si>
  <si>
    <t>Recomendable Grapas estándar para rato a buen precio. Aunque queda pendiente comprobar cómo responden al paso del tiempo en ambientes húmedos.</t>
  </si>
  <si>
    <t>Da un buen resultado. Es un buen material. Da el resultado q esperaba.</t>
  </si>
  <si>
    <t>Muy bonitos. Son muy pequeños pero muy bonitos, discretos y elegantes. Contenta con la compra</t>
  </si>
  <si>
    <t>Funciona bien Funciona bien</t>
  </si>
  <si>
    <t>Rápida entrega y rico olor. Fantástico olor a menta. Muy útil para fumigar naturalmente y repeler insectos y ratoncillos de ciudad👍</t>
  </si>
  <si>
    <t>Muy bien El envio bastante rápido y llegó en perfectas condiciones. Huele muy bien, este de frutos rojos no lo conocía. Cada botellita dura varios meses así que el precio está bastante bien.</t>
  </si>
  <si>
    <t>Buena Calidad Buena relación calidad/precio. Mejor de lo que esperaba. Tiene buen ajuste, me atrevo a decir que mejor que la correa original de Fitbit. Incluye un aparato para poder acortar los eslabones de la correa y adaptarlo a tu muñeca.</t>
  </si>
  <si>
    <t>Precioso Reloj CASIO retro ochentero total. Me lo probé en una tienda primero para ver su calidad y como quedaba puesto. Me encantó y si no fuera porque allí costaba 15€ más...</t>
  </si>
  <si>
    <t>Calidad  justita No tiene fuerza suficiente, miraria otras opciones</t>
  </si>
  <si>
    <t>La baja calidad. Desprenden un fuerte olor a plástico y dan la sensación de copia de los originales pero de calidad inferior.</t>
  </si>
  <si>
    <t>De pequeño tamaño Es muy bonito y viene en una caja preciosa pero el tamaño es más pequeño de lo que me imaginaba por la foto.</t>
  </si>
  <si>
    <t>Zapatillas Dunlop, nunca más. Después de casi un mes de uso puedo decir que son calientes, pero tampoco demasiado. La suela es tan dura que tanto en suelos de madera como con baldosas se resbala, y mucho, haciendo que sea muy incomodo andar con ellas. Y los remaches del talón, tal y como se aprecia en la imagen que adjunto, ya se están descosiendo. No las volvería a comprar, de hecho, he tenido que comprarme otras distintas.</t>
  </si>
  <si>
    <t>Malísimas ( cuidándolas) son muy bonitas pero para trabajar son muy flojas , sus componentes son como los de las demas deportivas por lo cual cualquier enganchon .... rotas . si quereis unos zapatos buenos , duraderos , lijeros y con buen diseño , unas sparco ( me han durado dos años)</t>
  </si>
  <si>
    <t>Buen sonido. Difícil de adaptar al conducto auditivo. Buen sonido en relación al precio. Varias medidas en los accesorios de adaptación al oído. En mi caso no he conseguido que no se salga del conducto auditivo.</t>
  </si>
  <si>
    <t>Tacón muy cómodo Medio número más del habitual me ha ido bien. He tenido q cortar la tira porque quedaba demasiado largo , fácil arreglo</t>
  </si>
  <si>
    <t>Actual La gargantilla está bien terminada, sobretodo por su precio. Lo único reseñable es que la compré para mi hija, de 12 años, y las conchas son grandes para ella.</t>
  </si>
  <si>
    <t>Calidad buena. La portada no tiene relieve, es impresión Esperábamos un álbum más parecido al de la película. Por dentro tiene muchas hojas para colocar imágenes, pero la portada está impresa, no hay nada que sobresalga. La calidad es buena igualmente.</t>
  </si>
  <si>
    <t>Una ayuda en el hogar Ideal para apañar el polvo mientras haces otras cosas. Sin embargo, hace muchas pasadas por el mismo sitio, por lo que el tiempo de trabajo se alarga de forma innecesaria.</t>
  </si>
  <si>
    <t>Muy buenos Van bien para cabezas pequeñas. Al principio aprietan un poco la cabeza. El cable es demasiado largo y pesado para uso doméstico y no se puede desenganchar. La calidad de sonido es alucinante, detallada y con textura, pero no es para gente que busque bajos que retumben.</t>
  </si>
  <si>
    <t>Mtng Genial, me encantan las zapatillas.</t>
  </si>
  <si>
    <t>Los mejores que he tenido. Sí, el precio no es el más bajo, pero merece pena.  El apellido confort no es por casualidad, muy cómodos, puedes llevarlos durante horas sin ningún problema. El sonido de de gran calidad, nada que envidiarles a ningún otro del sector, evidentemente si lo que buscas es algo para profesionales seguramente se te quedaran cortos. La batería es más que aceptable, me dura las 20 horas sin problema, también es verdad que no suelo usarlos a máxima potencia, ya que gracias a la cancelación de ruido, para mí no es necesario. Añadir que el poder tener sincronizados 2 dispositivos a la vez y 8 memorizados es como si fuese magia.  Sin duda, a pesar del precio es una compra que recomiendo 100%</t>
  </si>
  <si>
    <t>Estético y ergonómico La verdad que cumple con creces mis expectativas. Por el precio que tiene te permite realizar presentaciones sin la necesidad de ir pasando las diapositivas a mano. Tiene también un puntero láser, pero yo personalmente no lo uso mucho. El diseño (por lo que lo compré en parte), es como el la foto. Creo que por el precio que tiene es muy buena opción. Veremos lo que dura. De momento bien ;D .</t>
  </si>
  <si>
    <t>Un soporte de micro de gran calidad Lo he adquirido hace un par de semanas y le he estado dando mucho uso. El brazo articulado se mueve muy bien, trae su propia araña para meterle casi cualquier micro y lo puedes mover a tu antojo. Al tener una cabeza de rosca en su punta, puedes ponerles adaptadores para todo tipo de cosas y usarlo como soporte para webcam, tablets o lo que se te ocurra. Sorprende su relación calidad/precio. Muy recomendable.</t>
  </si>
  <si>
    <t>Imprescindible sccis Calidad, no corro¡ vuelo¡¡¡¡!</t>
  </si>
  <si>
    <t>Es muy bonito y juvenil A mi hijo le encanto lo único es que La Luz interna del reloj no es led es una luz amarilla que solo deja ver el reloj analógico en la noche no el digital</t>
  </si>
  <si>
    <t>Funciona estupendamente, cuando quieres calentar menos agua, lo ... Funciona estupendamente, cuando quieres calentar menos agua, lo utilizo en la oficina. Personalmente sería mas práctico con un cable un poco mas largo, pero el interior está perfecto forrada la base, muy bien empaquetado y lo recibí enseguida</t>
  </si>
  <si>
    <t>Es muy práctico Es muy útil y sencillo de programar, como despertador, tiene la función snooze (SNZ) donde suena la alarma cada 5', evita que te quedes durmiendo. Lo compré porque tenía uno similar hace ya más de 20 años y ya veo que CASIO sigue haciendo los productos tradicionales que tan buen resultado han dado, el otro aún lo conservo y funciona perfectamente.</t>
  </si>
  <si>
    <t>Cómodo Bien</t>
  </si>
  <si>
    <t>Pequeño, elegante, compacto y rápido Este hervidor, de 1l de capacidad, tiene un diseño muy elegante (además, podemos elegir varios colores). Es el tamaño perfecto para tener en casa (para familias de hasta cuatro personas), en la oficina o llevarlo de viaje (si vamos a un apartamento, por ejemplo). Es un utensilio imprescindible para los amantes de las infusiones, de las sopas instantáneas o de cualquier tipo de comida que se prepare simplemente añadiendo agua hirviendo. Y va también muy bien para cocinar, para tener agua hirviendo de manera rápida si tenemos que añadir agua hirviendo a algún guiso.  El CUERPO del hervidor es de acero inoxidable esmaltado, con la tapa y el caño en acero inoxidable sin esmaltar. El asa es de plástico de color negro, resistentes al calor y el hervidor tiene un peso de unos 700 g (según mi báscula de cocina).  Como su BASE es GIRATORIA y el ASA es ERGONÓMICA y fácil de agarrar tanto si eres diestr@ como si eres zurd@, es muy fácil manejarlo. El cable mide unos 100 cm aproximadamente, creo que es una longitud suficiente como para poder enchufar el hervidor cómodamente y sin problemas. Además, por su parte inferior la base tiene un recogecables que va muy bien si queremos guardar el hervidor o bien para guardar la parte de cable que no necesitemos cuando lo tenemos enchufado.  Como decía al principio, tiene 1l de capacidad, pero tiene también una "ZONA DE EBULLICIÓN RÁPIDA" con un indicador de color rojo en el interior del hervidor que nos permite hervir la cantidad de agua correspondiente a 1, 2 o 3 tazas.  Aunque en las indicaciones dice que hierve una taza de agua en 50 segundos, según mi experiencia, el tiempo que tarda es entre 50 y 60 segundos (el tiempo depende de la temperatura inicial del agua, obviamente).  El tiempo que tarda en hervir 1l de agua es de aproximadamente 3-4 minutos.  Además del indicador de 1, 2 y 3 tazas, tiene también un VISOR que nos permite ver el NIVEL DEL AGUA del hervidor, aunque el visor está colocado enfrente del asa y eso, en mi opinión, dificulta un poco ver cuánta agua hemos echado en el hervidor. El visor tiene dos indicaciones de la cantidad de agua, 0,75 l y 1l respectivamente.  Tiene un práctico FILTRO ANTICAL, que es extraíble y lavable. No obstante, de vez en cuando hay que utilizar un antical para limpiar el interior del hervidor (así prolongamos su vida útil). El filtro se saca y se vuelve a poner con mucha facilidad.  Se pone en MARCHA mediante una palanca que hay en la parte baja del hervidor, debajo del asa. Cuando se pone en marcha, se enciende también un LED de color rojo. Se apaga automáticamente cuando el agua empieza a hervir y tiene protección contra hervido en seco, por si alguna vez alguien le da sin querer al botón de encendido.  A la hora de VERTER EL AGUA, lo hace muy bien, sin derramar ni una sola gota. Y la tapa se mantiene bien cerrada aunque pongamos el hervidor cabeza abajo.  El MANUAL DE INSTRUCCIONES, en varios idiomas incluido el castellano, contiene todas las indicaciones y recomendaciones para que podamos utilizar el hervidor correctamente y nos dure largo tiempo.  Tiene dos años de GARANTÍA y Russell Hobss nos da un año extra si registramos el hervidor en su página Web.  A TENER EN CUENTA  * Es un hervidor sólo para agua. No se pueden calentar en él otros líquidos porque lo estropearían.  * No tiene selector de temperatura, calienta el agua a 100º (punto de ebullición). Si queremos tomarnos un té verde, por ejemplo, tendremos que esperar un minuto o dos para que el agua se enfríe hasta más o menos 80º.  * No tiene una función para mantener el agua caliente, una vez ha hervido, el agua se va enfriando poco a poco.  * Como es de esperar, al ser de acero inoxidable, la parte externa del hervidor se calienta mucho así que cuando el agua ha hervido hay que ir con cuidado y cogerlo del asa para no quemarnos.  * En la base se indica que tiene una potencia entre 2000 y 2400 W. Es normal puesto que el consumo energético aumenta a medida que se calienta el agua.  &amp;gt;&amp;gt;&amp;gt; CONCLUSIÓN &amp;gt;&amp;gt;&amp;gt;  Es un hervidor pequeño, compacto y rápido que podemos tener en un sitio fijo o llevar de viaje. No gotea cuando servimos el agua hirviendo y con la ventaja añadida de que se puede calentar agua para sólo una, dos o tres tazas. Y con una relación calidad-precio muy buena.</t>
  </si>
  <si>
    <t>Buen producto! Cumple todas las espectativas, funciona a la perfección, tras usarlo varios meses no me ha dado ningún problema. Lo recomiendo totalmente.</t>
  </si>
  <si>
    <t>Masajeador de Cuello Portátil el Masajeador de Cuello llego en su dia ,era un regalito para mi abuela ,le duele un poco por el cuello y espalda ,y con este aparato espero que mejore.le doy mi 10.</t>
  </si>
  <si>
    <t>Solución perfecta para los prolongadores de tubos de maquinas de oxigeno No lo hemos usado para cables. Teníamos un problema con el tubo de plástico que va de la máquina de oxigeno a las "gafas" (dispositivo que se utiliza para el oxígeno por nariz), pues al ser muy largo (unos 5 m), se iba doblando y llegaba a estrangularse en varios puntos y reducía mucho el caudal. lo hemos "forrado" con este producto, y le ha dado la robustez suficiente para que no se estrangule al mover el tubo de una habitación a otra, pues tenemos la máquina en un lugar centrado en la vivienda y lo que movemos es el tubo. Eso sí, es muy laborioso de colocar</t>
  </si>
  <si>
    <t>La rapidez de prime Muy buen producto</t>
  </si>
  <si>
    <t>fantastica fantastica</t>
  </si>
  <si>
    <t>Como regalo de cumple Los compré como regalo de cumple para sustituir el tipico cono de chuches y la verdad es que muy bien, a todos les encantó la idea</t>
  </si>
  <si>
    <t>Comodidad y buen sonido. Los auriculares se adaptan muy bien al oído y aíslan perfectamente del ruido ambiente. La batería dura una jornada de trabajo perfectamente y además vienen con adaptadores para distintos tamaños de oído. Están construidos con buenos materiales y su pequeño tamaño permite llevarlos a cualquier lugar.</t>
  </si>
  <si>
    <t>Bonitos La apariencia es genial aunque me queda pequeño y como había tirado la caja no pude hacer cambio :(</t>
  </si>
  <si>
    <t>Muy rígidos Son muy bonitos, buena calidad pero muy rígidos, los tengo de unos meses pero todavía me duelen los pies. No los recomiendo</t>
  </si>
  <si>
    <t>No transparenta El tejido es bastante flexible lo cual en mi caso me sobra un poco comparado con otros leggins que tengo. Son súper cómodos y no transparentan pero me gustaria que fuese un pelin más rígidos, para el precio que tiene lo veo caro</t>
  </si>
  <si>
    <t>1 no se parece al de la foto. la calidad es muy mala, yo no lo compraria, no lo recomiendo. en la foto parece que es algo mas de lo que es</t>
  </si>
  <si>
    <t>Vergonzoso Embalaje con golpes. Nada más abrir, puedo comprobar que las protecciones del producto son mínimas (una simple tira de poliestireno para la base). La pizarra llena de golpes, deformada y con fisuras. Había leído malas opiniones respecto al mal estado de recepción. Aún así me arriesgué y, como no, obtuve un pésimo producto.</t>
  </si>
  <si>
    <t>Ha dejado de funcionar con solo 3 meses de uso Compré este producto en Marzo 2017 y hace una semana (Junio) la licuadora dejó de funcionar. Ya no enciende. Estoy buscando información de Garantía y no encuentro nada. Además de estar bastante decepcionado con el producto. Me gustaría me dieran alguna solución satisfactoria.</t>
  </si>
  <si>
    <t>Cumple con su función Lo dicho, por su precio cumplen perfectamente con su función. Me sorprendió que son más pequeños de lo que pensaba y sueltan unos pelillos en los primeros usos que hay que andar barriendo  Por lo demás, buen calidad y agarre, no se desprenden. Buen producto por su precio</t>
  </si>
  <si>
    <t>Pequeño y sirve para lo que es Buen aroma pero para habitación pequeña</t>
  </si>
  <si>
    <t>Geniales Me gusta todo mucho</t>
  </si>
  <si>
    <t>Buena calidad y sonido El producto en sí es de buena calidad, está muy bien que se puedan doblar porqué los hace más portables y eso es una ventaja sobretodo para que no se fastidie el cable ya que es más complicado que algún objeto ejerza presión sobre él y lo fastidie, por ejemplo al llevarlo dentro de una mochila o maleta. Lo único que no me gusta y por lo que no llega a 5 estrellas, es que como no tapa mucho el sonido exterior y se puede escuchar una conversación a voz media alta aún con la música medianamente alta. Si fueran otros altavoces más caros esto les hubiera costado tener 3 estrellas, no obstante, soy consciente de que calidad/precio están muy bien y uno no puede pretender que unos auriculares de 12€ te den los mismos resultados que unos de 200€. En mi opinión, una buena compra para casa, dónde el ruido suele ser menor que en la calle.</t>
  </si>
  <si>
    <t>Tallan un poco pequeño uso un 43 y necesitaria un 44 Son muy comodas, ligeras y son xulas</t>
  </si>
  <si>
    <t>Elegante Es Preciosa un tamaño muy elegante la calidad es muy buena a sido para un regalo y la verdad le ha encantado puesta queda Preciosa el color Granate oscuro creo k un poquito mas que en la foto comodisima</t>
  </si>
  <si>
    <t>Perfecto y alta sujeción Sabiendo la talla, hice la petición y puedo decir que es un sujetador muy resistente y perfecto no solo para hacer deporte sino cuando quieres sujección</t>
  </si>
  <si>
    <t>Todo OK. Es lo esperado.</t>
  </si>
  <si>
    <t>Super Super bonita</t>
  </si>
  <si>
    <t>Anuska Es la segunda vez que los compro. Se escucha muy bien tanto el audio, como las llamadas. Sistema de responder a las llamadas muy cómodo.</t>
  </si>
  <si>
    <t>Buen diseño Ya conozco la marca Merrel, por lo que sabia de antemano que tenia que pedir una talla mas, aun no le he dado mucho trabajo a las zapatilla, pero el tiempo que llevo usándolas al principio algo duras, pero digamos que ya están "domesticadas" y son cómodas. Las he comprado a un precio muy bueno, 65,44€ con gastos de envío incluidos, ya había visto este modelo otras veces y me había llamado la atención el diseño, pero no bajaban de los 100€, así que cuando las vi por ese precio, no lo dude. Compra altamente recomendable, espero ver como van para el Camino de Santiago que es para lo que las he comprado.</t>
  </si>
  <si>
    <t>PENDIENTES swaroskis La verdad es que los devolví porque los encontré muy pequeños en visto la foto, en la foto parecían mucho más grandes, pero no tuve ningún problema a la hora de devolverlos</t>
  </si>
  <si>
    <t>Para iniciados en el trail running La marca Salomon es muy conocida entre todos los que les gusta la carrera de montaña o de senderos. En este caso tenemos una zapatilla básica, pero con algunas características punteras, como el tejido exterior GORE-TEX que evita que el agua se filtre al interior.  Estas zapatillas en concreto están hechas para terrenos blandos, los tacos son lo suficientemente profundos como para agarrar bien. En cuanto a la comodidad y el interior, me han parecido que están muy bien. Aunque algo que no sé si me termina de convencer es que la longitud desde la plantilla hasta la parte alta de la zapatilla es muy pequeño, y me ha dado la sensación de que la zapatilla no agarra mucho cerca del tobillo. Eso sí, algo que me gusta mucho es lo ligera que es, puede que no sea de las más ligeras de la marca, pero sí es más ligera que otras marcas.  De cualquier forma creo que para su precio (Sabiendo la marca que es) y el uso para que el que va destinada, está muy bien y es totalmente recomendable.  Espero que este análisis os haya servido. Un saludo!</t>
  </si>
  <si>
    <t>Botas ugg Me encantan, son tal cual se ven en las fotos y son preciosas. Me llegaron super rápido</t>
  </si>
  <si>
    <t>Bien! Bien!</t>
  </si>
  <si>
    <t>son perfectos es lo mejor los biberón de cristal de higiene y todo son duros no se rompen facilmente</t>
  </si>
  <si>
    <t>Chulisimas Material muy bueno con puntera reforzada. El color me ha gustado mucho. Suela antideslizante. Muy caliente por dentro lleva tela de borrego. Muy chulas</t>
  </si>
  <si>
    <t>ZAPATILLAS MUY COMODAS La entrega en fecha y las zapatillas muy comodas.</t>
  </si>
  <si>
    <t>Luce pendientes con estilo. Me gusto porque son largos y queda muy bien para un vestido de noche.</t>
  </si>
  <si>
    <t>Calidad/precio... La verdad que para lo pequeño que es y lo intuitivo, fue fácil conectar los dos teléfonos al aparato. Es cómodo llevarlo en la oreja y se escucha muy bien (A los interesados se lo recomiendo). También podría decir que el cargador aparte de llevar un imán para colocar el audífono, es puerto USB muy cómodo, incluso para cargar en casa o mechero de coche.  Para mi muy recomendado.</t>
  </si>
  <si>
    <t>Todo bien. ¿Qué se puede decir de un recogedor? Pues que es de buena calidad y tamaño como el habitual en una casa. La goma del borde es blandita por lo que permite recoger hasta la última miga. Buen producto.</t>
  </si>
  <si>
    <t>BIEN BUENISIMO</t>
  </si>
  <si>
    <t>que es de 1L muy cómodo para usar</t>
  </si>
  <si>
    <t>No se puede desmontar para lavarlo No se puede desmontar para lavarlo. No se limpia facilmente, ya que al no poder quitar el mango no se puede lavar a maquina</t>
  </si>
  <si>
    <t>Calidad, pero excesivamente grueso Tiene calidad pero lo imaginé más fino. Es para invierno y no creo que enfocado a realizar actividades en las que se sude ya que el material no es nada técnico. Para vestir y abrigar genial</t>
  </si>
  <si>
    <t>No estan mal. Los cogí por la buenas criticas q tiene pero quizas me gusten mas el antocolic de chicco de boca ancha. Al bebe le gusta mas y coge el mismo aire q con estos. Los cogí de cristal y suelen perder un poco de leche en el enrroscado.</t>
  </si>
  <si>
    <t>No digo que sean malos.... Quizás el problema este en mis oídos, entiendo que todos no somos iguales, a mi se me caen y no oigo bien</t>
  </si>
  <si>
    <t>Devuelto No es original lo he devuelto</t>
  </si>
  <si>
    <t>No sirven para nadar No adecuado para piscina</t>
  </si>
  <si>
    <t>Buen producto La batidora funciona perfectamente. No le doy las cinco estrellas por el retraso en la llegada.</t>
  </si>
  <si>
    <t>Color brillante. Muy bonita Queda muy bonita puesta</t>
  </si>
  <si>
    <t>Buen producto No esta nada mal, tiene varios niveles de calor, y para las dolencias musculares va genial para alivar el dolor.</t>
  </si>
  <si>
    <t>Bueno Bien relación calidad / precio</t>
  </si>
  <si>
    <t>Bonitos Funcionan bien. Por el precio no esperaba nada mejor</t>
  </si>
  <si>
    <t>calidad pega muy bien, no puedo opinar sobre si hace bien o mal la estanquedad porque yo mismo no me he atrevido a hacer la prueba, pero diria que si se echa con cuidado y bien al menos por ahi es imposible que pase agua o polvo</t>
  </si>
  <si>
    <t>Kit imprescindible Me acabo de independizar y me compré el set de limpieza para casa. El cubo es genial y el escurrido una maravilla. La fregona de microfibras la vi anunciada en TV y limpia como ninguna ya que llevo usando microfibras en casa muchos años. Lo recomiendo sin dudarlo.</t>
  </si>
  <si>
    <t>Relación calidad-precio genial Excelente, resistente al agua.</t>
  </si>
  <si>
    <t>Diseño y calidad de sonido Compré estos auriculares porque estoy cansado de que se me enrolle el cable de los auriculares que no son inalámbricos. Es muy cómodo llevarlos, se adaptan bien a la oreja y como ya he dicho , el hecho de que no haya cables es genial. Se escuchan bastante bien. Para cargarlos solo hay que meterlos en la plataforma que trae y se cargan sin cables también, que es aún mejor. El diseño es muy bonito y son discretos de llevar. En general estoy contento con todo así que los recomiendo totalmente, por el precio que tienen merecen la pena.</t>
  </si>
  <si>
    <t>Nice Perfecto 👌🏻</t>
  </si>
  <si>
    <t>Lo bien que se limpia y se monta Me gusta todo es muy practica</t>
  </si>
  <si>
    <t>Calzado deportivo Tienen una calidad my buena, muy transpirables, se adactan muy bien al pie, como poco peso, flesible, el vendedor un trato exquisito muy amable, yo estoy encantado, con el producto y sobre todo con el vendedor. Gracias</t>
  </si>
  <si>
    <t>Ni rastro de alergia Bonitos, fácil de enganchar con cualquier pendiente!! Miedo me daba porque estaba buscando que fueran de plata, ya que tengo una alergia brutal, pero llevo usándolos más de 1 semana seguida y ni rastro de alergia. Además el precio que tienen es lo que te puede costar un solo par, y vienen 5.</t>
  </si>
  <si>
    <t>Como en la foto Perfectas le encantaron a mi esposo muy cómodas</t>
  </si>
  <si>
    <t>Perfectas Geniales!!!! Uso un 39, y me pedí un 39 1/3 y me quedan perfectas. Que decir de la zapatilla?? Te enamoras de ella nada más verla!!! Zapatilla 100% original y perfecta para mujer u hombre. Recomiendo su compra así como por el trato con el vendedor ( envío muy rápido)</t>
  </si>
  <si>
    <t>Amplitud Un regalo</t>
  </si>
  <si>
    <t>Son muy comodas. Es lo que esperaba, esta muy bien el efecto "amortiguador" del talón, buscaba unas zapatillas asi.</t>
  </si>
  <si>
    <t>Geniales - great Son una pasada. Ligeros, bonitos, fáciles de usar, con superficie táctil en vez de botones, leds e instrucciones por voz que te indican en qué estado están, buena calidad de sonido, buen aislamiento acústico... Probados en Xiaomi A2 (android) y un viejo nokia lumia (windows) y sin problemas. Los recomiendo.  They're awsome. Light, nice, easy to use, touch surface instead of buttoms, leds and voice instructions that indicates the status, good sound quality and acustic aisolation... Test it on xiaomi a2 (android) and old nokia lumia (windows) with no problem. I recommend them</t>
  </si>
  <si>
    <t>Son lo que estaba buscando Estaba buscando unos cascos inalámbricos para salir a caminar y creo que he acertado. Me decante por estos por sus buenas opiniones y por aparecerme como Amazon choise. Tenía miedo de que su tamaño fuera grande y aparatoso pero no, son pequeños y discretos. En mi caso los estoy utilizando para salir a caminar diariamente entre 1:30-2h, no me han dado ningún problema y la batería me dura toda la ruta. Lleva varios adaptadores de oído para encontrar el que te encaje perfecto, yo estoy usando el que lleva por defecto montado y se me quedan bien sujetos. El único pero es que cuesta un poco pillarle el punto a los comandos táctiles y el primer día pensaba que no funcionaban bien, pero es solo cuestión de pillarle el truco y practicarlos cuatro o cinco veces y funcionan de categoría. Una buena compra!</t>
  </si>
  <si>
    <t>Tarjeta sandisk Queria una tarjeta de memoria con capacidad media y sobre todo velocidad, lo compre para cámara de fotos, necesitaba sobre todo rapidez en escritura, de momento va perfecta y tanto la escritura como lectura perfecta no retrasa nada a la cámara, la prueba en grabación de video en 1080 muy bien ahora a probar como se defiende en 4K, tarjeta muy recomendable</t>
  </si>
  <si>
    <t>Coger bien el lápiz. Si utilidad para coger bien el lápiz.</t>
  </si>
  <si>
    <t>Aroma agradable Aceites con aroma agradable, frescas, no son de olor fuerte que al final son pesados al olfato despues de llevar un tiempo, me gustan que sean con aroma frutales. La presentación muy bonita en su caja ideal para hacer un regalo o para almacenarlos y no tener los recipientes dando vueltas.</t>
  </si>
  <si>
    <t>Original &lt;div id="video-block-R2PTO4F861KTOA"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src="https://images-eu.ssl-images-amazon.com/images/I/A1-1bWlYRmS.mp4" style="position: absolute; left: 0px; top: 0px; overflow: hidden; height: 1px; width: 1px;"&gt;&lt;/video&gt;&lt;/div&gt;&lt;div id="airy-slate-preload" style="background-color: rgb(0, 0, 0); background-image: url(&amp;quot;https://images-eu.ssl-images-amazon.com/images/I/8136xqAdZHS.png&amp;quot;);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value="https://images-eu.ssl-images-amazon.com/images/I/A1-1bWlYRmS.mp4" class="video-url"&gt;&lt;input type="hidden" name="" value="https://images-eu.ssl-images-amazon.com/images/I/8136xqAdZHS.png" class="video-slate-img-url"&gt;&amp;nbsp;Pedido rápido el producto es espectacular tal cual está en la descripción muy contenta</t>
  </si>
  <si>
    <t>Espectaculares Hemos comprado tanto estos, como los rojos.  Y estamos encantados, cómodos, bonitos.  Eso sí, el rojo es menos rojo que en la foto. El azul, perfecto.</t>
  </si>
  <si>
    <t>Mas ruido que un avión!! El diseño muy bonito y fácil de usar, pero hace mas ruido que un avión despegando!!!! Hace mucho ruido!</t>
  </si>
  <si>
    <t>No va muy bien Potencia de succión regular. Solo 1000 pascales. Fregado friega mal como todos los robots que friegan. Y capacidad de suciedad poca si tienes animales. Golpea muchos los muebles y algunos no los ve. Por el precio y la función. Hay de muchísimo mejores que este.</t>
  </si>
  <si>
    <t>Excesivamente fina, y de poca calidad. La cinta es extremadamente fina, de muy mala calidad, se rompe con facilidad, no la recomiendo a nadie, hay otras cintas  de muca mejor calidad, mas gruesas, mas largas por lo que duran más, no volveré a comprar esta cinta por muy barata que sea, normalmente pasa eso, lo barato sale muy caro, ahora tengo que comprar otra cinta mas resistente, esta no me vale para embalar los productos que vendo.</t>
  </si>
  <si>
    <t>Recomendable Diseño y funcionamiento perfectos</t>
  </si>
  <si>
    <t>👌 Están bien 👌</t>
  </si>
  <si>
    <t>Cómodas Uso diario</t>
  </si>
  <si>
    <t>un f91w original Un F91W original sin duda, bien acabado como nos tiene acostumbrados casio, la única pega es que la hebilla viene en color negro en vez de rosa.</t>
  </si>
  <si>
    <t>Muy comodas Me gusta mucho las zapatillas, me compré el 38 y se queda perfecto,  el pie lo hace un poco ancho. Son super cómodas,  las uso en el trabajo y aguanto las 8h de maravilla,  con lo que no contaba es lo que resbalan en el suelo de la cocina mojado. Ese es el único pero que le pongo,  por lo demás muy bien.</t>
  </si>
  <si>
    <t>Buena ergonomía La duración de las baterías esta bastante bien, yo les saco unas 5 o 6 horas de uso a un volumen máximo, para correr no se caen y aguantan el sudor, los bajos no son lo mejor que he visto pero están bastante bien conseguidos.</t>
  </si>
  <si>
    <t>Calidad precio Esta tarjeta marca la diferencia por su precio. Que venga acompañada del adaptador usbs para mi es un puntazo y mucho más cómodo que conctarlo vía tarjeta. Pensando en pillar 3 más para el resto de móviles de la casa.</t>
  </si>
  <si>
    <t>Muy cómodas Muy cómodas, el material se ve de muy buena calidad. Excelente relación calidad/precio.</t>
  </si>
  <si>
    <t>Su funcionalidad El estilo me gustó, además de su color</t>
  </si>
  <si>
    <t>Facil uso Perfecta.Muy facil de manejar</t>
  </si>
  <si>
    <t>XS de chica es la T12 años de niño. Encantado mi hijo!! La XS perfecta para la talla 12 de niño. Mi hijo es muy delgadito y tiene 12 años con altura en la media. No encontrábamos talla de niño y esta de chica le viene genial!! Compraremos mas colores!!</t>
  </si>
  <si>
    <t>Muy buena compra Auriculares recomendados, sobre todo por su bajo precio (rondando los tres euros) y que se escuchan bastante bien. Ya llevo un mes con ellos dándoles caña y de momento no he tenido ningún problema.</t>
  </si>
  <si>
    <t>Para empezar bien. Para comenzar en los gameplays no está nada mal. Asequible y completo pack.</t>
  </si>
  <si>
    <t>Correa acero inox 22mm. Queda muy bien en mi Casio Marlín. Eslabones macizos, con muy buena relación calidad precio. Recomiendo su compra.</t>
  </si>
  <si>
    <t>Perfectos Son perfectos. Bonitos y comodisimos</t>
  </si>
  <si>
    <t>https://www.amazon.es/dp/B00191PJBY/ref=cm_cr_ryp_prd_ttl_sol_2 Me encanta,mejor de lo que esperaba. Por fuera de piel negra y los plasticos de adentro muy resistente. genial ok</t>
  </si>
  <si>
    <t>Muy bonito Su relación calidad precio.</t>
  </si>
  <si>
    <t>Perfecta para hacer scrap Corta en cualquier angulo gracias a las guía de corte adaptables y a la solapa extraible. Admite también cartulina, solo  hay que hundir la cuchilla al pasarla por el papel y corta muy bien</t>
  </si>
  <si>
    <t>Regalo original para niño. Compramos este micrófono para regalárselo a mi sobrino y desde entonces no para de utilizarlo. Es muy fácil de utilizar; desde el propio micro avanzas o retrocedes canciones o aumentas o disminuyes el volumen. También dispone la opción de incorporar eco o eliminar la voz de las canciones almacenadas. Comentar que tiene un sonido potente y limpio. Además el micro tiene poco peso para que lo utilice un niño. La batería interna, dura unas 7 horas aproximadamente, entre carga y carga. Por último comentar que incorpora un puerto microsd para almacenar canciones, que es como lo utilizamos nosotros, aunque también puede funcionar por blueetooth. Ha sido un acierto poder regalárselo. 100 % recomendable.</t>
  </si>
  <si>
    <t>Perfecto para lo que se le puede pedir Calienta rápido y se mantiene bien. Parece de calidad, el tacto es decente (aunque no está hecha para dormir directamente sobre ella). Las gomas de sujección para las esquinas del colchón son un plus que otras no tienen. El único pero es que si eres muy alto o duermes muy abajo, los pies quedan fríos. Pero permite mantener la habitación a temperatura más baja de lo habitual, ya que la cama sigue templada.</t>
  </si>
  <si>
    <t>Muy buena zapatilla Tal y como son, pesan un poco...</t>
  </si>
  <si>
    <t>Se oyen muy bien Me ha gustado mucho este artículo, me ha sorprendido, ya que es de muy buena calidad. Trae un estuche rigido para guardarlo y que no se estropeen también  lleva un protector de goma en la salida que conecta al movil. Son comodos y no se caen, se oyen muy bien. Mi hija dice que tienen la forma de los auriculares de iphone.</t>
  </si>
  <si>
    <t>100% Recomendable. Cumple a la perfección su cometido, los imanes no son tan finos como creia, así sujetan mejor, pegatina por un lado que puedes pegar a cualquier material y por el otro el imán. Perfecto.</t>
  </si>
  <si>
    <t>Calidad de sonido para casa Muy buena calidad de sonido...pero en casa.. pues no aislan demasiado..Muy cómodos y el cable un poco largo de más...buena calidad y acabado..</t>
  </si>
  <si>
    <t>Confortables Es la primera vez q compro zapatos de este estilo para mi y los sentí bastante cómodos, a pesar que al principio no me terminaban de gustar.</t>
  </si>
  <si>
    <t>Pense que seria mas rapida la escritura es muy lenta 14mg/s. Después de comprarla y revisar las especificaciones para ver por que iba tan lenta el fabricante ya marca que escribe a 14mg/s asi que compras lo que pone..  el usb es pequeño y se puede meter en cualquier parte.  no es un usb para estar continuamente escribiendo datos grandes ya que es un poco lento</t>
  </si>
  <si>
    <t>Decepción No ha habido manera que se enganche bien. Coge muchos gases y creo que es por la forma de la tetins.</t>
  </si>
  <si>
    <t>DECEPCIÓN NO erean lo que esperaba, demasiado duras y para correr son incómodas...me ha decepcionado bastante.</t>
  </si>
  <si>
    <t>Muy bien Vienen dos pares de cada tamaño de pendiente, genial en su cajita y en bolsas individuales, todavia no me los he puesto por lo que no se si me daran algun tipo de alergia, en el pendiente no pone nada, en el enganchito si llevan el sello de la plata, son los 3 modelos de tamaño pequeño como a mi me gustan, no son grandes las bolitas ni si quiera la de mayor tamaño</t>
  </si>
  <si>
    <t>Cumplen Muy bien</t>
  </si>
  <si>
    <t>Buen producto. He probado estos, y los QC 35. Diría que son buenos los dos. Los Sony me resultan un pelin más cómodos, los QC35 creo que suenan un pelin mejor (más que mejor un poquito más potentes) pero nada significativo, quizá sea algo de equalización. La cancelación de ruido muy buena en ambos. Realmente no existen diferencias significativas, cualquiera de los 2 es buena compra. El cargador de movil vale para los QC35, para los Sony hay que poner un cable distinto, el que viene es muy corto, un palmo, literalmente. Desde mi punto de vista "tablas" entre Sony y Bose.</t>
  </si>
  <si>
    <t>Limpieza básica garantizada Limpia muy bien lo todo aquello que encuentra. Se vuelve un poco loco al pasar varias veces por la misma zona, y evidentemente no llega a los sitios complicados, pero para quitar lo gordo vale.</t>
  </si>
  <si>
    <t>Queda genial. Queda genial. Me encanta el algodón, como tejido.</t>
  </si>
  <si>
    <t>LA MOCHILA ESENCIAL PARA LLEVAR BIEN PROTEGIDA LA CÁMARA DE FOTOS O LO QUE NECESITES. EL INTERIOR ES CONFIGURABLE A TAMAÑO Y MUY FÁCIL. AHORA SI QUE VOY SEGURO A CUALQUIER SITIO CON MI CÁMARA Y OBJETIVOS.</t>
  </si>
  <si>
    <t>Micrófono inalámbrico karaoke Lo compramos como regalo para nuestro hijo de 2 años y está encantado con él. Se conecta bien con el bluetooth del móvil para enviarle canciones, se oye estupendamente. Se puede regular el volumen de la música que se envía por bluetooth pero no hemos sabido, o no se puede, regular el volumen de la voz (nuestro hijo se lo pega a la boca, tal vez el truco esté en que se separe cuando se quiere menos volumen y ya). Se le ha caído una vez y sigue funcionando (a ver a cuántas de estas sobrevive...). Como único “inconveniente” es que pesa un poco para él, pero teniendo en cuenta que no es juguete para un niño tan pequeño es lo normal. Lo que no hemos probado es a grabar canciones. Y en las instrucciones menciona una APP pero no hemos encontrado nombre ni nada de la app.</t>
  </si>
  <si>
    <t>Buena calidad Es perfecta. Es de calidad, tiene muchos compartimentos. Llevo con él varios meses y va genial.</t>
  </si>
  <si>
    <t>fenomenales son muy cómodos no se salen, no pesan nada, el sonido es muy bueno, la cajita cargador es muy útil, informa del tanto por ciento de batería cuando los conectas al móvil, estoy muy contenta con ellos.</t>
  </si>
  <si>
    <t>La originalidad Prácticas para identificar regalos</t>
  </si>
  <si>
    <t>Recomiendo. Tal como se describe, bien de talla, entrega inmediata.</t>
  </si>
  <si>
    <t>M'encanta uNA BANDOLERA MUY COMPLETA</t>
  </si>
  <si>
    <t>Buen producto Producto tal y como se describe. Capacidad real y fácil de instalar</t>
  </si>
  <si>
    <t>Buena calidad Adquirí la de 128 G y llevo  dos meses con ella, la compre para el móvil, un huawei de 9 lite, funciona perfectamente y la compré en una promoción. La recomiendo porque cuando la utilizo con el PC es muy rápida en la trasferencia de datos. Y en el móvil también funciona muy bien.</t>
  </si>
  <si>
    <t>Calidad precio inmejorable Lo tengo desde hace 3 años y está como nuevo, me he hecho zumos durante los 3 inviernos casi todos los días. NO es demasiado ruidoso, ocupa poco y el cuerpo es de aluminio. Me encanta la tapa que tiene que al ponerla centrifuga y sale más cantidad de zumo. por ponerle una pega, diría que a veces se queda un poco de pulpa, pero nada, con un cuchillo, la empujamos y sale. Por otra parte, decir, que aunque estemos haciendo zumo durante mucho rato... no se calienta</t>
  </si>
  <si>
    <t>Lo util Estupenda muy delicada .para mi Nieta se k le va a encantar.gracias</t>
  </si>
  <si>
    <t>Rápida Compré esta tarjeta porque necesitaba una para diversos dispositivos que tengo. La he probado en varios de ellos junto con el adaptador que trae y no he tenido ningún problema. Los dispositivos la reconocen perfectamente. La capacidad es algo menor a lo que marca pero esto es una cosa normal en todas las tarjetas que tengo de marcas más reconocidas. Tiene una rápida velocidad de transmisión de datos. Muy buena relación calidad-precio.</t>
  </si>
  <si>
    <t>Buena calidad Hasta ahora me ha funcionado muy bien. espero que no se me dañe antes de los 10 años de vida útil probable. Es rápido. Llegó oportunamente.</t>
  </si>
  <si>
    <t>Presentador para powerpoint ligero y de largo alcance Hola! Estaba buscando un presentador para usarlo en los proyectos finales de la facultad, un compañero me habló bien de este modelo y me dispuse a probarlo.  PROS: - Ligero, no pesa nada muy poquito. - Agarre para poder ponerlo en un bolsillo de camisa, en la tapa de un libro... como si fuera un bolígrafo. - Laser potente, es de color rojo y se ve genial en las presentaciones con proyector (sobre una televisión, apenas se nota el laser). - Larga distancia, lo he probado a una distancia de mas de 4 metros y a funcionado sin problemas (ya veremos que pasa cuando se esté agotando la pila). - Uso intuitivo de los botones. - Viene con una pila. - El enganche USB es magnético (y muy fuerte ademas), por loq eu aunque tengamos el presentador en la mochila, es tremendamente dificil que se nos pierda el USB.  CONTRAS: - Los botones están quizas juntos, me ha pasado la de pasar de diapositiva y equivocarme de dirección.</t>
  </si>
  <si>
    <t>muy buen producto genial y en su tiempo</t>
  </si>
  <si>
    <t>Las valoraciones  lo son todo Micro sd  con adaptador,de la marca SanDisk de 32 gb. La compre por las valoraciones simplemente vi que era la mas vendida y no dude mas. El precio ayudo bastante ya que las evo de samsung son un pelin mas caras.</t>
  </si>
  <si>
    <t>Buen producto El producto llegó rápido pero el envase es una simple funda de plástico,  poco protegido para el traslado,  por lo demás,  funciona bien y es un buen producto.</t>
  </si>
  <si>
    <t>Refrescante y relajante Además viene con una bolsita y una diadema de regalo para que puedas pasártelo sin problema. Trae instrucciones también.</t>
  </si>
  <si>
    <t>Bueno Borrador normal y corriente, me ha llegado en color rojo. Es muy práctico que se aguante imantado a la pizarra, asi siempre está recojido</t>
  </si>
  <si>
    <t>Pequeñas apretadas y mal acabadas Las pedí un número más con miedo a que me quedasen pequeñas, aún así, son pequeñas. Se nota el pegamento de unión de las suelas y el plástico parece del malo. Aprietan mucho en el empeñe. No las recomiendo.</t>
  </si>
  <si>
    <t>No lo volveria a comprar. Algunos aromas no son agradables, pierde el aroma a las dos horas de uso, la presentación y el tiempo de entrega fue bueno, pero el producto no me convence.</t>
  </si>
  <si>
    <t>MUCHAS DUDAS PENDIENTES DA PROBLEMAS AL CARGAR INFORMACION Y MUCHA LENTITUD</t>
  </si>
  <si>
    <t>PLASTIQUITO PURO Feos y no valen para nada. De plástico. En realidad, para lo que valen no me esperaba algo mejor. Me los quedo para regalarselos a alguien que odio jejejeje</t>
  </si>
  <si>
    <t>Se quemó el motor al cuarto día de uso No puedo dar buena opinión de este producto, ya que al cuarto día de tenerla se quemo el motor cuando estaba haciendo un batido metiendo fruta cortada en pequeños trozos. Así que por esta razón no puedo recomendar este producto porque ha sido toda una desilusión. Devolución.</t>
  </si>
  <si>
    <t>Malisimo El peor electrodoméstico que he comprado en mi vida. Me llego el pedido hace 10 minutos. Primera prueba con un melocotón en trozos, uvas pasas y leche de avena. No va, la tuerca que ajusta el eje esta pasada y gira el motor en falso. Un fiasco, a devolver y seguir con mi antigua licuadora.</t>
  </si>
  <si>
    <t>Buen producto Bueno para el precio que tiene. La foto de la portada es muy pequeña pero en las hojas de dentro caben bastantes fotos dependiendo del tamaño. Buen producto, bonito, color perfecto y buena calidad</t>
  </si>
  <si>
    <t>Buena calidad, agujero muy grande para bebés de 6, 7 meses Las tetinas son de la misma calidad q todas las de avent natural. No lo recomendaría para un bebé de 6, 7 meses, por lo menos el mío no es capaz de tragar todo sin atragantarse.</t>
  </si>
  <si>
    <t>lo recomiendo muy buena compra. relacion - calidad destacable. no le pongo 5 estrellas porque el primer dia se me han salido y he perdido dos tornillos de los anclajes. curiosamente los dos del lado derecho, uno de cada zapatilla, las apreté bastante pero al parecer no lo suficiente. sin embargo son practicas y comodas</t>
  </si>
  <si>
    <t>Está bien si lo usas poco y con cosas fáciles de triturar con varios meses de uso ya puedo hacer una opinión bien construida. La conclusión es que si vas a hacer cosas que con maximo 1/ 2 minutos se vayan a triturar, tipo algun batido que lleve algo de líquido, va bien. si te pones a hacer hummus por ejemplo, que tardas un pelin más... empieza eso a echar humo y a salir olor a quemado y da miedito. Si quieres una maquina multiusos que lo quieres para todo, gastate un pelin mas y lo tendrás. Esta no le doy una vida muy larga.</t>
  </si>
  <si>
    <t>Comodos Son unos zapatos cómodos que te puedes poner a diario.</t>
  </si>
  <si>
    <t>Muy bien Muy fácil de usar y limpiar. Fácil montaje. Ninguna pega después de meses de uso.</t>
  </si>
  <si>
    <t>Calidad precio Talla muy bien y de buena cálida</t>
  </si>
  <si>
    <t>Fernando Gomez Excelente!</t>
  </si>
  <si>
    <t>Genial Genial todo</t>
  </si>
  <si>
    <t>Justo lo que buscaba Necesitaba un bolso para quitarme cosas de los bolsillos y encontré este que es justo lo que buscaba, impermeable y con gran capacidad para mis necesidades. Creamalleras de buena calidad y correa muy comoda</t>
  </si>
  <si>
    <t>Muy bonito y práctico. Nos ha gustado mucho. Bien acabado, bonito diseño y buen tamaño. Es cómodo y práctico. Recomendable.</t>
  </si>
  <si>
    <t>Muy buena calidad Una navaja Victorinox de calidad y muy bien afilada tal y como he esperado,un producto 5 estrellas</t>
  </si>
  <si>
    <t>Buen disco! Me encanta el rendimiento que tiene este disco SSD. Va rápido y consigo tasas de 500 MB/s reales. No confundir con el disco de la misma marca pero que lleva en la etiqueta en vez de SSD, Solíd State Disk, ya que ese no es de 500GB, sino de 480GB y es algo más lento.</t>
  </si>
  <si>
    <t>Igual que en.las fotos La cadena perfecta como regalo, llego rápido y bien presentada.</t>
  </si>
  <si>
    <t>Geniales Uso esta marca con mi hija desde que nació.  Ahora tiene dos años y sólo usa biberones y chupetes Mam.  Ahora que ha salido este formato más grande estoy doblemente encantada!!!  Me llegó en color lila,  estoy muy contenta.</t>
  </si>
  <si>
    <t>Se ve bien la hora Se ve bien la hora, a veces se pulsan los botones sin querer</t>
  </si>
  <si>
    <t>Ismael Caros.  Después de ver estos cordones en los chinos mucho más baratos . Se supone k estos serán mejores , mas k nada por el precio</t>
  </si>
  <si>
    <t>Buen servicio Calidad precio buena</t>
  </si>
  <si>
    <t>Buen zapato Muy buen zapato para trabajo, cómodo y calidad de fabricación. Su precio no es su fuerte pero compensa con sus cualidades. Calza algo justo con el número que usa habitualmente mi señora, con los días irá acomodándose.</t>
  </si>
  <si>
    <t>Muy útil a partir de 6 meses de edad Acabo de comprarla para mi bebé de 6 meses q ya casi se sienta solo y es genial. Es grande y creo q podré usarla durante bsstante tiempo. Ademas se pliega y se despliega muy fácilmente y tiene buen material</t>
  </si>
  <si>
    <t>Como esperaba. Les doy trote a diario y son comodisimas. La talla perfecta. Buenísima calidad.</t>
  </si>
  <si>
    <t>Buena sujeción Cómodo, sujeta bien para una actividad de impacto como montar a caballo, al menos con una copa pequeña como la b. Yo suelo usar Shock Absorber, pero se clavan en hombros y contorno, con este sujetador no pasa y cuesta la mitad.</t>
  </si>
  <si>
    <t>Que me calma el dolor Cumple con todas las expectativas que esperaba</t>
  </si>
  <si>
    <t>No es lo que es esperaba Poca potencia</t>
  </si>
  <si>
    <t>Muy pequeñas Son muy bonitas. Algo más finas de lo que esperaba, se ve el calcetín que llevas por los agujeros. La horma la he encontrado extremadamente pequeña, en marcas como Nike llevo una 36, por los comentarios que vi pedí un 37 y aun así las he tenido que cambiar por medio número más que espero me baste. El envío muy rápido y me llegaron perfectas. Son originales.</t>
  </si>
  <si>
    <t>Enrique Bahi El pantalón me queda bien en cuanto ha la chaqueta queda bastante justa , la tela es bastante fina pero en general está bien,</t>
  </si>
  <si>
    <t>Son demasiado pequeños Devueltos porque son demasiado pequeños en la fotografía parecen más grandes</t>
  </si>
  <si>
    <t>Es un timo Son falsas</t>
  </si>
  <si>
    <t>Bien Por el precio está bien. Hace su función y está durando, lo cual no es poco con el traqueteo que le meten.</t>
  </si>
  <si>
    <t>Muy práctica y cómoda De momento estoy encantada. Lo único que no he probado es picar hielo o fruta congelada (por eso no doy 5 estrellas). Superfácil de limpiar en el momento y no mancha nada.</t>
  </si>
  <si>
    <t>Buena compra para regalar. Es para regalo y tiene buena pinta, es bonito y no es muy grande. Es tal cual a las fotos. Lo único que la cadena es bastante delgada. Yo lo compre con oferta flash y me pareció buen precio.</t>
  </si>
  <si>
    <t>Bueno muy bueno, rapido, buena calidad/precio</t>
  </si>
  <si>
    <t>Muy buenas Pedí un 41 y viene justito justito, por lo demás todo perfecto.</t>
  </si>
  <si>
    <t>perfecto relación calidad precio estupendo, parece muy endeble, pero graba muy bien, incluso camuflado entre la ropa, perfecto, te lo recomiendo.</t>
  </si>
  <si>
    <t>Muy cómodas Amortiguan muy bien la pisada, muy ligeras</t>
  </si>
  <si>
    <t>Pizarra sólida Muy bien contrauida y con sus accesorios. El vendedor, un 10.</t>
  </si>
  <si>
    <t>Entrega rápida y producto ok EXCELENTE RELACION CALIDAD PRECIO</t>
  </si>
  <si>
    <t>PRODUCTO SEGÚN LO ESPERADO EL PRODUCTO LLEGÓ RÁPIDO, CORRECTAMENTE EMBALADO CON SU EMBALAJE ORIGINAL DE SUUNTO. TRAE CORREA Y EL JUEGO COMPLETO DE TORNILLOS Y ARANDELAS DE RECAMBIO PARA CAMBIAR LA CORREA. A MAYORES TRAE UN PEGAMENTO FIJADOR PARA QUE NO SE SALGAN LOS TORNILLOS UNA VEZ INSTALADOS. NO TRAE DESTORNILLADOR.</t>
  </si>
  <si>
    <t>Me encanta Muy bueno. :)</t>
  </si>
  <si>
    <t>Cumple su función. Perfecta, aunque he comprobado en según qué superficies tiende a arquearse en las partes distales al almohadillado.</t>
  </si>
  <si>
    <t>Me gustan mucho Son lo esperado en calidad, pero me ha gustado además la variedad en sus colores. Mejor de lo esperado.</t>
  </si>
  <si>
    <t>Perfectas, son las segundas ya! Muy bien, son las segundas que pido prque le pedi unas a mi chico y no oaraba de quitarsrlas, asi que estas son para mi! Son super comodas y muy resistentes, no son las tipicas a las que se le sale la tira. No son de espuma y tienen los relieves en la planta y eso las hace super comodas. El diseño es muy basico pero es que son unas chanclas, yo las super recomiendo!</t>
  </si>
  <si>
    <t>Muy practica 10</t>
  </si>
  <si>
    <t>Perfecta Estoy encantada con esta picadora....deja las verduras bien troceadas sin llegar a convertirlas en puré</t>
  </si>
  <si>
    <t>Atractivo y de buena calidad Un gran reloj, lo usa mi hijo de 8 años, está encantado, con su temporadizador, cuenta regresiva, 5 alarmas y agenda telefonica de hasta 30 números. Un gran acierto, no se lo quita ni para la playa ni para la piscina.</t>
  </si>
  <si>
    <t>Genial Fue un regalo</t>
  </si>
  <si>
    <t>Cómodas Todo perfecto. Lo compré para regalo, llegó antes de los previsto, respecto a las tallas hice caso de los comentarios y pedí una talla más grande, y le quedan perfectas. Color rojo muy bonitas. Muy comodas</t>
  </si>
  <si>
    <t>good Este Aceites Esenciales es muy buena economía y asequible, el otro día compré un humidificador, con este Aceites Esenciales perfecto. Durante unos minutos toda la sala de estar estaba fragante.</t>
  </si>
  <si>
    <t>buen producto Es el segundo que e comprado el primero al cambiar la pila al cabo de 3 o 4 años me entro agua...... quizás poniendo vaselina en la junta.....e pagado 26 euros</t>
  </si>
  <si>
    <t>Ideal para regalo &lt;div id="video-block-R2A9V596CVCXAQ"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src="https://images-eu.ssl-images-amazon.com/images/I/C1YyiY3Lv3S.mp4" style="position: absolute; left: 0px; top: 0px; overflow: hidden; height: 1px; width: 1px;"&gt;&lt;/video&gt;&lt;/div&gt;&lt;div id="airy-slate-preload" style="background-color: rgb(0, 0, 0); background-image: url(&amp;quot;https://images-eu.ssl-images-amazon.com/images/I/819sziGJamS.png&amp;quot;);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value="https://images-eu.ssl-images-amazon.com/images/I/C1YyiY3Lv3S.mp4" class="video-url"&gt;&lt;input type="hidden" name="" value="https://images-eu.ssl-images-amazon.com/images/I/819sziGJamS.png" class="video-slate-img-url"&gt;&amp;nbsp;Colgante de plata con cadena bastante elegante,ideal para regalar a un ser querido,con diseño fino y delicado aparenta clase y distinción.Llega bien empaquetado,en una caja acolchada con espuma,para su correcta protección.</t>
  </si>
  <si>
    <t>Perfectos, ideales, me encantan Producto perfecto, justo lo que se espera de él, buen ajuste y comodidad, yo pedí mi talla y me están como un guante, la única pega que pondría para algunos sería que si tienen el pie un poco ancho quizá les aprete un poquito, pero para mí no es ningún problema. Me encantan</t>
  </si>
  <si>
    <t>Necesita otra descripcion Las zapatillas son de loneta de verano.Se debería de especificar en la descripción. Él tallaje es grande.</t>
  </si>
  <si>
    <t>Funciona bien Es bastante bien, buena compra en cuanto calidad/precio.</t>
  </si>
  <si>
    <t>Rrlacion calidad precio  ok Por laa fotos parece más grande. Depende como te gusten</t>
  </si>
  <si>
    <t>Desastre No se lo recomiendo a nadie, las patas una porquería y a poco que pese el micro no aguanta el peso y se corrw el riesgo de dañar el producto. El bajo precio no justifica su malísima calidad</t>
  </si>
  <si>
    <t>Distinto a la foto El producto no se parece al de la foto. Es suave pero mucho más fino de lo que parece. La tela de la foto es otra.</t>
  </si>
  <si>
    <t>Se ven mas grandes Con la imagen parece que el pendiente es mas grande, pero son muy pequeños, perfecto si quieres algo discreto y formal. Son bonitos</t>
  </si>
  <si>
    <t>Típico calzado transpirable Unas deportivas de toda la vida, transpirables, cómodas y flexibles. Se ajustan perfectamente al pie, sin agobiarlo y el tallaje es correcto.  La plantilla indican que es SoftFoam, lo cual hace que se amolde a la pisada, al tacto es esponjosa y bastante suave.  El diseño es tradicional, como unas Puma de toda la vida, sin florituras ni cosas raras, como debe ser :)  Se las he dado a probar a mi marido y él lleva muchos años ya utilizando calzado Zero Drop y prácticamente sin suela ( como las 5 dedos, barefoot, etc...). En su opinión dice que se han pasado demasiado con tanto acolchado, que le quita "vida" y "sensación" al pie, demasiada suela y demasiado amortiguamiento por todos sitios... supongo que si buscas todas esas características en un calzado, este es el tuyo  :D Pero para alguien acostumbrado a la mínima protección o que quiera ir haciendo el cambio pues no son muy recomendables.  La relación calidad/precio la veo muy bien equilibrada, el producto es de calidad, bien terminado, bien cosido y es muy cómodo, por 55€ creo que es una excelente opción de compra.</t>
  </si>
  <si>
    <t>Muy recomendable Perfectas, tal y como me la esperaba</t>
  </si>
  <si>
    <t>Cálido Es cálido, suave, de calidad aceptable.</t>
  </si>
  <si>
    <t>Un detalle bonito Por el precio que tiene no está mal. Tiene bastantes detalles que lo hace original. Es algo grande para mi gusto pero queda bonito y colgado no es muy largo ni corto, queda a la altura del pecho más o menos. A ver si no se pone feo y puedo lucirlo durante mucho tiempo. Lo intentaré girar a ver si vuelvo al pasado y cambio algunas cosillas de mi actual yo, jajaja.</t>
  </si>
  <si>
    <t>Todo genial Cumplía mis expectativas</t>
  </si>
  <si>
    <t>Calidad/ precio indiscutible De momento muy contento con el producto... totalmente aconsejo su compra...</t>
  </si>
  <si>
    <t>Buena calidad precio Me ha llegado hace unos días y aún no le he dado mucho uso. La he probado en varios tipos de papel y en cartulina y el corte lo hace perfecto, ni se atasca ni hay que hacer mucha fuerza. Me gusta</t>
  </si>
  <si>
    <t>Pendrive 32gb Pendrive muy bonito de diseño. Pendrive idóneo para lo que buscaba. Mis hijos cada vez más me piden más vídeos de YouTube y películas y quieren se los ponga en la tele o en el portátil. Al ser tan ligero y ocupar tan poco espacio es ideal para poder conectarlo en espacios muy pequeños como es el caso de mi televisor. Capacidad 32 Gb para lo que necesitaba más que suficiente y precio muy bueno. Mis hijos muy contentos con el pen tan bonito.</t>
  </si>
  <si>
    <t>Muy buen producto A mi que me daban alergia algunos pendientes de plata y oro, estos son 100% perfectos y de muy buena calidad. Aun no me creo el precio.</t>
  </si>
  <si>
    <t>Lo esperado. Exactamente lo que se muestra en la descripción. Está muy bien. El tejido y las cremalleras son de buena calidad y los bolsillos de tamaño adecuado.</t>
  </si>
  <si>
    <t>Gran producto Es de lo mejor y se nota bastante están caros pero se agradece el trabajo que realizan y la velocidad</t>
  </si>
  <si>
    <t>Me encanta lo cómodo que es Pequeño gran bolso de piel, buenos acabados a buen precio</t>
  </si>
  <si>
    <t>Deja los purés como me gusta &lt;div id="video-block-RCG0EU5FAE260" class="a-section a-spacing-small a-spacing-top-mini video-block"&gt;&lt;div tabindex="0" class="airy airy-svg vmin-supported" style="background-color: rgb(0, 0, 0); position: relative; width: 100%; height: 100%; font-size: 0px; overflow: hidden; outline: none;"&gt;&lt;div class="airy-renderer-container" style="position: relative; height: 100%; width: 100%;"&gt;&lt;/div&gt;&lt;div id="airy-slate-preload" style="background-color: rgb(0, 0, 0); background-image: url(&amp;quot;https://images-eu.ssl-images-amazon.com/images/I/B1XnmELFmOS.png&amp;quot;); background-size: contain; background-position: center center; background-repeat: no-repeat; position: absolute; top: 0px; left: 0px; visibility: visible; width: 100%; height: 100%;"&gt;&lt;/div&gt;&lt;iframe scrolling="no" frameborder="0" src="about:blank" style="display: none;"&gt;&lt;/iframe&gt;&lt;/div&gt;&lt;/div&gt;&lt;input type="hidden" name="" value="https://images-eu.ssl-images-amazon.com/images/I/A1X-2GUBAhS.mp4" class="video-url"&gt;&lt;input type="hidden" name="" value="https://images-eu.ssl-images-amazon.com/images/I/B1XnmELFmOS.png" class="video-slate-img-url"&gt;&amp;nbsp;Es una batidora de vaso que deja los purés finos y sin grumos sin tener luego que pasarlos por el colador. Tiene cinco velocidades en los que puedes elegir la textura y una función turbo que viene muy bien para hacer los batidos. El vaso parece resistente y sus cuchillas cortan y funcionan a la perfección. El filtro es lo que más me ha gustado ya que para hacer zumos de distintas frutas te deja sólo el zumo sin pepitas ni grumos. El montaje del vaso para encajarlo en la base tiene unas pestañas que hay que girar para que se ajusten, parecen  frágiles, espero que duren. Tiene un diseño bonito y una jarra bastante grande con lo que puedes hacer bastante cantidad. Un saludo</t>
  </si>
  <si>
    <t>Me encanta! El diseño me ha encantado es muy llamativo, divertido y colorido, a mis hijos les gusta tanto que no se van a dormir sin encender la luz de noche, puedes programar 2 alarmas y creo que hasta 5 tipos diferentes de timbres, sonido del mar, sonido del mar con gaviotas y varios tipos de melodías. La única pega que le pongo por decir algo, es la duración de la batería.</t>
  </si>
  <si>
    <t>Perfecto Los zapatos son muy comodos, tal y como se ven en las fotos y tallan bien.</t>
  </si>
  <si>
    <t>Buena compra Perfecto para la ballerina. El recambio después de muchos años utilizando este producto no está en el mercado llegó todo perfecto</t>
  </si>
  <si>
    <t>Buena picadora calidad precio Ha sido un regalo para mi madre y está súper contenta con esta picadora de la marca Bosch. Por ahora ninguna pega.</t>
  </si>
  <si>
    <t>Tejido suave Tejido suave, queda muy bien puesto me lo puse con mayas,</t>
  </si>
  <si>
    <t>Perfecta Para hacer batidos de proteínas va perfecto. Mezcla en un minuto a la perfección en frío o en caliente. Frutas y similares no he probado. Lo recomiendo.</t>
  </si>
  <si>
    <t>Calidad precio Muy bueno</t>
  </si>
  <si>
    <t>Genial descripción. Todo perfecto y en perfectas condiciones. Muchas graciaszapatillas cómodas, con un buen diseño, sirven tanto para el dia a dia como para un buen paseo por la ciudad.Todo bien. Envío rapidoEl producto es el que yo esperaba</t>
  </si>
  <si>
    <t>Perfecto El tirador de cerveza fue un regalo de Reyes para mi chico y decir que está encantado. Es muy elegante y queda muy bonito en cualquier lugar de casa. Cuesta un poco pillarle el truquillo a la hora de tirar la cerveza para que no salga con demasiada espuma, pero con un poco de práctica va perfecto. El único "pero" es el precio de los torp de cerveza que es un poco elevado, pero también se disfruta mucho de tomar tu cerveza bien fría en casa, con lo cual estamos encantados.</t>
  </si>
  <si>
    <t>SATISFECHO CON LA COMPRA ERA LO QUE ESPERABA. BUENA CALIDAD Y MUY BIEN ACABADA.</t>
  </si>
  <si>
    <t>Sentimientos encontrados &lt;div id="video-block-R22G37GQOHZL5Z" class="a-section a-spacing-small a-spacing-top-mini video-block"&gt;&lt;/div&gt;&lt;input type="hidden" name="" value="https://images-eu.ssl-images-amazon.com/images/I/A1U2JZUNaJS.mp4" class="video-url"&gt;&lt;input type="hidden" name="" value="https://images-eu.ssl-images-amazon.com/images/I/A1cg0nv5g6S.png" class="video-slate-img-url"&gt;&amp;nbsp;Sentimientos encontrados, vienen dos pero en mi caso uno funciona perfectamente (el de la foto) pero al otro no le funciona el modo de 5 horas ni la luz (el del vídeo)</t>
  </si>
  <si>
    <t>VER LOS RESULTADOS ME A GUSTADO QUE PESA POCO Y ES LIGERAY POR CONTRA ME HUBIERA GUSTADO QUE TUBIESE MAS FUERZA DE  A LA HORA DE RECOGER LA SUCIEDA</t>
  </si>
  <si>
    <t>Jesica Compre la tarjeta pero esta dañada cada dos por tres me dice que la tarjeta esta dañada y he perdido mucha información que tenia en ella solicito que me deis una contestación que se Le puede hacer o me mandáis una nueva ya que no vale 5 e me costo 13 y pico</t>
  </si>
  <si>
    <t>Horrible No pega nada.</t>
  </si>
  <si>
    <t>Una presentación muy cuidada y bonita Lo compré para un regalo y la persona está encantada con los aromas.</t>
  </si>
  <si>
    <t>Sonido espectacular por el precio No tenía muchas espectativas puestas en estos auriculares ya que les compré para cuando saliera a la calle solo poder escuchar algo de música pero es que cada día que paso con ellos les voy usando más por lo bien que se oyen y lo fácil que son de llevar en cualquier sitio por su tamaño tan pequeño.  Como he dicho la calidad del sonido es muy buena, tanto agudos como bajos y soprendentemente la cancelación de ruido es notable.  En cuanto al diseño aunque no haya mucho que fijarse en unos auriculares tan pequeños se nota que están construidos en buenos materiales.  Muy contento por el precio que tienen.</t>
  </si>
  <si>
    <t>Zapatillas de marca para uso diario entre tiempo Compré las zapatillas con algo de incertidumbre por la talla. Las tallas no están nada claras, si tienes un 42 y unos 27 cm de pie tienes que comprar el 42 sólo, de lo contrario aunque en otros modelos utilizo 27,5, aquí equivalente a 42 1/2, es un error, quedan anchotes y al andar molesta se sienten sueltos hasta que te acostumbras. Por lo demás, una zapatilla para entretiempo, no son unas zapatillas para verano, al ser loneta vas con los pies calenticos, quizás en invierno con unos buenos calcetines y un clima no muy serio pueden ser una buena opción. Son unas zapatillas blancas, ya sabemos que con tendencia a coger mierda, pero se limpian muy bien y fácilmente. A tener en cuenta que después de un uso medio empiezan a aparecer en el empeine unas lineas del uso que auguran que será por donde se pierden las zapatillas. Otra cosa que me llamó la atención es la disparidad en los precios, 42 1/2 35€, 42 nos vamos a 50€. Bueno yo me quedé con las que estaban un poquito grandes, no están mal. Son unas zapatillas cómodas, si te gusta ese tipo de suela y no son nada feas, unas buenas zapatillas, si tienes en el cuenta el precio de las baratas 35€, y la facilidad en la limpieza. Yo en 50€ no las compro.</t>
  </si>
  <si>
    <t>Las mejores en su clase Son las más cómodas. Lo único que quizá se le pueda echar en cara es que el enganche delantero se sale con suma facilidad, aunque mejor eso a que se rompan con el mínimo pisotón que te den.</t>
  </si>
  <si>
    <t>Comodidad Estaba harta de ir con los auriculares con cable conectados al móvil cuando salía a hacer deporte, el cable era un estorbo. Finalmente me decidí a comprarme unos inalambricos, aunque cierto es que pensaba que se iban a estar cayendo de las orejas todo el tiempo. Sin embargo, van genial, se adaptan muy bien y se oyen perfecto. Son fáciles de usar, la batería dura bastante... Super contenta con mi compra y si sigo así seguramente compraré alguno más para regalar.</t>
  </si>
  <si>
    <t>Tres meses de uso con excelente resutado. Lo compré junto con un "Intel BOXNUC7I3BNH - Kit procesador" para sustituir un viejo equipo con una caja ATX enorme, con dos  HD y corriendo Windows 10. El resultado de ambos elementos ha sido espectacular. La velocidad de arranque pasó de unos 4 minutos a 30 SEGUNDOS!!! Increíble.Increíble no sólo la velocidad de arranque sino el comportamiento suave, silencioso, estable y veloz a lo largo de toda la sesión, que a menudo puede durar varias horas. Excelente compra.</t>
  </si>
  <si>
    <t>Buena capacidad La calidad de ve bastante  buena. Es bastante amplio. Se usa para llevar el tabaco las gafas el vapeador y sus liquidos, la cartera y queda hueco</t>
  </si>
  <si>
    <t>Perfecto vestido, perfecto blusón Precioso, sirve como vestido como venía en las fotos del anuncio, y también como blusón. La talla es la esperada así que no hay que pedir una distinta a la que usamos siempre. El detalle de los bolsillos es muy bonito. La tela es muy fina y suave por lo que se adapta al cuerpo con una caída muy linda. Las costuras y remates están muy bien hechos. Sin duda un acierto para mí o para regalar ahora que vienen fechas para ello.</t>
  </si>
  <si>
    <t>Excelentes Buena recepción del sonido y mejor acústica, sin interferencias</t>
  </si>
  <si>
    <t>Bonitos Son bonitos y de momento no se me han puesto negros</t>
  </si>
  <si>
    <t>Calida y precio Buenos biberones y mi sobrina recién nacida lo a cogido bien sin problemas. La calidad del producto es muy buena para su precio. Comodos a la mano</t>
  </si>
  <si>
    <t>cunple con su cometido me ha gustado todo aunque la tarjeta no se para que es</t>
  </si>
  <si>
    <t>Velocidad en un SSD diminuto!!! La verdad muy buena velocidad de hecho la mejor de mis almacenamientos pero,,,, no la que marca el fabricante imagino que influye el que corra el SO al mismo tiempo en él porque del resto de hardware va sobrado.... un saludo!!!!!</t>
  </si>
  <si>
    <t>Russell Hobbs batidos rápidos Lo uso casi todos los días, hace unos smoothies geniales :) cómodo y práctico. Sólo podría un par de pegas y es que hay que comprar un cepillo largo para lavar esos vasos porque con la mano no llegas al fondo y no salen limpios del lavavajillas y que tienes que tener mucho cuidado al colocarlo porque si no se coloca bien la goma de la tapa del vaso se sale el líquido y se cuela en la máquina y huele a quemado, como me pasó dos veces a mí. A pesar de eso estoy contenta con él y lo recomiendo para hacer batidos y zumos rápido.</t>
  </si>
  <si>
    <t>100% RECOMENDABLE Quizás algo justa para mi Raspberry Pi 3, pero a nivel funcional funciona perfectamente, y con la garantia y tranquilidad que te ofrece SanDisk, la verdad que le doy caña y funciona a la perfección: 100% recomendable!</t>
  </si>
  <si>
    <t>Bonito reloj Pesa muy poco, es genial.</t>
  </si>
  <si>
    <t>zapatillas nike Las zapatillas me encantaron era lo que esperaba, el transporte y la fecha de recibo estupendo. Sin duda la recomiendo</t>
  </si>
  <si>
    <t>Perfecto Uno de los mejores modelos de zapatillas que me he comprado. Además de resistentes. Muy contento con la compra</t>
  </si>
  <si>
    <t>Perfectos Me van de lujo. Se escuchan perfectamente, al Bluetooth se han conectado enseguida, y el diseño es muy chulo. No puedo encontrarle ningún pero la verdad. Llevo varios comprados para mi cada uno de mi familia y estos son los que mejor me van y más me gustan</t>
  </si>
  <si>
    <t>perfecto Al principio me resultó un poquito grande, y notaba el pié muy suelto, pero claro, antes utilizaba un zueco cerrado. Ahora siento que me quedan a la perfección, y son muy cómodos. Paso muchas horas de pié y no me duelen los pies para nada. Son muy ligeros, así que para transportarlos en la mochila son perfectos. Se limpian con facilidad. Traen una plantilla que es muy cómoda y que se puede cambiar por otra con facilidad. El color también es muy bonito</t>
  </si>
  <si>
    <t>Bonito y de calidad Bonito y de calidad</t>
  </si>
  <si>
    <t>Para uso domestico Solo le doy uso domestico. Nunca había soldado con tanta precisión y comodidad como con este set de soldadura.</t>
  </si>
  <si>
    <t>Calidad/precio insuperable Unos auriculares que se oyen bien y que incluyen micrófono para poder hablar por telefono, y volumen/pausa si estás escuchando musica.</t>
  </si>
  <si>
    <t>Faltan detalles El USB es barato y parece que va bien de velocidad. A mi no me ha gustado que no disponga de algún tipo de tapa.</t>
  </si>
  <si>
    <t>Buen equipo. A mejorar las ruedas. Buen equipo portátil. Suena bien y fuerte en espacios exteriores. Las ruedecitas quizás son un punto a mejorar, ya que al ser tan pequeñas, rígidas y al pesar el equipo, al menor bache se balancea todo con riesgo de bolcar. A pesar de esto, muy buen equipo.</t>
  </si>
  <si>
    <t>Bonitas y cómodas Están muy bien,  son muy cómodas, pero al primer lavado a 30° la suela se deformó un poco. No como para dejar de usarlas, pero se nota. Será que es para lavar las a mano.</t>
  </si>
  <si>
    <t>el de 64 gb lentisimo El peor que he tenido nunca, muy lento , lentisimo!!! Tenia uno de 16gb que era muy rapido y fiable, compre el de 64gb por eso. aburre usarlo, escritura lenta, lectura pasable. elegir cualquier otro el de 64gb no</t>
  </si>
  <si>
    <t>La bateria no es buena En tan solo 1 mes de uso, la bateria a degenerado en autonomia a tal punto, que ya pasan mas tiempo cargandose que en uso. No se si ha sido mi caso aislado o es general con este modelo.</t>
  </si>
  <si>
    <t>Me gustan Son un poco justas, mediros bien el pie. Pero son cómodas y ligeras.</t>
  </si>
  <si>
    <t>n resiste al agua para mi es mejor verbatim</t>
  </si>
  <si>
    <t>La forma un poquito estrecha Si, aunque un  poco estrechas</t>
  </si>
  <si>
    <t>Están bastante bien Traen un Velcro para ajustartela al tobillo son cómodas y se agarran bastante bien al suelo.</t>
  </si>
  <si>
    <t>Calidad Me encanta, ahora espero q no se oxide con el tiempo</t>
  </si>
  <si>
    <t>Compacto, cómodo y curioso Por buscar un pero, el cable se queda algo corto si la toma de red está algo alejada de la encimera o superficie donde se coloca</t>
  </si>
  <si>
    <t>Perfectas Uso el número 44 de Adidas, y me van perfectas en ese número. Son bonitas y muy cómodas. Caras pero me imagino que es porque son de marca, y eso siempre se paga. Merece la pena.</t>
  </si>
  <si>
    <t>Recomendable Fácil de usar y comodos</t>
  </si>
  <si>
    <t>Cómodos Buen zapato. Comodo y para todos los Dias. No da demasiado Calor Para el Verano. Combina con todo y comodos.</t>
  </si>
  <si>
    <t>BUEN PRODUCTO No dudé en escoger esta marca porque la he usado y vendido, así que no tenía ningún tipo de dudas a la hora de hacer la elección. Aunque ha sidoun regalo que he hecho a mi cuñada, me ha comentado que está encantada de la vida con el BT. Conecta genial y se oye aún mejor. Vamos que no puede vivir sin ello. El manos libres de su vehículo de reparto no se oye tan bien como este pequeño dispositivo con todas sus ventajas añadidas. Sobre la duración de la batería es bastante buena por lo que me ha comentado. De momento la durabilidad es buena, pero no sé cuántos días la aguanta.</t>
  </si>
  <si>
    <t>El mejor microfono hasta el momento Lo compre porque me lo habian recomendado y no falle. Es perfecto</t>
  </si>
  <si>
    <t>Maravillosas Comodisimas Como casi todo skechers. Las recomiendo al 200 por 100.</t>
  </si>
  <si>
    <t>Bueno bonito y barato. Es casio creo que queda todo dicho.</t>
  </si>
  <si>
    <t>Recomendable 100% Las argollas son preciosas y tienen mucho brillo, un articulo excelente para su precio, lo recomiendo 100%</t>
  </si>
  <si>
    <t>Muy comodas. Eran para mi padre que tiene los pies delicados, y esta super contento, no se pone otra cosa. Lo unico que le cogí un número más del que él usa, y menos mal. Aconsejo coger uno más del número de pie que se usa normalmente. El envio al dia siguiente también, muy rapidos.</t>
  </si>
  <si>
    <t>Buen producto Buen producto, parece de calidad. Un poco más dura de lo que esperaba lo único.</t>
  </si>
  <si>
    <t>Tallan igual que las nimbus 17 Quedan perfectamente. Llevo años usando este modelo. Vengo de las nimbus 17 y tallan igual. Sin problema. Buen precio.</t>
  </si>
  <si>
    <t>Ideal para aliviar cuello y hombro Va genial para las contracturas de cuello y hombro, lo recomiendo, me ha sido de gran ayuda. Estas navidades cogeré alguno más para regalar, me parece superpráctico.</t>
  </si>
  <si>
    <t>Resistente Buena relación calidad/precio.</t>
  </si>
  <si>
    <t>Encantada Encantada con el producto, exactamente igual que la descripción</t>
  </si>
  <si>
    <t>Muy buena calidad Mi marido está encantado! Muy buena calidad, el cierre de las cremalleras perfecto, no se encalla ninguna. Nosotros le hemos quitado las cuerdas porque nos gusta más sin ellas. Lleva ya 5 meses con ella y sigue como el primer día. El tamaño es ideal para llevar la cartera, clinex y demás. La recomiendo sin duda</t>
  </si>
  <si>
    <t>Muy cómodas Muy buenas</t>
  </si>
  <si>
    <t>Jessica Sin duda lo volvería a comprar, deja los cristales perfectos. Va muy suave a la hora de utilizarlo. Lo recomiendo.</t>
  </si>
  <si>
    <t>El pie no queda sujeto Mi pie mide 274mm y pedí un 43 (9UK) pero me queda grande. La plantilla es muy blanda y cuando pisas se hunde el talón en el interior del zapato provocando rozaduras y molestias en el talón. No creo que dure mucho el forro de Goterex (ni mi pie) con tanto roce.</t>
  </si>
  <si>
    <t>ZAPATILLAS OK, CAJA PARA TIRAR Las zapatillas bien, el embalaje muy defectuoso, la caja está para tirar de los golpes que lleva. Nadie diría que es un producto nuevo. Un poco decepcionada con eso, aunque lo que importa son las zapatillas.</t>
  </si>
  <si>
    <t>Calidad Precio 2 TB. No hay nada mejor. a los 6 meses sin darle mucho tralla y apenas uso. Ha fallado y ni si quiera se si podre tramitar la garantía ..</t>
  </si>
  <si>
    <t>los imanes no pegan y me parecio un poco desastroso mi pedido Lo unico q me a gustado ha sido las oegatinas el boli me pintaba demasiado oscuro la pizarrita no se borraba el troquelador venia sin troquelar los marcapaginas ni se pegaban al ser de iman y no me ha gustado con todo mi respeto del mundo perdonenme</t>
  </si>
  <si>
    <t>Ni 3 meses de duración Es cómoda y a primera vista parece buena y de calidad, la sorpresa es cuando a los no llega ni 3 meses las evillas para recoger la correa se han roto...</t>
  </si>
  <si>
    <t>Buenas y originales Compradas en oferta, son de buena calidad pero un pelin justas</t>
  </si>
  <si>
    <t>Multifuncional!! Me ha encantado es muy útil me muestra todas las notificaciones sin tener que usar el móvil lo único malo es no poder mantener una conversación de voz al entrar la llamada</t>
  </si>
  <si>
    <t>Da la hora, que es lo que le pido Sencillo, barato y Casio.</t>
  </si>
  <si>
    <t>Bien Bastante buena</t>
  </si>
  <si>
    <t>Rapida y potente De momento bien, no espra mucho uso y se usa y limpia facilmente, necesita algo de liquidos pra hacer bien su trabajo, queda todo muy fino sin grumos.</t>
  </si>
  <si>
    <t>Cómodas y bonitas Las zapatillas son muy bonitas y tan cómodas como todas las que tengo de esta marca. Son ligeras y de fácil lavado y secado. El tamaño como siempre, yo siempre pido una talla menos a la que gasto habitualmente y perfectas ! Las compraría de nuevo</t>
  </si>
  <si>
    <t>Super cómodo y manejable . Es un gran producto !!!  muy cómodo. Al tener esquinas , va estupendo para los rincones . también se dobla hacia arriba , es decir queda de lado . No hay un rincón que no llegue . Es fenomenal. !! Lo recomiendo !</t>
  </si>
  <si>
    <t>Caja sorpresa Muy buen regalo de aniversario o san Valentín</t>
  </si>
  <si>
    <t>Correcto Exactamente igual que en las fotos.Talla perfecta</t>
  </si>
  <si>
    <t>Calidad Lo que buscaba, la marca no falla</t>
  </si>
  <si>
    <t>Son lo que esperaba Aún no las he extrenado, solo me las he probado para asegurar que me fueran bien. Son muy bonitas y los materiales parecen buenos, acorde con la marca.</t>
  </si>
  <si>
    <t>Perfectas Buscaba un calzado más bien polivalente que me permitiera salir a la montaña y usar en días concretos. Finalmente la elección ha sido fantástica ya que son muy cómodos, mantienen el pie caliente, totalmente impermeables, muy buen agarre, en resumen que cumplen de sobra con lo que esperaba. Además el dis'ño no es muy "montañero", por lo que son perfectamente útiles para el día a día. Hasta el momento no encuentro incovenientes, y ya llevan unos buenos kilómetros en la espalda. Afortunadamente me leí los comentarios y opté por pasarme de talla (calzo un 44,5 y pedí un 46), un número más por lo menos hay que pedir.</t>
  </si>
  <si>
    <t>Fantástico olor Me encantan estos aceites esenciales. Había leído en algunos comentarios que algunas de las esencias olían demasiado a químicos y he de decir que no he notado esto. He estado yendo a Reiki varios años y estos aromas me recuerdan a los que usaba la mujer que me trataba, también me recuerdan a los aromas usados en aromaterapia por lo que no creo que huelan a químico sino que las esencias tienen un olor más intenso que el que podamos tener en mente. Las he comprado para usarlas en un humidificador y con 5 gotas y tras 2 minutos el olor y y el buen ambiente que generan, se ha propagado por toda la casa. Estuve a punto de comprar otra caja de esencias pero no hará falta, creo que tranquilamente pueden durar un año</t>
  </si>
  <si>
    <t>Compacto son bastante comodos, me sorprendió lo bien que se escucha la voz cuando se usa en manos libres :D el qe tenga batería incorporada me viene genial para los viajes :) así no tengo que llevar dos cosas, las funciones son fáciles de y se conectan automáticamente con el móvil, los otros que tengo tengo que emparejarlos cada vez que me los pongo, lo que es bastante inconveniente el sonido es muy bueno, no solo para conversaciones sino para música también :D la única pega que le veo es que la caja es mas grande que los otros que tengo, pero también es mucho mas pequeño que mi powerbank, con lo que al final ahorro espacio en los viajes :D me alegro de haber hecho la compra :)</t>
  </si>
  <si>
    <t>Contento Muy buenas sensaciones</t>
  </si>
  <si>
    <t>Muy buen microfono Estoy muy contento con este micro, la verdad que me detecta muy bien la voz a la distancia que me encuentro ( 70, 80 cm que acabo de medir con el metro xDD )  Se ve de buena calidad, tiene una estetica bonita y la version con tripode viene con un maletin que es una maravilla para guardar el micro o utilizarlo para otras cosas.....  Se conecta al pc y lo reconoce al momento, facil y sencillo, no hay drivers ni nada que descargar de la web del fabricante.  Me gustaria piyarme el brazo mas adelante, pero bueno...... todo a su tiempo, lo recomiendo.</t>
  </si>
  <si>
    <t>Excelente! Pequeña , ocupa poco espacio y muy funcional.</t>
  </si>
  <si>
    <t>Simplemente excelentes Se adaptan perfectamente a cada oído</t>
  </si>
  <si>
    <t>una maravilla me encanta, cumple su función perfectamente. Me alivia las contracturas y usándolo con una crema efecto calor es una combinación genial</t>
  </si>
  <si>
    <t>Buena calidad/precio Tarjeta utilizada para GoPro Hero 7 black edition. Sin problema, capacidad suficiente y rápida transferencia. Buena calidad precio</t>
  </si>
  <si>
    <t>Buenas zapatillas,pero comodidad 2/5 Buenas zapatillas,nada cómodas (es mi opinión) pero quedan fenomenales</t>
  </si>
  <si>
    <t>Bonito Muy bonito para crear un álbum de recuerdos!!! Fue para un regalo y les encantó.</t>
  </si>
  <si>
    <t>El volumen Buena funcionalidad</t>
  </si>
  <si>
    <t>Hora siempre exacta. Aparte del diseño típico de Casio, que me encantan, lo que más me gusta de este modelo es que gracias a la recepción de señales de radio, la hora se ajusta automáticamente a la zona horaria que se programe. Asi ya no se atrasa ni se adelanta. Ademas de cambiar automáticamente en los horarios de invierno y verano. Y esto para mi trabajo es fabuloso.</t>
  </si>
  <si>
    <t>Nada útil. No sirve de nada. Mala calidad. Es demasiado grande y el sonido se distorsiona un poco.</t>
  </si>
  <si>
    <t>No alcanza la velocidad indicada La tarjeta de 16 Gb de Sony, no alcanza la velocidad que indica (90 Mb/s). Al utilizarla en un móvil como memoria interna avisa de que la velocidad de lectura/escritura es lenta y es repercutirá en la rapidez de acceso a las aplicaciones.</t>
  </si>
  <si>
    <t>Aceprable Calienta el agua muy lento y no corta sola al momento de hervir</t>
  </si>
  <si>
    <t>Las dos zapatillas tienen colores diferentes Le doy 3 estrellas por la narca que es muy buena.  Aún asín no me he quedao satisfecho por los siguientes motivos.  -en primer las zapatillas son negras pero una es más oscura que la otra eso lo pueden ver en la foto El segundo punto negativo es que yo siempre llevo la talla 43 y aquí la 43 me queda muy pequeña como si fuera 42.</t>
  </si>
  <si>
    <t>las peores Las peores skechers que he comprado y llevo varias. Incomodísimas, no se nota para nada el memory foam, muy duras. La suela tiene como unas finas ranuras por donde se meten todas las piedrecitas pequeñas, cada pocos días tengo que sacarlas de ahi, un desastre de zapatillas.</t>
  </si>
  <si>
    <t>Enclenque Enclenque, materiales baratos no aguanta nada</t>
  </si>
  <si>
    <t>Algo justa Buen producto excepto la talla que es mas justa de lo que esperaba</t>
  </si>
  <si>
    <t>Cumple su cometido De momento genial. Lo compré porque mi Acer Aspire 8930 tiene ya 11 años y era hora de añadirle otro disco. Le quito una estrella porque Samsung no me deja descargar el programa Magician.  Si alguien más tiene mi ordenador instalarla es muy fácil, solo tenéis que desmontar la primera tapa debajo del ordenador e incorporar la tarjeta en el hueco adicional para incorporar una tarjeta, sin necesidad de comprar cable SATA. A nivel de velocidad se puede observar en el encendido, ya que se carga muy rápidamente y para los programas de observa un ligero cambio de velocidad. Luego otra cosa a observar es que es silencioso. No llegará a los máximos niveles de velocidad en este ordenador debido a la comunicación Sata soportado por este  Si queréis una instalación rápida os descargaís el Data migration de Samsung el cual os copia desde el sistema operativo hasta los programas a tu nuevo disco duro. Seguidamente vais a la bios del sistema (con F2 o F10 al iniciar el sistema), vais a boot y ponéis en primer lugar el disco duro de Samsung para que utilice este como SO (sistema operativo)</t>
  </si>
  <si>
    <t>Muy chulo Es fácil de entender, de poner y queda estupendamente. Se le compré a mi hijo y está encantado.  Lo recomiendo</t>
  </si>
  <si>
    <t>Cumplen las espectativas Me parecen las típicas zapatillas cómodas y útiles tanto para hacer deporte como para un dia que no apetezca mucho arreglarse , como pega les pondría que son estrechas por lo que ajustan bastante a los lados pero con el tiempo se han ido dando un poco y ahora asientan genial , por el precio que tienen son ideales</t>
  </si>
  <si>
    <t>Buen precio Son bonitos y tienen buen precio. Los recomiendo para regalar. No son muy caros y quedan muy bien. Además se pude comprar un colgante que va a juego.</t>
  </si>
  <si>
    <t>Buena sujeción Comodísimos. Son de tela técnica en la parte de detrás, perforada y súper fresca. Lleva forro suave en el pecho y los tirantes anchos no molestan nada. Talla como uno de calle y sujeta perfectamente. Repito seguro</t>
  </si>
  <si>
    <t>Buena calidad Se ve un producto de calidad. Bien rematado y muy cómoda.</t>
  </si>
  <si>
    <t>Geniales Que bonitos son,me encanta el color la forma y el tamaño.</t>
  </si>
  <si>
    <t>Posición muy comoda Paso 6 horas al día delante de un pc y padecía dolor en antebrazos, ha mejora sustancialmente asíq contento.</t>
  </si>
  <si>
    <t>Buena calidad Auriculares muy cómodos y con buena calidad de sonido. El embalaje, para el precio que tienen, está muy cuidado. Vienen con una bolsita para que los guardes, unas gomas de distinto tamaño para que se ajusten bien y una pinza para sujetarlos.  Los cascos se ven de bastante calidad. Se oyen bastante bien, son cómodos y la clavija también parece de calidad. No dan sensación de endebles. Tienen micrófono y no se oye mal.</t>
  </si>
  <si>
    <t>Da comodidad y libertad de movimientos. Versátil, cómoda y bien espacio.</t>
  </si>
  <si>
    <t>Besos balance Son super cómodas</t>
  </si>
  <si>
    <t>El tamaño que busca Es justo el tamaño que estaba buscando, pequeña para dar calor localizado en espalda o en estómago. Ciertos dolores que siempre se han aliviado la típica bolsa de agua caliente, ahora con estas almohadas eléctricas es muy cómodo.  Me gusta sobre todo porque tiene 6 potencias de temperatura, esto es lo más importante para poder graduar con precisión la cantidad de calor que quieres.  Buenas compra, y ahora en invierno va genial tener una de éstas.</t>
  </si>
  <si>
    <t>Excelente Ya los tenia antes!! Y son súper cómodos!</t>
  </si>
  <si>
    <t>muy bonito No hay mejores relojes digitales, simples y de toda la vida. Este en color negro es muy chulin</t>
  </si>
  <si>
    <t>Práctico El tamaño del difusor es ideal para una casa pequeña. No pesa, y es cómodo de transportar de una habitación a otra. Dura unas 3 horas el agua. Puedes cambiar el color de la luz y es muy bonito para decorar. El cable es largo, para enchufarlo sin problema. También trae un pequeño recipiente para llenar el agua fácilmente. Buen precio para su función.</t>
  </si>
  <si>
    <t>Ok Pefectos</t>
  </si>
  <si>
    <t>Bonito y muy adaptables El calcetín es bonito y justo para lo que yo lo quería. Ademas no pierde color y siguen como el primer día</t>
  </si>
  <si>
    <t>Me gusta Buen tejido,  y talla perfecta, seguro que compro alguna vez más</t>
  </si>
  <si>
    <t>1.35 min Calienta 0.4 litros, que es el mínimo, en 1 min y 35 sgs. Tiene un interruptor on/off que salta a off cuando hierve.</t>
  </si>
  <si>
    <t>Aceites esenciales muy buenos Aceites esenciales perfectos para usar en humidificador y así crear un buen ambiente. Muy buen olor todos.</t>
  </si>
  <si>
    <t>Comodidad y buen audio Auriculares que son una maravilla, son pequeños, potentes buena autonomía y resistentes al agua. Los auriculares, vienen en una caja,  que funcionan como batería para ellos. La caja es pequeña y discreta ideal para llevarla en la mochila o bolso y que no te ocupan mucho espacio. Son pequeños, pero supercomodos. He salido a correr y en ningún momento he notado que se me iban a caer como si que me ha pasado con otros modelos que he comprado. Un punto también positivo a destacar es que no se escuchan prácticamente nada el viento que te entra de fuera, tampoco te entra agua, son superestancos y funciona superbien</t>
  </si>
  <si>
    <t>MCarmen Es muy bonita y como la pedreria es de tantos colores te combina con todo</t>
  </si>
  <si>
    <t>despegadas Son unas zapatillas comodas pero en 5 meses  que las he usado se me ha despegado la suela( y eso que no me las he puesto mucho) .No las volveria a comprar,por mala calidad.</t>
  </si>
  <si>
    <t>Sobresaliente, capa de pintura frágil &lt;div id="video-block-R47STZ61EJ0TP" class="a-section a-spacing-small a-spacing-top-mini video-block"&gt;&lt;/div&gt;&lt;input type="hidden" name="" value="https://images-eu.ssl-images-amazon.com/images/I/91RUWwQBpyS.mp4" class="video-url"&gt;&lt;input type="hidden" name="" value="https://images-eu.ssl-images-amazon.com/images/I/91HZ-XDU8HS.png" class="video-slate-img-url"&gt;&amp;nbsp;Me ha gustado el producto sin embargo le doy tres estrellas porque me choca que un producto de su precio se deteriore tan pronto. El producto tiene todo perfecto en cuanto a su funcionamiento, el problema es que tan solo con un mes de uso ya la pintura se empezo a caer como se puede ver en la foto por eso le doy tres estrellas, de resto perfecto, al final me lo quedaré.</t>
  </si>
  <si>
    <t>Aceptable He probado marcas mejores.</t>
  </si>
  <si>
    <t>Velocidad?? Aquí no Lleva más de 16 horas para guardar 27 GB cuando eso suele llevar a penas media hora. Nefasto</t>
  </si>
  <si>
    <t>Que cargue bien la bateria Me a gustado el sonido,pero no cargan bien la batería,me ha decepcionado, ya que me gustaban mucho.</t>
  </si>
  <si>
    <t>Funciona muy bien. Merece la pena. CUmple todo lo indicado, funciona perfectamente.</t>
  </si>
  <si>
    <t>Precio normal Son unos cascos que es fácil parearlos con el bluetooth y se oyen bastante bien. Les doy cuatro estrellas porque para mí son bastante incómodos y la batería no le dura tanto como quisiera, pero por este precio están bastante bien. Una compra recomendable ya que la caja en la que vienen es bastante cómoda y funcionan perfectamente.</t>
  </si>
  <si>
    <t>Bastante correcto. Fue un regalo para el día de la madre. Tiene bastante buena pinta, aunque el acabado de la zona trasera deja un poco que desear. Por lo demás todo bien.</t>
  </si>
  <si>
    <t>Mando para presentaciones Se trata de un buen mando para presentaciones, es muy rápido de conectar al ordenador con el receptor usb que viene dentro del mando y luego ya funciona sin tener que instalar nada. Las funciones principales son que puedes ir a la siguiente o anterior diapozitiva y tiene en la punta un puntero laser para señalar encima de la presentación. Todo OK</t>
  </si>
  <si>
    <t>Lo bien  que deja la  mampara. La rasqueta  es de  muy  buena  calidad  y cumple  perfectamente  su  función. En cuanto  a la sujeción  no presenta  ningún  problema  si se coloca  sobre  un  baldo de  los  de toda la  vida.</t>
  </si>
  <si>
    <t>Cumple su función. Mi hijo encantado Tal cual</t>
  </si>
  <si>
    <t>Cumple mis espectativas En mi caso el producto venía en perfectas condiciones y con todos los componentes. El montaje es muy sencillo; leí algún comentario sobre que "cojeaba", para que eso no ocurra hay que nivelarlo simplemente. Volvería a comprarlo.</t>
  </si>
  <si>
    <t>Muy buena tarjeta Al precio que la compré, merece la pena. La velocidad real de escritura es de unos 18 MB/S, así que cumple de sobra con la clase 10. La velocidad de lectura ronda los 35, lejos de los 80 anunciados, pero dentro de lo normal para este tipo de tarjetas.</t>
  </si>
  <si>
    <t>Alfombra maxi Alfombra para ratón super grande. No es muy gruesa pero cumple su función. Con su gran tamaño puedes poner el teclado y el ratón y aún queda bastante espacio sobre ella.</t>
  </si>
  <si>
    <t>Están chulos muy justos . El artículo es bonito ,pero pide un número más ,yo pedí 38 y me estás muy justos .</t>
  </si>
  <si>
    <t>genial el olor es intensoi a pesar de poner pogas gotas en el pulverizador, rapidamente inunda el la habitacion o habitaciones y es muy agradable, si te pasas de gotas es pastoso y marea</t>
  </si>
  <si>
    <t>Bonito regalo Necesitaba hacer un regalo a una buena amiga y este collar a sido el regalo perfecto,le a encantado.Es muy bonito,con los cristales de Swarovski de colores,la presentacion perfecta con un bonito estuche y muy buena relacion calidad precio.En definitiva una muy buena opcion para hacer un bonito regalo.</t>
  </si>
  <si>
    <t>Muy buena relacion precio calidad Por este precio perfecto, la calidad esta bien, me gusta mucho este diseño asi que no pierdo.</t>
  </si>
  <si>
    <t>Supera todas las espectativas! &lt;div id="video-block-R36GK6GV8PGC2Q"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id="35" preload="auto" src="https://images-eu.ssl-images-amazon.com/images/I/A12CXGs5niS.mp4" style="position: absolute; left: 0px; top: 0px; overflow: hidden; height: 1px; width: 1px;"&gt;&lt;/video&gt;&lt;/div&gt;&lt;div id="airy-slate-preload" style="background-color: rgb(0, 0, 0); background-image: url(&amp;quot;https://images-eu.ssl-images-amazon.com/images/I/81ryAq1znIS.png&amp;quot;);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value="https://images-eu.ssl-images-amazon.com/images/I/A12CXGs5niS.mp4" class="video-url"&gt;&lt;input type="hidden" name="" value="https://images-eu.ssl-images-amazon.com/images/I/81ryAq1znIS.png" class="video-slate-img-url"&gt;&amp;nbsp;La compré por que a mi novia le ha dado por hacer batidos todos los días y con la mini pimer no es lo mismo. Despues de mucho buscar me decidí por esta Batidora por sus funcionalidades y por tener un vaso de 2 litros!  Al recibirla me llevo la grata sorpresa de que la calidad es muy superior a lo esperaba, los materiales son de excelente calidad, los botones se ve que con solidos y el vaso se nota que es para trabajo duro.  Tiene una pantalla LED que te permite controlar cuanto tiempo llevas batiendo, así podras dejar la misma consistencia siempre, cosa que me ha parecido supremente util y no lo habia visto en ninguna otra!  Otra cosa que me ha parecido muy util es el mezclador que viene, ya que puedes meterlo con tranquilidad y puedes empujar cuando se queda por los lados, por ejemplo cuando haces pancakes que la harina se va para los lados.  El vaso es muy facil de poner, no te hace falta andar buscando la posicion correcta, ademas tiene un sistemas de seguridad que no enciende hasta que en pones el vaso correctamente.  Llevamos más de una semana usandola y estamos verdaderamente encantados! Compra recomendada al 100%, tiene un precio más que razonable para la calidad y las funcionalidades que tiene!</t>
  </si>
  <si>
    <t>Muy buena compra Me a sido de gran utilidad y cumple todas las espectativas</t>
  </si>
  <si>
    <t>Bueníiiisimo Es muy bueno, pero tened en cuenta que aprieta al principio un montón...bueno, aprieta, estuve a punto de devolverlo, lo tuve 15 días en casa y luego empecé a ponerlo... genial... es verdad que para correr lo prefiero cruzado porque te coloca mejor la espalda, pero es que ya lo utilizo para todo, el contorno anda un poco justo.</t>
  </si>
  <si>
    <t>Comodo Muy bueno, te relaja mucho</t>
  </si>
  <si>
    <t>Excelente Muy buena compra. Calienta muy rápido y ocupa poco espacio. Muy práctico para evitar use el microondas o usar la cocina solo por un café o una infusión</t>
  </si>
  <si>
    <t>Buen producto Color, material y acabado perfecto, por el precio que valen no se puede pedir más, pero merece la pena la compra, tengo un 44 y me van perfectos.</t>
  </si>
  <si>
    <t>Perfectos Perfectos​, tales como me esperaba. Yo habitualmente uso un 38 y pedí un 37 y medio, me van bien. Cómodos.</t>
  </si>
  <si>
    <t>MUY BUENA COMPRA Son unos biberones que cumple a la perfección con las necesidades del bebe. Muy duraderos y cómodos de limpiar. Muy contenta con la compra. El servicio de envío perfecto en embalaje y rapidez.</t>
  </si>
  <si>
    <t>Calidad de audio a muy buen precio Una auténtica pasada! Estoy encantado he estado utilizandolos durante 5 días y estoy encantado. Tras varias horas de uso diario aún no he tenido que cargar los auriculares. El sonido es muy bueno, sobre todo de los sonidos agudos y los bajos. Se conectan muy rápido en mi Samsung galaxy s7. Muy practicos para hacer deporte, tenia miedk de que se me salieran mientras corria, pero se adaptan muy bien al oido. Además de música las llamadas se escuchan muy nítidas. Además es el estuche que trae es muy cómodo y práctico. Aconsejable a todos aquellos que busquéis un producto asequible de precio sin perder calidad de audio.</t>
  </si>
  <si>
    <t>Dos veces en la misma piedra Defectuoso. Segundo disco que compro en esta plataforma. Primero compre un seagate que vibraba tanto que aparte del ruido hacia que vibrase entera la torre del ordenador. Compro este disco y resulta que hace un ruido (tipo movimiento rueda de ratón), constante. Tengo cuatro PC en el despacho y he cambiado ya varios discos. Nunca he tenido estos problemas.  El disco vino como el primero, envuelto en una bolsa de burbujas dentro de un sobre de cartón. Y según la experiencia que he tenido, llego a dos conclusiones.  1. El tipo de embalaje no es el apropiado para un componente electrónico con partes mecánicas al que se le somete a un transporte todo mezclado expuesto a movimientos bruscos y vibraciones. En el envoltorio no pone frágil ni nada. El primer disco me vino con una temperatura caliente, no sé dónde estuvo metido en enero.  2. Que los discos vendidos de esta forma no hayan pasado prueba de calidad del fabricante. Mucha casualidad que dos discos pedidos, dos discos defectuosos.</t>
  </si>
  <si>
    <t>Pasable No tiene grandes lujos, pero si te gusta lucir la miband sin una pulsera de plástico te da el pego.  Cuesta un poco introducir la MiBand pero ya me lo esperaba al ser de metal.</t>
  </si>
  <si>
    <t>mala calidad La utilice una semana en un viaje para una tablet y ahora la voy a volver a utilizar y me sale que esa tarjeta no esta formateada y no me funciona en ningun dispositivo ni me deja formatearla tampoco... fatal... y no puedo contactar con amazon para decirle nada....</t>
  </si>
  <si>
    <t>dura una semana dentro rota dura una semana dentro rota</t>
  </si>
  <si>
    <t>No son maravillosos pero cumplen su función Tienen un buen agarre en la suela, quizás los  veo un poco justos de tamaño, aunque para realizar pilates, mejor justitos que grandes</t>
  </si>
  <si>
    <t>Es lo que necesitaba Es lo que esperaba</t>
  </si>
  <si>
    <t>Su uso facli De momento la he usado poco, pero creo que satisface mis pretensiones</t>
  </si>
  <si>
    <t>Va bien de hora en un día completo ni se adelantó ni atraso Me ha gustado el modelo y que no le hace falta pila</t>
  </si>
  <si>
    <t>ok Buen producto.</t>
  </si>
  <si>
    <t>Buen reloj para nadar Reloj ideal para nadar, números grandes, liviano. Tiene el plus de poder medir la temperatura del agua. Estoy plenamente satisfecho.</t>
  </si>
  <si>
    <t>Comodas y ligeras Todo perfecto, producto y envio</t>
  </si>
  <si>
    <t>Buen producto Pequeñita y practica</t>
  </si>
  <si>
    <t>Fantástico Lo compré pensando a ver cómo era, pero estoy sorprendido. Es fantástico, puede"controlar" varios cables a la vez y viene cantidad suficiente para 5 o 6 veces lo que necesito. Muy buena compra. Lo recomiendo</t>
  </si>
  <si>
    <t>Las volvería a comprar Muy bonitas, cómodas y confortables.</t>
  </si>
  <si>
    <t>Muy buen producto Me ha encajado perfectamente. La talla se ajusta a lo indicado. Muy buen tejido y muy buena sujeción</t>
  </si>
  <si>
    <t>Comodos para el dia a dia Muy comodos para la vida diaria. Son perfectos para entretiempo o incluso invierno.</t>
  </si>
  <si>
    <t>Buen producto La camiseta queda perfecta muy cómoda casi no notas que la llevas recomiendo coger una talla más ya que queda bastante ajustada.</t>
  </si>
  <si>
    <t>Buena Producto de plástico aunque hace bien la funcion para la que es... a día de hoy aún sigo utilizándolo</t>
  </si>
  <si>
    <t>estiliza Elegí en fondo en rojo y el detalle lo dan las rayas verticales líneas de varios colores.  El diseño  estiliza bastante. El tejido de poliéster al llevar spantex es algo elástico y se adapta a la figura y es larga, algo que me gusta aún más.</t>
  </si>
  <si>
    <t>Fantástica. Lo recomiendo. Es genial, calidad L'Oréal. Tengo piel grasa y me deja la piel super limpia y sobre todo muy iluminada, es un baño de belleza para mi piel de forma sencilla, barata y sin maquillaje, te deja la piel perfecta. He usado este y el de carbón, y recomiendo mucho más este, me encanta como me deja la piel, es una pasada.</t>
  </si>
  <si>
    <t>Perfecto Rápido y botas perfectas,</t>
  </si>
  <si>
    <t>Muy útil y seguro, además de discreto Estoy muy satisfecho con esta compra, porque tengo recogidas cosas que estando seguras, las tengo a mano muy discretamente.</t>
  </si>
  <si>
    <t>Aspecto resistente. Pesa poco. Ya las tuve, siempre me gustaron.  La talla de Reebok siempre es algo menos que Nike.</t>
  </si>
  <si>
    <t>Muy bien! Me encantó! Hidrata muchísimo. Y olor es súper agradable. Lo pongo o por la noche antes de dormir o por la mañana. Si lo pones por la mañana también te quita las ojeras. Muy contenta con la compra, lo recomiendo!</t>
  </si>
  <si>
    <t>Suave Simplemente trapos finos</t>
  </si>
  <si>
    <t>Luisa Esta súper bien el color de camuflaje que elegi y todo es perfecto gracias por todo feliz año nuevo 2018</t>
  </si>
  <si>
    <t>Mejorar el sistema de correa Bastante malo me ha durado 1 semana, bonito pero te dura lo que pagas</t>
  </si>
  <si>
    <t>no cumple espectativas¡¡¡ esperaba mas de la marca. el tallaje es un poco grande respecto a otras marcas, el tejido me resulta un poco basto. no me gusto mucho</t>
  </si>
  <si>
    <t>Muy pequeño Es un poco fino, parece de dama, estuve a punto de devolverlo porque fue un regalo para mi marido pero al final creo que era mas tiempo perdido devolverlo que quedarnoslo, el reloj funciona bien y está bonito, se ve de buena calidad solo que no me esperaba que fuera tan pequeño.</t>
  </si>
  <si>
    <t>Se oxida Muy mala compra. Aparece oxido al mes de uso. Para tirar. Veo que otros usuasrios se han quejado de lo mismo. Lástima no haberlo visto antes.</t>
  </si>
  <si>
    <t>Mala calidad Fatal, soy una persona que se cuida sus cosas y a los dos meses todos los bordes despegados. La punta despegada. Por dentro de las zapatillas y toda la zona del interior negras. Las devolví y me han devuelto el dinero.</t>
  </si>
  <si>
    <t>Alexis Domínguez El no poder cambiar el indicador de fecha por el de la hora da una sensación muy estraña de "malo" parece chino</t>
  </si>
  <si>
    <t>Jaime pei No me gusta la sección del cable. No es de 4mm. Ya lo sabia yo... ni aun en la tiendas de calle lo que pone en la etiqueta es real, lo mejor es tocar pelar y ver. Pero si tiene buena calidad</t>
  </si>
  <si>
    <t>Genial Quedan muy bien y son muy cómodos, lo único que al lavarlos pierden un poco de color... Pero por ese precio valen la pena</t>
  </si>
  <si>
    <t>Confortable pantalon Es un pantalón tipo chandal, muy cómodo y confortable, con dos bolsillos laterales. La talla M hace una talla 38-40.</t>
  </si>
  <si>
    <t>Good Pese a que se transparenta lo que llevas debajo, queda bonito el pico y es suave. La talla es correcta.</t>
  </si>
  <si>
    <t>Es como si no llevaras zapatos Mi talla de zapato en general es la 42, pero con este número me quedaban muy a la medida, y lo cambié por el 43. Me van fenomenal, pero al no poder ajustarlos del empeine, parece que van un poco sueltos, pero sólo es la sensación.</t>
  </si>
  <si>
    <t>LOS MEJORES AURICULARES RELACION CALIDAD/PRECIO Sin duda este es el mejor auricular que he tenido, se adapta perfectamente a la oreja y al hacer ejercicio no se cae. el sudor no lo pone en peligro tampoco. La bateria dura lo suficiente para estar trabajando toda la mañana con ellos puestos. Yo uso uno y cuando se le gasta la bateria lo pongo a cargar y cojo el otro. La calidad de sonido es genial. Si buscas unos cascos baratos para la calidad que ofrecen estos son los que te recomiendo.</t>
  </si>
  <si>
    <t>Car Muy bonitos perfectos y la presentación perfecta. Son muy monos brillan mucho y el cierre va bien.  Certificado de la marca</t>
  </si>
  <si>
    <t>absolutamente recomendable en todos los sentidos Articulo servido en fecha, perfectamente embalado y que cumple holgadamente su descripcion y prestaciones. Se puede pedir mas? Funciona perfectente y esta muy bien terminado.</t>
  </si>
  <si>
    <t>Excelente!!! Tal cual como en la foto</t>
  </si>
  <si>
    <t>elegí esta valoración porque me ha encantado el micrófono, soy una fanática del karaoke y me gusta divertirme con mis amigos cantando,para todo el que le guste echar unas risas cantando. elegí esta valoración porque me ha encantado el micrófono, soy una fanática del karaoke y me gusta divertirme con mis amigos cantando, así que estoy coleccionando micros de karaoke y este me ha gustado mucho pues tiene una forma diferente a los demás es como cuadrado, lo mejor de estos micros es que los puedo llevar a cualquier lado porque ocupa poco espacio, lo que echo en falta es una carcasa para guardar y transportar el micro. Por lo demás muy bien, un micro perfecto para pequeños y mayores, para todo el que le guste echar unas risas cantando.</t>
  </si>
  <si>
    <t>Buena grapadora Buena grapadora a muy buen precio, robusta y solida, no como esas de plastico que aprece que se van a romper al grapar</t>
  </si>
  <si>
    <t>Muy buen producto.. Muy buen producto, con muy buen acabado, relación calidad precio excelente, envimommuy bien, tuve que devolverlo por ser un número pequeño y todo fue a la perfección, el envío del número mayor llega rápidamente..</t>
  </si>
  <si>
    <t>Sienta muy bien en el piez Están muy bien</t>
  </si>
  <si>
    <t>Me encanta La compré para llevar la mi band 3 a una boda y que no pareciese cutre con la pulsera de goma y la verdad es que estoy encantado muy comoda. ya no la quito nunca.</t>
  </si>
  <si>
    <t>Muy buena compra Muy buena calidad. Muy contento con la compra. Por los comentarios que leí cogí casi un número más de lo que llevo habitualmente y me queda perfecto.</t>
  </si>
  <si>
    <t>Excelente producto!!! Tal y como me las esperaba, son muy cómodas</t>
  </si>
  <si>
    <t>Zapatillas cómodas y muy monas Pillé una talla menos por los comentarios y fue acierto total</t>
  </si>
  <si>
    <t>Buena compra Muy cómodos y  suaves, se lavan sin ningún problema y transpira bastante bien y no destiñen nada. Los he usado y lavado ya dos meses y el forro del pecho sigue perfecto.</t>
  </si>
  <si>
    <t>Súper cómodo Había leído que era difícil de montar pero para nada. La tinta dura mucho y cuando se borra vuelves a sellar y listo. Para mi fue la solución para marcar toda la ropa de la guarde. Ojo!! Cae de cajón, pero no selléis en prendas “peludas” o de lana, os quedará un borrón. Queda genial sobre todo en etiquetas y prendas de algodón.</t>
  </si>
  <si>
    <t>Rápida tarjeta de memoria. He comprado esta tarjeta micro SD para utilizarla en una videocámara que adquirí, por lo que necesitaba que fuera al menos de clase 10, como lo es ésta. Viene con un adaptador para usarla como memoria SD. Una vez en la videocámara, decir que funciona perfectamente y es muy rápida transfiriendo los datos. Su capacidad de de 32 GB y su precio me pareció muy bueno, por lo que es una buena elección si quieres una tarjeta de éstas.</t>
  </si>
  <si>
    <t>Muy bueno. ¿100 tiras por menos de 2 eurs? Que más se puede pedir. Sólo añadir 2 cosas más. En realdiad venían 98 tiras, pero me parece que el margen de error es más que admisible.Y en segundo lugar, para los que se quejan de que suelta mucha pelusilla negra, eso es lógigo ya que son tiras cortadas con un troquel, así que es muy lógigo que tenga pelusilla suelta, igual que cuando vais al peluquero y os quedan muchísimos trocitos de pelo. Dejad de quejaros de eso, y si no en la próxima ducha os la llevais a la bañera con vosotros.</t>
  </si>
  <si>
    <t>Velocidad de escritura y lectura correctas Cumple con las velocidades de lectura y escritura especificadas.  Excelente relación calidad - precio.</t>
  </si>
  <si>
    <t>parece ser lo que dice Por ahora no ha habido problemas, he probado solo el vaso de los smoothiesy por ahora bien, falta probar el de picado de cafe y la jarra</t>
  </si>
  <si>
    <t>Servicio, precio y niña molestia Todo ha sido perfecto. Mi hija encantada. Rápido y en perfectas condiciones.</t>
  </si>
  <si>
    <t>Funciona pero no te quemaras .. La manta funciona correctamente pero no me convence mucho ya que al nivel máximo (3) no notas que de mucha temperatura , entonces me pregunto para que sirven los dos primeros niveles si al 3 deberías de quemarte en el sentido de que te dan ganas de bajar un nivel .. pero no es el caso</t>
  </si>
  <si>
    <t>no es comodo respecto al tamaño es el correcto segun las medidas que muestran en la tabla. El material es un poco aspero y es un poco incomodo ya que el pie tiende a estar inclinado mas alto por la parte de fuera.</t>
  </si>
  <si>
    <t>Demasiado corto Había leído opiniones de que era corto, pero no creía que fuera tanto. Yo lo utilizo con el Irig, y para ésto realmente no importa que sea tan corto, aunque hubiera agradecido algún centímetro más. Supongo que compraré otro más largo.</t>
  </si>
  <si>
    <t>Chupetes de Mickey no de Minnie Buena calidad y llegaron antes de lo previsto, pero no entiendo por qué en la foto los chupetes son de Minnie y te los envian de Mickey, eran un regalo para una niña y ya no se si regalarlos o no, así que quedo descontenta con este producto, no es tal cual pone en la foto</t>
  </si>
  <si>
    <t>No recomendaria Pesima calidad.Al poco uso la tapa no se abria.Un desastre y la verda me sorprende mucho por que yo tengo todos mis electrodomesticos de la marca Bosch y nunca he tenido problemas la verdad. He solicitado una devolucion.Y la gente de amazon la verdad un 10,muy rapidos y profesionales</t>
  </si>
  <si>
    <t>Antonio Martin El producto llego dentro del plazo marcado por ellos. Funcionan muy bien.No tengo ninguna queja para grabar peliculas y musica.</t>
  </si>
  <si>
    <t>Suave y cómodo con la medida que buscaba Buen producto, la tela es suave y cómoda, con respecto al tamaño mido 1.75 y 82 kg, pedí talla L y me queda ajustada, aunque a mi me gusta así, pedir como mínimo una talla más de lo habitual</t>
  </si>
  <si>
    <t>Buenas zapatillas de corte ajustado Las zapatillas tienen un diseño sensacional. Muy buena combinación de colores. Acabados perfectos. Pero, pese a haber pedido un número más de lo necesario, se me hacen estrechas y duras. El largo es correcto pero meter el pie es un martirio y pienso que no conseguiré domarlas nunca. He pedido la devolución pero al tener que pagar portes de vuelta hasta Inglaterra (que me cuestan más del 30% del importe de la compra), me las quedaré y trataré de revenderlas. Intentaré no comprar en adelante productos no Premium o que vengan del extranjero.</t>
  </si>
  <si>
    <t>BUENA RELACIÓN CALIDAD PRECIO BUENA RELACIÓN CALIDAD PRECIO</t>
  </si>
  <si>
    <t>Ruben Buen producto .no le pongo 5porque es un poco estrecho y limita un poco pero l calidad de l piel parece buena .a ver lo que dura</t>
  </si>
  <si>
    <t>La mejor opción para producción y DJ por precio asequible. Estamos ante uno de los productos más recomendables en cuanto a audio de gama baja. En general la marca Audio technica, ha entrado en el mercado con unos productos para todos los bolsillos que no dejan nada que desear. En el paquete se incluyen los audífonos, el adaptador de jack de 3,5" a 6,5", y una bolsa de cuero negro con el nombre comercial de la marca prensado. El adaptador es chapado en oro completamente, como el jack de 3,5", que encaja correctamente y para un mayor ajuste se enrosca. Este producto se constituye por unos materiales aceptables, un diseño confortable y muy ajustable. La diadema acolchada es muy cómoda y firme. Las almohadillas son muy cómodas y resistentes. El cable es muy largo, más que suficiente pero no demasiado si quieres usarlos para el uso profesional.  En lo respectivo al audio son unos auriculares de calidad de estudio profesional a un precio muy asequible. Los niveles conseguidos en estos auriculares hacen que ningún nivel destaque por encima de otro, que a su vez implica que ningún nivel quede bajo o ocultado por otro. Esto nos permite una nitidez de audio de calidad. Por esos motivos son lo suficientemente precisos para realizar una pre-escucha en cabina o para la producción de audio.</t>
  </si>
  <si>
    <t>Muy buenas Marca conocida y recomendable en el aspecto de la funcionalidad y comodidad. Cumple su función. Poco más que añadir al respecto. Tallaje normal.</t>
  </si>
  <si>
    <t>Todo ok Todo llegó bien Todo perfecto bien material de suela y línea muy cómodas y fácil de limpiar volveré a comprar</t>
  </si>
  <si>
    <t>Son preciosas y comodas Llegaron en el tiempo indicado, la talla es perfecta, debes medir te el pie tal y como te indican. Son muy cómodas, el detalle de la apertura con cremallera es una maravilla, así no hay q tocar los cordones q, en mi caso, son un incordio si hay atarlos y desatarlos para ponertelas. El material es sintético pero no tiene olor, la tela es de lona y la suela de una especie de goma muy flexible, amortigua mucho al andar y no pesan. Lo dicho, son preciosas y extra cómodas, lo recomiendo 200%!!! Ah un detalle... No vienen en caja, vienen en un plástico sellado, q para mi no es ningún problema.</t>
  </si>
  <si>
    <t>Perfectos Son unos ariculares perfectos para aislarse y no molestar, muy comodos . era justo lo que buscabamos para escuchar musica mientras los demas ven la tv</t>
  </si>
  <si>
    <t>Buen disco. Pues es la nueva serie de seagate, tuve el de 1 TB de la serie anterior, y quede muy contento, por su rendimiento y fiabilidad. Así que e repetido con seagate, y espero no equivocarme. Sobre el disco de momento muy bien, poco ruido y buen rendimiento.</t>
  </si>
  <si>
    <t>Para hacerse batidos rápidamente Se lo he regalado a mi pareja y está encantada. Se pasa el día haciéndose batidos y de momento todo perfecto. Es muy fácil de usar y de limpiar.</t>
  </si>
  <si>
    <t>perfecto excelente me encanta perfecto excelente me encanta</t>
  </si>
  <si>
    <t>Bien Pues todo bien.  Es una grapadora grandecita, lo único así destacable.</t>
  </si>
  <si>
    <t>Buen material y suavidad Se queda bien sujeto al escritorio sin deslizarle nada y mucha suavidad tanto en tacto como a la hora de mover el raton</t>
  </si>
  <si>
    <t>Alta Fidelidad para todos los públicos Calidad profesional a un precio muy razonable. Estoy redescubriendo detalles en música que llevo escuchada durante años. Top.</t>
  </si>
  <si>
    <t>Recomendable Buenas zapatillas</t>
  </si>
  <si>
    <t>Deportivas hombre Es el segundo par que compro. Quedan fantásticas, son comodísimas y a buen precio. Muy buena compra y relación calidad precio. Es la primera vez que las compro por debajo de 50 euros.</t>
  </si>
  <si>
    <t>GENIAL Producto que cumple todas mis expectativas y más, muchas funciones.</t>
  </si>
  <si>
    <t>Organizadores de bolso para Los Bolsos con Asa Corta Divisiones Cierre Color Granate Encantada con el producto, cumple con lo prometido, yo lo uso todos los días y cuando tengo que cambiar de bolso lo cambio de una vez y no tengo que preocuparme de nada, todo está en su sitio. buena calidad para un precio semejante.</t>
  </si>
  <si>
    <t>Comodidad y sonido de alta calidad. Nunca me he atrevido a llevar "airpods". Hasta ahora. Todos me habían resultado incómodos, pero el caso es que éstos ni se me caen ni me molestan. Tengo que viajar todos los días hasta mi lugar de trabajo y la duración de la batería es bastante importante para mí, y en ello salen ganando de sobras. Fantabulosa relación calidad-precio.</t>
  </si>
  <si>
    <t>Calidad precio Me compré una para mí y me gustó tanto que compré dos más para la familia. La uso más como hervidor, porque la uso más bien yo sólo. También va bien para hacer más de 0.7l de té</t>
  </si>
  <si>
    <t>Recomendado sin dudas Aun no la he usado porque mi oeque no ha nacido pero me encanta el mecanismo que tiene,creo que da una seguridad que las tipicas bañeras no dan,el tema de poder ajustar la profundidad y la inclinacion me encanta,es muy robusta y me gusta que sea como de gomanlo que se pliega. He visto otras que eran mas plasticosas y la goma me da mas confianza. Decir que es grande y que el niño la utilizara durante bastante tiempo. Para la olaya tambien la veo bien,ya que no pesa nada,se pliega y tiene el tapon de desague. Mejor que ir con una inchable que hay que llenarla y tal y se puede pinchar</t>
  </si>
  <si>
    <t>Maria luisa Se atasca demasiado y puede pasar muchas veces por el mismo sitio y ninguna por otra, tiene poca potencia y a veces se queda debajo de los sofas</t>
  </si>
  <si>
    <t>Muy normalitos! Por el precio que tienen no se puede pedir más. Son muy normalitos. La piedra se ve muy malilla, pero es que son muy baratos! Tampoco son muy cómodos de llevar porque la cadenita que se mete por el agujero de la oreja se mueve mucho hacia abajo. Yo lo he solucionado poniendo una tuerca de esas de gomita por detrás. Una vez puestos quedan monos! Relación calidad precio no está mal!</t>
  </si>
  <si>
    <t>Cómo aparece en la foto Cómo aparece en la foto</t>
  </si>
  <si>
    <t>Maria Pujol Hago un 40 de pie, compre un 41 para asegurarme, me llegaron a tiempo, si, pero.....me van pequeñas! Es como un 38! Y marca 41..... Parecen imitacion y no new balance originales....</t>
  </si>
  <si>
    <t>Suela muy rígida Al poco tiempo se agrieto la suela y terminaron en la basura</t>
  </si>
  <si>
    <t>Tallas de contorno pequeña Es un buen producto. Buen género y transpirable Lastima que las tallas no se correspondan. Uso una 100D y me he cogido la 100F y aún así me está pequeña de contorno.</t>
  </si>
  <si>
    <t>merece la pena Despues de buscar y leer las opiniones me decidi por el y no me arrepiento, funciona muy bien y con un sonido claro,el volumen es aceptable y es que mas tiempo me a durado funcionando sin cargarlo. Para los que no lo sepan os digo que este modelo es identico al M90....solo varia que este ultimo modelo lleva un cable para cargar a la vez el telefono y el bluetooth ( dicho por plantronics ) y solo tiene idioma español,frances e italiano el M70 200739-26.   Por poner una pega ,es cierto que cuando llevas un rato se nota una molestia en el iodo ( entiendo que es porque se sujeta con fuerza )</t>
  </si>
  <si>
    <t>Estéticamente muy bonitos, sonido bueno, comodidad media. Pros: Los cascos son muy bonitos, el cable largo muy cómodo. El control de sonido integrado en el cable, útil también. La calidad del audio es buena. Contras: Si el volumen de los cascos es alto, y estás en conversación la persona del otro lado oye ecos. El software a usar ha tener cancelador de ecos para evitarlo. La diadema lastima, tal vez tenga yo la cabeza muy grande pero al cabo de una hora empieza a molestarme, la almohadilla que trae es insuficiente.</t>
  </si>
  <si>
    <t>Cable correcto Un cable que cumple su funcion a buen precio.</t>
  </si>
  <si>
    <t>UN BUEN REGALO PARA MI PADRE Ha sido un regalo para mi padre y está muy contento con su reloj.</t>
  </si>
  <si>
    <t>Se escuchan estupendamente Llevo ya bastantes días con estos auriculares y son geniales, dura la batería una barbaridad, se escuchan de maravilla y son táctiles para su manejo. Nada que envidiar a otros de marcas muy conocidas e infinitamente mas caros. Vienen en una caja que además sirve para la carga. Yo tengo un Samsung y se emparejan fácilmente y súper rápido.</t>
  </si>
  <si>
    <t>Eficacia en la entrega Me encantan!</t>
  </si>
  <si>
    <t>Muy buenas Es la segunda vez que compro este modelo, muy cómodo; el precio puede ser un poco elevado, pero sin duda vale la pena, las anteriores las usé durante 7 años y aún están en buenas condiciones salvo la suela por el lógico desgaste.</t>
  </si>
  <si>
    <t>Recambio Correa Suunto Producto original de Suunto  Puede parecer algo más mate que el original pero pienso que con el desgaste se igualará. Viene con tornillos, pegamento e instrucciones. Sólo he sustituido la parte dañada, en mi caso la del GPS, supongo que será la que se rompe con mayor frecuencia por lo que, debido al precio del pack, debería existir la posibilidad de poder comprar también por separado. Por lo demás, buena calidad, entrega muy rápida y comodidad de recibirlo en casa. En la página de Suunto cuesta 10€ más.</t>
  </si>
  <si>
    <t>Perfecto Es precioso, parece que cuesta muchísimo más de lo que en realidad cuesta. Es ideal, queda muy mono.</t>
  </si>
  <si>
    <t>Excelente relación calidad/precio Pues eso, que no son los mejores auriculares del mundo pero, por 11 euros no creo que haya ninguno que sea mejor. Suenan aceptablemente bien, son cómodos (una vez que pones las almohadillas que mejor se adapten a tu conducto auditivo), vienen con varios tamaños de almohadillas y trae un accesorio que sirve para mantener recogida la longitud de cable que consideres que no te es necesaria. Al final resulta muy útil esa especie de recogecables ya que lo ajustas al largo que uno quiere.</t>
  </si>
  <si>
    <t>Ideal para fotografía Pues ultimamente me he decidido a iniciarme en el mundo de la fotografía, y necesitaba una tarjeta de memoría a precio asequible pero que fuera veloz, y con este producto he encontrado a la candidata exacta. Alcanza una velocidad de lectura de hasta 80Mb/s, y una velocidad en transferencia de archivos de hasta 250Mb/s, una autentica maravilla. Por otro lado creo que su capacidad de almacenamiento es más que perfecta, ya que personalmente no recomiendo las SD para más capacidad por un sencillo motivo: -Si por algún motivo la SD falla y tenemos que formatear, perdemos todo el contenido. Pero si en vez de una SD de gran capacidad tenemos 2 SD de menos capacidad, la cuantía de la pérdida será menor. Y creedme, hablo por experiencia. EN definitiva, un producto con una relación calidad-precio óptima, muy recomendable.</t>
  </si>
  <si>
    <t>Me gusta Buen producto para el precio que he pagado por el un saludo</t>
  </si>
  <si>
    <t>Practica Práctica y funcional, perfecta para hervir el agua, cómoda para limpiar y fácil de utilizar, es bonita y muy moderna y queda bien en cualquier cocina.</t>
  </si>
  <si>
    <t>Calidad precios muy buenos Funcionan perfectamente. Se oyen muy bien, se conectan a la primera cada vez que conectas el bluetooth. Muy ergonomicos. Ideales para hacer deporte.</t>
  </si>
  <si>
    <t>Yuri Diaz Preciosas y comodisimas, mejor de lo que esperaba, desde que probé estas zapatillas no quiero otras. La talla es un poco grande, de hecho pedí un número menos.</t>
  </si>
  <si>
    <t>perfecta Soy corredor habitual. Participo en carreras de montaña y medias maratones en carretera, esta crema la he utilizado cuando tengo molestias despues de tendinitis y contracturas. Le doy un 10. Con poco que te das calienta mogollon, y aguanta el calor unas 2 horas. Recomendable.</t>
  </si>
  <si>
    <t>Buen servicio, puntual, todo correcto Muy buen reloj, a buen precio. La entrega puntual, vendedor muy atento.</t>
  </si>
  <si>
    <t>Me gusta mucho este pegamente Nada que ver con otras marcas, incluso con el de la propia marca pero no Profesional. Dura un montón y el precio es algo más barato que en los supermercados tradicionales</t>
  </si>
  <si>
    <t>zapatillas converse Buena calidad del producto. La talla se ajusta a lo que pedi .Perfecto.</t>
  </si>
  <si>
    <t>Bonito Para el precio que tiene, muy bueno</t>
  </si>
  <si>
    <t>Muy bien Todo ok</t>
  </si>
  <si>
    <t>Zapato seguridad punta metálica Buen calzado, liviano, nada más ponerlo ya se nota, ahora a esperar 12h haber</t>
  </si>
  <si>
    <t>Tienen mayor porcentaje de fabricación de Swarovski mis cojones, con un 1% No trae certificado de autentificación, ni nada por el estilo, es que ni ellos mismos reconocen que sea autentico, que no les costaba hacerse un certificado falso ellos también, desde luego se viene de vuelta, más falso que un billete de 15€, me la jugué porque era Prime, y se puede reclamar bastante fácil y gratis, eso sí, al día siguiente la tienes en casa, eso está perfecto, porque cuanto antes venga, antes la puedes devolver, su "Precio original era de 99,99€" pobrecillo del que lo haya comprado a ese precio, debe estar dandose cabezasos con las paredes..  Cristales de Swarovski debe de ser porque le han roto las ventanillas del BMW y los cristales se los han puesto a las pulseritas, porque lo de tallado por la empresa.. como que no xddd, al menos, me lo he pillado con otros 2 pringaos de la oficina y nos estamos descojonando con el resultado final, uno de ellos se lo quiere llevar a un Joyero, pero ya te digo yo lo que hay, así como colega entre tu y yo.  Le doy 2 estrellas por el descojone gratuito ocasionado.  Falsisimo</t>
  </si>
  <si>
    <t>defectuoso después de 2 meses Es triste para mí escribir, ya que Sony ha sido mi marca favorita desde que era un niño.  Los auriculares después de solo 2 meses tienen un sonido distorsionado y crepitante con ciertos tonos.  Mi compañero de trabajo compró sus auriculares cuando lo hice y los suyos no crujen en la misma canción cuando lo probé con mi teléfono.  He intentado las mismas canciones y mis auriculares son los únicos con el problema.  Espero que Sony pueda reemplazar mis auriculares fácilmente ya que vivo en Islandia.</t>
  </si>
  <si>
    <t>Mala calidad Se ha despegado la suela en unos meses y se ha descolorido muy rápido</t>
  </si>
  <si>
    <t>A los nueve meses dejó de funcionar El disco inicialmente arrancó perfecto, pero a los nueve meses empezó a fallar en la lectura/escritura del disco y finalmente dejó de funcionar. No es una buena elección y además no me deja hacer la devolución del disco al fabricante.</t>
  </si>
  <si>
    <t>Jarra-Hervidor de agua Funciona muy bien como hervidor eléctrico de agua para infusiones. Se calienta muy rápidamente.</t>
  </si>
  <si>
    <t>Pequeño y decorativo, cumple su funcion Es un aparato sencillo que con vapor de agua si le disuelves esencias aromatiza la zona donde esta puesto. las esencias has de comprarla aparte. El recipiente es ajustado a su tamaño y no puedes darle mucho tiempo pues se agota/evapora y hay que volver a rellenar.  De momento estoy viendo como funciona pues no viene el manual en Español. Según puedo ver se enciende, se le indica la luz que deseas y las horas, máximo 4 horas, después se apaga totalmente. En la primera prueba el agua no es suficiente para las 4 horas asi que ahora le pongo en intervalos de 1 hora durante el dia, 4 veces.  Aunque es muy silencioso en la noche, es decir, en la habitación de noche no podría estar, al menos para mi.</t>
  </si>
  <si>
    <t>Buenes sandalias Las quería para la piscina y van muy bien, som muy cómodas y no sudan mucho. Buena calidad. El número un poco grande pero quedan igualmente bien por el tipo de chancla que es, si las pidiera de nuevo lo haría con un número menos del que utilizo normalmente</t>
  </si>
  <si>
    <t>Allison Todo muy bien, correctamente empaquetado, la única pega es que, llega muy justo de los lados, lo he puesto en mi iPhone 6S y me deja medio milímetro sin proteger la pantalla, algo mínimo, pero preferible que encaje perfecto y que la proteja toda. Además te viene con toallitas para limpiar la pantalla de tu móvil antes de poner el protector y pegatinas que te sirven de ayuda.</t>
  </si>
  <si>
    <t>CORRECTO CORRECTO</t>
  </si>
  <si>
    <t>Como un guante! La zapatilla se acomoda al pie perfecto! Amortiguación excelente. Peso 90kg. De talla utilizo 28 y en esta marca es un 44EU, para un calcetín gordo casi mejor 28.5. Estoy muy satisfecho con la compra. 85€ precio excelente, no he encontrado ninguna a la altura por ese precio. Totalmente recomendable! Al cabo de los meses la zapatilla figure dando una respuesta fenomenal. Ha perdido una pizca de amortiguación pero entiendo que es normal. Se ajustan al pie fantástico!</t>
  </si>
  <si>
    <t>Cables equipo sonido Todo como se esperaba. Lo he utilizado para conectar una bateria electronica a un equipo de sonido. El sonido ahora es perfecto.</t>
  </si>
  <si>
    <t>Los mejores biberones Me encantan estos biberones, la calidad es excelente. El vidrio es muy fuerte. No he tenido problemas de goteo para nada -  tenéis que leer el papelito de consejos que viene en la caja y evitar ciertas cosas, como calentar el biberón en microondas con la valvula y la tetina puesta etc.</t>
  </si>
  <si>
    <t>Mejor de lo esperado No se hasta que punto es "compresiva" al menos en la forma que está tomando esta palabra, es decir, que mejora el rendimiento muscular, si que es una camiseta pegada, como si fuese segunda piel de lo finita que es, y no es que abrigue como un plumas, es evidente, pero conserva bien la temperatura, de hecho estoy para coger otra, por este precio no vi nada mejor y busqué y busqué... sin duda, una gran compra!</t>
  </si>
  <si>
    <t>Buena calidad / precio Utilizo la batidora principalmente para hacer batidos con frutas y verduras.  Funciona perfectamente y tiene bastante potencia y el material es de buena calidad, ya que suelo añadir hielo a los batidos, y lo tritura sin ningún problema.  Es muy cómodo el utensilio para picar, las tareas que se suelen hacer con el cuchillo en 10 - 15 min la trituradora lo hace con un click.  Totalmente recomendable, muy buena calidad por este precio.</t>
  </si>
  <si>
    <t>Buena calidad Buena cálidad la talla perfecta</t>
  </si>
  <si>
    <t>Acero pulido Es un hervidor con una relación precio muy buena y además tiene unos acabados de acero inox que estaba buscando para decorar mi cocina, ya que tengo los electrodomésticos a la vista y me gusta que todos sean parecidos. Calienta muy rápido y tiene mucha capacidad de agua. La luz led le da un toque muy moderno.</t>
  </si>
  <si>
    <t>Mi buena elección para 16Gb en DDR3@1600Mhz Elección perfecta para quien desee adquirir un kit memorias de 16Gb a 1600Mhz. Lástima que hace un par de años no estuvieran a este precio...</t>
  </si>
  <si>
    <t>Suenan genial y son bonitos en mi opinion Suenan muy bien, en mi opinion son muy esteticos y elegantes, la función táctil de los auriculares va genial para no tener que sacar el movil, y ir pasando la canción que necesitas o atender una llamada, he tenido varios auriculares y estos en particular me han gustado bastante. La carga de estos también hace de batería para el movil.  La bateria dura mucho tiempo, y al estar siempre conectado puedes estar con ellos varios días sin necesidad de cargador porque ya se están cargando.</t>
  </si>
  <si>
    <t>Lo que esperaba Lo recomiendo me queda genial.</t>
  </si>
  <si>
    <t>Ofertón!! 7 rollos de celo ancho por 3 euros es una ganga difícil de rechazar.  Además son de la marca Scotch, osea, de una calidad constatada.  Excelente compra!</t>
  </si>
  <si>
    <t>De momento me encantan Son muy cómodos (la oreja cabe entera) y fáciles de usar. Se emparejan fácilmente, no pesan a penas y la batería...la batería está por ver, porque de momento no le he metido mucha caña.  El volumen máximo está bien para que no te quedes sordos, aunque a alguno os podrá parecer un poco justos (a mi me sobra).  Se pliegan y lo puedes guardar en una bolsita que traen.  Esto lo escribo en julio de 2018....si lo estás leyendo desde el futuro es que todo ha ido bien y te aconsejo que te los compres ;)</t>
  </si>
  <si>
    <t>Perfecto Biberón perfecto lo tuvimos con el otro bebé y esta marca nos gusta mucho y por eso hemos vuelto a repetir</t>
  </si>
  <si>
    <t>Buena calidad-precio Muy bien de calidad-precio.porque tengo en mi casa mucho auriculares que me han costado más precio,y no se lleva mucha de calidad,la carga dura lo suficiente para lo que yo quiero,para ejercitarse es muy fácil.</t>
  </si>
  <si>
    <t>Tal y como esperaba. El envío rápido y tal y como esperaba. De precio muy bien también.</t>
  </si>
  <si>
    <t>la recomiendo es super comodo y estoy encantada</t>
  </si>
  <si>
    <t>Perfecto Uso una 38 - 40, pedí la talla M. Quedan genial, se adaptan percentamente al cuerpo, comodos, y el color tal cual aparece en la foto</t>
  </si>
  <si>
    <t>Tiene una calidad de sonido impresionante y muchísimas funcionalidades Tiene muchas funciones fantásticas, es de muy buena calidad, todo perfecto, m hija esta como loca cantando. Tiene a estupenda calidad de sonido</t>
  </si>
  <si>
    <t>Perfecta Funciona perfectamente, peso reducido que es lo que yo buscaba. Práctica y manejable para un uso doméstico normal. Estoy encantada con ella la verdad.</t>
  </si>
  <si>
    <t>Regular Calidad bastante justa para el precio que tiene.Es goma que huele muy fuerte los primeros días.Se me ha mojado y se ha tintado la goma de azul.Ha llegado antes de lo previsto.</t>
  </si>
  <si>
    <t>Cumple sus funciones Le he puesto 3 estrellas porque no es la transpirable de nike es una camiseta normalita pero para correr sirve.</t>
  </si>
  <si>
    <t>Bien por el precio Barata pero potente. Se rompió el accesorio de picar pero fue mi culpa, lo forcé demasiado. El vaso no sirve, es muy pequeño par la potencia de la batidora, no lo uses si no quieres pintar el techo</t>
  </si>
  <si>
    <t>Nada duraderos. 4 usos. 4 usos y solo se escuchan de un lado. Dinero tirado a la basura.</t>
  </si>
  <si>
    <t>Vergonzoso Otra porquería para tirar a la basura</t>
  </si>
  <si>
    <t>Decepcionante Para difusor, que es como yo lo uso, no tiene apenas aroma. De los que he probado, sin duda el más flojo</t>
  </si>
  <si>
    <t>Práctico y compacto Le doy 4 estrellas porque el primero que me vino venía con un fallo en la carga y lo tuve que reemplazar.  La segunda unidad sí que va bien, batería de unos 45 min. aprox, no tarda mucho en cargarse, ocupa poco espacio y cumple con su cometido.</t>
  </si>
  <si>
    <t>Me encantan Muy bonitos</t>
  </si>
  <si>
    <t>Fiable y a buen precio Funciona perfectamente, cumple su cometido sin el menor problema y el precio ha sido bueno. Para darle las cinco estrellas solo pediría que hubiesen incluido etiquetas para identificar cada tarjeta de memoria y estuches de plástico para protegerlos y conservarlos, el incluir estuche seguro que subiría algo el precio final pero las pegatinas podían haberlas incluido de serie.</t>
  </si>
  <si>
    <t>Producto perfecto En caja a la perfección! De maravilla.</t>
  </si>
  <si>
    <t>colores variados pero vienen 98 clips en lugar de los 100 de la descripción Son los típicos clips marcapuntos en colores muy surtidos: 12 rosa fuerte, 13 rojos, 12 turquesas, 9 amarillos, 6 rosa claro, 10 morados, 6 celestes, 11 naranjas, 12 verdes y 7 amarillo fosforito. En total son 98 clips que no está mal, pero no son los 100 que pone en las descripción.</t>
  </si>
  <si>
    <t>Con luz incorporada Ideal para apuros de vista…tiene una lupa de 3 aumentos y de pequeño diámetro y con 45. Es ligera, con un mango muy cómodo y agradable. Pero lo que más me ha gustado, ha sido que tenga luz incorporada. Con solo pulsar un botón la lupa se ilumina y ayuda a visualizar todavía mejor cualquier motivo. Una buena compra</t>
  </si>
  <si>
    <t>Recomendado El producto es muy fácil de usar y de limpiar. Es una gozada poder exprimir una naranja entera y, además, la apura muy bien.</t>
  </si>
  <si>
    <t>Rapidez en la entrega REcibido antes de tiempo, muy util para limpiar los railes de las ventanas, calidad y precio genial</t>
  </si>
  <si>
    <t>Muy bueno Muy bueno y muy contento. Parecen mucho mas caro que son y son super confortable</t>
  </si>
  <si>
    <t>Un buen reloj para el dia a dia Se trata de una buena opción para el día a día, polivalente y con una calidad/precio increíble (lo compré por 25 + 10€).  Es tal y como se ve en la foto, aunque para grata sorpresa un poco más grande de lo que imaginaba.  Entre las cosas que más me gustan del reloj destacaría que sea recargable solar, con una buena resistencia al agua (para el precio que tiene), y que las posibilidades de personalización son interesantes (posibilidad de quitar el sonido de los botones, cambiar el idioma o la duración de la luz).  Lo que menos me gusta de estos relojes con esfera de plástico es que tienen una increíble capacidad de atracción para todo tipo de objetos, con lo que acaban golpeándose y rallándose. El tiempo dirá si la esfera es más o menos resistente a ralladuras. En cualquier caso, hay que decir que la esfera está bastante protegida por el borde de plástico, que sobresale cubriendo toda la esfera.</t>
  </si>
  <si>
    <t>Estoy encantado con ellos Tallan bien, son muy cómodos. Los uso casi todos los días para trabajar y estoy encantado.</t>
  </si>
  <si>
    <t>Muy buenos zapatos Transporte rápido ha llegado en el tiempo previsto.  Zapato de muy buena calidad...Muy contenta</t>
  </si>
  <si>
    <t>Bien y rápido Producto correcto y recibido pronto</t>
  </si>
  <si>
    <t>Un buen pendrive Un buen pendrive a un mejor precio. Poco se puede decir de una unidad USB, SanDisk utiliza memorias de muy buena calidad, una marca pionera que lleva mucho tiempo en el mercado debido a su calidad. Esta unidad es relativamente pequeña, pero muy manejable, y funciona perfectamente en puertos USB 2.0 y 3.0, aunque, lógicamente, la capacidad de escritura es notablemente inferior si se conecta a un 2.0.</t>
  </si>
  <si>
    <t>Muy recomendable Me sorprendió la calidad y vino en fecha. Las herramientas que traía para montarlo geniales.</t>
  </si>
  <si>
    <t>Para mi que se pueda abrochar bien. Esta cadena es muy linda. Ahora .la l.levo p'recisamente, y no me ha costado nada de abrochármela.Voy a ver si encuentro un par de similares. Gracias por hacer el ganchito un poco más ancho. Son ustedes unos artistas. Muchas gracias. Floreta7</t>
  </si>
  <si>
    <t>Perfecto Es la segunda vez que compramos el mismo modelo. Relación calidad precio buenisima.</t>
  </si>
  <si>
    <t>Fantástica Fantástica! El agua se calienta rápidamente, se apaga automáticamente cuando alcanza la temperatura adecuada y sólo es necesario tener el cafecito soluble o las infusiones para entrar en calor en un periquete y sin el ruido del microondas.</t>
  </si>
  <si>
    <t>Verbatim Siempre he confiado en esta marca y nunca me ha defraudado. Gran calidad y rapidez en Grabacion. La uso para entregar trabajos a los clientes de bodas, comuniones y actos. Recomendado cien por cien. Además un precio muy bueno</t>
  </si>
  <si>
    <t>Totalmente satisfecho La talla van perfectas, y se ven de buena calidad ah razón de calidad/precio totalmente recomendable</t>
  </si>
  <si>
    <t>Estilo "retro" pero muy versátil y con tecnología "punta" &lt;div id="video-block-R3QTNT21HU7SW0" class="a-section a-spacing-small a-spacing-top-mini video-block"&gt;&lt;/div&gt;&lt;input type="hidden" name="" value="https://images-eu.ssl-images-amazon.com/images/I/B1Dj+JG0wYS.mp4" class="video-url"&gt;&lt;input type="hidden" name="" value="https://images-eu.ssl-images-amazon.com/images/I/A1j1qU8k7AS.png" class="video-slate-img-url"&gt;&amp;nbsp;Un hervidor es imprescindible en mi cocina porque en casa somos aficionados al té y otras infusiones.  Nos sirve, además, para tener agua hirviendo a mano cuando la situación culinaria lo requiere. Por ejemplo, si el arroz o las legumbres que estamos cocinando están a punto de quedarse sin agua, añadir agua hirviendo no interrumpe la cocción. Y en este caso, la rapidez con la que este hervidor hierve el agua lo hace más práctico que tener agua hirviendo en un cazo por si acaso.  Este hervidor tiene un estilo "retro" pero cuenta con tecnología punta puesto que es muy rápido. Y además, el diseño y el color (blanco) queda bien en cualquier cocina.  El hervidor cuenta con un INDICADOR DE TEMPERATURA para que podamos parar la ebullición cuando el indicador llegue a la temperatura adecuada para lo que queramos preparar (por ejemplo, y de manera orientativa se sugieren 80º para un té verde, 90º para el té negro de hoja pequeña, 95º para algunos tipos de pu erh, etc.). Eso sí, como la temperatura la escogemos nosotros manualmente, debemos tener en cuenta la INERCIA TÉRMICA del hervidor. Es decir, apagarlo un poco antes de que llegue a la temperatura deseada. Es cuestión de ensayo y error porque esa inercia térmica depende de la cantidad de agua que hayamos puesto.  Tanto el CUERPO del hervidor como la TAPA son de ACERO INOXIDABLE. El cuerpo del hervidor está esmaltado en color blanco. El ASA es de plástico, forrada con goma, ambos materiales resistentes al calor. Tiene un peso de aproximadamente 950 g. Como su BASE es GIRATORIA y el asa es ergonómica y fácil de agarrar tanto si eres diestr@ como si eres zurd@, el hervidor es muy fácil de manejar.  Como la tapa se quita por completo, tenemos que tener cuidado de que no se caiga al suelo porque se podría abollar.  Tiene CAPACIDAD para 1,7l, pero tiene una "ZONA DE EBULLICIÓN RÁPIDA" con un indicador de color rojo para 1, 2 o 3 tazas.  Aunque en las indicaciones dice que hierve una taza de agua en 55 segundos, en mi experiencia, el tiempo que tarda es de aproximadamente 60-70 segundos. Pero esa variación depende de la temperatura a la que hayamos puesto el agua previamente. Nosotros tenemos una jarra que filtra el agua, y está a "temperatura ambiente".  Gracias a sus 2400 W de potencia, hierve los 1,7 l de agua en aproximadamente 5 minutos y medio.  Además del indicador de 1, 2 y 3 tazas, tiene también un VISOR que nos permite ver el NIVEL DEL AGUA del hervidor, aunque el visor está colocado enfrente del asa y eso, en mi opinión, dificulta un poco ver el nivel del agua. El visor tiene unas indicaciones de la cantidad de agua, que están en litros.  Tiene un práctico FILTRO ANTICAL, que es extraíble y lavable. No obstante, de vez en cuando hay que utilizar un antical para limpiar el interior del hervidor (así se prolonga su vida útil).  El filtro se saca con relativa facilidad, pero cuesta un poco ponerlo de nuevo en su sitio. Hacerlo con soltura requiere un poco de práctica.  Se pone en marcha mediante una palanca que hay en la parte baja del hervidor. Cuando se pone en marcha, se enciende también un LED de color rojo. Si no lo apagamos antes porque ha llegado a la temperatura deseada, el hervidor se apaga automáticamente cuando el agua empieza a hervir y tiene protección contra hervido en seco, por si alguna vez alguien le da sin querer al botón de encendido.  A la hora de verter el agua, lo hace bien, sin derramar ni una sola gota. Y la tapa se mantiene bien cerrada aunque pongamos el hervidor cabeza abajo.  El cable se puede recoger bajo su base, lo cual es muy práctico a la hora de guardarlo. Lo único que hay que tener en cuenta es que sólo mide 60 cm. A mí me parece un poquito corto para poderlo recoger bien en el recogecables, pero bueno, eso es un problema para mí.  Es importante tener en cuenta que éste es un hervidor sólo para agua. No se pueden calentar en él otros líquidos porque lo estropearían.  No tiene una función para mantener el agua caliente, una vez ha hervido, el agua se va enfriando poco a poco.  Como es de esperar, al ser de acero inoxidable, la parte externa del hervidor se calienta bastante así que cuando el agua ha hervido hay que ir con cuidado y cogerlo del asa para no quemarnos.  &amp;gt;&amp;gt;&amp;gt; CONCLUSIÓN &amp;gt;&amp;gt;&amp;gt;  Este es un hervidor con un diseño retro muy elegante y un práctico recogecables en su base.  Hierve el agua más rápido que otros hervidores con la misma capacidad y tiene dos ventajas respecto a otros hervidores similares: Puedes calentar agua para sólo una, dos o tres tazas y puedes seleccionar la temperatura a la que quieres el agua, lo que hace este hervidor muy versátil.  La relación calidad/precio está muy bien teniendo en cuenta que además de la calidad, pagas el diseño.</t>
  </si>
  <si>
    <t>Pedazo de reloj. Muy guapo el reloj viene un poco grande pero nada se le quita un par de eslabones y hasta. Lo recomiendo.</t>
  </si>
  <si>
    <t>..... Me gusta que calienta y mantiene la temperatura, no me gusta que cada vez que  separas la jara de la base no queda memorizado y tienes que volver a programar</t>
  </si>
  <si>
    <t>No es tan rápido como dice en los detalles No tiene las velocidades que dice en la descripción si no que tiene mucho menos. que aún así está bien pero que no engañen.  adjunto imagen con las velocidades aunque es una aproximación porque no siempre da la misma velocidad (lo he hecho sin estar haciendo ninguna otra actividad el ordenador)</t>
  </si>
  <si>
    <t>Regalo Talla un poco grande, pedí la talla 38 para alguien que utiliza esa talla le quedo un poco grande.</t>
  </si>
  <si>
    <t>USB 3.1 y de metal, pero la escritura un poco lenta... ☆☆☆☆☆ USB 3.1 ☆☆☆☆☆ De metal ☆☆☆☆ 300MB/s de lectura ☆ Sólo 50MB/s de escritura (muy listos los de SAMSUNG de no ponerlo en las especificicaciones)</t>
  </si>
  <si>
    <t>De este artículo, lo estafada que me siento Ni se nota el aroma, ni nada.</t>
  </si>
  <si>
    <t>Mal sonido Suena a lata, no tiene buena calidad ni gaves</t>
  </si>
  <si>
    <t>Para protegerte del frío, la nieve, el viento y el agua. Perfectas para correr por montaña con nieve y agua. La suela te da estabilidad en zonas con nieve o barro. Cálidas y confortables.</t>
  </si>
  <si>
    <t>Uso diario Me parece perfecto, un buen precio y calidad aceptable, lo utilizó a diario.</t>
  </si>
  <si>
    <t>Buenos Los auriculares cumplen con su proposito, suenan bien. comodos al oido, por el precio estan bien. compre dos y no me arrepiento</t>
  </si>
  <si>
    <t>Contenta Esta bien para lo que es, para hacer batidos, muele las semillas, frutos secos, triturar hortalizas y pica carne cruda no queda como  la que te pican en carnecerias pero esta bien, para  hacer amburgesas yo he picado cerdo y ternera a trozos no muy grandes y haciendolo poco a poco para que no se caliente mucho la maquina</t>
  </si>
  <si>
    <t>Buena Buena calidad y utilidad</t>
  </si>
  <si>
    <t>Calidad-precio La mejor marca a un precio increíble. Lo uso en cada lavado, sabiendo que mi lavadora lo agradecerá. a partir de aquí utilizo el detergente como si fuera para agua blanda.</t>
  </si>
  <si>
    <t>Genial Como en la foto... Calidad precio genial!! Fácil, rápida y sencilla..muy buenos resultados con cada uno de sus utensilios.</t>
  </si>
  <si>
    <t>Muy elegante Me lo compre para ocasiones especiales donde voy más elegante, me gusto mucho por la correa de acero en color negra y el reloj en dorado lo vi muy elegante, la correa es bastante fuerte, y queda precioso, viene en una cajita con su garantía, paño de limpieza, y destornillador para correa, muy completo e ideal para regalar, volveré a comprar otros modelos</t>
  </si>
  <si>
    <t>Recomendable Buena calidad de fabricación. Buen rendimiento. Buena presentación. No se puede pedir más por ese precio.  No sé la calidad a largo plazo pero hoy por hoy lo recomendaría sin dudarlo.</t>
  </si>
  <si>
    <t>Elegante. Buen producto. Muy silencioso. Funciona perfecto. Si buscas un difusor de aromas, este funciona perfecto.  Me gusta que se integra muy bien con los muebles de mi salón.</t>
  </si>
  <si>
    <t>Muy cómodos Todo correcto</t>
  </si>
  <si>
    <t>Nada que envidiar a marcas más conocidas Auriculares bluetooth que destacan por su buen sonido, la facilidad de su uso, y un precio bastante razonable para este tipo de auriculares. La presentación es inmejorable, en su cajita blanca con el estuche donde se cargarán los dos auriculares, un cable para cargar dicha caja, unas fundas de silicona para ponerle a los auriculares si así se desea (se pueden usar con la fundita o sin ella, lo que más cómodo resulte, para así evitar que se caigan). Se emparejan de forma muy sencilla. Otros auriculares similares son mucho más complicados de emparejar en su forma estéreo, pero estos no dan esos problemas, y el sonido es bastante bueno. Trae también un manual con su versión en español, que quizás es lo peor que trae, pues la traducción es mejorable, pero el uso de los auriculares tampoco es complicado. También los he probado para hablar por teléfono y tanto la recepción como la emisión es fantástica. Los recomiendo totalmente.</t>
  </si>
  <si>
    <t>CHARLY Yo tengo unas del 2006 y siguen dando Guerra no cambio de zapatillas. Y si quiere usarlas en Invierno con unos calcetines Genial👍🏼 Recomendadas 100%</t>
  </si>
  <si>
    <t>Muy buena calidad de sonido Desde el momento en que los probé los amé y no he dejado de usarlos. Después de uno-dos meses de uso constante y continuado, siguen como el primer día, y no puedo concluir más que son los mejores auriculares que he tenido nunca.  Vienen bastante protegidos, primeramente con una bolsa para que no se dañe el estuche y luego el mismo estuche que los protege. A parte de los propios auriculares vienen varios accesorios para anclar la zona del micro al cuello y para poder llevar el estuche sujeto a cualquier parte con su enganche (se puede ver en la foto, no sé cómo se llama ese sujetor).  Como he dicho, nada más probarlos me encantaron por la calidad de sonido que tienen unos "simples" auriculares, pues su calidad es incluso mayor que muchos cascos de diadema que he probado. Son perfectos para escuchar música y disfrutar de los sonidos, pues se pueden escuchar muy bien los tonos que en los típicos auriculares de los bazares se escuchan completamente planos.  El material de los cascos es muy agradable, es un plástico muy suave, y aún así no es un material al que se le adhiera polvo y suciedad. Me encanta que venga con un protector de clavija, aunque es fácil perderlo si no recuerdas dónde lo dejaste, como me pasa a mí, pues es pequeñito y transparente. El plástico de los auriculares en sí se nota que no es de mala calidad; es bastante agradable en la oreja y no hace ningún daño. Para mí son perfectos. Y luego está la parte del micro, que aunque es algo que no uso en exceso, siempre está bien tenerlo por si grabo cualquier cosa en el ordenador o alguna llamada telefónica. Tiene también control de volumen que ayuda bastante si no tienes demasiado a mano el aparato que uses.  También cabe destacar que entre el final del jack y donde comienza el cable visiblemente, tiene una especie de sujetor transparente para proteger el cable, cosa que es de mucha ayuda para los que suelen romper los cascos por ahí.  Lo dicho: me encantan y los adoro, los uso constantemente y ojalá me duren mucho porque ha sido una gran compra.</t>
  </si>
  <si>
    <t>Cintas dymo Me hacian falta cartuchos de dymo y vi que estaban a buen precio yaproveché para pedirlas, ahora he comprobado que aunque son compatibles son buenas</t>
  </si>
  <si>
    <t>Tranquilidad con el producto Es muy rápido y compatible con mis coches( todos los que he tenido no eran compatibles)</t>
  </si>
  <si>
    <t>Genial Diseño muy bonito con efecto espejo con la calidad habitual de Casio</t>
  </si>
  <si>
    <t>Muy buenas Pocas Botas serán como estas, yo las he comprado porque se que duran muchísimos años usándolas a bastante. Las recomiendo.</t>
  </si>
  <si>
    <t>Lycra de buena calidad . La talla M es bastante completa . Como la talla 38/40 aproximadamente . Los colores son preciosos, como en La foto . Me parece muy buena compra . Lycra de buena calidad .</t>
  </si>
  <si>
    <t>Cómodas y elegantes Zapatillas muy cómodas No pesan El diseño me ha gustado. Al ser todas negras quedan muy elegantes</t>
  </si>
  <si>
    <t>ESTUPENDOS!!!! Nos han sorprendido muy gratamente, buena calidad de sonido y muy cómodos. Una compra de la que estoy muy satisfecha</t>
  </si>
  <si>
    <t>Su utilidad, y calidad de sonidos, más su buen precio. Primero q nada destacar la buena logística de Amazon, entrega rápida y con alternativas si no estás en casa. En cuanto al artículo me gustó pq no es voluminoso y tiene forma de disco. Empecé a poner en funcionamiento las opciones q tiene. Puse el escaneo de emisora FM y en cuestión de dos minutos me memorizo 46 emisoras. El tema de los sonidos para despertarse un total de 7 más la radio, muy buenos, sonidos relajantes y con un sonido de calidad para el tamaño del altavoz. 2 tipos de piano, murmullo del Mar, de un riachuelo, pájaros,etc. Tiene dos alarmas para ponerlas una de lunes a viernes y otra para finde. La luz se puede programar para alcanzar la intensidad q quieras de forma q si quieres una intensidad intermedia, de ahí no pasa encendiendo gradualmente hasta alcanzar la luz q tu has prefijado. El nivel sonoro de los sonidos tb se pude ajustar, para los q tenemos un oído fino, de forma q no moleste a quien tengas al lado, aparte de q los 7 sonidos son todos muy agradables y vuelvo a repetir q su calidad es muy buena para el tamaño de altavoz. Más cosas... Ah, el modo sueño, tiene tiempos ajustables para q la luz o la música vaya decreciendo hasta desaparecer, pudiendo producir un efecto de relax q ayuda a dormirse. El color de la luz progresa de rojo a blanco y viceversa, podido elegir un color prefijado.No sé si me dejo algo. Pero tiene merecidas la 5 estrellas, por su calidad, funcionalidad, fácil manejo, y sobre todo si buen precio. Es una muy buena opción para regalar a otros, por su buena utilidad.</t>
  </si>
  <si>
    <t>BUENO Buen producto</t>
  </si>
  <si>
    <t>poco velocidad lo e tenido conectado a un puerto usb 2.0 y la maxima velocidad que alcanza no es mas que de 20 a 30 mg por segundo pero es que lo e tenido conectado a un usb 3.0 y por las misma lo creia mas rapido no se lo veo muy lento creo, quiero llevarlo a que me lo mire un tecnico a ver si es original o no por que veo muy poca velocidad no se ya comentare</t>
  </si>
  <si>
    <t>Regular Diámetro bien pero llegó chafado</t>
  </si>
  <si>
    <t>En dos meses la suela despegada! Después de dos meses de uso se ha despegado la suela empezando por la puntera... Las botas en sí son bonitas y cómodas pero los acabados son de mala calidad</t>
  </si>
  <si>
    <t>Sin la caja original Las zapatillas en sí no están mal pero al venir en una caja blanca y sin un distintivo que garanticen que el producto sea original. Lo único que a priori garantiza que sean originales es el precio (similar o idéntico al ofrecido en otras tiendas de deporte que si te garantizan que sean originales).</t>
  </si>
  <si>
    <t>Muy bien Buena calidad a un precio reducido.</t>
  </si>
  <si>
    <t>Calidad perfecta pero sale demasiado La calidad es muy buena, lo he probado pero cuando echo ocps cereales y al ser demasiado líquido, La Niña se atraganta puesto que sale demasiado</t>
  </si>
  <si>
    <t>Contenta Adecuado para lo que queria</t>
  </si>
  <si>
    <t>Reloj de batalla Reloj casio tal y como se describe el artículo, tampoco se le puede exigir mucho debido a su precio, es lo que esperaba, recomendable.</t>
  </si>
  <si>
    <t>Me gustan Cómodas, qbque habrá que probarla más, buena apariencia y bonitas,  igual que en la foto</t>
  </si>
  <si>
    <t>José Luis Rodríguez Es más bonito al natural que lo se aprecia en las imágenes. Cómodo y muy ligero. El zafiro del cristal se limpia muy bien.</t>
  </si>
  <si>
    <t>Perfecto Cumple perfectamente su función a un muy buen precio, parece tener buena construcción y seguro que cumplirá con su función. Lo recomiendo.</t>
  </si>
  <si>
    <t>Calienta rapido La verdad es que cansado de calentar o hervir agua en el microondas, este hervidor es una maravilla. Calienta super rápido, no hace nada de ruido y su iluminación lo hace muy coqueto</t>
  </si>
  <si>
    <t>sencillez y durabilidad El reloj es muy ligero , cómodo y discreto. No es muy grande, pero es suficiente. No he tenido ningún problema con él. La configuración de las horas y el manejo de la parte digital es muy sencilla de utilizar.</t>
  </si>
  <si>
    <t>Recomendables 100% Lo recomiendo totalmente. Quedan mejor de lo que esperaba 👌</t>
  </si>
  <si>
    <t>bonito calentador agua calentador agua que cumple su función perfectamente, lo elegí por su aspecto exterior, perfecto , la única pega es que al levantar la tapa esta el tubo calentador que te impide limpiarlo bien por dentro, pero era algo que ya sabía porque lo había leído en otro comentario.</t>
  </si>
  <si>
    <t>Lo que buscas a muy buen precio Justamente lo que estaba buscando, un humidificador (que no lo buscaba por eso) y un dispersor de esencia muy bueno, eso sí era lo que quería.Genial donde lo tengo hubicado, unos 20 m² ,aún no sé cómo aromatiza al nivel 2, con el primer nivel es suficiente, la verdad muy contento y el acabado es muy bonito no parece plástico.Respecto a la iluminación me es indiferente aveces o casi siempre ni la enciendo ,pero queda bien a quien le guste es muy fina y no es cargante, la verdad es que me ha sorprendido muy positivamente yo lo recomiendo por la experiencia que tengo con el hasta el momento que será más o menos de un mes...</t>
  </si>
  <si>
    <t>Alucinado me hayo Me había pedido mi madre unas esponjas pensando yo que hablaba de otra cosa xD y me ha dicho que era como un borrador: Pues efectivamente borran y quitan las manchas de cualquier cosa como grasa de paredes, manchas de zapatos y muy fácil. Lo que más me a gustado que solo con agua un cubito las escurres y ya. No se de que estará hecha pero funcionar, funciona. Gracias</t>
  </si>
  <si>
    <t>Todo ok M quedan como esperaba, ya q el 37 m apretaba y 38 me sobraba un pelin</t>
  </si>
  <si>
    <t>Super cómodas Estas zapatillas son super cómodas y bonitas ,ya las tuve, estás son el segundo par,las compré por su buen precio y por su rapidez en la llegada</t>
  </si>
  <si>
    <t>Preciosas Si te gusta el modelo, adelante. Son cómodas, y al estar tan de moda son perfectas para sacar del bolso a la salida del trabajo y caminar hasta tu casa. La calidad es Adidas, claro.</t>
  </si>
  <si>
    <t>Bonitos Muy bonitos y sientan muy bien</t>
  </si>
  <si>
    <t>Todo perfecto Todo perfecto tanto la entrega como el artículo</t>
  </si>
  <si>
    <t>Perfectos Uso estos DVD de Verbatin desde hace años. No me han dado nunca problemas. La oferta en Amazon creo que es muy buena y la recomiendo sin duda. La seguiré comprando, salvo que la disparen en el precio...</t>
  </si>
  <si>
    <t>Auriculares perfectos para gimnasio Estoy súper contento con estos auriculares. Son los segundos similares que compro y la verdad es que funcionan de maravilla. La orejera hace que se me mantengan en sus sitio mientras que hago ejercicio en el gimnasio y la calidad del sonido es muy aceptable. Que traiga almohadillas de recambio y de varios tamaños es un plus por si quiere usarlos mi mujer. La batería dura más de cinco días porque desde que los recibí no he tenido que volver a cargarlos y los he usado cada día.  Mucha calidad de llamada. Se escuchan perfectamente y a mi también me escuchan muy bien. Puedo colgar desde los auriculares y tb descolgar. También puedo pasar hacia otra pista de reproducción, tanto hacia delante como hacia atrás, y subir y bajar el volumen.  En definitiva otra fantástica compra.</t>
  </si>
  <si>
    <t>Muy bonita La tetera es preciosa, el silbato funciona perfectamente y suena muy alto, la calidad es muy buena. Estoy contenta con la compra.</t>
  </si>
  <si>
    <t>Buena calidad Muy buena calidad y calzado cómodo para el pie</t>
  </si>
  <si>
    <t>Perfecto Es lo que buscaba</t>
  </si>
  <si>
    <t>Me encanta Todo perfecto, el tamaño, la terminación, también el largo con la posibilidad de regularlo en altura. Me encanta el toque de las 4 estrellas lo diferencia, no me lo quito para nada</t>
  </si>
  <si>
    <t>Producto defectuoso tras 5 dias El cual, ha funcionado bien, durante 5 días. Hasta que lo he tenido que cargar la batería.  He utilizando el cable original y otros no originales. Basicamente no carga, dejando toda la noche. Por lo que estoy seguro, que el producto es defectuoso. Ademas, las teclas no se sienten de calidad, ya que debido al uso que le he dado, la pintura  esta despareciendo Me gustaría que me devolvieran el dinero, al metodo de pago original.</t>
  </si>
  <si>
    <t>sorprendente me resulta muy pequeño</t>
  </si>
  <si>
    <t>Calidez y comodidad de pisada. Dan calidez y son cómodas. Si son un poco justas de talla, con los pies calientes, se sale el forro al sacar los pies.</t>
  </si>
  <si>
    <t>Un poco desilucionada Pedí dos con dos meses de diferencia, el primero bien y antes de tiempo, pero el segundo llegó roto y sin cierre, aunque no tuve problemas con la devolución del segundo</t>
  </si>
  <si>
    <t>No vale la pena Es mejor gastarse un poco más. Es de muy mala calidad, tienes que controlar mucho para que no te salpique. Entiendo que es una forma de vender más batidoras pero es una vergüenza de producto.</t>
  </si>
  <si>
    <t>Excelente Muy bueno</t>
  </si>
  <si>
    <t>Los mejores en su formato... Estos discos WD red están preparados para NAS, hacen temblar un poco a la NAS haciendo que vibre la misma , pero en rendimiento no los gana nadie ni en durabilidad, tengo otra NAS con 4 años y estos discos y no han dado ni un problema...el envió como siempre de 10, Amazon siempre cumpliendo lo que prometen...por eso 5 estrellas...tanto al producto como al servicio.</t>
  </si>
  <si>
    <t>Buen precio, se nota la calidad Cuando saqué la primera pegatina noté enseguida que la impresión no era igual, hice alguna más por si era cosa de la primera pero no, es el papel, es como si tuviese menos calidad de color negro a la hora de imprimir, pero por la relación con el precio, me parece que está muy bien, si no lo necesitas para cosas así oficiales que tenga que ir todo muy perfecto están bien de sobra.</t>
  </si>
  <si>
    <t>turbantes de colores cruzados Muy fiel a la imagen del producto y los colores muy fieles tambien.me  han gustado todos. Gracias,un saludo. M n</t>
  </si>
  <si>
    <t>El reloj funcion optima sin problemas a: buena presentacion y calidad adecuada a la compra b: viene la cadena sin la pinza de enganche al reloj (descuido o mala aportacion)</t>
  </si>
  <si>
    <t>Mas distancia en metros de cobertura  del Bluetooth Me a gustado  muncho lo que  he notado que  no funciona  bien  cuando está  muy  retirado de la zona  del receptor de Bluetooth  tiene  poca distancia  de metros</t>
  </si>
  <si>
    <t>Cómodas Me encantan esas chanclas me encanta la marca y me quedan perfectamente. Son  cómodas como esperaba yo uso la talla 43 he pedido 42 43 y me quedan perfectas.</t>
  </si>
  <si>
    <t>Buena relación calidad-precio Ajusta perfectamente y sienta genial. Lo cojį para mi hija y está encantada</t>
  </si>
  <si>
    <t>Lo volvería  a comprar Encantada con la compra. Soy portadora y tengo una lesión en el tobillo. Gracias a estas zapatillas he podido volver a retomar mi afición de correr con más seguridad. Gran sensación de amortiguación.  Una compra recomendable</t>
  </si>
  <si>
    <t>Perfecto Estos imanes son imprescindibles para el scrapbooking. Tienen mucha fuerza y un tamaño muy reducido, que no interfiere en el trabajo.</t>
  </si>
  <si>
    <t>Biberones fantasticos Estoy encantada con los biberones. Se autoestiriliAn en el.microondas siempre y cuando sean microondas nuevos, pues hay algunos que no entran de altos.</t>
  </si>
  <si>
    <t>Potente La vibracion es bastante intensa, el control remoto fácil de usar y es muy placentero. Esta echo de una silicona muy suave tanto el vibrador como el extremo para extraerlo, lo que hace que sea además muy fácil de limpiar. Eso si, quien lo quiera para jugar en lugares públicos debe saber que incluso insertado algo se oye, asi que no seria muy recomedable en lugares muy silenciosos. Eso sí, los 10 modos de vibración y la potencia que tiene para mi compensan ese pequelo handicap.</t>
  </si>
  <si>
    <t>Fácil uso Estupendo tamaño de viaje</t>
  </si>
  <si>
    <t>Mpow Auricular Bluetooth todo bien comprado con amazon prime tardo meno de 24 horas en recibirlo increible todo bien ecepto en cuanto el alcance pone 10 metro se entrecorte a solo 3 metros por lo demas perfecto.</t>
  </si>
  <si>
    <t>Buena calidad de sonido Llevo con con los auriculares mas de 9 meses y aun funcionan como el primer dia, son de muy buena calidad, les doy uso diario y no me han dado problemas de que uno de los auriculares haya dejado de funcionar o que el cable se rompa por el uso, el cable tiene un recubrimiento como de goma, que los hace mas resistente, las almohadillas son muy comodas haciendo que se puedan llevar mucho tiempo puesto sin molestias. Si quieres unos auriculares que no sean caros, de calidad y que te duren hasta aburrirte... no te lo pienses mas ! totalmente recomendados</t>
  </si>
  <si>
    <t>Muy bien Las carpetas son perfectas para archivar documentos. En mi opinión tiene calidad y los colores son muy llamativos. Me gusta mucho.</t>
  </si>
  <si>
    <t>muy prácticos Cómodos de usar, el sonido es bueno, la caja donde se meten sirve de batería para ir cargando los auriculares y como batería externa para cargar el móvil. Con diferentes toques en cada uno de los auriculares see puede ir a la canción siguiente, volver a la anterior, subir y bajar el volumen, pausar... Muy buenos.</t>
  </si>
  <si>
    <t>Suavidad Me ha gustado lo cómodo que es para cortar, lo suave para su uso</t>
  </si>
  <si>
    <t>Cómodos Están hechos de buen material, son gruesos y elásticos para que te puedas mover sin problema. Pedí la talla S que es la que suelo usar y me queda perfecta. Muy contenta con el pedido</t>
  </si>
  <si>
    <t>Cumple su función en plexiglas Es un producto que cumple su función 100%, me quitó todos los rayones pero ojo solo en cristales de plexiglas como el de los relojes casio, swacht etc. La única pega es que es pequeñito pero con suficiente producto para varios relojes.</t>
  </si>
  <si>
    <t>10/10 Calidad precio brutal, me encanta, esta todo muy bien echo y con materiales que parecen muy duraderos.</t>
  </si>
  <si>
    <t>Muy chulo El relos esta muy chulo,te mode paso km u se conecta rapido al movil . El diseño es mas deportivo es bastante grande, queda bien para una muñeca grande.</t>
  </si>
  <si>
    <t>Geniales Geniales.  Muy bonito diseño y comodas</t>
  </si>
  <si>
    <t>Decepcion Compre estos auriculares en base a los buenos comentarios que tenian. Llevo tiempo intentando buscar unos buenos auriculares para escuchar musica pero no hay forma, he comprado ya varios con las mejores criticas (incluido este) y ninguno da la talla. Busco unos auriculares donde los graves, de una vez por todas suenen en condiciones, no como si estuvieran dentro de una lata vacia. Busco un sustituto para unos auriculares Samsung de mi viejo Samsung Galaxy que todavia funcionan y no he encontrado nada que se pueda comparar con éstos. Esos auriculares suenan de maravilla y ya te pùedes gastas 80 € que ninguno le llega a la punta del zapato.</t>
  </si>
  <si>
    <t>No fijarse en el tallaje europeo! Primero de todo fallo mío por no fijarme bien. Tengo bastantes zapatillas para correr y todas 42,5 o 43, que corresponden a 9,5 usa o 27,5 japon. Pues bien en merrell no me fijé que tienen una correspondencia que nunca habia visto. Y mi talla equivale a la 43,5 eur. Por lo tanto, no os fijeis en el tallaje europeo! Por lo demas no puedo opinar hasta tener mi talla</t>
  </si>
  <si>
    <t>Terrible sonido, artefactos al andar Los auriculares son cómodos, la batería dura mucho y la cancelación de ruido es muy eficaz. Todo eso es cierto, y serían los puntos fuertes de estos auriculares si los usásemos exclusivamente mientras estamos quietos en un avión. El problema viene cuando te los pones para andar por la calle, o si vas en autobús y el vehículo coge un bache. Con el movimiento de la cabeza, o las vibraciones, o vaya usted a saber qué, la cancelación de ruido produce artefactos sonoros bastante desagradables. Con la ecualización plana lo único que hacen es entregar graves (y no graves nítidos: graves sucios y marrulleros), y hay que poner la parte derecha del ecualizador prácticamente a tope para conseguir algo medianamente decente. Está claro que a unos auriculares BT no se les puede pedir calidad HiFi, pero viene ya de serie tuneados para entregar (malos) graves. En definitiva: si eres un amante de los graves y no eres mucho de andar con los cascos por la calle, adelante. Para el resto de personas no los recomiendo para nada.</t>
  </si>
  <si>
    <t>Muy mal Fatal, ha tardado 1 mes en llegar y no funciona</t>
  </si>
  <si>
    <t>la velocidad de transferencia de datos es bastante grande Está muy bien, aunque todavía no lo he probado, la velocidad de transferencia de datos es bastante grande.</t>
  </si>
  <si>
    <t>Calidad precio muy bueno. Si te gusta tener bastantes relojes de bolsillo y no gastarte mucha pasta en ellos estos relojes son los tuyos. Quitando el cristal que es plástico el reloj está muy bien. Yo encantado con el estoy.</t>
  </si>
  <si>
    <t>Muy bonitos. Son muy bonitos, al natural ganan mucho, calidad precio muy bien, voy a pedir un número menos, llegaron antes. Uso el 38 y me estaban grandes de largo y de ancho.</t>
  </si>
  <si>
    <t>Igual que en la foto Muy Bonita</t>
  </si>
  <si>
    <t>Muy elegante. Un reloj sencillo y muy vistoso, es MUY elegante ya que no tiene florituras PERO al ser todo negro y con los detalles rojos en las agujas, le dan un toque MUY chulo y vestible.  De momento no puedo decir si se adelanta o se atrasa, lo he puesto en hora y le voy a dar unos días, si no actualizo es que está perfecto :D  La presentación, para ser un reloj de 21€ es excelente, en su buena caja resistente, bien protegido, con su esponja superficial en el interior y una toallita para limpiar la esfera...  La relación calidad precio es excelente, no se puede pedir más (tal ve el número de día pero si eliges este modelo es que NO lo necesitas ;)  )  *Actualizo a día 5 de Septiembre de 2019: El reloj NO se ha retrasado ni adelantado ni un poquito, por lo que puede decirse que va perfecto ;)</t>
  </si>
  <si>
    <t>Funcionan bien Cumple su función muy bien y se ajustan al oido perfectamente gracias a sus armoadillas.</t>
  </si>
  <si>
    <t>Me encanta Me encanta, lo he comprado para mi hijo de dos años y le encanta. Nada más recargarlo lo ha cogido y se ha puesto a hablar con él y a cantar. Súper gracioso. Lo recomiendo para pasar ratos divertidos con los más pequeños.</t>
  </si>
  <si>
    <t>Recomendable Muy buen producto. Pequeño, duro y con contraseña. Lo volvería a comprar. Queda evaluarlo a largo plazo pues llevo poco con el.</t>
  </si>
  <si>
    <t>Perfectos Son los mejores. No me han dado ningún fallo y después de años de uso no dan problemas, como los Maxell que, con el tiempo, pierden la información</t>
  </si>
  <si>
    <t>De buena calidad Me encantaron</t>
  </si>
  <si>
    <t>Muy cómodas y ligeras Volví a comprar unas Vans tras muchos años sin usar unas y no me han defraudado. Son muy cómodas y ligeras para el tipo de zapatilla que son. Son un poco grande  de talla y por eso he tenido que pedir medio número menos pero con el servicio postventa de Amazon eso no es problema.</t>
  </si>
  <si>
    <t>Básico y útil El producto</t>
  </si>
  <si>
    <t>Su calidad Excelente</t>
  </si>
  <si>
    <t>Buen compás Lo compré para mi hijo y muy contento, para el precio que tiene es un buen compás. Como siempre una marca muy recomendable.</t>
  </si>
  <si>
    <t>Excelente Buen tamaño y calidad excelente producto</t>
  </si>
  <si>
    <t>Ecónomica y resultona Batidora de buena calidad y excelente acabado, con jarra de vidrio y carcasa de acero cepillado. Es ideal para picar hielo, hacer batidos, gazpachos, smoothies o simplemente para triturar purés. Alcanza los 1000W y dispone de control electrónico de velocidad indicado en la propia ruleta con luces led. Tiene una capacidad de vaso de hasta 1,5 litros.  Dispone de un mando con el que podemos regular la velocidad de las cuchillas y de 3 botones en su parte inferior con acciones programadas (pulse / pulsos, crush ice / picar hielo, smoothies / batidos-salsas-cócteles). Las cuchillas tienen un afilado y un acero de muy buena calidad y disponen de un diseño especial que consigue que la mezcla de sea muy homogénea y el picado muy fino.  Resulta muy fácil de limpiar, ya que podemos hacerlo simplemente con agua y unas gotas de jabón y aclarado, desmontando las cuchillas para una limpieza más profunda o metiendo las piezas en el lavavajillas (todo menos la base donde va con el motor).</t>
  </si>
  <si>
    <t>Gran disco duro en todos los aspectos. ¡Grande en tamaño, grande en capacidad y gran velocidad!  Con una velocidad que ronda los 200MB/s y 6TB se ha convertido en el disco perfecto para copias de seguridad y almacenamiento de películas.  Necesita alimentación constante conectado al enchufe además de la conexión USB al ordenador. Funciona a la perfección con MacOS.</t>
  </si>
  <si>
    <t>fantasticas las tallas vienen algo pequeñas y tuve que realizar cambios pero en general cumple de sobra mis expectativas. Merece la pena</t>
  </si>
  <si>
    <t>Cómoda para usar en cualquier sitio Licuadora muy manejable y portátil, ya que se carga con usb de los móviles y no necesitas tenerla enchufada para usarla. Para los días calurosos, nada sienta mejor que un bebida fresquita, combinando cualquier fruta con hielo picado.</t>
  </si>
  <si>
    <t>COMODAS Ok</t>
  </si>
  <si>
    <t>Buena compra Producto de calidad y cumplió las expectativas generadas</t>
  </si>
  <si>
    <t>Elegante Regale este smartwatch  a mi maddre, y esta encantada con el ya que tienen una gran variedad de funciones, y gran autonomia.  Además el diseño es muy elegante, y lo puede llevar con lso vestidos.</t>
  </si>
  <si>
    <t>Reloj Precioso Reloj muy grande y aparentón. Casio es sinónimo de calidad y este modelo es bastante elegante. En general recomiendo este producto.</t>
  </si>
  <si>
    <t>Material de dudosa calidad Me gusta mucho el diseño, la capacidad y versatilidad. Pero no me gusta el material, más allá de no ser piel (primera decepción, porque me había parecido leer que sí) es un material demasiado fino que me temo que no durará mucho. Creo que la relación precio-calidad es mala</t>
  </si>
  <si>
    <t>1€ por 1 minuto. Lo compre hace 17 meses y lo utilicé 4 o 5 minutos, pues me regalaron unos de mejor calidad. Ahora he querido utilizarlos pero al minuto de ponerlos a cargar se apaga la luz azul, los pongo a funcionar y a los 3 minutos aproximadamente me da el mensaje de batería baja y después de repetirlo unas cuantas veces en un periodo de 2 minutos se apaga. Vuelvo a cargarlo y ocurre lo mismo. No está  mal, me ha salido a euro por minuto de uso. Espero solución por parte del vendedor. EDITADO: Amazon me admite la devolución y reembolso a pesar del tiempo transcurrido por eso cambió mi calificación de 1 a 3 estrellas pues aunque el servicio sea de 5, el artículo me ha decepcionado.</t>
  </si>
  <si>
    <t>Buena opción si no eres muy exigente Los he usado en un difusor y hay unos aromas que se notan más y otros menos. La caja en la que vienen está bien para guardarlos pero me esperaba más. Supongo que también está relacionado con el precio que tienen. Cumplen su función pero echando bastante cantidad de algunos aromas.</t>
  </si>
  <si>
    <t>Pequeño y horrible Para trapo no se parece nada al de la foto y lo oongo en un brazo fatal</t>
  </si>
  <si>
    <t>Lo tengo de exposición Mi niña no lo cogía , cuesta mucho succionar por lo menos a ella.</t>
  </si>
  <si>
    <t>Buena relación calidad precio Buen pantalón, ya tenía uno igual y decidí comprar otro por el buen resultado que me había dado. Mucho mejor precio en Amazon que en la web de Izas</t>
  </si>
  <si>
    <t>Es lo que esperaba Buescaba un regalo original y este lo es. Cumple perfectamete su función y tiene un diseño en forma de garra de oso muy original.</t>
  </si>
  <si>
    <t>Calidad, algo pequeñas. La tabla de medidas que proporciona el distribuidor cumple a la perfección, pero debido al modelo a mi me resultan un poco molestas, por ello seguramente las cambie por media talla más en cuanto tenga opción. En cuanto a calidad y acabado impecables.</t>
  </si>
  <si>
    <t>Relaja Es lo que promete. Resulta un poco difícil seguir el ritmo de la luz. Lo suficiente. O dejas de pensar o no se puede seguir. El problema es que a veces gana el cansancio de la vista y dejas de mirar cuando todavía estás pensando. En cualquier caso, ayuda.</t>
  </si>
  <si>
    <t>Bonito y buena relación calidad precio Cable de calidad, buenos acabados y la caja viene con púas. No sé porque entendí que solo era la caja lo que venía de regalo. Solo espero que me dure más de un año que es lo que me suelen durar.</t>
  </si>
  <si>
    <t>Buena calidad, tal y como esperaba y como está especificado en la descripción del producto Buena calidad, tal y como esperaba y como está especificado en la descripción del producto. Llegó en la fecha indicada y en perfectas condiciones.</t>
  </si>
  <si>
    <t>Simplemente perfectos Ya tenia unos auriculares similares y he vuelto q comprarme unos porque, como dije, no puedo estar mas encantado con los primeros. La conexion al dispositivo movil es inmejorable, ya que lo hacen rapidisimo y de forma automatica una vez que se emparejan por primera vez. Además, puedes conectar ambos auriculares a la vez, solo uno, o los dos pero a dispositivos distintos. Ofrece, como se puede apreciar, numerosas variantes que hacen que sean lideres en el mercado por su relacion calidad-precio. Cuentan tambien con microfono ambos auriculares que permiten hacer llamadas de gran calidad y, lo que para mi es lo mas importante, es que tienen su propia funda/caja de carga que permite cargar la bateria hasta 4 veces sin necesitar enchufarlos a una pared. En definitiva, no sera la ultima vez que me compre este producto ya que sigo impresionado con todas las funciones que ofrece y su gran funcionamiento</t>
  </si>
  <si>
    <t>Bien Es muy bonita, trae una goma para cerrarla y 4 anillas.</t>
  </si>
  <si>
    <t>Ligereza y comodidad Estos pendientes, además de ser muy bonitos, tienen el tamaño perfecto para que animen el rostro, y son tan ligeros que te olvidas de que los llevas puestos, Una compra realmente buena.</t>
  </si>
  <si>
    <t>. A mi niña le ha encantado</t>
  </si>
  <si>
    <t>Bueno, Bonito, Barato. Recomendado. Estaba buscando un despertador para mi hijo. Me encontré en Amazon. Viene bien empaquetado y embalado y con la fecha indicada por vendedor. La caja contiene un reloj, el enchufe,un cable USB y las instrucciones en Español. El tamaño del despertador es bastante grande y echó de buenos materiales. Es un despertador muy completo: Reloj,despertador, lámpara, radio.....todo en uno. Tienes varios modos de sonido natural, radio y varias tonalidades de luz, además puedes programar 4 alarmas distintas,y con la alarma puedes hacer infinidad de cosas, tanto en melodías como repeticiones. Funciona con Alexa. Muy fácil y cómodo de manejar con la App. Puedes usarlo como radio, o como una simple luz para iluminar alguna habitación.Tiene buena potencia,y puedes cambiar de color. Él despertador puede ser usado tanto con el alimentador de corriente mini USB,como con pilas. Muy buen despertador, suena perfectamente,tienen varios melodías y un sonido espectacular. Lo llevo probando unos cuantos días y decir que él producto es bastante bueno y muy llamativo. Muy buena compra. Recomendado.</t>
  </si>
  <si>
    <t>Todo. Ien Cumple las espectativas</t>
  </si>
  <si>
    <t>Muy bien conservado Esta en mejor estado de lo que esperaba para un juego tan antiguo, funciona perfectamente y tanto el disco como la caja y el manual estan en muy buenas condiciones.</t>
  </si>
  <si>
    <t>Buenas zapatillas Mejor y mas comodas que las de marcas de 75 0 100 euros. Veremos cuanto duran para comprar mas en prox. ocasiones</t>
  </si>
  <si>
    <t>Perfectas, tal como se observa. Perfecto de talla como esperaba. Buena calidad y comodisimas. De momento muy contento con la compra. El color se corresponde con el de la imagen. Envío siempre muy rápido con prime.</t>
  </si>
  <si>
    <t>Buena compra Estupenda calidad, muy amplio, buen acabado y forro interior duradero. Lavable a mano con una simple esponja. Calidad exterior e interior superior a muchos otros bolsos.</t>
  </si>
  <si>
    <t>Me ha gustado Un micrófono muy chulo. Un regalo para mis hijos y pues encantados. Tiene para radio, conexión con el móvil y entrada de memoria sd. El altavoz suena muy bien y no retumba el sonido</t>
  </si>
  <si>
    <t>Color adecuado para vaqueros Llevo años usando sketchers. En mi opinión, si no tiene cordones medio número más, si los tiene 1 número más, me quedan perfectos.</t>
  </si>
  <si>
    <t>Increíble Un micrófono de condensador de gran calidad para el precio que tiene, necesario una fuente de alimentación phantom o una buena tarjeta de sonido si no quieres hablar con el micrófono pegado en la boca. Volvería a comprarlo sin dudar.</t>
  </si>
  <si>
    <t>Es tal cual se muestra en la imagen es muy bonito y, combina perfectamente. No piedomponerle pegas a este producto es perfecto. Lo recomiendo.</t>
  </si>
  <si>
    <t>Muy bueno Genial funciona sin ningún problema se puede sumergir en el agua sin problema e incluso nadar en la playa sin problema. Muy contenta</t>
  </si>
  <si>
    <t>Todo perfecto Ya conocía mi talla de esta marca, así que me quedan perfectas. Han llegado según lo previsto, sin ningún defecto y son muy cómodas. Lo único que echo en falta es el segundo par de cordones de otro color que siempre incluyen en las Skechers que compro en tiendas físicas, aunque deduzco que esta práctica depende del modelo.</t>
  </si>
  <si>
    <t>Pequeño y fácil de usar, aunque se calienta más de lo esperado despues de varios usos ademas de calentarse mas de lo esperado a dejado de funcionar y dice no legible despues de formatearlo y intentar de nuevo conectar sigue diciendo no legible ,alguien sabe decirme porque o cual puede ser el problema,gracias,por cierto esto pasa en el coche en el ordenador si funciona</t>
  </si>
  <si>
    <t>Buena compra Buena calidad de sonido. Buena calidad precio.</t>
  </si>
  <si>
    <t>Me sumo a las opiniones de usuarios decepcionades Lenta, lenta, pero muy lenta en escritura. La he comprado para llevar mi colección de música en el coche porque era la más económica en esta capacidad de una marca reconocida y porque tengo otras que sandisk con las que estoy en general contento, aunque no sean mis favoritas. La he puesto a copiar y no pasa de los 12mb/s (y eso es de pico, porque oscila entre los 5mb/s y los 12mb/s citados).Además, como bien apunta otro usuario, la carcasa es una especie de esqueleto de metacrilato que da la impresión que en un descuido puede romperse fácilmente. Me dan ganas de devolverla. Espero que a la hora de leer realmente sea lo rápida que anuncian, porque una vez que deje copiados los mp3, no creo que vuelva a usarla para escribir, pero si la lectura también es más lenta que las otras memorias de 128gb que tengo, va de regreso seguro.</t>
  </si>
  <si>
    <t>Practicos Cómodos y transpirables</t>
  </si>
  <si>
    <t>Cómodos pero caros Me encargo mi hermana estos zapatos puesto que iba a ir a Londres de vacaciones ya tuvo otros modelos anteriormente pero le habían durado muy poco tiempo la verdad es que me pidió que comprara estos para ella pero le queda un poco grande ella dice que son cómodos ya os iré diciendo qué tal</t>
  </si>
  <si>
    <t>No es piedra Llego en el tiempo previsto,con un buen embalaje y en una caja, incluso venía con un paño para limpiarlos.Por contra,no hay sello de plata ni de la piedra por ningún lado,además de que no parece piedra,ya que no posee el típico reflejo característico de esta piedra,es como una resina transparente que han pegado en una superficie con brillos.</t>
  </si>
  <si>
    <t>Mala calidad Infelizmente este modelo tiene mala calidad! Llevo 9 años usando esta marca y estos no dan la talla He tenido que recomprar otros de modelo antiguo</t>
  </si>
  <si>
    <t>Malo Lo compré el día 22 de julio ..dejó de funcionar el día 26 agosto sin haberlo usado más que unos 6 veces ...dinero tirado a la basura...ya no se puede reclamar.</t>
  </si>
  <si>
    <t>Bien por el precio que tiene No esta mal, sin embargo creo que hay mejores batidoras por precios un poco mas altos.</t>
  </si>
  <si>
    <t>Correcto Pedido: Ajustado al plazo, en el día exacto.  Producto: Correcto, rápido, sencillo ligero y sin necesidad de instalar nada. Para copias de seguridad de PC es estupendo. No puedo opinar sobre otros usos (videoconsolas, televisiones, etc). Lo malo es que el cable es muy corto (35 ó 40 cm).  Consejo: Si se va a usar en un ordenador de sobremesa, como no se puede mover mientras se copia, asegurarse de que hay dónde apoyarlo cerca del puerto USB o comprar un cable más largo.</t>
  </si>
  <si>
    <t>Horma No me dieron opción de escoger horma del zapato, por lo que queda demasiado grande (vino en Wide, no Narrow). Hasta ahora se comportan bien en la lluvia, y la suela es muy buena y se ve resistente, y te salva de resbalar.</t>
  </si>
  <si>
    <t>Bueno! Es de buena calidad y además reversible.  Lo único es que el color no es tan vivo como parece en la foto. Es un rojo más apagado.</t>
  </si>
  <si>
    <t>Correcta Hay que coger una talla y media más del número habitual por lo demás está estupenda.Por ponerle un defecto la tira del velcro un poco corta.</t>
  </si>
  <si>
    <t>Cómodas y buena calidad Llevo unos meses con ellas, a pesar de ser altas son muy cómodas. Las he lavado y cero problemas de perder color y demás. Buena compra!</t>
  </si>
  <si>
    <t>Algo pequeño con respecto a otros tallajes Yo utilizo en la mayoría de zapatos un 45 , pero con estos tengo que utilizar el 46,pero ya los he usado antes y sabia cuál pedir .</t>
  </si>
  <si>
    <t>Buena relación calidad precio Es la primera vez que compro un cosmético de este tipo y la verdad q me ha sorprendido, te refresca y te suaviza bastante. Le doy 5 estrellas por q la relación calidad precio me ha parecido muy buena</t>
  </si>
  <si>
    <t>Perfecto Lo utilizo para el podcasting, y es el soporte perfecto, después de haber tenido que devolver varios, lo que menos me gusta es que es algo plasticoso</t>
  </si>
  <si>
    <t>Impresionante Tal y como sale en la foto, bien embalado.</t>
  </si>
  <si>
    <t>Perfecta Llegó muy puntual. Me parece una batidora de las de toda la vida pero en moderno. De momento va muy bien y me ha encantado. Tiene muy buena pinta.</t>
  </si>
  <si>
    <t>Genial Contenta con el producto</t>
  </si>
  <si>
    <t>Perfecta Todo perfecto</t>
  </si>
  <si>
    <t>Brillante y muy bonito Es muy brillante y a mi madre le ha encantado. Gracias vendedor</t>
  </si>
  <si>
    <t>Mi mujer ya no tendrá los pies fríos Genial mi mujer ya no tendrá más los pies fríos, bueno y yo tampoco. Funciona correctamente y el calor que da es el justo, eso si hay que ponerlo siempre a máxima potencia.</t>
  </si>
  <si>
    <t>Un acierto Es más grande de lo que me esperaba,muy fácil de montar y plegar . Mi bebé tiene 1 año y le va genial, el material se ge bastante resistente.  La verdad que muy contenta, para mi responde alo que vende .</t>
  </si>
  <si>
    <t>Perfecto y muy recomendable Impresionante, tarda en secar así que ten paciencia que vale la pena, Si le cambias la pantalla a tu mobil, con este pegamento le puedes devolver la estanqueidad.</t>
  </si>
  <si>
    <t>Todo un acierto Es genial no tener que sudar escurriendo la fregona. Resistente y cómoda.</t>
  </si>
  <si>
    <t>Encantado con el regalo y con el reloj en si. Se lo regalé a mi padre por Reyes y quedó encantado. La calidad es muy buena por el precio que se paga y además a simple vista, parece el típico Rolex de toda la vida. Si quieres hacer un regalo de este tipo para una persona de mediana edad o mayor, acertarás. Viste muchísimo y no creo que por esa relación calidad precio haya algo mejor.</t>
  </si>
  <si>
    <t>Sudadera negra Calidad,precio perfecta,le queda perfecta a mi hijo,cojimos una M el mide 1,76 pero es muy delgado.muy contenta con la compra ,repetiré seguro</t>
  </si>
  <si>
    <t>Excelente. Otro imprescindible en mi equipo de vídeo. Como segundo micro inalámbrico ya me ha salvado varias veces. O porque alguien te pide un micro en el último momento o porque de repente el cliente te dice que hay dos entrevistados a la vez. Excelente calidad por si mismo. Y si añades un micro de corbata va bien. No acepta mucha distancia pero para entrevistas a 10 metros funciona bien. Lo he probado con un mk40 y el micro incorporado se comporta casi igual. Así que excelente.</t>
  </si>
  <si>
    <t>Impresionante relación calidad-precio!!! Precioso para regalar &lt;div id="video-block-R2MWH5JA9E1WW2"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src="https://images-eu.ssl-images-amazon.com/images/I/91shtH61aYS.mp4" style="position: absolute; left: 0px; top: 0px; overflow: hidden; height: 1px; width: 1px;"&gt;&lt;/video&gt;&lt;/div&gt;&lt;div id="airy-slate-preload" style="background-color: rgb(0, 0, 0); background-image: url(&amp;quot;https://images-eu.ssl-images-amazon.com/images/I/81PciiPDpRS.png&amp;quot;);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value="https://images-eu.ssl-images-amazon.com/images/I/91shtH61aYS.mp4" class="video-url"&gt;&lt;input type="hidden" name="" value="https://images-eu.ssl-images-amazon.com/images/I/81PciiPDpRS.png" class="video-slate-img-url"&gt;&amp;nbsp;Viene en una bonita caja. Su calidad es excepcional. Se adapta genial a la muñeca. Es de plata esterlina porque yo soy alérgica a otros materiales y está me sienta genial!! Es muy fina y elegante. Los brillantes relucen increíbles!!! Es ideal para regalar tanto a tu pareja, amiga o familiar. Estoy encantada con ella. La recomiendo 100%</t>
  </si>
  <si>
    <t>Muy practico Un gran surtido de correíllas con velcro. Vienen en un paquete de 16 unidades y en ocho colores diferentes, facilitan la clasificación de cables por colores para proyectos de construcción y redes, a ordenar las herramientas, cordones, alambres, cables etc. Son ajustables, resistentes y reutilizables pudiendo unirlos para conseguir uno de mayor dimensión. Son de fácil colación, la medida de cada correílla es de 30 cm x 2cm. Los recomiendo es un gran sistema de ordenación se acabo el dejar los cables desordenados 100% efectivo</t>
  </si>
  <si>
    <t>Lo mejor la amortiguación Bien para senderos , terrenos duros y pistas no muy sueltas. Buena amortiguación pero poca estabilidad en la parte delantera y sobre terrenos mojados, con piedras y bajadas son malas. No son lo esperado.</t>
  </si>
  <si>
    <t>Menos de lo esperado Las zapatillas son bonitas, me quedan como esperaba y llegaron a tiempo. Eso si la agencia de transportes me pareció un poco desorganizada. Me ofrecieron la posibilidad de pasar a recogerlas por sus instalaciones y cuando fui las tenian en reparto y la caja llegó rota. En cuanto a las zapatilla a pesar de que en sus caracteristicas dice que son transpirables, a mi me parece que transpiran poco o nada, sin duda por su composición totalmente sintetica.</t>
  </si>
  <si>
    <t>buena calidad y excelentes bajos , para amantes de unos bajos muy predominantes Excelentes bajos , perfecto para los amantes de los bajos ,que no es mi caso , tenia antes unos cx150 y personalmente me gustan mucho mas porque tenian un sonido mucho mas claro y limpio ,  estos los bajos estan muy potenciados  y personalmente no me gustan nada, tratare de solucionarlo con un ecualizador  . Respecto a la calidad del producto nada que objetar</t>
  </si>
  <si>
    <t>Muy mala presentacion Tengo dudas de que sean originales. De que vienen en una caja. De eso nada. Te vienen en una bolsa de plástico. Sin ningún tipo de documentación ni proteccion</t>
  </si>
  <si>
    <t>Bonificación de 5 euros que me pertenece. Este producto lo devolví por no ser de mi talla, pero tenía una bonificación de 5 euros, de una compra anterior, que me la acoplaron a este producto, como ha sido devuelto, solicitó que me den citada bonificación en compras posteriores.Gracias.</t>
  </si>
  <si>
    <t>Calidad Comodidad y calidad</t>
  </si>
  <si>
    <t>Que abrigara Bien</t>
  </si>
  <si>
    <t>Biba Buenas,,  pero no soy tan gruesas como para el invierno,  más bien para días de otoño,,  la calidad buena para el precio y tallan bien</t>
  </si>
  <si>
    <t>Todo bien Me vienen fenomenal,</t>
  </si>
  <si>
    <t>Buen reloj Bonito reloj, lo único k objetar la poca luz que tiene</t>
  </si>
  <si>
    <t>Recambio de mopa escurre favil BJM Es muy bueno y duradero mínimo siete meses usándola a diario la recomiendo  muy buena calidad el precio es algo caro el recambio podrían hacer oferta si compras tres o más recambios</t>
  </si>
  <si>
    <t>Perfecto. Igual que el de "antaño"...llevo años con él y está como el primer día. Recomendable 100%. 5 estrellas, volvería a comprarlo sin dudarlo.</t>
  </si>
  <si>
    <t>Números grandes y buena batería Me gustan los números grandes y los relojes grandes. Cuatro botones y te avisa cuando te llama y cuando recibes Whatsapp. Tiene luz y se puede apagar su no se usa. Además trae una batería de repuesto.</t>
  </si>
  <si>
    <t>Excelente vendedor Muy buen producto. Vendedor excelente. Volveré a comprar a este vendedor sin duda alguna.</t>
  </si>
  <si>
    <t>Estupendo regalo La persona a quien se lo regalé me ha dicho que está muy contenta con él. Por  poner un pero, en la descripción me había hecho a la idea de que lo que tapaba la pequeña solapa de cuero era otro bolsillo. Aun así, parece perfecto</t>
  </si>
  <si>
    <t>ME ENCANTA PRECIOSO PRODUCTO, TAL COMO ES EN FOTO, SUENA MUY BIÉN.</t>
  </si>
  <si>
    <t>SIMPLEMENTE PERFECTAS Compradas el lunes, recibidas el martes y ya puestas hoy miércoles. Simplemente perfectas. Bonitas y muy muy muy cómodas. No había tenido nunca unas Converse de este modelo y sin duda son infinitamente más cómodas que las normales. Con respecto al tema de la talla, he de decir que yo calzo un 42, compré un 42 y el 42 me va perfecto. Muy, pero que muy contento.</t>
  </si>
  <si>
    <t>Muy buenos cascos aunque al plegar parecen débiles. Compré estos cascos hace dos meses (sin micro) y puedo decir que son realmente buenos. Lo mejor que tiene es su sonido, se escuchan realmente bien para lo que me costaron (unos 16 euros). He probado a poner canciones con "bass boosted" y responde muy bien. Sobre los materiales, son bonitos, el azul le da un toque bastante premium y por ahora no se ha "pelado" nada, ni la pintura metálica ni las almohadillas. Sobre las almohadillas éstas no cubren perfectamente la oreja, son pequeñas y no dan calor. Sobre la solidez del producto, no me parece del todo buena ya que se pueden plegar para transportar más fácil pero parece que se vayan a romper... aunque la calidad en si de los materiales es bastante buena.</t>
  </si>
  <si>
    <t>Cama de calentamiento Debido a que el clima se está enfriando y duerme mucho frío por la noche, recogí esta manta eléctrica en la cama, la abriré antes de acostarme, puedo dormir cuando caliento la cama.</t>
  </si>
  <si>
    <t>Un producto excelente que justifica su precio Muy contento con la calidad de sonido, de cancelación de sonido, funcionalidades y acabado del producto. La única pega que le pondría es que a veces al cambiar la conexión bluetooth entre mi iPad y mi iPhone, a veces no lo hace tan agilmente, aunque desconozco si está mas relacionado con los interfaces bluetooth de los cascos o de los dispositivos de Apple. Muy contento con la compra.</t>
  </si>
  <si>
    <t>Pulsera Son muy finas pero están bien</t>
  </si>
  <si>
    <t>practico buena compra por el precio que tiene. funcionamiento correcto. queda muy bien puesto</t>
  </si>
  <si>
    <t>ME ENCANTA Nunca escribo de un producto sin dejar pasar un tiempo prudente de prueba, este expremidor me encanta, es super sencillo, funciona muy bien¡n y se limpia con extrema facilidad, que es un detalle muy importante, puesto que cada vez que te haces un zumo lo tendrás que limpiar.</t>
  </si>
  <si>
    <t>Cool and Great! La verdad es que es mejor de lo que esperaba. Es muy ligero y cómodo... Me lo compré por capricho y ahora no me lo puedo quitar XD.</t>
  </si>
  <si>
    <t>Geniales Son geniales. El bebé hace la toma muy tranquilo, debido a las tetinas que tiene, y cierto es que no ha vuelto a tener cólicos.</t>
  </si>
  <si>
    <t>Muy sarisfecho Calidad excelente.</t>
  </si>
  <si>
    <t>Una monada Para mi uno de los aspectos más llamativos es su color, simplemente divino, un dorado muy muy muy bonito y diferente. Su aspecto es muy premium. Sonido más que decente, nítido y claro. La autonomía muy aceptable y la fase de carga excelente.  La forma es muy cómoda y se adaptan genial a la oreja y no se caen al correr, puedes hacer deporte perfectamente. Que sean inalámbricos es lo más cómodo del mundo. Relación calidad precio sobresaliente. Muy recomendable.</t>
  </si>
  <si>
    <t>En Gel y de formato pequeño El siempre eficiente pegamento Loctite Super Glue, pero ahora con una composición en gel que lo hace más fácil de aplicar sobre superficies verticales o sobre materiales más porosos, al ser gel es mucho más fácil de emplear.  El botecito es de pequeño formato, sólo tiene 3 gramos de contenido, lo que personalmente me parece genial para pequeños arreglos, ya que con un formato mayor al final se me acaban secando si no lo uso (que es lo más normal) por mucho que cierre bien el tapón.</t>
  </si>
  <si>
    <t>No me convencieron Pues comprados y devueltos... Vengo de unos HDP DJ-Adv G501, que he roto un soporte de la diadema, y se oyen mucho mejor que estos akg. De hecho suenan como si taparas un poco el altavoz con la mano y escucharas por el hueco, algo enlatado y artificial. Aislar aíslan suficiente, aunque mucho menos que los Hércules. No me han convencido sinceramente.</t>
  </si>
  <si>
    <t>Problemas con mi Lenovo Y700 He tenido problemas al instalarlo en mi Lenovo Y700 de hace un par de años. Al principio según la aplicación de Samsung, el Magician, el SSD escribía a 3 y pico y leía a 4 (imagen adjunta). Después de comprobar conexiones y configuración (he llegado a desmontar el portátil más de 10 veces) ahora me va a unos 530 de lectura y a 100 de escritura. Ya no lo he vuelto a tocar porque así ya me va bien, pero no acabo de entender cómo es que la escritura tiene unos valores tan bajos...</t>
  </si>
  <si>
    <t>No está mal La idea del producto es muy buena, pero tiene un gran pero: no calienta lo suficiente aunque se ponga el nivel más alto. Es imprescindible quitarle el protector de terciopelo para lograr que caliente de forma aceptable. Así sí que ayuda a calentar los pies.</t>
  </si>
  <si>
    <t>MATERIAL QUE SE PONE FEO RAPIDO Apenas dos días puesta, la correa tiene un color negro y ha perdido el color plata. Todo ello sumado a una gran demora de entrega.</t>
  </si>
  <si>
    <t>Basura Se pone negro y se le caen las piedrecitas</t>
  </si>
  <si>
    <t>Buen exprimidor Es algo aparatoso pero el diseño es chulo; quizá debería ser algo más estable, se mueve un poco por la vibración que se produce al exprimir. La potencia está bien, es bastante rápido.</t>
  </si>
  <si>
    <t>Estupendos Es un regalo para mi sobrina con 13 años. Para ella perfectos de tamaño. Son de buena calidad y no le molestan ni le da alergia.</t>
  </si>
  <si>
    <t>Chanclas todoterreno. Para lavar el coche y luego salir a tomar unas cañas. Dan la talla un pelín justa. Ligeras y sin agujeros en la parte de abajo para que no entre polvo a los pies. Pedir un número más. Ocupan bastante en una mochila por lo que son adecuadas para estar en casa y alrededores pero no para llevar de viaje.</t>
  </si>
  <si>
    <t>Entrega a tiempo. El producto de calidad El producto es muy practico y se escucha bien incluso desde otra habitaciones de la casa. Lo he comprado para una persona mayor y cumple con su función. No le pongo 5 estrellas porque se hace complicado dejarlo debidamente en la base de carga.</t>
  </si>
  <si>
    <t>Buen producto -Recomendado Vamos a ver, son 28-29€, y algunos lo quieren comparar con productos de mas de 250€. ¿Qué calidad de sonido tiene? Pues muy buena. ¿La misma que unos Sennheiser de 900€? Pues evidentemente no, si no, algo falla en esta vida.  Pero os pregunto una cosa, ¿cuantos de vosotros sois técnicos de sonido o editor a nivel profesional para poder juzgar la calidad de audio? Si la referencia mas reciente que tenéis son los cascos del tren.  Las diferencias son sustanciales a partir de 250-300€. Lo que esta por debajo estas pagando la marca, las características especiales, los acabados y los materiales. Fin.</t>
  </si>
  <si>
    <t>buenas zapatillas Se las regale a mi chica y esta contenta, buen material además de tener un diseño muy bonito</t>
  </si>
  <si>
    <t>buena calidad Buena calidad por el precio que tienen, funciona perfectamente y capta muy buen sonido ...lo recomiendo 100% . . .</t>
  </si>
  <si>
    <t>Cepillos taladro Vienen varios cepillos, son pequeñitos, así que a la hora de limpiar es más fácil de usar, y llega a todas las esquinitas. Los de pulir son de 10 cm, para arreglar pequeños arañazos prefecto. En definitiva estoy contento con la compra.</t>
  </si>
  <si>
    <t>Tal y como se detalla en al publicidad, muy contento. Lo recomiendo. Buen producto a un precio inmejorable. -- -- Tal y como se detalla en al publicidad, muy contento. Lo recomiendo. Buen producto a un precio inmejorable. -- --</t>
  </si>
  <si>
    <t>A mi hija le gusta Calidad precio esta bien. Se ha roto el mango, pero el funcionamiento es bueno</t>
  </si>
  <si>
    <t>Muy práctica Muy buen producto. Sencillo de usar y fácil de limpiar. No se le puede poner ninguna pega. Lo recomiendo totalmente</t>
  </si>
  <si>
    <t>Mi novia me dejó La chaqueta es básica y esta muy chula se la compre a mi novia para navidad pero me dejo antes de que se la diera así que ahí está en el armario pillando polvo.  Por lo demás todo correcto 🙃</t>
  </si>
  <si>
    <t>Cómodos y elegantes Me encantan estos cascos, vienen en una caja muy práctica que además de almacenarlos sirve como power bank de carga. Se sujetan magnéticamente y se cargan una vez introducidos en su zócalo. No disponen de botón para pausar o reproducir música, sino que tienen una zona táctil que permite mediante diferentes combinaciones, pausar, reproducir, subir volumen, bajarlo apagarlos... Todo viene bien explicado en su libro de instrucciones. Además trae un cable de carga. Son muy cómodos de usar y no se caen en ningún momento permitiendo hacer deporte con ellos sin preocuparte por el sudor ya que son IPX5.</t>
  </si>
  <si>
    <t>Estoy muy contento En el trabajo suelo hacer muchas presentaciones a los clientes y compañeros de trabajo y por ello necesitaba de un puntero láser para presentaciones que fuera de calidad y este me ha sorprendido gratamente. Además con el mismo si lo tienes enlazado al ordenador puede hacer pasar las páginas de presentacion etc.. Muy recomendable</t>
  </si>
  <si>
    <t>Contento con la compra Bien y rápido</t>
  </si>
  <si>
    <t>Buena compra Se trata de un buen disco duro normal, no tiene nada de especial, pero todos los que he tenido de este modelo me han salido muy bien en cuanto a la calidad. Cuando necesite más espacio volveré a comprar uno igual sin lugar a dudas</t>
  </si>
  <si>
    <t>Cómodas y resistentes A mi hijo le encantan. Son cómodas y ya tienen tres meses, que para el es un récord, así que son resistentes.</t>
  </si>
  <si>
    <t>Cacos tan buenas Cacos me escucho música smart TV PS4 tablet móvil ect .. prefecto sin problems</t>
  </si>
  <si>
    <t>Insuperable relación calidad precio Producto perfecto por el precio que tiene, llegó bien empaquetado y sin problemas, muy satisfecho con el producto</t>
  </si>
  <si>
    <t>Muy bonitas Son para mi hija y está encantada con ellas. Dice que son muy cómodas, además de bonitas... y encima están súper de moda , así que muy contenta con la compra. Además , el envío ha sido muy rápido.</t>
  </si>
  <si>
    <t>Práctica La compré para preparar en mi oficina mis batidos de proteína en polvo.  agrego alguna fruta troceada en pequeños pedazos y proteína... me lo tomo en el mismo vaso, muy práctico... pocos cacharros que lavar... Excelente elección</t>
  </si>
  <si>
    <t>Ggh Son estupendas y económicas</t>
  </si>
  <si>
    <t>Estoy enamorado Llegó a tiempo y bien embalado ¡Excelente! Encantador brillante. Fácil de cargar y las diferentes combinaciones de colores y destellos son geniales.Me encantan estos zapatos!</t>
  </si>
  <si>
    <t>👍 😍 muy comodas</t>
  </si>
  <si>
    <t>Lo que esperaba Lo que dice el anuncio perfecto</t>
  </si>
  <si>
    <t>Normales como otro calcetín normal, no tienen nada de especial</t>
  </si>
  <si>
    <t>PÉSIMA CALIDAD !! Horrorosos !! El velcro es excesivamente duro, cuesta demasiado quitarlos ya que hay que hacer demasiada fuerza. Debido a esta fuerza se me han roto muchos que han ido directos a la basura. Dinero perdido !!</t>
  </si>
  <si>
    <t>Dejó de funcionar Lo he usado muy poco, era para conectar a un amplificador, y no me ha durado mas de dos o tres veces, se enciende todo, pero no da ningún sonido, por mucho que lo cargue y que le ponga pilas nuevas el micro no funciona. He tirado el dinero</t>
  </si>
  <si>
    <t>Mucha variedad de aromas Buena variedad de aromas. El tamaño de los botes es ideal porque duran mucho. Los aromas son muy acertados y agradables. Buena compra</t>
  </si>
  <si>
    <t>Muy fácil y sencillo de usar Me gusta la sencillez de su manejo. Es bastante rápida a la hora de calentar el agua y no hace un ruido excesivo, yo diría que como la mayoría de este tipo de aparatos. Buena calidad / precio.</t>
  </si>
  <si>
    <t>Reloj Armani lo que mas me ha gustado es el precio, en zalando cuesta 350 y a mi me costo 154 (menos 8  del cheque carburante ) al final por solo 146 (por esto no me extraña el éxito de Amazon). Le he tenido que quitar 4 eslabones para que ajuste a mi estrecha muñeca, queda bonito aunque quería que la pantalla fuera algo mas grande. Uno de los dos extremos del cierre de la correa siempre se queda encasquillado y tengo que hacer mas fuerza ( por esto 4 estrellas)</t>
  </si>
  <si>
    <t>Buena compra Lo compré como disco externo para mis sesiones de fotos, lo utilizo con un MacBookpro, y funciona perfectamente. Lo he particionado en dos unidades ya que uso dropbox al mismo tiempo así además de almacenar en la nube tengo una copia en la unidad física. Al ser USB-C, la velocidad de datos es correcta. Mejor si hubiera sido SDD, Pero por el precio va muy bien</t>
  </si>
  <si>
    <t>Nada mal NO van nada mal, tienen una buena calidad de sonido aunque se nota que no son los originales ya que el sonido es algo más agudo y los controles no van tan finos como los originales. pero costando menos de la mitad de estos, pues no están nada mal. Por ahora me están durando más que los originales que he comprado en dos ocasiones, y sólo por eso ya es una buena compra.</t>
  </si>
  <si>
    <t>accesorios para pulsera pandora pandora es muy bonito y a un precio aceptable es tal como se demuestra en las imagenes y muy envio rapido</t>
  </si>
  <si>
    <t>estar satisfecho con la compra Son buenas para correr,me queda algo grande el pie izquierdo pero lo llevo bien</t>
  </si>
  <si>
    <t>Calidad precio Las estamos probando y vienen de maravillas</t>
  </si>
  <si>
    <t>Muy bueno y práctico, para el móvil, pc, etc... Una ventaja Ideal; es el segundo que tengo exacto a éste. Confío en Kingston como marca de reconocido prestrigio. En el móvil va genial y para mi uso (siempre sencillo y pocos datos) va muy bien. Solo se calienta bastante con uso de vídeos largos, etc.... Pero eso suele pasar a todas las memorias usb...... Espero que dure años hasta que los pierda como me suele pasar por ser tan pequeños!!!! Hoy en día es un gran invento la comodidad en manejo de información. RECOMENDABLE y para pocos datos IDEAL POR PRECIO.</t>
  </si>
  <si>
    <t>Buen producto Cómodas y la verdad buena calidad para lo ajustado del precio.</t>
  </si>
  <si>
    <t>Excelente calidad!! Todo perfecto. Segun lo publicado</t>
  </si>
  <si>
    <t>La terminacion del producto Es tal como se vé en la foto,robusto y muy buena terminacion de cremalleras y cosido,lo recomiendo.</t>
  </si>
  <si>
    <t>Despertador muy novedoso Quería un despertador para dejar de utilizar el móvil como si lo fuera, así que buscando encontré éste y es muy bueno. Se puede regular la luz (tiene distintos colores de ambiente con diferentes niveles de intensidad) para que empiece a brillar antes de que suene la alarma. El brillo va aumentando gradualmente, por lo que es perfecto para ir despertándote sin ser nada molesto, porque no deslumbra, y lo sonidos que trae son muy agradables, además de tener una buena calidad de sonido. Pero si lo prefieres, puedes poner el despertador con una emisora de radio. Aunque yo no lo suelo utilizar a menudo, también se puede programar para ir a dormir con sonidos de bosque, lluvia, etc. Lo que realmente lo hace diferente es que se controla a través de una aplicación. Esto es realmente útil si quieres cambiar la hora o las luces, sin tener que estar junto al despertador. También es posible programar alarmas a distintas horas, pudiendo configurar el tono con el que sonará. Otra novedad, es que se puede utilizar con Amazon Alexa y Google. Yo no lo tengo, pero estoy pensando en comprarme uno, por lo que me viene fenomenal esta función.</t>
  </si>
  <si>
    <t>Original 100% No esperaba que fueran verdaderas, pero si lo son, me encantan y el número es el mismo que yo uso, os la recomiendo</t>
  </si>
  <si>
    <t>Comodisimi Rápido, limpio, práctico !!!!! Fenomenal</t>
  </si>
  <si>
    <t>Para podcats bastante bien El micrófono funciona bastante bien. Si quieres escuchar con auriculares el cable jack del micro se debe conectar a un adaptador con doble entrada (micro y auricular). La calidad del sonido no está mal para principiantes. Si quieres comenzar a grabar tus propios podcats esta opción está bien. Tiene un brazo articulado y un anti-pop. El montaje es muy fácil.</t>
  </si>
  <si>
    <t>BIEN Y COMODO BIEN</t>
  </si>
  <si>
    <t>POTENTE Es muy potente y fácil de usar, un poco complejo de limpiar pero en general muy bien, recomiendo.</t>
  </si>
  <si>
    <t>Muy bonitos Muy bonitos</t>
  </si>
  <si>
    <t>Muy bonito No me esperaba gran cosa por este precio, pero me ha sorprendido, es muy bonito y no se siente para nada barato, o de mala calidad.</t>
  </si>
  <si>
    <t>Geniales Yo los escogido en rosa y la verdad que son muy bonitos. Yo tengo el lóbulo grande y quedan de tamaño geniales. tengo alergia al níquel y estos desde que los tengo no me los he quitado no me han hecho daño</t>
  </si>
  <si>
    <t>Beneficios Muy buena</t>
  </si>
  <si>
    <t>El todo en uno De verdad, no sabéis lo que es cocinar con esta maravilla. La mayonesa la hace al momento, sin que se corte lo más mínimo. Pica la cebolla en 3 segundos, no he probado la varilla pero seguro que será igual para mezclar y montar.. Lo buenos es que viene todo junto y ocupó muy poco espacio. Os la recomiendo.</t>
  </si>
  <si>
    <t>Duras, durísimas, no parecen Skechers Son muuuuy duras, nada que ver con la comodidad habitual de las Skechers</t>
  </si>
  <si>
    <t>Favorecedora Es mas fina de la que pensaba. Para primavera estara bien. El color muy favorecedor.</t>
  </si>
  <si>
    <t>Sirven Pronto estaba roto por las piezas del plástico poco resistentes</t>
  </si>
  <si>
    <t>De resistente nada, una muy mala compra. Comprado el 27 de febrero, hace unos días quitándome el reloj, la correa se rompió. Mas exactamente se rompió la carcasa de goma que rodea el reloj, a la altura de la aguja metálica, lo cual no tiene arreglo.  Aunque el reloj esté en garantía, no veo opción de obtener remplazo por una unidad equivalente en la página de devoluciones (el pedido no aparece aun suministrando su numero exacto).  Contacté por correo electrónico con Amazon, que me enviará una nueva unidad. Esperemos que dure mas.</t>
  </si>
  <si>
    <t>No lo compres El micro es bonito, pero solo vale para tenerlo de adorno, no recoge bien tu voz, que estás a centímetro, pero si que recoge el sonido ambiente. En fin que es bastante mierda. No lo compréis.</t>
  </si>
  <si>
    <t>Poca iluminacion No se ve nada. Tiene poca luz.</t>
  </si>
  <si>
    <t>aunque es bastante grande bastante grande y dificil de entender. Llevo apenas un mes con él y parece que se está poniendo amarillento por dentro</t>
  </si>
  <si>
    <t>Calidad / Precio inmejorable. Muy buena relación de calidad precio. Muchísima variedad de tamaños. Llegó sin problemas en las fechas establecidas. ¡RECOMENDABLE 100% si te interesan unas ventosas!</t>
  </si>
  <si>
    <t>Cómodas y frescas Estas Vans son unas deportivas de lona cómodas y frescas que van muy bien tanto si vistes de manera informal o las quieres usar para hacer algún deporte de bajo impacto ya que aunque la suela es gruesa, es completamente plana y no tiene cámara de aire. Además, las plantillas sólo ofrecen una ligera amortiguación.  A pesar de ser plana, la suela ofrece buena adherencia en la mayoría de superficies (de hecho tenemos un amigo que hace skating y usa unas Vans muy parecidas a éstas).  La goma de color blanco que rodea las deportivas me recuerda el parachoques de un coche: Protege la lona del desgaste.  Las plantillas son acolchadas pero no extraíbles por lo que si llevas plantillas tendrás que comprarte al menos una talla más porque, según mi marido, tallan un poco justas.  El cierre es con cordones y lo bueno es que no se desatan aunque camines durante horas.  El logotipo situado en la parte trasera, en rojo, en la que se lee Vans off the Wall y el logo de tela de la lengüeta en que se lee Vans, le dan el toque distintivo de la marca.</t>
  </si>
  <si>
    <t>Reloj de bolsillo. Reloj de bolsillo según se describe en el anuncio. Las manillas tiene aspecto un poco frágil. Es de buen tamaño.</t>
  </si>
  <si>
    <t>Es bonita La compré porque se veía que daba bastante juego con eltamaño de la muñeca dado que el cierre lo puedes realizar a distintas alturas. Como detalle a regalar queda muy bien y por el precio que tiene creo merece la pena</t>
  </si>
  <si>
    <t>Bonito Bonitos</t>
  </si>
  <si>
    <t>MUY BARATO... Por el precio y calidad me parece una compra SUPERESTUPENDA... La funda ocupa muy poco. Hay otra funda de parecidas características de la marca STILGUT que si bien es de piel autentica se rompe por las esquinas de arriba con suma facilidad y además vale MAS DE VEINTE EUROS, por lo cual ha que tirarla a unos meses de uso. Mucho mejor ésta, ya que por donde falla la anterior esta lo trae protegido y es muy difícil que se rompa. Lo dicho, MEJOR QUE LA MÁS CARA CON DIFERENCIA...</t>
  </si>
  <si>
    <t>Muy bonito Queda como esperaba</t>
  </si>
  <si>
    <t>Tela muy rica al tacto Me sorprendió la tela! Se ve de buena calidad no parece la típica tela de chandal que hace pelotillas al final hasta los he usado para salir de paseo</t>
  </si>
  <si>
    <t>Fantastico Muy pequeño y práctico</t>
  </si>
  <si>
    <t>Vuelta a los orígenes Nunca existió mejor despertador. Lo tuve en negro y con el tiempo lo llegué a customizar en época universitaria con un toque punk (chinchetas en la tecla de SNOOZE, así se evitaba el absentismo escolar rápido) Lo retomo ahora de nuevo ya que es un diseño y  dispositivo muy completo a la par que fiable por encima de los radio-despertadores. Ya que esos últimos, con un apagón nocturno de luz te la pueden liar.</t>
  </si>
  <si>
    <t>Las primeras 10 años de duración! Hace 10 años me compré en EEUU un par de estos estupendos Crocs. Repito con el mismo modelo ya que me han ido geniales en todo ese tiempo, se me han desgastado por la suela pero por lo demás están perfectas. por eso repito. Son super cómodas y las volveré a comprar sin dudar. Espero que os sea útil mi comentario. Un saludo Toni.</t>
  </si>
  <si>
    <t>Reloj 👍</t>
  </si>
  <si>
    <t>Muy bien La mejor esponja para cristales que he tenido. Buen tamaño, fácil limpiar</t>
  </si>
  <si>
    <t>Buena relación calidad-precio Una buena tarjeta SD, fiable y rápida. Actualmente (julio de 2019) es la mejor opción, porque la diferencia con la de 32 GB es irrisoria; la de 128 GB eleva mucho el precio. Si acaso, formatearla en FAT32 puede ser problemático en Windows, y es necesario usar una aplicación de terceros. En mi caso usé FAT32 format, gratuita y ejecutable sin necesidad de instalar nada. En resumen, muy recomendable.</t>
  </si>
  <si>
    <t>Buenas De buena calidad, son fuertes y comodas</t>
  </si>
  <si>
    <t>Buen material Muy buena calidad, los he comprado para un regalo de mi mujer y le ha gustado mucho, muy comodos y esta fabricado con buen material,</t>
  </si>
  <si>
    <t>Muy buenos. Muy muy contento.....son de calidad y los colores fieles a las imágenes . Los recomiendo.</t>
  </si>
  <si>
    <t>Buena y bonita Muy buena, con varias posiciones, muy funcional, tamaño perfecto para llevar el movil y la cartera, tela buena y acabados buenos, resistente, como en la foto o mejor, la recomiendo totalmente si no le suben el precio, la compré por casi 11 euros.</t>
  </si>
  <si>
    <t>Cómodas y perfectas Igual que en la foto me encantan y son comodisimos, yo uso un 43 y pedí un 44 por si me quedaban pequeñas y el 44 me vino genial... Lo recomiendo</t>
  </si>
  <si>
    <t>su portabilidad es un bolso portable, practico y de tamaño pequeño, ideal para portabilidad de objetos reducida, es de buena calidad, se nota nada mas verlo.</t>
  </si>
  <si>
    <t>Funciona ok buena relación calidad/precio</t>
  </si>
  <si>
    <t>Satisfecjo Buena calidad</t>
  </si>
  <si>
    <t>No se puede cambiar de cancion No se puede cambiar de cancion desde los cascos.. imposible llevar el movil en la mochila si quieres cambiar en algun momento</t>
  </si>
  <si>
    <t>Barato y normal. No es un micrófono espectacular pero cunple su función sin ningun problema. no le pongo mas estrellas porque he tenido que tocar configuracíones en Windows para su funcionamiento óptimo. Pero una vez configurado funciona correctamente, lo uso a bastante distancia de la boca y el otro interlocutor me ha dicho que se oye bien. El apoyo está super bien. El producto es suficiente sin gastarse mucho dinero.</t>
  </si>
  <si>
    <t>Veremos cuanto dura Veremos quien se rompe antes , si el cable , la clavija...o la guitarra. El sonido no es malo, no distorsiona mucho...pero el “acoplamiento/desacoplamiento “ del cable a la guitarra...ffff, parece un candado. Veremos...</t>
  </si>
  <si>
    <t>Cambio de color al tercer dia No tengo claro que sea auténtica y que sea de plata. La recibi el lunes y 3 dias despues, está literalmente oscurecida, cambio de color y no por el ph porque tengo otros charm y no han cambiado en años de color.  No se que pensar. Pero si se que hacer...Devolverla claro.</t>
  </si>
  <si>
    <t>Mala tela mal acabo Pence que la tela era mejor calidad y grueso pues nada mala tela el pantalón quedó mal acabo me quedo una bolsa amante bues nada no quede conforme</t>
  </si>
  <si>
    <t>comodo esta bien</t>
  </si>
  <si>
    <t>Rocio Lo que esperaba. Genial para radiadores y rincones donde no llega fregona o aspirador. Hay que cogerle el truquillo pero se puede doblar en diferentes podiciones y llega a todo tipo de recovecos.</t>
  </si>
  <si>
    <t>Perfectos para ir al rio y la playa Son supercomodos y se ajustan al pie como un guante, totalmente recomendables para ir a bañarse al rio o similar</t>
  </si>
  <si>
    <t>Me gusto Buen para el precio</t>
  </si>
  <si>
    <t>Encuadernadora para uso casero Hola después de cuatro días ya la tengo en mis manos. Vino en perfecto estado, pesa un poquito ya que es metálica entera,me regalaron los alicates de corte,los agujeros son redondos ,para espiral metálica,ajuste perfecto,al principio mancha un poco por el aceite que tiene o la grasa que le hecha,palanca suave no hace falta mucho esfuerzo,la recomiendo.</t>
  </si>
  <si>
    <t>Genial La licuadora tiene un buen tamaño para guardarla en cualquier sitio, además se limpia súper fácil y la textura de los batidos es genial</t>
  </si>
  <si>
    <t>un 9,9 Es perfecto en realidad, mucha capacidad, velocidad okey. Son 1,81 Teras en windows, perfecto para almacenaje, incluso para tirar juegos desde el.</t>
  </si>
  <si>
    <t>Cumple mis expectativas Cumple mis expectativas. Quería un reloj muy resistente al agua, que nunca halla que abrirlo para cambiar las batería al ser solar. Que tenga lo justo, cronometro, fecha y que se pueda ver en la oscuridad.</t>
  </si>
  <si>
    <t>La comodidad como bandera Si buscan un zapato femenino, diferente, cómodo y para todos los días debes de tener en cuenta este modelo de Clarks. Es un zapato para todos los días, flexible y bien terminado. Sin tacón, pero con ese punto moderno para dar un toque distinto. Muchas veces los zapatos cómodos para todos los días no son muy vistosos pero estos rompen con la norma de que lo cómodo no puede ser bonito y diferente. Atención al tallaje de Clarks que incluyen medios números. En su página web te indican la correspondencia con las tallas normalizadas.</t>
  </si>
  <si>
    <t>Ligerísimas y cómodas Calidad Skechers, transpirables, comodísimas, plantilla adaptable, perfectas y, sobre todo, no pesan nada!!! Recomiendo. Son las segundas que tengo de esta marca que ya es mi referente.</t>
  </si>
  <si>
    <t>Buen reloj Muy fácil de utilizar para niños y resistente</t>
  </si>
  <si>
    <t>Llegó en 24h Buena relación calidad precio.</t>
  </si>
  <si>
    <t>Un clásico Como siempre el pedido llego un día antes de la fecha prevista. En un reloj  cómodo  y muy ligero de llevar, en este caso la compra fue para un regalo y la persona que lo recibió está encantada con él.</t>
  </si>
  <si>
    <t>Una bestia parda de tarjeta SD Esta es la Bestia Parda de las tarjetas SD, es sobresalientes desde todos los puntos de vista, pero ¡ojo!, hablamos de una tarjeta profesional, es por eso que tiene un rendimiento que no tendría sentido usarlo para otra cosa, aparte que sería tirar el dinero.  Tiene una tecnología UHS II (U3) de clase 10 y por supuesto es compatible con dispositivos que usen UHS I. En este caso hablamos de una tarjeta profesional, pensada para sacar un máximo rendimiento en alta calidad de fotos, pero sobre todo de vídeo, que es más exigente en las escalas de calidad de 1080p, hd, 3d y 4k y es ahí, donde se necesita una tarjeta que tenga una velocidad increíble.  La capacidad es de 64 gb, puede ser mucho o poco, eso tendrás que valorarlo según necesidad, pero de este modelo puedes encontrar de hasta 256 gb. uf! una pasada para un amateur.  Ya he tenido más cosas de esta marca y su nivel de calidad y fiabilidad es extraordinario. Si eres un profesional de la imagen, no te puede faltar en tú equipo esta SD, tienes calidad profesional a un precio normal. No hace tanto tiempo, una tarjeta SD de esta capacidad, era bastante más cara y no la llegaba ni a las suelas de los zapatos en velocidad de lectura ni escritura. La recomiendo totalmente si eres profesional o quieres grabar vídeo de más de 1080p.</t>
  </si>
  <si>
    <t>Gran calidad a mejor precio Compré el lote para el tratamiento acústico de mi home studio, ya los he colocado todos y el resultado tiene poco que envidiarle al de otras marcas conocidas mucho más caras, sin duda volvería a comprarlo</t>
  </si>
  <si>
    <t>Estupenda relación calidad precio Muy bien para el precio que tiene</t>
  </si>
  <si>
    <t>Util Muy cómodo por el tamaño , carga rápido y la batería le aguanta bastante , muy bueno el detalle de que la cuchillas no funcionan si el vaso no está puesto , muy manejable para llevarlo en el carro y triturar la fruta del niño en el momento se limpia fácilmente  todo un acierto haberlo comprado 😀😀</t>
  </si>
  <si>
    <t>Calidad Al final lo cambié por una talla más y perfecto</t>
  </si>
  <si>
    <t>Cumple su función perfectamente y es un elemento decorativo Compré este humidificador después de comprar otro de otra marca y que nunca funcionó. Lo uso para humedecer el ambiente de mi casa,ya que vivo en una zona muy seca. Tengo una cas amuy pequeña, por lo que me vale de sobra para toda la casa.  Lo compré con una oferta flash de amazon y me salió a un precio genial. Es bonito, ligero, muy decorativo y echa un chorro enorme de vapor. Funciona perfectamente, el vapor es frío, tiene una capacidad perfecta que hace que dure el agua muchísimo. Se puede alternar el color de la luz led o apagarla si resulta molesta. Hace un ruido normal y en mi caso nada molesto. Volvería a comprarlo.</t>
  </si>
  <si>
    <t>Perfecto Todo como dice en la descripción</t>
  </si>
  <si>
    <t>Perfecta para maestros Buscaba una mochila para el nuevo curso, soy maestro. Esta mochila es perfecta por calidad, precio, y comodidad. Pesa poco, el material es tela gruesa, no es aspera pero es muy resistente. La mía es negra con detalles en marrón y me encanta porque no se mancha fácilmente, no se estropea como la polipiel y el color me encanta. Tiene un bolsillo para un pc de 15 pulgadas con una almohadilla y dos bolsillos grandes donde guardar libretas, triplex y archivadores. Yo he llegado a poner las tres cosas dentro y aún así me sobra espacio. Posee otro bolsillo esterior para estuche y el cargador, y ranuras para cartera y bolígrafos. Atrás tiene otro bolsillo más pequeño donde guardo llaves. En el interior tiene otro bolsillo con cremallera para guardar dinero o cosas más personales, y en los lados dos bolsillos elásticos para una botella, yo uso una de la marca tupper de 700 y cabe perfectamente. Muy contento con la compra y la recomiendo para profes o estudiantes</t>
  </si>
  <si>
    <t>perfecto! Perfecto. Es justo lo que estaba buscando. Las marcas estan geniales para calentar el agua justa para una taza tipo mug.</t>
  </si>
  <si>
    <t>Defectuosa Tienen buena pinta, pero venían descosidas y con las semillas por todas partes . así que las mande de vuelta.</t>
  </si>
  <si>
    <t>Bonitos pero se escurren de las orejas A medida que vas moviendo la cabeza se van escurriendo del agujero de la oreja hasta que se caen por completo. Los he perdido varias veces porque no me he dado ni cuenta de que se me han caído. No volvería a comprar este sistema de pendientes.</t>
  </si>
  <si>
    <t>Podría estar mejor Tiene mucho sitio pero se sacan difícil las tarjetas y en algunos sitios se ha roto el plástico al sacar alguna tarjeta.</t>
  </si>
  <si>
    <t>colores muy feos no me gusta nada</t>
  </si>
  <si>
    <t>Xx Muy mal. Son más grandes de lo que indica la descripción del artículo. No lo compraré nunca más. Muy descontenta.</t>
  </si>
  <si>
    <t>Pegamento de pantalla de alta calidad Muy bueno. Llego rapido y me a solucionado el problema</t>
  </si>
  <si>
    <t>Un poco pesada. Hace su función correctamente, por ponerle algún pero seria su peso, un poco excesivo si hay que moverlo a menudo, por otro lado estaría bien que tuviera algún interruptor para poder dejarlo enchufado sin que estuviera encendido.</t>
  </si>
  <si>
    <t>Cómodas Mi pareja dice que son cómodas y tienen una buena suela de goma para aislar el frío del suelo, incluso puede servir para bajar un momento a la calle.</t>
  </si>
  <si>
    <t>Buen sistema antireflujo. Buen sistema de aire antireflujo nuestro bebe no tiene problemas digestivos y se adapto perfectamente a las tetinas. Un inconveniente fue que uno de los biberones pequeños se ha agrietado al calentarlo en microondas. Mejor no calentarlos con este sistema.</t>
  </si>
  <si>
    <t>Javier iglesias Es útil pero el la publicidad se ve el hueco para llevar una botella de agua y es imposible meter una en el hueco donde tiene que ir.</t>
  </si>
  <si>
    <t>Excelente Me ha encantado , pequeñita y práctica para mis batidos</t>
  </si>
  <si>
    <t>Apropiado para su función Cumple su función perfectamente, y el cepillo pequeño para la aguja es muy útil. La relación calidad precio es buena.</t>
  </si>
  <si>
    <t>Acierto total No puedo estar más contenta con este aspirador. Cómodo de usar fácil de limpiar, aspira fenomenal y no te da pereza alguna usarlo, no ocupa apenas espacio y he podido compararlo con la Dyson V10 que tiene mi madre y puedo asegurar que la cecotec tiene más fuerza de subcion, viene con más accesorios que en la Dyson hay q comprar aparte y lo mejor de todo que cuesta bastante menos Un acierto total el haber elegido la cecotec.</t>
  </si>
  <si>
    <t>Bonitas A mi hijo le han gustado mucho.</t>
  </si>
  <si>
    <t>Multi dispositivo Este pendrive cumple con todo lo especificado, pues se puede conectar tanto a un dispositivo Android con micro USB o USB-C, como a un Apple o un ordenador con USB. Para utilizar el USB-C hay que añadirle el adaptador.  ¿Y la presentacion? Pues, muy bien y bonita con una caja de aluminio que le refuerza la puntuación.  En definitiva, muy recomendable.</t>
  </si>
  <si>
    <t>BUEN PRODUCTO A BUEN PRECIO Opino sobre este producto despues de meses de uso pues las compre en octubre del 2018, normalmente por mi actividad en la montaña suelo usar Bestard ó Chiruca con suela Vibram y membrana Gote-Tex pero quise probar estas por su precio y para terreno llano y media montaña, caza, setas,y sendas van muy bien, he leido opiniones diciendo que son de imitacion que no son de Nobuk si no de PU (plastico) de de eso nada son de cuero como bien se indica en el reverso de la lengueta, desde luego no son Nobuk pero es que en ninguna parte se indica que asi sea, el nobuk es una parte del cuero al cual se le da una teminanacion similar a la piel de melocoton, son de cuero con acabado fino pero de cuero, pienso que muchas veces se opina demasiado alegremente sobre un producto lo cual no ayuda a posibles nuevos compradores si no que les despista tortalmente, estan hechos en Vietnan si al igual que Nike y los Iphone todo asiatico y cuentan un paston. De lo unico que no puedo opinar es de su impermeabilidad ya que no los he usado con lluvia ó rocio muy intenso, pero tampoco la famosa membrana Gore -Tex resiste mucho si se le somete a condiciones duras de humedad , la suela omni-grip de columbia de caucho resiste (no se deshace como las de poliuretano) y se agarra bien aunque no es tan dura como la Vibram. En resumen un buen producto a buen precio, pero claro esta cuanto mas azucar mas dulce si se quiere mas unas Bestard ó Chiruca productos españoles con suela Vibram (Caucho) y menbrana Gore-Tex por un precio entre 120- 180€ para largas caminatas y alta ó dura montaña son lo ideal  y si quereis que la Gore.Tex os mantenga la impermeabilidad no os olvideis de ignifugarlas antes de cada salida con una buena rociada de Scotchgard de 3M, si no pronto notareis los calcetines mojados por mucha Gore-tex que lleveis.</t>
  </si>
  <si>
    <t>Mucha calidad. Maravillosa, excelente, potente ,cómoda de usar y de limpiar. Llevo ya preparados muchos platos con ella y por ahora super contento de mi compra. La recomiendo a todo aquel que quiera una buena batidora .</t>
  </si>
  <si>
    <t>buena durabilidad Es un disco que funciona rápido, por supuesto se instala bien y no da ningún problema. No obstante yo creo que un disco SSD para identificar la calidad del producto no solo hay que mirar la velocidad porque realmente todos la tienen y las diferencias entre unos y otros es mínima coma sino la durabilidad el número de escrituras que admite no es lo mismo tener un disco que admita 100 teras de escritura que aunque sea una cantidad bastante grande, en el uso día a día por poco que te despistes te lo puede liquidar en dos tres años; o uno que tenga 300 teras de uso total en grabaciones que entonces, realmente cuando quieras darte cuenta que el disco se está empezando a a llenar de uso ya C&amp;amp;A hecho obsoleto. Y este efectivamente tiene mucha durabilidad lo aconsejó</t>
  </si>
  <si>
    <t>Buena calidad de sonido, tanto del auricular como del microfono. Es exactamente lo que buscaba. Reduce el ruido del micrófono y te permite mantener conversaciones con ruido ambiente (igual si hay mucho tienes que taparte la otra oreja) Muy bien el poder ponértelo en la derecha o en la izquierda. Si hay que ponerle una pega es que tras mucho tiempo de uso molesta un poco la oreja (quizás un poco mas grande el auricular lo solucionaría), pero como puedes cambiar de oreja si tienes que llevarlo mucho tiempo y te molesta, a la otra oreja y listo. Relación calidad precio muy buena. Muy contenta con mi compra,</t>
  </si>
  <si>
    <t>Woh!!! Que calidad de audio por bluetooth Eso fue lo que pensé la primera vez que los usé... que definición de audio!!!! Me encantan los auriculares, y tengo esperanzas en la evolución de los true wireless apoyados por bluetooth 5.0. Estos auriculares ofrecen un sonido impresionante, para mi de lo mejor que he oído en true wireless, por fin un auricular sin los bajos potenciados. A cambio si tiene unos brillantes medios perfectamente diferenciados. Los agudos son precisos también así como los bajos precisos y marcados, pero no potenciados. A su vez forman una escena musical excepcional para un in-ear, muy amplia y diferenciada. Esto los hace perfectos para música acústica y vocal, algo rarísimo en unos auriculares bluetooth. Y eso que tengo los Bosé Sound Sport Free, Airpods, Enacfire y Jaybird Rin. Estos son los mejores en audio, empatados con un premium como el Bosé. Son muy cómodos una vez puestos, pudiéndolos usar a un volumen medio durante horas (sin problemas de autonomia, yo los he tenidos puestos más de 2 horas sin apagarse). Incluso los eartips que traen me gustan, son muy cómodos. Los he probado con spinfit y foam y me gustan más los que trae, al ser tan finos, transmiten mejor los agudos. Y personalmente encajan de lujo en mi oído. La conectividad; el primer día que los saque a la calle se me cortaba continuamente el derecho, microcortes incomodisimos. Simplemente los apague completamente (manteniendo presionada la superficie táctil 4 segundos) y al volverlos a encender, magia, ni un solo corte más. Menos mal, la verdad que me dejo planchado, pero parece que se solucionó fácil, espero que para siempre. Son 5.0, con lo cual no debiera ser un problema la conectividad. El control táctil.... está bien....., puedes subir bajar volumen, adelantar o retrocede pista, activar Siri, llamar sin darte cuenta..... Bien, pero con demasiadas opciones, si das un golpe de más la lías. A mi juicio un poco lioso, será cuestión de tiempo supongo. La batería, eterna. Los he usado más de 2 horas seguidas a volumen medio y quedaba más del 50% (puedes consultar la carga en las opciones de batería del iPhone). Además como la caja es powerBank de 3000mah, no se ni cuántas veces se podrán cargar. Al quitártelos y colocarlos en su caja se apagan (más bien creo que entran en stand-bay), al sacarlos se reconectan automáticamente, con mensajes de conexión en inglés (no en chino). Pero no se pueden conectar a más de un dispositivo simultáneamente. Esta característica de powerBank de la caja hizo que me decidiera por ellos, es una característica que ninguno de los que tengo poseía. En la caja es donde les pongo la mayor pega. Parece de escasa calidad, la tapa de plástico tiene una pinta endeble... Pero pese a ser powerBank no es muy grande Lo mejor: calidad de audio excelente en true wireless. Conectividad (si no me da más sustos). Comodidad. Precio (comparándolos con marcas premium) Lo peor: Control táctil demasiado extenso. Calidad de materiales de la caja powerBank.  Muy contento con ellos, de esas compras que disfrutas.</t>
  </si>
  <si>
    <t>La mejor kettle que he tenido Excelente producto. Ideal para uso diario de 2 personas. Nivel de ruido muy correcto teniendo en cuenta la rapidez con que calienta el agua. Aunque he leido quejas por la longitud del cable, a mi me parece adecuada, aproximadamente 70 cm de cable. Si te sobra cable se puede recoger en forma circular debajo de la base. Total que muy satisfecho con la compra.</t>
  </si>
  <si>
    <t>Gran camiseta deportiva Tras haber probado muchas camisetas técnicas de diversas marcas y fabricantes, he encontrado las mejores en este rango de precios. Estas camisetas Joma tienen un tacto estupendo, son muy suaves y están bien hechas. El uso que les doy es exclusivamente deportivo, transpiran bien y la talla es la correcta. Gran compra. Altura 1,80 m. Peso 83 kilos. Talla L.</t>
  </si>
  <si>
    <t>Genial Es un gran producto de una gran casa. Cumple a la perfección y es muy elegante. SIn duda, la compraría de nuevo.</t>
  </si>
  <si>
    <t>Calidad Con la plastificadora de amazon va muy bien y la marca al agua que hay en una de las caras desaparece. Producto a muy buen precio y</t>
  </si>
  <si>
    <t>Grata sorpresa Mallas muy cómodas, talla como se esperaba, muy ligeras y no aprietan. Las recomiendo.</t>
  </si>
  <si>
    <t>Perfecta Es maravillosa. Funciona perfectamente y tiene una potencia muy buena. Los accesorios son geniales. El suelo de mármol lo deja brillante. Además la compré en oferta; no puedo estar más contenta.</t>
  </si>
  <si>
    <t>Perfectos El tejido súper suave, muy cómodos y sin apretar. Por poner una pega, la tira que va encima del hombro, queda muy cerca del cuello con lo cual si llevas camiseta de cuello un poco abierto, se ve la tira. Pero a mi no me molesta, solo como observación. Entrega dentro de plazo y bien empaquetado. Los compré para usarlos en el trabajo y tener mejor libertad de movimientos sin preocuparme de las dichosas tiras que acaban bajando y a cada momento debes ponerlas en su sitio. Cumplen perfecto con mis espectativas.</t>
  </si>
  <si>
    <t>Excelentes auriculares del tipo bajista. Tengo otros auriculares de Beyer, el DT880 de 250 ohmios, que tiene una firma sonora mas neutra, con las frecuencias niveladas, este, ademas de ser cerrado, tiene las frecuencias orientadas al perfil en V, con agudos y graves mas marcados que los medios. Son divertidos para escuchar musica electronica, el resto de musica la hacen bien y para monitorizar instrumentos (los uso con la guitarra electrica) van genial, ademas son comodisimos.</t>
  </si>
  <si>
    <t>No sujeta No ajusta nada</t>
  </si>
  <si>
    <t>Bien Llegó con relativa rapidez. Es bonito aunque no sujeta mucho es un top, como una mini camiseta. Yo pedí una XL porque ahora tengo bastante pecho y me está grande. Comprar productos de Asia por el tema del tallaje es complicado. En mi opinión si quieren vender en Europa deberían de tener en cuenta el tallaje de aquí.</t>
  </si>
  <si>
    <t>En tamaños pequeños falla mucho. Que pena me da decir que no funciona como lo esperado, porque a la vista para mi, es bonita, se ve robusta y que el mecanismo es fuerte y no hay que hacer presión, y el precio es bueno, pero es que falla mucho.. la quería para fotos y la perforacion de 4mm es que en cada foto da algun fallo siempre, un corte extraño que repitiendo la presion no se arregla. en 7mm algo menos y con 10mm bien. Lo he usado con varios tipos de papel (folio, fotografico, cartulina, papel 300gr... ) por si era una máquina enfocada solo al papel de scrap, pero ocurre lo mismo. Para mi, no da buen resultado.</t>
  </si>
  <si>
    <t>Al mes se ha roto. Al mes de utilizarlo se rompió de uno de los lados. Quebrado y sin posibilidad de arreglarlo.</t>
  </si>
  <si>
    <t>El micrófono está usado (the microphone is used) The microphone is used, it shows in the base,  one of the legs of the microphone  is scratched. The packaging shows that it was opened before, they probably had the microphone in an exhibitor or showcase. Very bad</t>
  </si>
  <si>
    <t>Eficaz Muy buen producto, lo uso para repasar el restaurante y la casa, un aroma muy bueno</t>
  </si>
  <si>
    <t>Muy util Me gusta mucho, yo que hago 4 zumos por la mañana, me viene genial poder exprimir una naranja a la vez. Como pega pondria que se limpia un poco mal, pero le quito lo mas gordo y al lavavajillas. Comprare otro para mi hija, porque me ha resultado muy util.</t>
  </si>
  <si>
    <t>Se ve muy bien Tengo el brillo al nivel 3 y se ve bastante bien. en casi cualquier situación. A pleno sol, mucho sol, seria mejor ponerlo al 4, pero por la noche ya brilla con el 3 bastante. Es una pena que no tenga brillo automático, pero igual se comería antes la batería. Lo he usado, por ahora, solo para andar o correr y estoy contento. La bacteria, bueno, lo tengo que cargar cada 3-4 dias, Eso que no tengo nada puesto, ni mensaje, ni .... Solo GPS y medidor frecuencia para salir a andar o correr. Los dígitos se ve bien.</t>
  </si>
  <si>
    <t>Cumple su función Cumple su función, buen precio</t>
  </si>
  <si>
    <t>Sirven bien Me Taya más grande que mi número habitual, de ahí que la reseña no sea quizás como podría ser. Son cómodas, yo que tengo los dedos en garra son muy agradables ya que la tela es muy elástica y se adapta muy bien a los dedos, al ser un más grande de lo previsto en lugares con raíces y piedras en ocasiones rozo. He subido al monte en bastantes ocasiones y agarran bastante bien, tampoco para tirar cohetes. Suela es dura así que tampoco se nota en exceso el piso aunque se agradece para totar... Por el precio volvería a comprar con un número menos</t>
  </si>
  <si>
    <t>Sorprendentes Le encantó era para regalo quedan muy elegantes puestos</t>
  </si>
  <si>
    <t>Paciencia y tiempo para montarlo Es muy creativo y un regalo muy original</t>
  </si>
  <si>
    <t>M gustan Como en la foto</t>
  </si>
  <si>
    <t>Robusto. Un buen metro, es robusto y preciso</t>
  </si>
  <si>
    <t>Ya no hay excusas!!!!! Creo que para alguien como yo que quiere grabar sus canciones en casa con un sonido decente es lo mejor. La calidad del conjunto es buena y mas por el precio que traen. Hay que tener en cuenta que si lo conectas a una interfaz tendras que comprar un adaptador (hembra minijack/macho XLR), porque el cable del micro tiene salida miniJack.</t>
  </si>
  <si>
    <t>converse Buen zapato, buena calidad buen diseño, el color negro se convierte en el mas decoratvo, el mas perfecto para combinar con todo.</t>
  </si>
  <si>
    <t>Muy bien Muy bien gace masaje y da calor a la vez</t>
  </si>
  <si>
    <t>Muy buena compra Es muy comodo para entrenar, con algo de relleno que siempre viene bien para estilizar mas</t>
  </si>
  <si>
    <t>De los mejores auriculares gaming en este rango de precio Buenos auriculares, con sonido envolvente. Traen una tarjeta de sonido externa, por usb. He tenido varios de ellos, porque al cabo de un tiempo el micrófono deja de sonar bien, o una de los laterales no funciona más. Sin embargo, mientras duren son maravillosos. Eso sí, las esponjas de las orejeras convien darles un lavadito de vez en cuando porque acumulan bastante suciedad (sobre todo sudor), y son de un color bastante claro.  Recomendados como iniciación a auriculares gaming, antes de hacer un desembolso mayor en alguno de gama mas alta</t>
  </si>
  <si>
    <t>Buena calidad , y a muy buen precio Buen producto a muy buen precio, lo recomiendo</t>
  </si>
  <si>
    <t>Que son ligeras y cómodas Son bastantes anchas para una chica, auque pone que son de hombre... Pero a mi me encantan. Muy cómodas y ligeras. Me compré una talla más y acerté. Son muy claritas, más de lo que pensaba pero repito que estoy encantada y volvería a comprarlas</t>
  </si>
  <si>
    <t>Regalado Lo elegí por el precio pues suelo cambiar bastante de reloj, por el precio que es está genial, muy buenos acabados, ligero y funciona perfectamente. Para llevar a diario genial.</t>
  </si>
  <si>
    <t>Producto bueno a buen precio Producto estupendo. No es un bolso pequeño, mide alto 28cm, ancho 23cm y profundidad 6cm, pero no es algo enorme. Está bien forrado, acabados de calidad y muchos compartimentos dentro. Muy contentos con la compra y a un precio estupendo</t>
  </si>
  <si>
    <t>Merece la pena Me gusta mucho. Se nota que no es plata, pero es muy vistoso y por el precio, merece la pena, de veras.</t>
  </si>
  <si>
    <t>Perfeito Perfeito. Obrigada.</t>
  </si>
  <si>
    <t>Fantástica!!!! Me compré una después de dudar entre algunos modelos.  Sólo puedo decir maravillas de ella porque este invierno me ha ido fantástica.  Preparaba un llitro de infusión de tomillo por la mañana y durante el resto del día, cada vez que quería un poco, lo calentaba a 50º y me servía.  Cuando se me acababa volvía a hacer un litro... Pero lo mejor es que no había encontrado un filtro tan bueno como el que incorpora el hervidor, que no deja pasar ni el más mínimo resto de hierbas, y conste que el tomillo era casi polvo y antes del hervidor probé con un montón de trastos porque me da mucha rabia encontrar restos de hierbas. Como hervidor simplemente va genial porque el poder graduar la temperatura del agua es lo suyo.  Tiene un diseño bonito y cuando está funcionando los colores son un valor añadido. Lo tengo siempre a la vista porque toda la familia lo utilizamos. Para mi sorpresa, al ir a comprar una segunda para mi hermana, ha subido nada menos que 20€!!!.  La verdad me lo oestoy pensando....</t>
  </si>
  <si>
    <t>Súper contenta con la compra La instalación es súper sencilla y yo no soy experta en informática. La he configurado con el móvil y he mandado enlaces por correo y wasap para descargar la aplicación desde el ordenador y los otros dispositivos de mi hogar. También he configurado el plan de 100 páginas al mes y es súper sencillo. Realmente el móvil te va diciendo todo lo q tienes q hacer. Respecto a la calidad de la impresión me encanta. He imprimido un Excel y una fotografía y tiene mucha calidad la imagen.</t>
  </si>
  <si>
    <t>Muy buen aspecto. Muy bonito y de calidad.</t>
  </si>
  <si>
    <t>Buen producto Muy útil las marcas que tiene en el interior para a la hora de rellenar ajustar la cantidad de agua a una taza u otras medidas. Calienta rápido, después de unos meses de uso la durabilidad es buena y la relación calidad-precio es muy buena.</t>
  </si>
  <si>
    <t>Da calor Muy pequeño</t>
  </si>
  <si>
    <t>Buenas calidades pero no se me ajustaban a la oreja Buenas calidades y terminaciones, pero en mi caso lo he devuelto porque se me caían con facilidad aún cambiando entre los diferentes juegos de almohadillas que trae, no conseguí que se me ajustasen, son los primeros que me pasan algo similar</t>
  </si>
  <si>
    <t>Calidad paupérrima Se rompe tanto que no aguanta un tirón al precintar sin romperse y cuesta recuperar el punto de lo fina que es.</t>
  </si>
  <si>
    <t>Poca potencia Poca potencia</t>
  </si>
  <si>
    <t>Poca durabilidad, 1 mes de uso y ya no valen En menos de 1 mes se han peleado por dentro, no es buena compra. Por lo demás pesan lo suyo aunque te acostumbras y son cómodos hasta que se ha roto la zona del talón</t>
  </si>
  <si>
    <t>De momento bien Tal como en la descripción. El paso del tiempo y el uso me dirán si ha sido una buena compra. De momento bien.</t>
  </si>
  <si>
    <t>Bien El título describe perfectamente el producto, ni es malo ni es perfecto, es bueno. Buen precio, buena comodidad, buenos materiales, buen masaje, etc... Eso sí, como regalo es muy bueno.</t>
  </si>
  <si>
    <t>Calidad, precio y rapidez Calidad, precio y rapidez.  En principio parece la correa original. Por el precio merece la pena pedirsw al menos dos.</t>
  </si>
  <si>
    <t>Cumplen Cumplen con su cometido, la unica pega es el cierre, que es un poco frágil y difícil de hacer que entre en el agujero</t>
  </si>
  <si>
    <t>Para mí el mejor Gran acabado y durabilidad, la tetina se asemeja mucho a la del chupete por lo que es más fácil adaptarse al bebé</t>
  </si>
  <si>
    <t>es lo que deseaba se adapta muy bien a la mano, la memoria es muy correcta,, se nota todo después de muchas horas de juego. ya no me cansa tanto la mano,,, lo recomiendo---</t>
  </si>
  <si>
    <t>Buen producto Bonito tamaño adecuado práctico y buen material</t>
  </si>
  <si>
    <t>A esta familia le gusta mucho Almohadilla calefactora eléctrica grande de 50 * 80 cm, adecuada para usar en los pies. Es muy conveniente y muy práctica. A esta familia le gusta mucho, y el invierno no le tiene miedo al frío.</t>
  </si>
  <si>
    <t>Una de las mejores compras!! Es el segundo par que compro! Totalmente a gusto.. me encantan!!!</t>
  </si>
  <si>
    <t>Muy cómodos y buena calidad. Son muy cómodos y para el precio q tienen son de muy buena calidad.Ya los tenía en rojos y ahora me he decidido por los blancos q esta guapísimos,los utilizos para diario chándal o vaqueros, me encantan.</t>
  </si>
  <si>
    <t>muy suave Es un producto muy suave y ligero y que si se te va la mano en el parpado no molesta,se absorbe muy bien por la piel del contorno de ojos, desde que me llego el dia 10, lo he estado aplicando todas las noches y ahora os puedo decir que noto estirez en la piel, luminosidad que ya poco a poco estaba perdiendo, la verdad no me va a faltar a partir de ahora, lo recomiendo.</t>
  </si>
  <si>
    <t>Cinta resistente multiusos Fácil de cortar y de pegar en cualquier superficie.  Cualquier objeto que pongas se quedará pegado y no se moverá.</t>
  </si>
  <si>
    <t>Da mucha calor Es muy calentita y sienta muy bien</t>
  </si>
  <si>
    <t>Las auténticas Timberland de 6 pulgadas. Llevaba tiempo queriendo hacerme con un par de botas Timberland, las originales de 6 pulgadas. Pero su precio en tienda oficial me ha tirado siempre un poco para atrás. Hasta que las encontré muy rebajadas en Amazon.  Se trata más de unas botas de invierno "de vestir" que de unas botas "de montaña". Para realizar actividades como el trekking, por ejemplo, sería recomendable pensar en un calzado más especializado.  Las botas Timberland, además de ser preciosas, son ideales para el invierno o para regiones de montaña: abrigan y protegen el pie y los materiales de los que se construyen son de gran calidad (piel nubuk genuina). Para aquellos que quieran incluirlas en su outif, recomendaría comprar dos productos complementarios: el spray impermeabilizador y el spray limpiador, ambos de la propia marca Timberland. De este modo nos aseguramos tener las botas en perfectas condiciones durante años.</t>
  </si>
  <si>
    <t>Un gran descubrimiento Mi hija tiene la fea costumbre de pintar por todas partes y en ocasiones pinta en la pared y en los muebles. Me habían recomendado el borrador mágico pero no sabia donde encontrarlo y vi por casualidad un anuncio de que lo venden en Amazon así que me lancé a pedirlo. Lo he usado en la pared para las manchas de suciedad y para la pintura que no pudimos eliminar de los muebles, el resultado es espectacular. También va muy bien para las zapatillas las tenía manchadas de crema y no salía las manchas por mucho frotar. No es abrasiva por lo que no se lleva el color, es un descubrimiento.</t>
  </si>
  <si>
    <t>Gran reloj Excelente reloj para regalo de cumpleaños</t>
  </si>
  <si>
    <t>Excelente producto Excelente precio,tallaje perfecto y producto de calidad.Sin competencia.</t>
  </si>
  <si>
    <t>Relacion calidad/precio Creo no equivocarme al decir que estos son unos de los mejores cascos in-ear en lo que respecta a la relación calidad/precio, suenan bastante bien y son bastante comodos, xiaomi no decepciona en esta ocasión.</t>
  </si>
  <si>
    <t>TODO PERFECTO. EL PRODUCTO ES COMO SE DESCRIBE. MUY RAPIDO EL ENVÍO. CONTENTO CON LA COMPRA.</t>
  </si>
  <si>
    <t>Bueno Bonito Barato Muy buena relación calidad precio. Repetiré sin duda.</t>
  </si>
  <si>
    <t>Cumplen su objetivo con creces Los tengo desde hace casi 2 meses y por ahora van genial, tienen muy buena calidad de sonido, aislan muy bien del exterior, yo los utilizo para ir a la universidad y escuchar musica de spotify y cumplen su objetivo con creces.  Edito - 20/02/18 Ya han pasado mas de 6 meses que los tengo y me van genial, nunca antes me han durado unos auriculares mas de tres meses, y estos siguen funcionando a la perfeccion manteniendo su calidad de sonido, es cierto que su material se ha desgastado un poco por el uso intensivo que les doy (los uso cada dia por una media de 3 horas), pero el sonido sigue siendo muy bueno, los recomiendo al 100%.</t>
  </si>
  <si>
    <t>Sin preciosas amo esta marca Los tálles  según la empresa varían</t>
  </si>
  <si>
    <t>Excelente muy bonitos los pendientes quedan muy bien.</t>
  </si>
  <si>
    <t>No me ha funcionado La compramos hace tiempo para salsas, y era imposible trabajar con ella, por que se para en breve, se calienta enseguida y deja de funcionar, teniendo que esperar, un buen rato, para continuar. Desde el primer uso, siempre se ha parado y ha dejado de funcionar. No nos ha sido útil esta compra, para elaborar mezclas y salsas.</t>
  </si>
  <si>
    <t>Justa calidad precio Diseño lo q mas me ha gustado  y la calidad lo q menos me ha gustado aunque lógico por el precio abonado.</t>
  </si>
  <si>
    <t>pendientes están bien  pero quedan algo pequeños  pero son bonitos</t>
  </si>
  <si>
    <t>Problema en su diseño Los auriculares cuentan con un acabado muy aceptable, pero con un problema de diseño a mi modo de ver. No se adaptan bien a la forma de mis orejas, hasta ahí todo correcto, puesto que es muy difícil crear un auricular que se ajuste a la forma de todas las orejas. Vienen con unas fundas (solo en una medida, por cierto) que pueden ayudar a que el ajuste mejore. Pero ahí es donde radica el problema de diseño que comento: si colocas las fundas en los auriculares, éstos ya no encajan en su caja de transporte/recarga, por lo que cada vez que los has de recargar o guardar has de quitar las fundas. Si no, la caja base no cierra, imposibilitando de esta manera la recarga de los auriculares. Por lo demás, los auriculares están bastante bien, con una calidad de sonido aceptable para este tipo y precio de auriculares bluetooth .</t>
  </si>
  <si>
    <t>Para mi k la tela sea buena Muy muy ....pequeño no parece ni talla s ...y pedi una talla M</t>
  </si>
  <si>
    <t>Plástico malo Se rompe con facilidad</t>
  </si>
  <si>
    <t>Correcto mas grande de lo esperado</t>
  </si>
  <si>
    <t>Musgo blanco. El olor es muy bueno y agradable. Con 3 gotas por cada 100ml es suficiente por lo que hace que el bote aún siendo pequeño su duración sea larga. El olor perdura hasta agotarse el recipiente del humuficador cosa que con otros aceites es dificil conseguir. Relacion calidad precio recomendable. El unico pero que le pongo es que lo tengo delante de un espejo y me lo deja pringoso cosa que con otros aceites no me ha pasado.</t>
  </si>
  <si>
    <t>Todo ok Buenas zapatillas</t>
  </si>
  <si>
    <t>Olor buena, transporte malo El producto está muy bien, la olor es muy agradable, a ropa limpia, pero tardo cerca de tres semanas en llegar.</t>
  </si>
  <si>
    <t>Cumple su función El producto cumple su función.  Los pros en mi caso serían:  - Es silencioso y no molesta para dormir o para tenerlo encendido durante todo el día. - La opción del color va muy bien por la noche, con las luces apagadas, relaja mucho. - Es cómodo poderlo controlar con el mando a distancia. - Si se queda sin agua se apaga automáticamente. - Se puede programar a 1h/3h/6h y sin apagarse. - Se puede programar para que esté continuamente funcionando o de forma intermitente. - Se puede cambiar el color de la luz. - Va enchufado a una toma de corriente. - En la caja también encontramos un vaso medidor. Como contras en mi caso serían:  - Si pongo 300ml o más se moja todo alrededor del aparato al estar funcionando, pero con 100 ml dura unas 6 horas. - En mi caso tengo una TV Samsung y cuándo bajo el volumen a la televisión se cambia la configuración del tiempo del humificador. - Si estás a más de 5 m, no recibe la señal del mando.  A pesar de todo me alegro mucho de la compra y no me arrepiento, después de estar unos días comparando diferentes humificadores.</t>
  </si>
  <si>
    <t>calidad precio Que decir una tarjeta de memoria nada mas va bien y ya esta</t>
  </si>
  <si>
    <t>Bastante Original Pequeñito, con cinco modos de funcionamiento y se puede sumergir en el agua, así que es tal cual se describe el articulo, un original masajeador.</t>
  </si>
  <si>
    <t>MUY CONTENTO, UN PRODUCTO DE CALIDAD La valoración es muy positiva porque la relación calidad precio es inmejorable. La batidora es robusta y elegante. Desmontable facilmente. Con el brazo más largo que otras de su gama. La potencia es de 1000w. Para el precio que tiene es muy buena potencia y suficiente para un uso cotidiano.</t>
  </si>
  <si>
    <t>Preciosas Me encanta, ponible, cómodas y muy bonitas. No se aprecia pero tiene brillos x las flores y la lengueta</t>
  </si>
  <si>
    <t>Funciona de verdad Contentísima</t>
  </si>
  <si>
    <t>impresionantes hace ya casi un año que los tengo , tiene un sonido increíble , nítido y con unos grabes muy equilibrados , tienen con una bolsa para transportarlos son pequeños y se adaptan perfectamente al oido, traen almohadillas de tres tamaños... me encantaron son perfectos</t>
  </si>
  <si>
    <t>Protege los pies Es muy recomendable para la playa.  Permite caminar sin tener que sortear piedras o arena gruesa. También en piscina agarran bien. Secan rápido. Estoy satisfecho.</t>
  </si>
  <si>
    <t>Fã de Tim Burton Un reloj de película para un regalo a una fã de Tim Burton. És bonito y preciso</t>
  </si>
  <si>
    <t>- Buen esterilizador, cumple con su función. Trae bolitas de cuarzo</t>
  </si>
  <si>
    <t>Compra muy satisfactoria La compra ha sido muy satisfactoria desde el punto de vista logístico, la información actualizada de la localización de la mercadería. Y muy importante también, la calidad del producto.</t>
  </si>
  <si>
    <t>Muy bonitos Muy bonitos y muy bien embalado. Tal y como lo esperaba</t>
  </si>
  <si>
    <t>De maravilla! Va perfecto y tiene mucha potencia de aspiración, sobre todo en las alfombras,lo único que le veo mal es él depósito de basura,porque cuándo abres la tapa, tienes que tener cuidado para que no te manches la mano con lo que cae,pero bueno,con un poco de cuidado se resuelve él problema!</t>
  </si>
  <si>
    <t>Fantástica compra La hemos utilizado durante años y funciona como el primer día. Materiales de primera. Muy satisfechos con la compra.</t>
  </si>
  <si>
    <t>Un buen G- Shock Buen reloj, ideal para aquellos que busquen un G- Shock a buen precio. La numeración en la pantalla invertida se ve muy bien y es muy cómodo de llevar.</t>
  </si>
  <si>
    <t>Práctico barato y de calidad Buenos materiales, mayoría aluminio, muy funcional para folios y libros, buen precio el clip y la guía de lectura se pueden quitar fácilmente</t>
  </si>
  <si>
    <t>batidora portatil Batidos  diarios La potencia es suficiente para mis batidos de frutas . . Rapido, comodo, se lavada rapido quedando limpio perfectamente. Y muy comodo para guardar y cargar ,si quieres llevarlo a algun sitio es la mejor obcion, El adaptador usb permite conectarlo donde quiera. Todo un exito esta compra ,la recomiendo.</t>
  </si>
  <si>
    <t>La relacion CALIDA-PRECIO Me gusta la comodidad en el momento de usarlo, y de momento no tengo ningún, pero?</t>
  </si>
  <si>
    <t>Compatible con Conga Execllence 990 Igual que la original (Conga cecotec excellence 990). Contentísima con la compra.</t>
  </si>
  <si>
    <t>Talla francesa vendida como talla europea!!! Pongo sólo dos estrellas a pesar de la chancla me vale porque la compré en talla 47EUR y me ha llegado una 47FR (francesa). Así que tened xuidaso a la hora de elegir la talla</t>
  </si>
  <si>
    <t>Todo correcto, lo que se esperaba. Aceptable sin más.</t>
  </si>
  <si>
    <t>Un fiasco en toda regla Las imágenes y la descripción no tienen nada que ver con el producto, en vez de unos pantalones de compresión son holgados, tan básicos que no llevan ni un triste bolsillo interior donde guardar las laves No volveré a comprar ropa deportiva mi experiencia ha sido muy negativa.</t>
  </si>
  <si>
    <t>Pesimo disco duro Un año y a dejado de funcionar sin apenas utilizarlo en un portatil. Estoy buscando informacion para utilizar la garantia y no encuentro nada. Un 10 para amazon que se ha encargado de la devolución.</t>
  </si>
  <si>
    <t>Buena calidad Buena calidad, costuras resistentes. Pequeño y manejable. El único problema que le veo es que hay algunas "paginas" en las que cuesta meter la tarjeta. Por lo demás todo perfecro.</t>
  </si>
  <si>
    <t>Buen producto, entrega rapido No le pongo 4 estrellas porque la vez anterior que lo compré el tarro estaba abierto y el producto se derramó por toda la caja. lo devolví y sin problemas. Esta vez ha llegado perfecto!!</t>
  </si>
  <si>
    <t>POSITIVO Me ha gustado el aspecto en general No me ha gustado del todo su calidad Lo uso para disfraz de escoces</t>
  </si>
  <si>
    <t>Bien, de momento. Me parece correcto. A ver cuanto aguanta.</t>
  </si>
  <si>
    <t>huelen muy bien los uso para echar en el humidificador y en unos minutos dejan un olor muy agradable en la habitación.</t>
  </si>
  <si>
    <t>Perfecto y batería muy buena Llega perfecto, tal como en las fotos, son muy cómodos, la batería es increíble, la primera vez que los cargué llevaba casi dos semanas utilizando a diario los auriculares y ni siquiera se había acabado del todo, quedaba un quarto de batería. La calidad de sonido es bastante buena. Una de las mejores cosas es que en caso de quedarte sin batería puedes usar el cable jack que va incluido y listo.</t>
  </si>
  <si>
    <t>Buen trato de Amazon Hubo un pequeño equivoco y no se me mando el disco solicitado contacte con amazon y todo fueron facilidades. Me enviaron el correcto y un mensajero para recoger el otro. Todo sin gastos extras</t>
  </si>
  <si>
    <t>Diversión asegurada Regalo ideal para los niños, se pasan horas entretenidos. El micrófono reproduce música a través de bluetooth tanto desde un móvil como desde la televisión, el altavoz suena bastante bien y la batería ducha horas y horas. Además, se puede reproducir música contenida en la tarjeta microSd.</t>
  </si>
  <si>
    <t>Calidad Llegó puntual y perfecto, lo Q esperaba.</t>
  </si>
  <si>
    <t>Pantalón verde Color ajustado a fotografía del producto. Queda bien adaptado y muy bonito ni muy flojo ni muy justo</t>
  </si>
  <si>
    <t>genial funciona perfectamente muy util para hacer masajes faciales</t>
  </si>
  <si>
    <t>Me gusta Es muy bonito, me gusta mucho, y es plata de ley, por que no me da alergia, de hecho pediré otra para regalar.</t>
  </si>
  <si>
    <t>Hervidor de agua de 1L Sólo puedo decir maravillas de este producto. Es muy fácil de limpiar, es bonito, ligero y tiene medidores dentro para saber hasta dónde tienes que llenar (en tazas) y fuera en medidas de siempre. Se apaga solo cuando está el agua lista por lo que no tienes ni que estar pendiente. El cable se puede enrollar debajo para facilitar el orden en la cocina.</t>
  </si>
  <si>
    <t>Bonito diseño y buen sistema de ajuste. Diseño elegante, bonita, bien acabada, se ajusta perfectamente gracias a su sistema. Tanto para regalo como para autoregalo, de buena calidad, fina, mi mujer no tiene problemas de irritación y le ha encantado. Tiene cristales Swarovski y brilla. Para mí, una gran compra y más sabiendo que a mi mujer le gusta el árbol de la vida. Recomendada.</t>
  </si>
  <si>
    <t>Buena calidad Suave y bonito</t>
  </si>
  <si>
    <t>Buena calidad Buen precio</t>
  </si>
  <si>
    <t>Comodisimas Me han encantado. Volveré a comprar.</t>
  </si>
  <si>
    <t>carmen genial tiene mucho trote y me va genial el sonido estupendo .y que tenga mando a distancia es necesario y muy comodo</t>
  </si>
  <si>
    <t>Perfecto. Mi marca preferida Perfecto</t>
  </si>
  <si>
    <t>Preciosa Me encanta!</t>
  </si>
  <si>
    <t>Producto plus!! El humidificador es de muy buena calidad, da un olor muy bueno para su bajo coste, y además tiene un aspecto a madera muy bonito que combina muy bien con mi casa, también incluye 2 botones, uno de ellos para elegir el modo de humidificador, y el otro para poder elegir el modo de los led o incluso desactivarlos, es una compra muy recomendada por su bajo coste y su gran calidad</t>
  </si>
  <si>
    <t>Patri Me an encantado de tamaño perfecto para poder hacer alguna decoración a parte de los nombres...y me queda perfecto para lo q quería lo recomiendo 100%</t>
  </si>
  <si>
    <t>Robusto Cumple su función muy bien, pero en la descripción del producto no dicen claramente que viene con la pieza que sujeta el micro y tuve que comprar otra a parte. Saludos</t>
  </si>
  <si>
    <t>Acero inoxidable y cromados Muy buenos resultados</t>
  </si>
  <si>
    <t>La mala terminación que tiene Es bonito y no se pone feo pero es muy incómodo se engancha con todo</t>
  </si>
  <si>
    <t>Buenos auriculares, buen sonido, mal micrófono y regular conectividad Los auriculares cumplen perfectamente con su función al escuchar música, ver películas o vídeos. Ahora bien, el micrófono no es bueno, y al efectuar llamadas es muy dificil comunicarse a no ser que uno hable a gritos. La conectividad de los auriculares a veces falla pero se re-conectan o re-ajusta automaticamente (conectividad regular-buena) En resumen, se pueden usar en cualquier movil con lo cual no estan mal, desde luego no pueden competir con los de alta gama, pero por su precio que es tres veces menor creo que nadie lo espera.</t>
  </si>
  <si>
    <t>Buenos cascos Un producto correcto para su precio. Conecta bien a los dispositivos de casa. La fidelidad del sonido es la esperaable, dentro de su precio.</t>
  </si>
  <si>
    <t>Muy informales Defecto de fábrica en el pie izquierdo, v pero no el vendedor ni Amazon se hacen cargo. Se siente uno totalmente indefenso y estafado</t>
  </si>
  <si>
    <t>Devolución porque he llegado demasiado tarde Por algún error de logística, nos ha llegado día y medio tarde... Dado que era preciso volcar y reiniciar todo nuestro sistema de archivos en la oficina, nuestro informático ha tenido que instalar otro disco similar que compró él. Sé que es un buen producto porque así lo recomiendan los de la empresa que nos llevan todo este tema, pero como ha llegado tarde lo hemos devuelto.</t>
  </si>
  <si>
    <t>Todo ok Bien todo</t>
  </si>
  <si>
    <t>bien diseñado Su diseño es acertado, aunque se usa poco, pero la relación costo/calidad es aceptable.</t>
  </si>
  <si>
    <t>Fácil y rápido La verdad es que no sabíamos que existía este artículo pero, en cuanto lo vimos, supimos que era lo que andábamos buscando. Sin necesidad de enchufar el teléfono al pc, fácil y rápido. Sirve para hacer copias de seguridad del contenido del teléfono. En nuestro caso, por ejemplo, lo usamos para salvar las fotos. Es de uso fácil para una persona mayor. Hay de varias capacidades que, muy a menudo, ponen en oferta. No podemos opinar en cuanto a su durabilidad porque es de reciente adquisición. Por nuestro parte, artículo recomendado. De hecho, hay varios en la familia.</t>
  </si>
  <si>
    <t>Cumple con su funcion No hay mucho que decir sobre esta marca y sobre una targeta que a dia de hoy puedo decir que no me ha fallado nunca. ha sido una buena compra y lo volvería a hacer. El mundo de la informatica cambia muy rapido asi que la proxima será demas capacidad :)</t>
  </si>
  <si>
    <t>Cumple con los requisitos Se ajusta a la descripción, es un poco transparente</t>
  </si>
  <si>
    <t>Cumple con su función Buen calentador de agua que la hierve muy rápido</t>
  </si>
  <si>
    <t>Producto de calidad y un soporte del vendedor de 10. Se tratan de unos auriculares de material de muy buena calidad de construcciòn que se acoplan perfectamente a la cabeza y oidos sin molestar a pesar de las horas de uso.  Emplean una tecnología bluetooth versiòn 4.0 que se conectan rápidamente a un smartv, iPhone, Samsung o cualquier dispositivo que tengan bluetooth para reproducir música.  Su sonido es bastante bueno y no distorsionan a pesar de subir el volumen bastante.  Posee botones en los laterales que controlan perfectamente todas las funciones de reproducciòn como las de recibir llamadas de mòvil. Por cierto, con ellos puestos se puede entablar una comunicaciòn adecuda mediante una llamada de mòvil sòlo por bluetooth (por cable conectado no funciona el micròfono).  Su duraciòn es de bastante horas de funcionamiento si tenerlo que cargar, supuestamente de cerca 30 horas (duran dos semanas sin cargar si lo usas un par de horas diarias).  Está acompañado por una funda, y dos cables, una de tipo minijack en plan prolongador cuando los quieres conectar directamente a un dispositivo tipo iPad, iPod, minicadena... sin emplear el bluetooth; y el otro cable para alimentarlo de tipo USB a un adaptador de corriente (que no incluye) de cualquier mòvil que tengas en casa. Tardan unas dos horas en cargarse.  Por el precio y calidad de estos auriculares, los recomiendos sin duda.</t>
  </si>
  <si>
    <t>ES LO QUE ESPERABA.okxx es muy completo , tienes muchos bolsillos, y compartimentos, con multiples cremalleras , IDEAL, Y ESPACIOSO. BUENA COMPRA, CALIDAD PRECIO.</t>
  </si>
  <si>
    <t>Batidora Es fácil de usar y de limpiar.</t>
  </si>
  <si>
    <t>Hervidor rápido y estético. Es el primer hervidor que tengo y estoy encantado con la rapidez y sencillez de preparación. Mientras colocas la taza y el té el agua ya está hervida. Estética muy cuidada y materiales de buena calidad. La boca no gotea al servir y el asa no se calienta teniendo un buen agarre.</t>
  </si>
  <si>
    <t>Me encuentro muy agusto con ellas Me encuentro muy agusto con ellas. Lo recomiendo ahora para el verano bienen muy bien. son frescas para este verano.</t>
  </si>
  <si>
    <t>Manta electrica Estupenda eleccion. cumple con lo que promete, buenas medidas y 3 niveles de calor. Muy satisfecho con la compra. El unico pero que tardo un poco mas de lo prometido en llegar.</t>
  </si>
  <si>
    <t>Cumplen con su cometido Por dimensiones son perfectos para unos Presonus ERIS 4.5. Aunque todos estos productos son bastante caros para lo que realmente son.</t>
  </si>
  <si>
    <t>Buen sonido Son un cascos bluethott que se escuchan muy bien y con gran calidad. He visto que el derecho lo podemos usar por independiente al izquierdo si queremos hacer llamadas solo. La base de carga además lleva una batería interna que los carga cuando los dejamos de usar. La duración de la batería es buena aunque no nos pasaran de la 3 horas de uso continuo. Tampoco es posible tener mucha batería en algo tan pequeño, por eso la base de carga a demás de servir para guardarlos, los carga. En el sonido bien y en las llamadas también bien. Se nos escucha alto y claro y aunque se nos puede llagar a escuchar un poco lejos, no se problema de los cascos, muy posiblemente sea problema del otro movil al que llamamos. En general buena calidad y a un precio muy bueno y el sonido excelente. Me gusta</t>
  </si>
  <si>
    <t>Muy cómodos Son muy cómodos y el sonido muy óptimo.Muy buena relación calidad precio. Tiene micrófono.Lo recomiendo 100 x 100.</t>
  </si>
  <si>
    <t>Excelente calidad-precio El producto llego con un par de días de anticipación. Dispongo de un iPhone 6 y la conexión fue sencilla. Una vez insertado en el iPhone solicita la aplicación para empezar a funcionar. La aplicación en sí es sencilla, más sencilla que la de otros modelos pero cumple con creces su propósito. Una grata sorpresa el poder insertar subtítulos en los videos. Una excelente compra calidad-precio.</t>
  </si>
  <si>
    <t>Reloj elegante Reloj muy bonito. Sencillo y muy elegante. La esfera es bastante grande sin ser exagerada. La correa tal vez no sea muy fuerte pero en general, relación calidad precio muy buena. Ahora, con el tiempo, veremos si hay que repetir. Mejor que en la foto.</t>
  </si>
  <si>
    <t>Lo fácil y rápido. Muy fácil y cómodo.</t>
  </si>
  <si>
    <t>Puntualidad y calidad Llego puntual y perfecto</t>
  </si>
  <si>
    <t>Masajeador Se trata de un estupendo masajeador eléctrico pensado para aquellas personas que busquen aliviar en casa de forma cómoda y fácil dolores de cervicales, cuello, hombro, etc. En el paquete incluye todo lo necesario para poder disfrutar desde el primer momento de una agradable experiencia sin necesidad de adquirir accesorios extras. El producto está fabricado en materiales de buena calidad, con unos acabados perfectos y un diseño cómodo y fácil de adaptar a nuestro cuerpo por lo que podremos masajear distintas zonas sin problemas. En cuanto a su funcionamiento, este es muy intuitivo y además permite ciertas personalizaciones que nos permitirán poder encontrar el masaje que más placentero nos resulte. En ese aspecto, estoy muy satisfecho ya que con él puedes elegir la velocidad del masaje y la dirección de este.</t>
  </si>
  <si>
    <t>Casio. Excelente!!!</t>
  </si>
  <si>
    <t>Me encanta!! Me encanta... El envío correcto.... Muy bonita fácil de poner se adapta a la muñeca en la medida q necesitas... Volvería a comprar. Muy buen precio</t>
  </si>
  <si>
    <t>Otra tetina Han cambiado la tetina en este producto. Antes usaba estos biberones y la tetina era mejor</t>
  </si>
  <si>
    <t>Correa y esfera A mí me gusto mas la foto que en persona. La correa es demasiado larga y la esfera estaría mejor si fuera un poco más grande. En general bien.</t>
  </si>
  <si>
    <t>Unos in ear basicos (mejorables) Pues me los pille para andar/correr, ya que to personalmente los in ear al "aire" para hacer deporte a mi personalmente se me salen de las orejas de ahí que que me los comprara con los ganchos.  Pros: Calidad de sonido bastante buena (no alta calidad). Ganchos para agarrar a la oreja.  Contras: El cable me parece endeble, sera también debido al aumento de los cables trenzados en otros auriculares.  Mejoras: Que los ganchos fueran moldeables (alambre interno). Control de volumen en el cable. Trenzado de cable.</t>
  </si>
  <si>
    <t>Poca durabilidad A los pocos usos empezó a oler a quemado y dejó de funcionar.</t>
  </si>
  <si>
    <t>Mala experiencia La tuve q devolver ya que fallaba el mando y se apagaba....</t>
  </si>
  <si>
    <t>pesimo El diseño es tan malo que la cinta siempre (SIEMPRE!!) se enrolla sobre sí misma.  Para usarla hay que desenrollar los primeros centímetros a  mano, pegarla en la superficie y luego fijar. Vale... no es facil explicarlo, pero cualquiera que haya comprado esta precintadora sabe de lo que hablo.  Desaconsejo su compra.</t>
  </si>
  <si>
    <t>Una marca de confianza. Muy completa con todos accesorios necesarios.</t>
  </si>
  <si>
    <t>Buen producto Textura y olor agradable, relaciones calidad precio buena. Una vez seca queda endurecida, es fácil de quitar con una esponja</t>
  </si>
  <si>
    <t>Cómodos plásticos Ya he comprado varios auriculares bluetooth y  se me terminan cayendo de las orejas. Hasta ahora! Son los más cómodos que he probado hasta el momento porque la aleta está en la parte trasera del auricular y lo empuja hacia adelante. Esto consigue dos cosas, que no se caigan y que se escuchen mejor los graves. El sonido es aceptable. Yo los uso principalmente para escuchar audio libros durante el trabajo y bien. Los materiales son muy sencillos y la caja parece de juguete. Eso si, se carga muy rápido, supongo que la batería es pequeña. En cuanto a duración de las baterías actualizare el comentario dentro de unos días cuando haya probado hasta agotarlos y os comento.  Actualización. Unas tres horas de audio. No está mal para lo ligeros que son.  Por favor, dale a útil 😉</t>
  </si>
  <si>
    <t>No es lo que pensaba. En alimentos como el pollo, la carne etc.. Tienes que echarle bastante liquido porque sino se queda trabada. Solo vale para hacer cosas que no sean muy compactas.</t>
  </si>
  <si>
    <t>Me encantó. Es muy elegante Perfecto. De buena calidad</t>
  </si>
  <si>
    <t>El mejor y más inteligente Sin lugar a dudas es el mejor Robot aspiradora del mercado, pude probar el de Xiaomi y roomba 981 y este les supera con creces.</t>
  </si>
  <si>
    <t>Buena compra Me ha gustado porque es una cadena finita pero se ve fuerte y de calidad. La entrega fue en la fecha estimada y el embalaje correcto</t>
  </si>
  <si>
    <t>bueno Se adapta 100%  a la imagen, es muy cómodo y fácil de instalar y de usar. Volvería a comprarlo</t>
  </si>
  <si>
    <t>Perfecto Se la regale a mi hija y es muy muy bonita, la cadena tiene como perlitas de plata con lo que la hace más original. El tamaño es pequeño pero a mi entender es perfecto junto con la cadena</t>
  </si>
  <si>
    <t>Fácil de borrar Es fácil de borrar y no quedan marcas del rotulador</t>
  </si>
  <si>
    <t>perfecto corresponde a lo descrito y calidad precio estupendo</t>
  </si>
  <si>
    <t>Pequeño y elegante Es pequeño y elegante, cuando le da la luz se reflejan todos los colores del arcoiris</t>
  </si>
  <si>
    <t>Reloj Casio Ideal para ir al gimnasio y a la piscina, y también para trabajar, no pesa y no se nota que lo llevas puesto. Funcional y practico, y con un toque vintage ochentero.</t>
  </si>
  <si>
    <t>Muy bueno Perfecto</t>
  </si>
  <si>
    <t>Mascarilla facial Me encantó! Me dejo la cara suave, lisa y limpia</t>
  </si>
  <si>
    <t>Comodo, de piel y de desenho De buena factura, resistente y buen desenho</t>
  </si>
  <si>
    <t>Estetica y robustez Como siempre de 10,tengo otros dos iguales de distinto color y es que me encantan los 3.Precioso y perfecto,al dia siguiente lo tenia en casa</t>
  </si>
  <si>
    <t>Rollos de cinta para embalaje La verdad que son unos buenos rollos de cinta de embalaje Le he puesto 5 estrellas porque me encantan sobre todos para todos aquellos que tenga que mandar varios paquetes al dia. Os lo recomiendos</t>
  </si>
  <si>
    <t>No viene en español El problema, la falta de instrucciones en español. El aspecto y la calidad del sonido es muy bueno, se puede reducir o anular el eco. se empareja muy bien con el PC, tablet o smartphone para usarlo con las canciones karaoke de youtube. Lo recomiendo para cualquier edad.</t>
  </si>
  <si>
    <t>muy bien OK</t>
  </si>
  <si>
    <t>Grandísima velocidad de lectura Tal como leí en otras opiniones, la velocidad que da el test es de 450Mb/s. Lo utilizo para leer instrumentos virtuales para el Kontakt, y funciona a la perfección. No se calienta ni hace ningún ruido. Es muy pequeño.</t>
  </si>
  <si>
    <t>Elegantes y diferentes Son  buenos auriculares, son AirPods diferentes a los demás, tienen un diseño muy elegante, el sonido limpio, son cómodos de llevar, su caja es perfecta y suficientemente pequeña para llevarla en el bolsillo. Cargan rápido y duran bastante.</t>
  </si>
  <si>
    <t>Psche. Nada cómodas. Modelo muy básico. Plantilla plana, nada que ver con zapatillas esteticamente similares, que son mucho mas comodas, por ejemplo unas levi's o incluso unas adidas. No son incómodas, porque se pueden poner y no hay problema, puedes andar con ellas, pero desde luego están muuuuuy lejos de poder ser clasificadas como "comodas". La plantilla es totalmente (o casi) plana y no se amolda a la forma del pie. Nada que ver con modelos de nike de running o incluso casual.. Tuve la suerte de comprarlas en una oferta tremenda, 24.95€ y eso hace que tu umbral de tolerancia sea mucho mayor. Si llego a pagar 60€ por esta m**rda estaría cag**dome en todo. El tallaje es bueno, respeta el que yo he utilizado en la mayor parte del calzado durante toda la vida. No talla ni grande ni pequeño.</t>
  </si>
  <si>
    <t>Baja compresión a bajo precio Parecía que eran de compresión, pero son mallas normales. Venden que es Alphaskin, pero en la etiqueta pone Techfit. También leí que la talla era pequeña y no ha sido el caso. Mirad el cuadro de tallas de Adidas que es más fiable. Para lo que valen, bien...</t>
  </si>
  <si>
    <t>Regular Parece de plastico y por mucho qhe lo ajusges suena como si estuviera suelto</t>
  </si>
  <si>
    <t>Tallas pequeña Viene pequeño de talla</t>
  </si>
  <si>
    <t>Desilusionada Pedí una talla 28 y cuando me llegó no le entraba el pie a mi hija , porque faba una 26 . Muy muy pequeño</t>
  </si>
  <si>
    <t>Muy bien Todo genial y la entrega super rapida</t>
  </si>
  <si>
    <t>Recomendado La construcción es muy buena, con materiales de calidad, acabados en acero inoxidable y plástico duro. Calienta el agua relativamente rápido, en unos dos minutos (menos si se trata de cantidades pequeñas, para lo que trae un indicador muy útil en el interior), y la mantiene caliente. Es muy útil cuando se requiere calentar gran cantidad de agua, quizá no para infusiones individuales, pero para determinadas cosillas en cocina a veces es muy socorrida.</t>
  </si>
  <si>
    <t>Sencillos pero bonitos Compré estos pendientes para un regalo, son de plata, bonitos y resultones. He hecho una foto para compararlo junto a una moneda de 5cts €., para que pueda verse el tamaño real de estos pendientes, ni grandes ni pequeños. Los cierres de los pendientes no son de rosca, van a presión y me da la sensación que son un poco pequeños, pero la verdad es que por el precio que vale están muy bien para tener un detalle.</t>
  </si>
  <si>
    <t>Buen USB Magnifico USB. Perfecto para poder enganchar a una Tablet o Movil. Incluso a un PC. Quizás por sacarle algún fallo, diría que la pestaña no me parece lo suficientemente eficaz. Hay que hacer un poco de fuerza.</t>
  </si>
  <si>
    <t>Práctico y cómodo Una forma fácil y limpia de fijar posters a pared, permitiendo incluso quitar y poner en distintos lugares sin manchas ni daños en las paredes. Muy práctico.</t>
  </si>
  <si>
    <t>Quedan genial Son súper cómodos la tela muy suave y los colores bonitos. Contenta con la compra. Gracias</t>
  </si>
  <si>
    <t>Muy guapo! Muy guapo, simples y pratico! Es tamaño de hombre, pero se queda muy bien a mujeres!</t>
  </si>
  <si>
    <t>Buena relación calidad/precio Fácil de usar, ligero, buena duración de la batería y sonido muy aceptable a un precio muy asequible.</t>
  </si>
  <si>
    <t>CONVERSE Las playeras llegaron en la fecha prevista. Son tal  y como esperaba. Con lo único que hay que tener cuidado es con el tallaje porque son tallan grande (yo uso una 38 y tuve que coger un 37). Buena relación calidad/precio.</t>
  </si>
  <si>
    <t>Parece de muy buena calidad con muy buenos acabados No es precisamente pequeña, como indican sus medidas. El acabado color cognac es muy bonito. La cremallera interior es lo que buscaba para mayor seguridad, creo que es un elemento clave. Acabo de volver a comprar un estuche de esta misma marca. Estoy muy contento.</t>
  </si>
  <si>
    <t>Bueno ,bonito y barato Fantástico el precio. La calidad ya la conocía.</t>
  </si>
  <si>
    <t>El más rápido que tengo El más rápido que tengo, si hubiera podido lo hubiese comprado de 128gb</t>
  </si>
  <si>
    <t>Mejor compra imposible. Magnificas botas. Su coste merece la pena. Botas comodas y elegantes. Necesitas un tiempo para acomodarte a ellas despues de eso. Creo que tendre botas para toda la vida.</t>
  </si>
  <si>
    <t>El mecanismo no funciona bien Se para siempre da igual q lo lleve o no pero siempre hay q estar poniendolo en hora, muy bonito pero me siento estafado</t>
  </si>
  <si>
    <t>Barato Todo correcto. Buen precio</t>
  </si>
  <si>
    <t>me gusta mucho Es un poco mas engorroso de usar y limpiar, pero me gusta mucho y a mi bebé también, se engancha muy fácilmente a él y después a mi pecho. Hace que coma un poco más despacio y tranquila, lo cual hace que descase mejor. Compra recomendable.</t>
  </si>
  <si>
    <t>Va muy bien Estupendo</t>
  </si>
  <si>
    <t>Perfecto complemento Simplemente calidad</t>
  </si>
  <si>
    <t>👶🍼Pequeño, de calidad y seguro. Perfecto para un bebé👶🍼 La tecnología avanza. A mi de pequeño me daban un biberón normal y corriente, aunque para aquella época eso de la tetina, ya era un gran avance. Pues hoy en día  todo mejora, y los biberones también, por lo visto es mejor uno pequeño y con una tetina que haga que que entre mas liquido, a un ritmo mas constante y con menos aire. Todo enfocado a que nuestro bebé como mejor y crezca rápido y fuerte. Estos pequeños detalles harán que nuestro hijo tenga menos colirios, y si come bien, pues también será mas fácil que duerma mejor (tanto él, como nosotros). Por supuesto lo mejor de este artículo es que es de calidad, pertenece a una marca que se dedica a esto y se vende a través de una tienda de confianza. Mucho mas barato que si se comprase en una farmacia o parafarmacia pero manteniendo la calidad que nuestro bebé necesita y se merece</t>
  </si>
  <si>
    <t>Alivia el Me ha gustado que es muy eficaz para aliviar los dolores de cuello y espalda, que tenga varias velocidades y sobre todo el calor. También me gusta que es como de cuero y se limpia muy bien. Repetiría, seguro.</t>
  </si>
  <si>
    <t>Refresca el ambiente y dura bastante Muy comodo Cumple las características que indican</t>
  </si>
  <si>
    <t>Genial Buen precio para la gran capacidad que tiene. No tiene ruido y es totalmente manejable.</t>
  </si>
  <si>
    <t>Excelente Calidad y estética Excelente calidad y estética, te recomiendo pedirlo una talla o dos tallas más grandes de lo que habitualmente se usa (yo tuve que devolver dos veces el pedido). Es una zapatilla ajustada, pero cuando tienes la talla correcta es perfecta. Confeccionado con materiales impecables e impermeables. Muy elegante como zapatilla para uso casual. Se lo recomiendo a todos.  Viene en su caja correctamente.</t>
  </si>
  <si>
    <t>Todo correcto Muy bonito</t>
  </si>
  <si>
    <t>No funciona con mi micrófono de solapa Rode SC1 No funciona con el micrófono de solapa de la misma marca y modelo. No entiendo el porqué. El micrófono por separado funciona perfectamente.</t>
  </si>
  <si>
    <t>CUANDO SUDO DEJAN DE FUNCIONAR BIEN Positivo: Se escuchan genial, duración de la batería correcta y se agarran muy bien a las orejas! Negativo: Con el sudor dejan de funcionar intermitentemente...  PD: Si me sigue pasando de manera frecuente, tendré que cambiarlos o devolverlos...</t>
  </si>
  <si>
    <t>Que no destiñan y no pique la piel Me gusta lo bien que se definen mis curvas pero no me gusta nada que destiña tanto y a la vez piquen las piernas,el tejido no me termina de convencer</t>
  </si>
  <si>
    <t>Ha durado 2 años Lo compre el  25 jul 2017 y ha sido usado algunos días a la semana, no intensivamente,  hoy dia 24 de agosto del 1019 ha muerto perdiendo todo lo que tenia en el, no es como un HDD normal que puedes recuperar algo Y no tengo garantía por un mes, es el peor HDD que he comprado nunca ya que ha durado lo justo y no se como una marca como Seagate fabrica algo tan justo y la tecnología híbrida solo vale para que ni la bios lo reconozca....</t>
  </si>
  <si>
    <t>no los recomiendo no pega nada un dinero tirado</t>
  </si>
  <si>
    <t>Etiquetas ok, bolis no tanto Los bolis no escriben de maravilla,se borran con el roce o el contacto, pero cumplen su funcion y hay muchas etiquetas y buen precio.</t>
  </si>
  <si>
    <t>La comodidad en el uso Buen calzado para caminar con comodidad</t>
  </si>
  <si>
    <t>Calidad Es estable y fácil de mover y girar. Tablero giratorio. Montaje algo dificultoso</t>
  </si>
  <si>
    <t>Muy cómodas Tuve que pedir un número menos del que se gasta</t>
  </si>
  <si>
    <t>Muy cómodas Son super cómodas, lo único malo que las veo es que al andar la tela de la puntera hace un pequeño ruido. Por lo demás muy bien. La talla perfecta pedí un 40 teniendo la horma ancha y me quedan muy bien .</t>
  </si>
  <si>
    <t>Cuando llueve se mojan Me encantan. Son súper cómodas y traen la plantilla memoryfoam como la mayoria de las de esta marca. El unico fallo es que al ser de tela entra bastante fresquito, asi que en invierno hay que ponerse un buen calcetín.</t>
  </si>
  <si>
    <t>Fantastico L'ho regalato alla mia mamma che non può più fare tanti lavori in casa....e  ha apprezzato molto .. .. soddisfattissimo!!!!!</t>
  </si>
  <si>
    <t>Swarovski Esta gucci pa regalo</t>
  </si>
  <si>
    <t>Buenos Hacen lo que tienen que hacer</t>
  </si>
  <si>
    <t>Bien Cumple sobradamente</t>
  </si>
  <si>
    <t>Magnífico Hasta ahora sin problemas, alta velocidad sin perdidas hasta ahora, lo uso tb para la tele (ver pelis y demás). Es verdad q a veced se calienta um poco tras ver un par de peloculas y dejarlo en la tele pero nada grave</t>
  </si>
  <si>
    <t>Silvia La recomiendo muy bonita!! Material bueno, con gomilla  en el extremo para un buen cierre y no se caigan hojas sueltas</t>
  </si>
  <si>
    <t>Lo que está disfrutando mi hija y sus amigas! A mí hija le ha gustado tanto que no lo suelta. El micro distorsiona la voz y va desde  la de pitufo hasta la de malo malísimo. Además de conectarlo a cualquier dispositivo, también puedes ponerle un pen con canciones y al escucharlas, el micro te da la opción de que suene muy bajito la voz y poder cantar a modo karaoke. Carga rápido y el cable que lleva puedes conectarlo tanto a un dispositivo o la cabeza de carga del móvil. Estoy deseando probarlo con mis amigos en una fiesta de adultos, eso sí, si consigo que mi hija me lo dejé.</t>
  </si>
  <si>
    <t>Bonita y práctica Era reacia a comprar un hervidor de agua porque con el microondas lo tenía resuelto. De cara a las fiestas y dado que muchos comensales eligen infusión después de comer, me decidí por ésta que, aparte de ser muy bonita, se separa de la base y se lleva a la mesa como una jarra. Estoy encantada con ella y no paramos de usarla.</t>
  </si>
  <si>
    <t>Bonito Precioso, no defrauda, ideal para hacer un buen regalo</t>
  </si>
  <si>
    <t>Durabilidad Es un producto que tiene una gran durabilidad con respecto a la competencia por sus elevados TBW. Creo que calidad precio actualmente no hay nada mejor.</t>
  </si>
  <si>
    <t>Justo lo que buscaba Compré estas placas para colocar mis JBL LSR305 sobre una mesa y han sido perfectos. Son de buen material y absorbe la vibración de manera excelente. Recomendado!</t>
  </si>
  <si>
    <t>Perfectos En principio el sonido es bueno para el precio que tiene, lo único que tardó mucho en llegar</t>
  </si>
  <si>
    <t>lo práctico y el volumen del interior me ha gustado inicialmente todo, ¿lo que no? que en el compartimento principal no haya una zona acolchada para poder llevar un tablet (además del existente para portátiles).</t>
  </si>
  <si>
    <t>Muy comodas y bonitas Geniales pero un pelin grandes se pueden gastar no las e cambiado son muy comodas y limpias</t>
  </si>
  <si>
    <t>Recomiendo 100% Calienta rápido. Parece pequeño en la foto. Pero sí que es grande...desde mi punto de vista😊</t>
  </si>
  <si>
    <t>Bonitas zapatillas Muy bonitas y con aire vintage.</t>
  </si>
  <si>
    <t>Grandísima calidad, muy contento. Lo que más les define es la calidad en los materiales quedé gratamente sorprendido, además son muy cómodos, yo tengo problemas con la mayoría por que se me caen del oído pero estos se sujetan perfectamente gracias a al borde de silicona. Contiene fundas de protección bastante chulas, distintos tamaños para la funda del oído, la caja sirve de base para cargar y para guardarlos y además es resistente y los protege tiene indicadores led de nivel de carga. La sincronización es rapidísima. Abres las caja  el derecho parpadea (si no están encendidos solo es mantener pulsado el botón) conectas bluetooth a ellos y ya está. Llaman, se escucha música. Con los botones subes/bajas de canción, volumen, pasas de canción, pausas, cuelgas y descuelgas teléfono también rechazas llamadas. Ideales para todo y mucho para deporte</t>
  </si>
  <si>
    <t>Manuel Angel El reloj es bonito,se nota la calidad de casio,pero la esfera algo pequeña,las manecillas muy pequeña ,siendo un reloj de caballero,es la pega.</t>
  </si>
  <si>
    <t>Plumero telescópico Buscabamos un plumero telescópico que tuviese pluma grande. Este no cumple esa premisa. Aun así es correcto. Se despliega más de un metro y medio, por lo que se puede llegar a todos los puntos de la casa. La pluma está bien sujeta al plumero, por lo que parece que no se va a desplumar con el uso intenso.</t>
  </si>
  <si>
    <t>No funciona Para nada lo voy a descambiar no funciona bien</t>
  </si>
  <si>
    <t>Mala presentación El artículo viene con dos colores distintos: base rosada y parte superior dorada.</t>
  </si>
  <si>
    <t>Buena relación calidad/precio Buenos Auriculares,con un sonido suave para los oídos muy sensibles,como los míos.Tengo problemas auditivos y con estos auriculares inalámbricos no escucho percusión ni cambios bruscos de audio.Tiene la ventaja de poder regular el volumen desde el auricular y la recepción es muy clara y nítida.Los uso con el Transmisor/Receptor Mpow AptX baja latencia 2 en 1 Wireless V4.1 y va perfectamente,no se cortar la transmisión y la batería aguanta bastante entre carga y carga.Aunque los auriculares no se deben usar durante más de dos-tres horas seguidas para no dañar los oídos también es cierto que,aunque las almohadillas son suaves y acolchadas,tras tres horas de uso empieza a hacerse incomodo llevarlos puesto.Hice la prueba para comprobar cuánto tiempo se pueden aguantar.Es una buena compra pero,como todo,hay que saber usarlos. Llegó en el día indicado y en perfecto estado junto al Transmisor/Receptor de la misma marca.Producto muy recomendado.</t>
  </si>
  <si>
    <t>Buena relación calidad/precio El hecho de poder moverse libremente hasta 100 metros con una buena calidad de audio me ha encantado. Lo que más me gusta es poder tener buen audio sin necesidad de grabarlo por separado, ahorrando sincronizarlo en post. No le pongo 5 estrellas porque a veces el cable del micrófono provoca alguna interferencia, pero es mínima y se soluciona dejando el cable quieto. Por tamaño, peso y precio, prefiero el Rode que el Sennheiser. Si estás buscando un kit inalámbrico es una muy buena opción.</t>
  </si>
  <si>
    <t>Auriculares, manos libres. La relación calidad sonido es inmejorable, se escucha muy bien.</t>
  </si>
  <si>
    <t>Buen artículo Pedir una talla mas a la habitual, lo tuve que devolver. Servicio de devoluciones perfecto.</t>
  </si>
  <si>
    <t>Muy bien Tiene potencia no ocupa casi espacio esta muy bien</t>
  </si>
  <si>
    <t>Cumple su función Pendrive de 128 Gb perfectamente funcional. Traspaso de archivos rápido, efectivo y sin errores. Es de tamaño normal y se puede anclar a un llavero para transportarlo. Contenta con la compra.</t>
  </si>
  <si>
    <t>GRAN PRODUCTO CON GRANDES RESULTADOS!!! Maravilloso producto!!! Me lo recomendaron y lo recomiendo si padeces molestias cervicales, dolores de cabeza de tipo tensional o sensación de inestabilidad o vértigos. Se lo compré a un familiar por esos motivos y está encantado con los resultados. Sé que se puede usar en otras partes del cuerpo, pero no es mi caso. Fácil manejo y fantásticos resultados. Muy satisfecha. Lo recomiendo al 100 %. Las instrucciones de uso tb en Español y se agradece. El embalaje perfecto.</t>
  </si>
  <si>
    <t>Buen producto. Calidad y buen servicio. Muy recomendable. Piel cuero de calidad. Buena calidad, cumple mis expectativas. Buen producto. Calidad y buen servicio. Muy recomendable. Piel cuero de calidad. El envio en un solo día.</t>
  </si>
  <si>
    <t>Muy cómodas Se las compré a mi hija mayor y está encantada. La verdad es q no tengo ninguna pega y mi hija me dice que són super comodas</t>
  </si>
  <si>
    <t>Sujetador deportivo ideal Buena compra, buena presencia y calidad. Es comodo de llevar. La talla es la mia de siempre. Muy contenta con la compra la verdad</t>
  </si>
  <si>
    <t>Calidad y precio Calidad y precio. Muy buena oferta</t>
  </si>
  <si>
    <t>Buen producto De momento todo genial" era para regalar a mi hijo y le gusto tanto el diseño como su capacidad y a mi el precio... Un 10</t>
  </si>
  <si>
    <t>Ambientador Buen producto</t>
  </si>
  <si>
    <t>Collar original Es muy bonito. Calidad precio muy bueno.</t>
  </si>
  <si>
    <t>Un clásico para durar No defraudan. Están bien confeccionadas, la materia prima es irreprochable, tienen personalidad y sobre todo son cómodas. Yo las uso durante todo el año, prácticamente todos los días, muchas horas y en condiciones muy exigentes por mi actividad, aunque tampoco las cambio cuando tengo que salir  en plan informal. Este será el noveno o decimo par que uso y bajo las condiciones descritas, me duran un par de años (más de 9000 horas). El fallo viene por el desgaste de la suela (literalmente llego al forro interior/ plantilla) aun cuando el cuero sigue estando en perfecto estado de uso. Lo único que mejoraría son los cordones, o los remaches por los que pasan, que hacen que se tacen o retacen con más frecuencia de la deseable. Es un producto, desde mi punto de vista, muy recomendable, equiparables a Timberland, pero es mi opinión, quizás más elegantes las Panama.</t>
  </si>
  <si>
    <t>Muy recomendado. Esta genial. Funciona muy bien, el audio se escucha muy bien y los altavoces tambien se escuchan genial. Ademas se puede grabar.</t>
  </si>
  <si>
    <t>Sencillez Muy bien todo. Precio excelente y buena calidad de materiales</t>
  </si>
  <si>
    <t>Estoy encantada del producto se oye muy bien,y las llamadas también.Super fácil de conectar y usar y eso que las instrucciones no estaban en español.lo acabo de recibir hoy y oe doy 5 estrellas. si dan fallo ya lo pondre de nuevo</t>
  </si>
  <si>
    <t>Casi como los de iPhone El sonido es excelente. La batería dura una eternidad y eso que los uso bastante. Incluso van bien para correr, aunque no lo esperaba no se caen de los oidos.  Se adaptan bien a los oidos sin llegar a molestar. Me encantan.</t>
  </si>
  <si>
    <t>Buena calidad  y lo recomiendo El chándal queda genial yo lo tuve que de volver por un pequeño defecto  y se hacen cargo de todo pido disculpas  y te recomiendo este producto</t>
  </si>
  <si>
    <t>Ideales tanto para uso profesional como por diversión Hemos comprado esta pareja de micrófonos inalámbricos para usarlos en casa en un karaoke. El diseño es exactamente igual al de los micrófonos profesionales, muy elegantes y atractivos. Pesan muy poco, por lo que no resultan molestos a la hora de utilizarlos ya que no se nos cansará el brazo. Traen una espuma protectora para evitar que se mojen de saliva al utilizarlos y una pieza redonda de goma para colocarlos en un soporte. Comenzar a utilizarlos es más fácil de lo que pensaba, ya que sólo hay que poner un par de pilas a los micrófonos, cargar la batería interna del receptor inalámbrico en cualquier puerto USB y conectarlo a nuestro equipo de música, mesa de mezclas o altavoces, usando el conector 6.35mm (grande) o el adaptador de 3.5mm (pequeño)</t>
  </si>
  <si>
    <t>Comodidad rapidez Me gusta el sonido y lo que no me gusta es s la incomodidad para sacarlos dela caja</t>
  </si>
  <si>
    <t>Pierde el color Después de un año y medio: El material parece OK pero el color se va perdiendo bastante rápido. En la foto se ve como el color eñse pierre, la parte oscura es la más fiel a como la compré. La parte expuesta se va volviendo anaranjada, dándole un color muy diferente al que compré. Compré otro modelo y marca para la correo de mi mujer y esa si aguantó.</t>
  </si>
  <si>
    <t>CUMPLIDOR NO SE ESCUCHA DEMASIADO BIEN EL ALTAVOZ CUANDO SE HABLA POR TELÉFONO PERO LA MÚSICA SI LA TRANSMITE MUY BIEN</t>
  </si>
  <si>
    <t>Nada Normal</t>
  </si>
  <si>
    <t>Demasiado delicado.No lo recomiendo Es tan endeble que se rompe con la mirada.No me ha durado ni un mes</t>
  </si>
  <si>
    <t>Devolucion vans no son de plataforna Las voy a devolver pq me estan pequeña son un 37 y necesitaria un 38. Por error en correo de devolucion puse un 37 pero necesitos un 38</t>
  </si>
  <si>
    <t>Es bonita, Acero Inoxidable, pero combinada con materiales menos nobles (plástico) pierde bastante Hervidor Victory de la marca Russell Hobbs en acero inoxidable pulido y remates en plástico, con filtro extraíble y lavable, capacidad de 1,7 litros y 2400 W. Envian el hervidor, una base con cabley un manual de instrucciones en Español entre otros idomas. El hervidor tiene un diámetro de base de 15,5 cm y una altura de 23,5 cm (con base 24,5  aprox), el ancho de la jarra con el asa es de 21,5cm y pesa 797 gramos. El interructor/palanca (con led) está situado en la parte inferior, debajo del asa, este tiene dos posiciones y encima tenemos un medidor transparente de 1, 1.5 y 1,7 litros. En el interior un indicador de una sola pieza nos marca 1, 2 o 3 tazas, solo es visible desde el interior, también cuenta con un filtro (extraible/lavable) situado en la parte superior (boquilla). La apertura y el cierre de la tapa es por presión. La base que nos permite el giro de la jarra de 360º, tiene un diámetro de 16,5 cm, con un cable de 1 metro y recogecables oculto.  _Conclusiones: Usa una base "estandar" muy similar a otros fabricantes (por no decir idéntica). Por su capacidad tenemos agua caliente para bastantes tazas. No hay ningún riesgo si nos olvidamos de apagarla, ya que en el momento de llegar a la ebullición y después de unos 10 segundos (aprox) salta la palanca y se apaga automáticamente el hervidor. El agua la calienta rápido con lo que el consumo es de imaginar que se reduce considerablemente. En general estos modelos/colores de Hervidor de Russell Hobbs tienen un diseño bonito, este de acero inox no le quedan las huellas como a otros, aunque sus precios suelen ser altos. Como contra no son más que un hervidor de agua y no disponen de medidor de temperatura, led internos o otros pluses que pudiesen encarecer/justificar su precio.  Saludos By Flype</t>
  </si>
  <si>
    <t>Cómodos y elegantes Pros:  -La verdad es que me han gustado mucho. -Tienen muy buen aspecto y la suela es super cómoda.  Cons: -Me hacen rozaduras en la zona del tendón de aquiles pero soy bastante propenso a este problema. -Este tipo de piel se mancha con facilidad!</t>
  </si>
  <si>
    <t>Son más estrechas que go walk 4 Las tuve que devolver porque mi madre tenía las go walk 4, y las go walk 3 son más estrechas y no le valían con el mismo tallaje.</t>
  </si>
  <si>
    <t>facil de usar Lo usé para pegar encima del rodapies un pasa cables de plastico sobre pared con gotele y quedo perfecto. Buen producto.</t>
  </si>
  <si>
    <t>Muy comoda Muy cómoda, práctica, fácil de usar. Por ponerle una pega, debería de traer una funda donde guardarla y tenerla siempre recogida</t>
  </si>
  <si>
    <t>Buen precio No puedo opinar de la durabilidad. Por lo demás lo que se espera</t>
  </si>
  <si>
    <t>segunda piel compra 10 igual que las otras que ya tengo va perfecta esta de manga larga mas cálida aun</t>
  </si>
  <si>
    <t>Recomendable La sudadera es de buena calidad y queda muy bien. Recomendable</t>
  </si>
  <si>
    <t>Excelente Lo recomiendo es genial y perfecto</t>
  </si>
  <si>
    <t>Muy bien funciona perfectamente para lo que quería que era tener un interface de audio mejor que el que incluye el ordenador. Se instala sin problemas en el Mac, basta con conectar el USB y ya se puede empezar a usar desde el ordenador con cualquier programa de audio. Incluye funciones que permiten algunos usos sin tener que añadirle la mesa de mezcla.</t>
  </si>
  <si>
    <t>Buen producto Es muy fácil de instalar y de usar Cumple las expectativas..  Lo veo muy bien</t>
  </si>
  <si>
    <t>el color es maravilloso para una misma o para regalo quedareis muy bien para toda aquella mujer que le guste el brillo y color es un regalo estupendo y de calidad</t>
  </si>
  <si>
    <t>Pantalón deportivo precioso y cómodo Me ha encantado, pantalón muy cómodo y calentito. El modelo y color es perfecto lo que yo quería. Es una S pero talla  bastante grande.</t>
  </si>
  <si>
    <t>PERFECTO Compañero ideal para cualquier jornada por el campo o montaña. Cumple con todas las funciones indicadas. Material de muy buena calidad</t>
  </si>
  <si>
    <t>Alba No me las he quitado en todo el verano!! Paseos, playa, piscina .... Y siguen como nuevas!! Al principio se clavaban un peli  entre los dedos, pero con los dias ceden un pelin y yo he andado todos los dias con ellas! Las volveria a comprar sin duda!</t>
  </si>
  <si>
    <t>Calidad de Sonido y Fácil de Usar Buenos Auriculares los recomiendo por su calidad de sonido son los segundos que compro en Amazon y genial se conectan solos con el bluetooth una vez los emparejar al móvil solo con sacarlos de su conector se encienden y después lo sueltas y se apagan, las funciones van genial también descolgar llamadas, ignorarlas, solo con el tacto en el auricular, el manejo es muy sencillo, y son muy cómodos de llevar se adaptan perfectamente al oído parece que no llevas nada puesto no molestan. Muy buena calidad lo recomiendo</t>
  </si>
  <si>
    <t>Buena elección Diseño y robusta.</t>
  </si>
  <si>
    <t>Funcionando sin problemas La compra ha satisfecho mis expectativas y el precio pagado es muy inferior al del comercio presencial que visité antes de efectuarla.</t>
  </si>
  <si>
    <t>BlitzWolf Tarjeta de Memoria, 32GB Precio, pero no da la capacidad que indica. La uso para ampliar memoria de un móvil y funciona bien hasta el momento</t>
  </si>
  <si>
    <t>Buena calidad No tenía pensado comprar unos Sennheiser aunque sabía que era una buena marca, pero es que los vi en una tienda, me los puse para probarlos... y perdición. Son súper cómodos, se escuchan de maravilla, y una vez los he tenido he visto que la batería aguanta bastante; yo suelo tener problemas para encontrar unos auriculares de diadema que no me queden grandes, y éstos van perfectos. Estoy muy contenta con la compra. Sólo un dato: para mi son muy cómodos pero tengo un familiar al que a la media hora, le resultan molestos. Yo lo llevo varias horas y no me pasa lo mismo. La batería me dura una semana usándolo dos horas al día, tarda en cargarse de 0 a 100 lo mismo que otros auriculares; me gusta que tenga cable para poder seguir usándolos aunque estén sin batería. El cable no trae micrófono. La bolsa de transporte está genial.</t>
  </si>
  <si>
    <t>Ideales y la moda Mi sobrina está encantadas con ellas. Le quedan ideales y tallan bien</t>
  </si>
  <si>
    <t>100% recomendado Desde que compre este producto está probando para poder hacer una buena valoración. El producto es idéntico a lo que se describe y sobre el sonido es bastante bueno nada que envidiar a otro auriculares inalámbricos y sobre todo lo que más me gusta es la sujeción, se puede salir a correr con ello y en ningún momento hizo inicio de salirse. Producto 100% recomendado.</t>
  </si>
  <si>
    <t>Todo genial es una buen compra Todo genial es una buen compra</t>
  </si>
  <si>
    <t>Es muy bueno Es funcional, resistente a los golpes y al remojo de agua por agua en caso de contacto con agua por accidente</t>
  </si>
  <si>
    <t>Esta bien recomendable Buena calidad de los Materiales. Però calienta poco.</t>
  </si>
  <si>
    <t>se deforma Antes de lavarlo genial, pero a la primera lavada, ya se deforma y se gira la pierna. Calidad mala para otros productos que he comprado en oodji</t>
  </si>
  <si>
    <t>Normal No son muy cómodas</t>
  </si>
  <si>
    <t>Eva Muy mal, desde la gestión que en la página decía que era prime y me han cobrado gastos de ida y vuelta total 20€, venia roto y por si fuera poco no recomiendo el de color azul, no se ven los dígitos  a La Luz del día. Espero que Amazon me solucione el problema de los gastos pues ha sido culpa suya.</t>
  </si>
  <si>
    <t>No llego a funcionar Lo intente en 3 ocasiones y solo consegui que funcionara una vez. Lo peor es que lo deje conectado al usb del ordenador y acabo quemandose:(</t>
  </si>
  <si>
    <t>Producto correcto para el uso al que se le destina &lt;div id="video-block-R2EU67V3FTZFBE"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src="https://images-eu.ssl-images-amazon.com/images/I/81MpMYpA-jS.mp4" style="position: absolute; left: 0px; top: 0px; overflow: hidden; height: 1px; width: 1px;"&gt;&lt;/video&gt;&lt;/div&gt;&lt;div id="airy-slate-preload" style="background-color: rgb(0, 0, 0); background-image: url(&amp;quot;https://images-eu.ssl-images-amazon.com/images/I/91qo7jm7lqS.png&amp;quot;);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value="https://images-eu.ssl-images-amazon.com/images/I/81MpMYpA-jS.mp4" class="video-url"&gt;&lt;input type="hidden" name="" value="https://images-eu.ssl-images-amazon.com/images/I/91qo7jm7lqS.png" class="video-slate-img-url"&gt;&amp;nbsp;Auriculares que se adaptan a la forma de las orejas y que encajan en el oído, para facilitarte esa comodidad que buscas cuando haces deporte y quieres tener las manos libres. Las bandas de adaptación pueden parecer algo endebles, pero no lo son. Son de un material plástico, no rígido, lo que hace que sean muy cómodas, no molestan para nada detrás de las orejas y con un aguante máximo (ver video). Una compra recomendable, sin duda.</t>
  </si>
  <si>
    <t>Bueno y barato El reloj gusto bastante y la verda es que es chulo. Tiene buen calidad</t>
  </si>
  <si>
    <t>la mas barata de su clase Pedi esta tarjeta para el lg g3 y me llego al mes,la verdad es que tiene una burrada de gigas para meter pelis y demas. Ademas en el embalaje pone que tiene garantia de por vida ,no se si sera cierto ,lo que si se es que en 5 años 64 gb sera una minucia para los contenidos en HD</t>
  </si>
  <si>
    <t>Lo que buscaba A mi hija le encantaron, tallan bien y la calidad es buena.</t>
  </si>
  <si>
    <t>Memoria USB SanDisk de 118 GB "reales" Cumple con las expectativas, por tener un equipo “ensamblado a medida", aún conectado a una MSI X99A Gaming 7 USB 3.1, no logro esa velocidad de transferencia de USB 3.0, no sé porque, si sé que estas memorias van bien, al menos en un HP Omni 1201es (All in One), en cambio van dos SanDisk Extreme DE 64 GB y dos SanDisk Super Glide de 64 GB que no las reconoce ningun equipo…, pera tirar… No son precisamente armatrostes, aunque en un portátil será difícil conectar dos juntas por la distancia entre los puertos, y más tras descubrir la maravilla “al menos de momento”… que son las Kingston DataTraveler SE9 G2 USB 3.0 P3, son muy recomendables por su pequeño tamaño, por tanto su conectividad o conexión incluso en portátiles por muy juntos que estén sus puertos… Ninguna alcanza los 124 GB, es imposible si los gigas se multiplican por mil cundo debería ser por 1024… Si recomiendo la SanDisk pues funciona… Hay que decir que de varias de ellas... alguna llegara a no ser reconocida por ningún equipo informático "normal"...</t>
  </si>
  <si>
    <t>Cómodos Perfecto los zapatos más comodos  de seguridad ke he tenido</t>
  </si>
  <si>
    <t>MA Me encantan! Estaba volviéndome loca buscando unas bambas xq camino 10km diarios aprox. Y estaba ya cansada de los tecnicismos de las diferentes marcas etc... son perfectas te hacen más alta, genial para postura espalda y toda la planta del pie protegida! Y súper precio!!!!</t>
  </si>
  <si>
    <t>Ideal para frioleros Es ideal para los que somo muy frioleros, da calor sólo la parte de abajo, pero al tener pelito por dentro el calor se conserva bastante bien. El tacto es muy agradable.</t>
  </si>
  <si>
    <t>Muy útil. Producto excelente. Acaba con el moho de condensación con sólo una aplicación.</t>
  </si>
  <si>
    <t>Buena calidad precio Buena camiseta, hay que pedir una talla menos a la que se usa, por lo demás perfecta</t>
  </si>
  <si>
    <t>Buenos micrófonos para caraoke. Son geniales, los he probado y suenan bastante bien.</t>
  </si>
  <si>
    <t>La caja original se a cambiado por otra por amazon por esta dañada</t>
  </si>
  <si>
    <t>Muy practico Perfecto para pra las ventanas</t>
  </si>
  <si>
    <t>La comodidad Es muy cómodo</t>
  </si>
  <si>
    <t>Lujo El reloj está muy bien, muy contento con el. Recomiendo su compra.</t>
  </si>
  <si>
    <t>BUENA relación calidad - precio Perfecto para rellenar con gominolas o Lacasitos, fue el regalo ideal para las invitadas al Baby Shower de mi hijo.</t>
  </si>
  <si>
    <t>La elasticidad Porqye va bien para el gimnasio</t>
  </si>
  <si>
    <t>Spa para pies Que alegría después de una dura jornada de trabajo andando 8 horas llegar a casa y darme un masajito en los pies con mi spa. Va genial, me relaja los pies un monton. Calienta el agua y tiene burbujas. Tiene tambien un asa para transportarlo. Muy contenta</t>
  </si>
  <si>
    <t>De buen tamaño y de calidad Muy bonita y de buena calidad, se nota en las cremalleras y los cosidos. Muy buena y no muy grande, para las 4 cosas que llevar encima cuando sales un momento</t>
  </si>
  <si>
    <t>Todo Correcto Botas de Gran calidad y adaptable a las pocas horas al pie ,son muy comodas y elegantes no solo para el campo sino tambien para  la  ciudad. En fin un diez y en cuanto al servicio de Amazon impecable</t>
  </si>
  <si>
    <t>Satisfecha. Son muy bonitas</t>
  </si>
  <si>
    <t>Es justo lo que quería. Zapatillas clásicas de una marca clásica del deporte desde hace muchos años. Especiales para nostálgicos. ¡No necesariamente adictos al deporte!</t>
  </si>
  <si>
    <t>Sandra Peverelli con vileda se limpia suelos, muebles, baños, muebles de cocina etc.... mas rapido y sencillo, gracias al juego de fregona de microfibra y cubo con escurridor. gracias vileda.....******</t>
  </si>
  <si>
    <t>La calidad a un muy buen precio El reloj es muy bonito y cumple mis expectativas. Gracias.</t>
  </si>
  <si>
    <t>Mala calidad Tras el primer lavado me han quedado como si fuesen viejos, con bolillas, parecen super usados... me ha pasado con los 3 pares. La talla para una 39 queda algo grande</t>
  </si>
  <si>
    <t>No está mal Pues no sé cómo será la pranamat eco, y si me dejara mejor o peor la espalda que esta, pero estoy contenta con ella. La compre porque se me carga muchisimo la espalda. Sobre todo las cervicales. Y si noto alivio al usarla. No voy a decir que me cura y quita los nudos y contracturas, pero si noto mejoría. Será la otra milagrosa o hará la misma función???</t>
  </si>
  <si>
    <t>Disco Defectuoso Por precio el gigabyte salía muy bien, además de ser 3.0, el disco interior es un seagate. El tamaño real es de 1.862GB (0,9313x2000) Poco puedo decir, ya que al pasar los datos al disco duro esté quedaba bloqueado al poco tiempo, probé varias veces con archivos pequeños, ISOs, etc. pero al porco tiempo se bloqueaba, menos mal que me paso de mano y no perdí datos ya que iba a pasar 2 disco a este (Me libre) Es la primera vez que compraba esta marca (Maxtor 2TB) puede ser mala suerte pero comprare un WD que aunque sea más caro me da más confianza. * Antes de iniciar el disco vi que no tenia horas de uso por lo que igual es la controladora. Use puertos USB 3.1 y 3.0 escribiendo sobre 100MB/Seg pero se bloqueaba, cosa que con mis otros discos duros no ocurre. ** Vi los comentarios de gente que le salio mal el disco, pero me imagine que seria una mala tanda y por eso lo compre, ahora ya estoy haciendo la devolución y no pretendo coger otro y probar a ver que pasa</t>
  </si>
  <si>
    <t>Lamentable el servicio de atención de Amazon y del vendedor siendo un producto defectuoso Tras menos de un mes de uso ha empezado a pelarse la base de la cuchilla y a soltar trozos de plástico. El servicio del vendedor y de Amazon: LAMENTABLE, se han desentendido de todo, NADA RECOMENDABLE</t>
  </si>
  <si>
    <t>Me han decepcionado. No las recomiendo. Pedí la talla 44,5 ya que de zapatillas gasto el 44, pero me están pequeñas y me hacen daño. Tampoco tengo claro que sean originales.</t>
  </si>
  <si>
    <t>Rita Es una caja q está bien de precio. Cumple su función. Ahora bien... no se ve de una calidad excelente. El cierre costó activarlo pero ahora funciona bien. La llave también. Para el precio q tiene, esta bien. Yo la comparó con una faq que tuve anteriormente... y la veo inferior. Pero calidad- precio la recomiendo</t>
  </si>
  <si>
    <t>Su aroma es muy agradable Su olor y además para dormir te relaja</t>
  </si>
  <si>
    <t>Satisfecho Tiene gran cabida, genial para llevar una cámara compacta, incluso una reflex con objetivo corto, trípode estilo gorilla. Cuenta con tres apartados interiores, uno de ellos con cremallera y uno exterior con cremallera. Se nota resistente la bandolera y de buen tacto.</t>
  </si>
  <si>
    <t>Comodidad Es una zapatilla cómoda, queda bien ajustada al pie y talla correctamente. En caso de lluvia intensa cala</t>
  </si>
  <si>
    <t>ESTUPENDA PLANCHA NORMAL Muchas veces, hablando de electrodomésticos, lo que buscamos, a veces en vano, es el modelo normal de la gama, un microondas normal, una batidora normal, una tostadora normal o una plancha normal. Sin sofisticaciones ni extras, que no vamos a querer, poder o saber usar. Pues bien, esta es una plancha normal. Si eso es lo que estás buscando, lo acabas de encontrar.  Su potencia no es extraordinaria (2.200W), pero es más que suficiente para el uso cotidiano de un hogar, pues eso, normal. Es verdad que hay modelos de potencia superior, pero lo que hacen generalmente es gastar más sin que podamos compensar ese exceso de gasto con ventajas palpables en nuestro uso habitual. Solemos rodearnos de objetos claramente sobredimensionados en relación con nuestras necesidades reales.  El golpe de vapor (130g/min) es más que suficiente, se desliza muy bien, y lo que para mí es lo mejor de todo, no pesa nada. Además, el cable es suficientemente largo.  Tiene un botón de autolimpieza, que no sé exactamente qué implica, pero suena bien; y la posibilidad de planchar verticalmente, lo que la hace especialmente útil en una tienda de moda, donde muchas veces es necesario repasar las prendas que vienen del almacén antes de exponerlas en la tienda.  Por último, me parece que tiene un precio bastante correcto en relación con la calidad y prestaciones.</t>
  </si>
  <si>
    <t>Muy satisfecho Muy cómodas y bonitas las zapatillas, estoy muy contento con ellas y lo más importante, la talla es la correcta, yo tengo un 44 y corresponde bien con lo que esperaba.</t>
  </si>
  <si>
    <t>PERFECTAS Me encantan . Muy bonitas , comodas y elegantes . Ya he tenido más veces estas zapatillas y ningún problema . Son DE VESTIR !! Si las quieres para regalarselas a tu hij@ y que las lleve al cole y juegue al fútbol con ellas ... No las recomiendo .  Os dejo fotos de las zapatillas granates , ya que en la web se ven algo diferentes.  ( Las granates están sin usar , y la negra ya llevo con ella 6 meses y están como nuevas )</t>
  </si>
  <si>
    <t>calidad - precio cómodos para mis brazos y manos. Buen apoyo y ayuda a acabar el día sin tener que apoyar todo el tiempo el brazo desnudo en la mesa, hasta puede evitar lesiones en casos específicos.</t>
  </si>
  <si>
    <t>Muy bueno Muy buen producto,es de muy buen tamaño, y con accesorios que sirven bastante, muy bueno para hacer un detalle</t>
  </si>
  <si>
    <t>Recomiendo. Hola. Cascos baratos y Buenos. Recomiendo su compra. Saludos desde Manoteras.</t>
  </si>
  <si>
    <t>muy cómodo y ligero Muy cómodo y ligero. Muy discreto pese al tamaño y pese a ser un g-shock, que son de por si muy llamativos, pero al tener las letras en negro se hace menos cantoso. La verdad es que muy contento con el</t>
  </si>
  <si>
    <t>Todo bien La batidora es como dice la descripcion y funciona a las mil maravillas. Solo espero que me de el mismo resultado que mi anterior minipimer que fue de lujo...</t>
  </si>
  <si>
    <t>muy buenos! Me gustan mucho, huelen bastante y se notan naturales.</t>
  </si>
  <si>
    <t>Esta muy bien gracias Están muy bien y buen tejido</t>
  </si>
  <si>
    <t>Muy buena compra Muy buena calidad y muy bonito. Entrega en plazo</t>
  </si>
  <si>
    <t>Calidad y tamaño perfecto Gran tamaño y discreto</t>
  </si>
  <si>
    <t>Buena relación calidad - precio. Con mayor calidad de lo que me esperaba por precio y en comparación con otras. Instrucciones de montaje bastante claras.</t>
  </si>
  <si>
    <t>Quitan la pelusa Hemos probado varios de algunas tiendas, y la verdad que estos cumplen perfectamente su función</t>
  </si>
  <si>
    <t>Buen producto a buen precio Ya lo he usado anteriormente y la verdad que es un buen producto, a buen precio y me ha llegado rapidísimo.Huele muy bien a cereza y cunde bastante.Descompone bastante bien el papel higiénico y hace que no haya olor.</t>
  </si>
  <si>
    <t>Miu bien Genial!!!</t>
  </si>
  <si>
    <t>Un casio Reloj bonito para los que nos gusta casio. Es un reloj sin complicaciones ni pretensiones. Cómodo, ligero y económico. El recuadro me dice que tengo que poner una palabra más así que aquí va esta. Reloj</t>
  </si>
  <si>
    <t>Perfecto y sencillo. Funcionan perfecto y fácil de utilizar, compre unos nuevos de la marca Boya, y suelen dar algún que otro fallo en la conexión, generando ruidos de desconexiòn entre el transmisor y el receptor, en cambio con este modelo de Rode ningún problema. Si realmente no quieres tener sustos en algo tan importante como es el audio, los aconsejo sin ninguna duda, dentro de tener un buen precio con una alta calidad.</t>
  </si>
  <si>
    <t>Pulsera Pulsera muy bonita y elegante, es muy cómoda para llevar siempre, la compré para un regalo a una niña y está encantada.</t>
  </si>
  <si>
    <t>Muy malos ajustes.No salpicar Me gustan los relojes voluminosos y este para el dia a dia me resultó bastante llamativo.El reloj da la sensacion de cierta calidad que realmente no tiene.El cuero con poco tiempo se acartona,es dificil de desabrochar y sobre todo que no le salpique el agua.Sus controladores superior e inferior tienen demasiada holgura y mal ajuste dejando pasar el agua y pudiendo provocar el fallo total de la maquina.Es un reloj llamativo pero de mala calidad</t>
  </si>
  <si>
    <t>7.27TB REALES Lo compré reacondicionado en perfecto estado, produce un zumbido insoportable que creo que el fabricante debería solucionar, es un grave problema. Pierde mucha valoración por ruido. Lo soluciono colocándolo sobre plástico de pompitas (siguiendo el consejo de un usuario). Tengo otros WD de TB ( con el frontal curvo) que no hacen nada de ruido y además incorporan una luz de actividad, no entiendo porqué no lo lleva el My Book, por lo demás bien</t>
  </si>
  <si>
    <t>Que tiene buen olor en el ambiente él que huele algo Hay algunos aromas qué huelen más y otros que prácticamente no se aprecian</t>
  </si>
  <si>
    <t>llevo tres aparatos y este... De los tres que he tenido; uno del lidl, otro de ufesa y éste. DE momento va bien, calienta los pies como para notar una sensación agradable, el pero es la funda interior, que se está saliendo siempre. Con los anteriores no me ocurría esto.  15-02-18 Después de año y medio con el producto puedo decir que a día de hoy sigue funcionando muy bien. La tela interior sigue siendo bastante incómoda porque se sale continuamente. y el cable de conexión con el calientapies es algo incómodo y muy rígido.  En norma general le sigo dando tres estrellas, el funcionamiento es muy bueno, parece duradero (es el que más me ha durado de los que he tenido), sin embargo es mejorable. ¿lo volvería a comprar? Por supuesto, las contras son menores que las ventajas y su calidad</t>
  </si>
  <si>
    <t>Hebillas endebles. La calidad en sí del zapato en general no le pareció mal, pero me llegó un Hebilla rota, y l verdad, las hebillas se veían endebles. Los devolví, no los cambié.</t>
  </si>
  <si>
    <t>Esperaba más del producto. Esperaba más del producto. Mala calidad, los dibujos de los charms están difuminados. Al sacar la pulsera de la bolsa te quedan las manos llenas de pintitas negras.</t>
  </si>
  <si>
    <t>Muy buena compra Las mallas son como lo esperaba :bien ajustadas y cómodas . Se lavan muy bien y secan rápido. Además quedan muy bonitas y te hacen parecer más delgada. Estoy muy contenta con la compra .</t>
  </si>
  <si>
    <t>Buen precio y calidad Buena relación calidad precio. Cuenta con dos temporizadores de cuenta atrás con hasta 10 repeticiones. Funcionamiento solar y posibilidad de ahorro de energía que apaga la pantalla en condiciones de oscuridad.</t>
  </si>
  <si>
    <t>Sudadera en buen estado La sudadera cumple las expectativas que tenía.</t>
  </si>
  <si>
    <t>Con mayor ajuste mejor No me gusta que la ban3 no ajuste como con la pulsera original. Estéticamente me gusta.</t>
  </si>
  <si>
    <t>precio asequible buena maquina No la hemos probado aun para hacer dulces.de momento la abrimos y va todo perfecto.en breve la utilizaremos y ya veremos como funciona.embalaje y todo perfecto</t>
  </si>
  <si>
    <t>Muy bien Me gusta mucho como queda ni demasiado estrecho , ni muy ancho..  Favorece y es cómodo.</t>
  </si>
  <si>
    <t>Todo perfecto Lo único malo son las marcas de color (desgaste) que siempre salen. Pero son preciosas y quedan genial.</t>
  </si>
  <si>
    <t>Bien Buen tejido, no muy grueso y se ajusta bien. Queda muy bien, buen diseño.</t>
  </si>
  <si>
    <t>Lo volveré a comprar Funciona muy bien,  los rodillos giran en dos sentidos y tiene infrarrojos. El envío es rápido, menos de una semana. Tiene un buen acabado y muy buena presentación y lo mejor es que te deja la espalda de maravilla. El servicio de atención al cliente es excelente</t>
  </si>
  <si>
    <t>Excelente Lo mejor calidad-precio sin ofertas especiales, podrias conseguir uno mejor pero tendrias que esperar una oferta que aparezca, rendimiento excelente, no creo que un usuario normal note diferencia alguna entre 2000mb/s y 5000mb/s, es mas nisiquiera con el BX500 que tiene mi laptop consigo apreciar diferencia alguna, los ssd son lo mejor, ya que vengo de un HDD a 5200RPM.  Otra cosa este tiene 100 TBW, lo que garantiza aprox. 10 años de escritura si escribes 25gb diarios en tu ssd.  El Bx500 de 240gb tiene 80 TBW, lo cual tambien esta excelente y garantiza 8 años aprox.  Tambien dire que he medido los datos que llevo escritos y tengo aprox. 15gb diarios osea que podria durarme aun mas.</t>
  </si>
  <si>
    <t>Esta muy bien Esta muy bien y la talla es la que ponen , la XXL era justo mi medida</t>
  </si>
  <si>
    <t>Aceites Creía que olía mas</t>
  </si>
  <si>
    <t>Es el mejor HDD Precio Calidad del mercado Actualmente tanto por el precio, calidad, durabilidad y sencillez del dispositivo los discos de WD para el montaje de equipos básicos y de almacenamiento domésticos son la mejor opción sin lugar a dudas. He comprado alrededor de 10 HDD de western digital de color azul y ninguno de ellos me ha dado problemas.  Tenemos que entender que como todas las compañías hay HDD que salen defectuosos y no rinden o proporcionan las mismas horas de vida que uno que no este dañado pero para eso existen las garantías.  En cuanto las caracterisitcas como indica en el nombre del producto nos proporciona: 7200 rpm, SATA a 6 Gb/s, 64 MB.  Adjunto imágenes del estado de mi HDD que ha funcionado sin descanso durante 4 años. También adjunto imágenes de WD para que sepáis cual es la mejor elección según las necesidades que tengáis.</t>
  </si>
  <si>
    <t>Talla adecuada Perfectas para trabajar, cómodas, discretas y de buen material .</t>
  </si>
  <si>
    <t>Elegante y bonita Compré está pulsera para un regalo y fue un acierto. Muy bonita,sencilla. Muy práctica para el día a día. La recomiendo</t>
  </si>
  <si>
    <t>Un 10! Nos encanta! Llevamos mas de 1 mes con el robot y estamos fascinados! Nuestro piso es grande, de casi 120 metros y les puedo asegurar que lo deja impecable. La batería aguanta bastante para el trabajo que le damos, pero se carga rápido asi que sin problema. Lo unico "malo" es que el deposito se llena muy rápido entonces si te vas de viaje un finde y la quieres programar para que limpie y se te llena o se atasca pues te quedas sin casa limpia (aunque hay una opcion de que limpie aunque tenga el deposito lleno pero yo no me animo por si se estropea), esa es la unica pega... el deposito tan pequeño, por lo demás... un 10!</t>
  </si>
  <si>
    <t>calidad precio genial la verdad es que por ahora estoy muy contento con el producto, las terminaciones son en metal (por 8 euros pensé que seria plástico) encaja perfectamente con mis micros, funciona perfectamente con el Phamton (48v) y a nivel técnico ninguna queja, los ruidos e interferencias que antes sufría con un cable minijack que me incluía el micro, han desaparecido, el sonido es cristalino, para mi miniestudio en casa es una compra recomendada</t>
  </si>
  <si>
    <t>Zapatos de calidad Preciosos zapatos, buenos acabados, muy cómodos.</t>
  </si>
  <si>
    <t>Cómodas Cómodas y ágiles para estar por casa; ni muy calientes ni muy frías; justo lo esperado</t>
  </si>
  <si>
    <t>Buena calidad Sonido limpio. Buen material</t>
  </si>
  <si>
    <t>Perfecto y practico Es una maravilla, el agua caliente aguanta hasta pasada 12 horas, es una pasada, caben para 3 bibes de 210</t>
  </si>
  <si>
    <t>Cumple su función. Muy ruidosa. Hace años que uso batidoras Philips y nunca me han defraudado. La compra de este modelo y cambio del anterior es por el vaso On the GO individual que tiene para hacerse batidos individuales y el grande para la familia. La gran sorpresa a sido y es el ruido, parece una machacadora de una cantera. Por lo demás tritura muy bien, mucho mas fino que el modelo anterior que tengo y sigue funcionando. Si no importa el ruido es una buen compra.(ACLARACIÓN) (Ruidosa como una machacadora es usándola con el vaso On the GO).</t>
  </si>
  <si>
    <t>No sirve para Apple (a mi no me ha servido) Por más que insistí en inicializar, darle formato Mac OS, solo me reconocía 800 GB de los 3000 GB que alberga. Además es una marca típica de Mac… no sé que ha podido pasar. Lo cierto es que fui a un taller de PCs y les pedí que lo revisaran y le dieran formato, y aparecieron los 3TB… entonces no me quedó otra que devolverlo. Mui a mi pesar</t>
  </si>
  <si>
    <t>Muy grande Muy grande</t>
  </si>
  <si>
    <t>Si no es tú medida no la compres. Si no es tú medida no la compres, tengo un kit de relojero y una la conseguí ajustar y no quedó bien del todo, la otra opté por desmontar entera la pieza donde trinca y me costó el doble.Caras, de poca calidad, cierre de poca calidad y cuesta más ajustarlas que llevarlas a un relojero y te cobré 6€....no la recomiendo, las hay mejores.</t>
  </si>
  <si>
    <t>No es lo que esperaba Poco reforzado y poca sujecciión.tejido sencillo  No es lo que esperaba. Diseño y color bonito que no cumple expectativas. Mala compra</t>
  </si>
  <si>
    <t>Ojo con el cierre El cierre no es muy seguro q digamos si os movéis mucho tener cuidado con no perderlo</t>
  </si>
  <si>
    <t>Te deja la piel limpia Es para pieles normales, no muy sensibles</t>
  </si>
  <si>
    <t>Encuentro El artículo cumple con las especificaciones técnicas del producto. Otra ventaja es su reducido peso del producto. No le doy 5 estrellas por la rigidez del cable,ya que limita su uso en directo</t>
  </si>
  <si>
    <t>Sensillo y robusto Un reloj ideal para usar a diario, aunque también puedes servir para vestir más elegante. De apariencia sencilla y duradera, se ve de buena calidad. Cómpralo sólo si te gustan los relojes muy grandes.</t>
  </si>
  <si>
    <t>Limpia bien pero no limpiar con las manos mojadas Limpiar limpia bien, pero para el momento de justo terminar de ducharte y limpiar el cristal de la mampara del plato ducha es muy poco práctico, pesa un poco y resbala el mango al ser cromado...</t>
  </si>
  <si>
    <t>Buena relacion calidad precio Van muy bien para lo baratos que son. Antes de comprarlos tuve unos comprado en el media markt por el doble de precio y la calidad del microfono y sonido era bastante peor que estos. Recomendables si quieres unos cascos para escuchar música o incluso como alternativa barata para cascos para gaming ya que tienen micro.</t>
  </si>
  <si>
    <t>Buen producto, calidad/precio Los compré para salir a correr y la verdad que son muy cómodos y no se mueven mucho. Seguiré probando los con más intensidad, pero el sonido es muy bueno y muy prácticos para hacer deporte.</t>
  </si>
  <si>
    <t>Comodidad Me ha gustado su forro que hace que la zapatilla se adapte bien al pie, y sirve de buen abrigo y la hace muy cómoda</t>
  </si>
  <si>
    <t>Reloj para diario Excelente reloj con todas las funciones que se necesitan y alguna mas.  La lectura es muy comoda y lo he usado en la piscina sin ningun problema y, dada la duracion de la pila, no hay que tener muy en cuenta el ponerle las protecciones anti agua cuando se le sustituye la bateria. Lo uso a diario y estoy muy contento. La presentacion, el transporte, el tiempo de suministro y el precio, perfectos</t>
  </si>
  <si>
    <t>EstrellasBuen sonido Los compré para mi hija, se oyen bien y tienen límite de sonido.</t>
  </si>
  <si>
    <t>Perfecto Hace un poco de ruido, pero compensa con el aroma que expulsa y por el gran deposito de agua.</t>
  </si>
  <si>
    <t>Pendrive perfecto para el coche Pendrive pequeño USB 2.0. No tengo queja, precio contenido para lo pequeño que es, lo tengo puesto en la radio del coche y pasa desapercibido. No tengo mucho que decir  dada su simpleza, pero por aclararlo, eventualmente es cuando muevo ficheros de música y no me ha parecido que sea lento precisamente, aunque entiendo que para otros menesteres puede que haya pendrives mas rápidos en USB 3.0.</t>
  </si>
  <si>
    <t>Bonitos y económicos Pequeñitos pero muy monos. Recomendable su compra para una misma o para regalar. Son cómodos y prácticos. Buena compra seguro.</t>
  </si>
  <si>
    <t>Funciona a la perfección. Genial para los amantes del té.</t>
  </si>
  <si>
    <t>Perfecto!!! Las compré un martes por la tarde y me llegaron el miércoles por la mañana. La entrega perfecta. Por lo que hace el producto es el mismo que las fotos, de buena calidad y muy cómodas. Los zapatos llegan con caja de Nike.</t>
  </si>
  <si>
    <t>Muy bonitos Es mas pequeño de lo que imaginaba pero hace su función,lo compre para el bautizo de mi hija</t>
  </si>
  <si>
    <t>Geniales Quedan tal y como esperaba. Pedí mi número habitual y me quedan perfectas, son súper cómodas y transpirables para el verano ideales, parece que no llevas nada porque apenas pesan. Las volvería a comprar sin duda</t>
  </si>
  <si>
    <t>Versatilidad La doble entrada USB-A y USB-C es ideal para usarla entre ordenadores distintos como en mi caso: macmini y mbp.</t>
  </si>
  <si>
    <t>Perfectos Tal como quería ,están perfectas muchas Gracias</t>
  </si>
  <si>
    <t>Buenos Perfectos para pedales de efectos en serie, ningún problema. Estéticamente muy vistosos</t>
  </si>
  <si>
    <t>Auriculares de buena calidad Después de estar probando durante casi una semana puedo decir que los auriculares blutetooth inalámbricos, que estoy muy satisfecho con ellos, la calidad de sonido me sorprendió gratamente, su tamaño son muy chiquitos y se adaptan muy bien al oído (viene con diferentes gomas para adaptarse a cada oido), yo los he probado para ir a correr y caminar y en ningún momento me dio la sensación de que se me fueran a caer, la única pega y por poner un defecto es que a la hora de sacar de la caja de carga me cuesta sacarlos porque están muy justos (que también puede ser por mi culpa al tener un poco los dedos gordetes). También se puede usar de bateria portatil. La duración de la batería de los auriculares es muy buena ya que su duración te da para varios días. En resumen muy satisfecho con ellos.</t>
  </si>
  <si>
    <t>No lo utilizaría como reloj de uso, pero como complemento es PERFECTO Es lo que, un complemento para un disfraz de época, steampuk, etc. Se puede usar como reloj de uso, porque no está mal, los materiales para el precio que tiene son buenos, pero como complemento es perfecto. Recomendable.</t>
  </si>
  <si>
    <t>Producto conforme a las espectativas La sudadera es tal como se presenta en la foto. La calidad del producto es buena. La talla es impecable.</t>
  </si>
  <si>
    <t>Cómoda Cómoda, aunque se resbala un poco hacia abajo</t>
  </si>
  <si>
    <t>ROTURA A LOS POCOS DÍAS ERA BONITA PERO ROMPIÓ A LOS POCOS DE DIAS DE USARLA POR EL CENTRO,  EL MATERIAL PÉSIMO Y DECÍAN QUE ERA FUERTE.</t>
  </si>
  <si>
    <t>bonito Muy escasa la talla</t>
  </si>
  <si>
    <t>Buen precio, version "consumidor" (económica) Aun siendo de Kingston, pero es la versión económica, con lo que tiene varias faltas, Por ejemplo el "SSD manager", se limita a informar y no te deja hacer nada. No permite OP (Overprovisioning) ni trim. Hasta ahora, parece estable, pero lo llevo usando poco tiempo. Es un modelo de precio económico, pero no me ha acabado de convercer.</t>
  </si>
  <si>
    <t>No recoge migas Es bonito pero tiene un inconveniente. Es un recoge migas que NO recoge las migas. No puedo devolverlo poque tiré la caja (fallo grave)</t>
  </si>
  <si>
    <t>Mala calidad Te las vende como originales pero no lo son. Mala calidad, a los dos usos se empiezan a romper. Gracias</t>
  </si>
  <si>
    <t>Buen producto Producto tal y como se describe de 30 cm x 2 cm y 2 colores de cada. Cumple con su función.</t>
  </si>
  <si>
    <t>Bonitos Son bonitos</t>
  </si>
  <si>
    <t>Contenta con la compra. Muy bonitas y cómodas. Son muy cómodas y originales. La talla de ajusta con la tabla de medidas. La única pega es el olor fuerte que traían. Desaparece con el tiempo.</t>
  </si>
  <si>
    <t>Genial Es muy bonito  y grande .estoy muy contenta .es muy útil  buena compra</t>
  </si>
  <si>
    <t>Perfecto Va muy bien.</t>
  </si>
  <si>
    <t>Cómodas Por el momento, me gustan. tanto para trabajar como para lucirlas.</t>
  </si>
  <si>
    <t>La zapatillas son muy comodas Ahora que se acerca el verano pues he empezado a ir a correr, y la verdad es que estas zapatillas son realmente comodas casi en todo tipo de terreno. Las he usado tanto en la cinta de correr, como en los parques, y solo puedo decir que estoy encantado con estas zapatillas.</t>
  </si>
  <si>
    <t>Muy bonito Está hermoso la caja en buen estado y el reloj fantástico le ha encantado a mi marido</t>
  </si>
  <si>
    <t>El conforto Muy buena calidad!! Confortable y entrega rápida !!</t>
  </si>
  <si>
    <t>Muy cómodas Las compré por la suela, pués parecía resistente y yo salgo mucho al jardín incluso en invierno. No me equivoqué, es casi de bota de treeking, muy gruesa y resistente.</t>
  </si>
  <si>
    <t>Continuidad con la marca Después de tener un modelo anterior que dejó de funcionar después de bastantes años de uso moderado, he adquirido este a ver si me da, como mínimo, el mismo resultado.</t>
  </si>
  <si>
    <t>preciosa Es muy bonita y buena calidad. A mi madre le ha encantado.</t>
  </si>
  <si>
    <t>Buen regalo para personas que trabajan de pie &lt;div id="video-block-R2PEX92BMRVZCR" class="a-section a-spacing-small a-spacing-top-mini video-block"&gt;&lt;/div&gt;&lt;input type="hidden" name="" value="https://images-eu.ssl-images-amazon.com/images/I/A1Km5orla+S.mp4" class="video-url"&gt;&lt;input type="hidden" name="" value="https://images-eu.ssl-images-amazon.com/images/I/91a-gA5EqpS.png" class="video-slate-img-url"&gt;&amp;nbsp;Era un regalo para un familiar que trabaja todo el dia de pie y acaba con las piernas cansadas y con ciertos problemas de circulación. Tras unos días de uso me ha comentado que esta contenta con el producto ya que le alivia el cansancio de las piernas tras las jornadas de trabajo de pie. La verdad que no es como un masaje de pies, ya que es mediante electroestimulación, pero tras uso, si que tiene buenos resultados. Contentos con la compra.</t>
  </si>
  <si>
    <t>B. G Eran un regalo, y le quedan perfectas, peróxido ya tenía unas salomón así que con la talla lo tenía claro.  Muy bonitas y muy cómodas lo esperado para esta marca.</t>
  </si>
  <si>
    <t>Perfecto Espectacular, llevo un par de meses con el y funciona a las 1000 maravillas ademas cada vez que alguien lo ve se sorprende creyendo que es un reloj mucho más caro, lo recomiendo 100%</t>
  </si>
  <si>
    <t>Más pequeño de lo que esperaba Es lo que estaba buscando con mucha potencia, lo único que al máximo dura poco la bateria 3 o 4 usos.</t>
  </si>
  <si>
    <t>Perfecta para mi DJI Mavic PRO si no quieres gastarte mucho dinero y que sea pequeña. No esta nada mal para meterle un Mavic Pro. Caber perfectamente el Pack Fly more Combo.con todo. Porsupuesto que hay mejores bolsas de calidad pero por no menos de 60/70 euros como las LowerPro. Pero por 21 € cumple su función perfectamente tanto para cámaras deportivas como para reflex, o como en mi caso, para el dron DJI Mavic PRO.  Algún bolsillo de mas, aparte del central que es de malla no le hubiera ido nada mal. Los velcros se pegan a la tela de la mochila que aveces cuesta sacarlos y puede ser un poco engorroso ponerlos correctamente (sobre todo si eres un manazas como yo)  Una buena compra. Saludos.</t>
  </si>
  <si>
    <t>Adecuado Todo correcto y a gusto</t>
  </si>
  <si>
    <t>Hierve muy bien Al principio con los primeros usos, tiene un olor a plástico, una vez usando varias veces , el olor se va , el material es muy bueno, y tarda muy poco en hervir el agua. Para limpiar solo hay que echar vinagre y agua, y ponerlo a hervir , así que también es súper sencillo de limpiar</t>
  </si>
  <si>
    <t>Buen producto Son los únicos biberones que ha querido mi hijo. Muy duraderos, la tetina es de una silicona blandita que hace la succión más fácil. Sirven para papilla espesa</t>
  </si>
  <si>
    <t>compra perfecta Hervidor es de muy buena calidad, silencioso y con gran capacidad. A la primera me pareció un poco grande,pero en la vida real no lo notas por su comunidad de uso.Y el color mola mucho.</t>
  </si>
  <si>
    <t>Bueno Cuando compras un pen Drive sabes la capacidad que estás comprando por lo que si quería esa capacidad su función la cumple.</t>
  </si>
  <si>
    <t>Buen bolso masculino He comprado este bolso en la semana black friday por 13,59€ y acabo de recibirlo. La primera impresión es buena, especialmente por ese precio. -El bolso recibido se corresponde exactamente con el anunciado. -Estéticamente me gusta; el juego de marrones me parece bastante elegante; combina tanto con unos vaqueros como con un abrigo oscuro. -La lona el bastante gruesa y parece de calidad -Consta de tres compartimentos,   -Bolsillo más exterior, cerrado con velcro; ¡¡ nada de guardar cosas valiosas en él !!   -Espacio intermedio, no muy ancho y con dos prácticos bolsillos internos sin cierre en los que guardar la cartera, el móvil (el mío de 5" cabe perfectamente en cualquiera de ellos), etc.  Este se cierra con cremallera.   -Espacio más interior, el de mayor capacidad , con un bolsillo interior con cremallera.  Este compartimento también se cierra con una cremallera exterior.  -La bandolera es cierto que no es demasiado larga; yo la he puesto al máximo, mi altura es 1,78 y así me queda en la cadera. -Hubiera estado bien, añadir un pequeño bolsillo por la parte trasera, como algún otro bolso que tengo.  En conclusión;  me parece un BUEN PRODUCTO a un BUEN PRECIO.</t>
  </si>
  <si>
    <t>Muy cómodas y buenos materiales Cómodas desde el primer segundo y muy baratas para la calidad que traen. Las puedo llevar 12 horas al día y ni enterarme. Sorprendente el hecho de que no necesité "abrirlas", desde que me las puse las he traído muy cómodas.</t>
  </si>
  <si>
    <t>Fatal de pequeñas!!! Las compré con ilusión para el niño que lleva un 38 y al abrirlas son un 36. Este verano no he dado ni una con los calzados que,he comprado aquí. O,muy pequeños o muy grandes siendo su número. Le compré 4 para todo el verano y nada se puede poner . Una pena ,al ser de Canarias no me compensa devolver,llevo más de 2 años que todo el calzado lo compro aquí y genial pero,este verano gafado.</t>
  </si>
  <si>
    <t>Duración no muy larga menos de un año me ha gustado que es original y sobre todo no me ha gustado la durabilidad el producto no ha llegado a durar un año al final los cables no son de muy buena calidad y no hacen bien contacto con el auricular y ha dejado de funcionar uno de ellos con lo cual a la basura.</t>
  </si>
  <si>
    <t>Muy malas aunque sean baratas Muy malas, muy blandas y justas para pocos folios. Por uno poco mas, las hay mucho mejores. No las volvere a comprar.</t>
  </si>
  <si>
    <t>Disco defectuo La peor compra que he hecho en los 10 años que llevo como usuario de Amazon. Lo primero, contaba con el disco para un proyecto y, si bien asumía que podía llegar más tarde de los 2-3 días, no sólo llegó tarde sino que tardó 9 días en llegar. Luego, al abrir el paquete, me encuentro con que el disco iba suelto dentro de la caja con un pequeño bollo de papel a su lado. Si bien es cierto que estaba envuelto en papel de burbuja, no puedo imaginar la cantidad de golpes que se habrá llevado el disco desde que salió de 'las instalaciones del vendedor' hasta mi casa. Adjuntas van las fotos. Y, para rematar, el disco está defectuoso y no es legible ni en mi NAS, ni en ninguno de los 2 pc's a los que lo he conectado. No recomiendo este vendedor, al margen de que esté 'gestionado por Amazon', para nada. Tengo otro WD Red de 2 TB que sencillamente fue conectar y funcionar.  La peor experiencia de compra que he tenido. Devolviendo producto.</t>
  </si>
  <si>
    <t>Se ha roto nada más ponerla El primer día de me rompió . Muy blanda</t>
  </si>
  <si>
    <t>Prácticas para trabajos que requieren ver de cerca. Me gusta por la variedad de lentes y lo facil que se usan,lo que no,las patillas hacen un poco de daño,las uso para bordar y me vienen de miedo!!. Contenta con la compra.</t>
  </si>
  <si>
    <t>Zapatos de baile Para bailar y que no se hinchen los pies</t>
  </si>
  <si>
    <t>Queda muy bien Todo ok</t>
  </si>
  <si>
    <t>Buena compra - Son originales, unas botas que tiene toda la pinta que durarán muuchos años! - Me iba a comprar las negras, pero entre que vi que las moradas eran prime y más baratas (nada más y nada menos que 35€ de diferencia) no me arrepiento, si os interesa el color es tal cual la imagen aparte que puedes ponértelas con casi todo. - El tallaje está bien, yo compré la talla que siempre uso, el problema es que si tienes el pie estrecho en la punta te van a quedar un poquito anchas, pero nada del otro mundo, si es mucho le pones una plantilla y listo. No le doy 5 estrellas porque la empresa de mensajería Tourline Express que se encargó del envío en La Rioja funciona FATAL, me dieron las botas en el momento límite, ojalá Amazon dejase de trabajar con ella.</t>
  </si>
  <si>
    <t>Muy útil y con garantía Muy práctico, compacto y bien hecho. Tanto los cierres como las asas tienen muy buena pinta. Recomiendo los productos Eastpak.</t>
  </si>
  <si>
    <t>Cumple con todo Lo hemos comprado porque nuestra bebé se ha puesto enfema con catarro y queríamos tener el ambiente de la casa no tan seco por el aire y para tener una luz secundaria para cuando nos levantamos por la noche cuando se despierta la bebé, así que nos ha venido de perlas. Hace un poco de ruido pero no deja de ser ruido del agua, no es nada molesto, yo diría que hasta relajante, pero vamos, que no se nota prácticamente. Tiene un diseño muy chulo. Tened en cuenta que es más un difusor de aromas con función de humidificador, que humidificador  100%, cumple su función genial, pero no esperéis potencia ni gran capacidad como uno más grande. Para las habitaciones nos va genial, quizás ya para el salón más grande optemos por comprar uno de mayor capacidad.</t>
  </si>
  <si>
    <t>Cómodas y de calidad. Muy calentitas Tienen muy buena calidad, son realmente cómodas. Obviamente las estrenaré cuando deje de hacer tanto calor, pero se ven realmente buenas y a un precio espectacular. Compraré otras seguro</t>
  </si>
  <si>
    <t>Muy cómodos Los utilizo para trabajar,y son súper cómodos,tengo el pie estrecho pero se adaptan genial, antideslizantes...muy contenta,los recomiendo.</t>
  </si>
  <si>
    <t>la primera sensación es que me encanta la primera sensación es que me encanta, tengo otros más caros y este me gusta más por la sujeción que lleva, no es nada molesto llevarlos y tienen buen sonido, asi que estoy satisfecho con la compra y los recomendaré sin duda</t>
  </si>
  <si>
    <t>Elegante y práctica Este producto fue un regalo de cumple y me decidí a comprarlo por su elegancia y lo práctico que es. Tiene un tamaño perfecto para llevar los accesorios necesarios. Además es cómoda e ideal para cualquier ocasión.</t>
  </si>
  <si>
    <t>Cumple su función Es la primera vez que compro un disco duro de esta marca. Habia leido muchas opiniones y la verdad, no las tenia todas. Una vez usado veo que cumple perfectamente su función.  En aparciencia el disco duro se ve robusto (plástico fuerte). Por la parte de abajo tiene unos taquitos de goma que van bien para que no se deslice por la mesa ni se ralle.  La transmisión de datos si usas USB3.0 es súper rápida.  No evaluo la durabilidad por que llevo demasiado poco por él.  Ah, se tiene que formatear si quieres usarlo sólo en Mac o en Mac y Windows. Por defecto viene en formato para Windows.</t>
  </si>
  <si>
    <t>Encantada Bonito colgante... representa a un gato dorado desperezándose. Es mi animal preferido, así que me enamoré en cuanto la vi. La cadenita es muy fina y elegante y, a mi parecer, tiene el largo perfecto.</t>
  </si>
  <si>
    <t>No hay acoples Este cable yak es lo que buscaba en cuanto a calidad y versatilidad.Se acopla bien al bajo y no se acoplan ruidos extraños,tambien la forma en "L" es perfecta tanto para el instrumento o para el amplificador ya que no sobresale tanto como otros</t>
  </si>
  <si>
    <t>Perfecto Un gran producto en cuanto a calidad precio, el material se ve resistente y tiene las características esperadas.Cumple con lo que se espera</t>
  </si>
  <si>
    <t>Muy buena Muy buena, el diseño muy moderno y buena calidad, tritura muy rápido y muy eficiente Muchos accesorios y botes para llevar al trabajo</t>
  </si>
  <si>
    <t>La comodidad El colo me encanta tu lo uso principalmente para caminar</t>
  </si>
  <si>
    <t>Lo uso a diario Anteriormente compré uno baratero y cuando se rompió decidí gastar algo más de dinero. Estoy encantada. Lo tengo ya más de un año y no me ha dado ningún problema a pesar de que lo uso en mis clases a diario. Es fácil de utilizar, pesa poco y se adapta muy bien a la mano. El anterior que tenía era igual de pequeño que un rotulador vileda y pensaba que este, al ser más grandes, sería incómodo, pero nada que ver. De hecho, creo que el que sea algo más grande ayuda a que se adapte mejor al cogerlo.  Lo único que echo de menos es que se pueda hacer clic en links para poner vídeos o redirigir a documentos. Esto no lo hace ni el anterior ni este, con lo que supongo que es algo habitual en estos punteros de gama media. De todas formas, es un producto estupendo. El puntero funciona bien, no sé si tiene tanta distancia como anuncia, pero desde el otro lado de la clase (que es bastante profunda) se puede usar sin problemas.</t>
  </si>
  <si>
    <t>Ideal para regalar Perfecto para regalo, super original, viene muy completo, mi hijo lo compro para su novia y Le ha encantado, trae para poner fotos y mil cosas, hay que ponerle imaginación y es un regalo super especial, lo recomiendo totalmente</t>
  </si>
  <si>
    <t>Cómodo y funcional Necesitaba una bandolera y la verdad es que esta está muy bien. Es ligera y parece resistente. Va bien nutrida de bolsillos para su tamaño, las cremalleras son decentes y la correa no molesta. Eso sí, tened en cuenta que no cabe una carpeta tipo A4, es ligeramente más pequeño.</t>
  </si>
  <si>
    <t>Calienta bastante, buen acabado Pensaba que no calentaría lo suficiente, pero si lo hace. Coge temperatura en poco tiempo y el calor es más que suficiente. Tiene 6 niveles de potencia, y lo normal es usarlo hasta el 5. Posee un mando en el cable con un display que indica el nivel de potencia que se ajusta un un pulsador. El acabado es bueno, suave y acolchado. Me ha sorprendido gratamente. Buena relación calidad/precio. La recomiendo.</t>
  </si>
  <si>
    <t>Tallaje adecuado y más calidad que la media. Mido 178 cm y peso 85 kg. No soy un fideo. La sudadera sienta bien, diría que perfecta. Ni muy amplia ni muy justa. Estaba esperando al primer ciclo de lavado y secado para escribir la opinión. Lavada en lavadora con agua templada y secada en secadora, la sudadera no ha encogido. La última que había comprado, tras el primer lavado no le servía ni a mi hijo de 5 años. La sudadera se ve consistente, no como otras sudaderas que tienen menos algodón que un palillo de los oídos.  Tras la prueba de lavado exitosa, he comprado otra en Gris. El precio en rebajas (30 euros) muy bueno para la calidad del producto.</t>
  </si>
  <si>
    <t>Gran producto Llevo usandolo 5 meses y funciona perfecto</t>
  </si>
  <si>
    <t>insatisfecho Lo compra para conectarlo a la TV de salón o a la de la habitación y la de la habitación es una smart TV con la que no funciona. En la TV del salón se escucha perfectamente pero se crean muchas interferencias cuando te mueves o tienes cerca algún otro dispositivo electrónico. Por lo demás están muy los acabados y son cómodos. Los voy devolver.</t>
  </si>
  <si>
    <t>No cortan tan bien las telas Compré estas tijeras como de costura y no acaban de cortar perfectamente las telas como yo esperaba...</t>
  </si>
  <si>
    <t>Unas zapatillas bonitas Unas zapatillas bastante bonitas y modernas, con un aspecto principalmente deportivo e informal, Aunque estéticamente me gusten y sean cómodas creo que el precio no termina de justificarse con las calidades, ha habido veces que he pillado ofertas de esta marca, que me gusta bastante, y así salen a un precio mucho más adecuado.</t>
  </si>
  <si>
    <t>Un archivador más Me llegó algo doblado y marcado, además el cierre de las anillas no parece que vaya tener mucha vida, así que lo usaré para guardar documentación de poco uso. No obstante, por el precio que tiene no está mal y cumple su cometido.</t>
  </si>
  <si>
    <t>Velcro En tela hay que coserlo, no aguanta nada, se despega con facilidad</t>
  </si>
  <si>
    <t>Es 2.0, la descripción es errónea Este USB NO es 3.0. Engañoso.</t>
  </si>
  <si>
    <t>Buen producto De momento funciona bien calidad precio esta bien y cuando la descambie fue todo muy rápido</t>
  </si>
  <si>
    <t>La conexión no es de 10 mts. 🤷🏻‍♀️ Son muy cómodos, traen almohadillas de recambios de otros tamaños, una carcasa rígida que los protege aunque es pequeña para guardarlos. No me gusta que algunas veces pierde la conexión, no es como dice la descripción que puedes estar a 10 metros, si estás en el salón y vas a la cocina deja de escucharse (y mi piso es mínimo). El sonido es muy bueno y los botones muy fáciles de usar  🤔</t>
  </si>
  <si>
    <t>Bien Estan bien. Un poco estrechas pero ys se haran al pie</t>
  </si>
  <si>
    <t>Raúl Lator Están bien... Aunque son más pequeños de lo que parece. No me ha gustado que el cierre sea de plástico y no metálico como aparece en las fotos</t>
  </si>
  <si>
    <t>😔😔😔😔 El reloj no es como el de la Foto ,me esperaba igual  de todas maneras está bonito ,pero me hubiera encantado que hubiera sido como lo muestran ahí ,</t>
  </si>
  <si>
    <t>Pantalones cómodos Pantalones Cómodos para deporte</t>
  </si>
  <si>
    <t>Bien Perfecto</t>
  </si>
  <si>
    <t>ligero y comodo Lo rápido que se conecta y las comodidad de no tener cables colgando. Por otro lado el micrófono no se queda quieto en una posición, tienes que estar continuamente ajustándolo para que se te oiga correctamente.</t>
  </si>
  <si>
    <t>El respaldo de mis archivos. Bueno,como siempre he dicho, con todo respeto, los discos al igual que los bolsos de las mujeres, siempre se llenan. Por eso, tras sufrir un percance en otro disco externo, decidi comprar uno que fuese el respaldo de los otros, necesitaba capacidad, ya que uso generalmente tres discos diferentes para guardar mis archivos, pero ademas debia compensar velocidad de acceso y precio y con éste di en el clavo, para entornos domesticos es una excelente opción.</t>
  </si>
  <si>
    <t>Muy bonito Un gran reloj a un precio increíble.</t>
  </si>
  <si>
    <t>Calidez Mi mujer encantada</t>
  </si>
  <si>
    <t>Juan Mateos Buena compra. muy buen reloj.lo compre porque tuve uno igual y me ha durado unos 10 años. es una buena elección</t>
  </si>
  <si>
    <t>Buenas De momento buenas</t>
  </si>
  <si>
    <t>Bien Buena calidad cumple con las expectativas pero tampoco se puede decir que es una pasada</t>
  </si>
  <si>
    <t>Buena calidad, aguanta el roce entre los muslos. Malla deportiva de muy buena calidad. Me he quedado gratamente sorprendida por estas mallas, la tela es de una excelente calidad, se ve resistente, que aguanta los roces de las piernas y ademas al tacto es muy suave. Sirve más para cuando haga fresquito, pues la tela es un poco gordita. Tiene dos bolsillos laterales estupendos para poder salir a correr, a andar, y no tener que lleva bolso para el dinero, las llaves y el movil. En cuanto a la hora de llevarlas puestas, son comodisima, el tallaje viene muy bien, y las mallas te quedan muy bonitas puestas, te hacen una figura muy bonita quedandote un poco ajustaditas pero no incomodas. Yo estoy muy contentas con ellas, además para las chicas altas, el largo de la pierna es bastante largo, y para las bajitas no queda mal, yo soy mas bajita y lo unico que queda es la malla abajo un pelin arrugadita, pero no queda feo. Las recomiendo.</t>
  </si>
  <si>
    <t>Geniales Buena calidad. Ideal para pilates o yoga</t>
  </si>
  <si>
    <t>ideales ideales calidad precio genial,muy bonitos y elegantes un color muy bonito la verdad,mi hermana encantada.</t>
  </si>
  <si>
    <t>Super chulas!!!! Perfectas!!</t>
  </si>
  <si>
    <t>muy comodas muy buenas mejor de lo que esperaba</t>
  </si>
  <si>
    <t>Muy buen producto Es todo lo que esperaba de una batidora de ésta potencia. Tritura cualquier cosa en cuestión de segundos, incluido hielo y fruta congelada. Muy contenta con la compra aunque he de decir que el vaso se nos queda un poco corto.</t>
  </si>
  <si>
    <t>Diseño Recibido ayer y he de decir que me ha encantado, el producto cumple con lo esperado además, el color de la madera hace que tengas una sensación de un producto de calidad superior.  Dicho esto, la cantidad de luces que tiene el producto, ya sean fijas o rotativas hace que te sirva como luz de ambiente para la habitación, además de cumplir con su objetivo, que haya buen olor.  Gratamente sorprendido</t>
  </si>
  <si>
    <t>Me encantan Llegaron 1 día antes de lo acordado y tal como llegaron me lo puse. Me encantan como quedan, finos y elegantes. Quizás habría estado bien añadir una pequeña cadena para personas que tienen más de un agujero y poder llevarlo de forma vertical. De todos modos, es un artículo de calidad a muy buen precio. Lo recomiendo.</t>
  </si>
  <si>
    <t>Buenísima compra La mejor elección para una zona de agua como es donde vivo. Fue un regalo para la chavala y le han encantado. Como pero decir que son frías. Encantada y encantado con la compra.</t>
  </si>
  <si>
    <t>Cómodas y con muy buena relación calidad/precio Las Zapatillas deportivas Smash v2 de Puma son muy cómodas y están a muy buen precio. Hemos acertado de pleno con este producto. Tienen una superficie de cuero y en conjunto son elegantes, modernas y atemporales. Además las pueden usar tanto chicas como chicos. Otra ventaja más. Tienen gran variedad de estilos y colores. Las puedes llevar todo el día sin problema; según dice mi hijo son comodísimas. Tallan un poquito grande, así que pensar bien la talla a pedir. Tienen una tabla de tallas donde podéis consultar por si tenéis dudas.  Se cierran con cordones y tiene el logo de la marca en la parte trasera, en la suela, en la parte superior delantera y en un lateral. Son de buena calidad y las entregaron muy rápido. Así que todo fue positivo con esta compra. Las recomiendo.</t>
  </si>
  <si>
    <t>muy endeble muy endeble. a la primera de cambio se ha abierto la cadena</t>
  </si>
  <si>
    <t>Juana Gallego Chaparro. Buenos días, la manta k compré me gusta mucho, solo hay un problema, hay una zona en la cual tiene sobrecalentamiento, y me pilla justo en la zona de un costado, llegando al punto de k quema. Cómo podemos arreglar este problema. Muy atentamente Juana. También en otras ocasiones no calienta. Según el pedido tiene dos años de garantía.</t>
  </si>
  <si>
    <t>Un poco caros No está mal,valen para motivar al niño</t>
  </si>
  <si>
    <t>No es lo que buscaba No es lo que buscaba</t>
  </si>
  <si>
    <t>No esta completo Hace falta otro cacharro para que fincione. Podian avisar . Creo que es un poco  engaño. Digan que para utilizar algo es necesario kit completo</t>
  </si>
  <si>
    <t>esta bien es pequeño pero esta bien, calidad-precio aceptable, es recomendable siempre que se pille en oferta. A mi mujer le gusto mucho.</t>
  </si>
  <si>
    <t>Buena batidora pero nada profesional La compré porque buscaba una batidora semi-profesional con el mango más largo para ollas profundas. Le falta algo de potencia y el acceso para limpiar las cuchillas es difícil...muy estrecho e incluso el estropajo no entra bien y los bordes cortan bastante. Aún así por precio está bastante bien.</t>
  </si>
  <si>
    <t>Excelente relación calidad/precio Muy bonito y excelente relación calidad precio. La única pega es que la cadena tiene una parte muy fina y se rompió casi al mes de comprarlo. Epoch World nos envió otra totalmente gratis.</t>
  </si>
  <si>
    <t>Simple y sencillo. Me ha funcionado a la percepción.  La única pega es que cuando enganchas el cable en el conector cono queda enganchado, y debes estar poniendo los dedos para que no se salgan mientras vas pasando los cables por los distintos puntos de contacto.  Debes usar el PUNCH para que realmente se incruste en la cuchilla y no se salga. Pero en general es sencillo de poner y efectivo, todos las conexiones que he hecho no me han dado problemas.</t>
  </si>
  <si>
    <t>Eficaz Le doy 4 por qué pesa un pelín pero va genial. Cumple totalmente mis expectativas.</t>
  </si>
  <si>
    <t>muy profesional es un aparato que se le nota la calidad por como deja los cristales, yo pedi este y estoy tan contento con el que comprare el tamaño mayor tb por que da gusto trabajar con el</t>
  </si>
  <si>
    <t>Muy útil su pequeño tamaño, su capacidad y velocidad, junto doble conexión que queda resguardada cuando no se usa, hace que resulte perfecto para llevar siempre en el bolso para intercambiar ficheros entre PC y Tfno.</t>
  </si>
  <si>
    <t>Comodidad y abrigo. Llevo unas cuantas semanas usándolas y van muy bien. Son cómodas y abrigan. Ahora a ver cuanto duran. Pero son tal como esperaba que fuesen.</t>
  </si>
  <si>
    <t>Genial compra Las e probado en dos ocasiones y son geniales,cómodas,ligeras,y no cala nada!!</t>
  </si>
  <si>
    <t>Fantastica Muy buena calidad y muy buen precio en oferta 71.99.Lastima que le fuera muy grande la talla y la tuviera que devolver (no hubo ningun problema  la devolucion).Si tuviera que hacer un regalo la recomendaria totalmente.</t>
  </si>
  <si>
    <t>Es lo que esperaba La verdad pensaba que iba a caer peor pero aun micrófono que yo tenía está fantástico es una maravilla adaptable y se ajusta perfectamente</t>
  </si>
  <si>
    <t>Capacidad adecuada a buen precio Comprada como soporte de almacenamiento para videos y fotos de una camara deportiva goPro.  Velocidad de transferencia adecuada y acorde a la descripción del producto. Y almacenamiento perfecto para varias horas de vídeo HD.  Un precio muy bueno para la calidad de esta tarjeta microSD.</t>
  </si>
  <si>
    <t>Recomendable Esta gracioso mi pequeña juega bastante</t>
  </si>
  <si>
    <t>Buen producto Gran producto para limpiar y pulir metales sin dañarlos. Cuidado al cortarlo cuando se desgaste ya que las microfibras pueden clavarse y causar molestia.</t>
  </si>
  <si>
    <t>Capacidad a muy buen precio Es un producto de calidad, que funciona perfectamente, aporta una gran capacidad de almacenamiento, y a un precio razonable. Recomendaría su compra!</t>
  </si>
  <si>
    <t>Son perfectos para regalo Era para un regalo y le encantó. Son pequeños pero quedan muy bien. Viene con bolsa de regalo. Quedan perfectos</t>
  </si>
  <si>
    <t>Buena compra ! Son muy cómodas , trabajo de camarera y el calzado queda bien, ni muy esport ni demasiado zapato, son elegantes pero sencillas quedan muy bien.</t>
  </si>
  <si>
    <t>Funcina perfecto Pues eso, funciona bien y para la radio del coche perfecto, no llevas el tipico usb largo que además de feo se lleva golpes por todos lados. Tuve que aplastar un poco los lados de la conexión porque era casi imposible sacarlo, entraba tan apretado (lo que en si es bueno) pero al ser tan chiquitin era complicado agarrarlo y hacer fuerza para sacarlo.</t>
  </si>
  <si>
    <t>Muy buen producto Ya tenía este escarpín desde el año pasado y he pedido otro par para otra persona. Son cómodos, flexibles y resistentes. Encantado con ellos.</t>
  </si>
  <si>
    <t>Bastante bueno Los olores están muy bien. La intensidad un poco menor de lo que me esperaba. La caja y como viene presentado genial parece un producto de mucho mayor precio.</t>
  </si>
  <si>
    <t>Gran compra Sonido claro ¡Este auricular es genial! Primero, la presentación del paquete es maravillosa y las instrucciones son muy fáciles de seguir. El puerto de carga está en una ubicación muy fácil y los auriculares de silicona se proporcionan para casi todos los tamaños de orejas. I no tuve ningún problema para que los auriculares se ajustaran a mi oreja porque también se extendían para adaptarse a mis orejas largas y feas. Me gusta el estuche que viene con él. Hace que sea fácil deslizarse en mi bolso cuando no esté en uso y es menos probable que se pierda o se dañe en mi bolso porque el estuche es difícil. Eso es asombroso. La calidad de sonido de estos auriculares es realmente excelente. Llamé a mi hermana solo como una llamada de prueba y ella no tuvo problemas para escucharme y yo no tuve problemas para escucharla ... así como lo que estaba sucediendo en su pasado. ¡Los sonidos son cristalinos! Puedo escuchar mi música y transmitir mis películas y también puedo controlar el volumen y reproducir acciones sin tener que tocar mi teléfono .</t>
  </si>
  <si>
    <t>Producto correcto Són los recambios que corresponden al mango. Se acoplan bien, sin problema. Es lo que dice, sin más, no tiene ningún misterio.</t>
  </si>
  <si>
    <t>Articulo perfecto Todo, lo que busco rapido, eficaz y de calidad</t>
  </si>
  <si>
    <t>Muy bueno Bastante bueno, se lava muy bien y a la peque le encanta y lo sujeta de maravilla. Lo recomiendo, vale la pena comprarlo.</t>
  </si>
  <si>
    <t>Poco aroma en humidificadof Apenas deja aroma comparado con otros aceites esenciales.</t>
  </si>
  <si>
    <t>Solo vienen tres pendientes Me sorprendio que no viniesen dos pares de cada tamaño. Por lo demas son bonitos.</t>
  </si>
  <si>
    <t>Mal La calidad no vale mucho</t>
  </si>
  <si>
    <t>El primero y el ultimo La debería de haber devuelto porque no hay diferencia de calor entre los distintos niveles pero por desgracia devolver algo es mucho más complicado que comprarlo.</t>
  </si>
  <si>
    <t>Buena calidad, tallaje grande Lamentablemente he tenido que devolverlas. Suelo usar un 41, y la talla ofertada (41/42) queda demasiado grande y es bastante ancho. Por lo demás, muy buena calidad y a muy buen precio.</t>
  </si>
  <si>
    <t>Producto recomendado!!! Buena calidad de sonido por el precio ofertado!!! Merece la pena!! Lo recomiendo!!!</t>
  </si>
  <si>
    <t>comodo. Increible</t>
  </si>
  <si>
    <t>Micro de corbata Muy buen micro de corbata, eso si, lo devolví porque no servía para que captara toda la habitación (ya que era omnidireccional ) pero no tuvo suficiente sensibilidad, aún así, si lo llevas colgado tiene una buenísima captación de voz removiendo el sonido ambiente.</t>
  </si>
  <si>
    <t>Diseño Me gusta el diseño de suunto para sus relojes. En este en concreto le vendría bien que la información de pantalla fuera un poco más grande, tengo un M5 y con la pantalla más pequeña, la información que ofrece es mucho más visible y grande.</t>
  </si>
  <si>
    <t>Calidad El producto es el mejor de su gama para prevenir y tratar las enfermedades periodontales que afectan a los dientes y a las encías. Al principio el sabor es demasiado fuerte pero después te acostumbras y notas que te queda la boca más limpia y un agradable sabor. Además es de los pocos del mercado que a la larga deja menos manchas en los dientes. 100% recomendable aunque un poco caro.</t>
  </si>
  <si>
    <t>Buen producto Calidad y comodidad</t>
  </si>
  <si>
    <t>Geniales Perfectas</t>
  </si>
  <si>
    <t>Genial Son muy buenos, bonitos,baratos, resistentes y muy cómodos</t>
  </si>
  <si>
    <t>Genial Me gusta mucho, sirve para conectar al móvil y a cualquier dispositivo usb.</t>
  </si>
  <si>
    <t>práctica Me va muy bien como regla para zonas rectas y también la curva del final para dibujar la sisa sobre la tela o al hacer un patrón. Al estar graduada en centímetros, también se miden bien los tramos pequeños sobre la tela. Buena relación calidad-precio.</t>
  </si>
  <si>
    <t>Muy contento, buen producto &lt;div id="video-block-R3NCIH51N3LFXC" class="a-section a-spacing-small a-spacing-top-mini video-block"&gt;&lt;/div&gt;&lt;input type="hidden" name="" value="https://images-eu.ssl-images-amazon.com/images/I/A1fZBlowFPS.mp4" class="video-url"&gt;&lt;input type="hidden" name="" value="https://images-eu.ssl-images-amazon.com/images/I/917kQuNouHS.png" class="video-slate-img-url"&gt;&amp;nbsp;Buen producto, muy buena calidad, bien terminado, hace poco ruido, llega en un paquete bien protegido y las instrucciones estan en español, la luz led perimetral cambia de color y viene con opcion de temporizador, el rendimiento es alto y funciona de manera instantanea ademas como objeto decorativo es bonito, funciona con cable que tambie  te lo proporcionan y muy facil de usar.</t>
  </si>
  <si>
    <t>Ok Muy buenas zapatillas. Son tal como las esperaba. Este modelo no lo encontraba en tienda física.</t>
  </si>
  <si>
    <t>Muy chulo y bonito diseño Humidificador que cumple su función principal, además de tener un diseño bonito y luces led q cambian de color, todo ello se puede controlar con un pequeño mando a distancia.</t>
  </si>
  <si>
    <t>Fantásticas zapatillas Buenas zapatillas que después de unos meses de uso solo puedo hablar bien, han pasado por todo tipo de terrenos, situaciones y ahí están como el primer día, para repetir</t>
  </si>
  <si>
    <t>Excelente gran capacidad. Excelente un bolso bastante cómodo grande con bolsillos. Recomendado si necesitas espacio en el bolso.</t>
  </si>
  <si>
    <t>Perfectos Llevo isandolos un año y aun se manienen como el primer dia. No se me han pelado asi que puedo decir que la calidad del producto es buena. Puedo lavarlos en la lavadora perfectamente sin miedo a que se me estropeen. Y sobre todo despues de muchas horas de trabajo tengo los pies descansados</t>
  </si>
  <si>
    <t>Excelente relación calidad precio. Funciona perfectamente por un precio bajísimo. Buena compra.</t>
  </si>
  <si>
    <t>Calidad precio  buena Son muy vistosos y quedan  muy bien puestos</t>
  </si>
  <si>
    <t>Excelente Presenta una gran calidad y una buena longitud.</t>
  </si>
  <si>
    <t>Perfectas. Perfectas. En su embalaje original. Comodísimas y a un precio inigualable!!!!!! En el cuadradito de la suela en la parte de atrás donde suele venior escrito "ALL STAR" viene también con letras más pequeñas el texto de la marca "CONVERSE". Lo digo porque estoy acostumbrado a que el texto CONVERSE no venga escrito en esta zona.</t>
  </si>
  <si>
    <t>Perfectas!!!! Perfectas Comodidad y como las de toda la vida ya que las llevo usando 20 años Repetiré seguro en otro color y otras para mi mujer!!!!!</t>
  </si>
  <si>
    <t>Bandolera para hombres La compre para mi hijo y esta contento de la calidad y la capacidad de la bandolera. Cabe de todo, el movil, otros objetos personales, tableta, bolis. Lleva 3 bolsillos con cremallera, 2 bolsillos laterales y uno interior y otros 2 bolsillos interiores sin cremallera. La tela es de nylon de muy buena calidad y la correa es ajustable. Mejor no podia ser.</t>
  </si>
  <si>
    <t>son antideslizantes No sirve para para rocas o guijarros de río solo valen para andar por la playa o piscina y allí no son necesarias</t>
  </si>
  <si>
    <t>Funcional Cumple su cometido.</t>
  </si>
  <si>
    <t>Esta bien Esta bien para el precio. Los números un poco chico y la correa tiene una calidad regular . Pero para el uso diario está bien. Por ahora funciona sin problemas.</t>
  </si>
  <si>
    <t>No funciona Nunca creí que iba a estar escribiendo esto, pero tras conectarlo tanto con fuente como sin fuente no funciona. Creo que no es problema del ordenador ya que si me detecta la conexión pero me ha sido imposible ya que aunque desconectes el micrófono del cable es como si no pasase nada. Una pena que haya tenido que solicitar la devolución ya que llevaba varios meses deseando comprármelo y ha sido una decepción total.</t>
  </si>
  <si>
    <t>No recomiendo Producto llego tarde y roto</t>
  </si>
  <si>
    <t>No operativo Cuando lo pude probar no funcionaba.</t>
  </si>
  <si>
    <t>Chandal Buena compra. Es algo grande pero por lo demás tiene buen grosor y son muy cómodos. Buen material. Buena compra</t>
  </si>
  <si>
    <t>Satisfecha Me gusta y he oído q es muy bueno</t>
  </si>
  <si>
    <t>Bien Se lo he regalado a mi madre y dice que va de maravilla, es un poco pequeño pero funxiona muy bien!!</t>
  </si>
  <si>
    <t>Eugenia S. Estan muy bien. Pero es cierto que las manchas no las quita. Mi solucion es añadir unas escamas de jabon lagarto. O tratar la prenda antes.</t>
  </si>
  <si>
    <t>Ideal para el nuevo Moto G 4G Ideal para las limitaciones que de serie trae (de momento) el Moto G 4G. Al no funcionar bien con las MicroSD clase 10 de 32 GB, "bajar" hasta clase 4, es una opción válida para no renunciar a tener el tope de capacidad que permite este móvil. Los dos adaptadores que trae para la microSD (puedes convertirlo en una SD estándar o en un pendrive), le hacen una de las ofertas más rentables que puedas encontrar.</t>
  </si>
  <si>
    <t>Las de baloncesto Las clásicas zapatillas de baloncesto aunque yo las uso para vestir. Me las compré negras porque asçi combinan con cualquier prenda. Son muy comodas, de tela, protegen el tobillo y no son nada calurosas.</t>
  </si>
  <si>
    <t>Batidora multifunción de calidad Batidora estéticamente bonita y agradable al tacto.  Es gris metalizado en contraste con plástico negro. Trae el accesorio picador y el batidor además de un vaso que me sorprendió lo grande que es, pues es de un litro en lugar de lo normal de medio. El brazo pesa un poco al ser metálico pero contrasta con los accesorios que son de plástico ligero. Tiene bastantes velocidades para regular además de un botón turbo que, si lo usas muy de continuo se nota que se calienta un poco.  En general, relación calidad/precio es muy recomendable.</t>
  </si>
  <si>
    <t>Encantada Trabajo en video, pero no cosas muy pesadas. Mi iMac se había quedado corto para trabajar y quería algo que me funcionara para tener ahí el material y los proyectos y programas en el ordenador y respirara. De momento todo genial, va super rápido, no he tenido ningún problema al trabajar con el a diario, y es super pequeño. Encantada</t>
  </si>
  <si>
    <t>Para un uso casero o realizar ensayos perfecto en calidad precio La verdad es que tenía mis dudas por algunos comentarios que leí, pero por el precio quise arriesgarme y no me arrepiento.Esta claro que sí lo que quieres es un soporte para un uso profesional tienes que gastarte tu dinero como en todo, pero para un uso más casero e incluso para realizar ensayos , para mí es perfecto en calidad precio.Es ligero,con accesorios para distintos micrófonos y trae una bolsa de transporte muy útil.</t>
  </si>
  <si>
    <t>Maribel González Me está encantando la segunda novela de esta autora! Ya leí "Un nudo tras otro" y me entusiasmó desde el principio. "Azul Capitana" muestra una realidad tratada desde un punto de vista poco frívolo y nos ofrece una luz de esperaza al final del túnel.  Una escritora-lectora, con sus citas apasionantes y llenas de sentido. Enhorabuena por escribir como escribes y hacernos vivir tantas emociones.</t>
  </si>
  <si>
    <t>Genial Muy bueno, el cable es bastante largo, es sencillo y funciona bastante bien, el sonido también es bueno. recomiendo su compra.</t>
  </si>
  <si>
    <t>Perfecta Son exactamente igual que lo que me esperaba</t>
  </si>
  <si>
    <t>Los sonidos son muy agradables. Me gusta porque tiene un diseño muy bonito y sonidos relajantes. Tiene dos alarmas y diferentes tonos para despertar.</t>
  </si>
  <si>
    <t>Atemporal Siempre es una buena marca , que se adapta al pie muy bien</t>
  </si>
  <si>
    <t>Zapatillas Muy buenas zapatillas son super calentitas lo mejor que son super cómodas las recomiendo</t>
  </si>
  <si>
    <t>MUY CONTENTO Lo que más me gusta, es la suavidad de la propia manta, da gusto tenerla puesta. Funciona muy rápida a la hora de calentar y con el regulador de intensidad de 3 posiciones puedes marcar el calor. Cuando esta enchufada, tiene una luz azul en el regulador, que no incomoda en la oscuridad. Tiente dos colores en una cara es azul y en la otra es gris. Las instrucciones vienen en castellano y otra cosa que se agradece, es que se puede lavar en la lavadora.</t>
  </si>
  <si>
    <t>Muy buen producto. Auriculares deportivos, con una calidad de sonido bastante buena, materiales de buena calidad dando sensación robusta, peso muy liviano y botonera intuitiva. Tengo varios y de varias marcas y esta marca especialmente trabaja muy bien este tipo de productos,yo lo recomiendo para el deporte, pero especialmente para el running, ya que pocos son los auriculares bluetooth, que aguantan una sesión de kilómetros sin dar problemas de caídas o desplazamientos. Muy buen producto totalmente recomendable.</t>
  </si>
  <si>
    <t>Bien Buena relación calidad- precio</t>
  </si>
  <si>
    <t>Excelente entraga, calidad y relación calaida/precio. Muy buena la entrega, seguimiento de la misma. LA calidad y confort de la prenda es muy aceptable. Perfecta para rutas de media montaña.</t>
  </si>
  <si>
    <t>Gran calidad por un buen precio. Bueno este reloj es sustituto del clásico aún en funcionamiento tras 6 años de uso diario, por cambiar a este de esfera elgante completamente negra, así que tengo la certeza de que es y siempre será un acierto comprar un reloj Casio. Si se busca buena relación calidad precio sin duda este es inmejorable.</t>
  </si>
  <si>
    <t>Perfec Todo ok</t>
  </si>
  <si>
    <t>Excelente calidad-precio . Sienta genial!!! Muy buena sudadera con capucha. Es bastante gordita, y sienta muy bien. Pedí una xl y mido 1.88 y peso 102 kilos y me queda perfecta. Muy contento con la compra.</t>
  </si>
  <si>
    <t>Roce en la muñeca por las flores La pylsera es preciosa pero hace roze en la muñeca</t>
  </si>
  <si>
    <t>Bonitas pero no entran en mi Pandora Acabo de recibirlo, pedí dos y han llegadi rapidísimo... Lástima que no entran en mi pulsera Pandora.. Pero las he puesto en una cadenita de plata que tenía y ahora tengo un colgante monísimo con los dos topes, queda muy fino... Así que no las cambio y ya pediré otras más grandes.</t>
  </si>
  <si>
    <t>Cumple su funcion Targeta 16gb a un precio muy bueno, lo uso para el movil y de momento ningun problema, kingston es una marca de fiar almenos las cosas que compre de ella no me han fallado aun.</t>
  </si>
  <si>
    <t>Descripción engañosa del producto Descripción engañosa. Pone que lleva recubrimiento de plástico, pero es mentira. Son de papel y de mala calidad. Carísimo para lo que es.</t>
  </si>
  <si>
    <t>PESA UN COJON Y NO SIRVE La acabo de recibir y la iba a entregar como regalo pero para que? si no funciona y huele a quemado...vaya chustada</t>
  </si>
  <si>
    <t>Es un regalo; y me han dicho  que  por fin he acertado y  le gusta Es un regalo; y me han dicho  que  por fin he acertado y  le gusta Yo nunca doy  un 5* porque creo  que  la perfección no  existe</t>
  </si>
  <si>
    <t>El conforto. Me gusta el conforto de los pies, pero no me gusta mucho el precio (el bueno no és barato).</t>
  </si>
  <si>
    <t>Disco duro de calidad. El disco duro es de gran capacidad, no va muy rápido como un SSD pero la relación calidad precio es buena, he tenido problemas a la hora de instalar el windows 10, por que no reconocía tanto espacio, solo reconocía 2TB. Creo que el complemento a este disco duro es poner un ssd para sistema operativo y programas y tener este disco duro de almacenamiento. Por lo demas todo bien, echando de menos mas velocidad.</t>
  </si>
  <si>
    <t>Justa para viaje Asa demasiado grande para guardar para ir de viaje. Calienta rapido y se agradece. Pesa mucho</t>
  </si>
  <si>
    <t>Muy ligeras Zapatillas muy comodas. Se adapta muy bien al pie. Sobretodo la plantilla que lleva, porque se adapata a tu pisada. Pesan poquísimo y eso hace mas ligero el andar.</t>
  </si>
  <si>
    <t>el impacto no interfiere el unico detalle es cuando se moja la almohadilla del micrófono empieza a hacer interferencia (soy prof de fitness).</t>
  </si>
  <si>
    <t>Ligereza Lo utilizo para TV principalmente y estoy satisfecha de su calidad</t>
  </si>
  <si>
    <t>Maria Jose Alfonso Todo llego en el tiempo predeterminado y en perfecto estado. El producto se ajustaba a lo que se veia en la pagina web y las fotos no estaban trucadas</t>
  </si>
  <si>
    <t>Muy buena Muy buena, me ha durado mas que una cara, he probado varias marcas, caras y baratas, así que  ...me ha valido la pena.</t>
  </si>
  <si>
    <t>Volvería a comprarlo Exactamente como estaba anunciado</t>
  </si>
  <si>
    <t>Buen calidad-precio. Perfectos. Se ajusta a lo que buscaba.</t>
  </si>
  <si>
    <t>Su precio - calidad. Por este precio merece la pena utilizar este reloj en el trabajo y el deporte, dado que es lo suficientemente resistente para estas actividades y en caso de golpe excesivo u otros incidentes, su perdida económica no supone ningún deterioro en la economía personal.</t>
  </si>
  <si>
    <t>Inmejorable calidad precio Una maravilla, super cómodos</t>
  </si>
  <si>
    <t>Imprescindibles Si vas a plastificar y quieres un minimo de calidad debes comprarlas. Tienen buen tacto y parecen resistentes . Si vas a usarlas en una plastificadora que su tamaño maximo sea A4 seguramente se doble o salgan burbujas, pero el problema es de la plastificadora no de las laminas</t>
  </si>
  <si>
    <t>Sincronía y tacto Pues vibri con control remoto por radio, funciona muy rápido el cambio de modo de vibración. Tacto suave y cómodo. Contento con la compra</t>
  </si>
  <si>
    <t>Cumple con creces Comodidad es la palabra que lo define. No pesa apenas, el visor es claro y las funciones muy útiles.  Recomiendo su compra. En mi caso lo utilizo los fines de semana para la práctica de deportes acuáticos (Surf, remo, natación) y no me lo quito en todo el día.  No defrauda</t>
  </si>
  <si>
    <t>Varias funciones extra. Este hervidor lo compre para regalo a mi madre que aprecia mucho la funcionalidad de mantener la temperatura de agua por largo tiempo. Esto permite no tener que calentar de zero. Ademas tiene opciones de eligir hasta que temperatura calentar el agua, esto puede ser util en segun que cosas. Los materiales y el aspecto no parecen de los baratos, tiene su nivel.</t>
  </si>
  <si>
    <t>Muy sorprendido con estos auriculares He probado varias marcas y he obtenido siempre buenos resultados, pero la verdad es que me quedaría con estos, ya que aunque hay muchas marcas buenas, el control táctil de estos auriculares es el mejor con diferencia, se puede subir y bajar el volumen, pausar, reanudar, coger llamada, colgar, utilizar asistente de voz, etc.. Muy completos.  Además estéticamente son los más bonitos que he tenido y tienen una apariencia similar a los airpods. También se puede usar cada auricular individualmente, cosa que con muchas otras marcas no se puede, y el micrófono se escucha muy bien para llamadas por la calle.  También los he probado haciendo deporte y ningún problema, no se caen ni se aflojan  En definitiva, muy recomendados, y además el precio es buenísimo en comparación con otras marcas. 10/10</t>
  </si>
  <si>
    <t>Perfectas Son muy buenas. Las compré para hacer deporte</t>
  </si>
  <si>
    <t>👍🏼👍🏼👍🏼👍🏼👍🏼 👍🏼👍🏼👍🏼👍🏼👍🏼</t>
  </si>
  <si>
    <t>Super buena Ok</t>
  </si>
  <si>
    <t>Bloqueo ruido muy efectivo Muy buena relación calidad-precio. Cómodos, buen sonido y sobretodo cuando activas la cancelación de ruido externo aislan muy bien. Lo tengo emparejado a un emisor bluetooth de la misma marca, en la tv. Prácticamente no hay retardo. Por algun motivo el led azul de la ANC queda encendido cuando estan apagados; considero que es un fallo.</t>
  </si>
  <si>
    <t>Son comodisimas Muy bonitas y ligeras</t>
  </si>
  <si>
    <t>Llego a tiempo Fantástico</t>
  </si>
  <si>
    <t>MUY SUAVES MUY CALENTITAS PERO PIERDEN PIPAS Es toda una experiencia andar con ellas, es como si pisaras arena todo el rato. Al calentarlas es un placer inconmensurable llevarlas. La pega es que por las costuras van perdiendo el "alpiste" que llevan por dentro y acaba toda la casa llena de pipas. Ya las he tenido que coser un par de veces y al final dejé de usarlas. O eso o las vacío de pipas y usarlas como calcetines esponjosos</t>
  </si>
  <si>
    <t>Son las q uso desde hace 25 anos o más duran mucho La calidad era la q yo esperaba muy buena pero no me ha llegado a tiempo eso es un problema</t>
  </si>
  <si>
    <t>Correcto. Gracias Correcto. Gracias</t>
  </si>
  <si>
    <t>nada recomendables el tamaño te la tienes que jugar. pero bueno con el tema de soluciones no tienes problemas. el problema es el olor. insoportable después de 5 o 6 usos. imposible de tener en casa. y no fui yo solo. que los regale porque me parecieron perfecto y más de lo mismo</t>
  </si>
  <si>
    <t>No se enciende ninguna luz al cargar Lo acabo de abrir para prepararlo y cuando introduzco el extremo usb al alimentador y el micro usb al amplificador no se enciende ninguna luz por lo que supongo que no está cargando. Como puedo descambiarlo. Gracias</t>
  </si>
  <si>
    <t>Hierve hiper mega rápido El agua hierve súper rápido</t>
  </si>
  <si>
    <t>El diseño El reloj tiene un diseño muy bonito; esto se agradece, aunque lo importante son sus PRESTACIONES y su ROBUSTEZ. Respecto a las 1as, su comportamiento en cuanto a las variaciones de su exactitud, son asumibles, dado que no es un reloj de cuarzo. A mi me atrasa algo menos de 1 minuto al día. En cuanto a las 2as, hay un inconveniente, causa por la que le doy 4 estrellas y no 5: el mismo día que lo recibí, lo rocé muy levemente contra un marco de madera y al observarlo con detalle, noté un arañazo desde la parte superior del cristal hasta el borde de acero graduado. Repito: el impacto fue muy leve y si como anuncia Seiko el cristal es mineral y el resto es de acero, no comprendo lo ocurrido, Globalmente, el reloj es recomendable.</t>
  </si>
  <si>
    <t>El sonido bien Se le acaba muy pronto la batería, y a veces cuesta encenderlo, por lo demás bien</t>
  </si>
  <si>
    <t>Opción cómoda y rápida para calentar pies No dura tanto el calor como con una bolsa de agua de las de toda la vida, pero el proceso de calentar es rápido y seguro. Un par de minutos en el microondas y se consiguen un par de horas de calor. No hay peligro de quemarse con agua hirviendo. No sirven para andar. Están pensadas para calentar los pies en la cama o mientras se está sentado. Si se pisa sobre ellas las semillas del interior se desplazan y se hace incómodo. Con el uso prolongado pueden dejar algún resto de pelusa en el microondas, por ello no le doy la quinta estrella.</t>
  </si>
  <si>
    <t>Relacion calidad-precio Van muy bien</t>
  </si>
  <si>
    <t>Muy buenos aromas Una pasada, soy primeriza en este mundo de los aceites esenciales y estos son los segundos que pruebo pero me han encantado el olor es muy fuerte ,vinieron bien empaquetados y ninguno dañado. La verdad que me han encantado .Mi favorito el de Naranja</t>
  </si>
  <si>
    <t>Silencioso disco duro más que correcto para uso doméstico. Capacidad adecuada. Peso correcto. No hace ruido. Colo azul eléctrico muy llamativo. Ideal para diferenciarlo si tienes varios por casa.</t>
  </si>
  <si>
    <t>La moda a precio razonable No hay sorpresas: una zapatillas deportivas adidas de concepto vintage, con la calidad que puedes esperar de adidas, a un precio algo más razonable que en tienda física.</t>
  </si>
  <si>
    <t>Bueno Son muy finos pero están bien</t>
  </si>
  <si>
    <t>Buen masajeador Lo he estado usando unos días, y me parece genial. Yo lo uso en cuello y hombros, y sienta muy bien. Puedes ajustar velocidad, ponerlo en modo calor (da un poquito de calor) o cambiar el sentido en el que giran las bolas. Decir que también van cambiando automáticamente, y que se apaga cada 15 min aproximadamente.  Recomiendo encarecidamente leer las advertencias del manual, ya que hay algunas que pueden no ser obvias, pero son importantes, como por ejemplo las embarazadas no pueden utilizarlo, o que no puedes dejarlo cargando, si no que cuando lo vayas a usar es cuando tienes que conectarlo a la luz.  A mí me ha gustado el producto, y sí recomiendo su compra.</t>
  </si>
  <si>
    <t>Todo ok Calidad tejido</t>
  </si>
  <si>
    <t>Muy bien Conectado sin problemas, a unos tres metros y recibe datos estupendamente. Contento con el precio. El envío muy rápido</t>
  </si>
  <si>
    <t>Compra reloj casio El producto me encanta! es mejor que en la foto, queda genial puesto y la correa le da un acabado perfecto. El único pero es que hay que leer las instrucciones para poner la hora, pero por lo demás muy contenta!</t>
  </si>
  <si>
    <t>Comodidad. Llevo usándolos varios meses. Perfecto. Lo uso en dos plantas y va perfecto. Recambios baratos. No se pierde. La app funciona genial. Espero la nueva actualización para varios mapas.</t>
  </si>
  <si>
    <t>USB USB adaptado para varias tomas de móvil incluido USB. PARA IPHONE, TIPE C, USB Y TIPE 2. CON UNA CAPACIDAD DE 32 GIGAS. CONTENTO  CON EL PRODUCTO.</t>
  </si>
  <si>
    <t>Aromatiza la casa. Aceites esenciales que vienen en una caja con bonitos colores y bien decorada que sirve para regalo. Yo las uso para un humidificador echo unas gotas en el agua, más o menos al gusto, y así aromatizo la habitación en la que está colocado. La caja lleva seis botes con un aroma cada uno así tenemos para todos los gustos.</t>
  </si>
  <si>
    <t>Buen microfono Un buen micrófono para homestudio. Suena muy bien. Recoge todas las frecuencias y le da un tono brillante a la voz.</t>
  </si>
  <si>
    <t>Ideales Precioso. Le encantó el regalo</t>
  </si>
  <si>
    <t>Bonito, ligero, economico y practico, me encanta! Reloj ligero, bonito y practico. Lo unico que me gustaría es que el enganche se quedara fijo y cerrado cuando te lo quitas, sin embargo se abre entero cuando lo desenganchas, me da la sensacion q se me desengancharà y perderà, pero es economico respecto a otras tiendas fisicas donde lo habia visto.</t>
  </si>
  <si>
    <t>Ok A mí marido le ha gustado</t>
  </si>
  <si>
    <t>Masajes que te llevan al cielo. Que ganas tenía de estrenar el masajeador, está compuestos de dos motores con tres tipos de bolas cuya rotación hacen que el masaje sea sensacional. Puedes darle más o menos potencia o cambiar el sentido de rotación para que esos molestos dolores musculares desaparezcan en pocos minutos. Además el masajeador proporciona calor, lo que es un plus para relajar la musculatura. Es un acierto que venga el adaptador para el vehículo, ya puede convertirse en un gran aliado para esos viajes largos. Todo un acierto.</t>
  </si>
  <si>
    <t>Genial Genial, me imaginé que iban a ser más pequeños pero son bien grandes, por mi mejor. Son preciosos, lo recomiendo totalmente</t>
  </si>
  <si>
    <t>Sin calidad y casi sin precio Es de muy mala calidad pero no puedes pedir más por el precio que tiene, a mis hijos les ha encantado y he comprado de más por si acaso.</t>
  </si>
  <si>
    <t>El artículo salió defectuoso, pero me realizaron el reembolso rápidamente. Al primer uso se me rompió la cremallera, pero sin tener que tramitar nada me realizaron el reembolso completo de la compra, por lo que aunque el producto no resultó como esperaba, el vendedor ha actuado correctamente y confiaré en próximas compras.</t>
  </si>
  <si>
    <t>Funciona a medias Mi behringer creo que no funciona bien... el canal principal si que va pero el de instrumento no funciona. No sé si es que no lo hago bien pero conecto la guitarra y no da señal</t>
  </si>
  <si>
    <t>Es una réplica Reloj llamativo y bonito. Al sacarlo de la caja ya me llamó la atención el hecho de que la correa parecía muy endeble, he tenido más g shock y en los otros se notaba de mejor calidad y más resistente. La iluminación muy pobre, no deja ver la hora de noche, tampoco funciona la luz automática. En definitiva, estéticamente casi igual que el original, pero es una réplica con la consiguiente merma de calidad con respecto  al original.</t>
  </si>
  <si>
    <t>La poca calidad del tejido Nada que ver con la fotografía. Papel de fumar, peor que si lo hubiera comprado en Primar.</t>
  </si>
  <si>
    <t>Buen producto Es un buen producto, presenta un gran acabado, lo mejor de todo es la velocidad de lectura 300 mb/s en cambio la de escritura es mucho más baja del orden de 20-30mb/s.</t>
  </si>
  <si>
    <t>OK para practicar deporte Tras varias semanas de uso: (+): Longitud del cable. Habrá quien opine que es demasiado largo y que esto no es un aspecto positivo, pero en mi caso que soy alto me viene bien para no tener tirones en el cable al moverme. Sonido óptimo para el uso al que se destina. (-): He utilizado otros auriculares JVC con mejor calidad de cable y que se liaban menos, eran de silicona y estos creo que no lo son.  Recomiendo su compra. Relación calidad-precio buena.</t>
  </si>
  <si>
    <t>Perefctio Reúne todas las necesidades que teníamos, no tenemos n i n g u n a queja s o b r e este producto,</t>
  </si>
  <si>
    <t>Buen bolso para el día a dia Para mi esta perfecto. Sin ninguna queja de la calidad, un poco pesado, pero es fuerte. Buena compra en ese precio. Sobre la estética está bien y no parece barato. Sobre el tamaño, caben unas cuantas cosas del día a día, tiene separadores interiores que dan juego.</t>
  </si>
  <si>
    <t>Se la ve de calidad La mochila está muy muy chula. Además se la ve con estilo y buena calidad. Dentro de un tiempo, tras usarla bien dejaré una opinión más completa. Por el momento tiene muy buena pinta, creo que ha sido un acierto.</t>
  </si>
  <si>
    <t>Buen micrófono Ya tenía uno de estos y la verdad es que son muy cómodos. Para ir de viaje y poder cantar con los amigos una tarde esta genial. El altavoz está bien y trae los conectores para el móvil y para cargar. Se sincroniza bien a través del bluetooth y la batería dura lo suficiente, vamos que puedes estar toda la tarde usándolo sin problema. Un buen producto y con un precio muy competitivo.</t>
  </si>
  <si>
    <t>Muy bien Las que siempre gasto.  Originales Krups.</t>
  </si>
  <si>
    <t>BUENA CALDAD/PRECIO Muy bonitas y entrega muy rápida. Ahora a que ver qué resultado dan.</t>
  </si>
  <si>
    <t>Excelentes auriculares calidad precio El sonido es equilibrado y nítido. Perfectos para cualquier estilo de música. En cuanto a calidad precio cumplen con muy buena nota.</t>
  </si>
  <si>
    <t>Mi electrodoméstico favorito de la cocina! No sé como he podido vivir sin una máquina de estas! Es súper cómoda de utilizar y lo mejor es lo fácil que se limpia. En 30 seg se hacen los batidos (muy espumosos) y tardas 15 seg en limpiarla, porque sólo hay que limpiar un pequeño cabezal en vez de las jarras estas grandes con las cuchillas al fondo. Así que ahora me estoy todo el día haciendo batidos! También sirve para hacerse cockteles y viene con un molinillo para el café, almendras, azúcar glass... y con dos vasos para los batidos. Por cierto también ocupa muy poco espacio de almacenaje, en resumidas cuentas, se ha convertido en mi electrodoméstico favorito! =)</t>
  </si>
  <si>
    <t>De momento, excelente!! Compré una hace un mes y pico y todo bien. Hace poco he comprado otra por la buena experiencia de la anterior y de momento muy bien... Si hay algún cambio, algún fallo o algo raro a tener en cuenta, actualizaré mi opinión.</t>
  </si>
  <si>
    <t>Los mejores biberones . Recomendados Cómo de costumbre, rápido y efectivo. Los mejores biberones sin duda alguna</t>
  </si>
  <si>
    <t>Buena compra Es un poco lioso de poner, pero una vez sabes como va, es fácil. Queda muy bien y muy recogidos los cables</t>
  </si>
  <si>
    <t>Renato optimo producto. simple y funcional. el sistema anti colico parece dar resultados. volvería a elegirlo. sin duda el biberon mas sencillo y útil</t>
  </si>
  <si>
    <t>Muy bueno. Muy contento con la compra. Hierve el agua muy rápido. el uso es muy sencillo: tan sólo poner agua, accionar la palanca de encendido y dejar que haga su trabajo: se enciende una luz led azul en su interior y cuando ha hervido el agua está se apaga y a la vez que se apaga el hervidor automáticamente. Lo volvería a comprar.</t>
  </si>
  <si>
    <t>Es lo que buscaba Me guie por los comentarios y cogí un número más de lo que uso normalmente y genial. Me encantan.</t>
  </si>
  <si>
    <t>Perfectas para todo Increíbles! Mejor de lo que esperaba</t>
  </si>
  <si>
    <t>Juego Faber Castell Son todas las piezas que se necesitan para Primaria, escuadra , cartabón, regla y semicírculo. Son de buena marca , Faber Castell y de color verde fuerte, para que no se pierdan.</t>
  </si>
  <si>
    <t>Buena compra es mono y funciona corretamente. Tono relajante para despertar,</t>
  </si>
  <si>
    <t>Gran calidad y comodidad! Comodisimas</t>
  </si>
  <si>
    <t>Sujeta a la perfeccion El mejor sujetador deportivo que he tenido jamás, sujeta perfectamente y me queda genial.</t>
  </si>
  <si>
    <t>Muy bonitas Son unas zapatillas preciosas, tienen un color muy bonito y encima son de piel. Tenemos otras iguales pero en azul y geniales.</t>
  </si>
  <si>
    <t>Un detalle bonito y original tanto para baby Shower como para bautizos Quedaron geniales rellenos de lacasitos</t>
  </si>
  <si>
    <t>De llegar a tempo bien. Es demaciado grande para mi</t>
  </si>
  <si>
    <t>Que la talla sea la que pides No me gusta</t>
  </si>
  <si>
    <t>Dejó de funcionar al par de semanas... Maravillosa el par se semanas que duró...usandola de forma moderada y con cuidado a las dos semanas se descargó y ya no volvió a dejarse cargar más. Una pena porque es un buen concepto, pero no funciona. E imagino que ya es tarde para reembolsos / cambios...</t>
  </si>
  <si>
    <t>No lo recomiendo Vino ya utilizado Estaban algunos abiertos, no les gustaría y lo devolvieron. Con tan mala suerte que me toco a mi. Los olores quitando uno los demás no merecen la pena</t>
  </si>
  <si>
    <t>cumplidor! desde que tengo el espumador no he parado de usarlo, 2 veces al día hasta 3. Funciona muy bien y es practico. Trataría de mejorar el boton de encendido que a veces se traba.</t>
  </si>
  <si>
    <t>grapas clasicas para años y años grapando son grapas de aluminio si vas a intentar grapar muchos folios se doblan facil.. por lo demas van perfectas y trae grapas para aburrirse</t>
  </si>
  <si>
    <t>Relacion precio calidad correcto Cumple su función bien, en mi opinion la de triturar, la varilla para batir es muy débil respecto al otro brazo no lo he probado todavía.</t>
  </si>
  <si>
    <t>Buena relación precio/capacidad/velocidad Pues la velocidad, como mucha gente indica, no es su fuerte pero la capacidad por el precio sumado a que (no es el que más) sigue siendo un SSD, está bien. Yo lo he instalado en un portátil Chuwi Herobook que sólo trae 64gb en EMMC5. Y ha mejorado, no una locura pero si se nota.  Así que, si quieres capacidad a un precio comedido con unas velocidades de SSD, es una buena opción si lo cogéis a 32 euros. Yo no pagaría más de eso.</t>
  </si>
  <si>
    <t>funciona muy bien calidad precio genial!! el producto funciona bien y calidad precio es la mejor que he encontrado tiene mi ok ok</t>
  </si>
  <si>
    <t>Excelente producto Me parece un calzado muy cómodo. De momento genial. Estéticamente es también bonito.</t>
  </si>
  <si>
    <t>estuche cremallera para bolis y gomas</t>
  </si>
  <si>
    <t>funciona bien buena calidad de sonido en la. grabacion con mi canon EOS 5D MK2 NECESITA DEL ADAPTADOR RODE SC3 O SIMILAR  nada mas desenpaquetar, se rompió el soporte de corbata, es una pieza de plastico con una pinza. cuidado es muy delicado</t>
  </si>
  <si>
    <t>La artesania y la calidad valen el dinero que se paga. Precioso tal y como se describe en el anuncio y queda genial.</t>
  </si>
  <si>
    <t>excelente excelente, tal cual esta en la foto, de buena calidad y muy rapido, lo pedi y al dia siguiente estaba en casa.</t>
  </si>
  <si>
    <t>Encantado! le pongo un 10 Si he de ponerle una pega es el tamaño... me queda un poco pequeño, pero me lo esperaba por la descripción.  Buenísima calidad delas telas y las cremalleras. Lo uso a diario y trabajando, lo tengo tirado todo el día por el coche y la oficina, le ha llovido por encima y no pasa ni una gota. No se me engancho ni una vez la cremallera y eso que siempre lo llevo mas lleno de lo que debo.  Un 10!</t>
  </si>
  <si>
    <t>Las recomiendo Chulisimas, muy comodas</t>
  </si>
  <si>
    <t>Cascos con mirofono Bastante buenos y tienen buena calidad. Lo único que si estás muchas horas con ellos en las orejas duelen los oídos.</t>
  </si>
  <si>
    <t>buenas herramientas variedad de instrumentos</t>
  </si>
  <si>
    <t>Buena relación calidad- precio Pantalones de chándal de muy buena calidad. Los compré  atraído por el precio que tenían y no le han defraudado. Sientan muy bien puestos y son cómodos. Compra recomendada.</t>
  </si>
  <si>
    <t>Perfecto para guías y espectáculos Un amigo estaba buscando uno para mejorar las herramientas que tiene al realizar un espectáculo callejero. Vi el producto y decidí comprarlo para regalárselo. Ha quedado totalmente satisfecho. Funciona a la perfección con una alta calidad de sonido y un volumen también alto. Ahora no tendrá ningún problema para que le oiga todo su público y personas que pasen alrededor. Producto totalmente recomendado.</t>
  </si>
  <si>
    <t>Ligero y buena calidad Es muy manejable, cabe de todo para el tamaño que tiene y la tela es de muy buena calidad, perfecta.</t>
  </si>
  <si>
    <t>¡GRAN ACIERTO! Regalé un Dodow para Navidad, y aunque el aparato en sí es muy sencillo, cumple con creces con su cometido. Su luz y su sistema hace que sincronices tus respiraciones con él y te ayude a conciliar el sueño. ¡RECOMENDABLE!</t>
  </si>
  <si>
    <t>Confortable Las.compre para mi pareja y lleva unos días con ellas y dice que refrescan,son fáciles de poner</t>
  </si>
  <si>
    <t>Perfecta para viajes o si no cuentas con demasiado espacio en la cocina, en el office, etc. Pequeñita y muy práctica.</t>
  </si>
  <si>
    <t>Cumple con su función Buen antipop, se agarra bien a la peana del yeti de blue que uso, buen tamaño para el micrófono que utilizo y parece bastante resistente.</t>
  </si>
  <si>
    <t>Genial Mi hija está encantada con ellas</t>
  </si>
  <si>
    <t>Estupenda Contentísima ! Ya la he probado y además de bonita ,plegable y práctica encaja perfectamente donde tengo el bide! Creo que eso pocas pueden encajar o quedar la bandeja justo encima de un bide. Contenta con la compra , entrega y el vendedor muy atento . Me faltó la goma de vaciado de agua y en 48 horas ya me la envió a casa. Gracias</t>
  </si>
  <si>
    <t>Se ajusta a la descripción Me ha gustado todo es súper bonito y exactamente igual que en la foto</t>
  </si>
  <si>
    <t>El reloj bonito, las aplicaciones una porquería. El sitio movescount.com no está encriptado El reloj me gusta, estoy considerando aun si lo devuelvo o no por lo siguiente. El problema es que la página web después de iniciar la sesión, no encripta la información que envía y recibe. Datos personales como fecha de nacimiento, e-mail, peso, altura. Tus ubicaciones, trayectos. Esto parece ser una violación de GDPR, y francamente me parece inaceptable de una compañía europea.  Para poder configurar el reloj desde la app, sí o sí debés hacer una cuenta y usarla.  Por ahora lo tengo sin conexión al mundo, excepto las notificaciones del teléfono, que afortunadamente aún continuan funcionando sin las aplicaciones.</t>
  </si>
  <si>
    <t>Bien... Quedan demasiado justos...</t>
  </si>
  <si>
    <t>Talla bastante pequeña. La sudadera es muy bonita y la calidad va acorde con su precio. Yo ya he comprado más cosas de esta marca y la verdad es que no salen malas. La pega que le veo a esta sudadera es que es muy muy pequeña y que es bastante corta. Yo usando una L normalmente he tenido que pedir una XXL y aún así queda algo justa. Decir que el estampado es muy bonito y que puesta queda muy bien.</t>
  </si>
  <si>
    <t>DECEPCION Engaña mucho la foto...es un reloj minusculo tuve una sorpresa desagradable al abrir el paquete...lo que cuesta la devolucion no vale la pena ni devolverlo..se lo di a mi hija</t>
  </si>
  <si>
    <t>No es recomendable La calidad de sonido no es aceptable aunque sea un precio bajo. Dos yogures con hilo se oyen mejor.</t>
  </si>
  <si>
    <t>No huele Huele súper poco</t>
  </si>
  <si>
    <t>Buen reloj y precio Reloj de tamaño cadete, perfecto para niños y mujeres si les gustan medianos/pequeños. Los 38 mm de diámetro incluyen la corona. Muy buena calidad de acabado tanto la caja como sobretodo la correa. Muy satisfecho con la compra</t>
  </si>
  <si>
    <t>Buen zapato Buena relación calidad precio. La única pega es el cuero exterior que es rugoso y la foto parece que es liso. Pero por lo demás bien zapato.</t>
  </si>
  <si>
    <t>angeles Tal cual la foto, la unica pega, es muy grande para mi muñeca, una pena no pueda regularse...pero cumple con lo que se ve en la foto</t>
  </si>
  <si>
    <t>Buena compra El chandal es muy bonito la calidad es buena, sólo que el pantalón me quedó  justo y un pelín corto Pero en general lo recomiendo</t>
  </si>
  <si>
    <t>Bueno y Barato Es lo que compré. Es básico pero cumple mis necesidades.</t>
  </si>
  <si>
    <t>. Son ligeras, muy comodas y calentitas.</t>
  </si>
  <si>
    <t>Impresionante Él mejor reloj que se pueda tener, práctico, funcional, duradero, cómo los antiguos . Buenísimo para piscinas y ducha. No puedo pedir más.</t>
  </si>
  <si>
    <t>Tamaño y Velocidad. Montado sobre una placa x99 y da las velocidades prometidas venía de un ssd sata 3 y no es que sea una gran mejora pero es lo prometido por el fabricante.</t>
  </si>
  <si>
    <t>Hace su función bien Está bien hace su función bien precio envío antes de lo programado lo recomiendo y al vendedor también</t>
  </si>
  <si>
    <t>Perfecto Son perfectos,  llevan 2 biberones con sus tapas. Y la tetina es de 2 agujeros. Mi bebe se ha acostumbrado muy bien a ellos desde el pecho.</t>
  </si>
  <si>
    <t>Muy buen artículo Me ha gustado mucho el tamaño, y la correa, además las cremalleras van fenomenal.  La usa mi hijo para llevar el movil, llaves,...</t>
  </si>
  <si>
    <t>Cumple su función... Funciona bien, a ver cuánto aguanta. Muy útil el sistema de torsión para escurrir la fregona.</t>
  </si>
  <si>
    <t>Cumple con lo esperado Me ha gustado mucho, es pequeño pero robusto</t>
  </si>
  <si>
    <t>Calidad/precio + Gran producto</t>
  </si>
  <si>
    <t>Buena compra Son perfectos, no se resbala la silicona y los colores son bonitos</t>
  </si>
  <si>
    <t>Está bien Para el precio que tiene es más que suficiente. Al borrar a veces se quedan restos. No es súper estupenda pero más que aceptable.</t>
  </si>
  <si>
    <t>Cinta de buena calidad Cinta de muy buena calidad, no es del todo silenciosa pero no "chilla" como las habituales y cuando haces una mudanza lo agradeces mucho</t>
  </si>
  <si>
    <t>Buenísimo Se escucha un poco, pero es fantástico</t>
  </si>
  <si>
    <t>Disco duro sólido Menudo descubrimiento!! Instale este disco sólido en un Asus con un buen procesador que tengo y esto no corre, vuela!! Recomiendo su instalación manteniendo el antiguo disco duro en un Candy en el lugar donde está el lector de CD, porque los discos duros mecánicos mantienen mucho mejor la información grabada (es más difícil de perder)</t>
  </si>
  <si>
    <t>Muy cómodos. Para trabajo profesional.</t>
  </si>
  <si>
    <t>Perfecto Es un producto perfecto por la calidad del producto y por el precio son muy cómodas no pesan nada además las tienes en un montón de colores y son unas zapatillas que perfectamente las puedes usar todos los días porque son robustas</t>
  </si>
  <si>
    <t>Llegaron antes de tiempo y con muy buena calidad y protección Excelente</t>
  </si>
  <si>
    <t>Volvería a comprar 👍🏻 Tal cual se describen , talla correcta . Son muy bonitas y cómodas. Llegaron un par de días después de la fecha prevista pero merece la pena la espera. 😍</t>
  </si>
  <si>
    <t>La forma no es parecida a la expuesta, si buscas forma clásica de NB olvídate La deportiva ha llegado a tiempo y en perfecto estado en su caja original. El color es bastante similar al de la foto, tiene un tono más burdeos oscuro que marrón que ya puede gustar más o menos según cada uno, pero es claramente burdeos oscuro. El problema está (al menos en mi caso) en la forma de la deportiva; la imagen mostrada es, pese a tener suela ancha, afilada y estilizada, la típica imagen de deportiva NB similar a otras NB que he tenido, pero la forma real de la deportiva se aleja de lo mostrado en el ejemplo, siendo más bien una deportiva "fofa", con forma muy redondeada y cilíndrica en todo el empeine y puntera, con lo que le da un aspecto de calzado casi ortopédico. Además, de nuevo lejos de la imagen expuesta, el cordón nace muy abajo en el empeine, no donde suelen nacer en el resto de NB, confiriéndole de nuevo ese aspecto de (con todo el respeto) zapatilla "de abuelo". Está más cerca de una J'Hayber clásica, con ese aspecto rechoncho que las caracteriza que de una NB. Si buscas una deportiva con la típica forma afilada y agresiva de corredor de NB ni te lo plantees, y mírate otros modelos.</t>
  </si>
  <si>
    <t>Rápida la transferencia de datos En mi opinión, es ràpida la transferència de datos y la capacidad para ser una memoria es óptima. El precio lo encuentro equilibrado,  pero se calienta un poquito y no sé si puede provocar a la larga una disminución de su rendimiento</t>
  </si>
  <si>
    <t>Justo Mi nena sigue tragando aire a borbotones con esta tetina. No se porque tienen tanta fama no lo entiendo</t>
  </si>
  <si>
    <t>Bastante decepcionante. Bastante malo, el sonido no es malo  pero el micrófono muy mal. Cuando lo usas para hablar por teléfono el interlocutor apenas escucha nada. Otro punto en contra es que uno de los auriculares se descarga más rápido que el otro con lo que la mayoría de las veces cuando lo vas a  utilizae solo uno de ellos tiene carga y funciona.</t>
  </si>
  <si>
    <t>No funciona Recibí el 16 de enero y funcionó durante un mes sólo. Dejó de funcionar pues el sistema quedó en modo de protegido contra escritura. Intenté todo para reparar pero nada funcionó, y es imposible de formatear.  Tenía muy buenas expectativas para esta pen drive .. pero sólo funcionó durante un mes.</t>
  </si>
  <si>
    <t>Bien relación calidad precio. Están bien para su precio. Hace poco compré unos mucho más caros que eran de mucha menor calidad. Además el bluetooth tiene bastante alcance. Son bonitos, pero algo enclenques.</t>
  </si>
  <si>
    <t>Muy buena compra Era lo que esperaba. Cafetera muy buena y facil de usar. Cuesta un poco tomar la medida porque tiene muchas opciones de configuraicion, una vez la tienes a tu gusto, es darle al boton y disfurtar del cafe.</t>
  </si>
  <si>
    <t>Bien, pero hay que acostumbrarse Yo siempre he sido de auriculares de los de siempre, tradicionales, y estos que se te ponen dentro del oido me cuestan un poco. De todos modos, estos funcionan bien. A lo mejor podrían aislar un poco más el sonido, pero de todos modos estoy muy contento con ellos. La duración de la batería es muy aceptable. El cable tambien se hace un poco molesto, pero como he dicho, hay que acostumbrarse. Los controles son muy comodos, y es muy facil y rapido subir y bajar volumen, igual que encenderlos, y cargarlos. Los volvería a comprar.</t>
  </si>
  <si>
    <t>Ok Se ajusta a la descripción del producto</t>
  </si>
  <si>
    <t>Muy buena compra Son perfectos para cables delgados. Van muy bien y finalmente queda todo organizado. Son de diametro pequeño pero era justo lo que necesitaba. Si lo mecesitas para cables gruesos de ordenador elegid mas diametro</t>
  </si>
  <si>
    <t>una maravilla, comodos, bonitos, suaves, Una maravilla. El pecho lo hacen redondo, claro, pero sujetan suficientemente bien, son suaves y sobre todo comodísimos, COMODÍSIMOS! y muy bonitos. Nada más que pedir! que me voy a comprar otros dos, además de los 3 que ya compré!!</t>
  </si>
  <si>
    <t>Elegante y sencillo Era para regalar, me llegó en tan solo 16 horas y es perfecto. Bonito y delicado,  perfecto para regalar.</t>
  </si>
  <si>
    <t>Bien Tal cual la descripción</t>
  </si>
  <si>
    <t>Excelente calidad precio Justo lo q esperaba. La calidad del sonido no es como los originales de cable de iPhone pero por este precio más q aceptable. Para llamadas va perfecto y con las diferentes almohadillas se adapta perfectamente al oído</t>
  </si>
  <si>
    <t>Estoy contenta Éste guego está muy bien ahora para él verano</t>
  </si>
  <si>
    <t>gran ahorrro, misma calidad El resultado es el mismo que con la original pero con un precio mucho mas asequible</t>
  </si>
  <si>
    <t>Perfecto para regalar ¡Es un detalle precioso para regalar! Ha llegado en muy buenas condiciones. El álbum es de tamaño medio caben dos fotos por página de 10x15. Viene con pegatinas y adhesivos para las esquinas de las fotos y con 8 bolígrafos de distintos colores (qué no sé muy bien si  servirán mucho).  Lo recomiendo sin duda.</t>
  </si>
  <si>
    <t>Batidora recomendable. La batidora es como se describe en el anuncio y trae todos los accesorios. Tiene muchas velocidades y boton "super". Las velocidades bajas la verdad que sirven principalmente para revolver las cosas, si de verdad quieres picar debes darle a la máxima potencia. Eso esta bien ya que controlas que no te pases y te salpiques al encenderla. La limpieza es muy buena y si metes al lavavajillas los accesorios no se llenan de agua por dentro como con otra que tuve. Buen producto y envío como siempre perfecto y rápido.</t>
  </si>
  <si>
    <t>Líquido antipinchazos. Llevo usándolo varios meses y el resultado es excelente puesto que por ahora no se lo que es pinchar.Por lo tanto lo recomiendo.</t>
  </si>
  <si>
    <t>Muy satisfecho Tarjetero con múltiples ranuras para dar cabida a todas las tarjetas de visita y demás del estilo que queramos ubicar en un soporte para tenerlas fácilmente accesibles. Muy satisfecho con la compra. Lo recomiendo.</t>
  </si>
  <si>
    <t>Buena calidad relación calidad/precio Por el precio que tienen (sobre todo si los pillas en oferta -yo los compré a 19,99€-) la verdad es que el producto tiene una excelente relación calidad/precio. Buen diseño, muy cómodos de usar, facilísimos de emparejar al bluetooth y empezar a usar, calidad de sonido muy decente (incluso los graves) ... en resumen, recomendables.</t>
  </si>
  <si>
    <t>Olor perfecto dulce y encantador Aceite buenísimo con un aroma dulce y terapeutico , relaja muchisimo y su aroma hace que la estancia de la casa sea relajadísima .../ todas mis visitas cuando entran quedan encantadísimo  con el olor , asi que encantado ... perfecto y su precio divino .</t>
  </si>
  <si>
    <t>La facilidad, de limpieza Maravilloso, limpié toda la plata de mi madre</t>
  </si>
  <si>
    <t>Pequeño pero gustó Es pequeñito pero gustó mucho, creía que era más grande. La foto engaña un poco pero igual está bien .</t>
  </si>
  <si>
    <t>Lo recomiendo ! Me encanta !!! A mi nena le gusta tambien. NUK nunca me ha decepcionado!</t>
  </si>
  <si>
    <t>Van muy Son fáciles de usar y lo suficientemente gruesas. muy recomendable para proteger documentos.</t>
  </si>
  <si>
    <t>Perfecto Todo bien producto corresponde con lo anunciado, sin problemas</t>
  </si>
  <si>
    <t>Camiseta Levis. MI marca de ropa favorita.</t>
  </si>
  <si>
    <t>Dice cuenta atrás pero no tiene No tiene cuenta atras</t>
  </si>
  <si>
    <t>Por el precio, esta bien Compré esto principalmente por el precio, y porque Newwer es generalmente una marca recomendada. La calidad del producto está bien. No es muy resistente, tengo que tener cuidado cada vez que hago un ajuste. Por el precio, supongo que no esperaba mucho mejor.</t>
  </si>
  <si>
    <t>Que la batería aguante Solo espero que salga mejor que la anterior que duró menos de 1 año</t>
  </si>
  <si>
    <t>4 Meses me ha durado La tarjeta me ha durado 4 meses y para enviarla_a la garantia he de hacerlo al reino unido y costear yo el importe, lo que es inviable en coste, sale mas barato comprar otra nueva. Viva el consumismo.</t>
  </si>
  <si>
    <t>No bueno Terrible. Disconnectado cada 10 minutos</t>
  </si>
  <si>
    <t>Su funcionalidad Cumplió expectativas</t>
  </si>
  <si>
    <t>Muy buen producto Muy buenos, estoy encantada</t>
  </si>
  <si>
    <t>IMPRESCINDIBLES PARA VIROBI Muy util en combinacion con el robot Vilobi. Resulta eficiente después de pasar un robot de limpieza, COMPLETANDO UNA LIMPIEZA MEJOR</t>
  </si>
  <si>
    <t>Calidad precio ok Son muy bonitas y comodas</t>
  </si>
  <si>
    <t>Preciosas pero un poco estrechas Un poco estrechas por lo que es necesario pedir un número màs de lo habitual. Por todo lo demàs, magníficas.</t>
  </si>
  <si>
    <t>Para zapatillas un número más es perfecto! Se suele decir k en zapatilla hay k comprarse un número más. Pues en este caso ocurre esto. Por el resto la zapatilla está genial.</t>
  </si>
  <si>
    <t>Comodidad Me ha gustado, son muy cómodos y ligeros</t>
  </si>
  <si>
    <t>Perfecto! Los biberones Mam me encantan para evitar que el bebé trague aire y este tamaño de 320ml es perfecto para cuando el bebé ya toma bastante cantidad y además hay que añadirle los cereales. El envío rapidísimo, llegó a los dos días de comprarlo, todo perfecto y en el color elegido, fueron todo facilidades.</t>
  </si>
  <si>
    <t>Perfectas Muy comodas</t>
  </si>
  <si>
    <t>Fantástica! Encantada con la compra! Calienta la cama completamente. Buena calidad y funciona perfectamente. Ideal para meterte en la cama ya caliente</t>
  </si>
  <si>
    <t>Buenas, bonitas y baratas Aún no lo he usado, pero el producto es tal y como es muestra en la foto. Valen para ir a la pasear y hacer el pino-puente. Son muy livianas, la talla es correcta para zapatillas deportivas.</t>
  </si>
  <si>
    <t>Correcto Envio rápido buena calidad</t>
  </si>
  <si>
    <t>muy completo y robusto Encantado con la compra , cuando estuve buscando dudaba sobre si el producto tendría buena calidad ya que le precio era muy muy bueno bueno , pero estoy encantado con la compra , es aun mejor la calidad que el precio , completísimo , los materiales muy sólidos ,tuve uno que parecía un juguete y este no  es robusto ,tiene en la parte superior el selector de velocidades que lo hace muy cómodo , ademas de tener el botón turbo .</t>
  </si>
  <si>
    <t>Excelente Grabadora!! excelente grabadora y cumple la funcionalidad, si es algo delicada, asi que hay que comprarla con el set de complementos para protegerla asi funciona mejor</t>
  </si>
  <si>
    <t>Chulisimo Volvería a comprarlo sin dudarlo.</t>
  </si>
  <si>
    <t>Perfecto Era un regalo para mi padre, al siguiente día ya los estaba utilizando, una gran marca, cómoda, parece ser que es impermeable de verdad, repetiré.</t>
  </si>
  <si>
    <t>Control de la temperatura Buena calidad y temperatura adecuada. La ha usado para terapia de calor. Le ha servido a mi gatita para el frio. Recomendable.</t>
  </si>
  <si>
    <t>Demasiado pequeños y un alor a plastico horrible... Le quedaban pequeños</t>
  </si>
  <si>
    <t>Volveré a comprarla Ideal para pelos de perro</t>
  </si>
  <si>
    <t>Comodidad 100x100 Muy bien el tallaje y muy comodas.</t>
  </si>
  <si>
    <t>Complejo vitaminico muy completo Es uno d los mjores complejos vitaminicos q hay n el mercado. Ya lo vengo usando x + d 3años. Muy completo</t>
  </si>
  <si>
    <t>Perfecta funciona como me esperaba Cumple perfectamente con mis espectativas, muy buen articulo, ademas ligera y muy facil de limpiar, la recomiendo sin dudarlo saludos</t>
  </si>
  <si>
    <t>Me gusta mucho Era lo que esperaba.</t>
  </si>
  <si>
    <t>Potente Funciona perfectamente, y tiene mucha capacidad a la vez que puedes utilizar también un tarjeta micro sd</t>
  </si>
  <si>
    <t>No duran mucho sin romperse.. Comodas pero poco resistentes..</t>
  </si>
  <si>
    <t>Buen producto en general Llevo usando estas nueces desde hace un año y llevo el saco por la mitad, así que cunden mucho (las uso dos veces a la semana). El olor es un poco particular pero no queda en la ropa. No las uso en las sábanas blancas por comentarios de que suelen tender a gris en la ropa (en ese caso uso bicarbonato). En cuanto a las manchas, las que son de aceite o de cosas que llevan cúrcuma les cuesta quitarlas y tengo que usar otros productos.</t>
  </si>
  <si>
    <t>El micro bien, el brazo muy mal A pesar de que el micro es de buena calidad, esta versión del brazo deja muchísimo que desear. Nada más llegar se pudo apreciar como una de las roscas (concretamente la de la araña del micro) no encajaba bien con la del brazo. Hicimos la vista gorda, pero tras unos meses de uso el soporte del escritorio literalmente se partió por la mitad, dejando el brazo inservible</t>
  </si>
  <si>
    <t>No calienta Tengo la anterior manta eléctrica de esta marca y calienta mucho más que está. Pero creo que es un problema en general de las nuevas mantas eléctricas, casi no sé siente el calor (que se necesita)</t>
  </si>
  <si>
    <t>Calidad y originalidad Adornos originales y modernos para invitaciones de boda. Da un toque juvenil. La calidad del carton es buena.</t>
  </si>
  <si>
    <t>Buena calidad precio Lo cogí para reemplazar a uno de otra marca y más cara que dejo de funcionar de repente. No me ha dado ni un problema hasta el momento y cumple su función. Seguramente elegiré la misma marca el caso de necesitar otra.</t>
  </si>
  <si>
    <t>Cool Al ser negro, no es fácil de limpiar</t>
  </si>
  <si>
    <t>La comodidad Me gusta la comodidad y el diseño, secillo, facil de usar en cualquier ocasion, y en cualquier clima</t>
  </si>
  <si>
    <t>EXCELENTE ES BONITO Y COMODO</t>
  </si>
  <si>
    <t>Muy útil Es el anillo perfecto porque es fácil de poner y quitar. No se cae.</t>
  </si>
  <si>
    <t>Guay Algo grandes para el número, anchas y un pelín brutotas. Al principio van duras, pero al cabo de los días se adaptan bien. No llegan a hacer daño en ningún momento. Me chiflan y tienen pinta de durar bastante. Mucho más baratas que en otros sitios. Muy contenta con ellas.</t>
  </si>
  <si>
    <t>Estupendo &lt;div id="video-block-R3HY255J6V1PK0" class="a-section a-spacing-small a-spacing-top-mini video-block"&gt;&lt;/div&gt;&lt;input type="hidden" name="" value="https://images-eu.ssl-images-amazon.com/images/I/91hOGdewKDS.mp4" class="video-url"&gt;&lt;input type="hidden" name="" value="https://images-eu.ssl-images-amazon.com/images/I/61gjYpas1fS.png" class="video-slate-img-url"&gt;&amp;nbsp;Estupendo, tritura la fruta en un segundo sin dejar grumos, ademas es muy cómodo porque se tritura en el mismo vaso, después lo cambias de tapón y listo para llevártelo. La trituradora de carne estupenda también, tiene 4 hojas de cortar a dos alturas 👌🏻</t>
  </si>
  <si>
    <t>Muy cómoda Me queda como esperaba teniendo en cuenta que he pedido en lugar de 41.5, la 40. La marca talla grande Es muy cómoda, de momento contento.</t>
  </si>
  <si>
    <t>Practico Útil y practico</t>
  </si>
  <si>
    <t>Preciosas, transpirables y más efectivas Muy cómodas y transpirables. Se notan menos blandas en la pisada que las 4 pero en la práctica los tiempos mejoran con respecto al modelo anterior, así que encantado.</t>
  </si>
  <si>
    <t>Justo lo que esperaba Son 100 fundas de plástico. Las necesito para hacer tarjetas y funcionan perfectamente para ello. Contento con esta compra. Cuando necesite más compraré éstas.</t>
  </si>
  <si>
    <t>Buena compra. Buena compra. Las calidades son muy buenas y tiene bastante capacidad en relación con el tamaño. La persona a la que se lo he regalado está satisfecha.</t>
  </si>
  <si>
    <t>Muy polivalentes Me encantan estas zapatillas. Se las regalé a mi hijo y no se las quita. Quedan genial con ropa de deporte y también con ropa casual. Para andar por la montaña tienen muy buena suela y son muy ligeras. En definitiva muy buena compra.</t>
  </si>
  <si>
    <t>Buena compra Era para un regalo, de un maestro joven, y le encantó</t>
  </si>
  <si>
    <t>Debería haberlos comprado antes ;-) El auricular fue recibido, muy bien! La conexión al teléfono móvil también muestra la fuente de alimentación, el efecto de aislamiento acústico también es muy bueno y la calidad del sonido estéreo es muy buena. Se siente bien. El auricular es liviano, fácil de usar y tiene un sonido claro. Realmente asequible, vale la pena comprar.</t>
  </si>
  <si>
    <t>Buen sonido Tenia ya unos anteriores pero se estropearon. Cuesta un poco encontrar este tipo porque los que se meten en el oido no me gustan. He comprado dos para tener de repuesto. Me gusta su sonido. El precio era bueno</t>
  </si>
  <si>
    <t>Satisfacción Buena calidad</t>
  </si>
  <si>
    <t>Correcto para KEYNOTE Perfecto para presentaciones. Todo ok. Laser potente. Ergonomico</t>
  </si>
  <si>
    <t>Cómodo Buen producto para la realización de artes marciales, muy cómodo y ajustado. Perfecto para su función</t>
  </si>
  <si>
    <t>Perfecto, por fin. Este modelo es horma ancha y se adapta perfectamente al pie, sin los problemas de otros modelos dentro del mismo fabricante. Son muy comodas, desde el 1º dia las estoy usando para ir por el campo 10 Km. y ni siquiera un roce. Son una maravilla.</t>
  </si>
  <si>
    <t>Benchmark por si os ayuda De momento sin problemas. A nivel técnico no puedo hablar mucho de él, pero aquí está el benchmark que le he hecho nada más instalar windows. Creo recordar que la memoria era de las baratas y que duran menos. Pero a nivel usuario con un uso normal no debería haber problemas.</t>
  </si>
  <si>
    <t>Producto y empaquetado de 10 Un buen Disco duro Toshiba de un 1tb,para disco de respaldo,perfecto en relación calidad precio no creo que se pueda encontrar nada mejor! He comprado algún disco duro y los he visto bien y ma protegidos pero como este me ha sorprendido la caja interior lo protegido que venía el disco duro un 10.pd me guarde la caja!!</t>
  </si>
  <si>
    <t>Buen sonido, pero producto con Tara en la diadema!! Buenas he comprado este producto y la calidad de sonido es buena pero para lo q cuestan considero que no puede venir con marcas ni deformado siendo totalmente nuevo es la segunda vez que me pasa, según lo abro ya pienso en devolverlo la verdad y no es la primera vez, gracias</t>
  </si>
  <si>
    <t>Pequeñas La zapatillas son pequeñas</t>
  </si>
  <si>
    <t>poco sonido Lo elegí con demasiada urgencia. Es Casio, o sea, es bueno....pero debí imaginar que los pitidos de las alarmas Casio no suenan fuerte y para personas de cierta edad no sirven.</t>
  </si>
  <si>
    <t>Me salió malo.. &lt;div id="video-block-R7K6I2FKF2H0L"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src="https://images-eu.ssl-images-amazon.com/images/I/A15F7z3n5WS.mp4" style="position: absolute; left: 0px; top: 0px; overflow: hidden; height: 1px; width: 1px;"&gt;&lt;/video&gt;&lt;/div&gt;&lt;div id="airy-slate-preload" style="background-color: rgb(0, 0, 0); background-image: url(&amp;quot;https://images-eu.ssl-images-amazon.com/images/I/91zJEB8tXPS.png&amp;quot;);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center;"&gt;0:24&lt;/div&gt;&lt;div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43.4575%;"&gt;&lt;/div&gt;&lt;div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value="https://images-eu.ssl-images-amazon.com/images/I/A15F7z3n5WS.mp4" class="video-url"&gt;&lt;input type="hidden" name="" value="https://images-eu.ssl-images-amazon.com/images/I/91zJEB8tXPS.png" class="video-slate-img-url"&gt;&amp;nbsp;Mal me a durado cuatro meses. Y el pc no arranca, el disco emite pitidos, está defectuoso. No entiendo como puede pasar esto, supuestamente es una marca de calidad, e sudado tinta pará sacar toda la información antes que muriera, eso si por lo menos me lo advirtió. otra cosa tenía un programa para hacer test del disco..... y me daba que estaba en buen estado.. pues va a ser que no. por cierto pedí un disco duro de un tb y me mandaron de dos. estaría reacondicionado para qué me callase?... haver si me lo cambian..</t>
  </si>
  <si>
    <t>Rota Comprada el día 8 de noviembre, con apenas 10 horas de grabación con mi GoPro (condiciones normales), ya no es reconocida. Espero alguna solución por parte de sanDisk</t>
  </si>
  <si>
    <t>Derrama leche Después de un par de semanas de uso la leche se derrama por fuera de la rosca, da igual cuanto lo apriete. Decepción porque se que está marca es buena.</t>
  </si>
  <si>
    <t>Excelente sonido El sonido que da estos auriculares es sublime. Unos graves potentes y una claridad muy buena. Estoy muy contento con ellos. La estrella que falta es porque por su diseño, la patilla que va hacia abajo se separa de la cara y acaba separada bastante de la posición original, pero puede que sea por mi propia anatomía, no lo sé, aunque solo me pasa con este tipo de auricular. Aún así recomiendo su compra al 100%.</t>
  </si>
  <si>
    <t>precio calidad muy bueno En primer lugar decir que el transporte fue rapidissimo sin ningun tipo de incidente. La batidora en si es sencilla de usar y llevo un mes con ella y de momento todo perfecto y se limpia de maravilla!! la potencia es mas que suficiente...</t>
  </si>
  <si>
    <t>Correctos Bien calidad precio</t>
  </si>
  <si>
    <t>Maravillosa cancelación pero mal micrófono. La cancelación de ruido es una maravilla, no es perfecta pues no funciona muy bien en entornos con ruidos atípicos como por ejemplo ambulancias. El delay de la conexión Bluetooth es muy reducido, se llega a percibir pero es casi nulo.  Pero tiene un gran problema con el micrófono, no funciona muy bien en entornos ruidosos. Su calidad es inferior a la media de auriculares genéricos con cable. Asignatura pendiente de mejorar para futuras versiones.</t>
  </si>
  <si>
    <t>PERFECTO A LO Q ESPERABA SE CORRESPONDE PERFECTAMENTE CON LO QUE ESPERABA DEL PRODUCTO. Y DE MOMENTO FUNCIONA PERFECTAMENTE. Y LA CORREA SE PUEDE ADAPTAR A LA MUÑECA MUY FACILMENTE.</t>
  </si>
  <si>
    <t>Producto de calidad Es una manta eléctrica con el tamaño justo, de 30x60 cm, ideal para la espalda o cintura, aunque sobre los hombros o rodillas va genial. El tejido es muy cálido y es de aspecto almohadillado. Tiene un termostato con 4 niveles de potencia, pero yo al 4 ya no soporto el calor. Se nota de largo que es un producto de calidad y se puede meter en la lavadora si es necesario. Lo recomiendo con total confianza.</t>
  </si>
  <si>
    <t>Calidad/Precio ¡¡¡Perfecto!!! Maravilla de aparato. Es una escoba que no necesita recogedor. Funcional, cómodo y con una batería de larga duración. Lo tengo hace unos meses y he esperado a probarlo con todas sus funciones. De sobra para un piso de 90 m2, incluso pasando el polvo con el cepillito corto. Yo compré a la vez un aspirador de gama alta para las alfombras y casi no lo uso, porque este aspira muy bien en todo tipo de superficies. No merece la pena gastarse un dineral en marcas más afamadas.</t>
  </si>
  <si>
    <t>Buenas Muy buenas y cómodas</t>
  </si>
  <si>
    <t>Fiables Buenas</t>
  </si>
  <si>
    <t>Muy buena compra El presentador llevo utilizándolo a diario hace ya varios días y va a la perfección. Tiene un tamaño que lo hace muy manejable y además es muy ergonomico. El tacto del mando es super agradable y es muy intuitivo por lo que ni siquiera he tenido que leer instrucciones. Lo más importante de todo es que su funcionamiento es simple y práctico. Altamente recomendable...</t>
  </si>
  <si>
    <t>Calidad y flexibilidad Este controlador tiene muchas virtudes y todas ellas con la calidad de AKAI. Los pads tienen una muy buena sensibilidad y la personalización de colores es muy cómoda para grabar con drumkits o samplers. Totalmente compatible con Ableton.</t>
  </si>
  <si>
    <t>Perfecto Todo vino bien y funciona a la perfección.</t>
  </si>
  <si>
    <t>COMODISIMA ES LA MOCHILA IDEAL PARA CUANDO TE VAS UN FIN DE SEMANA Y NO VAS A LLEVAR MUCHAS COSAS. ENTRA MUCHISIMA Y NO PESA NADA.PEFERCTA</t>
  </si>
  <si>
    <t>Genial manera a relajarme Me encanta!!! Después de un día largo, eso es una manera relajada ,sea más fácil</t>
  </si>
  <si>
    <t>Nos encanta! Nos encanta y la utilizamos tanto para preparar crema corporal, jabones, shampoo como para aromatizar el ambiente. Muy buena relación calidad precio. Volveré a comprar.</t>
  </si>
  <si>
    <t>El portátil vuelve a la vida Mi antiguo macbook antes tardaba en encenderse un montón, varios minutos incluso para entrar en el sistema operativo. Pero poniendole un SSD todo cambia. Este KingDian, aunque no es conocido es barato y además, hace su función, por ahora llevo con él más de 10 meses y todo perfecto. Como el primer día. Os lo recomiendo.</t>
  </si>
  <si>
    <t>A mi hija le encantan A mi hija de 11 años le han encantado! Justo lo que quería. Son cómodas y bonitas, si te gusta este estilo. Precio adecuado a la calidad que ofrece</t>
  </si>
  <si>
    <t>Botas preciosas Preciosas, bonitas, y qué más puedo decir.  Llegaron mucho antes de lo previsto. Muy buena compra. La talla se corresponde.</t>
  </si>
  <si>
    <t>Buena calidad Un set perfecto!!</t>
  </si>
  <si>
    <t>Precio y Calidad Por el precio me parece muy acertado. El sonido es bueno y la bateria dura bastante</t>
  </si>
  <si>
    <t>Fiable Parecía robusto y realmente lo es. No se calienta nada y al ser retráctil va bien protegido. Quizá el tamaña sea demasiado grade, comparado con un ultra slim que usaba antes, pero da mucha seguridad</t>
  </si>
  <si>
    <t>No es una buena opción La talla es la que normalmente utilizo, pero no son muy prácticos, las tiras tienen poco movimiento y apretan en los hombros.</t>
  </si>
  <si>
    <t>Talla pequeña Es más pequeña de lo que esperaba y si la lavas encoge</t>
  </si>
  <si>
    <t>Cómodo pero poco duradero Es un apoyo muy cómodo y tiene buen tamaño, lo malo es que como coja una forma (por haberlo llevado en una mochila o maletín o algo) ya se queda con ella, no vuelve a su forma normal fácilmente así que en ese aspecto es una pena.</t>
  </si>
  <si>
    <t>Bonita Muy bonita pero frágil la cadena</t>
  </si>
  <si>
    <t>Producto inservible La presentación perfecta, lamentablemente en esta ocasión se cumple la máxima de que "lo barato, sale caro".  Compré esta tarjeta para estrenar en mi nueva cámara durante un viaje por Holanda y cual es mi sorpresa cuando voy a utilizarla y me dice que la tarjeta está protegida contra escritura. La saco para quitar el bloque usando la pestaña de la izquierda y... No hay pestaña y sin pestaña no hay tarjeta así que, lo primero que haré mañana llegando a Holanda será buscar una tienda donde comprar una tarjeta decente al precio que me la quieran vender =(</t>
  </si>
  <si>
    <t>Bien / MUY MAL Sonido bueno, los recibí el 3 de mayo , el 10 De  junio dejaron de cargar , voy a intentar hacer uso de la garantía , no ha llegado ni a dos meses, lo justo para no poder devolverlo.  He cambiado mi valoración por que se han puesto en contacto, ofreciendo una solución al problema, me han prometido mandar otros , estoy esperando a recibirlos.</t>
  </si>
  <si>
    <t>Cumplen lo prometido Me llegó el producto en fecha. Lo quería para mi madre por lo que tenia que ser fácil de en lazar y de utilizar. Hasta hoy todo perfecto.</t>
  </si>
  <si>
    <t>Calentitas Fue un regalo para mi mujer y esta muy contenta!</t>
  </si>
  <si>
    <t>bien creo que por la debolucion y volver a comprar el mismo producto el mismo dia que lo recibi que era Black Friday me han cobrado diez euros de mas pienso que demasiado abusivo ya que es un cambio por el tamaño de las zapatillas esto es aprobersache de la ciscurtancias</t>
  </si>
  <si>
    <t>Correa muy sucia Cumple su función, aunque la correa se ensucia a los dos dias... y eso da aspecto de reloj viejo y descuidado.</t>
  </si>
  <si>
    <t>Valen mucho la pena. El diseño de la caja de carga es espectacular, y simple a la vez. Así mismo, la conexión de Bluetooth es segura, no se pierde fácilmente. Están a la venta en solo un color, blanco, que precisamente es mi color favorito. Me he pasado un rato leyendo comentarios sobre el producto y parece que son de una calidad enorme.</t>
  </si>
  <si>
    <t>cumple su cometido esta bien para la conexion de altavoces</t>
  </si>
  <si>
    <t>Gran Bolso es un producto de un material aparentemente fuerte, con el uso del tiempo podremos ver su calidad, pero pinta muy bien  un tamaño muy grande pero en una medida perfecta para según que necesidad personal  muy útil y cómoda</t>
  </si>
  <si>
    <t>Perfectos Muy bonitos y perfectos de talla. Yo uso una 36 o xs. Mido 156 cm y me cubren el tobillo</t>
  </si>
  <si>
    <t>Cómodos y con buen sonido Auriculares ligeros y cómodos debido a las gomas. La calidad del sonido es buena y, además, son muy fáciles de sincronizar con iPhone. Buena relación calidad - precio.</t>
  </si>
  <si>
    <t>PERFECTOS Ya tenía unas botas similares compradas en tienda física por lo que ya conocía el tallaje de los zapatos.  Tanto el acabado como la comodidad de los mismos perfectos. Entrega rápida y como siempre perfecta.  Sólo que duren la mitad de lo que me duraron las botas ya están amortizados.</t>
  </si>
  <si>
    <t>Muy buena calidad de sonido Suenan muy bien. Los he comprado para que los usen mis hijos en los viajes en coche y la verdad es que se ajustan tanto a la cabeza de mis hijos como a la mía sin problema y con muy buena calidad de sonido. Además el precio es muy bueno para la calidad que tienen.</t>
  </si>
  <si>
    <t>Estupendo reloj Es más grande al natural que lo que refleja la foto. Buen acabado y tremenda presencia. Elegante y bien fabricado. Por este precio es una compra más que recomendable.</t>
  </si>
  <si>
    <t>Perfecta para lo que buscaba Está genial para lo que queríamos. Lo único es que los depósitos siguen sin ser muy grandes, aunque se supone que es de los mayores de este tipo de batidoras. Por lo demás, super potente y muy cómoda.</t>
  </si>
  <si>
    <t>Son iguales que los de la foto Me han encantado</t>
  </si>
  <si>
    <t>Recomendable De momento ha cumplido. Sigo probando</t>
  </si>
  <si>
    <t>igual q la descripcion es lo que me esperaba... calienta muy rápido</t>
  </si>
  <si>
    <t>Preciosa camiseta. Algodón de buena calidad. Me gusta mucho esta camiseta. Excelente relación calidad / precio. La talla es perfecta y resulta muy cómoda. Aprecio la buena calidad del algodón. Muy contento con esta compra.</t>
  </si>
  <si>
    <t>Zumos naturales exprimidos. Esta licuadora viene bien para hacer zumos con frutas, verduras o mezclando ambas. No suelo comprarlos en los supermercados ya que es poco habitual encontrarlos de forma 100% natural exprimidos y, además, suelen ser caros. Esta opción es una alternativa, la suelo utilizar para hacer zumos en cantidades altas, al menos 1L y esto es porque hay 5 piezas que limpiar después, pienso que por esta razón no es la más adecuada para usarla el día a día para poca cantidad, en cambio, cumple perfectamente con su función y los materiales de construcción son buenos, sin imperfecciones. El diámetro del cabezal permite colocar algunas verduras o frutas pequeñas enteras y otras más grandes cortadas. El almacenaje no es un gran problema ya que su tamaño es mediano tirando a pequeño comparándola con otras y permite desmontar algunas piezas tales como el cabezal o el recipiente de los restos.  PUNTOS A FAVOR + Sencilla de usar. + Construcción y diseño. + Fácil de almacenar. PUNTOS EN CONTRA - Limpieza.</t>
  </si>
  <si>
    <t>Como me esperaba Tienen unos meses y varios lavados y estan como nuevos</t>
  </si>
  <si>
    <t>muy útil para organizar las micro y las sd's Es una cartera de tela pequeña, muy útil para organizar las tarjetas de memoria. El acabado es bueno y la cremallera no se engancha. Producto recomendado.</t>
  </si>
  <si>
    <t>Bastante recomendable Es bastante sencillo el mecanismo, pero muy útil. Lo compré porque mi hijo de 6 años, cogía el lápiz de manera muy rara, a fin de intentar corregirselo.  Lleva unas semanas escribiendo con este artilugio y al principio se quejaba un poco, porque decía que no se apañaba, pero después de unos días ya no dice nada. Y encima entre sus compañeros ha hecho gracia y todos quieren uno. Muy recomendable y muy contentos con la compra.</t>
  </si>
  <si>
    <t>👍 Monissima</t>
  </si>
  <si>
    <t>Mi madre encantada A mi madre le costaba escurrir.... Ahora es feliz .. es más, me ha dicho ella que venga aquí a deciroslo jaja... Mi madre es práctica, así que si le gusta es por que limpia bien, y es fácil de utilizar....por qué le cuesta adaptarse a lo nuevo, es muy de toda la vida</t>
  </si>
  <si>
    <t>Quedan bien Esta bien, aunque yo no me los puedo po er por ser alérgico a metales que no sea plata etc</t>
  </si>
  <si>
    <t>Bien para su precio Cumple lo que dice. Para mi tiene un fallo que yo he podido subsanar y es que cuando esta activo grabando, tiene un Led que así lo indica y eso ya es un poco llamativo. Yo lo abrí sin mas problemas y tape el Led como pude para que no llamase la atención.  El micro graba bastante, es decir que no tienes que estar cerca para poder grabar. Es muy sensible, esa es la palabra. Evitar tenerlo con algo en movimiento para evitar mucho ruido.  Por ese precio esta muy bien.</t>
  </si>
  <si>
    <t>! rapidez incomodidad</t>
  </si>
  <si>
    <t>Error en el color Me gusta el producto pero me llegó en un color diferente al que pedí</t>
  </si>
  <si>
    <t>¿como conectarlo al ordenador? Compre este articulo, pero al conectarlo al ordenador con el cable de 3.5 no detecta el microfono, ademas de impetir que se oiga nada, ¿como se puede solucionar esto? Con otros microfonos de este estilo no me ocurre</t>
  </si>
  <si>
    <t>Buena compra Un bolso muy bonito y elegante y de calidad,  a mi marido le a encantado, el tamaño  es el ideal, no el típico bolsito pequeño  que encuentras en todos lados para hombre. una buena  compra y un marido contento.</t>
  </si>
  <si>
    <t>Buen producto De largo es perfecta. Lo único que parece que no calienta tan uniforme los bordes como más hacia el centro .</t>
  </si>
  <si>
    <t>Lo limpio de aplicar Me gustó la aplicación  lo que no que viene en pasta</t>
  </si>
  <si>
    <t>Ok Bien aunque un poco pequeño para hombre por lo demás todo bien y buena calidad pero sin iluminación nocturna pero bien Al año y medio correa rota</t>
  </si>
  <si>
    <t>Calidad precio muy bueno Quedan muy bien</t>
  </si>
  <si>
    <t>Feliz con mi sudadera !!!! Me queda genial, como en la foto, es cómodo, suave y ligero. Yo utilizo una L y pedí XL, y es perfecto. Antes de lavarlo deja un poco de pelusilla, pero una vez lavado, ya no. Me encanta.</t>
  </si>
  <si>
    <t>Bastante bueno. Bueno, fuerte y efectivo. Ya tuve como 3 de los brazos de micrófono de 15€ y todos se me han roto por el peso del micrófono y por moverlo, este sigue en pie. La calidad a veces hay que pagarla.</t>
  </si>
  <si>
    <t>Me gusta! &lt;div id="video-block-R4O0QT8P9OJMY" class="a-section a-spacing-small a-spacing-top-mini video-block"&gt;&lt;/div&gt;&lt;input type="hidden" name="" value="https://images-eu.ssl-images-amazon.com/images/I/A1e0Mu9qOCS.mp4" class="video-url"&gt;&lt;input type="hidden" name="" value="https://images-eu.ssl-images-amazon.com/images/I/91gbXeZ2AzS.png" class="video-slate-img-url"&gt;&amp;nbsp;Me ha llegado esta tarde y no he podido resistirme a usarlo. Principalmente lo compre ya que es un aparato muy pequeño, lo pones o guardas en cualquier parte. Viene con dos vasos para usar, el que uso en el video es el grande y hace una medida muy generosa, como para dos vasos. Otra cosa curiosa es que viene unas tapas para estos recipientes con la que puedes beber, por lo tanto no ensucias nada, metes lo que quieras en el vaso, trituras y bebes ahi mismo. A sido todo un descubrimiento, me parece super util y muy practico.</t>
  </si>
  <si>
    <t>PRECIOSAS Son preciosas!! Estoy súper contenta con la compra! La talla perfecta! No talla ni grande ni pequeña... pedid el mismo número que utilizas habitualmente</t>
  </si>
  <si>
    <t>Cumple con su función No puedo puntuar su efectividad porque aún no lo he probado suficientemente.</t>
  </si>
  <si>
    <t>Bueno Gran producto, cumple su función a la perfección. Parece un poco endeble pero es muy bueno</t>
  </si>
  <si>
    <t>De lo mejor en auriculares bluetooh. Auriculares bluetooth, los mejores que he tenido, gran definición de bajos, medios y agudos. En general una calidad de audio excepcional. Te recoge muy bien la almohadilla en la oreja, no son para mada incómodos. A marcha rápido andando no se mueven. Super recomendables.</t>
  </si>
  <si>
    <t>Muy comodas y fáciles de limpiar Son  unas zapatillas muy cómodas. El número es  algo grande pero tampoco nada exagerado. Hay que tener en cuenta que los cordones son fijos, lo digo para la gente con el empeine ancho quizá les cueste un poco meter el pie, pero en definitiva unas muy buenas zapatillas.</t>
  </si>
  <si>
    <t>Buena compra Contenta con la compra. Se adapta a bien al cuerpo y cuello, me permite moverme por la habitación mientras la uso y muy útil el apagado automático. La recomiendo</t>
  </si>
  <si>
    <t>Diseño elegante Un regalo para el cumpleaños de mi suegra, funciona muy bien y cambia de color , diseño  elegante.</t>
  </si>
  <si>
    <t>Bebe Es el segundo biberón que compramos pero eso sí lo más importante es que sea de cristal, sabemos que hay de mayor tamaño, pero como sólo lo usamos puntualmente para dar el biberón y si no agua va de maravilla no necesitamos mayor tamaño, la verdad que hemos primado más el hecho de que fuera de cristal que otra cosa.</t>
  </si>
  <si>
    <t>Collar de ámbar báltico Buscaba un collar de ambar para mi madre que tiene unos pendientes del mismo material que usa mucho y me pareció este de mayor calidad para regalárselo a conjunto, con su estuche y certificado de autenticidad tal cual aparece en foto, muy elegante, le ha encantado.</t>
  </si>
  <si>
    <t>Funcionan muy bien Funcionan muy bien</t>
  </si>
  <si>
    <t>Excelente Pack Es un excelente pack de Cintas. Lo recomiendo para compras de oficina, casa, etc. Tiene varias cintas y de muy buena calidad.</t>
  </si>
  <si>
    <t>Perfecta para el gimnasio. La uso para ir al gimnasio y la verdad que muy bien. Muchos lavados y sigue como el primer día. Además es cómoda y transpira.</t>
  </si>
  <si>
    <t>Fenomenal No decepciona. Rapidez, fiabilidad y buen precio. Recomendable y perfecto para cualquier equipo medio que no exija una masiva, continua y rápida transferencia de datos. Es decir, excepto para equipos en los que se vayan a grabar con frecuencia vídeos de cierta duración a 4k sin compresión, resulta más que suficiente.</t>
  </si>
  <si>
    <t>Regalo original y fácil de montar La utilicé para hacerle un regalo original a una amiga, le añadí fotos y chocolates. Es fácil de montar siguiendo las instrucciones y además viene con muchas cositas para decorarla, me ha encantado!</t>
  </si>
  <si>
    <t>Merece la pena Muy contenta. Caben 120 ml. No se cae, se tiene de pie y tiene tapa. La cuchara es muy flexible q no se si es lo mejor Porq a mi bebé q acaba de empezar con las frutas esta mas acostumbrada a silicona más rígida. Pero estoy muy contenta con ella.</t>
  </si>
  <si>
    <t>micro aceptable Echo de menos mas metros de cable. Es un micrófono medio, pues mete mucho ruido en la captura. Falta la espumita para mayor comodidad</t>
  </si>
  <si>
    <t>Bien bien Bastante bien la verdad, aunque no creo que sean las originales, son muy chulas y cómodasy están muy bien acabadas . Envio muy rápido.</t>
  </si>
  <si>
    <t>Cuidado con el peso Están bien, pero la única pega, es que deberían pesar menos.</t>
  </si>
  <si>
    <t>Se despega la suela sola En apenas 10 días se ha despegado la suela, además quedan pequeñas, por lo que hay que coger una talla más, aún así no recomiendo su compra para nada. Son muy caras para no durar ni 10 días. Lamentable.</t>
  </si>
  <si>
    <t>Defectuoso, peligroso para la salud Es el segundo hervidor que compro en Amazon, el segundo que devuelvo por fallos de fabricación. Esto es un desastre. En este caso la placa hervidora se oxida traspasando el óxido al agua, muy perjudicial para salud. Muy mal.</t>
  </si>
  <si>
    <t>Relación calidad precio correcta Todo bien sin peros ni problemas ya tenía una experiencia positiva por otra almohadilla que anteriormente había comprado</t>
  </si>
  <si>
    <t>bueno Me gusta, es compacto, pequeño, pero lo malo es q no se puede desenroscar para lavar, con lo que lavar este aparto es muy dificil</t>
  </si>
  <si>
    <t>Un producto que responde a lo que buscas Casi todos los discos blancos para imprimir llevan impresa la marca del fabricante, lo cual desmerece la presentación de los trabajos. Afortunadamente esto no ocurre con estos DVDs que no llevan ninguna marca y disponen de todo el campo para la impresión, aunque llevan una muesca en el centro de unos tres centímetros que aunque se puede imprimir siempre queda visible. La forma de enviarlos al comprador es bastante deficiente ya que no vienen acondicionados en ningún estuche resistente sino prácticamente sueltos sin apenas protección. No puedo opinar sobre su calidad de grabación ya que en el momento de emitir esta opinión todavía no he realizado las grabaciones.</t>
  </si>
  <si>
    <t>Da poco calor Cierto que ha sido fallo mío, no miré bien los watios, y da poco calor para lo que yo necesito, pero aún así funciona muy bien</t>
  </si>
  <si>
    <t>Buena relación calidad precio Ha rejuvenecido 5 años mi portátil viejo; el rendimiento es medio, unos 300MB de lectura y unos 200MB de escritura, es decir, comparado con el disco viejo de 1200rpm es un avión, pero seguramente si lo vas a meter en un ordenador Gaming le falte algo. Por algo está más barato que otros modelos.  El primero que me llegó estaba defectuoso, aunque funcionaba bien, la CMOS no lo reconocía, por lo que no se podía usar para el arranque; una vez arrancado el sistema operativo (linux, Ubuntu 18) ya sí lo detectaba y lo trataba como si fuese un disco SSD USB; La sustitución fue inmediata y sin problemas. El segundo que me ha llegado ha funcionado perfecto y a la primera y tras unas cuantas semanas de uso, mantiene perfectamente el rendimiento inicial (espero no tener que actualizar el comentario :P). NOTA: El segundo sí lo reconoce como un disco KINGSTON, mientras que del primero sólo reconocía un churro de números; entiendo que el problema del primer disco podría ser ese, la informacíon que ofrecía el disco a la placa no era correcta.</t>
  </si>
  <si>
    <t>Genial Son perfectas. Son originales, el número es adecuado (Skechers usa un número menos que el habitual). De buen material y llegaron rápido. Tienen memory foam, son comodísimas.</t>
  </si>
  <si>
    <t>Muy buen Micro Un micrófono de muy buena calidad. Con la fuente de alimentación adicional se oye de maravilla. Fenomenal!!! Lo único que no me gusto fue el echo de que tuve que comprar primero el micrófono y después la fuente porque no viene en conjueto.</t>
  </si>
  <si>
    <t>Buen artículo Son cómodas bonitas ajusta muy bien al pie la verdad es que es una compra bastante buena</t>
  </si>
  <si>
    <t>Genial No ocupada nada de sitio, ligero, muy fácil de utilizar, carga súper rápido y se escucha a la perfección.</t>
  </si>
  <si>
    <t>Buenos bonitos baratos Me hubiese gustado cogerlos en blanco pero estos 3 pares tenian una buena oferta. Son parecidos a los que ofrecen otras marcas deportivas a diferencia de que puma siempre tiene mejores precios.</t>
  </si>
  <si>
    <t>La fiabilidad de la marca Lo que me gusta el sistema multi band 6, las correas son más bien estrechas por ponerle alguna pega y lo uso para ir de sport o causal</t>
  </si>
  <si>
    <t>Muy buena Va muchísimo mejor que por ejemplo la del Mercadona, que sólo recoge suciedad por  la parte delantera. Esta mopa recoge en toda su anchura. Las dos mopas las use en el piso el mismo dia, en diferentes espacios. Vean en la foto la diferencia de recogida de suciedad.</t>
  </si>
  <si>
    <t>Calidad Bonita y de calidad Se nota mucho la buena tela</t>
  </si>
  <si>
    <t>PEQUEÑA Y ECONÓMICA Escogí esta jarra porque era la más barata que encontré. Me gusta tomar té pero considero que un hervidor de agua no debería ser caro. Cumple perfectamente su función y es práctica porque tiene muy buen tamaño. Estoy muy contenta con su funcionalidad.</t>
  </si>
  <si>
    <t>Muy buena compra Cumple su función perfectamente. Además queda muy bien al lado de la tostadora a conjunto. La tapa me ha gustado porque no se levanta, sino que encaja en una muesca y allí queda fija y para abrirla se saca, es más segura.</t>
  </si>
  <si>
    <t>Este es de verdad Es un aparato profesional, ninguna otra marca lo supera ni en calidad, resultados ni mucho menos en precio. Vale más de lo que cuesta</t>
  </si>
  <si>
    <t>Una maravilla esta mantita, gran conford, calidad y preciosa, muy suave Lo mejor del mundo, preciosa, muy calentita, calidad, calienta rápido y homogeneo, se apaga automatico pero puedes volverlo a encender. Una de las mejores compras que he hecho en amazon y llevo muchas!</t>
  </si>
  <si>
    <t>Un buen colgante Me esperaba mucho menos de este collar por su precio,pero la verdad que es muy bonito, acerte con el regalo ^.^</t>
  </si>
  <si>
    <t>Muy buen producto Todo genial</t>
  </si>
  <si>
    <t>Perfectos Son una preciosidad y súper prácticas para mandarles al cole tus smoothies caseros</t>
  </si>
  <si>
    <t>Es muy resistente Me ha gustado su gran capacidad en el reducido tamaño</t>
  </si>
  <si>
    <t>GENIALES !! Son originales, no hace pedir un número más del que se usa habitualmente, al meter el pie es como un guante. recomendables 100%.</t>
  </si>
  <si>
    <t>Buena compra Los he comprado hast en 8 ocasiones se acaban rompiendo por distintos motivos pero es una buena compar a un precio muy asequible, mi recomendación es comprar 3 unidades.</t>
  </si>
  <si>
    <t>Geniales Quedan perfectas y son super comodas. Muy contenta con la compra. El numero es el que tengo normalmente.</t>
  </si>
  <si>
    <t>No tan resistente como parece en principio No es demasiado resistente, se rompió al mes de haberlo comprado. Un poco decepcionante.</t>
  </si>
  <si>
    <t>se limpia mal y requiere estar delante &lt;div id="video-block-RM5RGUUEXPKTA"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src="https://images-eu.ssl-images-amazon.com/images/I/D1HghETI4fS.mp4" style="position: absolute; left: 0px; top: 0px; overflow: hidden; height: 1px; width: 1px;"&gt;&lt;/video&gt;&lt;/div&gt;&lt;div id="airy-slate-preload" style="background-color: rgb(0, 0, 0); background-image: url(&amp;quot;https://images-eu.ssl-images-amazon.com/images/I/81EKjqYdgoS.png&amp;quot;);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center;"&gt;2:39&lt;/div&gt;&lt;div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3.17296%;"&gt;&lt;/div&gt;&lt;div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value="https://images-eu.ssl-images-amazon.com/images/I/D1HghETI4fS.mp4" class="video-url"&gt;&lt;input type="hidden" name="" value="https://images-eu.ssl-images-amazon.com/images/I/81EKjqYdgoS.png" class="video-slate-img-url"&gt;&amp;nbsp;El tostador destaca por su diseño, espectacular. El funcionamiento es correcto y tuesta rápido, permite rebanadas grandes y poder ver el temporizador es un plus,  pero tiene sus inconvenientes: - La primera ronda la tuesta bien en minuto y medio, pero la segunda si dejas el tiempo sin tocarlo se queman, esto te obliga a jugar con el temporizador en cada ronda.  Lo bueno es que puedes subirlas y echar un vistazo sin que pare, pero te obliga a estar encima. - Se limpia fatal, tiene un recogemigas que no es funcional, con apertura insuficiente para recoger migas grandes, muchas se quedan dentro y no salen bien. No se consigue limpiar aunque vuelques el tostador y lo muevas, además muchas de las migas se salen de la bandeja y acaban debajo del tostador. Este para a mi parecer es el peor punto. - Se calienta por fuera, si lo tocas llega a quemar.  Lo que es tostar tuesta y el diseño es de 10, pero los puntos que te comento hacen pensarse si merece la pena el desembolso.</t>
  </si>
  <si>
    <t>No las recomiendo Es de muy mala calidad. Mucho plástico muy brillantes. De echo las tengo que devolver. No la recomiendo. Un saludo</t>
  </si>
  <si>
    <t>Mala calidad Muy barata y bonita, pero pica que da gusto.</t>
  </si>
  <si>
    <t>Nefasto Lo compré en septiembre en oferta como era para regalo de Navidad al abrirlo funciona mal tiene un altavoz cascado y ya no puedo devolverlo, duró 2 días bien.</t>
  </si>
  <si>
    <t>Original y funcional No es la típica alfombrilla y es cómoda. Tardo un poco llegar, pero con el precio que tiene, satisfecho.</t>
  </si>
  <si>
    <t>Buen velcro Se adhiere bien y mucha cantidad (longitud).</t>
  </si>
  <si>
    <t>Cumple su funcionamiento Lo compré sobretodo por la memoria de 200 vueltas del cronómetro y no ha decepcionado, además permite seleccionar qué registro pasado quieres eliminar y si no eliminas nunca machaca sobre el más antiguo. Reloj eficiente y además con una buena estética.</t>
  </si>
  <si>
    <t>Good Very good results used with iRig FIELD MIC, but too big for such mic, but the only one existing, so far.</t>
  </si>
  <si>
    <t>todo muy bien todo perfecto. good</t>
  </si>
  <si>
    <t>Calidad y robustez Perfecto para separar el auricular del micro en el PC. Se nota una calidad y la firmeza con la que se sujeta a los componentes. Buena compra</t>
  </si>
  <si>
    <t>Muy práctico Un producto ideal para llevar de viaje. La única pega es limpiarlo, no es muy cómodo, pero aún así, encantados!</t>
  </si>
  <si>
    <t>Genial El conjunto es mejor de lo que esperaba.</t>
  </si>
  <si>
    <t>Muy rapida para 4k Realmente noté un cambio de velocidad de escritura en las fotos y sobretodo soltura en la cámara para grabar 4K. También puedo volcar toda la info al pc mucho más rápido. La tarjeta que tenía antes era muy lenta y las fotos en alta resolución y los videos FullHD eran un infierno para pasar al pc.</t>
  </si>
  <si>
    <t>BOLSO BANDOLERA Es un tamaño pequeño ideal para el día a día es resistente y de buena calidad tiene muchos compartimientos .yo la recomiendo .</t>
  </si>
  <si>
    <t>Muy bien Es tan bueno como parece. Con toda la comodidad y calidades que promete. Gracias!</t>
  </si>
  <si>
    <t>Estupenda Buena calidad, bonita y muy cómoda, la talla va justita, recomiendo una más.</t>
  </si>
  <si>
    <t>Luce muchísimo Es muy bonito, me sorprendió mucho el resultado, por ese precio. Me encanta!!!</t>
  </si>
  <si>
    <t>Facil uso Es la tipica cafetera a 15bares.Es como se anuncia y lo importante,hace un capuchino que no tiene nada que envidiar a cafeteras mucho mas caras.Recomiendo su compra.Ademas el vendedor se ha portado de maravilla,pues me arreglo un problema con Correos</t>
  </si>
  <si>
    <t>muy buen producto Muy parecido al original en su cierre y textura.</t>
  </si>
  <si>
    <t>durabilidad perfecta suave y comodos perfectos para entrenar.</t>
  </si>
  <si>
    <t>Para lo que cuestan... Me costaron 11€ cuando por ahí lo veo a 24€, los tengo para el trabajo y para ver alguna película con la tableta y para eso van fenomenal. También los he usado como manos libres con mi móvil y se me escucha y escucho muy bien. No los uso para oír música así que no voy a opinar sobre su calidad al respecto. Sobre su construcción, parecen endebles, pero eso el tiempo me lo dirá. Por lo que me costaron, muy contento por ahora.</t>
  </si>
  <si>
    <t>Sencillo y eficaz Llevo utilizando este producto unas dos semanas y estoy encantado, aunque el que en realidad está encantado es mi hijo que cada mañana se encuentra una batido de frutas encima de la mesa a la hora del desayuno. Es sencillo de utilizar y eficaz porque en pocos segundos transforma unos trozos de fruta y leche o zumo de naranja en un batido delicioso. Además se limpia en un pispas, así que la relación calidad precio es magnífica. Producto muy recomendable.</t>
  </si>
  <si>
    <t>buena calidad y cómodo Nos ha gustado su calidad y comodidad, es el tercero que compramos y este es el mejor.</t>
  </si>
  <si>
    <t>La mejor compra que hice Puede ser una de las mejores compras que hice en mi vida, gracias a ella ya no he tenido que barrer o aspirar la casa a diario. Ideal para los que tienen gatos.</t>
  </si>
  <si>
    <t>Valoracion cubo Me a gustado el hecho de que lleve 4 ruedas ya que por ese motivo lo pedi por que era para mi madre de 73 años  ya que por un problema de salud no podia arrastrar  su cubo de fregar,por eso al ver que tiene 4 ruedas lo pedi.Pero por muy comodo que sea al llevar las ruedas cuando tu pones el agua y vas a fregar al escurrir el mocho el escurridor se baja tanto que toca otra vez con el agua y sale empapado ,por lo que para que a mi madre no le pase eso tiene que poner poca agua y cambiar varias veces el agua al cubo y a obtado por no gastarlo mas ya que sale perdiendo ella al tener que estar cambiando el agua del cubo varias veces por no  poder llenarlo como toca al tocar el escurridor en el agua.Creo que tenian que haber hecho el cubo un poco mas hondo.Es una pena ya que si no fuera por ese fallo del escurridor seria perfecto para mi madre.</t>
  </si>
  <si>
    <t>todo ok No hace maravillas</t>
  </si>
  <si>
    <t>SE ACABA ROMPIENDO, COMO TODOS Lo bueno: Aparentemente de muy buena calidad, el material, los acabados... se nota la diferencia con respecto a otras marcas o modelos. El sonido es excelente, la verdad, creo que pocas veces he tenido un sonido tan bueno.  Lo malo: cuando ha pasado un tiempecito se rompe, como todos los auriculares. De dónde? Pues del cable que sale del jack, empieza a fallar, aquello que lo vas tocando pero resulta que solo se oye el auricular derecho.  La verdad es que me ha fastidiado bastante porque me gustaban mucho, y como digo, el sonido excelente. Quizás cuidándolos un poco más y sin pegar tirones pues duran más (yo he intentado cuidarlos, pero nada).</t>
  </si>
  <si>
    <t>Roto. No me ha gustado que la esfera llegara hecha añicos.</t>
  </si>
  <si>
    <t>Gran sonido, no tan buena cancelación de ruido. He comparado estos Mpow H5 con los Mxicder E8, los cuales están por unos 15 euros más caros y prometen lo mismo que estos auriculares. Os pongo mis impresiones.  Ventajas: ✅ La principal ventaja de estos Mpow H5 es su calidad de sonido, me ha gustado mucho, incluso al activar la cancelación de ruido el sonido mejora. Tienen unos bajos bastante decentes y de buena calidad, los medios y agudos bastante buenos, en comparación con otros auriculares de gama alta no he notado bajada de calidad y eso me ha encantado. Los Mixcder para mi son bastante inferiores en cuanto a calidad de sonido, teniendo unos graves muy paupérrimos. ✅ El diseño de estos Mpow H5 es realmente precioso, son super bonitos de verdad, sus acabados parecen de muy buena calidad, y sus plásticos gomosos dan un tacto excelente. Además de que son bastante disimulados cuando lo llevas puesto, no ocupan mucho sobra la cabeza, ademas de pesar muy poco  y no llaman atención al ser negros. Esto bajo mi gusto me encantan ya que prefiero los auriculares pequeños. Los Mixcder son para mi gusto demasiado grandes y pesados y ocupan demasiado en la cabeza, lo que se traduce en que llaman bastante la atención cuando los llevas puestos. ✅ La batería es bastante decente, teniendo entre 20 y 25 horas de duración con el ANC activado. Los Mixcder por el contrario dan unas 18 horas que quizá se queden un poco más corta. ✅ Micrófono decente por este precio. La verdad es que no son ninguna maravilla, dudo mucho que actúen bien en ambientes ruidosos o exteriores, pero al menos en un sitio tranquilo interior la voz se oye medianamente bien. Por el contrario los Mixcder tienen un micrófono horrible, incluso en interiores no lo recomiendo para llamadas por su baja calidad. ✅ Son plegables, esto puede ser una tontería de ventaja, pero si tenemos en cuenta que los Mixcder no son plegables, pues es algo a tener en cuenta.  Desventajas: ❌ La cancelación de ruido la verdad es que no se nota mucho, es muy liviana. La cancelación de los Mixcder es bastante mejor, pero su pega es que tiene un murmullo de fondo, como un ruido que causan los micrófonos exteriores que no me gusta nada. Por suerte la cancelación de ruido de los Mpow no hace nada de ruido, el poco ruido de fondo que cancela lo hace bien. ❌ Comodidad. Ojo! Esto lo pongo en desventajas porque son algo más incómodos que los Mixcder, pero no quiere decir que sean totalmente incómodos. Están bien, el espacio de las almohadillas para las orejas es muy amplio (El espacio de los Mixcder es más reducido, pero es aceptable), se parece mucho a la forma que tienen los Bose QC35 y eso es muy bueno, además de ser muy cómodas. Sólo tiene dos problemas, el primero es que su almohadilla superior es demasiado dura, y al tener los auriculares durante bastantes horas te duele la parte superior, el segundo es que los altavoces no están puestos de forma oblicua, dejando espacio de fondo para las orejas y que el exterior de la helix no roce con este (Los Mixcder sí lo tienen), y al cabo del tiempo es incómodo. En definitiva, puedes aguantar más tiempo con los Mixcder, aunque estos no están tan mal. ❌ No traen caja de transporte rígida, sólo una bolsa. Los Mixcder traen la caja de transporte rígida, aunque aviso de que es enorme, por eso de que no son plegables. ❌ No tiene multipunto. Este auricular, al igual que los Mixcder, no pueden conectarse a dos dispositivos a la vez. Así que si buscas unos auriculares que puedan conectarse al ordenador y a la vez poder coger llamadas con el teléfono, ninguno es una buena opción. ❌ No se pueden cargar a la vez que escuchas música. Esto tampoco pueden hacerlo los Mixcder. ❌ El giro de 90 grados para colocarlos en el cuello es hacia arriba, es decir, las almohadillas quedan expuestas hacia la parte exterior de tu cuerpo, esto a mi no me gusta ya que prefiero que vayan al revés (Eso sí cuando los colocas sobre el cuello prácticamente no aprietan y son muy cómodos). Además no son plegables, de ahí que su caja sea tan grande. Los Mixcder también tienen el giro hacia afuera, pero no son plegables y ocupan bastante más.  En definitiva, me han parecido unos auriculares que por su precio son bastante buenos, así que los recomiendo. 👍 Tengo que decir que he probado otros auriculares con cancelación de ruido que aparte de ser mala la cancelación, el sonido era horrible. Estos al menos tienen un gran sonido, y yo diría que la cancelación es un añadido sin mucha expectativa. Pero no puedo decir que es "super recomendado" porque para mi el que no tenga multipunto ni se pueda cargar mientras escuchas música, son cosas que debería incluir. Eso sí, los recomiendo por encima de los Mixcder, tienen una gran cancelación de ruido, pero esos murmullos y sonidos extraños que tienen los altavoces, dejan una mala experiencia, además de que tienen un sonido mucho peor. Así que yo recomendaría estos Mpow por si quieres darle la oportunidad a la cancelación de ruido y probarlo en un gama baja, ya que la calidad de sonido es realmente buena, son medianamente cómodos y son preciosos.  Relación calidad-precio: 8  Espero que os haya gustado este análisis y que os sea de ayuda. Un saludo!</t>
  </si>
  <si>
    <t>Recomendable Producto muy bueno. La verdad es que cumple las expectativas y funciona de maravilla.</t>
  </si>
  <si>
    <t>No está mal Esta bien, funciona bien, pesa poco pero le falta potencia.</t>
  </si>
  <si>
    <t>Pueden valer depende pa que Bota ligera y cómoda para trabajar. Aunque le he tenido que poner plantillas porque son muy finas. Resbalan con suelo mojado</t>
  </si>
  <si>
    <t>Cumple su cometido Comprada para usarla en una Nintendo Switch. Sólo puedo decir que cumple su función, carga los juegos como si fuesen de cartucho, no hay tiempos de carga lentos por la tarjeta. Por el precio que tiene es de las más recomendables. Incluye adaptador a SD.</t>
  </si>
  <si>
    <t>Que es un buen invento. Es muy práctico para limpiar las guías de las correderas.</t>
  </si>
  <si>
    <t>Buena calidad, cómodo y ligero Buena calidad, cómodo y ligero</t>
  </si>
  <si>
    <t>Muy completa! Nos encantó esta batidora, es muy completa. La usamos casi todos los días en sus diferentes formatos y los envases han sido de utilidad tanto con la batidora en sí como para muchas otras cosas. Recomendada ;)</t>
  </si>
  <si>
    <t>llevo auriculares para corre este auriculares bluetooth no es muy caro y tienen buena calidad de audio, me gustan para llevar los al corrir, sujetan bien a la oreja por una goma, y no tarda mucho tiempo para recargar.</t>
  </si>
  <si>
    <t>Duración escuchar música Me ha encantado, suelo salir en bicicleta, 3/4 horas, y fenomenal</t>
  </si>
  <si>
    <t>Muy recomendables Excelente producto. Con un precio rompedor, no espera uno que sean tan realmente buenos, cómodos y de tal calidad. Los uso a diario para prácticas con piano y solo puedo dar alabanzas de su funcionamiento.</t>
  </si>
  <si>
    <t>me gusta mucho me ha gustado mucho , mi hija quiere uno igual, pedire mas modelos para mi, para la niña, me da miedo no acertar con la talla</t>
  </si>
  <si>
    <t>SOLUCIONADO Llegó antes de lo previsto, tuve que formatear el disco ya que no viene con su capacidad al completo pero una vez hecho perfecto.</t>
  </si>
  <si>
    <t>Genial Es dde muy buena calidad</t>
  </si>
  <si>
    <t>Bien Valor Tienen un buen valor, se ajustan bien y son tan cómodos como los originales de Fitbit</t>
  </si>
  <si>
    <t>Ideales para hacer deporte Me han encantado estos cascos porque, para empezar, no me esperaba una estetica tan buena, son preciosos. Ademas, no pense que la calidad de audio al conectarse con el dispositivo movil seria tan buena, simplemente increible. Tiene tambien un aspecto de gran importancia para mi como es la posibilidad de escuchar la radio sin necesidad de antena o de conectarlo a un movil. Ademas la bateria dura muchisimo y carga relativamente rapido. Tambien admite, por ejemplo, tarjetas sd. En definitiva, es perfecto para llevar al gimnasio y poder ejercitarte sin necesidad de cables e incordios ya que la conexion bluetooth es perfecta. Muy buena compra.</t>
  </si>
  <si>
    <t>Perfecta La verdad queda perfecta, es súper bonita y se ve de muy buena calidad, muy contenta con la compra, repetiré</t>
  </si>
  <si>
    <t>Cascos Sony por este precio Muy buen producto y precio, como siempre Sony perfecto.  Buena calidad de materiales y presencia brillante y fantástica. Perfectos por su precio</t>
  </si>
  <si>
    <t>Rápida, potente. Ideal &lt;div id="video-block-REQOCLNY5PR7V"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src="https://images-eu.ssl-images-amazon.com/images/I/A1a0p+3zUhS.mp4" style="position: absolute; left: 0px; top: 0px; overflow: hidden; height: 1px; width: 1px;"&gt;&lt;/video&gt;&lt;/div&gt;&lt;div id="airy-slate-preload" style="background-color: rgb(0, 0, 0); background-image: url(&amp;quot;https://images-eu.ssl-images-amazon.com/images/I/91qBqgSf2RS.png&amp;quot;);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center;"&gt;0:29&lt;/div&gt;&lt;div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value="https://images-eu.ssl-images-amazon.com/images/I/A1a0p+3zUhS.mp4" class="video-url"&gt;&lt;input type="hidden" name="" value="https://images-eu.ssl-images-amazon.com/images/I/91qBqgSf2RS.png" class="video-slate-img-url"&gt;&amp;nbsp;Buena batidora a muy buen precio (si consigues una oferta). Es rápida y potente. Ideal para la fruta, de fácil manejo y muy cómodos los botes con la tapa para beber directamente. Adjunto una foto para ver el tamaño (no ocupa mucho). Yo esperé a conseguir una oferta (menos de 25€) y merece la pena porque otros productos, de marca blanca cuestan 20€ y no vienen con tantas cosas ni tienen tanta potencia.  Muy recomendable.</t>
  </si>
  <si>
    <t>Suaves y calentitos Necesitaba unos calcetines gruesos para mi viaje a la Patagonia Argentina y con estos he triunfado mucho. Son muy cálidos y se ajustan perfectamente al pie. El tejido es muy suave y da gusto ponérselos cuando hace frío. Además parece que resisten bien los lavados. Muy buena compra</t>
  </si>
  <si>
    <t>Perfecto Todo genial...tanto el envío, como el producto en sí. Las zapatillas son preciosas.</t>
  </si>
  <si>
    <t>Su amortiguación Zapatillas muy cómodas muy recomendables</t>
  </si>
  <si>
    <t>masilla genial para trabajos de manualidades,yo las uso para fijas las peanas de los warhammer en un corcho y asi poder pintarlos mas comodamente</t>
  </si>
  <si>
    <t>No acorde a la descripción No se trata de la versión ESPAÑOL-INGLÉS como especificaba la descripción del artículo. Me ha venido en la versión FRANCÉS-INGLÉS.</t>
  </si>
  <si>
    <t>regular Es muy bonita , pero en un mes ya se me ha descosido</t>
  </si>
  <si>
    <t>Marius No pegan adecuadamente incluso utilizando máquinas ajustadas a este espesor. La marca de agua de la tramnsparencia no desaparece después de plastificar.</t>
  </si>
  <si>
    <t>Mala calidad No duró ni una semana</t>
  </si>
  <si>
    <t>NO SE AJUSTA A LA DESCRIPCIÓN En la descripción de l producto ponía algo que me hacía pensar que era un material resistente“Pestañas y el borde con revestimiento de plástico resistente” en ningún momento pensé que eran de papel, porque no llega ni a cartulina. Muy descontenta.</t>
  </si>
  <si>
    <t>Me ha sorprendido calidad/comodidad Me ha sorprendido gratamente la calidad y comodidad del pantalón, no sé llegado el frío como actuará pero iré observando.</t>
  </si>
  <si>
    <t>Conseguida Elegante tarjetero</t>
  </si>
  <si>
    <t>Cumplen su función Por el precio que tienen, merecen la pena, aunque en alguna ocasión me ha llegado una versión de los auriculares en que el cable es más fino de lo habitual.</t>
  </si>
  <si>
    <t>Mejorable Normal</t>
  </si>
  <si>
    <t>Cumple las expectativas Buen tamaño y calidad.</t>
  </si>
  <si>
    <t>Super rapido Funciona muy rápido a se calienta muy poco,buen precio para sus características.</t>
  </si>
  <si>
    <t>Muy cómodo Para mí es la opción más cómoda y de mayor sujeción. Compré una M y me apretaba mucho el borde de elástico blanco, pero a las 3-4 puestas y un par de lavados a manos ya queda perfecto. Volveré a comprar más de estos.</t>
  </si>
  <si>
    <t>cumple con lo prometido Perfecto, calienta perfectamente la cama, compraré más para las demás habitaciones. Lo recomiendo. Cada lado se puede encender o apagar individualmente sin cambiarle la temperatura a la persona que tienes al lado</t>
  </si>
  <si>
    <t>PERFECTO Tengo muchos atriles.  Por fin, uno que permite graduarlo correctamente y no como la inmensa mayoría que el grado de inclinación queda próximo a 90º, con lo que queda muy inclinado el libro.  Se ve que el diseñador de este producto ha leído libros.</t>
  </si>
  <si>
    <t>Buen artículo Lo uso para diario en el trabajo y muy bien. No uso todas las funciones, pero lo poco que he usado sin problemas.</t>
  </si>
  <si>
    <t>Perfectos para probar este tipo de auriculares Me dieron ganas de probar unos auriculares Bluetooth que estuvieran bien, pero sin gastar mucho, así que me puse a investigar por internet:  Elegí una gama de precios sencilla, y busqué modelos con buena calidad a ese precio. En esta gama están los famosos Xiaomi, los Haylou, y estos, los QCY. Al parecer las tres marcas se fabrican en la misma fábrica, y aunque las dos ultimas no sean muy conocidas en España, se trata de productos de calidad.  Al final compré estos, ya que los Haylou no tenían stock (me ahorré tomar la decisión) y los Redmi airdots no me acaban de convencer por varios motivos.  Cosas a destacar/diferentes:  - La caja no tiene tapa. Van sujetos con un imán y no se caen, y así no hay que estar abriendo y cerrando. En contra: puede entrar más roña. (foto) En esto se diferencian de la mayoría de auriculares Bluetooth que he visto.  - Pesan muy poquito, caja incluida a tope de carga. (foto a escala)  - Soporta codecs SBC y AAC (mejor calidad de audio que los Redmi)  - En mi caso fue sacarlos, conectar BT, emparejar con el móvil, y ya estaba escuchando música.  - Los botones son físicos, es decir, pulsando un poco. Tienen las siguientes opciones:  Una pulsación = play/pause Dos pulsaciones = saltar canciones. Presión dos segundos = Se activa el asistente del móvil.  - Duran unas 3,5h con una carga. La caja tiene una capacidad de 380mAh, y tardan en cargarse al completo unas 2 horitas.  - Traen Protección IPX4 , resistente a salpicaduras o sudor, sin problema si los vas a usar para correr.  - Son algo más gruesos que otros modelos. A mí me encajan perfecto y estos días que he estado corriendo no se me han caído ni una vez (cosa que temía mucho). (foto encaje) También puede que esto influya en la cancelación de ruido externo, que se nota un montón.  - Los he usado poco con vídeos, lo que he apreciado es un ligero lag, quizá de un segundo, en llegar el audio.  - Traen micrófono incorporado, para usarlos como manos libres. El interlocutor escuchará regular, ya que el micro queda lejos de la boca con esta forma que traen.  - Se pueden utilizar tanto los dos auriculares a la vez, como solamente uno (sin importar cuál) Es más se puede usar uno conectado a un móvil, y el otro conectado a otro móvil. No he visto esta opción en otros modelos y marcas, y me parece muy práctica por si no me hago a ellos, para darles uso como Bluetooth de conversaciones.  Yendo por delante que no soy de esas personas que se gasta 150€ en unos auriculares, ya sean los de Apple o unos BOSE, por marca o por prestaciones de audio. No tengo el oído tan fino, a mi con que suenen bien me vale. Y estos suenan bien, traen funciones básicas en los botones (le añadiría subir/bajar volumen, pero se puede hacer desde la miband), y sirven en pareja o uno a uno.  Me parecen muy buena opción para probar esto de los airpods, y para llevarlos a diario en la mochila sin tener que amargarme si los pierdo.  Soy consciente de que hay otros sitios donde se pueden conseguir algo más económicos, pero he preferido pagar algo de más por la garantía que me da amazon: de que son originales, y si hay cualquier percance sé que responderán.</t>
  </si>
  <si>
    <t>Geniales muy recomendable Son muy bonitos. Vienen 4 y cada uno con el dibujo de un animal. Son muy fáciles de usar, rellenar y limpiar. La parte de abajo por donde se abre queda totalmente cerrada y no se escapa nada de producto. Son muy cómodas para fruta o papilla y se mancha mucho menos que dándole con cuchara. Las recomiendo , a mi me han encantado</t>
  </si>
  <si>
    <t>Muy bien! Tal cuál como en la imagen. Muy cómoda Muy buena compra</t>
  </si>
  <si>
    <t>Absorción del ruido Lo del ruido opcional es top. Calidad precio muy buena</t>
  </si>
  <si>
    <t>Buena calidad Se ve de buena calidad, un blanco que no transparenta, de tacto suave y algo flexible. La talla L me viene perfecta para 1,84 que mido con 64kg. No queda ajustado, se ve muy bien tanto de ancho como de largo.</t>
  </si>
  <si>
    <t>Buena sujeccion y talla adecuada Con la talla hemos acertado.  Es un modelo que no habia usado mi pareja con unas tiras bajo el pecho que ayudan a sujetar  Ella esta satisfecha asi que deben estar bien y ser comodos</t>
  </si>
  <si>
    <t>Calidad y diseño Adidas original Un diseño clásico de Adidas que nunca pasa de moda.</t>
  </si>
  <si>
    <t>Buena compra Son muy comodas</t>
  </si>
  <si>
    <t>Alta calidad. Muy buen producto, bien empaquetado y con materiales de calidad. El cepillo para la aguja es un gran añadido, se adjuntan unas escuetas instrucciones para utilizarla.</t>
  </si>
  <si>
    <t>Genial En general ha sido una gran compra. No hemos probado todos los accesorios pero el brazo batidor y La varilla están genial. Muy facil de regular la velocidad.</t>
  </si>
  <si>
    <t>Quiromasaje Material bueno para dar masajes.</t>
  </si>
  <si>
    <t>Buena calidad de sonido Muy contento con los auriculares. Tienen un diseño elegante y son cómodos una vez puestos. Se sincronizan perfectamente con el móvil. La calidad del sonido es buena, se escucha bastante bien. Permite invocar al asistente Google con lo que no hace falta sacar el móvil del bolsillo si queremos hacer una llamada por ejemplo. La Caja de carga cuenta con un indicador de batería. Los auriculares cuentan con un botón táctil para su uso. En la cajita también viene un cable tipo C para cargarlos</t>
  </si>
  <si>
    <t>Rápido Buen producto y se adhiere bien</t>
  </si>
  <si>
    <t>No son cómodos Me quedaban pequeños. Yo normalmente tengo 38/39 pero este se me echaban los dedos hacia adelante. No tenía buena estabilidad y no me resultaron muy cómodos. Por eso, los devolví.</t>
  </si>
  <si>
    <t>están bien de calidad,tener en cuenta el precio...Quedan bien y la tela es suave Bueno, están bien tener en cuenta el precio.La tela es suave y agradable al tacto.Quedan bastante bien puestos.Un poco transporte, pero no mucho</t>
  </si>
  <si>
    <t>Bonito y de calidad, con respecto al precio. No engaña. Es elegante para una ocasión especial. Tiene un brillo muy bonito en los destellos de las tallas</t>
  </si>
  <si>
    <t>El color no es azul eléctrico, es azul marino El color no es igual que se ve en la foto, es azul Marino casi negro👎🏽</t>
  </si>
  <si>
    <t>Deportivas puma Mala calidad, el talón se ha unido y se tuerce el pie.</t>
  </si>
  <si>
    <t>PERFECTAS Perfectas, tal y como pone en la foto y en la descripción, llego rápido, me encantaron.</t>
  </si>
  <si>
    <t>Todo bien Muy bien todo</t>
  </si>
  <si>
    <t>Buena relación calidad precio. Por el precio que tiene no puedes esperar nada del otro mundo, pero aún así cumple muy bien. Estoy contento.</t>
  </si>
  <si>
    <t>Buen producto para el precio que tienen De momento todo OK. La calidad de los materiales no es demasiado buena, el sonido es correcto para usos esporádicos, y la comodidad es buena. Por el precio que tienen merecen la pena</t>
  </si>
  <si>
    <t>Recomendable Cuando está a tope de agua es silencioso, pero conforme el agua se va acabando, se escucha ruido de goteo que para dormir puede ser molesto. Muy sencillo de usar. Funciona muy bien con aceites esenciales. Las luces que tiene son muy agradables.</t>
  </si>
  <si>
    <t>Recomendables. Fantásticas zapatillas, son supercomodas, muy blanditas y calentitas y además tienen un color muy bonito tanto por dentro como por fuera. Estoy encantada con ellas y además no son caras. Una estupenda compra.</t>
  </si>
  <si>
    <t>De los mejores audífonos calidad-precio Me parecen unos audífonos excelentes, el precio muy cómodo, el sonido me parece una pasada. La caja de carga bien te funciona para una semana de entrenamiento diario y con una media de 2 horas y media por sesión, no se desincronizan para nada y la sincronización con el móvil es automática nada más al sacarlos de la caja de carga (claro previamente sincronizados con el móvil). Las llamadas se escuchan perfectamente, lo mejor es cargarlos al ordenador, para así evitar cualquier sobrecarga que los estropee en mi caso y lo recomiendo comprar la versión más nueva con la cual la caja de carga trae tapa y es más seguro para así evitar que se te puedan perder o estropear. En resumen una pasada de audífonos, los recomiendo.</t>
  </si>
  <si>
    <t>Muy buena Muy cómoda y suave</t>
  </si>
  <si>
    <t>PERFECTAS Son estupendas, tal y como esperaba. De mi talla, cómodas y a buen precio.</t>
  </si>
  <si>
    <t>Precioso Me ha encantado</t>
  </si>
  <si>
    <t>Muy bonitos Quedan de lujo son preciosos</t>
  </si>
  <si>
    <t>Buen sonido Los compré principalmente para escuchar la radio y el sonido es muy bueno. Son cómodos y vienen muy completos. También he probado a hablar con ellos por teléfono y el micrófono también va muy bien.</t>
  </si>
  <si>
    <t>Genial Un reloj bonito, elegante y preparado para el deporte, quizás lo que menos me ha gustado ha sido que la hora no es tan brillante la pantalla como en la foto, por lo demas, un reloj que pasa por ser de gama alta a un precio excelente.</t>
  </si>
  <si>
    <t>Calidad del adhesivo de la etiqueta La impresión en láser es buena, como parece que también es la calidad del adhesivo. Espero que el adhesivo dure. Las antiguas etiquetas de APLI tuve que tirarlas porque después de un tiempo el adhesivo había desaparecido.</t>
  </si>
  <si>
    <t>Encantada 😊 Estos auriculares din para mi hijo y la verdad que está feliz. Me llegaron hoy y los puse a cargar y ya no podía más que por la tarde los ha estrenado y esta feliz 😃 El sonido es muy bueno y lo mejor no hay cables. Y me ha encantado las esponjillas  para los oídos son de diferente tamaño y así seleccionas la que tu oído necesite . Un producto 10 me encanta y a mi hijo mas 😂😂😂</t>
  </si>
  <si>
    <t>Bien Me gusta.es demasiado finita pero bien.el precio me parece un poco alto.</t>
  </si>
  <si>
    <t>Originales Auriculares con luces, llaman la atención su colorido. Me ha encantado la bateria interna que te indica la cantidad de carga.  Se adaptan muy bien al oído, trae 3 tipos distintos de siliconas para adaptarse mejor al tipo de oído de cada persona . Perfectos para actividades deportivas.  Buena calidad de sonido y perfecta recepción. Gran capacidad de batería. Buen regalo.</t>
  </si>
  <si>
    <t>Gran producto Buena calidad</t>
  </si>
  <si>
    <t>Un acierto Estéticamente el reloj está muy bien. Estupenda relación calidad precio como es habitual en Casio. Lo compré por coleccionar y al final se ha convertido en uno de mis relojes de uso diario. Podría mejorarse si la caja fuese metálica pero evidentemente no se puede pedir todo por ese precio. Veremos que tal funciona con el paso del tiempo, de momento una buena compra.</t>
  </si>
  <si>
    <t>Noedue Me encanta</t>
  </si>
  <si>
    <t>Los mejores auriculares calidad precio Los mejores auriculares que he tenido. Compré la versión anterior a esta y debo decir que los cables eran más gruesos y tenían apariencia de mayor durabilidad. Con este nuevo modelo llevo 4 meses y a pesar de este matiz ningún problema. Suelo dormir con ellos con el riesgo que para el cableado supone y tanto estos como los anteriores nunca me han fallado. Si tienes que comprarte otros seguramente sea porque los pierdas</t>
  </si>
  <si>
    <t>Por ese precio nada mejor Por el precio que tiene cumple perfectamente con su cometido, no pesa demasiado, las cuchillas cortan bien. En definitiva, para el precio que tiene una gran compra</t>
  </si>
  <si>
    <t>Microfono Bien</t>
  </si>
  <si>
    <t>Bonito Es un buen regalo para una niña, bonito, es igual a la foto. Se ha roto el colgante al poco uso, pero claro, por el precio es que no se puede pedir mucho.</t>
  </si>
  <si>
    <t>Algo fina Tela fina, no Gorda o fuerte. Tengo una 34/36 de pantalón y me fue bien, sólo que de adelante tiene el tiro más alto. Y tendré que agregarle una goma ancha y que sujete mejor. Y otra cosa ahora que la he lavado el negro desprende color y me ha manchado lo rosa....a ver cómo queda cuando seque!</t>
  </si>
  <si>
    <t>Practico Justo como se describe, no obstante se observa que las cremalleras no muy buenas ya que se rompio el tirador a los cuatro dias</t>
  </si>
  <si>
    <t>Lentitud extrema Es una vergüenza que un producto que dice tener USB 3.0 de unos resultados de transferencia inferiores a los 20 MB/Sg. Lo peor es que cuando el disco ya está a mas del 80 % se le va la pinza y tiene caídas hasta los 5 6 MB. Se salva por su alta capacidad y portabilidad pero es poco solvente para trabajo profesional.  Tengo el mismo modelo de 2 GB, y al menos es bastante más estable en las transferencias.</t>
  </si>
  <si>
    <t>Fatal. Entra agua con el mínimo contacto. Muy mal !! Es genial de diseño y por precio esta muy bien. Pero fatal por la marca Invicta que permita la entrada del agua en este reloj. Indica que es resistente al agua. I con lavarte las manos ya le entra. Lo devolví y pedi otro pensando que era defecto hermético del mio y a las dos semanas el nuevo le entro también. Una cagada de esta casa que me ha decepcionado muchísimo y que no comprare ningún reloj mas.</t>
  </si>
  <si>
    <t>Genial producto Este disco duro externo funciona genial. Su velocidad de escritura y lectura son alucinantes, tiene un led azul en la parte superior que te indica si se está usando y hay que recordar que no se alimenta por usb, hay que enchufarlo a la electricidad.</t>
  </si>
  <si>
    <t>Belen Geniales , muy buen género y cómodas</t>
  </si>
  <si>
    <t>Casi todo bien Los usamos poco, aun así, no están mal. Lo malo: mis hijas agarran la tetina y la deforman o empujan, y se sale la leche. Eso con biberones más tradicionales no nos pasa. Pero nos pasa menos con estos que son blancos (comparándolo con los turquesa).</t>
  </si>
  <si>
    <t>Me tienen enamorado Estoy encantado con estos auricolares, son muy cómodos para usar día a día, yo los uso para ir a clase mientras en la biblioteca o en el aula hago Dibujo técnico industrial o Diseño, ya que aíslan muy bien, no aíslan a la perfección pero tienen un buen aislamiento.  Las almohadillas no molestan con gafas ni tampoco con ellas, son grandecillas, pero al ser de piel... O semipiel... No sé el material que es pero es algún sintético que la verdad que en verano te dará mucha calor pero nada exagerado.  Bien pero yo al comprar unos auriculares me fijo más en la cálidad de sonido, y la verdad que son muy muy buenos he tenido auriculares mejores muchos más caros pero estos Sennheiser HD 4.40 BT les planta cara a muchos aurículares, no son lo mejor del mundo pero están muy muy bien.  La batería es una MARAVILLA dura muchísimo sobre unas 24 horas de uso, y se carga con mucha rapidez.  Haré un resumen de Pros y Contras:  Pros: - Batería - Rango del alcance ( Bluetooth ) (Depende del dispositivo) - Calidad de sonido - Accesorios que incluye ( Funda tela, cable USB de carga y Jack 3,5mm a 2,5mm) - Discretos - Relación Calidad / Precio - Construcción  Contras: - No incluye estuche rígido - No incluye almohadillas de recambio - Pocos bajos (va por gustos, tiene buenos bajos, pero me gusta escuchar algo más de bajos, pero lo solucione con un ecualizador)  En resumen son unos cascos estupendos, no son calidad estudio pero son muy muy competentes incluso mejores que muchos aurículares más caros . Tienen una calidad / precio genial (yo los compré por unos 64€) hubiera pagado mucho más por ellos. Al principio dude mucho de ellos pero una vez los probé me enamorarón. Si quieres unos auriculares bluetooth con buenísima calidad de sonido y discretos no lo dudes son increíbles. 9 / 10  Fran</t>
  </si>
  <si>
    <t>Cumple Es perfecta. relación calidad precio adecuada</t>
  </si>
  <si>
    <t>Cable de calidad. Cable de alta calidad, aunque el de 4 mm es bastante gordo y puede que no entre en muchas salidas de amplis o entrada de altavoces. Recomiendo una sección menor.</t>
  </si>
  <si>
    <t>Algo grandes Suelo usar una 43 en otras marcas, y sabiendo que converse suele dar talla pedí una 42,5. Aún así he tenido que devolverlas y pedir una 42. Por eso os recomiendo coger un número menos del que uséis. El resto todo perfecto, la zapatilla es auténtica, de cuero y con la calidad de converse de siempre.</t>
  </si>
  <si>
    <t>Los mejores Llevo muchos años comprando verbatim y relación calidad precio son los mejores. No me falla ninguno.</t>
  </si>
  <si>
    <t>Muy práctico y bonito Yo le doy mucho uso a los termos y este me ha encantado, el diseño es súper bonito, además de su tacto aterciopelado. Por lo demás es un termo normal y corriente</t>
  </si>
  <si>
    <t>Buen precio Muy buenos auriculares baratos y económicos</t>
  </si>
  <si>
    <t>Calidad de sonido y la cancelación de sonido Bose es calidad tanto en sonido como en materiales, la batería dura bastante lo suficiente para un vuelo o el uso diario que le quieras dar. Si se plegarán un poco más no estaría mal  La cancelación de sonidos es perfecta siempre que sea un ruido más o menos constante, si es muy variable le cuesta más pero cumple satisfactoriamente</t>
  </si>
  <si>
    <t>Cómodo y buen sonido És cómodo y práctico</t>
  </si>
  <si>
    <t>Perfectas para mi uso Son perfectas para lo que yo necesito, caben alrededor de unas 50 hojas, incluso algunas más, el plástico se ve de buena calidad. Repetiré la compra cuando necesite más.</t>
  </si>
  <si>
    <t>De diseño Muy bonito. Pensaba que la correa marrón sería más clarito, pero no. El bisel del reloj es negro tirando a acero. Le da un aspecto premium a un precio comedido. Personalmente no lo pienso mojar porque la correa al ser imitación al pelo puede que se ensucie o se desgaste.</t>
  </si>
  <si>
    <t>Embálalo TODO con 396 metros de cinta de embalar Calidad razonable. Si necesitas cinta de embalar este es tu producto: 66 metros x 6 unidades, que componen el número de la bestia para el mejor embalaje.</t>
  </si>
  <si>
    <t>Un 10 Una gran compra, comodas y de buena calidad</t>
  </si>
  <si>
    <t>Me encanta Los he usado con las tetinas variflow. Es de facil lavado y montaje. En mi caso, mi nena estuvo con lactancia materna exclusiva hasta los 6 meses, lo uso luego de ese momento y su diseño le facilito adaptarse rapidamente sin rechazar. Probe antes con otros biberones y este fue el que mas le gusto.</t>
  </si>
  <si>
    <t>Muy buenas Súper-cómodas, muy buena calidad y buen precio. Recomendables 100x100</t>
  </si>
  <si>
    <t>Cumple lo prmetido Buen artículo, cómodo ya que no es pesado y no provoca sudor al contacto con las orejas, la calidad es aceptable transmiten con nitidez y el alcance de unos 70 metros despues de atravesar un tabique de 14 cm. y un cerramiento de 40 cm.. satisfecho con la compra. Recomiendo este producto.</t>
  </si>
  <si>
    <t>Es como la esperaba! Es guapísima!</t>
  </si>
  <si>
    <t>Espacio y fiabilidad a un buen precio Lo he acoplado al ordenador que utilizo de estudio de edición de vídeo y grabación de sonido. Por fin no tendré problemas de espacio por las copias de seguridad-</t>
  </si>
  <si>
    <t>Bonitas, comodas y muy transpirables Buscaba unas zapatillas  para regalarselas a mi madre para cuando sale a andar por las mañanas y al final me decidí por estas por que ella llevaba unas con este tipo de suela pero de una marca muy famosa que le iban genial y he pensado que estas le gustarían. No me he equivocado lo más mínimo ya que dice que son súper comodas, que son muy ligeras y además no tiene que preocuparse por atarse las t rencillas ya que se las pone en un santiamén. El tejido del que están hechas tipo malla es súper transpirable otro punto más a su favor. Y por último su diseño es bonito y discreto ideal para mi madre que no le gusta llamar la atención. En resumen que ella está encantada con sus nuevas zapatillas y yp más al saber que le han gustado tanto.</t>
  </si>
  <si>
    <t>Excelente Un buen reloj solar que se lee bien la hora con las manillas. El display digital es útil y fácil de usar. La iluminación es solo en el display y en mi opinión escasa.</t>
  </si>
  <si>
    <t>Pendientes básicos Pendientes muy sencillos. Compré los rosa y el color es bastante apagado, el emboltorio que traen es muy básico, de acuerdo a un producto de 10 euros. Los ponen en oferta cada dos por tres. Los compre por 10 euros aunque decía que el precio original eran 99 euros. Desde que los compré hace 1 mes solo los he visto en su precio original 2 días, después del black Friday. Si queréis unos pendientes de 10 euros este es un producto de esa categoria. He decidido poner esta opinión cuando he visto que se utiliza el truco de decir que valen 99 euros cuando en realidad no pagaría más de 10 euros por ellos</t>
  </si>
  <si>
    <t>Aún espero que se le quite la doblez Alfombrilla normalilla de calidad. Al venir enrollada se queda curvada. Después de un sigo esperando que se le quite la curvatura. La almohadilla de teclado se queda corta en un teclado con bloque de teclas numérico. Para los compactos bien.</t>
  </si>
  <si>
    <t>5 días Pues eso, sólo ha durado cinco días. El martes empecé a usarlo y este sábado por la mañana me doy cuenta que la pantalla presenta números ilegibles y no responde ningún botón. Al rato, pantalla apagada, después vuelve a verse un poco los números ilegibles y más tarde vuelve la pantalla a apagarse del todo. El fin de semana sin reloj, hoy lunes compro una pila, 2€, la coloco y todo vuelve a funcionar. No uso ni las alarmas ni la iluminación del reloj, así que poco consumo le provoco.  En la web de Casio para este modelo pone esto: "10 años - 1 pila. Gracias a un sistema electrónico innovador, el consumo de energía es mucho menor."  O el sistema este es una basura, o la pila que trae (Panasonic) es otra basura, o Casio ya no sabe hacer relojes, o hay un error tipográfico y quieren decir que la pila sólo dura 10 días.</t>
  </si>
  <si>
    <t>Tallaje Tallaje muy pequeño</t>
  </si>
  <si>
    <t>Brilla mucho Esta muy bien acabada no se le ven fallos, llama la atención de lo que billa, se lo regalé a mi  esposa y se puso muy contenta y si ella esta contenta yo vivo mejor.</t>
  </si>
  <si>
    <t>Todo OK Queda muy bonito</t>
  </si>
  <si>
    <t>Los mejores auriculares gaming relación calidad-Precio Los auriculares concuerdan con lo que el vendedor te pone, pero si le puedo sacar algo malo es que el controlador de volumen y pausa del micrófono no es compatible con IOS pero por todo lo demás son 100% recomendables.</t>
  </si>
  <si>
    <t>Comodidad sobre todo Compré antes de éste otro que hay en Amazon de color rosa, también calvin Klein. Al recibir éste otro de color azul noté que el tejido variaba levemente, era como un algodón de menos calidad, menos suave. No sé... igual puede ser por el tinte azul que le da el color. Aún así estoy contenta.</t>
  </si>
  <si>
    <t>Útil Cumple su cometido</t>
  </si>
  <si>
    <t>Los mejores auriculares inalámbricos &lt;div id="video-block-R3926FP8AP6CQ5"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id="118" preload="auto" src="https://images-eu.ssl-images-amazon.com/images/I/E1cQ0+BqjfS.mp4" style="position: absolute; left: 0px; top: 0px; overflow: hidden; height: 1px; width: 1px;"&gt;&lt;/video&gt;&lt;/div&gt;&lt;div id="airy-slate-preload" style="background-color: rgb(0, 0, 0); background-image: url(&amp;quot;https://images-eu.ssl-images-amazon.com/images/I/A1RlhBJdLOS.png&amp;quot;);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value="https://images-eu.ssl-images-amazon.com/images/I/E1cQ0+BqjfS.mp4" class="video-url"&gt;&lt;input type="hidden" name="" value="https://images-eu.ssl-images-amazon.com/images/I/A1RlhBJdLOS.png" class="video-slate-img-url"&gt;&amp;nbsp;Me ha gustado mucho su calidad de sonido para lo pequeñitos que son, la verdad bastante buenos para su precio, recomendado 100%</t>
  </si>
  <si>
    <t>Buena calidad de materiales y buen precio. En primer lugar desdtacr que el acabado de las trampas es muy bueno. Los cortes son precisos y perfectamente rectos. La espuma de las trampas se percibe de buena calidad y buena densidad. Sin medidad mas profesionales si puedo decir que no es la tipica espuma del chino sino que la consistencia y la textura se palpan firmes. Y en cuanto al resultado, con solo dos colocadas en las esquinas superiores de la habitacion en la pared frente a los altavoces he notado un cambio importante, hasta el punto de que antes tenia que tapar con espuma en BASS-Reflex de las cajas y ahora no porque ya no se forma la bola de graves que se formaba. Esteticamente son bastante espectaculares. Muy contento con la compra.</t>
  </si>
  <si>
    <t>Igual que en la descripción Buen producto, todo ok</t>
  </si>
  <si>
    <t>Calzoncillos Tengo varios de esta marca y aprovechando que estaban en oferta hice la compra y he quedado satisfecho. Recomiendo este producto a los clientes.</t>
  </si>
  <si>
    <t>Lo recomiendo calidad precio Tal y como lo esperaba, muy cómodas.</t>
  </si>
  <si>
    <t>Muy bien Perfectos buena calidad y entrega mejor de lo esperado</t>
  </si>
  <si>
    <t>Lo que esperaba Conozco mi talla en Asics y estos no me han decepcionado</t>
  </si>
  <si>
    <t>Perfecto 100% recomendable</t>
  </si>
  <si>
    <t>Buena relación calidad precio Es la segunda funda que compro. La uso para un disco duro WD de 2 TB y cabe perfecincluido el cable USB</t>
  </si>
  <si>
    <t>Sonido muy bueno Llegaron muy rapido, al abrir la caja me du cuenta que su constuccion es de calidad. Se enlazó perfectamente con el mobil y cuando lmpuse la musica me quede asombrado. Excelente sonido y el que tenga microfono puedes hablar por teléfono con claridad. Lo recomien 100x100</t>
  </si>
  <si>
    <t>Excelente Es genial y calienta súper rápido !!!</t>
  </si>
  <si>
    <t>Muy comodos Bonito diseño, muy buen material y super cómodos.</t>
  </si>
  <si>
    <t>Genial Práctica, ligera y fácil de usar. Si la recomiendo.</t>
  </si>
  <si>
    <t>Elegante Es perfecta para el día a día por la ciudad, ligera, cómoda, funcional y elegante. Es de muy buen material y lleva tres opciones de enganche en la parte trasera, para llevarla como quieras</t>
  </si>
  <si>
    <t>¡No os arrepentiréis! 😊 Me animé a comprar este hervidor por la cantidad de buenas opiniones que tenía este y la marca en general.  Lo he estado usando unas semanas antes de escribir mi opinión y puedo deciros que es increíble 👌🏼. Muy fácil de utilizar, aun así viene con las instrucciones en las qué te explica muy bien su funcionamiento y los cuidados.  Sin duda os la recomiendo 100%, no os arrepentiréis.</t>
  </si>
  <si>
    <t>Eselente Muy bonitas</t>
  </si>
  <si>
    <t>Pendientes Muy bonitos</t>
  </si>
  <si>
    <t>Muy buena calidad Compré estos conectores XLR porque tengo una grabadora externa Zoom H4n, que posee dos entradas del mismo tipo. A veces grabamos cortos y lo conecto a un Rode NTG-2.  Un cable muy bien construido y se nota de calidad. Son tres metros de cable que viene muy bien si se usa con una pértiga.</t>
  </si>
  <si>
    <t>Muy practica Muy buen acabado y muy práctica. Tiene el tamaño ideal para una tablet de 9,7" y tiene suficientes compartimentos.</t>
  </si>
  <si>
    <t>Hace ruido Lo he usado 2 meses de muy poco uso y ha empezado hacer ruido. Tendría que ponerme en contacto con la garantía ?</t>
  </si>
  <si>
    <t>Buenos paños No esperes que sean de buena calidad. Pero cumplen su funcion.  Buenos paños. Tal vez si se lavan se hacen mas suaves... no lo se</t>
  </si>
  <si>
    <t>Derrama el liquido Lo usé por segunda vez y aunque estaba bien ajuatado al comenzar a licuar el líquido se derramó y entró en la base y salía el líquido por debajo. Ahora tengo que ver si funciona cuando lo vuelva a usar. Cuide que no sobrepasará la línea del máximo</t>
  </si>
  <si>
    <t>CRISTINA Buenas tardes, según la descripción de este producto tenía que pedir 35-36 brasileño que corresponde a un 38 español  y me han quedado pequeñas. Se puede hacer algo al respecto???. Gracias</t>
  </si>
  <si>
    <t>no lo dicen pero no es compatible con la oled de firm base no lo dicen pero no es compatible con la oled de firm base. no la he llegado ni a abrir. devuelto</t>
  </si>
  <si>
    <t>Mala, muy mala. Al elegir una nueva tetera he buscado una cuya marca fuese conocida. Elegí este modelo y ha sido una desilusión. Su forma no permite que el agua salga bien, y la pinza de presión en la punta se ha soltado a los pocos meses.</t>
  </si>
  <si>
    <t>Dan mucha talla Son las Converse originales sin ninguna duda peor si es para una chica o mujer con piel delgado cuidado porque tallan muy alto, son  muy anchas</t>
  </si>
  <si>
    <t>Útil para ropa y material escolar Útil como recambio de un marcador de ropa. Así no hay que comprar el marcador entero de nuevo</t>
  </si>
  <si>
    <t>funciona genial y es muy rapido mira tu que este disco duro es justo para tener el windows y que arranque en menos de 30 segundos. Lo tengo puesto en este ordenador de hace 15 años (todabia trae para discos duros ide aunque tambien s-ata) y ahora da gusto encenderlo. Y lo mejor por un precio ridiculo. Eso si no espereis ni insturciones manual o nada de eso. Viene el disco duro en una caja de carton y ya.</t>
  </si>
  <si>
    <t>Zapato cómodo y con diseño bonito. Es un zapato confortable indicado para caminar. Tiene una horma ancha y una suela muy mullida.  El color elegido es precioso y el diseño muy práctico y bonito. La única puntualización es que es recomendable perdir medio número más del que se utilizado habitualmente, ya que dan poca talla.</t>
  </si>
  <si>
    <t>Carmenchu. Están muy bien, ni finos ni gruesos, me hubiera gustado que fuesen todos del mismo color, aún así los compraré más.</t>
  </si>
  <si>
    <t>Bonito y colorido Muy bonito y envío rápido</t>
  </si>
  <si>
    <t>no son las primeras que tengo buen precio y magnifica presentación del producto con la grasa esponja y cordones de repuesto ,llego en el tiempo estimado,las recomiendo</t>
  </si>
  <si>
    <t>Cómodas para diario Originales y muy comodas</t>
  </si>
  <si>
    <t>Satisfecho Estupendo. Muy satisfecho. Lo uso para ver los detalles de mi colección de monedas. Lo recomiendo tanto para principiantes como para profesionales.</t>
  </si>
  <si>
    <t>comodidad y rapidez mucho</t>
  </si>
  <si>
    <t>El modelo era el que andaba buscando Igual que en la foto</t>
  </si>
  <si>
    <t>Rápida y cómoda Llegó súper pronto y funciona genial!</t>
  </si>
  <si>
    <t>buen reloj yo los compre para un amigo y despues de varios meses le siguen funcionando y por lo que valen que mas puedes pedir</t>
  </si>
  <si>
    <t>Perfecto para PS4. Perfecto para remplazar el de una play station 4. De momento funciona perfectamente en una PS4 en un portátil no lo probé. Recomendable para PS4... Lo reacondicionado y pasaba por nuevo.</t>
  </si>
  <si>
    <t>BONITO DISEÑO Bonito su diseño, su toque de distinción, fácil de ajustar y buen servicio interior, una muy buena elección salvo que no me entra mi tablet</t>
  </si>
  <si>
    <t>Muy buen desengrasante. Un producto excelente. Yo lo uso para limpiar una plancha profesional, y elimina la grasa de una manera extraordinaria. Estoy muy contento con la compra.</t>
  </si>
  <si>
    <t>Calidad y estilo Compré este reloj para regalárselo a mi novio por Reyes.(aunque pienso ponérmelo yo también.) La verdad es que le encantó el estilo retro y la de opciones que tiene. Para mí Casio es una marca de confianza y durabilidad, no es el primero que tenemos. Es un reloj que aguanta el trote del día a día con un diseño muy bonito. Un acierto total !!</t>
  </si>
  <si>
    <t>Pequeño y potente Me encanta. Antes tenía uno más grande y tampoco era necesario. Este es pequeño y mono, queda muy bonito en la cocina, y calienta el agua muy rápido.</t>
  </si>
  <si>
    <t>Perfectas La calidad es buena.  Corresponde con la descripción.  Son las originales a un precio un poquito menor que en tiendas</t>
  </si>
  <si>
    <t>exfoliante fantástico Me ha encantado! deja la piel muy suave</t>
  </si>
  <si>
    <t>Collar plata Un collar muy bonito, fino y elegante</t>
  </si>
  <si>
    <t>buena calidad calidad buena por el cristal del biberón, y la tetina de silicona, en vez de caucho con una buena anatomía. sin plásticos tóxicos BPA-TPU....</t>
  </si>
  <si>
    <t>Auriculares impresionantes Un producto de una calidad muy buena que se percibe nada más desempaquetar el mismo. Respecto al audio, muy sorprendido gratamente dado que se escuchan muy bien los graves.  Me ha merecido la pana la compra</t>
  </si>
  <si>
    <t>No queda bien Muy pequeño...en la foto no se brian tan pequeños</t>
  </si>
  <si>
    <t>Está bien Está bien, aunque esperaba que fuese un poco más compacta. Es muy finita por lo que se dobla muy fácilmente.</t>
  </si>
  <si>
    <t>Anax Llevo una semana tomándome las pastillas porque se me caía mucho pelo, no sé si por el comienzo del otoño y la verdad es que  parece que está siendo efectivo. Se toman dos cápsulas diarias yo me tomo una por la mañana y otra a mediodía.</t>
  </si>
  <si>
    <t>Decepción Mas de la mitad son inservibles. Te los expulsa del grabador con mensaje  de introducir cd en blanco</t>
  </si>
  <si>
    <t>Calidad aceptable si no te metes en agua!! La calidad es bastante buena, pero el impermeable del agua es muy malo ya que se mete agua dentro. No estoy conforme con eso ya que deberían ser estancas al agua. Después con el frío también se cuela rápidamente y vas con los pier congelados.</t>
  </si>
  <si>
    <t>exactamente lo que esperaba Es exactamente lo que esperaba encontrarme cuando recibí el reloj. Me gusta el contraste de la esfera negra y los números amarillos. quizás sea un pelín grande pero ya sabia las medidas. Por este precio está bastante bien.</t>
  </si>
  <si>
    <t>Un acierto Es genial pequeñito y fácil de manejar</t>
  </si>
  <si>
    <t>Pinza cable Se rompió la pinza para el cable la primera vez que la coloque</t>
  </si>
  <si>
    <t>Tal cual los describen. Están bien, son tal cual lo describen. Ni asomo de alergia. Tuve un problemilla de que no me llegaban y escribí al vendedor. La primera vez me dijo que esperara más(ya habían pasado más de dos semanas). La segunda vez, casi dos semanas después, me dijo que los mandaba de nuevo y así fue. Mes y pico tras la compra me llegaron.</t>
  </si>
  <si>
    <t>Divertido y fácil Regalo divertido y fácil de montar</t>
  </si>
  <si>
    <t>Buen producto Precio y calidad 10</t>
  </si>
  <si>
    <t>Muy bien. Acababa siempre con dolor a las muñecas y por fin lo he solucionado. Tacto suave y justo acolchonado. Los que estan muchas horas con teclado y raton lo agradeceran. Muy contento.</t>
  </si>
  <si>
    <t>Es buena (un mes de uso) Investigue varias aspiradoras de este estilo y termine comprando esta. En mi opinión cumple con lo que necesitaba. Aspira: Pelos de perros, piedras pequeñas, hojas de maleza, polvo y migajas de pan. En cuanto a la bateria, me dura para limpiar todo el piso (apartamento de pequeño tamaño). Recomiendo que lean las instrucciones antes de usarla y la pongan a cargar las horas recomendadas. Llevo un mes de uso, por los momentos tiene 5 estrellas.</t>
  </si>
  <si>
    <t>Preciosas Tal y como esperaba, quedan genial y llegaron  antes de tiempo</t>
  </si>
  <si>
    <t>Calidad Muy recomendable. Buena calidad y acabados. Resulta muy amplia.</t>
  </si>
  <si>
    <t>Zapatillas muy calidas Zapatillas de andar por casa calentisimas tienen pelillo por dentro que da mucho calor son muy cómodas porque la goma de la suela amortigua mucho tienen una parte de tela que se puede doblar y bajar por dejamos del tobillo no subirlo por encima para que abrigue más . Muy contento con ellas.</t>
  </si>
  <si>
    <t>es el que mas le gusta a mi bebe he probado otros biberones y este es el único que le gusta a mi bebe que mantiene lactancia materna pero por el trabajo en ocasiones tiene que tomarlo.</t>
  </si>
  <si>
    <t>Comodísimas Encantada con la compra, son comodísimas. Únicamente tengo que decir que tallan un poco grandes, pero he comprado unas plantillas y lo he solucionado.</t>
  </si>
  <si>
    <t>Perfectas Estas no las cogí en principio porque los gastos de envío eran muy caros. Devolví otras puma que me quedaban mal y las cambié con estas y la diferencia es muy notable. Cómodas, estéticas, ligeras, resistentes, talla correcta (os recomiendo que cojais la que usais normalmente). El único problema (que realmente no lo es) es que el empeine es un poco estrecho.</t>
  </si>
  <si>
    <t>Comoda Era para un regalo y ha sido un acierto. Lo único tener en cuenta que no es para una persona con la muñeca fina porque la pulsera es amplia.</t>
  </si>
  <si>
    <t>FUNCIONA PERFECTAMENTE COMO EL ORIGINAL. MUY RCOMENDABLE. FUNCIONA PERFECTAMENTE COMO EL ORIGINAL. MUY RECOMENDABLE Y BUEN PRECIO.VARIOS COLORES PARA PODER DISTINGUIR LA ROTULACION.UTIL Y ENVIO RAPIDO SIN PROBLEMAS.</t>
  </si>
  <si>
    <t>Buenos y elegantes cascos Lo que mas me han gustado de estos es que no tenga el típico aspecto gaming que tienen todos estaba buscando justo algo así y con estos cascos lo he encontrado. En cuanto a la calidad es sonido es muy buena también esta ayudada por las almuadillas que aíslan muy muy bien y eso ayuda a que parezca que tiene una calidad e sonido superior. El micro es decente no es el mejor que he probado pero esta bien nada de lo que quejares considero que tiene una buen relación entre la calidad y el precio.</t>
  </si>
  <si>
    <t>Silencioso y rápido El disco ha sido bastante fácil y sencillo de instalar, una vez instalado, le damos una partición para que lo reconozca Windows, y ya lo tenemos funcionando. Le he pasado un crystal disk mark y los resultados han sido bastante buenos, da el doble de velocidad tanto en escritura como lectura, comparando con mi antiguo disco duro (un WD de 500GB). Recomendable. El embalaje en el que viene es bastante simple, pensaba que podría haberse dañado en el envío, pero ha venido bien.</t>
  </si>
  <si>
    <t>Según lo esperaba. Bastante finos. Calidad de textil fino. De talle alto. Muy buena goma en cintura y perforaciones en los laterales. Tejido tipo mesh. Quedan un poco por encima de la rodilla.</t>
  </si>
  <si>
    <t>Calidad &lt;div id="video-block-R244DPNVGKE488" class="a-section a-spacing-small a-spacing-top-mini video-block"&gt;&lt;/div&gt;&lt;input type="hidden" name="" value="https://images-eu.ssl-images-amazon.com/images/I/9127kps0zpS.mp4" class="video-url"&gt;&lt;input type="hidden" name="" value="https://images-eu.ssl-images-amazon.com/images/I/91sYp6WUxbS.png" class="video-slate-img-url"&gt;&amp;nbsp;Esta muy bien. Para recién nacido lo veo genial! Muchas gracis!</t>
  </si>
  <si>
    <t>Calentitas Cómodas y calentitas</t>
  </si>
  <si>
    <t>Mala calidad y no se escuchan por un lado Calidad muy mala, sobre todo de los materiales y encima por un lado no se escuchan</t>
  </si>
  <si>
    <t>Rozan un poco Están bien, y son tal cual se ven, pero acaban rozando en la parte superior exterior de ambos pies. Sin andar mucho ya rozan</t>
  </si>
  <si>
    <t>... Está tirado de precio y para correr es cómodo. Eso si, a mi al tercer uso ya empezó con problemas, el sonido se interrumpe continuamente y el volumen no tiene mucho alcance...</t>
  </si>
  <si>
    <t>No lo compraría Una de las zapatillas me vino rota y con semillas por fuera. Aunque no hubiese venido roto, no me pareció de muy buena calidad. Lo he devuelto. Precio muy alto para lo que es.</t>
  </si>
  <si>
    <t>devoluciones precaucion no admiten devoluciones, no lo aconsejo y ya que no las hemos tenido que quedar se despega la suela,  un asco</t>
  </si>
  <si>
    <t>Estuche ideal Grande, cómodo y ligero. Aunque el color es verdoso, no negro y cuando lo recibí me decepcioné.</t>
  </si>
  <si>
    <t>Bonito y de calidad, un poco caro cumple perfectamente con lo pedido. Calidad correcta, precio un poco por encima de la realidad.pero cumple con lo ofrecido. en definitiva, el producto esta bien y el precio lo asuminos.Lo compensa con el servicio de entrega perfecto, no como otras web.</t>
  </si>
  <si>
    <t>Horma grande Recomiendo coger una o media talla menos de la que se usa normalmente porque, de lo contrario, quedan bastante grandes.</t>
  </si>
  <si>
    <t>Buena relación calidad-precio. Deficiente embalaje. La pizarra cumple bien con su función: no es muy pesada, es fácil de instalar con los 4 tacos y 4 tornillos que vienen, se pinta y se borra bien en ella y es magnética.  La estrella que le bajo es por el embalaje. La primera unidad que pedí me llegó partida, ya que un cartón es lo único que "protege" un producto tan complicado de manipular por sus dimensiones.</t>
  </si>
  <si>
    <t>cómodos y a buen precio satisfecho con la compra, ha llegado en buen estado, se sienten cómodas y ligeras</t>
  </si>
  <si>
    <t>Fantastico! Fantastico!</t>
  </si>
  <si>
    <t>Es muy fácil de limpiar y muy potente Para hacer pures</t>
  </si>
  <si>
    <t>Bluetooth auriculares &lt;div id="video-block-R2AQXLHINS99X3"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id="23" preload="auto" src="https://images-eu.ssl-images-amazon.com/images/I/81maB3wsGkS.mp4" style="position: absolute; left: 0px; top: 0px; overflow: hidden; height: 1px; width: 1px;"&gt;&lt;/video&gt;&lt;/div&gt;&lt;div id="airy-slate-preload" style="background-color: rgb(0, 0, 0); background-image: url(&amp;quot;https://images-eu.ssl-images-amazon.com/images/I/A1dV8An+7tS.png&amp;quot;);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value="https://images-eu.ssl-images-amazon.com/images/I/81maB3wsGkS.mp4" class="video-url"&gt;&lt;input type="hidden" name="" value="https://images-eu.ssl-images-amazon.com/images/I/A1dV8An+7tS.png" class="video-slate-img-url"&gt;&amp;nbsp;Bluetooth auricales, sonido muy bueno, cuando me lo pongo no se escucha ningún ruido del exterior, y encaja perfectamente en los oídos, gracias</t>
  </si>
  <si>
    <t>Excelente He comprado esta alfombrilla para probar ya que siempre he tenido de las otras, las normales de toda la vida. Asi de entrada veo que se nota claramente una mayor comodidad de uso. La calidad de la alfombrilla pues aparentemente es buena, ya veremos lo que dura con el paso del tiempo. De momento el resumen es que considero que es una alfombrilla bastante recomendable y mejor opción que cualquiera de las otras normales que no traen la superficie que mantiene la mano mas elevada. Compra altamente satisfactoria.</t>
  </si>
  <si>
    <t>Buenas zapatillas Me gustan, bien esteticamente, bien en terminos de comodidad. La forma alrededor del talon es algo inusual, quedan muy bajas. Imagino que lo hicieron asì para poder quitarselas y ponerselas facilmente sin desatar los cordones. Es algo a lo que hay que acostumbrarse, porque el borde asì bajito es algo no muy habitual, pero de ninguna manera eso afecta la eficiencia: no se escapan del talon ni nada de eso.  Son bastante amortiguadas, sobre todo a nivel de talon - en la punta al contrario la suela es muy fina. Pero en general me parecen muy suaves. Muy transpirables, de hecho en invierno entra aire frio. En resumen: a mì me gustan, me parecen muy comodas y bonitas, pero reconozco que hay alguna caracteristicas que pueden gustar o menos en funcion de la persona.</t>
  </si>
  <si>
    <t>Todo, es perfecto Perfecto</t>
  </si>
  <si>
    <t>Increible La entrega no pudo ser mejor, rapidísima. Y en cuanto a la opinión del producto, después de probarlo ni me planteo el gastarme más dinero en otro producto, funciona de forma espectacular, incluso en voz baja y con ruido de fondo. Además viene con una bolsa de un muy buen material para reservarlo del polvo y guardarlo después de su uso. La pinza de clip es buena, no endeble, y el cable con la suficiente longitud para moverse a lo largo del escritorio.</t>
  </si>
  <si>
    <t>Efectivos, cómodos y baratos. PERFECTOS! De lo mejor al mejor precio! Tengo 3 gatos y sin esto es imposible quitar todos los pelos. He comprado de todo y éstos rollos son los mejores sin duda y muy cómodos de despegar los papeles usados por su sistema en zig zag. Además son los más económicos de todos. Por eso los seguiré comprando. PERFECTOS!</t>
  </si>
  <si>
    <t>Buena, relación calidad/ precio Lo uso para el móvil</t>
  </si>
  <si>
    <t>Buen regalo Llego en perfecto estado, quizás la esquina de la caja un poco dañada pero lo que es el colgante en muy buenas condiciones.  Pd: el colgante es de plata, tiene su firma detrás de este.</t>
  </si>
  <si>
    <t>Memoria flash de 32 gb La memoria funciona perfectamente, y a la velocidad correcta. No tengo queja alguna. Por ponerle algún defecto... que no tiene LED de lectura-escritura (y si lo tiene, no funciona...), así que no sabemos cuándo se están transmitiendo datos, o no, para retirarla con seguridad. También tiene otro defecto, o ventaja, según se mire... y es SU TAMAÑO tan pequeño, que si no le ponemos algo como un cordón o algo así... la podemos perder con facilidad. Yo la llevo en el monedero, porque en el bolsillo... la pierdo seguro. Y la he puesto un trozo de cordón de zapatilla naranja fosforito, para verla con facilidad. He cargado un sistema operativo completo, con autoarranque, y varios programas auxiliares y de configuración, y me ha ido muy bien. ¿Recomendaría su compra? SÍ, seguro. (aunque las podrían hacer de colores, porque si tienes varias, no distingues unas de otras).</t>
  </si>
  <si>
    <t>La velocidad se nota un montón Es muy fácil de instalar, lo más complicado es pasar todo el sistema operativo a este nuevo disco. Por lo demás, muy bueno.</t>
  </si>
  <si>
    <t>Calzado muy agradable. Es un calzado excelente. Muy cómodo y totalmente recomendable. Es un verdadero placer andar con él. Voy a tener esta marca en mente para el futuro.</t>
  </si>
  <si>
    <t>Merece la pena por el precio Chándal para entre tiempo. Coger una talla menos! Lo recomiendo</t>
  </si>
  <si>
    <t>De todos los que he probado, el mejor. De todos los que he probado, sin duda me quedo con este (y he probado muchos de los que vende Amazon). La cantidad de vapor es muy buena (y regulable) y el depósito es bastante bueno también. Para rellenarlo basta con quitar el adorno y sacar la tapa. Yo lo he usado con aceites esenciales, pero también lo puedes usar con aceites para quemadores (de venta en chinos) o un poquito de colonia. Va fenonenal. El ruido que hace el aparato es correcto. Lo recomiendo  Edito: A fecha 2 de diciembre el aparato ha dejado de funcionar sin motivo aparente.</t>
  </si>
  <si>
    <t>Aceites esenciales Huelen bastante bien excepto el de bergamota que no le intuyo mucho el olor en el difusor del</t>
  </si>
  <si>
    <t>Geniales Excelente calidad pero siempre hay que pedir un numero mas. Por ejemplo, para un 42 hay que pedir un 42-43. De otro modo quedan pequeñas. Son comodísimas y el pie lo agradece.</t>
  </si>
  <si>
    <t>Una pequeña joya. Este Seiko automático que permite también carga o remonte manual, con un calibre propio manufactura Seiko 4R39 sencillo pero efectivo, es, bajo mi punto de vista, una exquisitez de diseño a la par que robusto. Con un  diámetro de esfera de 40,5 mm, tiene además un buen grosor de caja y una gran corona que llaman la atención por contundentes, pero sin llegar a las extravagancias que se llevan ahora... Los detalles de la esfera como el círculo central texturizado, el color y volumen especial de las agujas, junto con el mecanismo visto, tanto en el frontal como en la tapa trasera, hacen que en conjunto no pase desapercibido esta pequeña joya, elegante y clásico a la par que deportivo y actual, tal y como indica su nombre: SSA231K1 Neo Classic. Sólo le pongo dos faltas: la principal que el cristal es mineral y no de zafiro que se raya mucho menos y está más acorde a la categoría del reloj y la otra, menos importante para mí pero que alguno lo puede echar en falta, es que no tiene ningún punto luminiscente en la esfera, ni siquiera las agujas.</t>
  </si>
  <si>
    <t>Que puede llegar a soportar un objeto de hasta 5KG. Muy buena cinta adhesiva 5M, la recomiendo al 100%.</t>
  </si>
  <si>
    <t>Me funcionó por poco tiempo. El aparato en sí se ve robusto, tiene buena apariencia. Pero lo he usado una vez, casi para un litro de jugo de naranja. Y empezó a oler a quemado y luego ya no funciona!</t>
  </si>
  <si>
    <t>No muy buena La gomilla interior ha empezado a romperse al poco de usarla. Ni la he mojado, ni le ha dado el sol.... En fin.</t>
  </si>
  <si>
    <t>Polar En cuanto a su cualidad de polar es un poco exagerada. Es simplemente agradable al cuerpo pero no llega a cálido.  No obstante no está mal.</t>
  </si>
  <si>
    <t>Lo queria oara hacer Slimes Leí en un comentario q se servía para slimes a mi no me ha funcionado :(Ademas es muy muy muy muy muy pequeño , no lo parece en la foto</t>
  </si>
  <si>
    <t>No es lo que esperaba. No me a gustado nada de nada, bien envasado y presentado, pero el producto muy malo, no da el olor que publicita.</t>
  </si>
  <si>
    <t>Bien Talla correcta ,muy comodo de llevar colores bonitos y muchos para elejir,lo recomiendo,todo bien,nose si encoje la tela igual un poco.por los comentarios</t>
  </si>
  <si>
    <t>Excelente calidad precio. La he usado un par de veces pero estoy contento, es cómoda de usar y hace poco ruido en comparación con otras más caras. Tiene una gran potencia de supcion, y ahí es donde pongo el único "pero",  es tan potente que el cabezal  escoba se adhiere mucho al suelo y en ocasiones se despega del tubo, no es que sea un gran inconveniente pero debería acoplarse de una forma más fija. Por lo demás estoy muy contento con la compra.</t>
  </si>
  <si>
    <t>Funciona bien. Lo utilizo muy a menudo, le cuesta un poco picar en pan.</t>
  </si>
  <si>
    <t>Buena compra Es como si no llevases nada, pero al mismo tiempo te sientes protegido. Son muy cómodas.</t>
  </si>
  <si>
    <t>era lo que queria tipico casio negro con los numeros en amarillo, era lo que queria y todo perfecto. transporte y envio de mercancia perfecto.</t>
  </si>
  <si>
    <t>Mejor de lo que esperaba Para el precio que tiene, me esperaba un sonido peor, pero sobretodo, la duración de la batería, es mucho mayor de lo que había pensado, no creo que sea carga rápida pero se carga bastante rápido. En cuanto a comodidad son muy blanditos lo que facilita el llevar gafas, aísla bien los sonidos y es fácil de manejar.</t>
  </si>
  <si>
    <t>Buen precio Llegó rápido y los colores son exactamente los mismos</t>
  </si>
  <si>
    <t>Comodidad Muy buenos y cómodos. Los uso a menudo y están como nuevos</t>
  </si>
  <si>
    <t>Calidad/precio excelente Buen producto que cumple con las expectativas en cuanto a calidad/precio se refiere. Recomendado para un uso comun de casa</t>
  </si>
  <si>
    <t>Verano perfecto! Ser son preciosas y muy cómodas. Me animé a comprarlas porque me quedé con ganas el verano pasado. No había valorado el producto hasta ahora porque a mí también me pasó que me hacía daño entre los dedos, tiraba aún quedándome ligeramente grandes. Esta semana las he usado todos los días y me ha pasado como a otras personas, el material cede un poco y deja de molestar y se adapta a tu pie. La suela es muy finita pero eso se ve en la imagen. Yo estoy encantada. Me parecen muy ponibles para el día a día, claro, según estilos. A mí me encajan.</t>
  </si>
  <si>
    <t>Buena calidad Muy finos pero muy cómodos, talla correcta y con bolsillos muy importante para mí.</t>
  </si>
  <si>
    <t>fundas Estas fundas están muy bien. Me gustan mucho. Y su precio es muy competitivo. lo recomiendo s todos que lo compren.</t>
  </si>
  <si>
    <t>La versatilidad del producto y sus multiples utilidades Esta muy bien diseñado y resulta muy util</t>
  </si>
  <si>
    <t>Es muy bonita La compré para regalo y ha gustado mucho. Es muy bonita, se ve preciosa con luz, se aprecia muy bien la calidad del mineral. Todo un acierto muy económico. Solicita que te la entreguen en mano para que no se pierda.</t>
  </si>
  <si>
    <t>Muy cómodos Lo bueno es que son muy cómodos para estar parada muchas horas, trabajo en pastelería. No lo recomendaría para los que tienen que caminar, termina doliendo el arco del pie porque no es cerrado y es plano, pero para estar parada si sirve. Les abrí los agujeros en el dibujo que tiene abajo y así pasa el aire y no transpira tanto el pie. Así que en general, fue muy positiva para mí la compra. La entrega tardó bastante, pero supongo que pudo haber sido una excepción.</t>
  </si>
  <si>
    <t>Calidad de sonido buena y diseño muy conseguido Devolví los auriculares porque tenían un sonido lamentable en bajos y agudos. Me escribieron varios emails para aclarar el tema y me han mandado unos nuevos. Los que me acaban de llegar suenan muy bien, graves potentes y agudos definidos, nada que ver con los que devolví, por lo que entiendo que los anteriores eran una unidad defectuosa.</t>
  </si>
  <si>
    <t>S Me encanta</t>
  </si>
  <si>
    <t>Muy bueno, mejor de lo esperado Limpia muy bien y sin esfuerzo, probado en monitores y tv con diversos tipos de pantalla.</t>
  </si>
  <si>
    <t>Banba Me gustaro mucho</t>
  </si>
  <si>
    <t>Justo lo que buscaba Estaba buscando un disco duro y, entre todos los que había, este tenia una buena oferta para los 4Tb, por lo que decidí comprarlo. Tras varios meses usándolo, sigue funcionando correctamente. Muy contento con la compra.</t>
  </si>
  <si>
    <t>Funciona El primero que quita los pelos de mi gato de verdad .</t>
  </si>
  <si>
    <t>Buena compra Todo según los plazos de entrega previstos y las bambas son super cómodas... me habían hablado de esta marca, pero todavía no había tenido el placer de probarlas... Muy muy recomendables</t>
  </si>
  <si>
    <t>Bonita y elegante Bonita y buena calidad, queda perfectamente, la compre para llevar el día a día  , colores vivos y bonitos, me encanta  La tela no se transparenta, es igual que en la foto , sin duda una buena compra.</t>
  </si>
  <si>
    <t>Que me llegaron perfectos Son para una fiesta de baile latino, son muy cómodos y muy bonitos tal cual en la foto</t>
  </si>
  <si>
    <t>no me gusto compre cable a menos precio por mucha mas calidad en una tienda de música,el cable parese un cable de corriente no es gomoso como el que solía comprar y mucho mas lijero</t>
  </si>
  <si>
    <t>El reloj va bien En la foto parece que se ilumina mucho pero, al menos el mío, casi no se distingue los números.</t>
  </si>
  <si>
    <t>Sonido fatal por menos de 3€ Era difícil conseguir  altavoces peores que los de RENFE.... Reto conseguido. Es una pena porque el bluetooth funciona bien , hay una led azul que parpadea como un faro...Lo recomendó  para oír voces  (podcast, debate, etc.) y no para música.</t>
  </si>
  <si>
    <t>Artículo malo No suenan</t>
  </si>
  <si>
    <t>Manchas por el metal Hola,  Compré las zapatillas hace unos meses y la verdad que las he dado poco uso, ya que normalmente utilizo zapatos. Tras usarlas "a ratos" este verano y sin mojarlas en ningún momento, los agujeros de metal han empezado a manchar toda la zapatilla de negro. Me parece fatal que una marca como esta "manche su imagen" por utilizar materiales de baja calidad.</t>
  </si>
  <si>
    <t>Rápido y discreto Me gusta el aparatito, es discreto, rápido y cumple muy bien con su función. el único pero es que el cable es un poco corto y para mi gusto, la tapa abre poco para rellenarlo. Pero, de verdad, merece la pena.</t>
  </si>
  <si>
    <t>Bien pero... Un poco charros pero para lo q valen no podemos esperar peras del olmo... Lo usaré alguna vez</t>
  </si>
  <si>
    <t>Cómodo Lo compré para el coche y la verdad es que es bastante cómodo, ya que no sobresale del salpicadero y no se corre el riesgo de que se rompa de un golpe y se quede parte dentro. Yo la tengo hasta arriba de música y tiene aún mogollón de espacio libre. Viene con una tapa para proteger el cabezal de la suciedad, por si tienes que transportarlo en un bolsillo o bolso.</t>
  </si>
  <si>
    <t>Precioso. Como en la la foto Es ligerísimo, bonito y brillante aunque dude por el precio que tiene que sea plata a pesar de tener el sello 925 en el enganche, quizás sea lo único que si sea plata. Lo recomiendo</t>
  </si>
  <si>
    <t>No son prácticas Es lo que esperaba. Lo que no me ha gustado es que al llevar huecos en la suela se clavan todas las piedras pequeñas que pises y tienes que pararte a sacarlos para no tener apoyo irregular</t>
  </si>
  <si>
    <t>lo que buscaba Era exactamente lo que estaba buscando. Es un bote pequeño, 50ml, pero cunde bastante, y funciona para muchas cosas. Desde luego una gran compra. Me llegó en buenas condiciones y rapido para no pagar gastos de envío.</t>
  </si>
  <si>
    <t>Precio/Calidad Viene muy bien con todas las esquinas en perfecto estado , el hecho de que sea autoadhesivo facilita mucho su colocación y además queda pegado consistente incluso en zonas de calor. Lo recomiendo 100/100</t>
  </si>
  <si>
    <t>Sienta muy bien. Muy buena prenda.</t>
  </si>
  <si>
    <t>Cascos Por una parte no se adhieren bien al oído (lo malo) y por otra se escuchan bien no genial por que los hay mejores pero se escucha bien al ser unos cascos sencillos (lo Bueno)</t>
  </si>
  <si>
    <t>Muy buenas sensaciones Me acaban de llegar las he probado y el primer contacto ha sido muy bueno. Cómodas con una pisada excel.lente. El diseño y los colores (en mi caso verde y amarillo) fantásticos. Son mis segundas Salomón, muy contento con la marca.</t>
  </si>
  <si>
    <t>Cómodas a buen precio Las compré a muy buen precio. Son cómodas, perfectas para el verano y días sin lluvia. En mi caso el tallaje es el correcto.</t>
  </si>
  <si>
    <t>Perfecto Calidad/Precio muy buena, quizás los graves se distorsionen cuando subes el volumen pero teniendo en cuenta que yo los compré solo para usarlos cuando salgo a correr no me parece que se oigan mal.  Se ajustan bien a mi oído con las almohadillas pequeñas y no se me caen.</t>
  </si>
  <si>
    <t>Cierres plástico Yo los compré para suso de cierres de pulseras niñas y perfecto ...</t>
  </si>
  <si>
    <t>Estoy encantada súper cómodas zapatillas muy cómodas, para trabajar de pie son estupendas, estoy muy contenta con la compra, pedí mi número y me viene perfecta Las recomiendo</t>
  </si>
  <si>
    <t>Buena relación calidad-precio y divertido Buen micrófono, se oye muy bien y tiene conexiones usb, aux y tarjeta sd, para reproducir música. Ideal para los peques que le estan dando un buen uso y se lo pasan genial.  Es fácil de usar, trae un manual de instrucciones que te explica la función de cada botón.  Está muy bien el que no lleve pilas, te ahorras el tener que estar cambiandolas cada pocos días, en su lugar funciona con una batería recargable y dura bastante con el micrófono en pleno funcionamiento.</t>
  </si>
  <si>
    <t>Buen material ,buena compra Perfecto👍🏻</t>
  </si>
  <si>
    <t>Olor suave, relajante y duradero Llevo usándolo desde que me llegó el domingo, hace 3 días y en el humificador que tengo de 90ml de agua le eché como 6 gotas o más y se mantiene el olor, es un olor suave a limón, me recuerda mucho a las hojas de los limones, no es un olor fuerte que de los que se te meten en las fosas nasales y no te dejan respirar, esté más bien es todo lo contrario, te relaja incluso diría yo, totalmente recomendable si te agrada el olor a limón natural.</t>
  </si>
  <si>
    <t>Buen producto Es ajustable en altura y se pinta bien</t>
  </si>
  <si>
    <t>Gran calidad de sonido Estos cascos tienen un sonido genial: los bajos estan bien ajustados, y ademas son faciles de emparejar con el teléfono movil. También al ser bastante ligeros, no hay ningún problema con que se te caigan mientras haces ejercicio o cualquier actividad, ya que se adaptan perfectamente a la oreja.  La caja de batería tiene un diseño muy chulo, y además puedes usarla para cargar tu teléfono u otros dispositivos, lo cual la hace un compañero perfecto para viajar.</t>
  </si>
  <si>
    <t>Preciosos, elegantes, vistosos. Son preciosos,muy vistosos y muy elegantes. Sientan muy bien y son muy originales. Muy baratos. Espero que el resultado que den también sea bueno y duradero. Tamaño ideal. Muy satisfecha con la compra.</t>
  </si>
  <si>
    <t>Máxima velocidad He comprado esta tarjeta porque la uso con una cámara 360° y necesita mucha velocidad de escritura, otras marcas dan los mismos rates de escritura pero a la práctica son velocidades pico y no pueden sostenerlas. Esta tarjeta es de las más rápidas que hay y cumple con las velocidades.</t>
  </si>
  <si>
    <t>Aceite Essentials No me gusta como huele,para lo que cuesta me llevé una decepción</t>
  </si>
  <si>
    <t>Eva Muy buenas zapatillas, he comprado varios pares de otras modelos a lo largo de varios años y siempre muy bien, super cómodas y ligeras. En este modelo en concreto la horma es más estrecha y la boca más cerrada por lo que cuesta meter el pie, las he devuelto, una pena porque son muy bonitas.</t>
  </si>
  <si>
    <t>Bastante bueno el cable! Verdaderamente es un cable bastante normal. Destaca por su color. Debería de haber cogido un cable más largo, aunque me va perfecto, si me hubiera sobra algo no me hubiera importado.</t>
  </si>
  <si>
    <t>No sirve para picar hielo. Los materiales no son los mejores</t>
  </si>
  <si>
    <t>Pedi azul y parece un azul gris sucii yvencima un bolsilo sin coser No es komo en la foto ni mucho menos</t>
  </si>
  <si>
    <t>Falsas. Mala calidad Materiales más bien malos, son más pequeñas de lo q se supone q e su talla. No son Adidas y se nota en cuanto las tienes en la mano. Falsísimas</t>
  </si>
  <si>
    <t>Una buen producto Buena relación calidad - precio. Sin un producto estrella cumple su función perfectamente y estoy satisfecho con la compra. La base del micrófono es suficientemente ancha y la altura que permite el micrófono me ha permitido mejorar la calidad del audio. Recomendaria la compra para quién no quiera forzar su presupuesto....</t>
  </si>
  <si>
    <t>Perfecto para yoga Llegó antes de la fecha esperada.Es ideal para yoga.Parece pequeño pero es muy elástico y no sobra mucho el bajo.La tela es muy suave.Estoy contenta con la compra</t>
  </si>
  <si>
    <t>Bien No se retrasa, la pila dura mas de un año y no se nota malote al tacto ni a la vista.    Lo recomiendo.</t>
  </si>
  <si>
    <t>Disco para datos en DeskTop Principalmente la relación precio-calidad. Existen otros dispositivos de la misma capacidad y de más velocidad, pero aumenta el precio porque están orientados a video-juegos. En este caso, se utiliza para datos de carpetas personales que necesitan estar disponibles toda la sesión.</t>
  </si>
  <si>
    <t>Buen producto Esta cinta de embalar es de las que más me gusta, porque no hace ese horrendo ruido que hacen las  cintas habitualmente y la adherencia en principio esta bastante bien, aunque cuando pasa un poco de tiempo, como casi todas, tiende a despegarse. Normal.</t>
  </si>
  <si>
    <t>Batidora Solac BA 5602 (tipo varilla de 800W). Tenía otra de la misma marca y me ha durado muchos años. Por ello, volví a repetir con la misma marca y tipo. Se realizan los trabajos muy fácilmente, tiene potencia y se limpia bien.</t>
  </si>
  <si>
    <t>Me quedan genial Todo me ha gustado</t>
  </si>
  <si>
    <t>Genial compra Muy contenta con la compra, viene cada Biberón con la tetina para recién nacido, a parte vienen 2 retinas  para +6 meses, incluye cada Biberón una pequeña canula para limpiar por dentro el tubito.</t>
  </si>
  <si>
    <t>Realmente bonitos Le pongo la máxima puntuación porque me ha sorprendido. Me los esperaba pequeños y por ello no muy vistosos, pero a  pesar de ser pequeños (que lo son) el diseño es realmente bonito y cuidado. Permite cierta entrada de luz que hace que tenga un brillo muy adecuado a pesar de que las piedras son circonitas. Embalaje perfecto, se entrega en un estuche donde los pendientes vienen precintados. Sinceramente, me ha sorprendido para bien. Los recomiendo para cualquier tipo de detalle ocasional.</t>
  </si>
  <si>
    <t>Rapido Tengo un pc gaming, asique queria aprobechar al maximo sus posibilidades, y para ello he comprado este SSD. La verdad que el ordenador se enciende un poco mas rapido que antes, al tener windows instalado en el, pero poco mas. Teniendo tanta potencia en un ordenador, poca diferencia se nota. Estos SSD les servirá mas a ordenadores un poco mas viejos o menos potentes, y poder darles mas vida. Al instalarlo me he vuelto un poco loco, ya que al instalar este SSD, me dejaba de funcionar el HDD de 1tb, y despues de horas y horas toqueteando la Bios, y probar cables, conseguí solucionarlo. Y como no incluye tornillo, he tenido que buscar uno por toda la casa que sirviera.</t>
  </si>
  <si>
    <t>Buen sonido Estupendo micrófono de grabación. Me he quedado asombrado de cómo un micrófono de precio tan bajo puede dar tan buenas prestaciones. Sonido nítido y claro. Viene con todos los accesorios para instalarlo, soporte, cables, etc.  Tiene un cable para enchufarlo directamente al ordenador.</t>
  </si>
  <si>
    <t>Geniales Los mejores biberones del mercado, especialmente si se quiere llevar a cabo la lactancia materna mixta, combinando el pecho con biberones.</t>
  </si>
  <si>
    <t>Estupendas botas Aún es pronto para juzgar el producto, pero de entrada ha cumplido con mis expectativas, y lo considera una buena compra</t>
  </si>
  <si>
    <t>Disco duro perfecto para tener en el escritorio. Tengo un disco duro igual a este, solo que tiene un año más que este. Esta nueva versión trae una conexión USB más fuerte (la del lado del disco duro) que la anterior, puesto que la de la versión antigüa era endeble y no me inspiraba mucha confianza.  Los tiempos de lectura / escritura son más o menos decentes por el precio y en general creo que es una buena compra. Nota: estos discos duros no tienen interruptor de encendido / apagado, así que si no quieres tener todo el día el disco duro encendido, usa una regleta pequeña (el transformador es mediano, así que cuidado con poner 2 o 3 más cerca en una regleta de pocas tomas).  Algunos se preguntaran s la caja apaga el disco duro automáticamente y si, lo hace (porque se escuchan las cabezas aparcandose), pero aún así la caja sigue encendida y sigue gastando corriente, por lo que creo que el consejo de la regleta se hace efectivo.</t>
  </si>
  <si>
    <t>Super recomendado Sonido espectacular, incluso llevandolo dentro del bolsillo con una chaqueta encima. Medida de un UsB normal, facil de encontrar el archivo grabado.</t>
  </si>
  <si>
    <t>Perfecto clasificador Justo lo q buscaba para organizar. Es fuerte y resistente.</t>
  </si>
  <si>
    <t>Muy buena compra Estoy muy contenta con esta compra ya que la batidora cumple perfectamente su función. La he probado con fruta y he de decir que me ha encantado ya que no deja ningún tropezón de fruta en el batido, tiene dos botellas con sus dos tapas y son perfectas para llevarnos el batido donde queramos ya que cierran muy bien. Ocupa muy poco espacio y es muy fácil de limpiar.</t>
  </si>
  <si>
    <t>Reloj con hora mundial Reloj con armis metálico que tiene muy buen aspecto. La caja por el contrario es de resina pintada. Más ligera pero proclive al desgaste. Incluye pila de 10 años de duracion. Lo mejor es la hora mundial, de las que permite tener cinco de acceso rápido. Viene en estuche original Casio e incluye manual de instrucciones.</t>
  </si>
  <si>
    <t>Tremendos! Pues hace bien poco que me compré unos auriculares bluetooth de los redondos (sin el palito) y estaba contento con ellos la verdad. Compré estos como regalo de cumpleaños para mi hermana y cometí el "error" de probarlos (para verificar que funcionaban bien etc) cuando me llegaron. Los bichos estos suenan 3 veces mejor que los míos! Terminé comprándolos otra vez para mi. No era muy partidario de los auriculares de palito (tipo Airpod) y sigo prefiriendo la estética de los redondos, pero es que estos suenan de muerte. Los bajos son infinitamente mejores, se escuchan más nítidos y la duración de la batería es un poco mejor (los anteriores no iban nada mal en eso). Una cosa con la que ya no podría vivir es con la función táctil. Con los anteriores, al pulsar el botón para cambiar de canción te lo clavas en el oído... lo cual es algo molesto; con esto basta un simple toquecito para activar esta función. Una maravilla en calidad precio.</t>
  </si>
  <si>
    <t>Es perfecto Es perfecto</t>
  </si>
  <si>
    <t>Precioso y llamativo Fue un regalo para mi madre. Llegó en perfecto estado, en su estuche. La cadena es fina y mediana, hace que el colgante quede justo sobre el escote.</t>
  </si>
  <si>
    <t>Textura Fantàstico</t>
  </si>
  <si>
    <t>Todo rápido y bien Limpiar baby cook</t>
  </si>
  <si>
    <t>Bonito pero poco fiable Tras unos meses de uso la unidad se bloqueó contra escritura y no permite modificar el contenido. Tras probar todas las formas posibles no hay forma de poder usarlo, desde el principio daba algún problema de conexión al cual no le di importancia. Estéticamente muy bonito pero por el precio tienes otros productos más fiables.</t>
  </si>
  <si>
    <t>indicador de bateria esta bastante bien en general, funcionan todos los botones pero el indicador de bateria no funciona. es un detalle que le daria mas calidad al producto pero en general estoy satisfecho con el producto</t>
  </si>
  <si>
    <t>mal sudadera muy sencilla, talla muy grande, no volvere pedir de esta marca</t>
  </si>
  <si>
    <t>solo me duraron una carrera pongo una estrella por no poner menos 5 , malos calcetines , estrenados para una marathon de montaña y acabe con los dedos por fuera por romperse el calcetin , mala calidad , no recomiendo en absoluto.</t>
  </si>
  <si>
    <t>Buenos Muy buenos</t>
  </si>
  <si>
    <t>La estética del reloj es preciosa. El reloj es estéticamente muy de mi gusto, por lo que estoy contento con la compra. Por poner algún pero, tengo que confirmar el comentario de que la aguja de los minuteros presenta cierta dificultad de visión. Considero que no han acertado completamente con su diseño, que es demasiado estrecho, bastante más que la aguja de las horas. Pero sigue siendo un reloj válido. Yo no me arrepiento de su compra.</t>
  </si>
  <si>
    <t>Bonito collar. Un collar muy combinable, un poquito grande, pero es de calidad y a un precio buenísimo.</t>
  </si>
  <si>
    <t>Gran precio y velocidad de transferencia!!! Todo bien, precio muy recortado y por ese precio no hay ninguna opción mejor, aunque a la hora de usar máquinas virtuales los tiempos de carga son lentos y a veces fallan a pesar de sus grandes tasas de transferencia AÚN ASÍ RECOMENDABLE 100%</t>
  </si>
  <si>
    <t>Regular Hola bien pero a veces falla y pide formatearlo</t>
  </si>
  <si>
    <t>Buen reloj Buen reloj</t>
  </si>
  <si>
    <t>auriculares para niños UN buen producto para niños. Poco pesados y de pequeño tamaño. Calidad para un niño más que suficiente. Un precio bueno. Mis hijos de 6 u 9 años lo usan sin problemas para las lecciones de idiomas.</t>
  </si>
  <si>
    <t>Gran variedad a buen precio Son muy relajantes y ambientan la habitación. Los he comprado para probarlos a ver qué tal son con mi nuevo humidificador. Como aún hace calor lo usaré bastante así que he comprado este pack que vienen varios y así tener para unos días e ir alternando. La familia y los invitados se quedan relajados cuando lo enchufamos jeje</t>
  </si>
  <si>
    <t>Para espacios difíciles de limpiar Uso el cepillo para limpiar teclados de ordenador. Ha tardado en llegar pero el servicio postventa funciona muy bien. Al reclamarles inmediatamente me han dicho que me enviaban otro. Ha llegado hoy y acabo de escribirle para que anulen el nuevo envío.</t>
  </si>
  <si>
    <t>Bonito Lo tengo muy poco tiempo,  por ahora perfecto</t>
  </si>
  <si>
    <t>Perfecto Era lo esperado. Todo correcto.</t>
  </si>
  <si>
    <t>Buen producto La bandolera es tal cual se ve en la foto, es bonita y cómoda, estoy muy contenta con la compra. Gracias vendedor</t>
  </si>
  <si>
    <t>Suave tela y cómodo Estoy encantada, siempre es un riesgo comprar ropa por internet pero me pareció tan buen precio y el modelo tan mono que me lancé y la verdad es que es un total acierto, tanto en el tallaje (haciendo caso a la tabla) como en la tela que es tan cómoda y suave. Muy bien</t>
  </si>
  <si>
    <t>Muy util Muy util y hace mucha presión para aliviar las contracturas</t>
  </si>
  <si>
    <t>Muy comoda Comodisima. Ligera y muy suave al caminar.</t>
  </si>
  <si>
    <t>Auriculares compactos Me han encantado. El tamaño de la caja es el más pequeño que he visto. Puedes llevarlos en el bolsillo por muy pequeño que sea este. La comodidad de que sea táctil se nota sobre todo en que no tienes que presionar hacia dentro y el auricular no te aprieta la oreja. Tienes una cálidad de sonido y pesan tan poco que se te olvida que los tienes puestos.</t>
  </si>
  <si>
    <t>Comodisimas Me encantan, son cómodas, es como ir descalzo, y además son una monada. La entrega perfecta Muy contenta con la compra</t>
  </si>
  <si>
    <t>Preciosos A mi madre le han encantado. Son finos y elegantes y con el colgante a juego el conjunto es increíble para regalar.</t>
  </si>
  <si>
    <t>Gustó Era un regalo y le gustó mucho.</t>
  </si>
  <si>
    <t>Buen producto Después de semanas de uso, todo sigue en su sitio, en muy buen estado. EL único inconveniente es que al no ser rígido, dependiendo de la disposición de los objetos que metas, pueden no encajarte bien.</t>
  </si>
  <si>
    <t>Esta cómodo A mi suegra le ha gustado. Lo veo un poco caro.</t>
  </si>
  <si>
    <t>Cumple las expectativas Muy bonito. Para regalo</t>
  </si>
  <si>
    <t>Comodas Las zapatillas bonitas, muy cómodas y coinciden perfectamente con la talla, uso un 46. Llevo usando zapatillas Vans bastante tiempo y nunca defrauda.</t>
  </si>
  <si>
    <t>Muy bonitos Son preciosos. Se los he regalado a mi madre y le han encantado. Son de buena calidad y se sujetan bastante bien en las orejas. Se pueden combinar con cualquier cosa. Además vienen en un estuche de regalo.</t>
  </si>
  <si>
    <t>No se adaptan, aprietan Los devolví. Para mi gusto falta elasticidad y que se adapten. Se me clavaba la costura bajo la rodilla y me cortaba la circulación. Es una pena, pero yo buscaba calidad para una expedición en Siberia de 15 días, pues al ser de Lana Merino lo que se busca es q duren mucho y se pueda usar el mismo varios días. Terminé comprando unos de marca buena en tienda especializada, y no hay color... ahora me costaron unos 50€ claro.</t>
  </si>
  <si>
    <t>Correcto Como siempre, impecable el servicio de Amazon, aunque el envío venía de China, ha llegado con varios días de antelación. El producto en si correcto. Un borrador para la pizarra. Cumple su comedido. Lo único malo: Huele un poco mal, como a alquitrán. Supongo que con el tiempo se le irá el olor.</t>
  </si>
  <si>
    <t>Bien en relación a su precio No se puede pedir más por este precio. No distorsionan pero tampoco reproducen graves así que no hay mucho de dónde distorsionar... Si quieres unos auriculares baratos, te pueden valer pero no esperes una calidad por encima de su precio.</t>
  </si>
  <si>
    <t>Malas, muy malas Cutres... es decir poco. Como las que te regalan en un hotel. Calidad pésima</t>
  </si>
  <si>
    <t>Pésimo El producto es malísimo y la devolución pésima.</t>
  </si>
  <si>
    <t>Aromas para crear ambiente La carcasa difusora es de tamaño discreto y resulta muy silenciosa. En total viene con 4 cargas de difusores de 20 ml. de capacidad unitaria. Funciona con 3 pilas del tipo AA. Cuenta con un selector de intensidad, y la duración de la carga estará en consonancia con el modo elegido. Dado su tamaño, su efecto se nota más en espacios pequeños, ofreciendo  una sensación de frescor.</t>
  </si>
  <si>
    <t>Potente y práctica Busqué la misma marca que ya conocíamos, no nos ha defraudado en medio de tanto material muy frágil que es lo que abunda parece ofrecer alguna robustez</t>
  </si>
  <si>
    <t>Correcto Talla un pelín grande, a la próxima me cogeré un número menos.</t>
  </si>
  <si>
    <t>El estilo del producto Era para un regalo y la persona no ha podido usarlo,por lo que ha sido devuelto.</t>
  </si>
  <si>
    <t>Son cómodas Al principio me dolían  las plantas de los pies ! Sin embargo Con el pasar de los días me parecen cómodas</t>
  </si>
  <si>
    <t>Perfectos Perfectos. Igual que los originales.</t>
  </si>
  <si>
    <t>Recomendable 100% Al principio la sensacion era extraña, pero a medida que pasaba el tiempo y los dias iba sintiendo como mi espalda se relajaba y se aliviaban los dolores. 100% recomendable.</t>
  </si>
  <si>
    <t>Solución al frío Buen producto. Tal y como se describe. Lo ideal es usarlas para la cama o el sofá, y no para andar con ellas, ya que resultarían incómodas.</t>
  </si>
  <si>
    <t>formidable Todo correcto. envio rapido, articulo en prefecto estado y funcionando al 100% y buena calidad</t>
  </si>
  <si>
    <t>Lo esperado Necesitaba un estuche porta-todo y con este modelo no he fallado. Capacidad para tener recogidos 6 fluorescentes y 20 rotuladores. Y sobra capacidad.</t>
  </si>
  <si>
    <t>El mejor sujetador para deporte Utilizo esta marca desde hace tiempo y es sin duda el mejor sujetador para deporte. Fiable y duradero, resistente y cómodo.</t>
  </si>
  <si>
    <t>Útil Te desmaquilla perfecto. Agua caliente y pasar un poquito. Aclarar y de nuevo agua caliente y aclarar. Cuando terminas lavas la toallita, la pones a secar y lista para el dia siguiente. Si me gustaría que no vinieran con un embalaje de plástico</t>
  </si>
  <si>
    <t>Buen aislamiento - ACTUALIZACIÓN La sujeción es muy buena y el aislamiento que ofrece es bastante notable. La calidad del audio, en mi caso, no es especialmente buena, con agudos algo metálicos y ruido blanco de fondo en lugar de silencio. La conexión Bluetooth por otra parte es muy rápida. Respecto a la calidad, el cable se nota un poco plasticoso, pero los cascos en si tienen buen tacto y acabado. Se agradece la funda rígida en la que vienen.  -- ACTUALIZACIÓN--  He conseguido dar con una solución que ha resultado en una mejora de audio muy significativa. Al parecer en mi móvil, al subir el volumen desde los cascos, no sube el volumen maestro del teléfono, sino que amplifica la señal a posteriori, de forma que resultaba en un sonido pobre y con mucho ruido. Bajando el sonido de amplificación desde los auriculares y utilizando solo los botones del móvil se escucha mucho mejor, al mismo volumen y sin ruido. Ahora si que puedo decir que tienen un aislamiento muy bueno y una calidad de sonido a la altura.</t>
  </si>
  <si>
    <t>Tallaje Correcto Estas zapatillas molan mucho.</t>
  </si>
  <si>
    <t>Perfecto Álbum de muy buena calidad. Es perfecto para regalar en ocasiones especiales,ya que es muy elegante y tiene mucha capacidad. Lo recomiendo totalmente.</t>
  </si>
  <si>
    <t>Fantástica relacion calidad/precio Necesitaba unas 5. Por desgracia donde solái comprarlas individualmente ya no las trabaja. Es una pena que no haya paquetes más pequeños. pero relación calidad precio es insuperable. Además es algo que nunca sabes a ciencia cierta cuando vas a necesitar y las hojas no ocupan mucho si tienes un espacio reservado para cosas de papelería</t>
  </si>
  <si>
    <t>Pendientes plata Son una cucada, es lo que estaba esperando, además no dan alergia. Me gustan!!! Os lo recomiendo son fantásticos. Ánimo</t>
  </si>
  <si>
    <t>CABLE EXCELENTE RELACION CALIDAD/PRECIO Me ha sorprendido lo bien que transmite el sonido estos cable que no son excesivamente caros. Totalmente recomendables.</t>
  </si>
  <si>
    <t>Calidad precio Todo</t>
  </si>
  <si>
    <t>Perfectos Son perfectos. Se escuchan muy bien. Llevo usándolos bastante tiempo y no he tenido problemas. Recomendados.</t>
  </si>
  <si>
    <t>Perfecto, como en la foto Me llegó bien, bien embalado y en el tiempo previsto de entrega. Recomendable.Volvería a comprar a este vendedor de nuevo.</t>
  </si>
  <si>
    <t>A mí no me gustó A mí no me gustó.Lo he devuelto porque me era más grande de lo que pensaba. Me gustó más en la foto que puesto. Lo devolví sin ninguna clase de problema</t>
  </si>
  <si>
    <t>Vaya Al principio buen Al poco se ha atascado algo por algún sitio y no aspira. Para liemoiarla no está muy vien</t>
  </si>
  <si>
    <t>Adecuada relación calidad precio.Producto normalito Se conecta perfectamente con el microfono, pero los terminales justo donde el cable inserta con el jack, se ven muy frágiles, el cable es bastante flexible. Dada la relación calidad precio parece un producto normalito. Veremos cuanto tarda en fallar</t>
  </si>
  <si>
    <t>Mala calidad Muy mala calidad para practicar deporte. Dos usos un par y ya ha aparecido un agujero en el talón. No tienen refuerzo en talón ni dedos, don muy tinos. Quizás para un uso normal valgan pero para andar, correr o otro actividad agresiva no son adecuados. Totalmente no recomendables</t>
  </si>
  <si>
    <t>Murió a los 4 meses estabacontento hasta que después de 4 meses se ha muerto. No la reconoce ni el ordenador ni la cámara. No se puede formatear... menos mal que ya había volcado el trabajo... la tarjeta ha muerto. Descanse en paz.  Compré 2 iguales. La segunda que seguía funcionando, ha muerto hoy. No han llegado al año de uso. Y el uso que han tenido ha sido muy moderado. Ni se os ocurra comprarlas.</t>
  </si>
  <si>
    <t>Llegó tarde No me ha gustado el tallaje. Es demasiado pequeño</t>
  </si>
  <si>
    <t>Es lo que parece Viene con una bolsita donde guardar la montura y una caja con todas las lentes. Dado que la montura queda poco protegida al no tener caja, es complicado asegurarse su duración si quieres tenerlas dentro de la caja de herramientas</t>
  </si>
  <si>
    <t>No pesan nada No pesan, el velcro podía ser un poco más largo</t>
  </si>
  <si>
    <t>Cómodas y calentitas El diseño de la bota y la comodidad es bueno, la única pega es que en calzada mojada resbala un poco, aunque se supone que no es su terreno pero son cómodas y se utilizan a diario</t>
  </si>
  <si>
    <t>caludad precio Comidos, y buena relación calidad precio. Esperaremos a ver la durabilidad. Desde luego a primera impresión, bien. Recomendables</t>
  </si>
  <si>
    <t>No podéis no comprar esta maravilla! Maravilloso, la calidad es increíble, brilla mucho y con el paso del tiempo se ve como el primer día.  Mi mujer está contentíssima, nunca me hubiera esperado una calidad así a este precio... Me gusta más que los de joyería de varios cientos</t>
  </si>
  <si>
    <t>Potencia correcta y buena función de seguridad Se apaga sola a las 3h. Buenos niveles de potencia. El cable, redondo y gordo, molesta un poco, la próxima será una de cama entera. Buena compra.</t>
  </si>
  <si>
    <t>bueno bonito y barato Cabe el disco duro  WD Elements de 2,5" sin holguras innecesarias, lo protege adecuadamente, y se ve bonito. Pues eso, que por ese precio no se puede pedir más.</t>
  </si>
  <si>
    <t>Muy buen reloj El reloj es bonito, cómodo y ligero, a pesar de que es menos fino de lo que luego aparenta puesto. La recarga solar es fantástica, te olvidas de las pilas. La correa metálica permite mojar lo. El cristal es resistente a las rayaduras. El principal punto negativo es lo fina que es es la aguja de los minutos que no se ve con poca luz y que los números no son fosforescente en la oscuridad.</t>
  </si>
  <si>
    <t>Cálidos Muy bonitos. Para invierno u otoño,son bastante cálidos en verano. El número 43 con calcetines de grosor medio me queda ajustado.</t>
  </si>
  <si>
    <t>Pantalón muy cómodo Artículo cómodo y de calidad. Perfecto para los meses que mi hace ni mucho frío ni mucha calor.</t>
  </si>
  <si>
    <t>Buena compra. Todo bien. Funciona muy bien con una gran potencia. Por poner un pero el envio viene sin embalar, en la caja original, por lo que se ve lo que se ha comprado, espero que esto pueda ser solventado ya que es el segundo producto de cecotec que viene igual.</t>
  </si>
  <si>
    <t>Una maravilla que no conocía Acostumbrado a la calidad y calidez de mis Sennheiser, tenía miedo de probar estos auriculares. Todo un descubrimiento, mezcla nítida sin graves exagerados ni agudos estridentes. Recomendadísimo.</t>
  </si>
  <si>
    <t>Súper cómoda!!! Es la batidora más cómoda que he probado,  es muy rápido y muy ligera.  Es súper fácil de limpiar y con los dos tamaños de vasos me hace todo más fácil. Muy recomendable</t>
  </si>
  <si>
    <t>No lo dudes compralo Perfecta!!!!! Los churroa y las porras salen ideales!!!! Buen producto a buen precio</t>
  </si>
  <si>
    <t>CD que ya no se ven. Poco hay que decir, son de una calidad excelente, y están a muy buen precio, ya se usan poco pero a los que nos gusta la música en CD, se agradece que sigan en venta.</t>
  </si>
  <si>
    <t>Muy bonito, es un regalo ideal Era un regalo de cumpleaños para una amiga y me pareció muy bonita la caja con la que venía, todo muy bonito y el colgante es lo que realmente se refleja en la foto. Así que todo ideal.</t>
  </si>
  <si>
    <t>Rápida y fácil uso funciona fenomenal</t>
  </si>
  <si>
    <t>perfectas no puedo decir mucho van perfectas se la monte a un amigo y  contento</t>
  </si>
  <si>
    <t>Muy practico para todo inclus correr Me ha gustado todo</t>
  </si>
  <si>
    <t>Excelente He logrado organizar toda mi documentación del curriculum y aún me quedó espacio, muy buen archivador lo recomiendo a quien lo desee usar</t>
  </si>
  <si>
    <t>Sonido y calidad Microfono de condensador que no tiene nada que envidiar a otros con más nombre.  Montaje rápido.  Acabados de calidad.  Cómodo de utilizar. Buena compra.</t>
  </si>
  <si>
    <t>Tal y como se describe Perfectos de tamaño, si me aguanta el brillante será la mejor compra que haya hecho.</t>
  </si>
  <si>
    <t>Muy bueno De verdad, no pensaba que iba a ser tan bueno, recomendable 100%</t>
  </si>
  <si>
    <t>12 semanas 85 días es lo que finalmente me han durado estos cascos, dejándose de escuchar el auricular izquierdo sin posible solución. Honestamente esperaba que su duración fuera algo mayor, pero no ha llegado ni a los tres meses. Lo utilizaba mayormente para mi reproductor mp3 portátil, alrededor de 1h al día (yendo, volviendo de trabajo, etc..). Ni los trataba como oro en paño cada vez que los guardaba ni los maltraba, sencillamente les he dado un uso normal.  A nivel de sonido lo vi correcto, con la calidad que más o menos esperaba. El diseño de los cascos a mi me iba perfecto, si bien es cierto que es un pelín más grande de lo habitual, por lo que podría resultar algo incómodos para algunos.  Realmente deberían de acuñar el concepto de auriculares de usar y tirar.</t>
  </si>
  <si>
    <t>¿Lo barato sale caro? La varilla ser salió del mango a la segunda semana, pero nada que no arregle el loctite. Por lo demás no me puedo quejar porque la comentarios leídos son ciertos pero el precio es muy ajustado.</t>
  </si>
  <si>
    <t>No sujetan mucho Quizás es porque los pedí muy grandes. Yo uso una 100-J  de sujetador, pedí la talla más grande, y al menos me sobran 2/3 tallas. No sé si en más pequeño sujetará mejor.</t>
  </si>
  <si>
    <t>No funciona En ingles y español.  Compramos esta almohadilla térmica Imetec, modelo E08A1. Lo usamos dos o tres veces antes de que dejara de funcionar. Ya no se encenderá. La luz del control parpadea en azul. La almohadilla no calienta. Esto era caro Ahora, no nos sirve de nada. No pudimos localizar un servicio al cliente para un reemplazo. Nuestro dinero fue desperdiciado.  We bought this Imetec heating pad, model E08A1. We used it two or three times before it stopped working. It will not turn on anymore. The control's light flashes blue.  The pad does not heat.  This was expensive.  Now, it is of no use to us.  We could not locate a customer service for a replacement.  Our money was wasted.</t>
  </si>
  <si>
    <t>.. Mala calidad, no es como en la foto. Un material muy malo. Encima las tallas no coinciden</t>
  </si>
  <si>
    <t>Brutal Lo compré para hacer un regalo y le ha encantado, tiene varias funciones de vibración y la intensidad más baja es bastante alta. La batería tarda poco en cargarse (1 hora aprox) y tiene entre 2-3 horas de autonomía. Una buena compra que sin duda, recomiendo. La única pega que le pongo es que la intensidad mínima es bastante fuerte, por lo demás, de 10. También incluye el cable para cargarlo (USB - minijack)</t>
  </si>
  <si>
    <t>Muy cómodas. Son cómodas y suaves. Mantiene los pies muy calientes.</t>
  </si>
  <si>
    <t>Lo recomiendo Muy elegante</t>
  </si>
  <si>
    <t>A la altura de la marca Gran acierto! Se trata de unas zapatillas muy cómodas. Los materiales además de ser muy ligeros parecen ser muy resistentes. Dan buena cuenta del estándar de calidad de esta marca. Diseño muy elegante y muy buenos acabados. En definitiva, estoy encantado con la adquisición. Le he dado 4 estrellas y no 5 porque no vienen con la típica etiqueta en uno de los dos zapatos.</t>
  </si>
  <si>
    <t>Cuidado con el número, hay que coger uno mayor La r lqcion calidad precio es muy buena. Están bien acabadas y son cómodas. La única pega es que, como bien dicen otros usuarios, hay que coger un número mayor al habitual. Por lo demás me parece una excelente compra</t>
  </si>
  <si>
    <t>Perfecto Buen calzado , buena marca</t>
  </si>
  <si>
    <t>Calidad media Para ser Nike esperaría mejor calidad pero están bastante bien, son cómodas, estilizan un montón, y haciendo deporte se adaptan bien al cuerpo.</t>
  </si>
  <si>
    <t>PERFECTO Un perfume muy agradable y soluciona el problema de picores externos.</t>
  </si>
  <si>
    <t>Velocidades enormes Si quieres un ssd, con el cual arranques rápido el ordenador, juegues juegos a grandes velocidades o necesites usar el paquete Adobe a gran velocidad, aquí tienes un buen ssd. Compra recomendada.</t>
  </si>
  <si>
    <t>muchos accesorios Tiene una buena potencia para tritutar y poder hacer muchas recetas, lo uso sobretodo para triturar avena y hacer tortitas y funciona sin problemas ademas de traer demasiados accesorios para ampliar sus funciones.</t>
  </si>
  <si>
    <t>Buen producto El reloj funciona perfecto, ninguna pega</t>
  </si>
  <si>
    <t>Se ve bien. Que me gusta el diseño.</t>
  </si>
  <si>
    <t>La qualidad! Queda perfectamente!!Se lava bien en lavadora!Buena qualidad!</t>
  </si>
  <si>
    <t>PRODUCTO RECOMENDABLE Son confortables, cómodos de llevar sin que se caigan. Calidad tanto en sonido como en el micrófono. Traen diferentes tapones de silicona para ajustar a la oreja. Con bolsa para poder llevarlos en el bolso. Tiempo de entrega según lo indicado por el vendedor.</t>
  </si>
  <si>
    <t>muy buena compra! Muy cómodos de llevar largos periodos de tiempo, lo conecté fácil con el móvil vía bluetooth, se manejan muy fácil sólo tocando los botones que hay en uno de los auriculares, lo que es de agradecer si voy paseando con el carrito de mi hijo. Se pliegan para poder guardarlos en el bolso. Tienen aspecto actual y moderno, además un cable extra por si lo quieres llevar conectado al móvil por cable y no inalámbrico</t>
  </si>
  <si>
    <t>Conector Cable muy largo, resistente y grueso. Al desplegar el producto, no se queda con la forma y cumple con su función a la perfección.</t>
  </si>
  <si>
    <t>Lo que estaba buscando Perfecto para lo que necesito. Queda bien plastificado y el grosor el que esperaba. Recomendable para uso doméstico. Un 10</t>
  </si>
  <si>
    <t>Calidad y barato Producto de calidad y barato en comparación con otras marcas más caras. No he notado la diferencia, salvo en el precio. Lo volvería a comprar. Lo recomiendo.</t>
  </si>
  <si>
    <t>conjunto espectacular Hola es un conjunto que viste demasiado  para una persona joven,  pero como es para mi madre le sienta estupendamente son grandes los cristales de lo que lo hacen mas hermosos todavia, la gente con los ojos claros se los hacen muy bonitos.</t>
  </si>
  <si>
    <t>Perfecta Funciona perfectamente, tiene 8 niveles de intensidad del calor y es perfecta para problemas de cuello</t>
  </si>
  <si>
    <t>Muy buen producto Ya kllevo uns días con ellos. Estoy encantado, suaves y cómodos pero con buena suela. Tiene muy buena pinta y se ven durables. El único pero es que la parte del talón la encuentro un poquito baja, Pero los recomiendo igualmente</t>
  </si>
  <si>
    <t>Flamenco inicial Las quería para iniciación al flamenco, y me can muy bien, me pedí la talla que me corresponde y me esta perfecta. No me han hecho herida por ninguna parte y el envío ha llegado a tiempo</t>
  </si>
  <si>
    <t>buen reloj El reloj es una pasada ,es robusto pero llevadero en la muñeca ,ademas de la luz blanca led que dispone lo recomiendo</t>
  </si>
  <si>
    <t>Artículos correcto. Para mí es un producto que he usado mucho en mi profesión de pulidor de óptica de anteojeria y es bueno par este fin.</t>
  </si>
  <si>
    <t>Que sean los productos variados y lleguen a tienpo No me gustaron mucho porque todo está  muy repetido sobretodo el globo y la libélula</t>
  </si>
  <si>
    <t>La orma es muy ancha El largo es normal, pero la orma es bastante ancha, yo tengo el pie estrecho y los he tenido que devolver.</t>
  </si>
  <si>
    <t>Buena calidad -precio. Quedan un poco grandes.</t>
  </si>
  <si>
    <t>Fallo a los 5 segundos. En el primer uso, cinco segundos se rompió el vaso y se bloqueaba la elice del interior, cómo fallo eléctrico. Una decepción de electrodoméstico. Espero que sea esta solo la defectuosa.</t>
  </si>
  <si>
    <t>Mal producto Una estética súper atrayente, los dos Medea de su duración......se me despegaron las esquinas de las zapatillas, sin darle un uso exagerado. No aconsejo su compra, ya que es invertir para tener calzado durante dos meses</t>
  </si>
  <si>
    <t>Correcto La parte trasera, esta poco conseguida al solo tapar la parte del mecanismo y no toda la trasera del reloj.</t>
  </si>
  <si>
    <t>Poca capacidad, buen precio. Compre este SSD para ver si el portátil mejoraba en rendimiento, cosa que así ha sido.  Por este precio, no esperéis maravillas de ningún tipo: es asequible y de baja capacidad (aunque esto último es relativo, claro).  En caso de equipos con disco duro mecánico, vais a notar una diferencia en velocidad más que notable.  Le pongo 4 estrellas porque, sabiendo perfectamente que he comprado y a qué precio, algo que evidente acepté, queda pendiente la fiabilidad/durabilidad.</t>
  </si>
  <si>
    <t>envio bien una tarjeta sin mas</t>
  </si>
  <si>
    <t>Mal olor, pero muy buena limpieza Huele un poco mal, pero limpia muy muy bien</t>
  </si>
  <si>
    <t>Satifecho 100x100 Buena compra y bn exa me gusta</t>
  </si>
  <si>
    <t>Muy buen trato por parte del vendedor. Hace unos meses escribí mi opinión y estaba encantada por el producto, era todo lo que buscaba, pero lamentablemente una de las piezas (la jarra grande) se estropeó, el engranaje con la cuchilla ya no iba bien y tuve que contactar con el vendedor. Para sorpresa mía puedo decir que ahora estoy aún más encantada, el trato del vendedor y su excelente calidad en el servicio al cliente me dejo muy satisfecha, fueron muy amables y rápidos.. Me solucionaron el problema y ahora tengo la pieza nueva, espero que no vuelva a fallar porque tengo mucha fe en este producto, me resulta muy versátil en mi cocina!</t>
  </si>
  <si>
    <t>de lo mejor del mercado es de los mejores discos duros SSD que te puedes encontrar OJO! relación cálidad/precio, si bien es cierto que los hay mucho mas rápidos, también son mas caros, este modelo de Kingston, a mi me va de maravillas, le he montado en portátiles, en ordenadores fijos, todos sin problema y la tasa de transferencia que tienen tanto de escritura y de lectura es muy superior a la media, por el precio que tienen y mas en oferta flash que suelen ponerse bastantes veces, es la mejor elección si no quieres gastarte mucho dinero.  ¿lo volverías a comprar? Sí, de hecho ya he comprado varios este año, como digo para reparar o ampliar prestaciones en ordenadores viejos de amigos y familiares.</t>
  </si>
  <si>
    <t>su capacidad Un USB realmente rápido para la transferencia de archivos pesados y buena capacidad ( 64 gb ) . Estoy contento.</t>
  </si>
  <si>
    <t>ES MUY BUENA TELA queda perfecto ,la tela es fuerte y queda fenomenal de cintura , tengo una 36/38 y me pedi una M</t>
  </si>
  <si>
    <t>Perfecto Ha sido un regalo y ha gustado muchísimo</t>
  </si>
  <si>
    <t>Satisfecha Satisfecha con la compra. Esperaba el tipico masajeador con vibracion y este es mejor.Su funcionamiento de vibracion si que relaja la zona y me ha gustado.El envio ha sido rapido y ha llegado todo muy bien en perfectas condiciones. Lleva varios cabezales para diferentes zonas que vienen muy bien y diferentes modos</t>
  </si>
  <si>
    <t>Bandolera de funcionalidad Tiene bastantes bolsillo separados asi que es muy ultil.</t>
  </si>
  <si>
    <t>cómodas Calzado muy cómodo y liviano, los materiales parecen buenos. Habrá que ver cuanto duran con un uso normal. Producto recomendable</t>
  </si>
  <si>
    <t>Grueso y confortable. Se trata de unos calcetines gruesos de invierno, que además resultan bastante confortables, aunque ahora aún hace mucho calor para usarlos. Se los he comprado a mi marido para las salidas que hacemos al campo. Al recibirlos me dio la impresión de que serían pequeños, pero al probárselos resultaron perfectos. Son elásticos y se ajustan al pie sin llegar a molestar. Son ideales para utilizar con botas. Estéticamente me gustan.</t>
  </si>
  <si>
    <t>Cable profesional Cable de 3 metros robusto con cabezales rectos bañados en oro, de calidad profesional. Lo he conectado a mi guitarra eléctrica, aunque se puede usar con bajo, teclado... Puedo decir que al usarlo no hace ruidos, dando un sonido limpio. Trae recogecable de velcro para cuando lo vas a guardar. Otro punto a destacar es la buena presentación, ya que viene empaquetado en bolsa de plástico (aparte de traer cartón con especificaciones), otros cables vienen sin proteger y se suelen rallar... Muy contenta con la compra, con muy buena relación calidad-precio. Ha sido todo un descubrimiento y un acierto, la próxima vez que necesite un cable ya se a que marca recurrir.</t>
  </si>
  <si>
    <t>Buena calidad. Precioso y de muy buena calidad, lo esperaba un poco más espacioso por dentro, utilizo muchos fluorescentes y se me queda un poco corto pero en cuanto a estética y acabados un 10</t>
  </si>
  <si>
    <t>FACILIDAD DE USO, NO NECESITA ESTAR CONECTADA A LA CORRIENTE ELECTRICA Y FACIL DE LIMPIAR Esta licuadora/exprimidora portátil hace lo que promete y lo hace muy bien, es muy rapida y actua con una precision asombrosa a la hora de moler la fruta, el recipiente de vidrio se puede extraer con facilidad y llevartelo de un sitio a otro e incluso utilizarlo de vaso. Se puede limpiar facilmente, y su uso no es nada complejo. Trae una bateria que se carga mediante USB, y que dura para unos 20 - 25 usos lo cual está bastante bien, por la comodidad de poder utilizarlo sin necesidad de tener un enchufe cerca. Un producto que en mi opinion tiene una relacion calidad precio genial. Si te ha resultado util mi comentario por favor, hazlo saber pulsando el correspondiente boton, gracias.</t>
  </si>
  <si>
    <t>Perfectas zapatillas Perfectas de talla. Buen material y muy comodas</t>
  </si>
  <si>
    <t>Buen diseño, cómoda Quería una pulsera de actividad que no tuviese un precio desorbitado y fuese bonita a la vista, y cómoda de llevar, ya que era para un regalo, y creo que cumple las expectativas. De momento todo funciona perfecto, la he probado para comprobarlo antes de entregarla a su futura dueña y todo ok, la pantalla se ve perfectamente y es sencilla de utilizar. Por lo que he podido probar mide correctamente, y carga rápido. Para lo que buscaba es una buena pulsera!</t>
  </si>
  <si>
    <t>Perfecta Una caja muy fuerte y robusta. Buena calidad relación precio</t>
  </si>
  <si>
    <t>División intelligente Buena calidad división perfecto. Color bien especialmente con vaqueros y ropas oscuras</t>
  </si>
  <si>
    <t>MUY BONITA Y BUENA Estéticamente es preciosa. Además funciona muy bien, tiene mucha capacidad y silba con fuerza para poder oirlo si no estás en la cocina. Lo único negativo es que dentro de la caja no venían las instrucciones de mantenimiento (cuando en el exterior de la caja indicaba que sí), pero se pueden descargar de internet. El envío y entre también muy bien.</t>
  </si>
  <si>
    <t>correcto Justo lo que pedí, correcto. Los envíos al destinatario por favor, no a cualquier vecino que se preste, debe ser personalizado, para eso se paga.</t>
  </si>
  <si>
    <t>No me valen Los auriculares son bonitos y se ven bien construidos y con materiales de buena calidad. Apenas puedo opinar sobre la calidad del sonido. El problema es que no son nada ergonómicos al ser rígido el arco que debe apoyarse en la oreja. No se me sujetan y quedan totalmente sueltos, parecen hechos para una oreja gigante.</t>
  </si>
  <si>
    <t>Relación calidad precio algo elevado Hervidor funcional, no tiene pega en funcionamiento, y bastante bonito. A juego con otros electrodomésticos de la misma gama de la marca. Quizás sea el que menos me guste de todos. Funciona correctamente y es bastante rápido llevando el agua al nivel de ebullición. Precio algo elevado para ser un hervidor.</t>
  </si>
  <si>
    <t>que no te llega como en la foto y parecen falsas No me ha gustado nada en comparación con las primeras que me compre deseaba que me lleguen pero esta vez Amaozon me ha decepcionado</t>
  </si>
  <si>
    <t>Malísima calidad. No merece la pena estos calzetines Lavados solo una vez en agua fria, de un 43-46 se han quedado en un 32. Malísima calidad y la pena es que no los pueda devolver porque se han utilizado</t>
  </si>
  <si>
    <t>Muy bien Cumple con lo esperado. Recomendado para los amantes de la caza, la pesca y el senderismo. Y en general, a todo el que le guste el monte.</t>
  </si>
  <si>
    <t>buena apariencia es bonito ,elegante y sobrio ,me ha convencido agradablemente y es atractivo recomendable sin duda solo esperar haber que resultado da el dorado de la caja</t>
  </si>
  <si>
    <t>SSD con buenas velocidades pero no para utilización extrema Se trata de un SSD de la conocidísima marca Toshiba que, aunque es bueno, no impresiona en sus velocidades. Lo compré para revitalizar el portátil de los padres de mi mujer y ha dado buenos resultados sin ser una maravilla. El ordenador tarda en encenderse un minuto menos que antes, pero he probado otros SSD más rápidos. Por el precio merece la pena, pero si buscas algo de más calidad, no es para tí.</t>
  </si>
  <si>
    <t>Si muy bonito Bonito me gusta</t>
  </si>
  <si>
    <t>Fiabilidad y seguridad Es la segunda vez que lo compro por aquí, y muy buen producto</t>
  </si>
  <si>
    <t>Perfecto para la psvita Perfecto, la tengo puesta con una micro SD de 128gb y disfrutando de la psvita</t>
  </si>
  <si>
    <t>Muy bien No se puede pedir más por ese precio</t>
  </si>
  <si>
    <t>Perfectos!! Espectacular lo bien que sientan y lo cómodos que son!!</t>
  </si>
  <si>
    <t>Muy chulo Era para un regalo,  gustó mucho,  se nota de buena calidad. Estoy satisfecho con la compra y volveré a comprar.</t>
  </si>
  <si>
    <t>Para llevar siempre en las reuniones Se me estropeó un puntero/presentador rojo y estaba buscando uno nuevo, pero harto de lo poco que se ven los láseres rojos, quería uno verde. Entonces encontré este pensando que sería uno chusquero por el precio pero estoy más que sorprendido con el.  La cuestión es que la inmensa mayoría son rojos, y los verdes que hay son bastante más caros. Este sin embargo es súper barato, y tengo presentador en un puntero del tamaño de un boli.  Y es más, pensaba que funcionaría con una pila estándar, cuando he visto que lleva una batería recargable interna.  Por supuesto que conectando el usb integrado que tiene en un ordenador, el pase de diapositivas funciona como debería. Estoy encantado, la verdad.</t>
  </si>
  <si>
    <t>Buena relacion calidad/precio Buscaba unos auriculares económicos para utilizar en el trabajo y la verdad es que me ha sorprendido la presentación de los auriculares y su calidad tanto en los materiales y el remate de las zonas mas conflictivas por donde suelen dañarse los auriculares. El sonido es muy bueno y me encanta como se notan los sonidos graves sin destorsionar, con respecto  a otros auriculares que he usado anteriormente, por el mismo precio. Vienen en una bolsa para transportarlos y con los distintos tamaños de gomas para adaptar el auricular a tus oidos.</t>
  </si>
  <si>
    <t>Sastifechoo Stan super bien</t>
  </si>
  <si>
    <t>Correcto Todo bien y correcto</t>
  </si>
  <si>
    <t>Muy cómodo Muy cómodo</t>
  </si>
  <si>
    <t>Cómodas Con una plantilla van genial, son muy cómodas para trabajar varias horas de pie. Un gran punto por ser de "polipiel" para la gente que no usa cuero de verdad.</t>
  </si>
  <si>
    <t>Tal como lo esperaba el producto llegó en el plazo y en perfectas condiciones. Ya las habia probada en una tienda así que puedo decir que son el mismo zapato. Lo recomiendo</t>
  </si>
  <si>
    <t>zapatillas muy bonitas. Mi hija quería estas zapatillas porque las llevaban algunas compañeras de su instituto y le gustaban muchísimo. En las tiendas de Palencia no tenían su número, el cuarenta; si se ponía el 39  le apretaban y si se ponía el 41 le quedaban holgadas. Así que decidimos comprarlas por internet aunque el precio fuese un poco mayor, dos euros con cincuenta. Llegaron al día siguiente y ¡todo perfecto! el número 40 era su número. Mi hija está encantada con ellas.</t>
  </si>
  <si>
    <t>Buena calidad y dificil tallaje La sudadera es de muy buena calidad y la impresión muy buena. En general cumple con lo esperado aunque el tallaje es bastante complicado, incluso siguiendo las recomendaciones del vendedor he tenido que cambiarla por una talla menor y aunque justa la diferencia entre tallas es "Stranger" ;-)</t>
  </si>
  <si>
    <t>Contenta Me encanta! Abrigada y de calidad. Buen acabado.</t>
  </si>
  <si>
    <t>Còmodos Bonitos y pràcticos</t>
  </si>
  <si>
    <t>Excelente relación calidad precio Excelente producto. Acabados de calidad, suave, no se dobla y mantine su forma a la perfección. Apoyo muy cómodo si tienes que pasar horas usando el ratón. Se limpia fácilmente con un paño humedecido. Recomiendo su compra al 100%.</t>
  </si>
  <si>
    <t>Las tres B Funciona muy bien, hace un poco de ruido,pero lo normal. Buen producto a buen precio.</t>
  </si>
  <si>
    <t>Atril para libro. Mi hijo toca el piano y no había manera de poder sujetar bien el libro y las partituras para tocar. Compré este atril y ahora mi hijo puede leer perfectamente su libro de piano a la vez que toca. Completamente satisfecha</t>
  </si>
  <si>
    <t>Vienen un poco estrechas y pequeñas Vienen grandes ; son muy ligeras y por el resto bien; otras zapatillas de esta misma marca que tengo yo; son el mismo número son más pequeñas ....eso es lo que me extraña</t>
  </si>
  <si>
    <t>Buena RCP Económico pero la caja es muy gruesa.</t>
  </si>
  <si>
    <t>Para salir del paso están bien Son malillos pero bueno por lo que valen tampoco se puede pedir más.</t>
  </si>
  <si>
    <t>No duran ni un mes de uso No sé si serán o no originales, pero despues de un mes de uso ya no funciona el casco izquierdo. El vendedor al cual se lo he comprado era Amazon por eso dudo que no sean originales, lo que si es seguro que no son los mismos cascos que traen los Galaxy de Samsung. Los cascos desde el primer día se notaban que no eran los del Galaxy, al mínimo roce que tenga el conector del jack con la salida eso metía un ruido horrible, pero es asumible (pero un incordio para llevar el móvil en el bolsillo mientras caminas) pero que se rompan al mes de uso ....  Mi recomendación: Gasta un poco más y comprar algo mejor ya que esto es tirar más de 10 euros a la basura</t>
  </si>
  <si>
    <t>No sirve Este producto no sirve para la semilla de lino dorado.</t>
  </si>
  <si>
    <t>Elena Me ha gustado mucho,es tal y como suponía.las prestaciones son las que marcaba la web.y el precio adecuado.muy contenta con el</t>
  </si>
  <si>
    <t>ayuda a descansar la muñeca He recibido la alfombrilla de raton con almohadilla hace uns dias asi que no puedo opinar sobre durabilidad o eficacia a largo plazo. De momento puedo decir que es cómoda, agradable al tacto y no resbala sobre la superficie de la mesa asi que cumple con las expectativas a corto plazo.</t>
  </si>
  <si>
    <t>Envío rápido y producto bueno No es el mismo color de la foto ni tiene el mismo dibujito,pero vamos por el precio que tiene no pasa nada.envio muy rápido</t>
  </si>
  <si>
    <t>Comodisimas Queda muy bien y realza la figura. Eso sí, para las que som os de extremidades largas...unos cms de más estaría bien</t>
  </si>
  <si>
    <t>Marca de renombre Buena tarjeta, con buena capacidad de lectura y escritura. La utilizo para grabación, por lo que se queda algo pequeña de 32Gb, pero las de más capacidad son demasiado caras aun. El único contra es el precio, por lo demás muy contento</t>
  </si>
  <si>
    <t>Buen cable para estar por casa Buen cable, que no se enreda y que viene perfecto para tocar en casa. Algo fino para lo que estoy acostumbrado a ver en un cable jack para guitarra.</t>
  </si>
  <si>
    <t>fantástica rápida y bonita. Muy cómodo el medidor de temperatura. Es un poco cara pero creo que vale la pena si se puede pagar.</t>
  </si>
  <si>
    <t>Recomendable. Buen producto.</t>
  </si>
  <si>
    <t>Perfecto Excelente producto. Entrega super rápida. Recomendable totalmente</t>
  </si>
  <si>
    <t>Excelente bolso negro que aunque sin ser de cuero es muy resistente a las rozaduras sin deteriorarse a diferencia de alguno de y Excelente bolso de mano que aunque no es de cuero resiste correctamente las rozaduras sin deteriorarse además le da un aspecto bastante elegante</t>
  </si>
  <si>
    <t>Original Muy buen regalo de aniversario. Tal y como aparece en la foto.</t>
  </si>
  <si>
    <t>Genial Que decir de una marca como levis la sudadera viene con su talla perfecta ni mas grande ni mas pequeña la tela de gran calidad y después de varios lavados sigue intacta cosa que se espera de una gran marca como la que es</t>
  </si>
  <si>
    <t>Pequeña gran menoria USB Quería una memoria USB de capacidad media para guardar forografías. Dejándome llevar por los comentarios y por la reputación de Kingston me me decidí por esta. Imposible encontrar una memoria de esta calidad, totalmente metálica, por un precio menor. Completamente satisfecho con la compra.</t>
  </si>
  <si>
    <t>Perfecta calidad Capacidad y facilidad de instalación. Además, su adaptación para un sistema NAS lo hace más resistente para uso intensivo en volumenes RAID 1</t>
  </si>
  <si>
    <t>Buena calidad Me gusta tener un par de auriculares de cable para cuando se rompa el que tengo al uso. Y estos que acabo de comprar son de buena calidad. El cable es mas grueso que otros que he tenido . Me gusta la calidad del sonido. Los graves son buenos. Se puede regular el volumen desde el propio auricular. Y atender llamadas. Vienen con un estuche para guardarlos. Todo un detalle. La clavija que se introduce en el teléfono /radio pone que es baño de oro. Se lo ve bueno.</t>
  </si>
  <si>
    <t>FANTÁSTICO Para mí la conga esta ha sido una LIBERACIÓN. Mi mujer y yo no tenemos mucho tiempo de estar limpiando toda la casa, por eso, si te quieres olvidar de barrer y pasar la aspiradora, esta opción es fabulosa. Hay en Youtube muchos vídeos donde dan su opinión extensamente tras varios meses de uso, aunque algunos son bastante críticos con ella. Yo llevo usándola 2 o 3 meses y como digo me ha supuesto una liberación. Cierto es que alguna vez se ha rallado con los mapas (muy puntualmente), y hay que tener cuidado con los cables que dejas por ahí porque se puede enganchar con ellos, pero yo he creado zonas por las que no puede pasar a través de la app, que es súper completa, y problema solucionado. Con la app la puede programar desde donde estés, poner en marcha, parar, controlar por dónde va, etc. No me puedo quejar en absoluto de esta aspiradora robot. La función de mopa para fregar aún no la he usado, y no sé si la haré, ya que tengo parquet y cada dos semanas lo friego todo manualmente, pero la limpieza del día a día esta Conga va genial. Personalmente, recomendaría un accesorio adicional para limpiar, tipo una aspiradora portátil o algo así, ya que hay rincones donde no llega, debido a los muebles, ni tampoco debajo de sofás o camas que estén a ras de suelo. Volvería a comprar esta Conga, que además es de marca española y según he visto en comparativas no tiene nada que envidiar a la competencia.</t>
  </si>
  <si>
    <t>Muy buenas Muy contento con las zapatillas, son muy baratas y la calidad es muy buena. Son muy bonitas y se pueden utilizar tanto para deporte como para diario. Las tallas son correctas, muy cómodas y con variedad de colores.</t>
  </si>
  <si>
    <t>Una buena compra Un bolso precioso y  de tamaño perfecto,  me encanta.</t>
  </si>
  <si>
    <t>Perfectas Son tal cual la descripción, muy cómodas. Llegaron antes del tiempo estimado.</t>
  </si>
  <si>
    <t>Cascos ideales para un home studio, muy cómodos, gran sonido. Los akg k702 son unos cascos abiertos de frecuencias planas perfectos para mixing y mastering de grabaciones para un home estudio. Son los cascos más cómodos que he usado hasta ahora, puedes usarlos durante horas que no te van a molestar las orejas por la presión ya que las orejeras son blandas y suaves, ademas al ser abiertos no te van a doler los oídos si escuchas música durante mucho tiempo. Como ya he dicho al ser de frecuencia plana son perfectos para home studio, aunque quizás no tanto para grabar ya que se podría filtrar algo del sonido de feedback. Si te preocupa que no sean adecuados para jugar o escuchar música de forma casual por falta de bajos, puedes simplemente usar el ecualizador integrado de windows o cualquier aplicación con ecualizador para obtener un sonido de alta calidad para música o videojuegos. No incluyen micrófono así que si los quieres para jugar tendrás que comprar uno aparte. En cuanto a los amplificadores externos no los veo necesario, he estado usando los cascos desde una interfaz de audio y directamente desde el ordenador y tienen volumen mas que de sobra. Los recomiendo encarecidamente, uno de los mejores cascos que he usado nunca.</t>
  </si>
  <si>
    <t>Muy útil Me encanta muy útil</t>
  </si>
  <si>
    <t>Cascos Bue producto original 100*100</t>
  </si>
  <si>
    <t>Recomendable Chaqueta altamente recomendable la única pega que yo le pondría es que las mangas con el forro interior son algo estrechas por lo demás un 10</t>
  </si>
  <si>
    <t>Jose Todo superior.Buena calidad de sonido perfecto karaoke para divertirse con amigos y familia.Facil de usar.Lo conecto a un amplificador SPL 700 y es una gozada</t>
  </si>
  <si>
    <t>Cero calidad Me fie de las opiniones , pero se ve de bastante baja calidad... sobre todo la piedra rosa q es de plástico y se nota muchísimo. No lo recomiendo...</t>
  </si>
  <si>
    <t>Hay que tener cuidado al sacarlas ya que se desprenden El sistema de sacar los adhesivos no está bien del todo, vienen separadas en una tira por debajo de la caja que al sacarla muchas veces salen varias o se sueltan, por lo demás fijan bien</t>
  </si>
  <si>
    <t>Falta lago de calidad. Calidad precio adecuada, quizá se echa en falta algo mas de calidad, pero dependiendo la oferta que adquiráis merecerá mas la pena o no.</t>
  </si>
  <si>
    <t>Experiencia negativa No resulta cómodo de llevar ni configurar. Además se rompió con muy pocos usos,  por lo que no creo que merezca la pena inviertir en él</t>
  </si>
  <si>
    <t>Una 2XL corresponde a una M normal Lo de Joma no tiene nombre. Que una empresa española talle la ropa como en China es de vergüenza, una 2xl corresponde a una talla M de Nike y lo peor es que como no fabrican tallas más grandes las que no somos delgaditas pero también hacemos deporte no podamos vestir su ropa. No compraré más nada de Joma aunque pierda peso.</t>
  </si>
  <si>
    <t>francisco garcia tiene buena pinta , la relación calidad precio parece buena  aun no lo he probado bien  , lo que no me a gustado es que no tiene manual de instrucciones , asi que a tocar botones hasta que aprendamos a usarlo</t>
  </si>
  <si>
    <t>La comodidad Están muy bien, pero algo grandes</t>
  </si>
  <si>
    <t>Verbatim 43551 - Dvd +R 4.7Gb 16X Spindle 100 Advanced Ni tan siquiera lo he instalado, por lo tanto no puedo dar una opinión sobre este producto basada en su utilización y empleo.</t>
  </si>
  <si>
    <t>Muy buena relación precio-calidad Me ha gustado mucho el reloj en conjunto. El mío, la unidad que compre adelanta 1 minuto, todo lo demás está bien.</t>
  </si>
  <si>
    <t>Hace su funcion para ser de mano La verdad es que, nunca tuve una de mano y tras aspirar el coche varias veces, mi opinion es que no esta mal, la absorcion que tiene es bastante buena, tiene apariencia de calidad, la unica pega que yo le pondria de momento, es que hay que llevarse los dos filtros para aspirar el coche y limpiarlos muy a menudo porque son muy pequeños y se entaponan muy rapido con el polvo y la pelusa y no aspira bien, tras sacudirlos y limpiarlos vuelve aspirar fenomenal, por lo demas muy bien, no puedo decir lo que dura la bateria porque tras 10 o 15 minutos ya tengo la faena hecha y la pongo nuevamente a cargar, pero si que la recomendaria.</t>
  </si>
  <si>
    <t>Lo recomiendo Muy suave y buena</t>
  </si>
  <si>
    <t>comodisimas!! Son unas mallas muy cómodas para practicar deporte o pasear por la montaña. La cintura se ajusta perfectamente, sin efecto "muffin top".</t>
  </si>
  <si>
    <t>Totalmente recomendable He quedado impresionado por la calidad en todos los sentidos. La caja de carga es muy bonita. la tapa es un poco translucida para que veas si estan cargando los auriculares. no llevan botones, es tactil. Te tra cable tipo c para recarcarlo y salida usb para que recargues el movil en caso de emergencia (yo hice una recarga completa y sobro para cargar los auriculares). Tambien trae una bolsa de transporte. los puedes usar juntos o por separado tanto el izquierdo como el derecho. Instrucciones en español. indicador digital de la cantidad de carga que le queda. Muy contento.</t>
  </si>
  <si>
    <t>Batidora varilla Util y buen precio para hacer cualquier tipo de batido, mahonesa para usar de vez en cuando en la cocina.</t>
  </si>
  <si>
    <t>Muy cómodas Me encanta! Son súper cómodas y confortables, puedo caminar con ellas todo el día en los pies y no me cansan, además, las estoy usando para trabajar y son del más cómodo que hay. Y además son muy bonitas, clásicas, y se quedan bien con todo! Recomiendo, no se van a arrepentir!</t>
  </si>
  <si>
    <t>Perfecto La verdad que me sorprendio bastante, cuando vi la caja me decepciono. Pues es una caja de carton normalita. Acolchada por dentro. Pero un poco «normalita».  Al abrirla ves un colgante bien presentado. Con un buen acabado. Sus circonitas brillan muchisimo, da sensacion de un producto mucho mas caro de lo que en realidad es,.  A dia de hoy despues de dos meses de uso. Sigue como el primer dia</t>
  </si>
  <si>
    <t>Resistente y muy recomendable. Hola a todos . Lo que puedo decir es que es una compra acertada.Antes teníamos un biberón de plástico(Chico) y siempre a la hora de comer lloraba.Desde cuando hemos empiezado usar este biberón a  parado de llorar .Lo recomiendo a todos.</t>
  </si>
  <si>
    <t>Amazon respondió estupendamente Si no vuelve a fallar, bien espero que haya sido un error puntual, Amazon muy bien</t>
  </si>
  <si>
    <t>Todo ok Cómodas y bonitas</t>
  </si>
  <si>
    <t>Muy comodas y con mucho rollo :P Son geniales, comodas, bonitas y con ese rollo especial que solo ellas tienen. Me encantan. Las tuve que cambiar por medio numero menos, ya que es verdad que tallan grande, por lo demas, todo perfecto.</t>
  </si>
  <si>
    <t>PRÁCTICA Y DECORATIVA Encantada con la compra.. es rapidísima, muy cómoda y decorativa por su diseño. La compré en azul y tiene un color precioso.</t>
  </si>
  <si>
    <t>Estupendos Estoy encantada con el producto. Se adapta fenomenal al pie. Lo mismo los uso para bañarme en el rio que para dar un paseo. Una compra muy recomendable</t>
  </si>
  <si>
    <t>marcadores crochet perfectos he recibido los marcadores antes del tiempo estimado , así que muy contenta. son tal como la foto y me vinieron algunos de más. se ven resistentes y todos están bien.</t>
  </si>
  <si>
    <t>Pruébalo y no te arrepentiras Estupendo y expectacular la adherencia, la resistencia y el lavado</t>
  </si>
  <si>
    <t>Mochila ideal de mucha capacidad para portátil y otros Tengo otra mochila para el portátil, pero es más pequeña y no entra nada más que el portátil, compre esta para cuando hago viajes cortos poder meter más cosas en la mochila, tiene mucha capacidad, y además tiene un diseño muy bonito. Es muy resistente y cómoda, recomiendo su compra</t>
  </si>
  <si>
    <t>Facil de utilizar Ideal y practico</t>
  </si>
  <si>
    <t>Correcto Producto real y a buen precio</t>
  </si>
  <si>
    <t>Da gusto llevarlos... Llevo un día loquito con los auriculares, son premium (desde la cajita hasta los propios auriculares), suenan genial y me están motivando a salir a hacer running con ellos. El detalle del acople de la oreja hace que me haya decidido, así que se lo recomiendo a los que como yo, les gusta la comodidad de unos auriculares bluetooth sin tener que estar constantemente ajustándotelos porque se te caen. Ah... Y se vinculan rapidísimo, y con USB tipo C, que es lo mejor del mundo. Compra TOP.</t>
  </si>
  <si>
    <t>Muuuuy caro para lo que es En el título lo digo todo. Está bien pero para que costará la mitad. Además yo he tenido que poner un cartón grande porque estudio con folios y no cabían bien.</t>
  </si>
  <si>
    <t>De calidad bien pero extremadamente pequeños Los sujetadores están bien pero he tenido que devolverlos y pedir 3 tallas más de la que uso!!</t>
  </si>
  <si>
    <t>Problemas graves con el auricular derecho La calidad de construcción es bastante buena. El sonido no está mal pero le falta potencia en los graves. Es algo que se podría aceptar teniendo en cuenta el precio, si no fuera porque el auricular derecho se desconecta constantemente, como cuando se tronza un cable en los auriculares tradicionales.</t>
  </si>
  <si>
    <t>No ha funcionado He tenido que devolver. En principio me encantaba, pero en 10 días ha dejado de funcionar! Que lastima...</t>
  </si>
  <si>
    <t>Se pusieron amarillas Se me mojaron un poco el mismo día que las estrene y la puntera se me ha quedado totalmente amarilla. Que desilusión con lo que me gustaron.</t>
  </si>
  <si>
    <t>excelente viene en una caja super grande pero todo para proteger que llege bien sin golpee y asi es , viene en perfecto estado y funcionando correctamente.</t>
  </si>
  <si>
    <t>Sin envolver Ya tenía un producto igual, y por eso he repetido. Me ha durado 8 años. Tal y como se dice en otras opiniones, viene sin envolver. Solamente en la caja de la almohada. Cosa que no entiendo.</t>
  </si>
  <si>
    <t>ChicSilver Collar Bonito y discreto</t>
  </si>
  <si>
    <t>Cumple con creces Excelente calidad de sonido. Sonido nítido. Rango de frecuencia bueno (los graves se aprecian correctamente). La durabilidad podría ser bastante mejor; son los terceros que me compro. No me molesta dado que no son caros. Aún así unos me duraron más de tres años. La dos veces que se estropearon pasó que se dejó de escuchar de un lado. Cómodos (para hacer ejercicio no) Me parecen los mejores auriculares in-ear relación calidad/precio.  Si esta vez se estropean en un tiempo corto tendré que optar por otros.</t>
  </si>
  <si>
    <t>Muy bueno！ sirve como humidificador y con aceites esenciales va genial para la casa, da un aroma a limpio q me encanta.Producto 100% recomendable.</t>
  </si>
  <si>
    <t>Perfectos Perfectos.para el móvil y para el ordenador. Buena calidad de sonido. Samsung no defrauda nunca. Muy buen precio para ellos.</t>
  </si>
  <si>
    <t>👍 Tot ok</t>
  </si>
  <si>
    <t>Buenos biberones Pack de dos biberones de 330 ml cada uno. Traen la tetina número 3 que es para a partir de 3 meses (tres agujeros) A mi bebé le encantan estas tetinas. Después de probar con bastantes, probamos está y nos quedamos con ella.</t>
  </si>
  <si>
    <t>Brillantes Unos pendientes muy bonitos ,el precio increible me han llegado perfectos estoy encantada.</t>
  </si>
  <si>
    <t>Funciona a la perfección Es un producto compacto, elegante y fácil de usar. Sufro de un montón de alergias y debido a vivir en la ciudad las vías respiratorias se resecan un montón. Al usar este humidificador con unas gotas de aceite de eucalipto en media hora ya notaba mejoría. Por ahora recomiendo 100%.</t>
  </si>
  <si>
    <t>Para regalo Perfecto</t>
  </si>
  <si>
    <t>Mejor de lo que esperaba La verdad es que aun esperando adquirir un teclado mini para salir del paso con algunas funciones extras, su funcionamiento me ha sorprendido gratamente. Mi Daw lo ha reconocido a la perfección sin ni siquiera instalar programas o drivers. las teclas son algo estrechas aunque era algo que ya sabía dado el formato de dispositivo que es aunque te permite varias las octavas. Algo muy positivo es, que a pesar de su ligero peso, se agarra fuertemente a cualquier superficie para evitar se mueva o se desplace. Tendré que seguir analizándolo para sacarle todo el potencial.</t>
  </si>
  <si>
    <t>Incrementa notablemente la calidad de las grabaciones La grabación por el micrófono que lleva integrado el iPhone no está mal pero necesitaba algo de mayor calidad y este micro la alcanza. Capta los graves con más nitided y equilibrio. A parte está la comodidad de no tener que estar pendiente de la posición del teléfono gracias a la longitud del cable.</t>
  </si>
  <si>
    <t>Duradero y practico A los niños les encanta por su parecido a natural. Muy fácil de limpiar.</t>
  </si>
  <si>
    <t>Dani san Buena calidad. Un producto util que por fin he encontrado. Viene muy bien presentado y embalado para ser un simple cable adaptador.</t>
  </si>
  <si>
    <t>Discreto y con calidad de grabación Cumple el cometido como herramienta de trabajo. Muy discreto para su uso.</t>
  </si>
  <si>
    <t>Funcionamiento esperado. Calidad Casio. Construcción aparentemente muy resistente. Algo grande, pero no excesivo considerando las funcionalidades y resistencia esperada del reloj. Muy buena compra y más teniendo en cuenta el precio del mismo.</t>
  </si>
  <si>
    <t>La calidad Buen producto</t>
  </si>
  <si>
    <t>Cómodo y sencillo Excelente para marcar la ropa de mi peque. Siempre se me olvidaba marcarla con rotulador o bien cosiendo la tira de tela. Ahora según la plancho la voy marcando. De momento no se ha borrado y es fácil de usar. Muy contenta. ☺️</t>
  </si>
  <si>
    <t>De lo mejor en calidad-precio Funcionan estupendamente y maravillosa la caja para guardarlos que hace de powerbank dotándolos así de una amplia autonomía. Se parearon a mi móvil Meizu M6 Note sin problema y estoy más que satisfecha con ellos. Los recomiendo.</t>
  </si>
  <si>
    <t>Buena calidad, buen producto. Es una buena compra. Ya sabía lo que compraba. Es cierto que los hay mejores, pero la relación calidad precio, creo que es insuperable. Recomendable.</t>
  </si>
  <si>
    <t>CONVERSE ORIGINALES Como ya he descrito anteriorment, son originales y la numeración se correspondia con la solicitada. En general contento por la compra. Buen vendedor.</t>
  </si>
  <si>
    <t>Rota Llegó rota</t>
  </si>
  <si>
    <t>Auriculares para el cole Mi hija tiene 6 años y los tiene que estirar un poco. El color es precioso,  como en la imagen y son muy cómodos. PERO ME INDIGNA QUE UNOS COLORES VALGAN MÁS QUE OTROS</t>
  </si>
  <si>
    <t>correcte Molt millor si es pogués desmuntar. És incòmode de netejar i no té gaire potència. Bé per fer  salses o triturar verdures cuites i tallades.</t>
  </si>
  <si>
    <t>Bonito y muy barato Por el precio vale la pena....</t>
  </si>
  <si>
    <t>Descontento Se aprecia de mala calidad y no debe durar mucho antes de romperse. No la recomiendo.</t>
  </si>
  <si>
    <t>Foto engañosa No me gusta nada.no es como se ve en la foto.</t>
  </si>
  <si>
    <t>buena compra es un buen producto, de buena calidad y con accesorios muy buenos. sin duda una buena compra, recomendado calidad buena</t>
  </si>
  <si>
    <t>Me gustan bastante Los anillos me parecen de muy buena calidad, se ha limpiado con ellos puestos y no se han puesto negros ni nada . Estoy sorprendida, bastante sorprendida Me esperaba cosas peores a ese precio</t>
  </si>
  <si>
    <t>Buena chaqueta Buena compra. La chaqueta es de buena calidad aunque me quede un poco grande.  El color es un poco más gris de lo que muestra la foto.</t>
  </si>
  <si>
    <t>Havachan Excelente calidad muy cómodas y adaptables las recomiendo saludos jose</t>
  </si>
  <si>
    <t>A CUMPLIDO TOTALMENTE MIS EXPECTATIVAS Soy aficionado a la pesca submarina y quería un reloj  de bajo coste que pudiese llevar conmigo a pescar y que soportase las inmersiones (poco profundas). Llevo algo más de un mes usándolo y hasta ahora sin  ningún problema y muy contento con él.</t>
  </si>
  <si>
    <t>La solución definitiva para el etiquetado de la ropa No hay mejor solución para marcar la ropa de los peques en la guarde. Es lo más rápido y duradero, dependiendo del tejido se puede ir borrando, pero dura bastantes lavados. Si se borra ... se vuelve a marcar y listo. Infinitamente mejor que las tiras que se planchan y se terminan despegando, etc.</t>
  </si>
  <si>
    <t>Tal como en la foto!!! Tal y como sale en la foto Tardan solo 24h en enviar y todo perfecto se escucha mui bien y se adapta mui bien a una niña de 7 años</t>
  </si>
  <si>
    <t>Gran calidad del reloj Reloj retro de gran calidad.  Es un reloj que despues de 20 años seguira durandole la pila para otros 20. Muy practico,  bonito esteticamente.  Me esperaba mas ancha la correa.  Lo veo mas para mujer aunque el que tenia era mas ancho y todo sera cuestion de acostumbrarse</t>
  </si>
  <si>
    <t>Me quedan perfectas. Es lo que esperaba. Ya conocia el producto porque las anteriores son de la misma marca.</t>
  </si>
  <si>
    <t>Buena compra Estoy contenta con el producto toco correctp</t>
  </si>
  <si>
    <t>Buena compra. Iguales que en la imagen. Cómodas y ligeras.</t>
  </si>
  <si>
    <t>Grueso ideal i tamaño Ideal</t>
  </si>
  <si>
    <t>Versátil y autónoma Una pasada. Te permite grabar a la perfección en cualquier lugar. Puedes meter una entrada a la vez que grabas por los micros. Muchas posibilidades y gran calidad.</t>
  </si>
  <si>
    <t>bien muy satisfechos. buena compra</t>
  </si>
  <si>
    <t>Elegante L pulsera es muy elegante, no es nada ordinaria , muy fina. Tiene un charm del árbol de la vida muy decorativo y una piedra en forma de diamante muy bien pulida. Lo que más me gusta es que se adapta a cualquier muñeca . También me gusta la caja de color azul que trae como estuche y su elegancia. Si pudiera pedir algo más, sería que se pudiera elegir el grosor de la pulsera en varias opciones.</t>
  </si>
  <si>
    <t>excelente gran articulo</t>
  </si>
  <si>
    <t>Practico. Me gusta porque es muy practico y te limpia por todos los rincones y sin dejar nada del mapa, no lo deja como una fregona pero muy limpio, no me gusta que se va la señal wifi según qué sitios y para engancharlo al móvil no vale cualquier router.</t>
  </si>
  <si>
    <t>Perfectos La mejor marca para dar el pecho y biberón a la vez</t>
  </si>
  <si>
    <t>Muy útil Aunque la funda aparenta algo mas en las fotos, es lo que necesitabamos, un precio bastante asequible, y nos dá la versatilidad de no necesitar una toma solo para cargar el móvil con los dos usb que incluye. Colocado en la pata de una mesa, no pesa nada. Recomendable.</t>
  </si>
  <si>
    <t>Comodidad Muy cómodos, la tela suave y elástica. Queda muy bonito al cuerpo. Son ideales para salir a correr, hacer ejercicio o para usar en cualquier ocasión. Los recomiendo</t>
  </si>
  <si>
    <t>Con radio FM Muy buenos auriculares que por diseño van muy bien porque no se te caen como otro tipo de auriculares de oreja. Tiene radio FM incorporada y bluetooth para conectar un dispositivo a los auriculares. Muy cómodos y buena relación calidad precio</t>
  </si>
  <si>
    <t>batidora pesada La potencia de la batidora se nota . Pesa el vaso de cristal junto con el motor el resultado sea una batidora pesada. Estaba perdida buscando batidoras, me decidi por la Taurus pero no tenia claro los voltios . Hay que pensar en que vas a utilizarlo pues yo lo suelo utilizar para gazpachos y cremas y no creo que necesite los 1200 w.</t>
  </si>
  <si>
    <t>Su originalidad y utilidad Tiene un puerto de carga usb por detras y una pila de boton para no perder la configuracion. También se puede utilizar como lampara, ya que la luz la puedes encender presionando sólo un botón.  Según la hora programada de la alarma, la luz comienza a encenderse y volverse más intensa durante la media hora de antes.Manuales en varios idiomas entre ellos e español. Las luces led pueden ir variando de tonalidad y es bastante relajante.  Muy contento con la compra</t>
  </si>
  <si>
    <t>... Suela muy dura, falta amortiguacion</t>
  </si>
  <si>
    <t>Se ven de muy baja calidad Sin cómodos y las talla si es justo la que dice sin embargo están hechos de muy mala calidad y se nota mucho que son plástico ... no creo que duren mucho.</t>
  </si>
  <si>
    <t>No ha venido el termometro solamente el sensor exterior Ha tardado 1 semana y encima el kit incluye el termómetro pantalla visualizador  y un sensor externo para poder ver en la pantalla interior la temperatura exterior, PUES NO HA VENIDO LA PANTALLA, sólo el sensor exterior. Un fiasco.</t>
  </si>
  <si>
    <t>Mala calidad. No los volvería a comprar ni loco En el primer lavado pierden el color y se quedan como muy gastados. El material no es bueno, mala calidad. Una decepción porque esperaba más de este producto</t>
  </si>
  <si>
    <t>Buena relación precio-calidad Es un pack con aromas suaves y bastante delicados, ideal para difusores si no quieres demasiado olor. El estuche, bien presentado y precintado, aunque uno de los frascos había perdido algo por no estar bien cerrado.</t>
  </si>
  <si>
    <t>Comienzan las clases de dibujo Para los primeros pasos en dibujo técnico</t>
  </si>
  <si>
    <t>Buen regalo Llegó días antes de lo esperado. Perfecto para reyes. Está muy contento con el producto. Dice que es muy manejable y perfecto en peso y altura.</t>
  </si>
  <si>
    <t>Muy buena Es muy simple, funciona muy bien y se mantiene caliente sin estropearse ni fundirse aunque se te olvide puesta más de 24h</t>
  </si>
  <si>
    <t>Muy buena No le pongo 5 estrellas porque para mí la luz roja que indica que la jarra esté encendida debería estar más visible, pero es un excelente producto</t>
  </si>
  <si>
    <t>muy bien muy bien, simplemente son grapas que cumplen su finalidad</t>
  </si>
  <si>
    <t>Memoria USB de calidad Compré uno de 64gb y ahora buscaba otro para regalar que no me subiera tanto de precio, así que elegí este. La memoria es súper pequeñita y ligera, al ponerla en el teléfono la reconoció en seguida (cosa que con otras me había costado) y los 32gb son reales. Lo usamos para copiar las fotos del teléfono cuando no tienes tiempo de usar un ordenador o no lo tienes a mano. De momento no ha dado ningún problema, así que muy contenta con la compra.</t>
  </si>
  <si>
    <t>Miguel Oliva Es un producto original de gran MARCA  y de primera calidad en su caja original, para los vendedores 100 % confiables.</t>
  </si>
  <si>
    <t>Cumple las expectativas Tal y como esperaba. Funciona perfectamente con mi sacaleches medela. Lo compré porque los biberones que venian se quedaban pequeños</t>
  </si>
  <si>
    <t>Limpio Cumple con su cometido, protege y ordena</t>
  </si>
  <si>
    <t>Muy buena calidad Buenísimo después de meses de uso esta impecable</t>
  </si>
  <si>
    <t>Estupendo Magnifico el aroma lo saca super bien sin ruido es una maravilla,es de  400ml dura como 12 horas en modo lat lo recomiendo 100%</t>
  </si>
  <si>
    <t>Buena calidad Buena calidad y rendimiento</t>
  </si>
  <si>
    <t>Saucony Jazz Original- T/39 Perfectas y son súper cómodas. Calzan bien, pedir el número habitual.</t>
  </si>
  <si>
    <t>SI SI SI Recién llegadas las devuelvo, porque calzo un 45, pedí 46 por el problema de ponerlas y quitarlas( tengo unas del 46 que costaron el doble de euros  y la segunda y ultima vez que me las puse casi las tengo que cortar para quitármelas). Me vienen excesivamente amplias. Seguido me compro unas del 45 que me irán suficiente amplias.Se ponen y quitan muy fácil.</t>
  </si>
  <si>
    <t>La comodidad Pedí el número 37, q es mi número, y m estaba muy justo. Tuve q devolverlo x un número más. El 38 perfecto. Altamente cómodo. Cumplió mis espectativas</t>
  </si>
  <si>
    <t>Regalo Para regalo, la persona que lo recibió está encantado</t>
  </si>
  <si>
    <t>Inmejorable relación calidad precio. COMPRADA EN JULIO 2019 POR 10 €.  Hace tiempo que quería renovar una vieja micro sd, y llevaba tiempo viendo los precios y ahora ha sido el momento.  Sin entrar en explicar demasiados detalles técnicos de letras, siglas ,sdxc megas, voy a dar mi opinión de esta tarjeta.  Para empezar y la mayor seguridad es que es ORIGINAL SanDisk.  Tiene mucha velocidad de escritura y de lectura, quiere decir, que es muy rápida guardando los datos y leyéndolos, da igual que sean fotos, videos o documentos.  Consume muy poco. Algo importante, porque algunas tarjetas, en el proceso de grabar, leer y borrar consumen mucha batería, a eso nunca le damos importancia, pero es la diferencia de una tarjeta buena a otra.  Y ahora mismo, en Julio del 2019, tiene un gran precio por la capacidad-calidad que tiene y la marca, por supuesto.  Para el 99 % de usuarios, esta tarjeta es más que suficiente. Hace unos meses era lo más puntero y costaba mucho más cara.  La voy a utilizar en mi movil huawei, para almacenar mapas de carretera y usarlos en la aplicación navegador gps, sin conexion a la red. Además de almacenarme las fotos que haga durante el viaje.</t>
  </si>
  <si>
    <t>Bastante bien No el sumun en calidad, pero no esta mal.</t>
  </si>
  <si>
    <t>Muy buena compra Tamaño perfecto, ni muy grande ni muy pequeño, yo tengo la muñeca pequeña, pero queria un reloj con los numeros un poco grandes, y este casio es perfecto para eso.</t>
  </si>
  <si>
    <t>Para los estudios. Necesitaban un compás para las asignaturas de dibujo de la ESO y tras probar otros 2 modelos más económicos, que no permitían un manejo adecuado, les busque este de una marca tan reconocida como Faber-Castell. De momento está muy conforme y dice que le permite dibujar mucho mejor que los anteriores.</t>
  </si>
  <si>
    <t>Un buen producto..... Buen producto y muy bonito....a un buen precio....es un regalo estupendo y, de muy buena calidad.....lo recomiendo....Si lo regalas, quedarás muy bien....</t>
  </si>
  <si>
    <t>Grande y de calidad Muy buena calidad, amplio y cómodo. Relación calidad precio estupenda. Muy contento</t>
  </si>
  <si>
    <t>Baja calidad Solo permiten una velocidad de escritura de 52x. Son de muy baja calidad y tienen poca durabilidad. En mi caso no cumplieron su propósito.</t>
  </si>
  <si>
    <t>Hace su funcion No está mal</t>
  </si>
  <si>
    <t>Reloj Igual</t>
  </si>
  <si>
    <t>No me sirvió Se cae. No pegaba. Al rato se cayó el cuadro y se rompió.</t>
  </si>
  <si>
    <t>Te mojas los pies Compré este modelo en ECI, al mes las llevé porque a pesar del goretex simplemente andando sobre césped húmedo calaba, las enviaron a Alemania a analizar, al mes me dijeron que me daban otras nuevas pero en otro color, acepté y les ocurre lo mismo. No las recomiendo</t>
  </si>
  <si>
    <t>El precio Es un aparato robusto y fácil de usar</t>
  </si>
  <si>
    <t>Cómodas y,bonitas Desde que me las compre son las que llevo al gym, siempre fui de deportivas de marca Nike,assics,etc pero ahora voy a mirar más en Amazon no sé si pillarme estas en otro color o probar con otras</t>
  </si>
  <si>
    <t>Buen producto Buen producto son de buena calidad y bastante gorditos para que aguanten más.</t>
  </si>
  <si>
    <t>olor duradero olor muy duradero, con 1/2 gotas en un depósito de medio litro es más que suficiente. Recomiendo no utilizar para habitaciones pequeñas o en escritorios de oficina (éste, ni ningún aceite), ya que es muy fuerte si lo tienes cerca. El olor es agradable</t>
  </si>
  <si>
    <t>Impermeabilidad y comodidad Lo que más me ha gustado es su versatilidad y comodidad. Lo que me gustaria implementar en su caso, como la mochila grande de su mismo modelo, una cremallera para guardar tarjetas a mano. Muchas gracias.</t>
  </si>
  <si>
    <t>Cumple los requisitos Llegó muy pronto y es preciosa</t>
  </si>
  <si>
    <t>Funcional A mi esposo le encanta para preparar su café con leche y para hacer cola cao con Espuma..</t>
  </si>
  <si>
    <t>Cómodos Zapatos muy bonitos y súper cómodos, no tienen cordones sin embargo de momento el sistema de elástico que tiene funciona bien. Idénticos a la foto y tallan perfecto</t>
  </si>
  <si>
    <t>Excelente producto Excelente producto son cómodas y buenas</t>
  </si>
  <si>
    <t>Yolanda Me encanta es super comodo para usar a diario fué un regalo para una amiga, porque le encantaba el mio que me lo regalaron hace 6 años y voy a pedir otro ya que lo uso a diario y lo tengo super golpeado del trabajo. Un acierto total</t>
  </si>
  <si>
    <t>Zapatillas comodisimas, muy contenta con la compra. Es una zapatilla súper cómoda, tanto la suela como La plantilla hace que tengas una sensación muy agradable en cada pisada. Compre una talla 39 que es la mía habitualmente y me quedaba enorme. El vendedor me propuso un cambio de talla y devolví el 39 y me enviaron el 38 sin problemas. Quizás también me hubiera quedado bien un 38,5, de haberlo habido, sobre todo si me quisiera poner calcetines.</t>
  </si>
  <si>
    <t>Bien Es precioso,rasca bien lo que al ser de metal no se puede apretar mucho porque te haces daño.</t>
  </si>
  <si>
    <t>Esta guapo Buen regalo para fans de la saga, el collar en si no es muy funcional, pero como decoración está muy bonito</t>
  </si>
  <si>
    <t>Perfecto Es tal y como aparece en la descripción y en las fotos. Como nota a añadir, la caja en la que venía tenía algunas rayaduras que por suerte no dañaron el reloj</t>
  </si>
  <si>
    <t>Buena cantidad/precio Dispongo de iluminación en la parte trasera de la tv y ordenador, este producto ayuda a ordenar el cableado, evitando se vean cables colgando y dando un aspecto más limpio. Trae buena cantidad para el precio que tiene, por otro lado, se ve de muy buena calidad.</t>
  </si>
  <si>
    <t>El producto es tal y como se ve en la imagen y se describe en los detalles. El producto es tal como se ve en la imagen y se describe en los detalles. El precio se corresponde con el producto.</t>
  </si>
  <si>
    <t>1l antipinchazos 1l de liquido a muy buen precio, muy liquido pero despues de leer varias opiniones me decidi a comprarlo, a ver el resultado</t>
  </si>
  <si>
    <t>Genial, de momento ni una pega Encantado con la compra, unos tenis cómodos y bonitos, geniales para el gimnasio. Lo mejor de todo, el servicio post venta. Me hicieron el cambio de talla en 48 horas habiendo un festivo en medio. La caña.</t>
  </si>
  <si>
    <t>Cumplen su objetivo de sobra Discretos y ligeros, se escucha bien y conectan rápido. Es una pena que no los haya en color blanco. También echo en falta que tenga indicador de carga para saber rápido la bateria restante.</t>
  </si>
  <si>
    <t>Reloj Ok</t>
  </si>
  <si>
    <t>Super comodo Que chandal tan comodo tiene un tejido super agradable, es muy calentito. Me lo he probado y super contencta se queda chulisimo y sobretodo es muy comodo. El pantalon viene con bolsillos, la cinturilla es de goma y trae cuerda para ajustarselo y al terminar las piernas son de goma tambien. La talla viene muy bien porque yo tengo una 42 y me pedi la xl pero porque me gusta orgero. Estoy super contenta con mi chandal .</t>
  </si>
  <si>
    <t>Funcional y barata Mini manta eléctrica con un tacto inmejorable por las dos caras, muy suave. Tiene 6 niveles de temperatura pero es demasiado, al 2 o 3 es más que suficiente y se apaga sola si se caliente demasiado. Calienta muy rápido, en menos de 1 minuto. Buen sustituyente del saco término para aliviar&amp;nbsp; dolores lumbares ya que la manta abarca mas cuerpo. Con el cinto elástico se puede sujetar la manta alrededor de la cintura y espalda y te puedes tumbar sin problemas. Pone que es lavable pero aún no lo he probado, el cable es bastabte largo y el manejo sencillo desde el mando.</t>
  </si>
  <si>
    <t>Genial aunque hace ruido Más grande de lo que imaginaba. Los colores son bonitos y aromatiza todo el comedor. Un contra es el ruido, he visto en muchos comentarios que no hacía ruido y el mío si hace. Por lo demás. Me encanta</t>
  </si>
  <si>
    <t>Regular Son cables muy finos y se nota que por 8 euros la calidad es baja. Pero de momento los estoy usando y no me han dado ruido ni nada. Esperemos que duren. Yo no volvería a comprar si eres músico profesional.</t>
  </si>
  <si>
    <t>Batidora perfecta para batidos El envio muy rapido y el producto maravilloso . Es una batidora de vaso para batidos perfecta! Estoy encantada !! Ademas la tapadera que lleva el vaso para transportarla lo hace genial!!! Yo quise un segundo vaso y escribi al vendedor y me contesto rapido que en su pagina web se puede conseguir .</t>
  </si>
  <si>
    <t>Muy lenta en la impresión y pesada de configurar Mucho sofware que instalar, muy lento y luego teniendo que investigar por mí misma cómo escanear (otro nuevo software que instalar). Y me pongo a escanear y fatal, tocaba meterse en configuración y retocar cosas. Luego me pongo a imprimir y lento no, lo siguiente (además de ruidosa). Al final decidí devolverla, mil veces mejor mi vieja Epson.</t>
  </si>
  <si>
    <t>Decepcion Mala calidad</t>
  </si>
  <si>
    <t>Volvería a comprarlas sin duda Me encantan, son elásticas, la textura de la tela me pirria y son la talla que uso habitualmente o sea que genial</t>
  </si>
  <si>
    <t>Calidad precio aceptable Son muy cómodos y transpiran bien! La puntera perfecta, pero creo q se gastarán pronto la suela, hace un par de meses q las tengo y van un poquito gastadas cosa q con otras no había notado tanto.. en depend q suelo si esta mojado resbalan un poco x lo demás bien</t>
  </si>
  <si>
    <t>Bien Las zapatillas son buenas pero dan un poco grandes</t>
  </si>
  <si>
    <t>No me gusta la transferencia de datos, va lento. Llevaba usando el modelo de 64gb durante un año, y opte por cambiarlo por uno de más espacio de almacenaje. Y cuál ha sido mi sorpresa que el modelo de 128 gb funciona peor que el que ya tenía. La capacidad es la correcta pero la transferencia de datos deja mucho que desear, va a tirones y no es solo en un equipo he probado en varios.</t>
  </si>
  <si>
    <t>Buen pendrive, rápido y buen precio Realizando pruebas de velocidad no he llegado a los 150 MB/s pero ha quedado cerca, a 135 lo cual está bien en lectura para su tamaño y precio. No se calienta apenas, algo que ocurre con los micro pendrives de sandisk que llegan a quemar. Recomendado si no quieres algo ultrarápido o muy pequeño.</t>
  </si>
  <si>
    <t>Muy práctica Me alivia mucho el dolor de cervicales. Aunque la he comprado para mí, como se puede ver en las fotos mi gata la ha hecho suya jeje. Cuando hace frío incluso me la pongo en las piernas a modo de estufa y va genial, y el tamaño es perfecto. Lo bueno es que puede programarse, así que si la pongo por la noche no me preocupa quedarme dormida. Además tiene un tacto muy suave, y al ser negra no se ensucia con facilidad, y en las instrucciones pone que se puede meter en la lavadora. Muy buena compra sin duda.</t>
  </si>
  <si>
    <t>Perfecto Compra perfecta, relación calidad precio muy bien, no he tenido ningun problema y funcionan a la perfección.</t>
  </si>
  <si>
    <t>Me encanta Funciona muy bien y con potencia, fácil limpieza y poco ruidoso</t>
  </si>
  <si>
    <t>Es un reloj icónico y fiable Por este precio, tienes un reloj de hace casi 40 años con una fiabilidad más que demostrada. Bueno, bonito (si te gusta) y barato.</t>
  </si>
  <si>
    <t>GENIALES Increible! Lo compre por elmprecio, digo a ver que recibo por 1,09€! ..... Son geniales! Los llevo desde el primer dia, no me los quito no para dormir ni para ducharme!!! Ni so quiera noto que los llevo. Gran compra.... Totalmente recomendable...</t>
  </si>
  <si>
    <t>buena calidad de materiales perfecto.. no falla ninguna cremallera y despues de 3 meses de uso diario sigue como nuevo</t>
  </si>
  <si>
    <t>sudadera con capucha león la compré para un regalo y al final tuve que comprar dos más ya que no se las quita ni para ducharse,muy buen material,abriga más que suficiente y color perfecto,tal como se aprecia en la foto.logo tanto por el anverso como por el reverso.</t>
  </si>
  <si>
    <t>Un clásico espectacular Zapatillas clásicas, y que nunca pasaron de moda. El único fallo es que el color que aparece en las fotos luego no coincide con lo enviado. Más problema de amazon que las zapatillas en si. No tengo ninguna duda respecto a su autenticidad.</t>
  </si>
  <si>
    <t>La mejor tecnología para correr. Llevo años usando estas zapatillas. Para corredores por encima de los 75kg y con soporte para pronacion. Los que no tengan pronacion también pueden usarlas. Comodisimas como un guante. De lo mejor que existe hoy en día para carreras de running por asfalto o senderos llanos. Ni siquiera necesitan rodaje. No son unas zapas cualquiera, cuentan con la mejor tecnología en cuanto a muchos componentes distintos que lleva que siempre están en constante evolución.</t>
  </si>
  <si>
    <t>Excelente disco duro para backup El disco duro Seagate es excelente para realizar las copias de seguridad de tu equipo. Dispone de 2 TB que permiten almacenar los datos que tú quieras a una gran velocidad de lectura y respuesta. El acabado y materiales son de calidad; muy satisfecho con la compra realizada.</t>
  </si>
  <si>
    <t>Agujeros infinitos Es sin dura la perforadora de mis sueños, nunca había sentido tanto poder al hacer los agujeros en mis hojas, una pasada... Tiene una guia para dejar los agujeros justo donde los quieres, como inconveniente el deposito de carga desborda con facilidad, pero nada importante.</t>
  </si>
  <si>
    <t>Un juguete fantástico Un teclado adaptado a tempranas edades que les permite reproducir las melodías sin ayuda de adultos. Se divierten al tiempo que desarrollan la memoria visual y auditiva ¡Me ha encantado!</t>
  </si>
  <si>
    <t>La qualidad Produto bueno conforme estaba en la internet. Buena relación precio-qualidad</t>
  </si>
  <si>
    <t>MUY COMODO Es muy cómodo y tiene una buena sujección, más teniendo en cuenta que el uso que yo le doy es para el gimnasio. Buena calidad del tejido.</t>
  </si>
  <si>
    <t>Rapido y util Esta bastante bien e hierve rapido, ademas tiene un diseno bastante bonito, me parece muy util porque lleva un colador para poder hervir te o hiervas chinas que ahora me hace mucha falta. Bastante recomendable, pero no toqueis el cristal que quema.</t>
  </si>
  <si>
    <t>Todo perfecto Todo perfecto,tal como se describe.</t>
  </si>
  <si>
    <t>Muy bueno Me quitó la opacidad de los cristales solo con darle con un trapo y el dedo, perfecto para trabajos pequeño s</t>
  </si>
  <si>
    <t>genial crema genial crema que te aporta una relajacion en las pierdas despues de tus entrenos. yo me la pongo cuando hago salidas largas y al dia siguiente coo nuevo, a recomiendo</t>
  </si>
  <si>
    <t>Un clásico... Relación calidad precio insuperable. Lo compré porque estaba harto de que cada reloj al que le cambiaba la pila dejase de ser estanco (para hacerlo hay que dejarse un dineral). A partir de ahora, pila gastaba, nuevo Casio F91 ó W59 y listo.</t>
  </si>
  <si>
    <t>Corto Es bastante mas corto que en la foto, por lo que no queda para nada asi.</t>
  </si>
  <si>
    <t>No se desace No se funde suavemente con la piel, se queda toda la sal pegada al cuerpo y te la tienes que quitar con una toalla. Igual me ha tocado a mi la gamba.</t>
  </si>
  <si>
    <t>Regulin por talla_ojo Me ha llegado sin cordones amarillos pero en las preguntas respondidas por el vendedor ya comenta que ésta remesa no llevan cordones amarillos.......el numero muy justo, pedi un 38 después de leer todos  los comentarios y me vienen justas.....Son un poco estrechas y no son tan holgadas de talla como se comenta en general. Por lo demás estoy encantada. No las devuelví pq es un lío tremendo</t>
  </si>
  <si>
    <t>Sólo ha durado dos meses. Me ha durado dos meses, un día usándolo sonó un ruido, como cuando saltan unos fusibles y empezó a oler a quemado, no volviendo a funcionar.</t>
  </si>
  <si>
    <t>Timo No tiene nada k ver con lo que pedi, feisimos</t>
  </si>
  <si>
    <t>Decepcion Lo primero es que los 8,8 m de cable que prometen, nada de nada; necesitaba 7,5 m y el producto que me han mandado tiene 6 m. Publicidad engañosa. Lo segundo es que cepillo esta articulado, por lo que siempre esta plano con respecto al suelo, y como hay que ponerle las celdas para suelo duro, si hay algo en el suelo con un tamaño mayor que una mota de polvo, lo que hace es que lo va arrastrando y no lo aspira. Mi angiguo aspirador era rigido y al pasarlo hacia adelante podia levantarlo un poco de la parte delantera, y al contrario al moverlo para atras. Lo tercero es el peso del conjunto tubo mas cepillo, es imposible levantarlo lo mas minimo del suelo. Lo cuarto es el sistema de asa que tiene para agarrar el tubo, es dificil de manejar, y el cepillo toma la direccion que le da la gana. Para ser un producto que no es barato, esta muy mal pensado; y lo del cable.......</t>
  </si>
  <si>
    <t>Vnas Authentic negras y blancas Mi tercer par de Vans Authentic, son muy cómodas aunque no me suelen durar mucho, siempre esta en mi lista de la compra de Amazon ya que el envío es perfecto y a un precio imbatible. Recomendadas.</t>
  </si>
  <si>
    <t>Bonitos Tienen buen presentación y han servido para hacer un regalo</t>
  </si>
  <si>
    <t>Cómodos y recomendable El gancho hace que no se te caigan y son bastante cómodos, para el precio que tienen están muy bien.</t>
  </si>
  <si>
    <t>Practico para limpiar Muy practico para limpiar, ya que se desmonta la parte de abajo y es muy comodo.  Buena compra y zz</t>
  </si>
  <si>
    <t>Buen producto Buen producto y muy buen precio</t>
  </si>
  <si>
    <t>Excelentes zapatillas Bastante cómodas para la práctica del running</t>
  </si>
  <si>
    <t>Chaqueta Perfecta</t>
  </si>
  <si>
    <t>Pulsera Tamaño perfecto</t>
  </si>
  <si>
    <t>USB 3.0 DE 128GB BASTANTE RÁPIDO Despues de leer muchas opiniones de gente que decian que era falso, me lo estube pensando, pero de ser asi lo devuelvo por amazon y listo. Me ha llegado y es original*, son 128gb x 0,9313 = 119,20GB (El que tengo tiene 115,50GB) Cosa que no puedo explicar La velocidad de escritura es de 47mb/s conectado a un puerto USB 3.0 subendo archivos de 3 a 4GB y con el pendrive formateado en ntfs, estaria más optimizado en exfat. La serigrafia que tiene pone DataTraveler 100G3 128GB (Parte superior) y KINGSTON (Parte inferior) De mano viene con una partición no asignada de 60mb que elimine y luego no tenia acceso al Pendrive, descarge de la pagina oficial de Kingston (Kington Format Utility) y lo pude formatear (En mi caso ntfs) Es cierto que al insertar este pendrive al PC deberia de aparecer el logo de Kingston y no como unidad USB, pero tambien es cierto que si lo formateas directamente lo dejas así, cosa que no es importante*  Pros: Precio por GB, cualquier problema se hace cargo Amazon  Contras: Las velocidades indicadas de capacidad no son reales, porque deberia si es de 128GB traer 119,20GB como minimo y no 115,50GB. Las velocidades de lectura y escritura tampoco son las indicadas en el anuncio que pone 100 de lectura y 10 de escritura (Tiene más de velocidad de escritura y menos de lectura)  Le he metido 113GB de una serie sin problema, capacidad real tiene, funciona perfectamente</t>
  </si>
  <si>
    <t>Excelente calidad Buenos tuve que pedir una talla menos porque si ceden muchísimo. Al usarlos son super confortables, no se ve el pezón y forma muy bonito. Quedé encantada pediré otra para regalo.</t>
  </si>
  <si>
    <t>Tal cual la descripción. Los hemos usado para hacer juguetes a nuestro bebé y nos ha gustado mucho.</t>
  </si>
  <si>
    <t>Genial Genial! Rapido y muy bonitas!!</t>
  </si>
  <si>
    <t>Practico Me encanta. Mi bebe lo usa mucho y es genial para su autonomia. Le pedí ademas la boquilla de recambio que no gotea. De esta manera mi bebé bebe solito su agua o leche.</t>
  </si>
  <si>
    <t>Para goprohero 4 La utilizo para una gopro hero 4 y va de lujo. No hay cortes ni nada por el estilo en grabaciones 4K</t>
  </si>
  <si>
    <t>En buen rstado Buena compra y en miy buen estado</t>
  </si>
  <si>
    <t>Comodidad y seguridad Son súper cómodos y no pesan nada parecen guantes en los pies</t>
  </si>
  <si>
    <t>Calidad a buen precio Comodos. Buen precio. Calidad</t>
  </si>
  <si>
    <t>No se salen de su lugar Yo creia que ese microfono tan saliente que traen iba a provocar que se cayesen de su sitio pero no, no provocan un desequilibrio pese a que sobresalgan tanto, entiendo entonces que la bateria la llevan en la parte mas redonda que va cerca del oido y el peso se concentra ahi. Me gustan mucho como suenan y lo sencillo que es emparejarlos, ya que lo hacen solos nada mas sacarlos de la caja, es decir, si los sacas a la vez te hacen el trabajo ellos, no puedes sacar uno, estar un rato y luego sacar otro, asi tendras dos sueltos en la lista de bluetooth. Muy rapidos para recargarse en la estacion que viene, que por cierto los protege muy bien en caso de caidas, y mas de 3h de rendimiento a todo volumen, buena compra.</t>
  </si>
  <si>
    <t>Se ajusta a lo descrito Buen producto</t>
  </si>
  <si>
    <t>Muy buen robot aspirador Funciona perfectamente, con un nivel de ruido bajo en comparación con la Roomba. Potencia de aspiración suficiente y por ahora sin pegas</t>
  </si>
  <si>
    <t>Buena compra Muy cómodas y preciosas</t>
  </si>
  <si>
    <t>Comodidad Zapatiilas cómodas. Tal y como esperaba</t>
  </si>
  <si>
    <t>Todo correcto. Envio rapido Creo que la mrca hace pagar un precio excesivo pero me van bien i son comodas. Podria ser mas rebajadas</t>
  </si>
  <si>
    <t>Problema en la plantilla &lt;div id="video-block-R2VGV103T1J76O" class="a-section a-spacing-small a-spacing-top-mini video-block"&gt;&lt;/div&gt;&lt;input type="hidden" name="" value="https://images-eu.ssl-images-amazon.com/images/I/91AbXfSSVJS.mp4" class="video-url"&gt;&lt;input type="hidden" name="" value="https://images-eu.ssl-images-amazon.com/images/I/A1rlXJRXwmS.png" class="video-slate-img-url"&gt;&amp;nbsp;No hace ni dos meses que había realizado la compra y que estaba contento con la comodidad, de hecho iban como un guante, y de repente surgió un ajujero super molesto en la plantilla de las dos zapatillas que me incomoda tanto que no las puedo utilizar. Ya me pasó algo similar con otras zapatillas de la misma marca pero los agujeros surgieron al cabo de un año por lo menos.</t>
  </si>
  <si>
    <t>Muy recomendable Es tan cual como aparece en la foto y queda muy bonita</t>
  </si>
  <si>
    <t>un mazacote de bota Demasiado grande, demasiado rígida. No es una bota cómoda y me sobraban 3 dedos de punta y 1 de ancho. Tuve que devolverlas.</t>
  </si>
  <si>
    <t>Son cómodas de llevar El tamaño está muy bien. Pero las "piedrecitas" se ven muy artificiales. Por el precio está bien.</t>
  </si>
  <si>
    <t>Mala calidad Muy malo, tan bueno que dicen que son... Se le sale la leche por la tetina y es un cachondeo!!! No compro mas de esta marca. Los mejores son los NUK de cristal</t>
  </si>
  <si>
    <t>Los números no se ven un carajo!!! Tal como salio de la caja no podía apreciar los digitos, ni nada, para ello debes poner el reloj evitando reflejo y con la suficiente luz, incluso con la luz que trae interna no se ve ni torta.... lo demás no he llegado a probarlo porque va de vuelta a la tienda!!!!</t>
  </si>
  <si>
    <t>Comodidad, sujeción y adaptación Muy cómodo y buena sujeción.</t>
  </si>
  <si>
    <t>Calidad precio Bien</t>
  </si>
  <si>
    <t>Bonitas pero caras Son unas zapatillas con cordones que presentan buenos acabados y buena calidad.  Están fabricadas en lona bastante transpirable, además tienen una buena suela y las costuras parecen fuertes, cosa que para mí es importante mirar en este tipo de zapatillas, ya que las uso a diario y suelen despegarse con el tiempo.  El diseño es sencillo pero bonito, quedan bien con cualquier look veraniego. Las he utilizado varios días ya y son muy cómodas.  Lo que menos me ha gustado es el precio, ya que me parece excesivo para unas zapatillas de tela, aunque como con todo, pagamos la marca.</t>
  </si>
  <si>
    <t>Cómodas y buenas Las compré por que usé otro par igual,también de adidas y me duraron muchos años,las tengo de varios modelos casi todas de ofertas de amazon y como mi hijo está creciendo ahora le valen las suyas,las compré por el resultado tan bueno que me dieron y si duran igual que las anteriores,las pondrá el casi seguro.</t>
  </si>
  <si>
    <t>Comodidad Son muy comodas</t>
  </si>
  <si>
    <t>Genial! Ideal para llevar todas tus cosas en vacaciones.</t>
  </si>
  <si>
    <t>TODO PERFECTO Envío rápido según lo comprometido. Producto en perfecto estado, tal y como era esperado.</t>
  </si>
  <si>
    <t>Super guay Estoy muy contenta con el producto</t>
  </si>
  <si>
    <t>Es cómodo. Tiene peso,lo que esta bien porque evita que se mueva demasiado,la calidad de los materiales esta muy bien sobretodo para el precio que tiene.</t>
  </si>
  <si>
    <t>Relación calidad/precio Excelente calidad y relación precio. Puntualidad y talla correcta acorde a la descripción de tabla.</t>
  </si>
  <si>
    <t>Muy buenas Una calidad excelente, aunque las ves un poco opacas, cuando la usas quedan completamente transparentes. He probado otras y como estas no queda ninguna, De lo más recomendable</t>
  </si>
  <si>
    <t>Buena calidad precio Buena calidad precio. No necesitaba mucha capacidad de almacenaje por lo que opté por algo pequeño y barato y este cumple su funcion a buen precio. El acabado es en metalico bastante chulo</t>
  </si>
  <si>
    <t>el café es riquisimo El café sale riquísimo es pequeñita y no ocupa espacio.Me encanta.Y deja un aroma riquísimo.Con bosch nunca te equivocas es la mejor que he tenido.</t>
  </si>
  <si>
    <t>Bonito pero pequeño Lo e comprado para regalo de Navidad se ve bonito pero es más pequeño de lo que creía</t>
  </si>
  <si>
    <t>PERFECTO PARA LIMPIAR COMODAMENTE CRISTALES DIFICILES DE LLEGAR LO HE PUESTO EN EL PALO, Y VA FENOMENAL, ES PRACTICO, COMODO, FACIL DE LIMPIAR, Y LO ARRASTRAS MUY BIEN POR EL CRISTAL.</t>
  </si>
  <si>
    <t>Encntado Me gusto mucho la batidora es muy práctica y te puedes llevar la botella a cualquier sitio. Esty muy sastifecho</t>
  </si>
  <si>
    <t>Calidad precio inmejorable Muy bonito y sencillo</t>
  </si>
  <si>
    <t>De "no funciona" a "Me encanta!" Cuando recibí este producto, no funcionaba, no se ponía en marcha. Escribí un comentario en Amazon explicándolo y el vendedor (Poweradd) contactó conmigo para ofrecerme un producto nuevo que recibí a los dos días. Ahora, tras probar la batidora varias veces puedo decir que ahora funciona perfectamente y me gusta mucho. La utilizo para hacer smoothies y quedan perfectos. Me gusta lo fácil que es, la textura que tienen los smoothies y que se puede poner todo en el lavavajillas. Quiero resaltar la excelente atención al cliente de Poweradd. Querían asegurarse que tuviera una buena experiencia con el producto y se han asegurado de ello. Sin duda, se han ganado mi confianza.  Este era el primer mensaje que escribí, lo dejo para que se pueda ver todo el historial: "Acabo de realizar los trámites para devolver este producto ya que no funciona, simplemente no se pone en marcha. Al girar la rueda para seleccionar velocidad, ésta se mueve pero la batidora no se pone en marcha. Lo hemos probado en diferentes enchufes por si acaso pero no ha funcionado en ninguno. En unos días vendrán a recogerla."</t>
  </si>
  <si>
    <t>Perfecto Es un producto muy bueno y amazon lo tiene a un precio genial!</t>
  </si>
  <si>
    <t>Perfecto Pegamento de muy bueba calidad, pegar realmente fuerte.</t>
  </si>
  <si>
    <t>Sonido perfecto Lo más deseable es el buenísimo sonido! Tanto de los graves como el sonido en general; además la cancelación de ruido es muy buena. El acabado de los auriculares también muy bueno. Muy útil el indicar de carga de la base (de los dos auriculares por separado). Es posible cargarlos varias veces y la batería dura bastante. Se ajustan muy bien a la oreja. Calidad/precio buenísima; hasta el momento de los mejores que he probado</t>
  </si>
  <si>
    <t>Ligera Producto inmejorable calidad precio, ligera impermeable y abriga</t>
  </si>
  <si>
    <t>Muy bien Son muy cómodas, pero frescas no son. Para invierno de lujo.</t>
  </si>
  <si>
    <t>👍 Muy buena</t>
  </si>
  <si>
    <t>Nada! Nada cómodas, lo siento</t>
  </si>
  <si>
    <t>Tallas Salomon pequeñas Como siempre Salomon talla muy pequeño. Hay que pedir como mínimo un número más de lo habitual, o mejor dos números mas para llevar un calzado holgado. Por lo demás un buen calzado.</t>
  </si>
  <si>
    <t>Engaño Mala calidad se pone negra en dos días</t>
  </si>
  <si>
    <t>Gotean muchisimo Fatal. Los compré porque la gama e cristal me va muy bien pero estos con 3 usos gotean y manchan al bebé. Gotea tanto que hay q cambiar al bebé entero de ropa. Muy mala experiencia</t>
  </si>
  <si>
    <t>Buena relación calidad y precio Es de buena calidad y está bien terminada. Los accesorios son utiles en el montaje. He quedado satisfecho con la compra.</t>
  </si>
  <si>
    <t>utilidad Esta bien el producto por el precio.</t>
  </si>
  <si>
    <t>Silencioso y rapido Me ha gustado el tamaño el silencio y la rapidez. Deberían de apoyar un soporte para insttalalo como disco interno y no tener que hacer otra compra. Con el precio que tiene el disco y lo que cuesta el soporte bien podrían incluirlo al comprarlo. el precio es correcto. ¡ Por favor no me pidan que valore el producto 5 veces como vienen haciendo con otros productos que he comprado!</t>
  </si>
  <si>
    <t>Sencillez Fácil de utilizar</t>
  </si>
  <si>
    <t>Perfectos! Muy elegantes y sobre todo muy comodos.</t>
  </si>
  <si>
    <t>Excelente compra Funciona a la perfeccón para xiaomi mibox.Muy buena velocidad, no baja para nada el rendimiento. Lo recomiendo sin ninguna duda.</t>
  </si>
  <si>
    <t>Un clásico auténtico He comprado un par para mis enanos. Están encantados con sus relojes desde hace más de medio año y, como suele ser costumbre con estos Casio, seguramente por unos cuantos años más. Sin problemas.</t>
  </si>
  <si>
    <t>Muy buena Queria una batidora para hacerme batidos de frutas para llevarme al gimnasio y esta me biene genial porque te trae 2 vasos para poder tener siempre uno limpio son muy comodos y es muy ligera para mi perfecta las cuchillas cortan muy bien de momento.Me gusta bastante.</t>
  </si>
  <si>
    <t>Gran capacidad Me encanta. Suelo viajar bastante en tren y siempre lo llevo conmigo tanto para trabajar, como para ocio. En mi iPad funciona a la perfección y la aplicación no me ha dado nunca problemas. Además el diseño me encanta!</t>
  </si>
  <si>
    <t>la calidad del producto y la rapidez de entrega es un buen calzado y me ajusta muy bien</t>
  </si>
  <si>
    <t>Chandal muy bonito Me gusta muchísimo . Es perfecto para este tiempo ya que es fino. Queda muy bonito puesto. La chaqueta es de las cortitas y me gusta como queda Se ve buena tela . Las tallas vienen muy bien. Me queda perfecto</t>
  </si>
  <si>
    <t>El tamaño es idóneo,para mi uso Las cremalleras se ven fuertes,lo uso para llevar la cartera y el móvil,no necesito más.No quería un tamaño grande,con este me basta.No es de cuero,pero de un tejido fuerte y a prueba del agua.</t>
  </si>
  <si>
    <t>Calidad, Seguridad, Funciona Tamaño, Calidad de fabricación. Adaptación Bebé.</t>
  </si>
  <si>
    <t>Genial Desde el primer momento que las calzas se ciñen como un guante, ligeros suaves y cómodos, trabajo de pie y las recomiendo.</t>
  </si>
  <si>
    <t>Chaqueta ideal para lluvia, viento y frío Muy contenta con la compra. La talla M perfecta para una estatura de 1,90 y 83 kgs. La única pega es que no tiene bolsillo interior. No puedo aportar más datos porque ha sido un regalo y aún no ha tenido ocasión de usarla.</t>
  </si>
  <si>
    <t>Calidad/Precio muy bueno Reloj con la garantia Casio. Tamaňo mediano, ligero e ideal para hacer deporte. Alarma, Water Resist, cronometro, luz.etccc Totalmente recomendable</t>
  </si>
  <si>
    <t>rapidez muy rapido para hacer zumos,esteticamente muy bonito</t>
  </si>
  <si>
    <t>Original y  de buena calidad Pandora original. Viene en bolsita con el logo, pero echo en falta una cajita o algo así, de todos modos el precio es inmejorable.</t>
  </si>
  <si>
    <t>Cortadora de papel Me es muy útil, la uso para recortar fotografias, sobretodo para tamaño carnet. Corta muy bien el papel tanto recto como en ángulo y viene con una regla que viene muy bien.</t>
  </si>
  <si>
    <t>Té Buen producto</t>
  </si>
  <si>
    <t>Tarjeta Era lo esperado</t>
  </si>
  <si>
    <t>Color Baratos</t>
  </si>
  <si>
    <t>Después de 21 meses ha fallado Compré este disco duro en diciembre de 2015 y lo puse en un NAS Synology. Hoy 9 de septiembre de 2017, el NAS comunica que el disco duro ha fallado, así que me tocará hacer uso de la garantía, puesto que este disco duro tiene una garantía de 3 años. Por ahora estoy pudiendo hacer copia de seguridad de los datos a un HDD USB, pero no sé cuando puede fallar del todo.</t>
  </si>
  <si>
    <t>Buena respuesta del vendedor Vinieron doblados, eso sí le escribí al vendedor comentándoselo y me dio una solución. Obviamente por su precio no esperéis que sea un complemento de gran calidad</t>
  </si>
  <si>
    <t>Bien Pero...... El Micro por su precio está muy decente , peeeero deberían informar en la descripción de este que necesita de alimentación externa (Phantom power 48v) Sin ésta alimentación no funciona .  Por probar a ir subiendo volumen (A ver si se escuchaba)  he roto un altavoz de mi equipo tras un crujido en la conexión...</t>
  </si>
  <si>
    <t>Cuidado: copia y mala calidad Usadas de manera ocasional (2-3 veces semana) desde hace 3 meses. El pie izquierdo esta perfecto, pero el pie derecho está como lo veis en las fotos. A parte del agujero, esta la piel de la talonera como desgastada y a bolitas.  Por ahorrarme 20 € las pedí por esta vía. Vienen de china y estuve 20 días esperando. Llegó con caja pero muy deteriorada/deformada. Puedo asegurar que son una copia, he tenido otras y nunca me ha pasado esto. Si bien son compodas, la durabilidad deja mucho que desear. Parece mentira como Amazon permite estas cosas.</t>
  </si>
  <si>
    <t>Orestes Sanchez Una vergüenza!!! Súper pequeñas, Ridículas y de malísima calidad!! Las hemos devuelto!!! Parecían sacadas de un juego de monopoli!!! Una estafa!!! No se las recomiendo a nadie!! Te sale más económico buscar monedas extranjeras color plata y pedirlas  nuevas en un banco!!</t>
  </si>
  <si>
    <t>Bueno Gran potencia</t>
  </si>
  <si>
    <t>Relación calidad precio Tal y como se describe, fácil montaje. Contento.</t>
  </si>
  <si>
    <t>buena compra producto de calidad muy practico para limpiar cristales grandes a mano también vale para usar con mango telescópico de la misma marca</t>
  </si>
  <si>
    <t>Memoria sin mas Lo uso como disco duro para llevar encima. La capacidad es la adecuada para lo que yo quiero, el uso es sencillo, como una memoria USB de las de toda la vida. Tiene un mecanismo que teóricamente protege el conector USB, pero solo lo tapa por alrededor, no cubre la entrada del conector, por lo que se ensucia un poco y tengo que soplar a veces. Por eso no le pongo 5 estrellas.</t>
  </si>
  <si>
    <t>Buena calidad Tiene buena calidad y es caliente, el tallaje como todo este tipo de ropa es pegado al cuerpo, merece la pena</t>
  </si>
  <si>
    <t>Maravillosa Lo mejor para la lactancia, aunque se estropea y pierde efectividad si se calienta x lo que hay que esterilizarla con pastillas nada más. Observar que hay pompas cuando succiona el bebé, pues si no las haya es xq se ha atascado y hay que soplar a los agujeritos.  Para que el bebé lo coja, untar ligeramente con glucosa líquida.</t>
  </si>
  <si>
    <t>Muy bueno Me encantan los artilugios de masaje, lo que se notan son las bolitas rodando por la planta de los pies, muy buena sensación. Además da calorcito, que para el invierno vendrá genial. Lo que hay que tener en cuenta es que a partir de la talla 45 empieza a quedarse justito de talla.</t>
  </si>
  <si>
    <t>Muy rápido la entrega Tal cual como la foto.</t>
  </si>
  <si>
    <t>Buena compra Buena compra, piel auténtica, muy bien hecho y elegante. Tamaño justo para cartera, móvil,gafas y llaves, suficiente. Contento, lo recomiendo.</t>
  </si>
  <si>
    <t>Calidad de sonido Buena presentación, vienen bien empaquetados. Se ven de calidad nada más abrirlos. Me gusta que trae varios pares de almohadillas de diferentes tamaños que se adaptan al oído (3 específicamente) son muy cómodas y aislan totalmente el sonido. La calidad del sonido es buena. Tienen garantía de un año por si tuviéramos algún problema.</t>
  </si>
  <si>
    <t>Buena calidad de sonido y materiales. El sonido es espectacular, además no se mueven en el oído. Viene con varias almohadillas para adaptar los auriculares y evitar su movimiento.</t>
  </si>
  <si>
    <t>Manejable Perfecto para tocar en la calle, es pequeño y manejable, cabe en la funda de la guitarra y el sonido que da es bastante bueno. Necesita pila de petaca de 9 voltios o alimentación de 9 voltios que viene sin ellas.</t>
  </si>
  <si>
    <t>Excelente, recomendable 100% Me encanta este producto, es un reloj perfecto para el día a día. Un clásico que, en mi opinión, destaca por su calidad/precio. Lo tengo desde hace dos meses y aún funciona perfectamente. Tendré que esperar para ver su funcionalidad a largo plazo; pero, de momento, estoy muy conforme con los resultados.</t>
  </si>
  <si>
    <t>Segun lo esperado Muy bonitas</t>
  </si>
  <si>
    <t>Una virguería Quizás para los milennials no, pero para los que venismod e antiguo y nos gastabamos 80€ en un pendrive de 512mb esto es una virguería...64gb en tan poco espacio y con dos tipos de entrada, muy bueno</t>
  </si>
  <si>
    <t>Perfecto para su precio El reloj está muy bien pero ..... Es más pequeño de lo que pensaba pero esta muy bien y funcional. La vibración si se nota y te despierta.</t>
  </si>
  <si>
    <t>buena La oficina es un poco pequeña y no se adapta a la pizarra móvil. Esto es justo para la pared y el tamaño es un poco estrecho. Necesitas comprar 2 piezas para tener aproximadamente el mismo tamaño que una pizarra móvil. Puede cortarlo a voluntad. Cuando lo pegue, no lo fuerce cuando lo pegue. Será mejor si lo sostiene con cuidado.</t>
  </si>
  <si>
    <t>Magnífica compra Más de una año usándolo. Va como el primer día. Lo uso para escuchar la radio. Por lo que la calidad de audio no es para los más exigentes. Aún así se escucha bastante bien. La duración de la batería es aceptable. Como lo uso en periodos cortos, me dura bastante. El micro que lleva para usarlo de manos libres no es muy bueno. En las llamadas mi interlocutor, siempre dice que me escucha mal, pero sirve para salir del paso. Tú si que escuchas la llamada muy bien. Lo único que se echa en falta es la cajita cargadora que ya viene en otros modelos y está muy de moda.</t>
  </si>
  <si>
    <t>Recomendable Calidad precio perfecto</t>
  </si>
  <si>
    <t>Perfectas Llegaron mucho antes de lo esperado y me parecieron preciosas. Era para un regalo y dudaba de la talla pero ha sido un acierto total. Agarran en tierra a la perfección, cómodas. No  hay una pega. Un acierto total.</t>
  </si>
  <si>
    <t>muy bien Genial, fantástico... No se ni cómo definirlo de lo que me ha gustado. Cumple su función perfectamente, masajea con diferentes modos e intensidades. Pesa un poco, pero el peso también ayuda a que el masaje sea más intento…</t>
  </si>
  <si>
    <t>nada destacable se ajusta a la tarjeta correctamente cumple su funcion y no tiene orguras</t>
  </si>
  <si>
    <t>Humidificador y ambientador Me recomendó el medico un humidificador porque en la epoca de primavera y verano lo paso mal por la alergia, ya que se me reseca mucho la garganta y la nariz. Lo he puesto en el salón de mi casa, que es amplio. Se nota mucho el ambiente humedo, incluso le he añadido unas gotas de aceite de esencias, y huele toda la casa super bien. Tiene diferentes colores de iluminación, y se puede temporizar para que esté funcionando de manera continua, cada 10 segundos, durante 2 horas o durante 4 horas. Es muy silencioso y ni recuerdas que está funcionando.</t>
  </si>
  <si>
    <t>Más altas que otros modelos Tengo unas xacobeo y estas son más altas y traen mejores cordones</t>
  </si>
  <si>
    <t>Muy duras Muy duras... Cuesta adaptarse a ellas, para los pies delicados no las recomiendo, una ya se me rayo y se ve una raya blanca que no le puedo quitar. En cuanto a diseño bien</t>
  </si>
  <si>
    <t>Que son blancas Lo que yo necesitaba</t>
  </si>
  <si>
    <t>No funciona Producto que es un fracaso total. He perdido todas Las fotos y vídeos que había guardado en él. La primera vez que lo conecté funcionó y trasladé los archivos. Cuando volví a conectarlo se quedó bloqueado y me costó horrores que el móvil reconociera la unidad. Desde entonces he necesitado dos o tres intentos para hacerlo funcionar. Y hoy cuando he ido a cargar unas fotos en el PC, no solo me ha bloqueado el ordenador sino que cuando he conseguido abrir la unidad, me dice que la unidad está vacía. HE PERDIDO TODAS MIS FOTOS Y VÍDEOS DE ESTE VERANO!!!! Solicito devolución del importe!!</t>
  </si>
  <si>
    <t>Malas Las peor chancletas de mi vida, me las he puesto un día y se acabo. Pedí mi talla, puestas normal parexe q bien pero al andar nada q no van rectas</t>
  </si>
  <si>
    <t>Auriculares defectuosos Me hace dudar de que sean los originales Samsung ya que el envoltorio es un plástico. Al probar los auriculares el L no se oye prácticamente, y teniendo el volumen al max el sonido no es alto , en cambio con los que tengo originales Samsung, el sonido es más envolvente y se oyen con mucha mejor calidad. Los que pone J5 son los originales los otros no</t>
  </si>
  <si>
    <t>Bonito collar. Como regalo de Navidad he acertado. Además que le queda espectacular a mi chica. Por ponerle algún contra, es que la parte superior no queda ajustada al cuello, motivo por el cual la compré.</t>
  </si>
  <si>
    <t>Tetina tres agujeros pone número 4. Lo único a lo que le pongo pega es q la tetina es del número 4 pero solo tiene 3 agujeros. Pero como yo tenía más tetinas lo que necesitaba eran los biberones y me los quedé</t>
  </si>
  <si>
    <t>Javier Bonito y práctico. Buen material, caben tarjetas pequeñas, medianas y grandes sin dificultad. Tapa dura que le da más durabilidad.</t>
  </si>
  <si>
    <t>Comodos Me han gustado mucho y muy comodos</t>
  </si>
  <si>
    <t>PERFECTO Se ve de buena calidad, aún no lo he usado mucho pero tiene buena pinta y el compartimento interior para las cuchillas de recambio lo veo muy práctico.</t>
  </si>
  <si>
    <t>Rebeca Magnífico producto. Aplica el masaje con fuerza suficiente y el tiempo de uso es adecuado. Lo he utilizado una vez en la zona cervical y otra en la dorsal. Probaré otras zonas como lumbares y rodillas. Viene bien presentado y embalado.</t>
  </si>
  <si>
    <t>Muy bonitos un Pequeños pero muy bonitos</t>
  </si>
  <si>
    <t>He comprado este después de devolver el CONGA 3090 De momento todo bién. Ningún fallo aunque es pronto (llevo 1 semana). Vengo de un CONGA 3090 el cual tuve que devolver porque fallaba más que una escopeta de feria y el servicio postventa de CECOTEC es malo, malo, malo....... Este se nota que tiene un más calidad y el sistema de navegación está muy logrado ya que se puede seleccionar qué habitaciones quieres que limpie . Incluso después de enredarse en algún cable y de moverlo de donde estaba (no mucho) es capaz de volver a ubicarse y continuar la limpieza. La mopa húmeda también funciona muy bien ya que no gotea porque lleva un sistema que no cae por gravedad.  Lo dicho, de momento muy contento.</t>
  </si>
  <si>
    <t>Es para lo que es... Tiras de velcro que te permiten organizar el cableado y no tenerlo todo revuelto por ahí. Para lo que es, viene perfecto. No son demasiado grandes por lo que para mazos de bastantes cables se puede quedar corto, pero para un uso normal, son perfectas. Y con la cantidad que vienen tienes para recoger muuuuchos cables.</t>
  </si>
  <si>
    <t>Un buen aparato Fáciles de usar y sincroniza con el móvil, estos auriculares son un buen complemento para el día a día y para el deporte. El sonido es más que correcto para lo que valen. El peso de los auriculares es ideal porque no son nada pesados. Últimamente he utilizado los auriculares que llevan un cordón por detrás de la cabeza por lo que el usar los inalámbricos por completo evitas algunas de las incomodidades como el roce del cablecito con la ropa o el cuello.</t>
  </si>
  <si>
    <t>Uso sencillo Me ha gustado bastante, todos los modos. Tiene variedad de potencias, desde la más relajada a la más potente. El tamaño es el adecuado para poder hacer el masaje con maniobrabilidad. El batería le dura bastante y el cargador es sencillo.</t>
  </si>
  <si>
    <t>Muy muy recomendables. Estupendas camisetas Joma. Geniales. Tallan perfectas. Suaves y comodas. Transipirables. Muy buena calidad-precio. Están tiradas de precio. He comprado en varios colores.</t>
  </si>
  <si>
    <t>Los auriculares tienen una presencia impresionante Los auriculares tienen una presencia impresionante, dan una sensación de la calidad muy buena, que una vez que lo tocas la sensación de calidad se confirma, decir que son muy bonitos y muy cucos, la base de carga es muy pequeca y se lleva en el bolsillo.Despues de mucho tiempo he encontrado lo que deseaba, después de tener tres auriculaes Bluetooth con cable no me convencían ninguno, decide adquerir estos sin cable y he acertado de pleno, estos no se desconectan hasta pasado los 10 metros dentro del domocilio con muros por medio.La música se oye muy bien y cuando recibes la llamada sin problemas, nunca pierdes el emparejamiento de los auriculares, se escuha alto y claro, los graves y bajos los resuelve bastante bien.</t>
  </si>
  <si>
    <t>Comodidad Geniales, son súper cómodas!!!</t>
  </si>
  <si>
    <t>bueno bonito y barato Bueno bonito y barato. Un reloj para uso diario sin muchas pretensiones. Bateria de larga duración, acuático. Una buena elección.</t>
  </si>
  <si>
    <t>Que cumple mis expectativas Es perfecto para mi uso</t>
  </si>
  <si>
    <t>La aproximacion Perfecto para el precio que tiene</t>
  </si>
  <si>
    <t>Calidad Buena limpieza y olor agradable</t>
  </si>
  <si>
    <t>Que puedo utilizarlas con las plantillas que me han puesto. Habitualmente utilizo calzado MBT, pero antes y ahora para el Tai Chi exclusivamente, utilizo playeras "Salomón. Me quedan perfectas, incluyendo las plantillas que me ha puesto el médico. Las pedí el día 5 y llegaron perfectamente embaladas el día 6. Yo las recomiendo como calzado deportivo. Son muy buenas.</t>
  </si>
  <si>
    <t>Bien Ha hecho su función</t>
  </si>
  <si>
    <t>Muy buena Calidad/Precio Son lo que esperaba, tienen una calidad de audio muy buena para el precio que tienen. Además son bastante cómodos, los he usado de forma continuada bastante tiempo sin apreciar molestias. En general, estoy muy contento con el producto.</t>
  </si>
  <si>
    <t>Zapatillas blancas veraniegas Las compré para regalársela a mi mujer , y la verdad que está muy contenta con sus zapatillas blancas , me dijo que las lleva muy bien , son cómodas , fácil de combinar con cualquier prenda a la hora de vestir , vamos todo en acierto con la compra , el tallaje tuve que comprar una talla más de la que ella usaba ( por ejemplo si usas el n° 39 , yo te recomiendo que comprar el n° 40 ) así que si no vas a la moda es porque no quieres !!!</t>
  </si>
  <si>
    <t>No lo recomiendo. Parece resistente , pero la luz es muy tenue tanto que impide el uso del reloj en situaciones nocturnas y es muy pequeño el menú digital. Aunque el precio competitivo no lo compraría de nuevo.</t>
  </si>
  <si>
    <t>Para lo que pagas... Vamos a ver, para lo que pagas ya es bastante que funcione, pero... que las 3 esferas este "impresas" en el fondo y no sea parte del reloj.. da una sensación nefasta. Le pongo un 3 por lo que se paga que es irrisorio, pero... la verdad es que esperaba un poco mas de apariencia</t>
  </si>
  <si>
    <t>Resbalan mucho. Esta marca es de calidad , se nota en los acabados y en la comodidad. Pero este modelo tiene una serie de inconvenientes. El primero es que es muy resbaladizo si la superficie está mínimamente humeda patina( con el cobsiguiente riesgo).El segundo es que son algo pesados. Y el tercero es que no valen para el running( aunque esto último es culpa mia por no leer detalladamente las descripciones).</t>
  </si>
  <si>
    <t>Demasiado "brillante" para mi gusto Es un buen micrófono para su precio, con nitidez y bajo ruido de fondo, pero demasiado sibilante y brillante en altas frecuencias para mi gusto. Te recomiendo probar el X1S de SE Electronics, da un sonido más cálido por un precio similar.</t>
  </si>
  <si>
    <t>En menos de un mes, no funciona el cargador de USB Solo tiene un mes, y los dos cargadores de USB no funcionan ya.</t>
  </si>
  <si>
    <t>Mal olor y sabor al agua No recomiendo su compra. Lo compramos para calentar el agu del biberón del bebé durante un viaje y tuvimos que dejar de usarlo y que dejaba un sabor y olor al agua repugnante.</t>
  </si>
  <si>
    <t>una cuchara es lo que es..una cuchara para echar cafe con un prensador por detras.cumple su funcion.el diametro del prensador es de 5 cm cosa que hay q tener en cuenta</t>
  </si>
  <si>
    <t>Correcto Lo recibido era lo esperado, venía un ligero desteñido en la lengüeta pero después de un lavado se ha solucionado</t>
  </si>
  <si>
    <t>Comodidad y calidad La calidad de sonido es muy buena, tiene una salida muy plana, así que si quieres graves potentes o agudos brillantes puedes jugar con el ecualizador. Son semi-abiertos, se escucha todo casi como si no llevaras cascos. La claridad de la dirección del sonido es algo que me ha sorprendido gratamente. Los cables son bastante largos, y el tipo telefónico pesa más de lo que me gustaría. Viene con un adaptado jack-minijack muy útil para un aplificador. No es necesaria tarjeta de sonido, su impedancia no es la más baja, pero con un movil normal el volumen que da es más que suficiente.</t>
  </si>
  <si>
    <t>La tela Muy bien muy cómodo se adapta a tu cuerpo</t>
  </si>
  <si>
    <t>Camiseta basicas Una camiseta basica de buena calidad, genial para un look sencillo con unos vaqueros. A tener en cuenta que la tela es elastica y en la foto no se aprecia. Las tallas son mas bien grandes</t>
  </si>
  <si>
    <t>Muy buena relación calidad precio Plantilla foam</t>
  </si>
  <si>
    <t>No hay comparacion Trabaja muy bien</t>
  </si>
  <si>
    <t>Uno de los mejores productos naturales que he comprado Uno de los mejores productos naturales que he comprado. Que producto tan bueno gracias por que es muy efectivo elimina el dolor y la inflamación de cualquier golpe. La verdad que es muy bueno</t>
  </si>
  <si>
    <t>Muy bueno Corresponde a la descripción del vendedor. Buena calidad, calentito. Lo pedí una talla más a la mía y me queda perfecto. Lo uso casi todos los días.</t>
  </si>
  <si>
    <t>Muy bien Parece de buena calidad y con los botones mas abajo se puede acceder también si enchufamos algo mas grande.</t>
  </si>
  <si>
    <t>Una pasada Necesitaba unos auriculares para un regalo y compré estos por las buenas críticas, los usamos para hacer senderismo y son una pasada. Sorprende la bateria de 3500 mAh que es muy eficiente. Además al toque puedes llamar a siri, contestar llamadas... lo hace todo muy corretamente. Aunque su punto fuerte es el sonido de los graves, suele costar bastante en estos auriculares, pero aquí esta muy bien conseguido. La caja es resistente y la puedes guardar en la mochila o bolso sabiendo que los tienes protegidos.</t>
  </si>
  <si>
    <t>Se oye bastante bien Comprobado el auricular para escuchar la radio y las llamadas que se reciben de momento parece que se escucha bastante bien. Hice el pedido ayer viernes y en menos de 24 horas lo tenía en casa. Todo perfecto.</t>
  </si>
  <si>
    <t>Super rápido el envío Calidad precio genial</t>
  </si>
  <si>
    <t>Muy útil Perfecta</t>
  </si>
  <si>
    <t>Muy calentitos Los calcetines son muy calientes y se adaptan perfectamente a los pies. El material de fabricación es de muy buena calidad. Los he probado el pasado fin de semana y me han dado calor, por lo que recomiendo usarlos en pleno invierno. Son bastante ajustados, por lo que pueden apretar a los que tengan las piernas grandes.</t>
  </si>
  <si>
    <t>Los recomiendo 100% compatible</t>
  </si>
  <si>
    <t>Práctico Ya he hecho varios batidos con la licuadora. Hay que cortar las frutas y verduras en trozos pequeños para que sea fácil de triturar, es muy rápido para hacer batidos no he probado todavía a hacer batidos con hielo. No sé cómo funcionará. Es muy fácil de usar y de limpiar. Se puede desenroscar el vaso de la base para limpiarlo y el base se puede limpiar bajo el grifo. Pero por seguridad solo limpio la parte del cuchillo.</t>
  </si>
  <si>
    <t>Calidad/precio Producto muy bonito, muy visual, llama mucho la atención, trae accesorio para hacer la correa más pequeña, sin duda una buena compra</t>
  </si>
  <si>
    <t>Excelente calidad Le doy un 10 excelente calidad,mi talla es un 42 me van perfectas.el envio ultra rapido muchisimo menos de lo que esperaba</t>
  </si>
  <si>
    <t>Para relajarse en casa Estupendo para relajarse en casa. Nosotros lo colocamos en el chaiselong del sofá y se adapta perfectamente. Con el mando seleccionas diferentes programas o puedes dejar fija alguna zona. Se siente muy agradable el calor que desprende. Y la gran ventaja es que cuando terminas lo pliegas y cabe en cualquier sitio.</t>
  </si>
  <si>
    <t>Buena experiencia El artículo cumple con lo ofrecido en la página</t>
  </si>
  <si>
    <t>Licúa al máximo. No tiene tropezones Me parece una licuadora muy buena. Espectatívas no esperadas. Mejor de lo esperado</t>
  </si>
  <si>
    <t>Muy bonito. Ha sido para un regalo. Viene en un estuche de Tous, redondo, y trae una bolsa de tela para meterlo dentro. El colgante es pequeño, con cristal en el hueco del osito. Trae una cadena, también y certificado de que es original. Me ha gustado mucho y a la persona a la que se lo regalé, también. Un acierto.</t>
  </si>
  <si>
    <t>Perfecta para esquiar y usar a diario Perfecta, una pasada de chaqueta, la talla L para mi perfecta que mido 1’83 y peso 90 Kg. Vale tanto para uso diario en invierno ya que da calor pero transpira y tambien vale para ir a esquiar, de hecho he ido ya un par de veces y va de lujo, ni una gota de frio.</t>
  </si>
  <si>
    <t>Muy justo Para nada caben 2 cuerpos de réflex ni varios objetivos. Una cámara y dos objetivos a lo sumo.  Por lo demás, los materiales muy justos, los velcros a la semana no pegan y bailan la cámara y objetivos dentro de la mochila. Si la llenas entera para que no baile nada o le intentas meter 3,4 kg de peso parece que va a descujaringarse la mochila.  Si no hubiera pasado tanto tiempo desde la compra la devolvería sin duda.</t>
  </si>
  <si>
    <t>Bonitas Son muy bonitas y parecen de buena calidad. En cuanto a talla, si dudas elige la más grande, yo lo hice y aún así me hacen daño en el dedo meñique.</t>
  </si>
  <si>
    <t>Buena calidad. Buena calidad. No es apto para muñecas finas, queda suelta.</t>
  </si>
  <si>
    <t>No lava No lava bien</t>
  </si>
  <si>
    <t>De vergüenza. Compré este disco duro viendo que estaba de oferta en Amazon. Lo he enchufado a mi ordenador y el único problema que le veía era que hacía bastante ruido, hasta ahí bueno. Mi problema ha sido que yo lo quería principalmente para el almacenaje de películas para poder verlas en la televisión y ninguno de mis 3 televisores lo detecta. Me parece increíble. 25 euros tirados a la basura.</t>
  </si>
  <si>
    <t>Buena compra Los compré para tener siempre una memoria USB en cada uno de mis sitios de trabajo, y realmente cumplen con su función. Para mi un poco caros teniendo en cuenta que no son 3.0 pero bueno... 16GB que se quedan en 14GB más o menos.</t>
  </si>
  <si>
    <t>Muy cómodo de programar y ahorrativo Es el primer hervidor que tengo con seleccionador de temperatura y os puedo asegurar que se ahorra mucha luz. Sabiendo la temperatura que necesitas, lo programas fácilmente y se apaga antes de hervir completamente, con lo cual el gasto en luz es considerablemente más bajo. Mantiene bastantes minutos el agua caliente. Solo echo en falta que sea de cristal y transparente.</t>
  </si>
  <si>
    <t>Bien... como todos los de esa marca Buenos biberones como todos los de esa marca, tetina estrecha, para iniciar al bebé en el maravilloso mundo del mamar, poco peso pero un poco largos según para que esterilizadores, para los Avent por ejemplo... por lo demás perfecto.... y baratos....</t>
  </si>
  <si>
    <t>Buenas sensaciones Como indican en los comentarios si estas dudando entre dos tallas coge la más pequeña. Buena relación calidad precio</t>
  </si>
  <si>
    <t>No son de piel Bien. Lo que buscaba. Aunque no sean de piel parecen resistentes</t>
  </si>
  <si>
    <t>Muy comodos Paquete de 3 sujetadores deportivos. Compre la talla M y la talla queda perfecta. Son super comodos y al no llevar costuras no hace ninguna rozadura y son perfectos para realizar cualquier tipo de deporte. Vienen en tres colores diferentes.  La calidad parece bastante buena y son bastante transpirables y absorven el sudor muy bien. El diseño es muy bonito y los colores tambien.  La relación calidad-precio es inmejorable.</t>
  </si>
  <si>
    <t>Es una maravilla. Nada de latencia, toco la guitarra eléctrica desde hace bastantes años y tocar sin ningún cable que te moleste es una pasada, lo he utilizado para los ensayos y para tocar en casa y genial, por otro lado no me ha parecido encontrar diferencia en cuanto a calidad de sonido utilizando cable o esto, por lo tanto genial en este aspecto.  Pesa poco por lo que no se hace incomodo al utilizarlo y no tarda nada en conectarse el receptor con el transmisor, es muy buen artículo.</t>
  </si>
  <si>
    <t>Cómodas y originales Son muy cómodas por la cuña y además pesan poco. Son perfectas para pantalones y faldas</t>
  </si>
  <si>
    <t>Camiseta sencilla y bonita a buen precio. Talla L, para 176 y 75 kg. Un poco larga, pero la talla M me hubiese quedado muy ceñida y no me gusta. Es bonita y parece de buena calidad.</t>
  </si>
  <si>
    <t>Perfecto Se ajusta a lo anunciado.</t>
  </si>
  <si>
    <t>Comodisimo Es super comodo y transpirable....ideal...</t>
  </si>
  <si>
    <t>Recomendable 100% Es mucho más bonito que en la foto, lo malo que viene los tres biberones con la boquilla del 2.</t>
  </si>
  <si>
    <t>Excelente vendedor Producto de calidad llegó antes . Voy a seguir comprando . Muy recomendable</t>
  </si>
  <si>
    <t>Rápido, silencioso y gran diseño Me encanta el diseño, no hace nada de ruido, además lo utilizo con la PS4 y va genial, muy recomendable.</t>
  </si>
  <si>
    <t>La mejor calidad que hay Como siempre los pedidos llega en un dia para miembro de Amazon. Me ha sorpredido la calidad que tiene la pegatina, es tan fuerte como pegamento de cola. Sé que hay otra marca de pegatina sale mas barato que este, pero si buscas calidad, esta es la mejor opcion que hay.</t>
  </si>
  <si>
    <t>Muy potente y divertido Es la alegría en todas las fiestas. Sirve tanto para pequeños como para adultos. Muy buena potencia de sonido.</t>
  </si>
  <si>
    <t>Encantada Tenía dudas pero la verdad es que funciona muy bien ya llevo un mes con ella y todo perfecto. Es pequeña que me va genial porque no tengo mucho espacio en mi encimera  pero potente. Tiene mucho accesorios súper prácticos</t>
  </si>
  <si>
    <t>Las mejores zapatillas que he tenido Son comodísimas, parece que no llevas nada puesto y no pesan nada. Para trabajar, para hacer deporte o para el día a día, perfectas sin duda. La suela memora foam es una pasada, sin duda compraré más en otros colores.</t>
  </si>
  <si>
    <t>Producto de calidad a muy buen precio El envío fue rapidísimo lo pedí lunes por la tarde y me llegó martes por la mañana antes de las 12. Tras probarlo durante intensamente puedo decir que sin duda son los mejores auriculares inalámbricos que he probado, encajan perfectamente en la oreja, no se mueven al correr y no molestan ni pican en el oido; los uso mientras cómo e incluso moviendo la boca al masticar se sujetan muy bien. El sonido va especialmente bien tanto para jugar a la consola como para escuchar música, y el manos libres oyes muy bien a la otra persona y ellos también te escuchan perfecto; hay mucha diferencia con el resto de auriculares de precio similar o menor que he probado. La batería con una carga me dura sobre 4 o 5 horas y después los pongo a cargar en su base imantada y en un par de horas ya están de nuevo cargados; suelo utilizar uno y después el otro y los voy combinando, e incluso probé un auricular yo y el otro mi esposa... Sin duda recomiendo la compra pues por 30 € puedes tener unos auriculares de muy buena calidad y al final ahorrarás dinero. El paquete viene envuelto con dos gomas de diferente tamaño y el cable para la carga junto a una caja construcciones muy bien embalado.</t>
  </si>
  <si>
    <t>Exactamente lo que buscaba Quería una batidora pequeña, para hacer un par de vasos de batidos, smoothies y demás, no quería tener que utilizar el robot de cocina grande para ello, y la verdad es que esta batidora cumple perfectamente con lo que buscaba. Me gusta que traiga varios recipientes que poder utilizar, incluyendo dos tazas a las que puedes poner una tapadera hermética y llevártelas al trabajo con tu batido preparado. También es muy fácil de limpiar, en el recipiente usado pones un poco de agua y jabón y lo pones a dar vueltas en la batidora. Para colmo, estaba buscando un molinillo de café, y puedo hacerlo también con este aparato. La estoy usando todos los días, me encanta.</t>
  </si>
  <si>
    <t>Ahora si, antes no. El primero que tuve me ocasionó más de un dolor de cabeza,a la semana de tenerlo lo reemplacé por otro porque más que un robot inteligente, lo tenía por un robot tonto.Se borraba el mapa a cada instante, fregaba medio salón y me decía que limpieza completada y a la base a dormir, a veces no sabía regresar a la base...en fin. Sin embargo, el modelo de reemplazo que me dieron es una ganga. Me realizó un mapa genial de mi piso independizando cada zona como yo no lo hubiese hecho mejor, lo limpia todo y cuando termina se va a su base de carga hasta la próxima. Ahora si puedo decir que la recomiendo. P.D. Tened el cuidado si pensáis en comprarla de ser respetuosos con el mantenimiento,pues el no haberlo hecho con el primer modelo pudo ver sido( o no,igual venía con falta) una mala influencia para con esta. Leeros el manual antes de hacer nada con ella y cuando le valla a retirar el depósito del agua,quitarle el cepillo, o hacerle cualquier limpieza que requiera darle la vuelta, apaguela siempre del interruptor y desconecte la estación de carga. Cuando termino,la pongo manualmente en la estación de carga,enchufo la base y le doy al interruptor del robot, restaura el mapa y lista.</t>
  </si>
  <si>
    <t>Federico Cordero Realmente eficaz contra el dolor articular y muscular, aunque no inmediato se necesitan varias sesiones para notar su efecto ok</t>
  </si>
  <si>
    <t>Es el reloj que hace tiempo andaba buscando. Por ahora funciona perfectamente. Espero que siga así muchos años.</t>
  </si>
  <si>
    <t>Ya falla Tras año y medio de uso ha empezado a fallar, las velocidades de transferencia son erráticas. Tan pronto copia a 36 mb/s como cae a 11 kb/s o se para directamente. La he formateado y revisado pero sigue igual. Vale que la uso diariamente pero me parece que su obsolescencia ha sido muy rápida.</t>
  </si>
  <si>
    <t>La presión no es creciente ni gradual No noto demasiado descanso después de usarlo y se me congestiona la sangre en los pies dado que la presión no es gradual ni creciente. Se infla todo a la vez y a la misma presión, por lo que no es realmente una máquina de presoterapia portátil. Pero por el precio que tiene, tampoco se le puede pedir más.</t>
  </si>
  <si>
    <t>Fatal No me ha gustado q los agujeros por donde hay q pasar los cordones sea de plástico porque me llegaron ayer lunes y hoy martes las ha traído del cole rotas porq al estirar para atarse los cordones se ha roto el plástico fin de zapatillas en un día y no han costado 9€ q me han costado 22€ así q muy disgustada estoy.</t>
  </si>
  <si>
    <t>No funcionó Yo e tenido mala suerte supongo, el mio no funciona.</t>
  </si>
  <si>
    <t>Talla y calidad correctas Pedí la talla que uso habitualmente, y corresponde sin problemas. Quedan muy ajustados al tobillo, lo que viene bien para el invierno, para que el pantalón no se suba. Muy cálidos y tacto suave. No parecen excesivamente resistentes a los lavados, sobre todo al principio que sueltan muchas pelusas.</t>
  </si>
  <si>
    <t>Lo que esperaba Ha sido justo lo que esperaba. El envio muy rápido y el producto muy bueno, se nota la piel muy suave y mejorada, no es milagroso pero si que es util</t>
  </si>
  <si>
    <t>cumple su función el producto tiene una base de goma que hace que no se deslice sobre la mesa y un acolchado donde apoyar la muñecas que es lo suficientemente rígido como para que no se hunda del todo al apoyar</t>
  </si>
  <si>
    <t>Auricular con anc muy recomendable Me ha sorprendido. Lo único la distancia limitada debido al bluetooth 4.2</t>
  </si>
  <si>
    <t>bien Entrega a tiempo, tiene buen tacto y mi hijo está satisfecho con la sudadera. Quizás es mas gruesa de lo que parece pero no es problema.</t>
  </si>
  <si>
    <t>Frescura. Desde la primera aplicación se pueden notar resultados positivos.  Imagino que usarlo durante tiempo será más efectivo.  Pero la primera vez ya me ha encantado!  Vienen 60 parches para ojeras,  contorno de ojos. Lo puse en la nevera para que se noten mas fresco. Viene como una gelatina o gel que se coloca en la zona y se deja actuar un ratito.  Disminuye ojeras e hinchazón de la zona de los ojos.  Huele muy bien,  como a fresco.  Al retirarlos la sensación en la piel es muy agradable.  Me ha gustado, seguiré usándolos.</t>
  </si>
  <si>
    <t>Perfecto, subo de nivel en mis presentaciones He subido de nivel en mis presentaciones de empresa, bueno, bonito y barato, no me ha fallado y la pila dura un monton, el laser no es para jugar.......</t>
  </si>
  <si>
    <t>la calidad una maravilla estoy  contento antes lo hacia todo en el microondas y con este hervidor me ahorro mucho tiempo y dinero aparte de ser mucho mas sano lo compraría de nuevo</t>
  </si>
  <si>
    <t>Bien Todo Perfecto! Llego súper rapido. En su caja y bien empaquetado. Funciona bien!</t>
  </si>
  <si>
    <t>Hoodie perfect..</t>
  </si>
  <si>
    <t>Amortiguación a tope! Calzan como un número más que las Triumph Iso 2. Por lo demás, perfecto!!! Para mi marido, las mejores zapatillas que ha tenido. Yo opino lo mismo. No compro otra marca. Tengo las Zealot, Ride, Xodus...</t>
  </si>
  <si>
    <t>Aire vintage Casio. Reloj con aires clásicos. Funciones cubiertas por cualquier móvil pero no son por estas que uno adquiere el reloj, es bonito, cómodo y sigue llamando la atención. Duración de batería (10 años) extraordinaria, pero el tiempo lo dirá. Lástima que no sea sumergible pero ¿Quien utiliza una calculadora bajo del agua? Recomendable.</t>
  </si>
  <si>
    <t>Excelente rejoj a muy buen precio De tamaño mediano-pequeño, es cómodo, preciso, fácil de manejar y a muy buen precio</t>
  </si>
  <si>
    <t>Me ha gustado mucho, viene en perfecto estado. Me ha gustado mucho, viene en perfecto estado.</t>
  </si>
  <si>
    <t>Hermosos pendientes Estoy contentisima, son justo como los queria, excelente calidad, el cierre es perfecto y el tamaño para mi gusto muy bien.</t>
  </si>
  <si>
    <t>He tenido buena experiencia Tienen buenos graves, lo cual no es difícil, pero sí me ha sorprendido que también tienen buenos agudos, lo cual no es normal en auriculares de este rango de precio. Lo segundo que más me gusta es la iluminación, quedan muy bonitos con las luces, y también la batería, que habiéndolos usado muy poco, apena un día, no ha bajado del 90%</t>
  </si>
  <si>
    <t>Cómodo y práctico. Muy cómodo de llevar y práctica en general. Además tiene un bolsito exterior el cual entra perfectamente un vape(cigarro electrónico) y cae a la altura del pecho, con lo que puedo vapear sin tenerlo en la mano. Vamos muy contento.</t>
  </si>
  <si>
    <t>Cómodas y necesarias Son muy cómodas estas almohadillas. Ofrecen la dirección que necesitan mis muñecas. Las recomiendo.</t>
  </si>
  <si>
    <t>Xulisimoooo Xulísimoooo!! Una pasada. Hace un pitido cada vez que lo programas en algo, y ya no molesta más. El aroma sale perfecto y las luces xulísimas y super tenues!! 100% recomendado, yo creo q me voy a comprar un par más para repartirlos por la casa.</t>
  </si>
  <si>
    <t>Buena compra Zapatillas bonitas y muy comodas</t>
  </si>
  <si>
    <t>Cómodos y buen precio Son cómodos, ligeros, resistentes, talla ok, el precio aquí casi 30€ menos que en tiendas como forum.</t>
  </si>
  <si>
    <t>Calientan y no son gruesos, puedes ponerlos con cualquier calzado No tengo ninguna queja, quizás me gustaría mas colorido, al ser tan neutros mis hijos varones me los "pillan". tengo que esconderlos , pues una vez se los han puesto ya no sirven, se dan mucho, la culpa no es de los calcetines si no de mis hijos, (;o)</t>
  </si>
  <si>
    <t>La comodidad Muy bonitas y cómodas zapatillas,  también tengo sandalias de skechers. Soy fiel a la marca.</t>
  </si>
  <si>
    <t>Decepcionado. Mejor el Blue Snowball (y más barato). Más abajo comentaré de acabados, pero vayamos a lo importante: el audio. Aclaración: usado fundamentalmente para grabar voz. Devolví este micrófono ya que la calidad de audio del modelo que tenía antes (un Blue Snowball, de la misma marca pero precio mucho más bajo) era mejor en lugares en los que haya un poco de eco o reverberación. La voz salía mucho más "limpia" y sin ruido de fondo alguno. El Snowball aislaba mejor del entorno que este. Compré la versión en plateado y negro. La verdad, buen acabado y estética interesante. Muy estable.</t>
  </si>
  <si>
    <t>Decepcionante La pintura que tiene la pulsera esta mal puesta. No la recomiendo para los alergicos, ya que yo lo soy y me ha producido rechazo.</t>
  </si>
  <si>
    <t>Chulas y cómodas pero mejor no en blanco Son muy chulas y cómodas pero muy difíciles de limpiar. Las he lavado en la lavadora y aún así siguen con manchas. No recomendables en blanco.</t>
  </si>
  <si>
    <t>Muy mal. Dejó de funcionar en seguida y el servicio técnico no da respuesta. El calentador está estupendo y nos encantaba, pero al poco dejó de calentar y en seguida dejó de funcionar del todo. He escrito dos veces al servicio técnico y semanas más tarde aún no tengo respuesta. Muy mal. No volveré a comprar nada de esta marca.</t>
  </si>
  <si>
    <t>decepción Me llegó hoy abierto y el lente roto</t>
  </si>
  <si>
    <t>Un timo Un timo por 8€....</t>
  </si>
  <si>
    <t>Muy bueno para su precio. Muy bueno para hacer deporte o andar. La calidad del sonido es buena, sin embargo no aisla bien el sonido de alrededor en las llamadas. En general muy útil y buena relación calidad precio. Recomendado.</t>
  </si>
  <si>
    <t>Gran Capacidad y Velocidad Buena marca. Después de leer varias opiniones me decidí a adquirirla para una Nikon D5200 y la verdad es que estamos satisfechos. Caben más de 1000 fotos. Y tarda poco en pasarlas al ordenador. La recomiendo</t>
  </si>
  <si>
    <t>Cuidado con el tallaje Hay que pedir un numero menos. Pero en lo demas es perfecto para estar caminando por horas. Muy comodos.</t>
  </si>
  <si>
    <t>Reloj precioso Es un modelo clásico como el de toda la vida pero todo plateado y brillante, pero es mas bonito que en las fotos. Es un Casio original, viene con la documentación que lo acredita, la etiqueta y el manual de instrucciones. La correa es de acero inoxidable y el cierre lo puedes ajustar dependiendo del diámetro de la muñeca que tengas.  Viene con un plástico en la pantalla y la luz es de color azul pero es un modelo que la luz no tarda unos segundos en apagarse sino que tienes que mantener el botón al igual que el modelo dorado, de ahí que no le haya dado las 5 estrellas.  La única pega que le pongo es que vino en una caja de cartón, envuelto en un simple plástico y no todo lo bien protegido que debería estar al ser un reloj de marca. Muy satisfecha con la compra.</t>
  </si>
  <si>
    <t>funciona perfectamente aunque pone auriculares cerrados, no lo son del todo, se sigue escuchando aun llevandolos y si quieres grabar algo, puede que salga un poco de sonido desde ellos, mejor para estudio una calidad mas alta</t>
  </si>
  <si>
    <t>Encantada con la compra!!! Muy contenta con la compra,  la uso para pedicuras y masajes relajantes,  limpiezas de  cara.  Es robusta y muy bonita.  Aguanta bien el peso.  La tengo siempre abierta.</t>
  </si>
  <si>
    <t>Buen producto para iniciarse Mis amigas y yo lo hemos probado (cada una el suyo, obviamente) y nos ha resultado una compra muy satisfactoria. En nuestro grupo de whatsapp se han manifestado expresiones como: "Los treinta euros mejor gastados de mi vida".</t>
  </si>
  <si>
    <t>Es igual como se indica en la publicación Sin duda se ve un muy buen producto aunque aún no lo pruebo por completo. Viendo los comentarios pedí una talla más y efectivamente así me quedo muy bien!</t>
  </si>
  <si>
    <t>Se oye y te oyen perfecto y la batería dura mucho Es mi primer "pinganillo" y lo compré fiándome de las opiniones. Acerté de pleno: el sonido tiene más calidad de la que esperaba y es bastante cómodo, aunque después de un par de horas en la oreja llega a cansar un poco, pero supongo que es inevitable. La batería puede llegar a durarme cerca de un par de días y se carga en poco tiempo.</t>
  </si>
  <si>
    <t>Util y barato Ha sido barato y de gran utilidad. Es la mejor opción para los niños ya que pueden jugar a recortar y pegar sin ensuciar como con otros pegamentos líquidos.</t>
  </si>
  <si>
    <t>El de siempre Buena relación calidad precio. Un reloj de toda la vida sin complicaciones</t>
  </si>
  <si>
    <t>Práctica y buen material Genial, me ha encajado en la puerta del armario en la que quería ponerla, no he utilizado los tornillos por no agujerear el armario, lo he puesto con cinta doble y como no pesa mucho va perfecto. Se borra con facilidad y tiene un estante para los rotuladores/borrador.</t>
  </si>
  <si>
    <t>Algo pequeño Muy bonito</t>
  </si>
  <si>
    <t>Precioso. Es precioso tiene un tamaño perfecto la cadena es cortita y se ve con todos los escotes. La verdad que me ha encantado. Es muy simbólico para mi por mi perrita. Ea un bonito regalo para los amantes perrunos.</t>
  </si>
  <si>
    <t>cómodas Las compré para el trabajo, soy camarera y paso muchas horas de pie de un lado para el otro , los pies se me cargan y el antiguo calzado que tenía al ser de piel no respiraban nada mis pies. Aun no las he estrenado , pero se ven comodisimas.la talla, pedí una 40 gasto un 39, pero me gusta siempre que sobre un poco en calzados tipo tenis. Tienen buen agarre en el pie.</t>
  </si>
  <si>
    <t>Excelente succión, ligero y práctico. Plenamente satisfecha con el producto. Excelente relación calidad y precio. Llegó en el tiempo establecido. Super práctico en el ensamblaje, uso y limpieza. Ligero y llega a todos los rincones de la casa incluso bajo los sofás. Tengo un gato de pelo largo y no queda pelo en ningún lado ni polvo sobre los muebles. De necesitarlo, lo volvería a comprar.</t>
  </si>
  <si>
    <t>Ideal Ideal</t>
  </si>
  <si>
    <t>. Perfecta</t>
  </si>
  <si>
    <t>Los mejores que he probado Alucinado con la potencia y calidad del sonido</t>
  </si>
  <si>
    <t>Funciona perfecto Es un dispositivo Human Interface Device (HID) Genérico. Es decir, no necesita ni internet ni drivers para ser instalado.  En linux se reporta como el siguiente dispositivo: ID 0458:0189 KYE Systems Corp. (Mouse Systems) y el driver en uso en linux es: hid-generic  Probado en Gentoo Linux y en windows 10  Resumen: Al ser un dispositivo HID (teclado/ratón genérico), funciona en linux, windows y mac sin necesidad de hacer nada.</t>
  </si>
  <si>
    <t>CALIDAD BUENA Me ha sorprendido este artículo, para el precio que tenía... ha sido para un regalo, y la verdad que un acierto total. No se ha puesto feo, se ducha con ello... y sigue igual. Volveré a comprar.</t>
  </si>
  <si>
    <t>Calidad Empleadas para spinning. Perfectas</t>
  </si>
  <si>
    <t>La calidad muy buena. Me ha encantado..y muy buena calidad.</t>
  </si>
  <si>
    <t>ESPERABA MÁS POR ESTE PRECIO Por el precio que tiene y la marca de la que se trata esperaba algo más.  Es bastante grande para llevar todo lo necesario en un viaje: cartera, móvil, documentación, etc. El problema viene cuando le metes algo más voluminoso: batería portátil, paquete de tabaco, mini camara o funda de gafas... es muy estrella y con alguno de estos objetos su capacidad se reduce considerablemente, por lo que me ha decepcionado bastante y apenas la he usado.  Otro fallo gordo que veo es que la correo no se puede quitar y poner. Tuve un bolso de la marca Billabong, que además de ser mucho más barato, tenía mayor capacidad y la correa se quitaba y ponía con total facilidad para atarla a la cintura, a una silla mientras comías en una terraza y que no te la robaran, etc. Una lástima la verdad.  Eso sí, es un bolso de gran calidad, con muy buenas y grandes cremalleras.</t>
  </si>
  <si>
    <t>Mi anillo Me gusta mucho y la uso</t>
  </si>
  <si>
    <t>No muy buenos Muy pequeños. Sabía que no eran de los grandes, pero es que una vez los gastas y no son tan buenos como el locticte normal</t>
  </si>
  <si>
    <t>Ojo que puede llegar con otra capacidad inferior. La mayor decepción que me he llevado en Amazon. Compré la tarjeta de 64Gb y me llegó con su caja perfecta, con foto, y todos los logos de esta capacidad, pero dentro venía una tarjeta de 32 Gb. Vamos un error/engaño que en otro momento hubiera devuelto sin mas. Pero como puede que la necesite, estoy dudando si devolverla. La compré en una oferta Flash o del dia, que ha resultado no serlo.</t>
  </si>
  <si>
    <t>Mala calidad Pierde agua, en un principio pensé que era porque no calentaba bien pero ..pierde de todas todas. No la recomiendo</t>
  </si>
  <si>
    <t>Alf55 Cumple con las expectativas.. cuando te pasas estirandolo vuelve sin deformacion a su estado inicial. Buenos materiales de constuccion. Resistente.</t>
  </si>
  <si>
    <t>Buen reloj con una correa un poco pequeña El reloj es bonito y aparenta ser de calidad. Es muy cómodo y ligero. En el lado negativo la correa textil me resulta pequeña, pues debo usar el penúltimo agujero. Además llegó sin certificado de garantía ni manual de instrucciones, por lo que la primera impresión no fue todo lo buena que esperaba. Por otra parte los días de la semana no aparecen en español, lo que puede representar un inconveniente para algunas personas.</t>
  </si>
  <si>
    <t>Rápida aunque ruidosa Muy rápida y estable, aunque un poco ruidosa. Hierve el agua enseguida y es manejable. El acabado es bueno y por ahora estoy muy satisfecho.</t>
  </si>
  <si>
    <t>Buena calidad/precio Lo necesitaba para la switch y ya está. No sabría decirte si es más veloz que las de la competencia así que está valoración no es para tí, si vas buscando algo más técnino. Por su calidad/precio no está mal (lo conseguí de oferta)</t>
  </si>
  <si>
    <t>Muy buen reloj, mejor que en fotos Mejor calidad que en fotos, peso ligero pero tampoco pluma.  Se le antoja muy buena calidad. Un lujo lo de la resistencia al agua.</t>
  </si>
  <si>
    <t>Todo bien Por ahora todo bien y llego sin problemas</t>
  </si>
  <si>
    <t>Buen producto Todo bien, son pequeñitas pero bonitas</t>
  </si>
  <si>
    <t>Sencillo pero práctico y resistente. Es de plástico, pero resistente y cumple de sobras su función. Obviamente, no le pondría la Enciclopedia Universal Ilustrada, porque no lo aguantaría, pero para mis libros de texto de la universidad, de unas 600 páginas, da de sobras. Además, se puede poner a muchas alturas diferentes. Muy contenta.</t>
  </si>
  <si>
    <t>Cinta multiuso de doble cara: agarre fuerte ¡Similar a la cinta doble pero se agarra mejor! Para colgar cuadros en la pared sin clavos o para asegurarse de que la alfombra del área permanezca en su lugar. Todavía estoy pensando en formas de usar esta cinta. Es transparente, así que no se ve horrible cuando se adjunta a algo .</t>
  </si>
  <si>
    <t>😍auriculares para uno o para dos Pequeños, ligeros, conectan perfectamente con mi Samsung y funcionan a gran distancia con un sonido claro. Tienen una funda de carga con lo cual es muy facil y cómodo cargarlos cuando no estamos en casa. Cada uno tiene una luz led que te indica si están cargados o si le queda poca batería. En la cajita vienen 3 pare de auriculares de diferentes tamaños. Lo mejor de todo es que se pueden usar juntos o por separado, ya que con ambos se pueden realizar todas las finciones:&amp;nbsp; colgar, descolgar, volumen.....</t>
  </si>
  <si>
    <t>Muy bien Buena relación calidad-precio. Funciona bien!</t>
  </si>
  <si>
    <t>Calidad superior Muy bonito. Excelente calidad de materiales y acabado.</t>
  </si>
  <si>
    <t>bonita Pulsera que me ha soprendido gratamente ya que por el precio que tiene ideal para regalar ..brilla un monton y merece la pena comprala..os la recomiendo, además es muy ligera y su cierre es bastante seguro</t>
  </si>
  <si>
    <t>Cobre de verdad Lo he usado para un amplificador de 100w por canal con altavoces a 2ohmios, lo cual son 7-8 amperios y la verdad que funciona muy bien y con pocas perdidas.</t>
  </si>
  <si>
    <t>Assics Gel Nimbus, rozando la perfección. Que puedo correr cómodamente. Cuidado con la talla!! Pide un número más de tu calzado de calle.</t>
  </si>
  <si>
    <t>Auriculares Bluetooth v5 - Arbily T8 ... recomendadisimo Pedido rápido y que llegó en perfectas condiciones.  Venía perfectamente envuelto en una caja que contenía la base de carga de 3000 mah, perfecta pues tiene lo mismo que muchos móviles. La base de carga también se puede utilizar como "powerbank" para tu móvil.  También venían fundas para el auricular de repuesto, así como el cable de carga,  y  una bolsa de transporte (todo muy completo).  Los auriculares son fáciles de manejar y muy cómodos. Se emparejan muy rápido con el móvil.  Se encajan perfectamente a la oreja y su forma no incomoda para nada ya que se adapta perfectamente sin que se caigan al hacer deporte. nen protección contra el agua nivel IPX6, aguanta el sudor, lluvia...  El sonido es de buena calidad, nítido y claro. También podemos usar un solo auricular.  Vienen instrucciones en Español.  En definitiva muy buena compra y recomendada si quieres unos auriculares con altisima duración y calidad.</t>
  </si>
  <si>
    <t>Buena potencia, pequeño tamaño y portátil &lt;div id="video-block-RMKVDOYNCXZQV"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src="https://images-eu.ssl-images-amazon.com/images/I/91cBD+D5yPS.mp4" style="position: absolute; left: 0px; top: 0px; overflow: hidden; height: 1px; width: 1px;"&gt;&lt;/video&gt;&lt;/div&gt;&lt;div id="airy-slate-preload" style="background-color: rgb(0, 0, 0); background-image: url(&amp;quot;https://images-eu.ssl-images-amazon.com/images/I/81amepZdylS.png&amp;quot;);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center;"&gt;0:08&lt;/div&gt;&lt;div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40.0467%;"&gt;&lt;/div&gt;&lt;div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value="https://images-eu.ssl-images-amazon.com/images/I/91cBD+D5yPS.mp4" class="video-url"&gt;&lt;input type="hidden" name="" value="https://images-eu.ssl-images-amazon.com/images/I/81amepZdylS.png" class="video-slate-img-url"&gt;&amp;nbsp;Lo compré para preparar el puré de fruta a mi bebé y va genial. Tritura muy bien para lo pequeño que es y como es recargable lo puedes usar en cualquier sitio. Se limpia fácilmente y el recipiente es de cristal</t>
  </si>
  <si>
    <t>No está mal Filtro de té muy mono y cumple su función. Lo único "malo" es que a veces filtra algunas hierbitas y hay que colarlo dependiendo de la cantidad.</t>
  </si>
  <si>
    <t>Mando para presentaciones Para realizar presentaciones, está genial utilizar este mando y no tener que desplazarse todo el rato al ordenador para cambiar de diapositiva o tener que depender de otra persona que lo haga.  Funciona con una pila AAA (no incluida). Se enciende con un interruptor situado en el lateral izquierdo del mando y, una vez conectado el USB receptor al ordenador, las diapositivas se pasan con los dos botones del mando principales (flechas). Además, quizás una de las características que me ha gustado es la capacidad de abrir links de las diapositivas. Con solo pulsar un botón (el cuadrado), abre el link que haya en la diapositiva (si aplica). También es posible subir y bajar el volumen del sistema y cuenta con un puntero láser.  El único inconveniente que le veo es la dificultad de extraer el receptor USB, puesto que lleva un imán y es sencillo de meter pero no de extraer. Al final te acabas acostumbrando más o menos, pero tengo que admitir que cuesta.</t>
  </si>
  <si>
    <t>perfectas Gran relación calidad percio, rápidas en llegar, es mi numero que uso simpre, van perfectas.</t>
  </si>
  <si>
    <t>CONTENTO CON LA COMPRA!! &lt;div id="video-block-RNUZP6ZEBEO7L"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src="https://images-eu.ssl-images-amazon.com/images/I/C1Z6zTsZ3rS.mp4" style="position: absolute; left: 0px; top: 0px; overflow: hidden; height: 1px; width: 1px;"&gt;&lt;/video&gt;&lt;/div&gt;&lt;div id="airy-slate-preload" style="background-color: rgb(0, 0, 0); background-image: url(&amp;quot;https://images-eu.ssl-images-amazon.com/images/I/A1jEmb3aoIS.png&amp;quot;);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value="https://images-eu.ssl-images-amazon.com/images/I/C1Z6zTsZ3rS.mp4" class="video-url"&gt;&lt;input type="hidden" name="" value="https://images-eu.ssl-images-amazon.com/images/I/A1jEmb3aoIS.png" class="video-slate-img-url"&gt;&amp;nbsp;Fantásticos éstos pendientes perlados bañados en plata de Ley!!! Quería un regalo y he acertado con éste producto. El VENDEDOR J.Rosée es más que recomendable por un par de motivos, sus productos son de bastante calidad y además tiene una larga gama de Joyas disponibles para elegir.  Se nota el CUIDADO y el CARIÑO a la hora de preparar el producto comprado, viene completamente protegido con una lamina de plastico evitando el movimiento no deseado de la joya, dentro de una caja acolchada y protegida con otra caja nuevamente con el nombre de la empresa.  Las CAJAS  que contienen las joyas no son de excesiva calidad pero nuevamente se nota el cariño y dedicación a dar una buena imagen y una buena calidad en el aspecto de sus productos.  LOS PENDIENTES son sumamente bonitos y para mi son ideales para un regalo para mi pareja o mi madre o quien quiera , ya que eéstos pendiente no entienden de la edad. Son bonitos para cualquier persona.  RECOMIENDO ÉSTE PRODUCTO!!!!</t>
  </si>
  <si>
    <t>Funciona perfectamente. Funciona perfectamente.</t>
  </si>
  <si>
    <t>La volvería a comprar sin duda! Sinceramente antes de comprarla tenia mis dudas, pues era otro cacharro más en la cocina, pero cuando empecé a utilizarla, ahora no me podría hacer sin ella! es mas, poco tiempo después compre otra para regalársela a mi madre y la utiliza más que yo si es posible! Te calienta el agua en un minuto! solo tienes que echar el agua en el recipiente, el cual tiene un medidor que te indica la cantidad que quieras echar por vasos, le das al único botón que tiene y automáticamente se apaga sola, haciendo un "Clic" que te avisa que ya esta el agua hirviendo. No tienes que estar mirando el vaso del microondas para ver cuando hierve, además que tengo entendido que no es muy recomendable. Cuando ya ha hervido puedes coger la tetera y apoyarla en cualquier lugar, puesto que el soporte que tiene debajo no se calienta. Es perfecto para las visitas, pones la tetera en la mesa y a llenar vasos! y queda super bien, puesto que el diseño es bastante bonito y elegante.</t>
  </si>
  <si>
    <t>El conector falla Todo correcto pero la conexión con el Jack de 3.5mm a veces falla y tienes que moverlo. Los cables no se enredan.</t>
  </si>
  <si>
    <t>No son de piel, como indica el anuncio, pero no importa, son  de microfibra las he devuelto porque son muy planas por dentro, y el talón  se hunde, y no puedo llevar calzado plano. Por lo demás, están bien son bonitas, y el nº  es perfecto con el que tenemos</t>
  </si>
  <si>
    <t>La lengua del calzado te destroza el tobillo Son unas botas de buena marca pero hay que cuidar muy bien de ellas y limpiar cuidadosamente para garantizar su durabilidad en óptimas condiciones. Su diseño de lengua te mata el tobillo pero poco a poco te vas acostumbrando. Son un calzado obviamente muy pesado.</t>
  </si>
  <si>
    <t>2 semanas de vida Los auriculares se escuchan bien para la calidad del producto. El problema ha sido que en dos semanas ha dejado de funcionar correctamente el micrófono así como los botones de volumen.</t>
  </si>
  <si>
    <t>Ivis infante No lo pude usar el primer día me quede con un trozo en la mano ; menuda mierda . No comprar este artículo</t>
  </si>
  <si>
    <t>Buena compra Mido 1,80 y uso una talla 46-48 de pantalón. Talla XXL de mallas me va perfecta.</t>
  </si>
  <si>
    <t>Cumple lo que promete Cortadora de papel simple, sencilla y funcional. El funcionamiento es tan fácil, como poner un folio debajo de la regla, presionar y deslizar la cuchilla.</t>
  </si>
  <si>
    <t>si quieres una caja fuerte estilo hotel... Muy buena para mi casa nueva, necesitaba una caja fuerte para guardar mis fechorías, por el precio no está nada mal y es exactamente lo que necesito.</t>
  </si>
  <si>
    <t>Buena calidad a buen precio Muy buenas prestaciones para el precio que tiene.  Buen sonido, buena comodidad, muy interesante el cable anti-nudo. Ahora bien, tengo mis dudas sobre cuan duradera será la articulación para plegar los auriculares. De momento, con unas 3 semanas de uso poco intensivo no hay quejas.</t>
  </si>
  <si>
    <t>Los números tallan algo corto Entrega muy rápida. Los números tallan algo corto. Pedir un número mas. Muy confortables pero algo caras comparadas con las de las de alpargatería (tambien muy cómodas) pero ya quedan pocas.</t>
  </si>
  <si>
    <t>Maria jose Es precioso!!! Totalmente diferente a lo k estamos acostumbrados a ver. Igual k la foto o mejor muy muy buen tejido</t>
  </si>
  <si>
    <t>Z Bien</t>
  </si>
  <si>
    <t>Mochila plegable fácil de usar y resistente Hago varios viajes al año y necesitaba una mochila que me permitiese guardarla en la maleta y poder utilizarla tanto en el viaje como a la vuelta para utilizarla como equipaje de mano. Me decanté por ésta porque se queda muy compacta, tiene su bolsillo donde guardarla sobre sí misma y estéticamente está muy bien. Las cremalleras se beben de buena calidad, robustas y abren y cierran perfectamente. Otra cosa que me gusta es que es muy cómoda y amplia. He acertado con ella.</t>
  </si>
  <si>
    <t>TINTA PERFECTA PARA MI SELLOS SECOS TINTA PERFECTA PARA RECARGAR LA TINTA DE MIS SELLOS.</t>
  </si>
  <si>
    <t>Prácticas y buen producto A mis hijas les ha encantado. Buena compra aunque debo decir que hay algunos patrones q me parecen un tanto repetidos a ellas le encantó. Así que perfectos. Llegaron incluso un día antes y bien embalados. La goma es buena se adhieren bien y no se despegan. Por mi parte confieso que les he cogido un washitape ancho para q cuando me maquillo los ojos me sirvan como delimitación al aplicar las sombras y así no pasarme además de no estropear el maquillaje con los residuos que caen al aplicar las sombras</t>
  </si>
  <si>
    <t>Plastificar cosas pequeñas Me confundí y compré por error estas pensando que eran de a4, pero son tamaño carnet, pero aun asi para plastificar cosas pequeñas van genial</t>
  </si>
  <si>
    <t>Excelente Muy buena máquina y muy poco pezona solo le falta que trajera un maletín para guardarla no una caja de cartón</t>
  </si>
  <si>
    <t>Funciona muy bien Hace mas de 6 mese que lo compré y sigue funcionando como el primer dia.  Para uso cotidiano es ideal. Es muy rápido y no da problemas.  Se calienta mucho, eso sí, y la verdad es que me preocupa un poco. Pero de momento sin problema alguno.  Me costó 9,90 y la relación calidad-precio me parece buena.</t>
  </si>
  <si>
    <t>Bueno bonito y barato Recambio para Mine ideal marcar ropa</t>
  </si>
  <si>
    <t>Misma calidad mejor precio Cinta de 66 m de la misma calidad que la transparente pero por la mitad de precio</t>
  </si>
  <si>
    <t>el usb de las clases de mi hijo Cuando compre este usb la verdad es que lo primero en lo que me fije fue el precio pero a mi hijo lñe ha gustado tanto que después de perder tres usb en menos de dos meses en clase con este hemos triunfado. No se pierde tacto buenísimo y al peke le encanto. Total compra recomendable y volveré a comprarlo.</t>
  </si>
  <si>
    <t>Muy mono Es bonito</t>
  </si>
  <si>
    <t>Buena relación calidad/precio Es muy intuitivo, permite hacer presentaciones muy cómodamente.</t>
  </si>
  <si>
    <t>Mini Auriculares Bluetooth Recargables en caja . Blancos. &lt;div id="video-block-R33WF0YO0E44PO"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id="63" preload="auto" src="https://images-eu.ssl-images-amazon.com/images/I/D1WlWlrOfzS.mp4" style="position: absolute; left: 0px; top: 0px; overflow: hidden; height: 1px; width: 1px;"&gt;&lt;/video&gt;&lt;/div&gt;&lt;div id="airy-slate-preload" style="background-color: rgb(0, 0, 0); background-image: url(&amp;quot;https://images-eu.ssl-images-amazon.com/images/I/91Gps8k2KgS.png&amp;quot;);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value="https://images-eu.ssl-images-amazon.com/images/I/D1WlWlrOfzS.mp4" class="video-url"&gt;&lt;input type="hidden" name="" value="https://images-eu.ssl-images-amazon.com/images/I/91Gps8k2KgS.png" class="video-slate-img-url"&gt;&amp;nbsp;Mini auriculares bluetooth de color blanco que se recargan en la base . Muy buena calidad de sonido . Trae cable USB micro USB para cargar en cualquier toma USB (cargador no incluído) . Se recarga la base y en ella los mini auriculares. Los auriculares duran unas 5h. seguidas funcionando . Cargada la base a tope permite cargar unas 4 veces los dos auriculares . En total con 1 carga de la caja son unas 20 horas . Trae diferentes siliconas para adaptar a cada oído.</t>
  </si>
  <si>
    <t>Muy práctico Muy práctico. Hay un color para cada bolso. Todo perfecto. Con bolsillo para distribuir todo sin que se pierda. Bien de precio.</t>
  </si>
  <si>
    <t>Es como una joya. Muy buen acabado, y robusto. Es una marca de confianza y de calidad acreditada por una tradición de muchos años, siguen haciendo las cosas bien.</t>
  </si>
  <si>
    <t>El color gris que sale en la web no es el mismo. El color gris que sale en la web es clarito, y el que ha venido es un color gris casi negro, no se parecen en nada.</t>
  </si>
  <si>
    <t>Camiseta Tengo que decir que no entiendo a las marcas, resulta que la camiseta parece buena, de calidad, tal vez algo fina pero para ir al gimnasio o hacer deporte es correcta, el problema viene en su largo, es como un palmo o más larga de lo que tendría que ser. Entiendo que una camiseta de vestir pueda ser más o menos larga pero una que va destinada a hacer deporte es del todo inapropiada por lo que resulta muy incómoda.</t>
  </si>
  <si>
    <t>Imposible de formatear La tarjeta está ahora bloqueada contra escritura, y debido a ello no se puede formatear ni escribir ningún contenido nuevo</t>
  </si>
  <si>
    <t>Decepcionante Tardaron mucho en llegar y el paquete era muy deficiente. Cuando lo abres tenían un olor muy desagradable pero el colmo es que pedí un 41 y parecían un 36. Son iguales a la foto pero parecían muy endebles. Me decepciono mucho y no me devolvieron los gastos de devolución, que podían haber tenido el detalle ya que las tallas no coinciden por bastantes números.</t>
  </si>
  <si>
    <t>Calientes y cómodas Perfectas. Calentitas, aunque al ser todo sintético puede sudar un poco el pie, pero a este precio nadie espera borrego australiano digo yo. Suela de goma aislante</t>
  </si>
  <si>
    <t>Preparada para caminar Me habian hablado de la comidad de las zpatillas asics,y la verdad que es así,son muy comodas para caminar ya que amortigua la pisada y el precio muy bien</t>
  </si>
  <si>
    <t>!00% recomendables Si han cumplido las expectativas, totalmente aislantes des exterior. Muy buena relación calidad precio, por lo cual recomendaría su compra.</t>
  </si>
  <si>
    <t>Muy chulo Muy clásico</t>
  </si>
  <si>
    <t>Las tipicas Converse de toda la vida Un clásico de zapatillas la verdad. Llevaba tiempo buscando por tiendas y o no tenían en stock o el precio era una locura, hasta que pillamos la promoción y pudimos comprarla con una relación calidad/precio muy buena. Si es que cierto como algún comentario pone que pecan en pequeñas y le faltaría medio numero mas de lo que dice en verdad que tienen.</t>
  </si>
  <si>
    <t>Buen resultado. Hace poco me hice con un bolso de esta misma tienda, más pequeño que este, para poder llevar cómodamente tanto las llaves de casa, llaves del coche, cartera y documentación, smartphone, etc., y, la verdad, como me gustó tanto, he decidido hacerme con este, algo más grande para poder llevar, aparte de las cosas que he mencionado antes, también mi walknbook de 10.1", por supuesto, con su funda. Además de esto, también llevo un ratón inalámbrico y puedo decir, que cabe todo sin ningún inconveniente. El bolso es de lona de color marrón, tal y como se ve en la foto. Los remates están adecuadamente conseguidos y dispone de diferentes huecos para guardar las cosas tanto en el interior como en el exterior. La boca del bolso se abre/cierra mediante cremallera que, porque no decirlo, se desliza suavemente. La solapa de cierre frontal, queda bien cerrada por medio de dos botones imantados y, prácticamente, nada más dejar caer la propia solapa, ya queda cerrada (si no abulta mucho lo que llevemos dentro). Me gustó el detalle del bolsillo en la parte frontal de la solapa que, para mí, le da un aire más juvenil, si cabe. Respecto al largo de la correa para llevar al hombro, decir que, yo mido 1.80 m., llevo el bolso cruzado (bandolera) y me queda a la altura correcta. Considero este bolso una compra muy recomendable.</t>
  </si>
  <si>
    <t>Genial. Buena calidad.</t>
  </si>
  <si>
    <t>Cómodos y batería eterna Estos auriculares son ideales para hacer deporte o para la vida cotidiana. Te deja las manos libres para poder otra cosa mientras oyes tu música. Se conecta a tu dispositivo muy rápido por bluetooth. Son muy cómodos y ligeros. Suena muy bien y con mucho volumen. Viene con otros juegos de armoadillas par darle otro estilo diferente. Es un regalo ideal para cualquier persona. La batería dura muchísimo y se carga muy rápido. Es fácil de manejar. Por su comodidad, te parecerá que no lo llevas puestos.</t>
  </si>
  <si>
    <t>Muy chulis Las compre por el precio y la verdad que estoy encantada Trabajo muchas horas de pie y son muy cómodas eso si le meti una plantilla para que me ajustara mas</t>
  </si>
  <si>
    <t>Genial Muy bueno y rapido, puntual.</t>
  </si>
  <si>
    <t>story86 genial!!! para dias de lluvia no claro...se moja. es super calentito.comodo. da gustito al tacto. buena capucha. con el...el frio no existe</t>
  </si>
  <si>
    <t>Calidad Perfectos a partir de 6 meses con tetina del 3</t>
  </si>
  <si>
    <t>El sonido es super adecuado para los oidos Ha sido un regalo de cumpleaños para mi sobrina. Los he encontrado excepcionales, pesan poco, tienen un acabado perfecto y se escuchan con un sonido excelente. Los volveria a comprar y los recomiendo. Mi sobrina esta encantada aunque no cuando los utiliza alguien que no es ella.</t>
  </si>
  <si>
    <t>Perfecto para evitar esforzar mucho la voz, muy eficiente. Este amplificador esta genial, nos ayuda mucho cuando tenemos que hacer presentaciones por muchas horas para no tener que esforzar mucho nuestra voz, muy recomendado para exposiciones y profesores.</t>
  </si>
  <si>
    <t>Buena elección 100% recomendado! Al principio estaba dubitativo con respecto a la calidad y sobre todo la autenticidad del producto, pero todo genial y tal cual te lo puedes comprar en cualquier relojería pero a un precio menor. Cumple mis expectativas, sencillo y elegante a la vez.</t>
  </si>
  <si>
    <t>Bueno, bonito y barato Es un chandal Nike, por lo tanto la calidad ya sabemos la que es, muy buena. El chandal es de tela fina, pero eso no quiere decir que sea de mala calidad como dicen algunas otra opiniones por ahí, simplemente es un tipo más de chandal de la gama Nike. Para mi este chandal es perfecto para salir a andar en invierno o para ir al monte. Aunque para los que no le gusten los chandal demasiado recios, como es mi caso, te lo  puedes poner algún día sin problemas, y además es muy cómodo.  Por el precio que tiene y la calidad de la marca, me parece una compra bastante acertada.</t>
  </si>
  <si>
    <t>Me gusta Esta muy bién tiene un tacto muy agradable veremos cuando llege el frio</t>
  </si>
  <si>
    <t>Buen precio Sin duda los hay más rápidos, pero se nota mucha diferencia en velocidad (a mejor) respecto a un Hdd de 7200 rpm.</t>
  </si>
  <si>
    <t>perfecto llevo muchos años buscando este tipo de grapas, para no tener que tirar mi antigua grapadora, pensaba que no se fabricaban ya, y mi sorpresa mayúsculas cuando las vi, perfecto</t>
  </si>
  <si>
    <t>Calidad - precio Muy buena calidad.  Precio bueno. Muy buena compra</t>
  </si>
  <si>
    <t>Buena calidad precio Eran un regalo y le gustaron</t>
  </si>
  <si>
    <t>Gran reloj Soy un gran aficionado a este tipo de relojes y los conozco bastante bien. Me decidí a comprarlo por la oferta en el precio del mismo. Una gran compra y en el envío todo perfecto como siempre.</t>
  </si>
  <si>
    <t>buen producto buen producto por el precio , sonido neutro</t>
  </si>
  <si>
    <t>Satisfechos Suena muy bien. Muy potente. Cómodo de transportar y muy completo. Le conectamos una tablet y conectaba perfectamente. Contentos con la compra.</t>
  </si>
  <si>
    <t>Solo correctas y caras para la comodidad que ofrecen. Al final por 55 euros me han parecido caras, ya que ni son especialmente cómodas, por ejemplo si se comparan con unas reebok revenge plus, las reebok me parecen mucho más cómodas, ni son ligeras, es más, comparadas con unas Nike flex las vans pesan bastante más. De la durabilidad todavía no puedo decir nada. La pisada no ofrece nada de amortiguación y es muy plana. En fin... solo imagen que te hacen pagar un precio que no lo valen.</t>
  </si>
  <si>
    <t>Producto simple peri servicial. Es mas grande de lo que esperaba.</t>
  </si>
  <si>
    <t>No vale para dolores fuertes Me la compré para calmar dolores musculares, no hace ese efecto, para un dolor fuerte no lo quita, si es verdad q su textura hidrata y suaviza la piel. Si es una ligera contractura calma, pero para dolores fuertes no vale.</t>
  </si>
  <si>
    <t>Pesima calidad Como se suele decir mas vale una imagen que cien palabras, este es el estado en que han quedado las botas despues de tres meses de uso ocasional ( 2 o 3 veces por semana)  las suelas se han despegado completamente. Segun el fabricante son de cuero pero como podeis observar en las fotos son de algun material  sintetico que se ha cuarteado todo, he intentado contactar con el vendedor para hacer valer la garantia por defectos en la fabricacion y ni siquiera se ha molestado en contestar al correo, escribo este comentario para que no os engañen como me ha pasado a mi.</t>
  </si>
  <si>
    <t>Decepcionado No se corresponde con la descripción, pone que es 3.0 pero no lo es</t>
  </si>
  <si>
    <t>Un poco decepción La descripción del artículo monseñor adecua al producto en sí, pone que es de cristal y no lo es... cuando lo cierras bien fuerte para moverlo y así que la mezcla se haga bien se sale y chorrea...</t>
  </si>
  <si>
    <t>Correcto De momento cumple su función. Me ha sorprendido lo poco ruidosa que es.</t>
  </si>
  <si>
    <t>Esta muy bonito Quedaba de pierna algo pequeño</t>
  </si>
  <si>
    <t>Correcto Es agradable al tacto y con sus 120W da calor suficiente. He probado otros de 100W y la intensidad de calor me pareció demasiado baja. Tiene resistencia en los hombros, aunque en la solapa del cuello no. Aun así, lo considero suficiente para aliviar las contracturas de los músculos del cuello. Un producto correcto, aunque, 42€ quizás sea un poco caro.</t>
  </si>
  <si>
    <t>Bueno pero simple No resbala, buen producto pero básico</t>
  </si>
  <si>
    <t>Susi Van muy bien estos biberones..lo malo es que sale muy poca cantidad ..con dos meses tuve que pasar a las tetinas 2.</t>
  </si>
  <si>
    <t>Recomendable Ligeras</t>
  </si>
  <si>
    <t>Ninguna diferencia No hay diferencia con el original, pega igual y se imprime exactamente igual</t>
  </si>
  <si>
    <t>Muy rapido Habia buscado un poco de informacion de un usb rapido....Pero me he quedado impresionado de la tasa de velocidad que tiene</t>
  </si>
  <si>
    <t>Su funcionalidad es notable. Cumple perfectamente su función y el alcance es de bastantes metros. En mi caso el ordenador estaba en otra sala con una distancia mínima de 15 metros</t>
  </si>
  <si>
    <t>Buena calidad Esta muy bien</t>
  </si>
  <si>
    <t>Muy satisfecho. Supercontento, es una maravilla de reloj y a buen precio. Gran calidad y muy buen acabado y presentación. Muy satisfecho.</t>
  </si>
  <si>
    <t>Duradero, relajante y natural Buen aroma, muy tranquilizante y duradero. Viene en un cómodo envase de vidrio, más grande que otros aceites, cuyo tamaño suele ser la mitad de este o más. La botella lleva un higiénico y preciso cuentagotas de plástico que lo hace ideal para usar como mucho 3 o 4 gotas. Lo he probado en dos difusores de aromas distintos y en ambos funciona fenomenal. Pone que es 100% puro y natural aceite esencial de lavanda. Venía en un packaging muy protegido y sellado, con las instrucciones en varios idiomas, todo de color violeta. Repetiré porque me ha salido mejor que otros que valen igual pero llevan la mitad. Ideal para usarlo en cualquier estancia de la casa.</t>
  </si>
  <si>
    <t>Sobrepasa las espectativas En mi opinión es una de las mejores compras que he hecho últimamente y aunque después de hacer una serie de pruebas, no se puede comparar con micros profesionales, si que tengo que decir que suena bastante bien para utilizarlo como micro de ordenador de sobremesa, para poder hablar con los diferentes programas de chat e incluso para alguna grabación esporádica, lo mejor es todo lo que acompaña al micro, tanto el soporte como los extras, cables y demás.  Precio calidad un 10. Recomendado si no te quieres gastar mucho dinero.</t>
  </si>
  <si>
    <t>Muy buen reloj Calidad precio imbatible,la esfera es beige y se va tornando a verde según le falta la luz. Un reloj muy bonito en vivo y de calidad. Vierne con caja y papeles,pero no viene con la garantía sellada.Imagino que descargando la factura valdrá.</t>
  </si>
  <si>
    <t>Buena compra Buena compra. 100% recomendable</t>
  </si>
  <si>
    <t>Práctico, cómodo y de buena calidad El cable, al ser tan corto es incómodo. No queda pegado al portátil, se aleja. Eso hace que sea algo incómodo ya que puede ocupar el espacio de un ratón o cualquier otra cosa que tengas a los lados del ordenador.</t>
  </si>
  <si>
    <t>Cumple sobradamente con lo esperado. Muy buena relación Calidad/Precio. Rápido en lectura y escritura, aunque no he comprobado si las tasas que se indican son reales. Completamente recomendable.</t>
  </si>
  <si>
    <t>Después de 4 años sigue perfecta La compré hace cuatro años, la uso casi todos los dias un par de veces. La limpio de vez en cuando con vinagre para quitar la cal y luce como el primer dia. Una gran compra.</t>
  </si>
  <si>
    <t>Fragancia sutil pero efectiva, ideal para espacios de trabajo o relax En la oficina me gusta siempre tener el humidificador con fragancias que vistan el ambiente pero no tengan un olor muy concentrado (al final son muchas horas las que pasamos en la oficina y cuando se usan olores intensos incluso llegan a dar dolor de cabeza).  Compré esta fragancia porque me llamó la atención la vainilla (olor que me encanta) con la madera y he de decir que he acertado. Es un olor suave, no muy dulzón y con un toque a maderita que la verdad da un ambiente muy agradable.  En la foto podéis ver el humidificador que uso (tengo opinión sobre ello también) y con solo 1 gotita de este aceite da el toque que necesito. Nosotros usamos el humidificador 2 veces al día:  1) Por la noche al irnos, así al día siguiente llegas y huele divino. 2) A media mañana tirando al medio día :D para así tras los cafés mañaneros, comida del medio día etc la oficina no acumula olores.  Otro punto que me encanta es que este bote trae dispensador de cuentagotas entonces hace que no derroches producto, cuando he comprado sin dispensador sin querer he llegado a volcar mucho aceite y he armado la "Mari morena".</t>
  </si>
  <si>
    <t>Correspondencia al número!! Muy cómodas</t>
  </si>
  <si>
    <t>buen producto Son muy bonitas. La interesada a quedado encantada.</t>
  </si>
  <si>
    <t>Fenomenal Vienen varias bolsas de distintos tamaños, la más pequeña la he puesto en el zapatero, y las otras repartidas en los armarios a distintas alturas y debajo de los cajones. Al día siguiente ya no había olor de humedad ni olor a cerrado. Odio el olor de la naftalina y esos ambientados es fuertes. Con el carbón en cambio queda absorbido sin dejar ningún otro aroma. Al venir en bolsas es muy cómodo.</t>
  </si>
  <si>
    <t>Muy recomendable No es barata pero es perfecta para el reloj y con el sistema de instalación de xiaomi</t>
  </si>
  <si>
    <t>Manuela El anillo está bien para el precio.  Pero es mucho más pequeño del tamaño que yo había pedido.  Con lo cual no me lo he podido poner.</t>
  </si>
  <si>
    <t>Cómodo,sienta bien,reforzar entrepierna Es u pantalón cómodo y sienta bien,pero se me ha descosido en la entrepierna al primer lavado.Recomiendo reforzarlo por ahí si lo usas sobre todo para ael gym.</t>
  </si>
  <si>
    <t>Gran sonido, no para correr Se me salen al usarlo para correr, pero buen sonido. Lo usaré para otras ocasiones.</t>
  </si>
  <si>
    <t>Se calienta mucho El pendrive está bien en general. Es robusto, parece resistente. El único problema es que se recalienta más que otros. Por ese rango de precios aconsejo comprar otro que no dé este problema.</t>
  </si>
  <si>
    <t>No comprar para Blue Yeti Blue Yeti IMPORTANTE  Hay varias respuestas sobre este tema que indican que trae adaptador de rosca para el Blue Yeti, incluso hay alguna opinión que defiende la compra de este soporte para dicho micrófono. Pues... NO!! No cometais mi error, no compreis este soporte.  Si, trae la rosca para adaptar a Yeti, pero es un adaptador de plástico. Ha sido roscarlo y pasarse de rosca a la primera, quedando casi el tornillo liso y suelto. No sujeta nada, y el Yeti no es que sea un micro ligero... Necesitaría un buen adaptador. En resumen, para Yeti no lo compréis, yo intentaré devolverlo.</t>
  </si>
  <si>
    <t>Paqui El cierre de seguridad muy mal presentado. Pedí otro y me viene hasta con su funda de Pandora y este en una redicula bolsita de plástico. Es auténtica???!!</t>
  </si>
  <si>
    <t>Buen precio para lo q son No pesan, no dan alergia y de haber sido mas precavida me habrian durado mas de un dia. Vienen con las gomitas para q no se te salgan pero quedan sueltas. Asi q un dia puesto me han durado.</t>
  </si>
  <si>
    <t>Chulas y comodas Buenas botas,calentitas y cómodas desde el primer momento !llegaron puntuales!yo me pedí un número más y con calcetines invierno perfecto!</t>
  </si>
  <si>
    <t>Buena compra La compré recomendada por otra persona, y la verdad es que genial, el olor no es desagradable y cumple su función!</t>
  </si>
  <si>
    <t>Me sorprendieron Más allá del diseño del zapato que para mi es perfecto, me sorprendió mucho lo cómodos que son teniendo en cuenta el tamaño y el peso del producto ,Size 45 (11 UK), ya los utilice en un turno de 12 horas seguidas y los pies perfectos como a primer ahora. Veremos cuanto tiempo dura el material , espero no se deterioren fácilmente.</t>
  </si>
  <si>
    <t>Buen precio Zapato de verano al uso. Cómodo y elegante. En mi caso añado una plantilla de cuero para disminuir el sudor. La talla es correcta tal cual viene.</t>
  </si>
  <si>
    <t>Justo lo que necesitas para aguantar cualquier micrófono. No se puede pedir más, hace su función que es aguantar el micrófono y poder moverlo a la posición que mejor te vaya. Por poner una pega, el brazo del filtro antipop según como lo quieras poner tiende a caer por el peso.</t>
  </si>
  <si>
    <t>No están mal Lo malos que son los de la competencia hacen a estos aceites pasables, aunque algunas fragancias de las servidas son mejores que otras, que son francamente mejorables. Los aceites, en su mayoría, no huelen mal y su persistencia es mayor que la de otras marcas que invierten más en marketing, publicidad y ofertas. De ahí las 3 estrellas. Pero estos no fidelizan. Una vez probados, Invitan a probar otras marcas. Un poco más de concentración y una mejor elección de las partidas a embotellar y nos fidelizarían algo más a los que consumimos frecuentemente aceites esenciales. Somos los que les interesamos, más allá de un consumidor puntual. Si los responsables me leen, que tomen nota. Ganarán ellos y ganaremos nosotros. Win win. Hay que ser tontos para no hacerlo por unos céntimos. Ya me gustaría a mí poder haberles puesto 5 estrellas. Edito: El servicio de atención al cliente, espléndido. Se han disculpado. Han ofrecido explicaciones adecuadas, en el sentido de mi comentario y han procurado reparar los problemas causados. Sorprendente. Enhorabuena!</t>
  </si>
  <si>
    <t>Elegante producto Para empezar hemos de destacar que son el producto más parecido estéticamente al de la marca de la manzana que existe. Sin duda, en el precio no hay color. No he probado los de la otra marca, pero estos sí y puedo decir que la calidad del sonido es muy buena. Son obviamente un producto estéticamente muy bonito. Tenía algo de miedo al color blanco por si cogía suciedad y tal...pero vienen hechos con materiales que dudo se afeen con el tiempo. Un acierto el producto</t>
  </si>
  <si>
    <t>Recomendable Todo perfecto</t>
  </si>
  <si>
    <t>El estropajo con mango definitivo Después de mucho tiempo buscando, lo encontré. El precio, es correcto, no barato pero asequible.</t>
  </si>
  <si>
    <t>Tarjetero Es como viene en la descripción del producto, un producto barato y muy útil para poder guardar las tarjetas en él.</t>
  </si>
  <si>
    <t>Muy muy útil Estupendo, fenomenal porque se pone la naranja y el hecho de no usar otra herramienta ya que con la misma tapa tiene un cortador de naranjas.  La volvería a comprar sin problemas.  Excelente compra, además, la estuve buscando por varios meses y siempre veía pero para exprimir una sola mitad y no.</t>
  </si>
  <si>
    <t>Lo que buscaba Comodo y discreto, tal vez un poco pequeño pero era lo que andaba buscando.</t>
  </si>
  <si>
    <t>Buenos para trabajos manuales Es un velcro adhesivo perfecto para realizar pequeños trabajos manuales. Quizás son algo más pequeños de lo que creía, pero es culpa mía por no haberme fijado en la medida que tenían. Por lo demás pegan bien y se adhieren bien a las superficies.</t>
  </si>
  <si>
    <t>Increíble trato con el vendedor El mejor vendedor de este producto, que es un producto perfecto para el gaming y para el uso en oficina</t>
  </si>
  <si>
    <t>Me ha encantado Me ha encantado, el calzado comodisimo, repetiré sin duda!</t>
  </si>
  <si>
    <t>Buen producto Cintas para la máquina, funcionan perfectas</t>
  </si>
  <si>
    <t>Perfecta Perfecta. Todo ha llegado bien sin problemas.</t>
  </si>
  <si>
    <t>Auténticos Sennheiser, gran calidad de sonido y buena terminación a un precio muy competitivo Auténticos Sennheiser, gran calidad de sonido y buena terminación a un precio muy competitivo. Cerca de seis meses de uso diario y funcionan como el primer día. Artículo muy recomendable y que sin duda volveré a adquirir cuando terminen fallando como consecuencia de algún tirón.</t>
  </si>
  <si>
    <t>Disco duro estable y de bajo consumo. Las espectativas eran buenas al leer las caracteristicas y al comprobarlo de primera mano no encontré ningun defecto. Yo queria un disco duro estable para copias de seguridad no buscaba rapidez y este me lo está demostrando.</t>
  </si>
  <si>
    <t>Calidad Excelente</t>
  </si>
  <si>
    <t>Muy recomendables Estoy muy contento con el producto dado que su precio era mucho menor que en la página oficial de la marca pero la calidad seguía siendo igualmente buena. A mi hermana le han encantado, muy recomendables</t>
  </si>
  <si>
    <t>Micrófono malo Compré este micrófono porque a pesar de ver que tenía muchas valoraciones negativas la mayoría correspondían al modelo de pinza, en cuanto a este modelo vi que muchos usuarios estaban contentos.  Pues bien, tras probarlo puedo asegurar que la calidad de sonido es simplemente aceptable. Si quieres que se escuche alto tienes que subir la potencia y alejar los altavoces. Eso o ponértelo en la misma boca para hablar. El que trae mi webcam (que me costó menos de 10 euros) es mucho mejor, ¡y tiene menos ruido!</t>
  </si>
  <si>
    <t>Util. No esta mal.</t>
  </si>
  <si>
    <t>Mala calidad Las perlas de caen solas,mala calidad</t>
  </si>
  <si>
    <t>han causado problema médico He usado este modelo de Vans diariamente, durante 2 meses despues de su compra. Me ha decepcionado la calidad, como se ve en las fotos, se han empezado a romper donde el pie pliega al pisar, se va el color en los mismos plieges ya tienen lineas blancas. Además, me han causado un problema médico en los tendones de los dos pies por la dureza de la parte posterior del zapato. No he tenido nunca antes problemas con el pie ni con los tendones y soy usuaria de este tipo de zapatos desde hace muchos años. Fueron mis primeras y últimas Vans.</t>
  </si>
  <si>
    <t>Como en la foto. Bonitas.</t>
  </si>
  <si>
    <t>Es más para fines naturistas que nada. Si buscas aceites esenciales para mezclar y hacer perfumes o utilizarlo para crear nuevos aromas, pues no son indicados para ello, ya que el proceso que se les dio no fue para preservar el olor natural sino para su simple extracción, lo que da un olor más maduro o viejo de lo que debería ser, salvo la lavanda, incienso y romero que poseen muy buen olor, sobre todo la lavanda, huele realmente a lavanda natural.</t>
  </si>
  <si>
    <t>muy comodos son como me esperaba, la medida del tacon...no me aprietan...son amplios de adelante...lo único que tiene la suela de gamuza que se ve que tienen que ser asi pero yo le pondré suela para que me duren mas.</t>
  </si>
  <si>
    <t>Jawhara Es una pulserita muy mona y sencilla. Apropiada para chicas jovencitas. La compré para un pequeño obsequio y le encantó. El baño de plata no se vé mal. Excelente relación calidad/precio.</t>
  </si>
  <si>
    <t>Muy bueno para gato de pelo corto Probé con otros cepillos con púas largas blandas y duras, con un guante de silicona y ninguno quitaba nada. Éste nos va fenomenal. Es un gato de pelo corto.</t>
  </si>
  <si>
    <t>Cds de buena calidad Necesitaba bastantes cds para grabar las maquetas de mi grupo para venderlas en los directos, sin duda por el precio que tiene cumplen con su función, utilicé todos los cds y no tuve ningún problema.</t>
  </si>
  <si>
    <t>Contentos con la compra Lo compramos para un estudio de grabación que tenemos y funciona perfectamente. Sin duda lo recomiendo. Buena calidad / precio.</t>
  </si>
  <si>
    <t>Buen producto calidad precio Buen producto, tardó un poco en llegar . Buen vendedor.</t>
  </si>
  <si>
    <t>Sin problemas Funciona perfecto y llegó rapidisimo. Esta puesta en el Sony xperia z1 de mi suegra y no ha dado un solo problema. Recomendable 100%</t>
  </si>
  <si>
    <t>Veloz (Soporta UAS - USB Attached SCSI) El disco es agradable estéticamente, un poco rumoroso pero no molesto y con un rendimiento espectacular.  Al conectarlo en mi PC Windows 10 y comenzar a transferir ficheros obtengo una velocidad de escritura secuencial de unos 65 MB/s, bastante inferior a la de otros discos mecánicos USB 3.0 (que anda por los 100-110 MB/s al principio del disco). Lo compruebo con Crystal Disk Mark y los resultados concuerdan.  Después de habilitar el caché de escritura en este disco la velocidad de escritura secuencial salta a los 189 MB/s (!!), espectacular.  Añado las capturas de Crystal Disk Mark de antes y después de activer el caché de escritura.  Apenas llevo 2 horas de uso del disco y la velocidad no ha bajado después de copiar unos 700Gb la velocidad no ha bajado de 189 MB/s en la escritura secuencial. ¡Barbaro!</t>
  </si>
  <si>
    <t>Limpia bien No lo e usado mucho pero funciona muy bien</t>
  </si>
  <si>
    <t>Muy recomendable El bolso es bonito y práctico.La calidad es excelente y el color bonito,tiene muchos bolsillos para guardar cosas.Un complemento ideal para eventos informales.Muy recomendable</t>
  </si>
  <si>
    <t>Artículo construido con profesionalismo Artículo con excelente acabado, con un aspecto bastante cuidado. Pero no es sólo el aspecto que cuenta. La calidad de sonido que transmite es también muy buena. Tengo otro micrófono, y voy a acoger otro cable de estos.</t>
  </si>
  <si>
    <t>ACEITES SIN QUÍMICOS. IMPORTANTE Los pedí porque quería tener mi casa con olor agradable y no quería cosas químicas. Estos aceites son naturales y son ideales para que no repercuta en nuestra salud. He probado el de LAVANDA y me encanta el aroma que deja. En cambio mi marido prefiere el de EUCALIPTO y mi hijo el de LIMONCILLO. Como hay para todos los gustos, no hay problema. Seguramente lo volveré a comprar cuando los termine.</t>
  </si>
  <si>
    <t>lo esperado ha llegado el producto que quería en el plazo de tiempo esperado.</t>
  </si>
  <si>
    <t>Eficaz Ha venido muy rapido.Funciona bien.Micro capta bien el sonido.Estoy contenta</t>
  </si>
  <si>
    <t>Cómoda y ligera Se la regalé a mi madre y está encantada, no pesa nada, es muy ligera</t>
  </si>
  <si>
    <t>Muy buen Perfecto</t>
  </si>
  <si>
    <t>Auriculares fantásticos Auriculares fantásticos, muy ligeros y cómodos, con una calidad de sonido perfecta, excelente definición de bajos y una impresionante relación calidad-precio</t>
  </si>
  <si>
    <t>Muy buena duración de la batería La auriculares están súper bien el envío ha sido súper rápido cuando lo abres te encuentras una caja muy bien empaquetada para que no sufra daños para los oídos de varios tamaños todo de color negro y azul y los auriculares con un tono azul precioso y su manual de instrucciones  Vienen los auriculares en una cajita y esa cajita sirve para cargar los auriculares es parecido a una batería externa se te descargan los pones cada uno en su hueco que van con imán se pegan de momento y verás que tiene un indicador de carga y te dice hasta donde están los auriculares cargados.  Cuando se te descarga pones el cable USB y lo vuelve a cargar la verdad que está muy bien tiene un sonido muy bueno los auriculares van mediante huella dactilar le das con el dedo varios clicks y sube y baja de volumen que lo dejas pulsado se apaga si quieres encenderlo lo mismo estan increíble lo recomiendo.  Lo mejor sin duda es la batería de súper larga duración llevo una semana usándolos a diario y aún les queda carga.</t>
  </si>
  <si>
    <t>Toshiba P300 - Disco Duro Interno de 3 TB, 3.5" Es un disco duro bien construido, fiable, un poco ruidoso, aunque puede ser porque tengo tres discos P300 conectados al mismo tiempo. Hace tiempo que compré otro igual y sin problemas. Quizá a la próxima compraré otros tipo Toshiba NAS porque no se duermen y luego arrancan.</t>
  </si>
  <si>
    <t>buenisimo De gran utilidad</t>
  </si>
  <si>
    <t>Solo una palabra: PERFECTA Necesitaba una  plancha que fuera rápida, y no me hiciera perder el tiempo en planchando, y la verdad es perfecta, además de tener un precio económico la forma de introducir el agua en ella es muy facil y mas en comparación con otro tipo de planchas, además la zona metalica da una sensación de calidad. Es posible regular la intensidad de la expulsión de vapor con una ruleta independiente algo que da una gran posibilidad para poder quitar la arrugas difíciles además de dos modos de expulsión de vapor a través de chorro (arrugas muy dificiles) y expulsando vapor por la placa.  Tardo en planchar la mitad respecto a mi plancha anterior además de no dejar ninguna arruga.  Recomiendo su compra</t>
  </si>
  <si>
    <t>WD caviar blue Entrega bien, El mayor problema es que en la parte exterior de la caja pone que el disco funciona a 5400 rpm mientras que tanto en las características como en el propio disco las rpm de funcionamiento son 7200. Claro está que hasta que no lo sacas de la caja no puedes comprobarlo y, eso puede dar lugar a devoluciones por un error que solo es de etiquetado.</t>
  </si>
  <si>
    <t>Correctas Aunque estén muy logradas no creo que sean verdaderas. Lo puedes ver si te fijas en el interior del zapato. La "o" de Converse debería tener una estrella en el interior. Aun así, si no te importa, se parecen muchísimo. El paquete llegó incluso antes del tiempo establecido.</t>
  </si>
  <si>
    <t>Están bien, sin más Funcionan correctamente, pero al cabo de un buen rato no son excesivamente cómodos. Se oye un pequeño zumbido de fondo, quizá alguna interferencia de algún otro cercano. Pero en general, no están mal, aunque no para echar cohetes.</t>
  </si>
  <si>
    <t>Las circonitas se despegaron a la semana. no lo volvería a comprar</t>
  </si>
  <si>
    <t>No vale Malo malo, intenté sacar unas ralladuras a un Apple Watch y eso que le di 3 veces pero como si nada.</t>
  </si>
  <si>
    <t>Cumplen su función Es una caja de grapas para las grapadoras estilo "Rapid Classic 1 (Esselte Leitz 10510628 - Grapadora manual)" de Isaberg. Es una caja pequeña, cualquiera pensaría que 1000 grapas es una barbaridad, pero no, es una cajita pequeña. Estas grapas, sin embargo, no son tan fáciles de encontrar, no las venden en grandes superficies, sino más bien en tiendas especializadas o papelerías, así que está bien tenerlas localizadas.</t>
  </si>
  <si>
    <t>encantado llego al dia siguiente y aunque no tenga la duracion que pone, hasta 16 horas mas bien unas 8 por este precio en la farmacia solo compras 3</t>
  </si>
  <si>
    <t>Buen producto Buen producto. Cumple con su cometido y es simple en su funcionamiento. Ocupa poco y es potente. Lo recomiendo pero sin forzarlo nunca.</t>
  </si>
  <si>
    <t>Reloj elegante y de buena calidad Muy cómodo y elegante. Diseño muy bonito</t>
  </si>
  <si>
    <t>bien y muy utilizable al principio eran un poco duras por detrás. con varios usos ablandan y son cómodas. coinciden con la descripción.</t>
  </si>
  <si>
    <t>Perfecto Para lo que quiero perfecto</t>
  </si>
  <si>
    <t>impresionante. la compré para un disfraz y es la leche. Parece de verdad, pesa y las piedras brillan muchísimo. Es una pasada por ese precio.</t>
  </si>
  <si>
    <t>Buena relación calidad precio Estos cascos me han parecido una maravilla. Se adaptan perfectamente a las orejas y no molestan al cabo del rato y absorben el sonido de alrededor. Además, que se pueden doblar para llevarlos sin que ocupen mucho espacio. La batería es bastante duradera. Y a parte de todo esto, tiene un diseño muy elegante y muy bien acabado. Son bonitos y bastante baratos para la calidad que tiene. Así que teniendo las 3 b (bueno, bonito y barato) son muy recomendables.</t>
  </si>
  <si>
    <t>TODAS MIS COMPRAS PERFECTAS TODAS MIS COMPRAS HAN SIDO SATISFACTORIAS GRACIAS.</t>
  </si>
  <si>
    <t>Muy rapido Todo muy bien y muy rapido</t>
  </si>
  <si>
    <t>Puntero Laser Doosl Buen puntero para cualquier tipo de presentación. Buena relación calidad-precio.</t>
  </si>
  <si>
    <t>Se nota el olor Lo hemos comprado para el humidificador y genial. Vienen seis de varios aromas diferentes y con solo unas gotas ya lo notas. Los que mas me gustan son el de lavanda y rosemary. Varias fragancias a buen precio ya que cunden bastante. Gracias!</t>
  </si>
  <si>
    <t>Buenas Son muy calentitas y cómodas, perfectas para el invierno o para la nieve. De buena calidad. De tamaño queda bien.</t>
  </si>
  <si>
    <t>Bluetooth 5.0, cancelación de ruído y buen sonida. Calidad/Precio insuperable. Lo primero decir que vengo de unos AirPods (que se me han perdido) y buscando algo que no fuera caro me topé con estos auriculares, pero asumiendo que serían “mediocres” debido a su bajo precio.  Pues bien, al ponerlos ya noté que eran extremadamente cómodos, valen para entrenar, no se mueven ni a tiros. La cancelación de ruido es de primer nivel, perfectos en ese sentido también. La calidad de sonido es buena y la transmisión de audio sin cortes. La batería dura bastante, yo los cargo cada 4 días, no tardan mucho en cargar. Otra cosa que me sorprendió es que proporciona el nivel de batería y lo muestra en el móvil (pongo foto) algo “avanzado” para un dispositivo que me ha costado 20€ escasos.  Decir que es el modelo “negro oscuro”, que realmente es el Q33 o SK - Value (pongo foto) estos sí son 5.0, incluso han actualizado el logo de la marca, los otros colores son 4.1.  En resumen, no sé lo que durarán, espero que mucho... pero dudo que alguien de algo mejor a este precio. Es más, me atrevo a decir que está por encima de auriculares que valen 5 veces más (o más).  No puedo estar más contento.</t>
  </si>
  <si>
    <t>Muy bien Me encanta. Buenisima</t>
  </si>
  <si>
    <t>Ecxelente batidora Es una batidora que no tiene nada que envidiar a otras de mayor valor. Actualmente pruebo articulos de cocina en mi canal de youtube y debo decir que esta batidora ha sido una sorpresa pues trabaja muy bien y deja los batidos bien terminados su potencia es muy buena y su vaso de cristal es lo suficientemente grande para batir diferentes tipos de zumos, esta batidora incorpora dos vasos con cuchillas undependientes lo que hace que el trabajo en la cocina sea mas efectivo. La recomiendo por su calidad precio y en verdad es un compra hacertada.</t>
  </si>
  <si>
    <t>El funcionamiento es sencillo y fácil de usar Me encanta este exprimidor, el color de negro y naranja se ve bien, Carga conveniente, fácil de operar, una carga puedo ser utilizado 20 veces, la limpieza es también muy conveniente. Yo puedo usar este exprimidor en mi oficina y el viajo ,vale la pena comprar.</t>
  </si>
  <si>
    <t>Elegante Es muy fina y delicada. Queda muy bien en la muñeca como se ve en la foto. Se ajusta muy fácilmente con el doble cordón que lleva . Recomendable</t>
  </si>
  <si>
    <t>Calzado muy cómodo Compré  éstas chanclas para jubilar las antiguas que tenía para ir a natación ya que resbalaban a la mínima que el suelo estaba mojado y cumplen su función a la perfección. Son muy cómodas y no resbala ni el pie por dentro de la chancla cuando vas mojado ni la chancla en contacto con el suelo mojad . El único punto negativo es la talla; uso un 44 y esa es la talla que pedí pero la punta de los dedos me roza con el extremo de la chancla ya que el borde tiene angulación hacia dentro. No es molesto por mucho que ande pero un número más (45) me hubiese quedado ideal.</t>
  </si>
  <si>
    <t>Cómodas Son como se ven, tamaño normal</t>
  </si>
  <si>
    <t>Sonido perfecto Se escuchan muy bien y son cómodos de llevar, además tienen esa flexibilidad para doblarse y es mas comodo guardarlos en la mochila si los usas para ir por la calle.  El color blanco no me convencía pero es bonito y queda muy bien, aun así la función de los auriculares no es esta asi que... Los recomiendo y los volvería a comprar sin duda.</t>
  </si>
  <si>
    <t>Micofóno espectacular y original para un regalo &lt;div id="video-block-R5Z84LNRNGP0L" class="a-section a-spacing-small a-spacing-top-mini video-block"&gt;&lt;/div&gt;&lt;input type="hidden" name="" value="https://images-eu.ssl-images-amazon.com/images/I/91fNb0zG+fS.mp4" class="video-url"&gt;&lt;input type="hidden" name="" value="https://images-eu.ssl-images-amazon.com/images/I/81zBVQu2qOS.png" class="video-slate-img-url"&gt;&amp;nbsp;El Micrófono está bien acabado, tiene un buen nivel de audio, y el sonido es bueno tanto en música como en voz. Teniendo en cuenta su precio es una opción muy buena como regalo. A mis hijos les ha encantado. Cumple la función muy bien. La batería dura bastante. Dispone de puerto micro usb para su carga, ranura para tarjeta sd, y entrada de cable de audio, muy completo para su precio, también puedes grabar. Lo puedes usar  y para cantar con los peques de la casa o con adultos.  Es muy intuitivo y fácil de usar. Es divertido y muy fácil de usar.</t>
  </si>
  <si>
    <t>SORPRENDENTE COMPRA Tengo que reconocer que, por el precio que tenía no esperaba gran cosa y lo compré para probar.... y ha sido un éxito. No imaginaba lo bien que funciona, pero es útil en habitaciones pequeñas. Mi salón mide 35 m2 y cuesta alguna hora de uso para que se note que está en funcionamiento. A pesar de todo, me ha encantado y tengo pensado regalarlo a dos familiares.</t>
  </si>
  <si>
    <t>buen producto no tiene mucha potencia pero cumple con su funcion.relacion calidad precio muy buena.ya lo habiamos comprado.lo recomiendo. se ha de tener en cuenta el tiempo de funcionamiento como en todos.</t>
  </si>
  <si>
    <t>no estoy a gusto con la compra Lo compre hace un mes y medio y ya no hace burbujas estoy muy disgustada</t>
  </si>
  <si>
    <t>pulsera reloj Tiene buena apariencia y agradable al tacto. Muy buena presentación dentro de un estupendo estuche. El único pero que le pongo es que uno de los pasadores se suelta con bastante facilidad.</t>
  </si>
  <si>
    <t>Mui fina Es una sudadera mui fina i la talla un poco mas pequeña d lo k anuncia</t>
  </si>
  <si>
    <t>Peor imposible He gastado anteriormente biberones de este fabricante hace un año, la experiencia fue buena. Pero estos son lo peor del mundo. En cuanto los pones en horizontal se sale toda la leche por la rosca que sujeta la tetina. No recomiendo para nada la compra, son muy muy malos. Siento pena de que Amazon ensucie su reputación con semejante mierdaa.</t>
  </si>
  <si>
    <t>Mala calidad No es como esperaba. Las cartulinas interiores para poner las fotos son muy finas. Las fotos son más gruesas. Las tapas llegaron dobladas.....todo muy mala calidad</t>
  </si>
  <si>
    <t>relog solar CASIO La parte digital es demasiado pequeña. el resto bien.</t>
  </si>
  <si>
    <t>Excelente mochila, sistema octupus nada útil. Compré la mochila para un viaje y quedé muy contento con ella, aunque el precio en Amazon es más caro que en otras webs. Tiene 4 bolsillos: uno frontal en el que llevaba una smarphone de 6,4 pulgadas sn problemas, con algunos folletos; un bolsillo principal en el que me cabía un paraguas plegable, una botella de agua de medio litro, pañuelos, llaves y una guía de viajes (a veces llevé aquí una cámara reflex desmontada); un bolsillo "oculto" en el que llevaba unos carnets (en este bolsillo entraba muy, muy justo el móvil tan grande; un bolsillo en la correa de bandolera, para meter otro carnet. El bolsillo principal tiene una zona de separación con acolchado en la que se puede meter hasta un tablet de 10 pulgadas, una zona de almacenaje principal y un bolsillito interior con cremallera. En él se aloja el cable de usb que conecta con el exterior, que a mi me sobraba. El bolsillo frontal también tiene dos separaciones, pero con tela. La calidad de los materiales , enganches y costuras es muy buena y estéticamente es hasta más bonita que en la foto. El sistema octupus para fijar un móvil resulta desafortunado. Apenas sirve para smarphones de menos de 5 pulgadas y, si van con funda la pieza metálica que impide que caiga no lo recoje por ser estrecha; las ventosas solo funcionan del lado de la patalla; solo sirve orientada la mochila hacia adelante; si no llevas móvil, los ganchos de la pieza metálica se te pueden trabar con la ropa al ponerte y quitarte la mochila. Yo opté por quitarle la pieza (sale muy fácil, girnado hacia un lado) y eliminar el sistema, pero quedan las ventosas vistas y sin utilidad. Pros: calidad, capacidad, tamaño intermedio, comodidad, múltiples compartimentos, estética. Contras: si cargas mucho el compartimento principal, los otros bolsillos se quedan algo apretados, el cable para cargador USB (que resta algo de espacio interior), la ausencia de agujero para auriculares y, sobre todo, el sistema octupus. Conclusión: me gustó la mochila, no el sistema otopus. Estuve dudando con otra bandolera Mark Ryden sin el sistema octupus y me he quedado con ganas de saber si los compartimentos eran tan buenos como esta. Quizá ahora, compraría la mochila sin sistema octopus.</t>
  </si>
  <si>
    <t>Buena relacion calidad precio Despues de 1 año de uso del producto :  * Con poca cantidad de producto (entre 1 y 2 monedas de 2€) se obtiene una buena limpieza en la manos y uñas. * Los residuos secos del producto que pueden quedar en la pila son faciles de limpiar. * Se retira facilmente de las manos. * No reseca la piel. * Elimina bien aceite, incluso los gruesos como 75W90.</t>
  </si>
  <si>
    <t>Aceptable Calidad aceptable por su precio</t>
  </si>
  <si>
    <t>Buena relación calidad precio. Se oyen perfecto y te escuchan bien. Se adaptan al oído perfectamente con los 4 tamaños de almohadillas. Además sirve como powerbank para el móvil. Sorprendido de la buena calidad. Por ponerle un pero, la tapa del estuche es de plástico, pero permite ver el nivel de batería restante.</t>
  </si>
  <si>
    <t>Recomendable 100% Es genial. Facil de usar y limpiar.Bate muy bien.</t>
  </si>
  <si>
    <t>Relación calidad precio 10 La impresora va fantástica, la calidad es muy buena. La pantalla táctil está bien aunque las he visto mejores. En relación calidad precio es un 10. Para mi pese a que la instalación no es complicada tuve algún problema de configuración con el portátil y tuve que respetarla y volver a empezar pero realmente es algo que no molesta dada la calidad y lo bien que va.</t>
  </si>
  <si>
    <t>buen usb,pero caro usb muy rapido,a dia de hoy no me ha fallado,eso si algo caro..</t>
  </si>
  <si>
    <t>Muy bueno. 👍 Tal como se ve en la foto súper recomiendo!.</t>
  </si>
  <si>
    <t>PERFECTA PERFECTA justo lo que estaba buscando solo el brazo triturador y el correspondiente vaso el brazo se expulsa con botón no hace falta enroscar.</t>
  </si>
  <si>
    <t>Ok Lo mejor</t>
  </si>
  <si>
    <t>Vaso de mucha capacidad, se lava en el lavavajillas Muy potente, aunque a veces hay q abrir y mover el contenido para q siga triturando.</t>
  </si>
  <si>
    <t>Genial! Hemos comprado ambos colores y esta encantado. Son frescos ya que es transpirable la tela. Cómodos y buen color. Parecen resistentes y buen material. Nosotros lo recomendamos.</t>
  </si>
  <si>
    <t>Regalo muy acertado Regalo muy acertado</t>
  </si>
  <si>
    <t>José Luis Esta muy bien es finita y elegante. Muy buen precio. La recomiendo</t>
  </si>
  <si>
    <t>Resistente Muy bueno</t>
  </si>
  <si>
    <t>Bastante calidad en estos auriculares. Al recibirlo y desempaquetarlo, me llevé la primera sorpresa. Vienen en una lata metálica, muy bonita, y no sólo eso que abierta la lata van introducidos en un estuche rígido de los de cremallera, de bastante calidad, por cierto. Es de agradecer que aparte de los clásicos adaptadores, según el tamaño del oído, incluyen dos adaptadores, ajustables,tipo viscoelástico. El sonido que ofrecen estos auriculares esta muy bien. Me parece muy bueno su balance entre bajos y agudos.</t>
  </si>
  <si>
    <t>bien CAlidad buena y precio genial. Lo compré un pelín grande y queda holgado pero tampoco supone un problema. Fue error mío al calcular mal. Lo recomiendo.</t>
  </si>
  <si>
    <t>Buena relación calidad precio. Recomiendo la compra.</t>
  </si>
  <si>
    <t>Cómodo y bonito Los uso para hacer running y sujetan muy bien y, aunque no absorben la humedad tan bien como otros, para entrenamientos no muy potentes es más que suficiente. Son muy cómodos y las almohadillas son extraíbles, lo cual aconsejo para su lavado.</t>
  </si>
  <si>
    <t>Talla normal Exactamente lo q buscaba, genial de talla muy cómodas y bonitas, falta ver el resultado</t>
  </si>
  <si>
    <t>Aceites de calidad Compré este pack de aceites esenciales junto a un difusor de aromas/humidificador y huelen de maravilla. Vienen 6 botes de aceites de aromas a eucalipto, árbol de té verde, naranja dulce, menta y lavanda. Basta con echar unas cuantas gotas para que produzca un olor muy agradable. Los aceites se disuelven perfectamente en el agua y dura bastante el olor, no hay que estar recargando con gotas. Incluso puedes disfrutar de tus propias mezclas. Sin duda totalmente recomendables.</t>
  </si>
  <si>
    <t>no silba la tetera esta bien para una persona o dos, la devolví porque pone que tiene silbato y a malas penas se oye estando al lado</t>
  </si>
  <si>
    <t>Braum Es exactamente igual que la de verdad, pero tiene poca potencia. Caro para lo que es.</t>
  </si>
  <si>
    <t>Bien Estan bien pero en la foto parecen de mejor  calidad de lo que son</t>
  </si>
  <si>
    <t>No es valido para tod@s La idea es buena, pero si previamente no eres aficionado al yoga, relajacion o algo similar, probablemente no te sirva de gran ayuda. Ademas su precio desde mi punto de vista es excesivo.</t>
  </si>
  <si>
    <t>Calidad y tamaño Muy, muy pequeña. Es para el tobillo de una niña pequeña.</t>
  </si>
  <si>
    <t>Nike talla pequel Nike talla pequeño, asi que hay q pedir un numero mas. Son comodas aunque a mi gusto apretan demasiado el pie.</t>
  </si>
  <si>
    <t>Pantalón bonito Queda igual que en la foto. Tejido suave y cómodo. Yo uso una talla 44 y la XL se corresponde perfectamente. Puesto queda bonito, la única pega es que lo he comprado para hacer yoga y no me resulta del todo cómodo ya que en algunas posturas se abre la pernera por el lado y queda descubierta toda la pierna.</t>
  </si>
  <si>
    <t>Buena calidad-precio Esta bien para empezar si no quieres gastarte mucho. Lo único que el cable que trae no sirve, es canon-usb y debería ser canon-canon. Compré el cable a parte y funciona perfectamente</t>
  </si>
  <si>
    <t>Deporte Las tuve que devolver porque me quedaban muy grandes pero la malla es muy bonita, suave y transpirable, además un color muy chulo, a pesar de que eran grandes intuyo que debían de ser cómodas.</t>
  </si>
  <si>
    <t>aceptable un poco fina, por lo demas bien</t>
  </si>
  <si>
    <t>Recomendable Solo tenía que conectar el cajón en el TPV y apretar la tecla de CAJON, a la primera 100% recomendable</t>
  </si>
  <si>
    <t>Esta marca no defrauda Son de buena calidad y comodas, muy contenta con ellas.</t>
  </si>
  <si>
    <t>Baratas, buenas y prácticas. A pesar de las muchas opiniones que se quejan del polvillo negro que sueltan, he de decir que no es para tanto. Dándole a todas a la vez ( o por puñaditos) una buena ración de sacudidas, esos restos salen y no molestan más. Supongo que cepillándolas o con el aspirador, quedarán impolutas. En cuanto a las tiras, son prácticas 100%, tanto para sujetar los cables de aparatos eléctricos, o para cualquier otro objeto que requiera sujeción. El paquete lleva 100 unidades de color negro ( sería interesante hacerlas en varios colores) de calidad buena y tamaño adecuado, que se pueden enganchar unas con otras si queremos alargarlas.</t>
  </si>
  <si>
    <t>Buena calidad y g Regalo</t>
  </si>
  <si>
    <t>Muy contenta Muy contenta con la compra, genial calidad precio. Las utilizo un montón para adherencias de la piel y el musculo. Las recomiendo</t>
  </si>
  <si>
    <t>Muy buena calidad precio Es de una calidad muy decente para el precio que tiene y el tamaño es el que se indica</t>
  </si>
  <si>
    <t>lupa con led me ha sorprendido por la calidad y el contenido, las 5 lentes de repuesto son de buena calidad, no se aprecian aberraciones en la vision, la luz a led es muy luminosa, no pesa mucho incluso con uso continuado, facil de limpiar, el precio es realmente increible!!!, comprare un otra, totalmente aconsejable.</t>
  </si>
  <si>
    <t>Fantásticos Muy baratos y super buenos . Incluso para las llamadas del móvil . El micro es fantástico . Ya he comprado varios porque la mayoría los pierdo y ninguno ha fallado nunca</t>
  </si>
  <si>
    <t>Fantásticas tijeras Son cómodas, cortan bien, y tienen buen tamaño. Perfecto! He probado con papel, con plástico fino e incluso con esparadrapo.</t>
  </si>
  <si>
    <t>Buena compra Muy buena compra,uso muy intenso y funciona cómo el primer dia,entrega y vendedor perfecto.</t>
  </si>
  <si>
    <t>Super Practica! No pense que fuese tan util, pero facilita muchisimo la hora de la comida. Logicamente tiene que ser liquida dado que el orificio de salida es pequeño. Solo necesitas la cuchara y nada mas, es mas, puedes cargarla y utilizarla mas tarde dado que tiene una tapa que hace que no se salga el alimento. No ensucias practicamente nada, y si no la terminas en el mismo uso, puedes guardarla con su tapa en la nevera para mas tarde. Se puede utilizar ademas para medicamentos, esta genial.</t>
  </si>
  <si>
    <t>Calidad Precio, ok Mejor de lo que esperaba. Calidad precio inigualable. Sellan por detrás para que la identificación no se salga, además el tamaño es idóneo para las tarjetas.</t>
  </si>
  <si>
    <t>Le encantan Buena calidad muy bonitas y súper comodas</t>
  </si>
  <si>
    <t>Alegre y ligero Es un reloj Casio con las funciones básicas: reloj, alarma, cronómetro y fecha. No tiene cuenta atrás. Es muy ligero, muy plano, de un color alegre (turquesa), y de buena relación calidad precio; estupendo como complemento para ponerse en verano.</t>
  </si>
  <si>
    <t>Totalmente recomendado Producto genial. Se puede usar para poner en los soportes de la serie Niessen Zenit y el coste es la décima parte a un solo conector de niessen. Funciona a la perfección y buena calidad de material. Sin lugar a dudas volver a comprar para las instalaciones que hago.</t>
  </si>
  <si>
    <t>Cable para altavoces caseros. Para inos altavoces sencillos de casa es perfecto,no se necesita una seccion mayor de cableado.</t>
  </si>
  <si>
    <t>Perfecto para automoción (y otros...). Perfecto para fijar y ordenar cables, estupendo para coches, muy buena adhesión incluso en verano con mucha calor (adhesivo 3M).</t>
  </si>
  <si>
    <t>Top Perfecto. Qualidad muy buena</t>
  </si>
  <si>
    <t>La verdad absoluta ante el marketing. He comprado el disco duro de 10 TB , porque me parecía un buen precio por lo que me ofrecía..Pero me siento engañado por qué Amazon no revisa bien sus productos.. (En concreto el disco duro de sobremesa de la marca WD ) Mi sorpresa fue cuando creía q había comprado 10TB.., lo cierto es que solo trae 9,09TB..Un dato q sería muy positivo si fuera con la verdad de las cosas por delante..</t>
  </si>
  <si>
    <t>Está bien, pero sólo es rápida en formato exFAT Elegí esta memoria porque tenía una valoración alta y el mejor precio. Pero una vez probada con Fat32 es desesperadamente lenta cuando copias muchas Gigas, y muchos archivos son pequeños. Me ha tardado 12 horas en copiar 7GB. Sin embargo formateado a exFAT me ha tardado sólo 10 minutos aprox. La recomiendo sólo si la formateas a exFat y no la vais a usar en XP.</t>
  </si>
  <si>
    <t>Engaña bobos Vileda. Es un engaña bobos...no la volvería a comprar, no llega a los rincones no recoge del todo lo que hay, es un poco para gente que le da igual. Yo veo que no me vale pq la escoba de toda la vida va mejor...</t>
  </si>
  <si>
    <t>No la compréis Tras una semana de poco uso, he detectado que se calienta muchísimo, hasta el punto de hacerla incomoda de sujetar. Según he leído en los foros de sandisk esto supone un problema que puede reducir su vida útil e incluso llegar a derretir el plástico. Además, es que se calienta sin estar en uso, es decir, la tengo enchufada al PC y solo por estar enchufada ya está al rojo vivo.</t>
  </si>
  <si>
    <t>Nada recomendable Pésima calidad, la tela y el diseño no tiene nada que ver con la fotografía. La talla es demasiado pequeña y queda muy mal. Terrible en todos los aspectos.</t>
  </si>
  <si>
    <t>Comentario Excelente producto. Vendedor recomendado.</t>
  </si>
  <si>
    <t>cepillo de escoba mejorado. Sin llegar a ser muchísimo mejor que un cepillo tradicional, se llega a notar la diferencia al enredarse menos suciedad en las cerdas, que son más impermeables y flexibles.</t>
  </si>
  <si>
    <t>Calidad a buen precio Muy buena relación calidad - precio, muy cómodas para caminar. Sin duda un buen producto con un buen acabado y  fácil de limpiar.</t>
  </si>
  <si>
    <t>Económico y funcional Un pegamento de uso común para grandes y pequeños. Está muy bien de precio, seca rápido y el nivel de pegado aguanta en el tiempo.</t>
  </si>
  <si>
    <t>Funciona muy bien aunque el cable es corto Lo quería para grabar pequeñas entrevistas con el móvil. Va de lujo y se escucha muy bien pero hay que comprar un alargador pues para hacer una entrevista a alguien auqnue esté a dos metros de ti queda muy corto. Por lo demás lo he usado con un samsung galaxy S6 directamente grabando de la cámara de video ( no he usado ningún programa especial para grabar ya que me interesaba para grabar el audio a la vez que la imagen). Lo volvería a comprar. Eso si, el alargador son otros 17 euros así que al final el micro se encarece pero es una marca de la que me fío y no le pondría un alargador barato a un micro rode como es éste.</t>
  </si>
  <si>
    <t>Comodidad y transpiración Buenos Calcetines</t>
  </si>
  <si>
    <t>Geniales Cómodos , bonitos , facil de limpiar , duraderos ,estoy encantada con ellos. Es la única marca que uso en deportivas.</t>
  </si>
  <si>
    <t>Muy buena Licuadora. Licuadora muy fácil y útil. He hecho varios batidos. Uno de fruta y leche y otro de hielo picado y fruta tipo smoothie y los dos quedaron muy bien, así que tiene buena potencia. La carga y duración de la licuadora más que suficiente para varios batidos.</t>
  </si>
  <si>
    <t>Pequeño y practico Un PenDrive USB de buena capacidad , 64 Gb para llevar en el llavero gracias a su gran resistencia, metalico y a prueba de agua, puedo tener los archivos seguros y poder utilizarlos en cualquier sitio, los hay mas baratos pero la mayoria con con la capacidad falseada, este tiene los 64 Gb reales.  Un saludo.</t>
  </si>
  <si>
    <t>Un reloj precioso Funciona perfectamente, llegó en perfecto estado y mi marido encantado. Informal y elegante.</t>
  </si>
  <si>
    <t>Mejor de lo me que esperaba Fácil de conectar, solo con usb y el ordenador lo detecta e instala al instante. Viene con trípode pequeño que aguanta de maravilla, el sonido del micrófono nítido, no está nada mal. Con un poco de configuración básica en cualquier programa que se utilice para jugar/grabar es suficiente para dejarlo al gusto. Me ha sorprendido la calidad de sonido de este micrófono. El micrófono es tal y como en las imágenes del anuncio. Contento con la compra.</t>
  </si>
  <si>
    <t>ÚTIL Y CÓMODO Necesitaba comprarme un reloj y me decidí por este modelo, reloj digital de acero inoxidable tanto para hombre y mujer, ya que es ajustable.  Relación calidad precio esta muy bien, tiene lo necesario: fecha, alarma,cronómetro , luz y un color plateado que queda muy bien estéticamente, resitente al agua, además viene con pilas incluidas. El reloj es original de Casio, se puede comprobar manteniendo el botón inferior derecho unos segundosy aparece el logo de Casio.  Decir que es muy facil de utilizar , viene con las instrucciones pero no las miré en cuanto apenas.Por ultimo decir que me llego muy rapido el paquete apenas tardo unos dias en llegarme.  Lo recomiendo.</t>
  </si>
  <si>
    <t>Buena memoria Hoy en dia es muy dificil saber si la memoria que tienes es original o no, porque las copias cada vez son mas perfectas, pero yo creo que esta es original, funciona muy bien, incluso exigiendo tasas de escritura lectura altas.</t>
  </si>
  <si>
    <t>Buena compra Llegó el día señalado. Buena relación calidad precio. Es tal y como sale en la foto,mejor diría yo. Muy contentos con la compra.</t>
  </si>
  <si>
    <t>Estupendo Producto fenomenal de calidad, con bolsa de plástico para guardarlo. Las finiciones son de calidad. Recomiendo este producto para todas las chicas que hacen deporte tipo baile, gimnástica rítmica, fitkids....</t>
  </si>
  <si>
    <t>Muy contenta Me decidí a comprar esta batidora por ser una marca que he tenido en mi casa desde siempre, por la potencia y por los accesorios. Ahora se ha vuelto imprescindible en mi cocina porque hago las salsas, papillas, triturados y con el accesorio de mahonesa que trae he conseguido que me salga como jamás me había salido antes. Además es súper práctica, fácil de limpiar y guardar. Muy contenta.</t>
  </si>
  <si>
    <t>Calidad y precio Con la calidad que caracteriza la marca y una sorprendente facilidad de uso, limpieza y prestación. Lo recomiendo.</t>
  </si>
  <si>
    <t>Bueno si quieres esa marca Pues una zapatilla normal y corriente de la marca nike. Calidad buena y el precio normal. Parece blandita aunque es de platico puro y duro</t>
  </si>
  <si>
    <t>exelente no me voy a henrrollar mucho cumple con lo que dice todo los pendientes bien y de buena calidad a dia de hoy los llevo y muy contento</t>
  </si>
  <si>
    <t>Sergio R La almohada y esterilla de supportiback son comodos y sobre todo un bien necesario para nuestra dalud. Se notan las mejorias a partir de la primera semana y aunque no es placentero, la vitalidad y sensación posterior a su uso, son maravillosas.</t>
  </si>
  <si>
    <t>perfecta disolución y función No hay mucho que decir, buena marca y buen producto. Sobre todo va perfecto para zonas de España que tengan el agua con mucha cal, para no fastidiar la lavadora. Recomendado, desde que tengo la lavadora lo uso y cero problemas.</t>
  </si>
  <si>
    <t>El colgante es precioso!!! La candena un poco escueta para un cuello ancho y el cierre muy sencillo. Pero el colgante es precioso!!! Detalles y excelente acabado.</t>
  </si>
  <si>
    <t>El mejor Mic Definitivamente lo mejor que hay en el momento para streamers que prefieran una conexión USB, sin latencia y con conexión para auriculares.</t>
  </si>
  <si>
    <t>Bonito Era un regalo para mi niña. Le ha encantado. Ni muy grande ni muy pequeño. Todo genial. Un saludo.</t>
  </si>
  <si>
    <t>Podían poner todas las características Diseño bonito pero la aguja del segundero solo funciona con el cronómetro, mientras que el de abajo pequeño te marque los segundos,no me parece estético que en mitad del reloj este parado el segundero en las doce</t>
  </si>
  <si>
    <t>Tardan en conectarse y no se emparejan bien Pues no hace mucho que los tengo y cuesta un poco que se conecten al imac, además son varias las veces que pasa que se escucha como entrecortado el sonido, me han dicho que es porque no se emparejan (el L &amp;amp; R) correctamente y entonces hay que reiniciar. Bueno es muy comodo el bluethooh cuando funciona bien, pero a veces cuesta un poco de que funcionen a la primera...</t>
  </si>
  <si>
    <t>Muy flojitas Me esperaba un poco más de esta marca, son muy ligeras pero me falta sujeción en el pie y no es que sean especialmente confortables</t>
  </si>
  <si>
    <t>Malísima compra No pueden ser más malos... Compré varios de varias capacidades y  estoy muy decepcionada. Son muy malos.</t>
  </si>
  <si>
    <t>Se despega la suela Al poco de comprarlas se ha despegado la mitad de la suela de una de ellas. No las recomiendo.</t>
  </si>
  <si>
    <t>Cómodas Son altas, no apropiadas para correr. Cómodas y ligeras ideales para caminar.</t>
  </si>
  <si>
    <t>Relación calidad precio Por precio insuperable  va muy bien quizás un poco de olor Le iría bien ya que con calor no cubre del todo el olor de wc pero tampoco lo hacen otros mucho más caros</t>
  </si>
  <si>
    <t>Botas para invierno Las botas llegaron en la fecha prevista, parecen abrigadas y cómodas, digo parecen porque están sin estrnar aún. Pedímos un núero mayor del usado normalmente, porque al ir forradas siempre es mejor, hemos acertado. Al no haberlas estrenado no sabemos si son o no impermeables, eso lo veremos al usarlas.. Me reservo el derecho de cambiar de opinión si no lo fueran. Son tal cuál se ven en la fotografía.</t>
  </si>
  <si>
    <t>Cumple con lo necesario Precio razonable por 8 pares, aunque en la puntera podría ser más resistente.</t>
  </si>
  <si>
    <t>Muy sencillo Buena relación calidad precio</t>
  </si>
  <si>
    <t>Un buen reloj Un reloj sencillo para saber la hora y poco más que tiene como añadido que se ajusta automáticamente. Lo compré con miedo por algunos comentarios que decían que no se sincronizaba. Lo ajusté a Madrid y se sincroniza sin problemas. Yo vivo en Almería. Se ve bonito y duradero, tiene una buena relación calidad-precio; algo que es normal en Casio y por lo que siempre me decido por esta marca. Todo esto a falta de ver cómo se comporta con el paso del tiempo. Por ponerle un pero, pese ajustarlo quitandole eslabones de la cadena, no encuentro un posición ideal. Si le quito un eslabon más me queda un poco suelto y si se lo pongo muy justo. Aunque eso depende de la muñeca de uno, y la mia se ve que se queda en medio de una talla.</t>
  </si>
  <si>
    <t>Auriculares bluetooth Los auriculares bluetooth están muy bien se escuchan muy bien y muy claros luego se adaptan muy bien a las orejas sin muy cómodos la caja q trae se carga y cuando los auriculares están sin carga los metes dentro y se cargan cuando los sacas de la caja de momento se conectan y cuando los metes se desconectan están muy bien la verdad me han gustado mucho.</t>
  </si>
  <si>
    <t>SE AJUSTA A LO EXPUESTO LO USO PARA DEPORTE DE FORMA CASI DIARIA, AJUSTÁNDOSE MUY BIEN  PARA TODAS LAS DISCIPLINAS DEPORTIVAS PARA LOS QUE LO USO. PERFECTO.</t>
  </si>
  <si>
    <t>MUY SATISFECHO Buen producto. Acabado metálico de calidad. Sonido nítido. Usado en casco de moto para grabar audio con una cámara deportiva. Buen resultado, captando con nitidez mi voz y de fondo el ronroneo del motor. Muy satisfecho.</t>
  </si>
  <si>
    <t>MUY BUEN REGALO CALIDAD EXTRAORDINARIA, RÁPIDO SERVICIO. MUY ELEGANTE. HA SIDO UN REGALO ESTUPENDO Y ADEMÁS MUY ORIGINAL. PERFECTO EN TODOS LOS SENTIDOS.</t>
  </si>
  <si>
    <t>La calidad es normal Bien</t>
  </si>
  <si>
    <t>Regalo recomendado Comprado para regalo. Mi hermana está encantada. Perfecto funcionamiento y con estética retro que quería. Lo tiene desde hace casi un año y de maravilla.</t>
  </si>
  <si>
    <t>perfecto Es super facil de usar y de limpiar, se pueden combinar varias frutas y en un periquete listo, no es muy aparatosa la puedes guardar el cualquier cajon de la cocina, la recomiendo</t>
  </si>
  <si>
    <t>Fantástico Hemos usado el producto para cambiar la pasta a una cpu y 2 gráficas y el resultado es el siguiente : cpu - i9 9900k...ha bajado 7º respecto a la pasta anterior que no era mala. gpu - gigabyte 1080ti extreme ,sin cambiar de pasta desde que se compro hace 2 años y medio y bajada de 14º gpu - gigabyte 2070 winforce ,sin cambiar de pasta desde su compra hace 9 meses y bajada de 7º</t>
  </si>
  <si>
    <t>Las tallas son correctas Lo pedimos ayer y llego hoy, le queda perfecto</t>
  </si>
  <si>
    <t>Talla perfecta, calidad excelente. Tengo una 44 y mido 1,82. He comprado una XL y me quedan perfectas. Se ven de muy buena calidad. Muy satisfecha.</t>
  </si>
  <si>
    <t>Están muy bien Esta muy bien buenos materiales y muy cómodas.</t>
  </si>
  <si>
    <t>Me lo regalsron en cumpleaños Me ha encantado.</t>
  </si>
  <si>
    <t>El sonido nítido. Un micrófono de alta calidad, a un precio super económico. Lo recomiendo.</t>
  </si>
  <si>
    <t>Bien, co.o en la foto Bien</t>
  </si>
  <si>
    <t>excelente producto excelente producto no se que tiene este producto pero es increíble lo bien que limpia las pantallas de los ordenadores  de los teléfonos móviles los cristales de las gafas los deja perfecto sin rastro con un trapo de micro fibra, recomendable al 100x100.</t>
  </si>
  <si>
    <t>Reloj pulsera mujer Calidad precio espectacular como todos los casio</t>
  </si>
  <si>
    <t>Memoria USB inigualable Precio insuperable, marca de prestigio. Funciona perfectamente tanto en Windows, masOS y Linux. El pequeño. Cabe en cualquier parte y si lo tienes conectado casi ni sobresale, tiene un led naranja para el tema de lectura y escritura de archivos. Muy recomendable.</t>
  </si>
  <si>
    <t>Incómodos No se adaptan muy bien a la cabeza y dan calor en verano. Se resbalan con facilidad. Variedad de colores</t>
  </si>
  <si>
    <t>Bonitos pero pequeñitos Son bonitos, pero pequeñitos, quizás para una niña o adolescente</t>
  </si>
  <si>
    <t>Practico Muy practico, seguro y facil de usar. Ideal para casas  con poca calefacción o en epocas de temperaturas muy frias</t>
  </si>
  <si>
    <t>Al segundo uso olor a quemado... No compreis esta basura....en el segundo uso tras 2 minutos de uso, se paró con olor a quemado, desde entonces cuando tritura a los 3 minutos de uso se para.  En el servicio de asistencia tecnica lo prueban sin carga y dicen que no la pasa nada......(es obvio que una batidora no hace el mismo esfuerzo sin carga que con ella), es una verguenza....1 y no + moulinex!  El servicio tecnico es talleres gomez en legazpi madrid...evitad hasta pasar por la acera...</t>
  </si>
  <si>
    <t>4 meses de uso Son muy bonitas y cómodas pero me han durado 4 meses. Se ha despegado la suela de la tela por completo. Supongo que por el precio que tiene no se puede pedir mucho.</t>
  </si>
  <si>
    <t>Gran producto Ante todo, pedid una talla más de las Crocs habituales, al tener forro el interior de la zapatilla se hace menor, y eso teniendo en cuenta que las Crocs tallan chiquitísimas, pues me he montado en un 46-47 teniendo en los demás zapatos o zapatillas un 43 o 44.  Respecto a la zapatillas, muy cómodas, pero se estropean bastante rápido, le salen como unas grietas en la parte superior, pero nada especial, amortigua bien el pie y son muy calentitas, ideal para el invierno.</t>
  </si>
  <si>
    <t>Un reloj económico bastante elegante Se trata de un reloj de calidad baja, muy económico por tanto, pero que está destinado a quien no quiere gastar mucho en ir a la última. Y en este aspecto cumple a la perfección. Nadie espera una calidad media o alta por pocos euros, por lo que está claro lo que estás comprando al elegir este modelo.  Tiene un diseño muy moderno, elegante y chulo. Mezcla lo serio y deportivo a la vez, lo cual no es fácil. Los materiales de fabricación son metálicos, nada. De plástico, con detalles bonitos en la correa. El sistema de hebilla es muy original, se mueve con ayuda de un destornillador de relojero para adaptarlo al diámetro de cada muñeca y después el enganche es sencillo, como puede verse en la foto.  Quizás algo pesado, nada excesivo pero tampoco lo calificaría de ligero, sobre todo teniendo en cuenta que la correa es una pluma, por lo que el cuerpo del reloj es el que pesa.  Resistente al agua 30 metros, no lo he llevado a esa profundidad pero salpicaduras, ducharse e incluso en la piscina no he tenido problema por ahora. Otra cosa será lo que ocurra con el metal y la pintura al cabo del tiempo e incluso al contacto con el agua constantemente, habrá que verlo.  Para tener varios relojes e ir cambiando sin gastar mucho dinero está fenomenal. Viene muy bien en su caja, protegido con plásticos y con esponjas, con gamuza para limpiar la pantalla, pues se ensucia con los dedos con facilidad. Hubiese diseñado algún detalle más en rojo o naranja que contrastase más con el fondo negro de la esfera, pero bueno. Mide 4 cm. de diámetro y 1 de grosor.  Recomendable para regalo o pequeño detalle, teniendo en cuenta lo expuesto antes.</t>
  </si>
  <si>
    <t>No apto para lavavajillas A pesar que en las preguntas y respuestas pone que si se puede.. en las instrucciones dice que no es apto para lavavajillas...</t>
  </si>
  <si>
    <t>Un clásico Cómodos y resistentes. Es el tercer par que compro. Un par al año para todo uso. Elegantes y a la vez multifuncionales</t>
  </si>
  <si>
    <t>Encantada con mi esterillita Encantada de la vida con mi almohadilla! Me contracturo mucho y siempre estaba con el saquito ese que se calienta en el micro pero el cañor dura nada y .menos. me compré ésta almohadilla cuando estaba en oferta flash y me salió super bien de precio para la buena calidad que tiene. Si tuviera que ponerle un pero...sé que algunas llevan adaptador para enchufar en.el coche y eso me iria de maravilla. Pero muy contenta y esperando a ver si vuelve a estar dw oferta para comprar una para regalar</t>
  </si>
  <si>
    <t>tal como dicen Muy contenta con esta elección. Sirve tanto para marcar ropa como libros. Yo por ahora lo he usado para marcar toda la ropa de un campamento, y después de tener que lavar la ropa más de tres veces seguidas (por como venía) sigue el texto impreso. Ya he cambiado las letras para los libros de texto de este año. Fácil y cómodo. Muy recomendable.</t>
  </si>
  <si>
    <t>Diseño Retro Es un hervidor que llama la atención, es precioso, su cuidado diseño Retro le hace una pieza muy deseada.  En cuanto a funcionalidad, de maravilla, tiene una capacidad máxima de 1,7 litros, aunque puede emplearse con un volumen de una taza. Es rápido, además podemos visualizar el aumento de la temperatura con la aguja indicadora. Tiene filtro integrado y es fácil de limpiar y guardar.  Es muy bonito y funciona bien, además esta marca tiene una fiabilidad de garantías.  Lo ideal es adquirir el mismo modelo para la cafetera o el tostador si somos usuarios de ellos.</t>
  </si>
  <si>
    <t>Sin dolor en los oidos Normalmente me suelen doler los oídos cuando llevo un rato con los auriculares, con estos no me pasa porque son de plástico blando, me ha encantado que traigan una bolsita para guardarlos, pins extras por si se te caen y una pinza para cuando estes haciendo ejercicio, llevo probándolos 1 semana más o menos y todavía no he tenido ningún problema. Normalmente si los compro en los chinos me duran 4 días porque se suele romper el cable. Por ahora con estos no me ha pasado. Buen producto</t>
  </si>
  <si>
    <t>Recomendable Son perfectos</t>
  </si>
  <si>
    <t>Adiós dolor de pies Maravilloso</t>
  </si>
  <si>
    <t>EXCELENTE VENDEDOR!!!!! En primer lugar, el producto es acorde por completo a la descripción, ideal para pared y de buena calidad.  Un placer haber tratado con ellos. Volveremos a comprar. VENDEDOR RECOMENDADO 100%</t>
  </si>
  <si>
    <t>Muy buena compra Gasto una 95B y cogí una talla M va muy bien para hacer cualquier tipo de deporte !!</t>
  </si>
  <si>
    <t>BOQUILLA DE CHORRO PRECISO PARA EVITAR DERRAMES El color de este hervidor es muy elegante, es de acero inoxidable y tiene un color gris oscuro que va muy bien con todo tipo de diseño de cocinas, tiene una capacidad para un litro de agua, por lo que es pequeño para familias grandes, pero para una o dos personas es ideal, también para los viajes, yo siempre me lo llevo porque me gusta tener en la habitación de hotel la posibilidad de tomar una infusión sea la hora que sea, y además, no me fío de los que te ponen en las habitaciones, que lo usa mucha gente.  Por la parte trasera y abajo, lleva el interruptor de encendido y apagado, es luminoso, arriba de éste va el asa, que es de plástico negro, por la parte interna lleva una ventana por que podemos ver la cantidad de agua que nos queda en el interior del hervidor, viene marcado por ml., la boquilla por donde vertemos el agua está muy bien diseñada, está hecha para verter el agua con total seguridad, sin que se derrame nada, también lleva un filtro en el interior de la boquilla que se puede extraer para lavarla, la potencia del hervidor es de 2400 W, capaz de hervir una taza de agua en 50 segundos, para ello dispone de una zona de hervido rápido, donde viene marcado una, dos o tres tazas, para que llenemos de agua la cantidad deseada.  Me gusta mucho porque tiene muy buenas características, hierve el agua muy rápido, el chorro de agua sale muy preciso para evitar derrames, y el tamaño es el adecuado para los viajes, buen precio y buena calidad, totalmente aconsejable.</t>
  </si>
  <si>
    <t>Muy bien Es como esperaba, queda muy bien y es perfecta para hacer deporte o yoga, que era mi caso. La talla bien</t>
  </si>
  <si>
    <t>Parecen dedos masajeando Es genial</t>
  </si>
  <si>
    <t>Gran pendrive Un pen de gran calidad, la marca ya es un elemento a tener en cuenta. Buscaba un pen de capacidad media de una marca de calidad. Es el sexto que tengo de verbatim y hasa la fecha no se me ha estropeado ninguno y los uso a diario.</t>
  </si>
  <si>
    <t>Training Muy buena calidad. Elegir una talla menos. Chándal fino y ajustado de rodilla para abajo y con cremallera en la parte de abajo. Es un chándal para entreno.</t>
  </si>
  <si>
    <t>Perfecta Muy cromada, pensaba que era más sudadera pero es más fina mejor para este tiempo</t>
  </si>
  <si>
    <t>Lo mejor es que son cómodas y chulas Los materiales de construcción son buenos al principio viene como madura que con el tiempo se desgasta un poco y se vuelve un pelín blandas pero blanda no quiere decir que se vuelva malas siguen siendo muy buenas y manteniendo su calidad estoy muy contento con ellas me las volvería a comprar cuando se me rompiesen si es que se me rompen vamos porque no veas si son buenas...</t>
  </si>
  <si>
    <t>Mi mejor herramienta de trabajo Lo utilizo para trabajar y la calidad de grabación es exquisita. Sin duda, vale el precio que pagué por él.</t>
  </si>
  <si>
    <t>Perfecta Perfecta para un plato de ducha de 1x1. Ya tenía una de estas características pero era más estrecha. Cómoda, práctica y resistente.</t>
  </si>
  <si>
    <t>su tamaño Para un altavoz</t>
  </si>
  <si>
    <t>Limpia muy bien La mejor compra, lo utilizo para limpiar la barbacoa y la deja impecable . Lo recomiendo al 100%</t>
  </si>
  <si>
    <t>Mala calidad Mala calidad me esperaba algo mejor</t>
  </si>
  <si>
    <t>Comodo Personalmente me da reacción las costuras. Es comodo. Aunque al no llevar relleno digamos que en caso de frio, pues ya sabeis! Por el precio y tal esta bien!</t>
  </si>
  <si>
    <t>MUY ESTRECHAS LAS BOTAS SON PRECIOSAS PERO SON PARA GENTE CON EL PIE MUY ESTRECHO</t>
  </si>
  <si>
    <t>Las tarjetas de memoria me dan muchos fallos, no recomendables Es un portal en el que puedes encontrar cualquier material que requieras, precio ajustado y envío rápido, no obstante este material no cumplió mis expectativas demasiados errores y pérdida de datos que me ocasionaron muchos problemas en la aplicación</t>
  </si>
  <si>
    <t>Buen sonido Buen sonido por un precio muy ajustado. Cada vez es más difícil encontrar este tipo de auriculares de boton</t>
  </si>
  <si>
    <t>Muy bien Esta bien pero yo lo tuve que modificar porque lo quería más alto</t>
  </si>
  <si>
    <t>Realitza muy bien su funcion Mapea bien y con ràpides. Les Cuesta salvar la alfombra .</t>
  </si>
  <si>
    <t>Cumple su función a la perfección Se adapta perfectamente a los soportes de ceferino y aguanta bien el peso de la pertiga. Por el precio compre dos de por si acaso.</t>
  </si>
  <si>
    <t>Compacta La utilizamos sobretodo para hacer pures, la unica pega es que las verduras hay que cocerlos antes para que no queden trozos, es una compra aconsejada sin duda a quien busque una batidora compacta</t>
  </si>
  <si>
    <t>Mucho mejor de lo que esperaba Trabajo delante de una pantalla y utilizo gafas para no forzar tanto la vista. Al principio me molestaban un poco por que me apretaban y terminaba con dolor de cabeza. A medida que se fueron dando e iba encontrando la forma, los encontraba más comodos y más agusto estaba con ellos. A día de hoy, ya los utilizo sin problemas y ya no me molestan.  En cuanto a la calidad del sonido la verdad es que es muy buena. Está claro que no se pueden comparar con unos de 100, 200 o 300€ pero por 26€ que me costaron, la verdad es que uno no se puede quejar.  Por otro lado, la batería me dura de 4 a 5 dias. Hay gente que comenta que le dura poco. En mi caso de momento se comporta, no se si será por que todavía son nuevos o por que pero en ese aspecto tambien estoy muy contento.</t>
  </si>
  <si>
    <t>Muy buenos biberones A mi hijo le encanta su tetina, totalmente redonda, no como los nuk que son plana. Se limpian fácilmente. yo tengo un esterilizador avant y me caben 6</t>
  </si>
  <si>
    <t>Calidad y Precio Me encantaron este reloj, es muy cómodo, tiene muchos opciones, se conecta super fácil con el móvil, me dice el tiempo, los pasos, calorías gastadas, controla profundidad de sueño. Además viene con otra pulsera, para cambiar. Muy recomendable! Gracias vendedor!</t>
  </si>
  <si>
    <t>Buen biberon Muy buena calidad ya he comprado varios y a un precio muy bueno</t>
  </si>
  <si>
    <t>Cómodas y bonitas Muy bien, cómodas y bonitas</t>
  </si>
  <si>
    <t>Regalo ideal Un regalo súper bonito y bueno</t>
  </si>
  <si>
    <t>Precioso y funcional radio reloj despertador conectado Adquirí este reloj despertador con luz y radio ya que quería cambiar mi antiguo despertador y me llamó mucho la atención el poder conectarlo a mi red wifi y poder manejarlo desde el móvil y/o con la voz.  Así que dicho y hecho, la conexión a la red wifi es sencilla mediante la app SmartLife, previo registro, con tan sólo buscar nuevos dispositivos y después configurandolo a tu red wifi (teniendo en cuenta que sólo soporta WLAN 2,4Ghz) mientras el icono wifi del reloj parpadea intermitentemente.  Tras ello, en la app aparece un dibujo idéntico al reloj con todos sus botones y desde donde la podrás manejar manualmente como si estuvieras presente pero pudiendolo realizar desde tu casa o desde la calle si así lo necesitas.  Una vez conectado te aconsejo conectarlo a tu Alexa o Google Home con tan sólo añadir un nuevo dispositivo (tipo luz) eligiendo la vinculación con tu cuenta de SmartLife con lo que te encontrará nuevos dispositivos a manejar (luz, alarmas, radioFM, snooze, sleep) los cuales podrás controlar con sencillos comandos de voz. Podrás encender/apagar cada uno de ellos con tan solo decir el comando y su nombre.  Es muy cómodo encender la radio y la luz al nivel de intensidad que desees cuando te despiertas o parar una de las alarmas que hayas configurado para que te despierte con un agradable efecto amanecer junto con alguno de los 3 sonidos de naturaleza o tonos de alarma. Una verdadera gozada!!  Características a destacar: ✔️ Elegante y cuidado diseño incluyendo adaptador de red y pila por si se desenchufa. ✔️ Multitud de alarmas con sonidos ambientales y efecto amanecer. ✔️ Luz led con diferentes intensidades y/o colores. ✔️ Radio FM con presintonía automática y posibilidad de seleccionar como alarma. ✔️ Control fantástico mediante SmartLife o incluso voz por Google Assistant o Alexa.  Me encantaría que en la próxima versión incluyan: ✔️ Poder enviar mensajes de voz y que se reproduzcan por su altavoz. ✔️ Añadir soporte bluetooth para enviarle sonido.</t>
  </si>
  <si>
    <t>Precio | Calidad Excelente !! Me gustó mucho el color y el material. Son ligeras y muy cómodas.</t>
  </si>
  <si>
    <t>Excelente producto Increible velocidad, arranca el ordenador en segundos y para trabajar es una pasada lo que se mejoran los procesos</t>
  </si>
  <si>
    <t>Perfecto Vienen en el envase tres barras de pegamento, no dos como se anuncia. Muy bien porque son las barras de scotch de pegamento de siempre, simplemente traen dibujitos como si fuesen para nenes, pero pegan como todas.</t>
  </si>
  <si>
    <t>Comodidad Me han gustado, muy buena relación calidad-precio, son cómodas y ligeras.</t>
  </si>
  <si>
    <t>Execelente altavoz Es genial para todo tipo se fiestas e incluso karaoke. Recomendable. La potabilidad es muy buena y comoda.los micros se escuchan muy bien.</t>
  </si>
  <si>
    <t>Genial!!!! Son super comodas , talla perfecta</t>
  </si>
  <si>
    <t>Perfecto El artículo responde a lo esperado</t>
  </si>
  <si>
    <t>Preciazo Envío rapidísimo y no hay mucho más que valorar. Es exactamente lo que dice la descripción a un precio muy muy competitivo.</t>
  </si>
  <si>
    <t>Buena calidad Muy buena calidad</t>
  </si>
  <si>
    <t>Leggins Quedan genial. Tienen un tacto super bueno y son super cómodas. Valen para verano y para invierno.son largas.</t>
  </si>
  <si>
    <t>Excelente Excelente, el resultado está siendo muy bueno. Caliente para usar en invierno, muy cómodo</t>
  </si>
  <si>
    <t>No es sujetador es camiseta No tiene nada de sujeción... es como ponerse una.camiseta...  para hacer deporte no es valido. Lo unico que sienta bien</t>
  </si>
  <si>
    <t>Qué lío con las tallas!!!! ¡¡¡No acierto con las tallas ni aquí en Amazon, ni en Aliexpres ni en lo que venga de Internet!!! Leo las opiniones, veo las fotos, la tabla de medidas... ¡y ni aún así! Mis medidas: 1'75 cm, 68 Kg de peso. Talla habitual: L, o M. Pedí la M queriendo que me quedara ceñida como en la foto de portada, pero la cintura me aprieta bastante y la pierna es demasiado larga. Lo aceptaría de todas formas si no fuera que el tiro está muy bajo: ¡Sobran unos 10 cm! (El tiro es la tela que cuelga entre las piernas) Y las piernas del pantalón: Me sobra en los glúteos, me sobra en los muslos y en las pantorrillas. Tendría que coserlo yo mismo recortando dos centímetros en cada pieza, o sea ¡4 centímetros de circunferencia! Hay una app que te mide automáticamente, con una sola foto. ¿Qué trabajo le costaría a Amazon acerse con ella? ¡Acertaríamos siempre! Por lo demás, es caliente, cómoda y suave. Siento devolverla :( Conclusión: Un mal diseño echa a perder un buen tejido. Si comprase la talla S, ¡a ver cómo aflojo la goma de la cintura! Por cierto, la S, es seguramente la que lleva el modelo de portada, ¡fijense que no cubre el tobillo! Debe sentirse oprimido de cintura... ¡Y aún así le sobre tiro entre las piernas! No me creo que Adidas cometa tal fallo de costura.</t>
  </si>
  <si>
    <t>Es un poco fuerte para algunas zonas Para la espalda media es algo fuerte, espalda alta o riñones se puede soportar.  Para las piernas está muy bien. Por ahora contento pero espero q dure porque eso gira y gira y como algún día pille hueso no sé si me rompo yo o se rompe el aparato, eso está por ver...</t>
  </si>
  <si>
    <t>Estafa - no eran originales ni nuevos Los Airpods llegaron en una caja que no estaba precintada, ya estaban usados y venían sueltos en la caja, además no funcionan bien y no son los originales, parecen una copia.</t>
  </si>
  <si>
    <t>No funciona correctamente y he perdido mi dinero Fatal, se oye un ruido horrible, no graba bien</t>
  </si>
  <si>
    <t>No me ha gustado En el disco duro suena por dentro a algo suelto,material un poco malo</t>
  </si>
  <si>
    <t>Cómodas para andar Son unas zapatillas cómodas y frescas, pero puestas quedan algo más feas que las fotos de la modelo.</t>
  </si>
  <si>
    <t>Muy chulo El pen está muy chulo y superbarato. Ha llegado en el plazo que marcaba. Lo único que no mecha gustado es que lo compré supuestamente de 32 gb y trae 29. Sé que siempre se pierde algo, pero 3gb...lo he visto demasiado</t>
  </si>
  <si>
    <t>Buen micro Hace lo que dice, es un micro de corbata para el móvil, que graba aceptablemente bien para los 20€ que cuesta, pero si buscas un resultado semi-profesional como mínimo, entonces te recomiendo optar por uno de más calidad como el de Rode.</t>
  </si>
  <si>
    <t>Envió eficaz Lo uso para vestir</t>
  </si>
  <si>
    <t>Bonitas Pues es una opinión relativa porqué no eran para mi y todavía no las han probado. Por fuera se ven bonitas....a ver si serán cómodas</t>
  </si>
  <si>
    <t>Buen producto Esta genial buen producto cabe el IPad me cabe todo lo necesario además es impermeable y espacioso genial, es perfecto y de muy buen materiale</t>
  </si>
  <si>
    <t>el futuro para los portatiles de hoy en dia que estan quitando los puertos USB A es imprescindible este pendrive incluso de capacidades superiores. tasa de transferencia altisima, y como van las puntas protegidas pues de los mejores duo que he visto. RECOMIENDO MUCHO</t>
  </si>
  <si>
    <t>Elegancia Magnifica presentación y un exquisito acabado en este discreto pero muy visible colgante, ideal para cualquier edad. Muy satisfecho con la relación calidad precio.</t>
  </si>
  <si>
    <t>Calidad y precio perfecto Perfecto y huele súper bien no es un olor que te canses de el al tiempo lo recomiendo calidad precio de los mejores</t>
  </si>
  <si>
    <t>Ok Everything ok</t>
  </si>
  <si>
    <t>Todo genial Muy comodo lo uso incluso para dormir. Gcias</t>
  </si>
  <si>
    <t>Erick normman perfectos pueden ser hervidos para desinfectarse sin que se estropeen y vienen con un protector para que no se derrame el contenido del biberon estupendo para ir de viaje. El chupete tiene una forma anatomica que no disgusta al niño para nada buen producto y buena marca tenia que ser alemán.</t>
  </si>
  <si>
    <t>Me encanta Precioso, muy delicado, perfecto para un regalo.</t>
  </si>
  <si>
    <t>Cable excelente. Incluso mejor pinta que en las fotos El cable es de gran calidad. No me he puesto a comparar la calidad del sonido con otros cables, entre otras cosas porque hay mucho mito con eso, pero lo que está claro es que cuando haces una instalación quieres un cable de calidad, que dure años, y que no comprometa nada.  Teniendo en cuenta el precio, recomiendo este cable. Es un poco demasiado gordo para conectarlo cómodamente en algunos terminales banana, pero aun así merece la pena.</t>
  </si>
  <si>
    <t>EL producto está en perfecto estado EL producto está en perfecto estado y se corresponde con las características descritas. Y lo he recibido de un día para otro es perfecto y merece la pena ser Prime por 20 euros al año.</t>
  </si>
  <si>
    <t>Muy prácticos Igual son un poco carillos, pero a mí me resultan muy útiles. Los uso para limpiar los fregaderos y las piletas del baño que siempre se meten restos en las rendijas de los sumideros y genial. No tardo nada, lo hago todas las semanas y están como nuevos. Las cerdas no son muy duras así que no sirven para quitar restos de obra o similares.</t>
  </si>
  <si>
    <t>Perfecto Segundo que pedimos, muy buen resultado, con muy poco te lavas bien las manos manchadas de grasa, es granulado, al ser denso rinde muy bien de los mejores que he probado.</t>
  </si>
  <si>
    <t>Abalorio Todo muy bien</t>
  </si>
  <si>
    <t>Velocidad a gran precio Decidí actualizar mi ordenador portátil ACER con unos añitos usando un disco duro SSD sabiendo de su alta velocidad en comparación de los discos mecánicos.  Lo recibí en la fecha y condiciones adecuadas, como siempre.  La instalación fue sencilla, quitar el disco duro antiguo, atornillar el Caddy que ensamblaba al anterior disco y conectarlo a la conexión Sata de tu Pc o portátil.  Instalé Windows 10, cosa que me costó como máximo unos 10 minutos, y se hizo la magia, en comparación de estar preparado para trabajar mi portátil en casi 2 minutos, ahora tarda a estar preparado con los mismos progamas 8 segundos, una diferencia de tiempo enorme.  Ahora consigo que programas muy pesados como Adobe Premiere o similares arranquen en pocos segundos, o que estén instalados en mucho menos tiempo.  Realmente una compra muy recomendado para montar un nuevo equipo, y sobre todo para darle una segunda vida a tu antiguo ordenador, el cual lo agradecerá y mucho.</t>
  </si>
  <si>
    <t>Execente por calidad-precio Es un buen producto y como dicen la mayoría de los que lo han comprado, cumple con todo lo que dice. Por ponerle una pega,la caja es de plástico y aunque viene con el mismo color que la correa, supongo q será lo primero q se ponga del y por su puesto que si hay algún rayón,se verá q es plástico, recomiendo a los que le vayan a dar una vida ajetreada que se lo compren con correa de resina.</t>
  </si>
  <si>
    <t>Son comodisimas Hoy me ha gustado mucho el modelo</t>
  </si>
  <si>
    <t>Moderno y eficiente El hervidor tiene un diseño moderno que me ha encantado y desde que lo sacas de la caja se nota que está hecho con materiales de buena calidad.  En la base del hervidor (22 x 19 x 4 cm) se encuentran cuatro botones que sirven para seleccionar sus diferentes funciones: - Botón 1 Cup Turbo: para calentar una taza de agua (200 ml) en menos de 60 segundos. - Botón Start/Cancel: para calentar el agua o detener el proceso. - Botón Keep Warm: para mantener la temperatura del agua durante 40 minutos (menos para la temperatura definida en 100ºC). - Botón Preset: para seleccionar la temperatura del agua en 8 niveles distintos.  El hervidor tiene una capacidad de llenado mínima de 0’5 litros y máxima de 1’7 litros, recomendando el fabricante no llenarlo por debajo de la cantidad mínima, ni por encima de la cantidad máxima.  Lo más destacado es su pantalla LCD, que además de indicarnos la selección de la temperatura del agua, también nos informará de la temperatura alcanzada por el agua durante el proceso de calentamiento.  Lo que menos me ha gustado es que el cable de alimentación es corttio, sólo mide 75 cm, aunque en mi caso he podido conectarlo a un enchufe que tenía libre en la encimera ya que sino tendría que haber usado una alargadera.  Por lo demás, el hervidor funciona muy bien y las distintas selecciones de temperatura son muy útiles y ayudan de manera fácil a calentar el agua hasta el nivel seleccionado.</t>
  </si>
  <si>
    <t>Buenísimo Muy buen material muele como el q tenía mi madre es genial.</t>
  </si>
  <si>
    <t>Imagen de poca calidad La calidad de impresión de la imagen de la portada es bastante mala.</t>
  </si>
  <si>
    <t>Se podría mejorar A mi bebé le va bien sin embargo a mi me hubiera gustado que llevara graduado los ml desde 10. Empieza a 50ml. Otra cosa q no me resulta muy bien es que cuando vuelcas el bibe siempre se queda liquido. Es muy difícil hacer q caiga todo. Yo saco mi leche y lo que queda en el bibe es bastante. Y otra cosa que no me ha resultado muy comodo es que cuando toma sin soltar la tetina, se va la tetina para dentro. El bebé tiene que soltar de vez en cuando para que entre aire. Lo del sistema anti colico no tengo claro que funciona. El de dr brows se ve que el aire va al final del bibe. En este no es el caso. Las burbujas de aire van en la tetina 🤔</t>
  </si>
  <si>
    <t>Para aromatizar la casa, En principio solo buscaba uno de los aromas con lo que los demas me sobran.. tendre que gastarlos... los olores son suaves y no muy cargantes. Perfecto</t>
  </si>
  <si>
    <t>Empieza a fallar Lo compré hace dos años y llevo ya un tiempo notando que empieza a fallar. A veces el ordenador no lo reconoce, y muchas de esas veces el disco duro hace un ruido extraño, como si estuviera intentando arrancar y no lo consiguiera del todo. Otras hace un ruido similar al de un disco rallado. Por ahora sigue tirando, pero me parece que dos años es poco tiempo para que un disco duro de 3TB empiece a fallar.</t>
  </si>
  <si>
    <t>ya no funciona después de menos de 4 meses ya no funciona, increíble lo poco que ha durado por la dichosa rueda blanca de plástico que ya he visto se les ha roto a más personas. Tenia otras expectativas para este producto. A ver como gestionar ahora la garantía</t>
  </si>
  <si>
    <t>Muy cómodas Algo apretada, la talla es más pequeña</t>
  </si>
  <si>
    <t>Muy cómodas Super cómodas la verdad, de momento van de maravilla, las uso para paseo y para ir al gym y de momento genial, a ver si duran.</t>
  </si>
  <si>
    <t>Bendita bolsa caliente Me gusta el tacto y calienta mucho. Es el segundo que compro y creo que después de la bota clásica de toda la vida este es el mejor invento para estar calentito. Solo te hace falta un enchufe, esperar entre 10 y 15 minutos y listo para calentarte.</t>
  </si>
  <si>
    <t>easy click La he comprado en sustitución de la multiquick5 que tenía con un montón de accesorios, que si rallador, mezclador, picador, varillas, vamos... el pack caro.. ya es la 3º batidora que compro porque se le estropea el motor, empieza a patinar y ya no gira, y por no tirar los accesorios,  que la última duró justo 5 años... yo ya no sé si es obsolescencia programada o que, pero barato no sale tener que comprar una batidora cada 5 años.. las varillas parecen de juguete, son más pequeñas que las originales, y el enchufe en vez de ser de los planos, es de los gordos.. yo no sé para que tanto enchufe, si es más grande casi que la batidora! En fin, veremos a ver si ahora dura más o incluso menos..</t>
  </si>
  <si>
    <t>Volviendo al vinilo. Recién adquirido y concienciado de que necesitan muchas horas de rodaje simplemente deciros que si se quiere calidad hay que pagar y a veces mucho menos de lo que entregan.Desde que dispuse de un equipo de audio de buenas prestaciones,integrado y DVD Nad,cajas acústicas Sonus Faver Concertino y cableado Van den huul no he vuelto a experimentar hasta hoy lo que ofrecen estos auriculares,por supuesto junto a mi Fiio 10k.No me voy a entender un minuto más solo decir que es una buena inversión que como dijo otro cliente supera auriculares de más de 1000 euros.Entrega otro 10</t>
  </si>
  <si>
    <t>Pulsera muy completa Me ha parecido muy bonita por el color que tiene. Además tiene muchísimas funciones reloj, pasos, calorías ritmo cardíaco, despertador, km recordatorio de alarmas. Es muy fácil de instalar, yo tengo móvil con android y no he tenido problemas. Además se carga muy rápido. La he cogido para un regalo de mi marido y le ha encantado. Puede que tenga que hacer un regalo de Navidad y repetiré</t>
  </si>
  <si>
    <t>Cinturón con botella He regalado este cinturón a mi marido ya que es corredor habitual y con el calor que hace ahora le va muy bien para poner la botella de agua, el móvil y los auriculares. Muy contenta con la compra.</t>
  </si>
  <si>
    <t>100% recomendable Bonitos cómodos y a buen precio</t>
  </si>
  <si>
    <t>Buena calidad y bonito diseño. &lt;div id="video-block-REHAR17A3MBKB"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id="61" preload="auto" src="https://images-eu.ssl-images-amazon.com/images/I/A1rI-YgRTTS.mp4" style="position: absolute; left: 0px; top: 0px; overflow: hidden; height: 1px; width: 1px;"&gt;&lt;/video&gt;&lt;/div&gt;&lt;div id="airy-slate-preload" style="background-color: rgb(0, 0, 0); background-image: url(&amp;quot;https://images-eu.ssl-images-amazon.com/images/I/91oMcHWr9MS.png&amp;quot;);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value="https://images-eu.ssl-images-amazon.com/images/I/A1rI-YgRTTS.mp4" class="video-url"&gt;&lt;input type="hidden" name="" value="https://images-eu.ssl-images-amazon.com/images/I/91oMcHWr9MS.png" class="video-slate-img-url"&gt;&amp;nbsp;Me ha gustado el diseño del humificador, que es bastante bonito y también la gran capacidad que tiene. Puede durar fácil 6 horas seguidas. Está puesto en un salón,  y con apenas 5 gotas de esencia de vainilla impregna toda la casa de ese aroma. Las luces van cambiando pero también le puedes dejar una fija o quitarla por completo y que no tenga ninguna. No es ruidoso.</t>
  </si>
  <si>
    <t>Perfecto Perfecto, de talla .. colores y calidad w</t>
  </si>
  <si>
    <t>Fantástico Genial</t>
  </si>
  <si>
    <t>Buena relación calidad/precio Todo perfecto. 100% recomendable. Muy satisfecho con la compra. Instalado a la primera y sin ningún tipo de problema.</t>
  </si>
  <si>
    <t>Genial Por el precio que tiene genial. Muy cuco de tamaño para viajar y con dos tacitas y cuchara incluida. Tarda 2 min en calentar el agua aproximadamente.</t>
  </si>
  <si>
    <t>Comprado muchas veces Lo he comprado muchas veces y la verdad es que siempre quedo encantado con los sellos. No se secan y duran bastantes años para usarlos perfectamente.</t>
  </si>
  <si>
    <t>Sencilla Es una pulsera muy bonita. Sencilla pero con estilo y calidad.El simbolo del Arbol de la Vida es de Plata, con lo cual no da alergias ni cambiara de color y va rodeado de unas pequeñas circonitas. Ajustable a tu medida. Queda muy bonita puesta.</t>
  </si>
  <si>
    <t>Buen metro Lo utilizo para trabajar...está bien</t>
  </si>
  <si>
    <t>Cómodo y sujeta bien Es comodisimo, tejido suave, los tirantes no se clavan y los puedes regular en altura con hebillas por lo que no se mueven. Yo lo uso para correr y el pecho se queda muy sujeto.</t>
  </si>
  <si>
    <t>Gran relación calidad-precio Perfectas para guardar hasta 100-120 folios. Buena relación calidad-precio y bonitos colores</t>
  </si>
  <si>
    <t>Genial Muy bueno y rápido. Tiene la marca para 1, 2 o 3 tazas. Se calienta por fuera, así que, cuidado si hay niños. Recomendable!!!!</t>
  </si>
  <si>
    <t>Buen producto. Lo tengo una semana y lo he utilizado todos los dias. Tengo los musculos d los hombros muy cargados y se notan los efectos del masajeador. Es cómodo de colocar. Tiene una cinta de velcro para que lo puedas poner en una silla y no se mueva. Cuando lo enciendes las bolas giran en un sentido varias veces y luego cambian de sentido, que lo agradece el músculo. Puedes ponerlo en modo frío o caliente. A los 15 minutos se desconecta, que es el tiempo recomendado. Lo único que echo en falta es que funcionara con batería ya que tienes que estar cerca de un enchufe. Aunque el cable es largo y no hay problema.</t>
  </si>
  <si>
    <t>Buena sujeción y regulación Este soporte se ha ajustado correctamente al juego de micrófonos que compramos.</t>
  </si>
  <si>
    <t>Calidad tremenda Tras usar el producto solo puedo decir que es increíblemente bueno. Material de calidad, puesto que es cristal y con mucha potencia. Estoy muy contento.</t>
  </si>
  <si>
    <t>Impresión defectuosa La Alfombrilla no parece de demasiado mala calidad. Sin embargo, parece no adherirse mucho a la mesa y se mueve un poco. También me he sentido bastante decepcionado al comprobar el dibujo impreso, ya que en los extremos, tanto arriba, y sobre todo abajo, está excesivamente difuminado. En la parte de abajo de tal manera, que ni siquiera se aprecia Tasmania o Nueva Zelanda en el mapa.</t>
  </si>
  <si>
    <t>Ya os dire Paren fuertes ya os diré cuando pase el tiempo. Un poco mas pequeñas de lo que me pareció.</t>
  </si>
  <si>
    <t>Es buena, pero no cumple las tasas de lectura/ escritura Veamos, rapida es pero en test de escritura/lectura da como resultado 70mb/s y 78mb/s, lejos de esos, 90mb/s y 170mb/s, me ha venido en una caja y dentro con una suscripción gratuita por dos años al programa RescuePRO, con su funda incluida de la tarjeta, en principio todo parece original, pero las tasas no llegan ni por asomo, aunque como he dicho es muy rápida, permite grabar video en FullHD totalmente fluido y 4K pero a 150mb/s, en una Sony A7-2 da de tasa hasta saturar buffer 11 disparos en  modo Raw+jpeg, en jpeg extrafina, no hay problema te puedes hartar que no se para, yo lo máximo conseguido y porque he parado ha sido 60 disparos, es totalmente recomendable si no esperas esas tasas prometidas. Por lo menos fiable es como todas las que tengo de esta misma marca. Decir que tengo otra de esta marca de 90mb/s y los valores que me da es lectura 61,5 y escritura 75, con lo cual mejora algo pero no es algo abismal, en oferta la pille por 17€ que esta bien, pero ahora a vuelto a su precio original entorno a 27€ y no la veo mejor opción que las de 90mb/s</t>
  </si>
  <si>
    <t>Estropeado En menos de un mes dejó de funcionar. Para recuperar los datos he tenido que llevarlo a un especialista y pagar para volver a tenerlos. Además no encuentro facilidades ni para devolverlo ni para usar la garantía (que supuestamente es de dos años). Obviamente de reenvolsarme lo que me ha costado recuperar los datos, ni hablamos.</t>
  </si>
  <si>
    <t>solo vale para las paredes para pinchar notas para suelo no es, lo compré para eso y queda fatal, se deforma...fatal</t>
  </si>
  <si>
    <t>Va bien No es que dure demasiado si le das caña, pero cumplen su cometido asi que aconsejo su compra y no es caro.</t>
  </si>
  <si>
    <t>Calienta razonablemente bien No esta mal , no es una estufa, pero si que da calorcito, caloret faller :) esperaba más de la máxima potencia pero este es mucho mejor que otro que tuve que devolver, ese si que no calentaba nada...</t>
  </si>
  <si>
    <t>Buen tejido y calidad precio inmejorables Lo uso para estar por casa y es muy cómodo.</t>
  </si>
  <si>
    <t>Son bonitos. Son muy bonitos, me los imaginaba más grandes, pero puestos quedan genial. Han cumplido espectativas. Estoy contenta.</t>
  </si>
  <si>
    <t>Correctos Auriculares normalitos, se oyen bien pero nada espectacular. Vienen con funda muy cómoda y de precio bien. El cable parece malillo.</t>
  </si>
  <si>
    <t>Gran calidad Calidad propia de UA, perfecto para meses de calor, transpirable, ajustada y colores llamativos, muy bonitos. Queda como un guante y evita rozaduras, permitiendo transpirar.</t>
  </si>
  <si>
    <t>Muy recomendable Tiene un tamaño perfecto para un agarre cómodo en la mano. Funciona rápido, conectando fácilmente al pc el pen drive que lleva el mando encajado. Además de servir para pasar dispositivas o páginas en un documento, tiene puntero láser. Me parece muy práctico para dar clase. Sin duda, lo recomiendo!</t>
  </si>
  <si>
    <t>Calidad preo.muy buena Tal como se espraba. Tiene solapas dentro para que no se caigan los papeles</t>
  </si>
  <si>
    <t>Calidad a un buen precio asequible El producto cumple con todas mis espectativas, dando una calidad de estudio por un precio de mercado asequible.</t>
  </si>
  <si>
    <t>Este masajeador es genial Ya no quiero sufrir dolores musculares después del entrenamiento. Con esta pistola de fascia, mi cuerpo puede recuperarse rápidamente. No tiene que apretar un gatillo para mantenerlo encendido, está tranquilo considerando lo que es. Las diferentes opciones de cabeza son buenas para apuntar a ciertas áreas. Es liviano e inalámbrico. Tiene diferentes niveles de potencia / velocidad. Recomendaría este producto.</t>
  </si>
  <si>
    <t>Increíble alfombrilla Me la compré ya que mi mesa es de cristal y el ratón no corría bien. Estaba con una alfombrilla normal, pero no terminaba de estar agusto. Ha sido una de las mejores compras que he hecho. El material de la alfombrilla se nota de calidad, resistente y muy cómodo y suave. Además el cable que tiene para el RGB es desconectable, por lo que si no tienes espacio o no quieres estar con el cable por ahí lo puedes quitar. También decir que se trata de un cable con recubrimiento de tela por lo que te evitarás que se te rompa por doblarse y demás. No se si es porque yo no he conseguido hacerlo pero como pega le pondría que los modos de los colores no son configurables y no son muy abundantes, pero bueno, son pijadas. Si alguien saber configurarlo que me diga.</t>
  </si>
  <si>
    <t>Buen producto. Buen producto. Tal cual se ve en la foto. Talla pequeño. Recomiendo coger una talla más. Sienta myt bien y es muy cómodo.</t>
  </si>
  <si>
    <t>Ligero Es muy bonito. Lo mejor es que se puede colgar gracias al diseño. Es muy ligero, no pesa nada. La capacidad da muchas opciones. Brilla aunque en ocasiones se marquen los dedos.</t>
  </si>
  <si>
    <t>Recomendación Gran funciónalidad</t>
  </si>
  <si>
    <t>Buena calidad Parece resistente y de calidad.</t>
  </si>
  <si>
    <t>chulas Quedan bien y son cómodas</t>
  </si>
  <si>
    <t>Correcto Correcto todo</t>
  </si>
  <si>
    <t>Zapatillas Tal cual la foto y la talla perfecta.</t>
  </si>
  <si>
    <t>Juego de separadores Si vienen perfectos para lo que necesito , calidad precio bien los colores se ven bastante bien cuando los tienes colocados con todos los papeles</t>
  </si>
  <si>
    <t>Excelente relación calidad/precio. Buena amortiguación. Generalmente compro zapatillas con buena amortiguación, tanto para correr como para el día a día. Tras leer algunas comparaciones, aposté por las Nike Revolution 4 como segundo par, especialmente porque su precio es moderado con respecto a otras marcas y modelos que se preocupan por amortiguar el paso. Después de un par de meses de uso cotidiano estoy encantado. Tal como adelantaban las comparaciones que había leído, las NR4 tienen muy buena amortiguación y, además, son comodísimas. Aunque habitualmente calzo un 44, en Nike me va bien el 45. Las recomiendo y las compraría de nuevo sin dudarlo.</t>
  </si>
  <si>
    <t>Maravillosa Es muy cómoda a mi me viene muy bien tengo problemas de huesos y no hay que hacer fuerzas para escurrir</t>
  </si>
  <si>
    <t>Lo que buscaba Perfectas , lo que buscaba</t>
  </si>
  <si>
    <t>Batidora - licuadora &lt;div id="video-block-R134VY929HE5WB" class="a-section a-spacing-small a-spacing-top-mini video-block"&gt;&lt;/div&gt;&lt;input type="hidden" name="" value="https://images-eu.ssl-images-amazon.com/images/I/C1zZc6C604S.mp4" class="video-url"&gt;&lt;input type="hidden" name="" value="https://images-eu.ssl-images-amazon.com/images/I/81XkjvWxsyS.png" class="video-slate-img-url"&gt;&amp;nbsp;Esta batidora-licuadora la he comprado para mi suegra que necesitaba una, sobre todo para hacer batidos de fruta para las peques. El caso es que me ha dejado impresionado por la cantidad de usos que se le puede dar. El paquete está compuesto por los siguientes elementos: • Aparato central, donde se conectan los recipientes. • Dos vasos de batir, de dos tamaños diferentes, su capacidad ronda uno o dos vasos dependiendo del que elijamos. • Dos cuchillas diferentes, una plana y una en forma de cruz. La de forma plana se utiliza para elementos duros mientras que la cruzada para el resto de alimentos y sobre todo para hacer purés, batidos, picar, rallar o incluso para mezclar. • Dos vasos con anillas para diferenciar el producto una de color azul y otra de color rojo. Las anillas se utilizan para beber en estos vasos y no cortarse con el plástico. Ambos vasos son del mismo tamaño y disponen de abrazadera para agarrar el vaso como una jarra. • 4 tipos de tapas, dos tapas ciegas para guardar el producto que hayamos generado y otras dos con diferentes agujeros, unos más pequeños y otros más grandes, estos básicamente se utilizan para cuando picamos o rallamos productos secos y podamos echarlos sin problemas. • Por último unas instrucciones bastante completas en diferentes idiomas entre ellos el castellano que explican el funcionamiento del aparato. La traducción al castellano no es la mejor pero se puede entender de forma sencilla. Como cosa que me ha gustado es que los vasos se pueden utilizar para meterlos en el microondas, eso sí quitando anteriormente las cuchillas. El aparato tiene dos modos de uso, uno rápido, y otro sin manos: • Uso rápido: marcamos un tipo de velocidad y directamente metemos el vaso y apretamos hacia abajo, de este modo la batidora empieza a funcionar. Cuando soltemos la batidora se apagará. • Uso sin manos: ponemos el marcador a cero, colocamos el vaso con los ingredientes dentro y la cuchilla que queramos utilizar, apretamos hacia abajo y giramos el vaso para acoplarla a la base. Hecho esto marcamos el tipo de velocidad 1 ó 2 y cuando acabemos lo volvemos a colocar a cero para parar el uso. En los propios vasos se puede colocar la cuchilla quitando anteriormente las anillas de beber y utilizarlos directamente para no manchar más elementos. La base como tal dispone de 4 ventosas que sirven para anclar la base a la encimera de la cocina para que al ponerla en funcionamiento esta no se mueva. Todos los aparatos menos la base y las cuchillas se pueden meter en el lavaplatos. A la hora de limpiarla hay que tener cuidado con las cuchillas porque cortan bastante (como es normal)</t>
  </si>
  <si>
    <t>Correcto No era para mi. Fue un regalo para una señora. Ha gustado mucho y está encantada.</t>
  </si>
  <si>
    <t>Talla S grande El chándal está bien, la S es muy grande, al final lo tengo en el armario esperando a ver a quien lo regalo</t>
  </si>
  <si>
    <t>Bonita Medidas perfectas para uso cotidiano, ni pequeña ni grande, bonita, pero no es lo comoda de llevar que aparenta, la correa roza el cuello.</t>
  </si>
  <si>
    <t>No son cómodos y pesan mucho! Me han devuelto el dinero! No son como esperaba, al menos para mí. Los tengo una semana de uso y no puedo más, estaba esperando por si podía acostumbrarme, pero no hay manera. Son muy incómodos y pesan demasiado. Mala compra, he tirado el dinero!!! Un 10 para dogeek y Amazon, me han devuelto el dinero sin ningún problema!!!</t>
  </si>
  <si>
    <t>Lolita Nada de plata son chatarra pura pone que son de plata pero no es plata es color plateado es bisutería pura</t>
  </si>
  <si>
    <t>Mala impresión desde el principio La primera impresión al sacarlas de la caja era que train una etiqueta que decía que eran veganas y de material sintético,  cuando yo compre unas botas de cuero y las veganas son totalmente distintas... ya por ahí sospeche. el material nunca me quedo claro si era cuero porque era duro y brillante como plásticoLuego una de las lenguas está torcida y no hay manera de arreglarla, después la forma es tosca y ordinaria diferente a las que he visto por allí que si son originales, la suela sobresale casi 1 cm y por la parte de arriba se están despegando y solo las he usado un par de veces.</t>
  </si>
  <si>
    <t>Operatividad Sencillez manejo</t>
  </si>
  <si>
    <t>Perfectas A falta de prueba de campo, todo apunta a que van a ser bastante cómodas. Se ajustan bien al pie aunque calzan un poquito pequeñas.  Flexibles y cómodas</t>
  </si>
  <si>
    <t>Va bien Hasta ahora no me ha dado ningún problema, salvo que no me deja grabar directamente archivos grandes (tal vez no sea problema del pen). No es muy rígido, así que, si eres patoso, compra otro más recio.</t>
  </si>
  <si>
    <t>Diseño Tal y como se ve en la foto. Es amplia y de bonito diseño</t>
  </si>
  <si>
    <t>Buenas, aunque tendré que domarlas... Algunas ampollas.... Muy buenas... Veamos cómo evolucionan.... No obstante me han salido algunas ampollas, por lo que habrá que domarlas... Aguantan buenos lluvia</t>
  </si>
  <si>
    <t>Correa Todo ok</t>
  </si>
  <si>
    <t>Perfectos por su precio Los auriculares son exactamente lo que se espera de ellos. Se emparejan muy fácilmente, los botones tactiles funcionan muy bien y el sonido es muy bueno. Son comodos de llevar, aunque supongo que ahí cada persona sera un mundo y tendra que buscar el tamaño de cabezal y posición que mejor se le ajuste. El aislamiento de ruidos es magnífico, ponerselos es desenchufarse del mundo real. Seguro que los hay que suenen un poco mejor, o tengan un pelin de mejor diseño, pero valen cinco veces más. Vale la pena la compra.</t>
  </si>
  <si>
    <t>PARA ESTAR POR CASA O DÍA DE FAENA. Los compré recomendado por un amigo que los adquirió a través de Amazon UK Se trata de unos pantalones casual supernormales elásticos y muy cómodos. Se adaptan perfectamente a cintura y piernas pero no llegan a apretar ni nada. El material es suave y no roza nadie. Son muy fáciles de llevar y limpiar (no merecen especial cuidado). Buena relación precio/calidad: los típicos para batalla</t>
  </si>
  <si>
    <t>Con cable o sin cable De entrada la presentación y calidad de la funda es estupenda, al abrirlo me he encontrado con unos auriculares de buena calidad, acolchado en la diadema, y los cascos, no resulta pesado, he podido probar la duración de la batería durante mas de 2 horas, y aun no he necesitado cargarlo. En mi caso lo adquirí por la cancelación de ruido, cansado de oír el motor del avión por encima de la música o lo que reproduzcas, aísla correctamente el sonido, y reduce el ruido ambiental. La posibilidad de poder utilizarlo con cable jack de 3.5 o a través de Bluetooth en modo inhalambico, es un punto a su favor, de esta manera puedes utilizar hasta en los aviones con el cable. La conexión con varios dispositivos has sido rápida, lo he podido probar contra un PC, un smartphone y bajo android TV. En resumen, es un producto altamente recomendable.</t>
  </si>
  <si>
    <t>Impresionante Realmente da un buen masaje, con presión que puedes controlar. Simplemente inclínate más en el masajeador. Los cuatro nodos se calientan con el tiempo, y después de unos 15 minutos realmente puede sentir el calor de la unidad. Creo que este diseño es sólido, ya que el cambio de dirección ayuda a rodar sobre otras partes del músculo. Este es un gran pequeño masajeador, sin duda genial cuando regresas a casa con dolor de espalda</t>
  </si>
  <si>
    <t>Eficacia Muy Bueno para usarlo en forma de masaje.</t>
  </si>
  <si>
    <t>Para hacer gel es bueno Para hacer gel líquido esta muy bien. Para la ropa aún no lo he probado</t>
  </si>
  <si>
    <t>Súper comodos Son muy cómodos ligeros</t>
  </si>
  <si>
    <t>Buenos He utilizado 18 de 25 y no me ha fallado ninguno, cosa rara por que en las tarrinas sirmpre falla alguno. Buena compra.</t>
  </si>
  <si>
    <t>O.K. Tal como se describen en el anuncio. Comodos y modernos. Estoy satisfecho con la compra. La talla me ha venido correcta y el envio fue muy rápido.</t>
  </si>
  <si>
    <t>Bandolera ideal para viajes Lo he utilizado recientemente en un viaje largo y la verdad que resulta muy cómodo por los diversos compartimentos que tiene para  llevar la documentación, móvil y dinero. Ademas es muy cómoda y apenas se nota que lo llevas.</t>
  </si>
  <si>
    <t>Es de buena calidad precio La calidad y todo es perfecta Para chica la talla S es grande</t>
  </si>
  <si>
    <t>Archivador Archivador con unas 12 secciones me parece esta bien porque diferencian de color. Tambien otro punto a favor es que te vienen mini targetas para identificar cada seccion, esta en ingles pero por atras puedes escribir lo que tu quieras. Carpeta material bastante decente por eso le dot 4 estrellas por calidad y el precio que tiene.</t>
  </si>
  <si>
    <t>Muy buena relacion calidad-precio. Muy bonitos, parecen de buena calidad, no pesan y tienen un tamaño medio. El precio muy bueno y llegaron antes de lo esperado.</t>
  </si>
  <si>
    <t>Calidad precio insuperable Muy contento con la compra. Muy fáciles de emparejar y después conectan siempre al instante. No se me han desconectado nunca ni ha habido problemas en la transmisión. Una calidad de sonido decente para lo que cuestan y buenos acabados, tanto de los auriculares como de la caja/batería.</t>
  </si>
  <si>
    <t>Perfecto. Me ha encantado, el collar es precioso y se nota que es de calidad, hasta la caja en la que viene está genial. Además, me ha llegado súper rápido, así que estoy todavía más encantada. No tiene pérdida, lo recomiendo al cien por cien.</t>
  </si>
  <si>
    <t>Compra recomendada Producto excelente y recomendable. Muy contenta con la compra. Ya que sujeta bien el reloj y tienen en cuenta la necesidad de adpatarla a tu muñeca incluyendo el aparatito para quitar eslabones.</t>
  </si>
  <si>
    <t>Era regalo Era un producto para regalar y la persona que lo ha recibido está muy contenta. La talla le venía perfecta y dice que va comodisima con ellas</t>
  </si>
  <si>
    <t>La imagen no acompaña La imagen del producto incita a pensar en unas dimensiones que no corresponden al producto en sí, ya que es muy pequeño y la calidad de los materiales es deficiente. No lo recomiendo.</t>
  </si>
  <si>
    <t>no consigo utilizar bien las lupas Lo estoy utilizando mas por la luz de led que si ilumina bien y sin problema que por las lupas porque a  las lupas no me consigo adaptar y dar con el angulo correcto para ver aumentado y claro el objeto a manipular</t>
  </si>
  <si>
    <t>Julia No se aprecia muy bien en la foto. Es demasiado fino el aluminio, sobretodo en la base. No tiene instrucciones de uso.</t>
  </si>
  <si>
    <t>Magníficos biberon. Calidad superior. Los use con mi primera hija y ahora repito con la segunda. Calidad sperior, tetina muy agradable para el bebé.</t>
  </si>
  <si>
    <t>pesima calidad Este es el segundo que tengo, el primero lo devolví por su lentitud y pensaba que estaba dañado, el servicio por amazon sobresaliente en menos de 24 horas recibí el segundo, al principio parecía que iba bien , lento,por supuesto nada de 150 megas como dice,lo  maximo que e conseguido a sido 22 megas de velocidad pero con continuas bajadas a 0 bytes, en resumen no recomiendo esta unidad por su baja calidad.</t>
  </si>
  <si>
    <t>Buena compra Brazo muy bueno pero el micro a no ser que sea editado se escucha decente pero en general muy buena calidad para el precio</t>
  </si>
  <si>
    <t>Bonita Queda bonita y fina puesta. Quizá es un poco fina</t>
  </si>
  <si>
    <t>Adaptación confortable al pie. Muy buenas para mis largas caminatas por el campo. Echo en falta un poco más de flexibilidad por eso no le doy las cinco estrellas.</t>
  </si>
  <si>
    <t>Nike Son comodísimos en cambio el signo nike de la pierna al tercer lavado se empieza a  borrar.</t>
  </si>
  <si>
    <t>AUMENTO PRESTACIONES He instalado este disco en mi portatil TOSHIBA, y ha cambiado realmente. Parece otro ordenador por el aumento de velocidad. La instalación ha sido sencilla. La batería durá ahora un poco más Buena compra de calidad por el precio pagado</t>
  </si>
  <si>
    <t>Cumple expectativas Cumple expectativas</t>
  </si>
  <si>
    <t>Verbatim 43551 - DVD+R vírgenes Es el segundo o tercero que compro y no me ha salido ni uno defectuoso. Creo que con eso basta para explicar el producto...un 10.</t>
  </si>
  <si>
    <t>Me gusta Buen cubo</t>
  </si>
  <si>
    <t>Buen producto a buen precio Cumple perfectamente su cometido. es cómodo, muy útil y efectúa un masaje que alivia la planta del pie (en mi caso, para una fascitis)</t>
  </si>
  <si>
    <t>Deporte y oficina Llevaba tiempo comparando cualidades de distintos productos de este tipo. Los famosos auriculares de apple tienen un diseño que no me gusta. Pero estos auriculares son perfectos. Apenas se sienten, tiene un diseño futurista que los convierte en un buen accesorio para el teléfono o el mp3. La calidad de sonido es buena. Las llamadas se escuchan fenomenal. Puedes hacer deporte con ellos. La duración de la batería es alta. Los materiales del dispositivo son aceptables.  Lo que más me gusta: la relación calidad precio. Lo que menos me gusta: sólo son negros, podría haber más variedad de colores.</t>
  </si>
  <si>
    <t>Original. Es precisoso,y queda muy bonito puesto</t>
  </si>
  <si>
    <t>Muy buena compra Después de unos días de uso, puedo decir que funcionan perfectamente, tanto con IOS como con Android. Es muy fácil y rápido ponerlos en funcionamiento y se escucha bastante bien. Muy cómodos de llevar. Muy recomendables</t>
  </si>
  <si>
    <t>Muy buen producto. Muy bueno, algo pesado para la muñeca, pero es lo que tiene tener una extensión del móvil en la muñeca!!.Byena duración batería uso intensivo dura 3 días SI NO MÁS tiempo</t>
  </si>
  <si>
    <t>Perfecto Auténticas y todo en buen estado</t>
  </si>
  <si>
    <t>Muy bonita Es bastante fina, aunque muy bonita para lo que cuesta. Es muy ligera y tiene buen acabado. Recomiendo su compra.</t>
  </si>
  <si>
    <t>Armarios frescos sin olores Necesitaba una solución para los malos olores y la humedad de mis armarios y me decidí por estas bolsas. Están superbien en pocos días el armario apenas huele a nada. La venir en distintos tamaños se pueden colgar en perchas o dejar en las baldas y zapateros. las bolsas contenedoras tienen un diseño atractivo y son muy gustosas al tacto. Al ser todo natural no deja olores como otros ambientadores.</t>
  </si>
  <si>
    <t>Muy buenas y duraderas Me gusta todo</t>
  </si>
  <si>
    <t>No se han confundido en esta prenda con la talla que les pedi. Un detalle Buen tallaje en el envio</t>
  </si>
  <si>
    <t>RELACIÓN CALIDAD-PRECIO EXCELENTE Compra muy recomendable</t>
  </si>
  <si>
    <t>Cable Todo perfecto, muchas gracias</t>
  </si>
  <si>
    <t>Que fuerte Muy buena cualidades tanto en el formato como de sonido, graves muí fuertes, mola!!</t>
  </si>
  <si>
    <t>Skechers Me encantan.  Simplemente eso.</t>
  </si>
  <si>
    <t>Buen precio Me parece perfecto</t>
  </si>
  <si>
    <t>Muy endeble El plástico de la cajonera es demasiado débil y endeble, no aguantará mucho. Lo he devuelto por ese mismo motivo, ya que nada más verlo se nota la mala calidad del plástico. Aunque por ese precio supongo que no se puede pedir mucho más. Por lo demás los cajones iban bien, deslizaban bien y todo.</t>
  </si>
  <si>
    <t>Demasiado ruido Cuando haces lecturas o escrituras sobre el disco, tiembla demasiado. No se ha trabajado correctamente el aislamiento del disco para reducir las vibraciones. En cuanto al almacenamiento y fiabilidad, cumple con el estándar de WD, así que sin problemas.  Pros:  - Buena calidad de acabados  - Muy portable  Contras:  - No tiene interfaz de USB C, aunque siga siendo USB 3.0  - Vibraciones y ruido excesivos</t>
  </si>
  <si>
    <t>estan bien estan bien son comodas ligeras transpirables, con el tiempo ya veremos como se comporta la suela ya que creo que  se agrietará y ya no quedaran tan bonitas es muy probable que le añade alguna plantilla mejor que la trae, no creo que sean para meterle mucha caña y tampoco creo que sean para salir a correr, considero que son más para paseopor el precio creo que estan bien , mas adelante veremos su evolucion en el tiempo que tal se comportan</t>
  </si>
  <si>
    <t>En observación Las primeras semanas están portándose muy bien. Pero su durabilidad aún está por demostrar . Puedo decir que no son las botas más cómodas que he usado, sobre todo en cuanto a la amortiguación en el talón. El cierre de los cordones resulta extraño al principio pero está resultando efectivo. Solo decir que mi trabajo, Pescaderia , es muy extremo con las botas , ( humedad permanente, desgaste de la piel y la suela más elevados riesgos de resbalones ), pero de momento mi valoración es que valen lo que cuestan. Gracias.</t>
  </si>
  <si>
    <t>Malo Malísima duró dos días y dejó de funcionar al intentar meterlo varias veces para que lo leyera se salió una salida del pendrive.</t>
  </si>
  <si>
    <t>CECOTEC estafa al mes de comprarla ya me. perdía el líquido por debajo. me dijeron que era por una pieza que es un anillo. m mandaron otra y se me ha vuelto a romper. CECOTEC es un desastre. tengo. horno, conga, aspirador, batidora y en menos de un año todo me ha dado problemas y fallos. no compres cecotec!! ! !!  es una pérdida de tu dinerooo</t>
  </si>
  <si>
    <t>contenta para lo que cuesta es muy bonito, queda muy bien, el problema se hace pelotillas en muy poco tiempo. No me importaría pagar más por un tejido mejor, ya que el modelo es precioso y queda fantástico</t>
  </si>
  <si>
    <t>Botones un poco inaccesibles Tiene las funciones necesarias, hora, alarma, cronómetro y temporizador. Extremadamente resistente, muy buena lectura del lcd. El bisel y las correas se pueden cambiar y hay un montón de opciones en el mercado. La pega está en los botones, que quedan demasiado escondidos y no son cómodos de operar, en especial el botón adjust, que también sirve para poner a 0 el cronómetro por ejemplo, y se hace muy difícil de pulsar con el reloj en la muñeca.</t>
  </si>
  <si>
    <t>Zapatillas deportivas Tanto de talla , como de ancho , va muy bien y sus colores son muy bonitos, no se le hace justicia en la foto</t>
  </si>
  <si>
    <t>Buen calzado a buen precio Muy bonitos y aún precio increíble me estaban algonpequeños y los devolví,  tengo un pie intermedio y en ocasiones me sucede eso con depende que modelo</t>
  </si>
  <si>
    <t>Cómodo,  ligero y bonito Era para mi hija,  le ha encantado. Son muy cómodos por dentro ya que la plantilla lleva almohadillas que se adaptan a tu pie, parecen unas deportivas normales,  son bonitas y no pesan como las botas de seguridad de siempre. Recomendable</t>
  </si>
  <si>
    <t>Sorprendido por esta pasta Necesitaba pasta lavamanos para casa, y en comparación con la que uso en el trabajo (la original del grupo psa), el grano es más fino, es más seca, y huele mucho mucho mucho más peste (la otra huele a naranja dan ganas de comersela) pero por todo lo demás, esta pasta es mejor, ese grano fino llega mucho mas lejos, y limpia bastante en profundidad y ademas al usarse sin agua en principio parece que hasta gastas menos producto, aunque si que se gasta rapido como cualquier otra. Si esperas el momento para comprarla en amazon, sale a un precio muy bueno</t>
  </si>
  <si>
    <t>Gran calidad de sonido Después de comprar (y devolver ) varios auriculares de este rango de precio puedo afirmar con seguridad que son los mejores en calidad de sonido, confort y calidad de materiales. ¡1000% recomendables!</t>
  </si>
  <si>
    <t>muy elegante &lt;div id="video-block-R3GBE364K71AKX"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id="23" preload="auto" src="https://images-eu.ssl-images-amazon.com/images/I/C1kd8+GCwgS.mp4" style="position: absolute; left: 0px; top: 0px; overflow: hidden; height: 1px; width: 1px;"&gt;&lt;/video&gt;&lt;/div&gt;&lt;div id="airy-slate-preload" style="background-color: rgb(0, 0, 0); background-image: url(&amp;quot;https://images-eu.ssl-images-amazon.com/images/I/C1aoEzdU4DS.png&amp;quot;);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value="https://images-eu.ssl-images-amazon.com/images/I/C1kd8+GCwgS.mp4" class="video-url"&gt;&lt;input type="hidden" name="" value="https://images-eu.ssl-images-amazon.com/images/I/C1aoEzdU4DS.png" class="video-slate-img-url"&gt;&amp;nbsp;He comprado este colgante para cambiar el que regale hace tiempo a mi pareja, tenía uno en forma de corazón y esta vez quería que fuese algo distinto, y por eso he elegido esta forma,” Dos inseparables "Simboliza dos personas juntas para  siempre”.  Viene en una caja como la que te darían en una de las joyería,  ya con la caja ves que vas a tener un artículo elegante. Dentro viene el colgante con su collar de plata y un paño para limpiar parecido al que viene para las gafas.  En el centro tiene una circonita con buen detalle,  que hace que al reflejar la luz brille muchísimo y luzca bastante, por lo que llama la atención. A los lados, la estructura que sujeta el diamante es de plata, y gran parte tiene brillantitos pequeñitos lo que hace que sea muy agradable  a la vista.  El cordón es de plata, fino y brillante, y el cierre parece resistente.  Por supuesto mi pareja  ha quedado encantada con el collar.  Lo recomendaría, por supuesto para San Jordi. Que es el 23 de abril, pero también para regalos de aniversario o regalo para enamorados que están empezando, porque su precio no es elevado, o para llevar en fiestas o reuniones sociales.</t>
  </si>
  <si>
    <t>Genial Este micro para el precio que tiene es sencillamente genial! Hago rap y este micro va que flipas!! Muy recomendado :) Un saludo</t>
  </si>
  <si>
    <t>Solución ideal para los que necesiten un disco interno Buena marca y mejor precio. Fácil de desmotar y con un poco de maña puedes reutilizar la caja para otro disco. He sustituido mi viejo disco de 750Gb del MBP 15". Hubiese preferido el de 4Tb, pero es más grueso y no entra.</t>
  </si>
  <si>
    <t>Compra por primera vez tome tippe advertencia al limpiar Son los únicos biberones que le gustaron a mi hija, sobretodo por si alguien los compra por primera vez. Las retinas son muy delicadas y al limpiarlas en la zona de la válvula NO XAFAR con los dedos!</t>
  </si>
  <si>
    <t>muy bueno !! lo probe y mas del nivel  6-7 no puedo aguantarlo lol lo compre para una señora de 93 años las piernas se le han desinchado bastante !! el unico con es que no especifica en ningun sitio cuanto rato hay que cargar con el usb el controlador central  haz caso a las instrucciones y pon los pies....cuando lo vayas a usar....si pones una mano o las dos y quitas una....para apretar el boton...no se activa y te pensaras q no funciona</t>
  </si>
  <si>
    <t>Zapatillas del grande! El producto es de calidad, muy cómodo. Recomiendo</t>
  </si>
  <si>
    <t>Perfecto Pegar logo vehículo</t>
  </si>
  <si>
    <t>Sienta de maravilla! Sienta de maravilla. Tengo el pecho grande y soy estrecha de contorno y me resultaba difícil encontrar sujetadores para hacer deporte que realmente sujetasen sin moverse, este sujetador es perfecto y sin duda lo recomendaría, es más me lo voy a comprar en otro color</t>
  </si>
  <si>
    <t>Preciosa Me encanta. Es súper bonita. Lo único que no me gusta mucho es que el horno funciona o por arriba o por abajo y no las dos partes a la vez. Y no tiene para regular la temperatura. Vino justo cuando decían y en perfectas condiciones. Una compra recomendable.</t>
  </si>
  <si>
    <t>Buenos auriculares Gracias al agarre de la oreja permite llevarlos sin que se caigan, perfectos para correr o ir en bici, con diferentes almohadillas para poner la que mejor te acople, buena calidad de sonido, buena duración de batería, se conectan en cuestión de segundos al móvil nada mas sacarlos de la caja, todo genial</t>
  </si>
  <si>
    <t>Estupendas Eran un regalo para mi padre y le encantaron. Como un guante.</t>
  </si>
  <si>
    <t>MUY PRACTICO Y DE CALIDAD MUY BUENA Calidad de 10. Muy práctico, todo lo que esperaba. Recomendable si lo que buscas no es la típica mochila, por eso mirar bien antes de pedirla.</t>
  </si>
  <si>
    <t>Batidora con las 3 BBB He comprado esta batidora por rotura de la anterior y pese a las dudas que tenía sobre la calidad de esta, me he llevado una grata sorpresa al comprobar que además de cumplir perfectamente con su función de batir la comida, es muy sencilla de limpiar y muy cómoda para guardar ya que a pesar de tener un vaso de gran capacidad no es tan alta como otros modelos y no ocupa tanto al guardarla. En cuanto al mantenimiento de la calidad en el tiempo tendré que esperar unos meses a ve como va envejeciendo y ya editaré la opinión si es necesaria.</t>
  </si>
  <si>
    <t>sergio Perfecto al primcipio cuesta configurarlo pero una vez empieces a probar y demas es un microfono bestial ¡¡ encantado he quedado sin duda 100% recomendable</t>
  </si>
  <si>
    <t>Reloj Casio bueno y bonito Por el precio que tiene está bien. La esfera es grande y la correa algo delgada pero a rasgos generales bien. Casio siempre hace cosas buenas y baratas. Ahora no tengo excusa para llegar tarde XD.</t>
  </si>
  <si>
    <t>Aceites para humificadores He comprado estos aceites para poner dentro de un humificador eléctrico que tengo en casa. He probado ya unos cuantos y el olor se esfuma muy rapidamente. Debes poner mucho producto para que la fragancia te dure un dia. Con estos estoy sorprendida, pongo de 4 a 5 gotas en loa 200-300ml de agua que hay y el olor se mantiene. No debo estar añadiendo cada dos por tres. Vienen en una cajita de seis aceites variados. El de árbol de té, para mi, es demasiado potente, jajajaj casi que lo podrían sustituir por otro.</t>
  </si>
  <si>
    <t>Talla pequeña La talla es demadiada pequeña y no es cómoda para hacer deporte.  El material es bueno. Lo devolví porque no me sentaba bien.</t>
  </si>
  <si>
    <t>Es correcto Compás completo, pero quizás la calidad del producto no sea tanta como se espera de un producto Faber Castell. El cromado gris se raya con facilidad, y su vida útil es algo limitada.</t>
  </si>
  <si>
    <t>No es muy bueno Se le cae los pelillos al primer uso.</t>
  </si>
  <si>
    <t>NO COMPRAR Se lo he regalado a mi hijo y no lo puede utilizar. Hemos instalado todos los softwares en el pc y sigue sin emitir un sonido. Todo es complicadísimo, para gente profesional. No recomiendo la compra a personas que estén empezando. Inasumible!!!!</t>
  </si>
  <si>
    <t>Cumple La compro para rellenar sellos automáticos, me sale más económico aunque reconozco que la tinta no llega a ser igual a la q traen. Es un poco mas transparente, pero cumple, y mucho mejor q otras marcas.</t>
  </si>
  <si>
    <t>Buena calidad y acabados Fácil de usar,  limpiar,  y potencia suficiente</t>
  </si>
  <si>
    <t>A.c.f Etiquetas de calidad  bastante buena, las esperaba mas pequeñas pero llegaron mas grandes, miden unos 6 cm de diámetro y la cuerda que trae no es muy buena pero la calidad de las etiquetas es buena.</t>
  </si>
  <si>
    <t>Funcionalidad Muy práctico, por rapidez y tamaño</t>
  </si>
  <si>
    <t>Producto correcto El pedido llegó mucho antes de lo esperado. La bolsa iba bien protegida. El acabado correcto, esta bien acabada la  bolsa: cremallera, costuras..Buena relación calidad/precio.</t>
  </si>
  <si>
    <t>Espectacular Ya he comprado mas relojes de esta marca. Yo misma llevo uno y estoy encantada. Me he atrevido con este y ha sido todo un acierto. Es precioso. Grande, fino, se ve de lujo la esfera. Realmente las fotos no hacen justicia es mucho, pero mucho mas bonito al natural. Como siempre Amazón perfecto en envíos y tiempos de entrega. El reloj ha llegado en su típica caja amarilla y envuelta en plastico. Vamos, que yo he sido la primera en tocarlo. Es para regalarlo por lo que no puedo decir nada sobre su funcionamiento. ACONSEJABLE.</t>
  </si>
  <si>
    <t>me gustan Sencillos y cómodos</t>
  </si>
  <si>
    <t>Genial Típica camiseta Levi's. Calidad y talla perfectas. Me gusta el color azul no la lleva tanta gente como la blanca con logo rojo.</t>
  </si>
  <si>
    <t>Johanns Excelente reloj precioso, muy buena marca. Luce  bastante bien, está a muy buen precio y es exactamente como aparece en la foto.</t>
  </si>
  <si>
    <t>Potencia La verdad muy impresionado con el producto, pense que seria basico pero funciona de maravilla.</t>
  </si>
  <si>
    <t>Los únicos que admite mi bebe Conocimos la marca a través de los chupetes para la noche y son los únicos que quiere mi bebe. Está genial el que se pueda esterilizar en el micro. Como única pega a veces, con las prisas es un engorro el desmontar el biberón completo para su lavado. Tenemos otros productos y estamos encantados con ellos.</t>
  </si>
  <si>
    <t>Muy cómodos Son los segundos que compro ya, estos son para un amigo, y sin duda los volvería a comprar.  Son muy cómodos, no tienes esa típica sensación de que se van a caer, además la batería dura bastante, lo cargo una vez a la semana y los uso de cinco a seis días sin tener que volverlo a cargar. En cuánto al sonido, no es el mejor del mundo, pero se adapta a su precio.  Muy contento con la compra.</t>
  </si>
  <si>
    <t>Las necesitas Buscaba unas bambas que me durasen cosa mala, y me encontré con este par. Me enamoré al instante. Comodidad, elegancia y más comodidad! PD: En mi caso, un número mayor de el que calzo ha sido la medida idónea.</t>
  </si>
  <si>
    <t>Un buen filtro No hay demasiado que decir, como filtro es muy bueno y confiable, de buena calidad y robusto, el agarre es bueno y seguro, y el doble mallado hace su trabajo como antipop a la perfección.</t>
  </si>
  <si>
    <t>Buen producto La talla es un poco justa. Por lo demas todo perfecto. Son de buena calidad. Recomiendo el producto. Llegan en caja de carton perfectamente empaquetados</t>
  </si>
  <si>
    <t>Muy buena calidad y potencia para realizar todo tipo de comidas sin problema Los accesorios son de plástico resistente, de modo que a pesar de ser de plástico tienen buena calidad. Además el pie de la batidora se puede meter en el lavavajillas, lo que no se puede meter en el lavavajillas es la parte que lleva el cable. Todo lo demás se puede meter sin problemas. Lo único que no lleva es un accesorio para colgar en la pared. Tiene potencia de sobra para realizar todo tipo de comidas y que salgan sin grumos y riquísimas tanto postres como purés, gazpachos, etcétera.</t>
  </si>
  <si>
    <t>ZapAtillas Muy bonitas</t>
  </si>
  <si>
    <t>La boquilla Los mejores con diferencia es nuestra primera hija y an sido una maravilla</t>
  </si>
  <si>
    <t>Recomendables 100% En el amazon y otros portales hay muchos tipos de auriculares en venta, yo escogí comprar éstos porque me parecían muy bonitos y realmente me entraron por los ojos. También hay que valorar el factor precio/estética. No cabe duda que he elegido bien. Se trata de unos auriculares de excelente calidad. Al abrirlos me encontré con la sorpresa que estaban al 80% de batería, cosa que en ese momento de des precintar algo que te acaba de llegar, se agradece. Tienen una funcionalidad muy intuitiva y se adaptan a la perfección a la oreja. Por ahora los he inutilizado en casa y poco más pero en breve lo haré para hacer deporte. Sin duda encantado con la elección</t>
  </si>
  <si>
    <t>Mi nuevo favorito Amo tanto este producto que es mi nuevo mejor amigo. Adiós almohadilla térmica. Está bien organizado, no tiene fugas y es excelente para usar en cualquier lugar. Muy fácil de almacenar también.</t>
  </si>
  <si>
    <t>Lo fácil Q es Genial</t>
  </si>
  <si>
    <t>Era un regalo per mi no està malament vaig fer un homenatgeBueno no està malament del tot Era un regalo per mi no està malament vaig fer un homenatge</t>
  </si>
  <si>
    <t>Idóneo para hacer zumos y llevartelo Me viene genial para hacer zumos y batidos de frutas  y llevármelo a la calle, tanto para mi como para mis hijos, no es muy grande, más o menos medio litro, por lo cual es muy fácil de transportar y llevar en cualquier lado, el bote es de cristal, con lo que creo que es más duradero y te evitas lo de los parabenos y cosas por el estilo</t>
  </si>
  <si>
    <t>Da apariencia de calidad ,buen diseño Esperaba mas,para una jornada completa de trabajo suda bastante el pie, no transpiran como esperaba y pesan bastante. El diseño esta bastante logrado,no sabia que era producto chino</t>
  </si>
  <si>
    <t>Pse pse Esta marca de celo me encanta, pero debo decir q el soporte no es lo q esperaba. No pesa lo suficiente. El anterior q tenía, pesaba más y como consecuencia, funcionaba mejor.</t>
  </si>
  <si>
    <t>No tiene mala pinta. La calidad del sonido es buena, la batería supongo que será buena, la comodidad creo que aprietan demasiado comparado con otros, le daremos tiempo a  ver si se dá de sí la diadema o me reduce la cabeza de la presión que hacen.  La cancelación no me desagrada, tampoco busco que me deje aislado del mundo.   No me gusta que sean tan grandes, al menos eso parece. Edito: No me siento cómodo con los cascos, me resultan muy incómodos y la cancelación de sonido no me convence nada, es pobre.</t>
  </si>
  <si>
    <t>Poco ha durado. En 2 meses de uso y ya se ha roto el indicador de días de la semana. No se como cambiar el reloj ya que imagino que tendrá garantía.</t>
  </si>
  <si>
    <t>Si te llega bien... Bien sino un tormento El primero que compré muy bien y sin ruido a los 30 días empezó a fallar, no hacía mapas y en alguna zona empezó a hacer ruido extraño, Amazon nos recomendó cambiarlo y compramos otro... Empezó el tormento. Hacía mucho ruido, podíamos saberlo porque el primero no lo hacía. Lo llevamos a reparar y lo devolvieron diciendo que estaba perfecto... Lo de volvimos y paso igual. Pensamos que es la rueda delantera.. Volvimos a devolverlo y nos quedamos el original.. Al menos no hacía ruido. Muy mal servicio postventa y muy bueno el de Amazon. Vamos q compro por la garantía de Amazon y su buen servicio.</t>
  </si>
  <si>
    <t>Biberón de calidad Después de probar otras marcas, sin duda me parece el mejor bibe, aunque este formato solo se utiliza para las primeras semanas. Para después ya están formatos más grandes y tetinas específicas con cada uno, acordes a la edad</t>
  </si>
  <si>
    <t>Unos buenos auriculares bluetooth Son unos auriculares con una calidad de sonido muy buena acompañada de una buena cancelación de ruido. Las almohadillas son muy cómodas y puedes tenerlos puestos por tiempo largo sin cansarte de tenerlos puestos.</t>
  </si>
  <si>
    <t>Buena compra Cumplen perfectamente su función. La tapa es bastante dura para quitarla pero puede ser una ventaja cuando se lleva en el bolso.</t>
  </si>
  <si>
    <t>Que no apretaran tanto Son bonitos y espero que duren, la parte que se sujeta a la pierna, para mi aprieta un poco ya que se me inchan los pies y necesito que no me corte la circulación.</t>
  </si>
  <si>
    <t>Son Crocs El esta tot el dia detra necesita un calçat comodo, aquet es el calçat. !!!</t>
  </si>
  <si>
    <t>tamaño perfecto para mí por este precio está genial, al principio pensaba que me iba a llegar el 13 pero me ha llegado antes. La recomiendo, es bonita y muy practica. La quería para hacer viajes en avión para llevar pasaporte, dos moviles, cartera y poco mas, cabe mucho mas</t>
  </si>
  <si>
    <t>Son para andar o no pesar 98 kg y medir 1.90 Son para andar. No para correr</t>
  </si>
  <si>
    <t>Vendedor excepcional Las zapatillas vienen una talla o incluso talla y media más grandes de fábrica, ojo al pedirlas. Mi experiencia con el artículo y el vendedor estupendas, pedí un 39 y me quedaban enormes pero el vendedor en seguida me envió otras para cambiármelas de un número 38 sin ningún problema. Cómodas, bonitas y originales. Recomiendo 100% su compra.</t>
  </si>
  <si>
    <t>Impermeable, buena amortiguación y muy buen agarre/tracción Salomon Alphacross GTX, Zapatilla de trail running  Zapatilla de la prestigiosa marca Salomón. Podemos usarla para cualquier tipo de uso, desde paseos o actividades más exigentes como senderismo, running... Todo ello gracias a que disponen de una suela con espigas y la tecnología Contagrip que se adhiere en mayor cantidad a terrenos arenosos o piedras, disponiendo de una tracción agresiva y un peso realmente ligero. La parte exterior está fabricada en tela aportándonos comodidad al adaptarse perfectamente a nuestro pie además de ser impermeable (GORE-TEX®), no con todo ello logramos una gran amortiguación gracias a la combinación de su tecnología (EnergyCell) y de sus plantillas Ortholite.  En referencia a todo lo anterior vienen perfectas para todo tipo de usos, protegiendo de los impactos en pie como en rodillas, logrando evitar dolencias o futuros problemas. Con muy buen agarre y a un precio bastante equilibrado, respecto a todo lo que nos proporciona. La talla es grande 1 tamlla más grande o algo más incluso, para lograr una mejor referencia podemos guiarnos por las tallas/medidas de pie de la marca en su pagina web.</t>
  </si>
  <si>
    <t>Acierto seguro La comodidad</t>
  </si>
  <si>
    <t>Calidad/Precio inmejorable Disco duro de gran calidad a buen precio</t>
  </si>
  <si>
    <t>Auriculares bluetooth Funcionan a la perfección</t>
  </si>
  <si>
    <t>Exacto lo que buscaba Perfecto como zapatilla de piscina o para usar en casa. Debes elegir un numero más grande porque el tallaje es justo. Para el 44 has de elegir zapatilla del 46.</t>
  </si>
  <si>
    <t>Perfecto para regalo Envio rapido...calidad precio competitiva. Era para regalo y le gusto mucho</t>
  </si>
  <si>
    <t>Muy bien Muy buena compra. El vapor que hace es frío, apenas hace ruido, muy fácil de manejar, pesa poco, fácil de limpiar.  Muy contento. Me sorprendió su tamaño, sinceramente creía que era más grande, y eso que compré el de 300ml. Lo compré junto a los aceites de la misma marca, y enseguida que sale el vapor ya huele la habitación (otro tema es que los aceites no me gustaron nada). El depósito lleno dura un poco más de 3 horas. Y el diseño es fantástico, queda bien donde lo pongas.</t>
  </si>
  <si>
    <t>Me encanta Me ha gustado mucho este reloj. Hace casi un mes que lo compré y va muy bien. No lo he sumergido pero si que me he mojado y es resistente al agua  , la correa se puede regular facilmente y no da pellizcos, para mo gusto pesa poco y me resulta comodo.</t>
  </si>
  <si>
    <t>Que Maravilla! Pasar de correr en la cinta del gym con unos cables colgando ahí a esto es genial. Se adaptan bien a la oreja y no se suelta, la calidad de sonido es buena y la batería dura unas 3 o 4 horas. Se recargan en 1 hora. Por decir algo malo, una vez corriendo parece que le entro algo de sudor dentro y dejo de funcionar. Cuando llegue a casa le di con el secador y lo puse al sol un rato y solucionado. Se lo recomiendo a todo aquel que quiera correr más cómodo y olvidarse del dichoso cable que va saltando de lado a lado, joder como lo odio.</t>
  </si>
  <si>
    <t>Me encantan Son geniales para hacer tus propias pegatinas, porque imprimes como si fuese un folio normal. Me han gustado mucho. La única pega (por poner una) es que cuesta bastante despegarlas. Si te coincide donde tiene el corte del papel adhesivo genial, pero si no... Lleva un ratito. Aún así, las recomiendo.</t>
  </si>
  <si>
    <t>El espacio y los bolsillos interiores Estoy encantado con esta mochila, es grande, cómoda, práctica, y parece de buena calidad. La verdad es que es genial para el día a día y para utilizar en viajes. La recomiendo sin duda.</t>
  </si>
  <si>
    <t>Que a llegado Que sea sencilla y fácil</t>
  </si>
  <si>
    <t>Una gran compra!! Se adabtan perfectamente, a la vez que són cómodos y sorprendentemente ligeros. Su aparente robustez no esta reñida con su elasticidad y comodidad. Las recomiendo👍</t>
  </si>
  <si>
    <t>Cumplió mis expectativas Es un buen reloj desde la perspectiva de la relación calidad precio. Estoy satisfecho con la compra, si bien me parece importante avisar a posibles compradores que la esfera del reloj es más grande de lo que parece en el anuncio de venta, o al menos más grande de lo que yo imaginaba. Acabo de medir el reloj y su esfera tiene un diámetro de 4 centímetros, así que me tengo que acostumbrar porque el reloj que suelo utilizar tiene una esfera más pequeña (3,2 cm).</t>
  </si>
  <si>
    <t>Genial! Pros: -Calidad muy buena en relación a su precio. -Brazo articulado muy resistente. -Increíble potencia de grabación. -El pack tiene todo lo necesario, no hace falta mesa de mezclas. Cons: Ninguna.</t>
  </si>
  <si>
    <t>Mucho más bonita que en la foto. Pero se deshace Merece la pena la espera. Las piedras son de colores muy vivos y el cordón ajusta bien. Sin embargo, parece que he tenido mala suerte. Se  deshace</t>
  </si>
  <si>
    <t>un poco pequeños pero igual de bonitos que en la foto debeis mirar bien las tallas pediros un numero mas; por lo demas son monisisisimos</t>
  </si>
  <si>
    <t>Aún no lo he probado. Me ha llegado hoy. Aún no lo he probado. Me ha sorprendido que en la caja pone que trae manual de cómo usarlo, pero en la caja solo viene el rodillo sin un plástico de higiene que lo envuelva.</t>
  </si>
  <si>
    <t>No es ni la hermana pequeña de la cinta Americana. Se trata de una cinta plástica poco engomada y con muy poco tejido (lo minimo para poder usar el nombre de cinta americana supongo) No se parece en nada a la cinta americana a la que estamos acostumbrados, esta la he puesto para sujetar la carcasa del espejo retrovisor del coche y en un solo día YA ESTA DESPEGADA. Nada mas abrirla te das cuenta de que mas bien parece un fiXo negro, no pega bien, no puedes ejercer presión con ella ... y como no es aislante tampoco la puedes usar como tal. Pero lo que mas rabia me da, son los comentarios positivos (acaso no saben lo que es la cinta americana) que te hacen perder el tiempo y el dinero, ya que después de abrirla ya no la puedes devolver. No la recomiendo.</t>
  </si>
  <si>
    <t>Producto viejo y otros problemas Este pendrive apenas llega a una escritura de 15 megas por segundo (es muy baja para las tecnologías actuales), por lo que no lo recomiendo  Al comprar este Pendrive en la página decía que era otro modelo casí idéntico(con foto y memoria muy similar pero distinta velocidad). El DataTraveler SE9 G2 3.0. al añadirlo a la cesta lo cambió. Debí mirar antes la opinones de este vendedor, ya que ha habido mas casos similares. Al realizar la reclamación, rápidamente arreglaron el error de la web y como el pedido era correcto que no entendían porqué reclamaba.</t>
  </si>
  <si>
    <t>Juanen Es muy bonito, es un poco complicado de entender pero si lo vas regulando va perfecto. Lo unico que no me gusta es que para saber la temperatura tienes que quitarte el reloj por lo demas perfecto</t>
  </si>
  <si>
    <t>muy contento a pesar de su peso, son comodas y muy seguras, un cuero de una calidad excelente Muy contento a pesar de su peso, son comodas y muy seguras, un cuero de una calidad excelente, una compra genial.</t>
  </si>
  <si>
    <t>Precio calidad muy buena Pantalones muy comodos, único problema que son un chico corto para mi gusto y la parte más corta del pantalón me queda por encima de la rodilla. Mido 1,67 cm</t>
  </si>
  <si>
    <t>Bien pero empeine pequeño Las chanclas estan muy bien,buen material y calidad,son originales( o eso me parece ami).la unica pega es que son pequeñas,yo tengo un 44 y pedi 44,pues el empeine casi no me entra,si eres de pie ancho pide uno incluso 2 numeros mas.eso e echo yo e pedido un 46 y perfecto.saludos</t>
  </si>
  <si>
    <t>Muy bonito Es precioso, me encanta, aunque la única pega que le pongo es que las "circonitas" no se distinguen muy bien como en la foto...Pero bueno, es bonito.</t>
  </si>
  <si>
    <t>Zapatilla cómoda y versátil Zapatilla cómoda y unisex, aunque el titulo ponga que es de mujer.</t>
  </si>
  <si>
    <t>Bien Hace lo que pone, no tiene ningún misterio</t>
  </si>
  <si>
    <t>Auriculares inalámbricos redondos. Auriculares inalámbricos súper cómodos y muy reducidos. Se escucha perfectamente. Tienen la funda con su cargador de muy buena calidad y permite que su carga sea más fácil.Son sencillos de poner. Una compra realmente buena y aconsejable 100%.</t>
  </si>
  <si>
    <t>Muy buena compra Geniales! Los he usado para salir a correr y no se mueven nada, el sonido es estupendo y la batería dura, como los guardas en la caja y se van cargando solos no he tenido ningún problema de quedarme sin batería mientras los uso. Totalmente recomendables</t>
  </si>
  <si>
    <t>Nigún problema. Lo utilizo para copia de seguridad de mis archivos fotográficos. Llevo más de un año con el y mis archivos están totalmente seguros.</t>
  </si>
  <si>
    <t>Gran capacidad y polivalencia. Tenía un problema con las fotografías de la familia, porque las mandábamos por watshapp y perdían mucha calidad. Cuando vi este pendrive que lleva todas las conexiones de los móviles, es mi solución perfecta, gran capacidad de almacenaje, y en cuanto lo conecte con el móvil en mis archivos se abrió la unidad y pude guardar una copia de seguridad. Buen material.</t>
  </si>
  <si>
    <t>Perfecto No está bien calibrado lo he  cotejando  con otro aparato que tengo,  y este da las medidas mucho menos precisas. En cuanto a la humedad relativa del aire, siempre da muy baja, pese a que haya niebla lluvia u otros no sube nunca el 15%. EDITO: El problema era con el medidor externo. Me lo han cambiado y ahora funciona perfectamente. Un 10 a el vendedor.</t>
  </si>
  <si>
    <t>Tamaño mediano Esta muy bien a mi marido le ha encantado tiene muchos bolsillos con sus cremalleras es de tamaño mediano parece más grande de lo que es pero la verdad que todo muy correcto</t>
  </si>
  <si>
    <t>No se puede pedir más Para el precio que tiene, no se puede pedir más. Es robusta y algo blandita por fuera. La cremallera se ve algo endeble, pero corre bien. Por dentro tiene dos compartimentos. A un lado una goma ancha para el disco duro. Éste cabe perfectamente, incluso baila un poco, pero gracias a la goma se ajusta bien. Al otro lado hay una malla para meter el cable y otras cosas pequeñas, como usb. El envío,  excelente, ya que ha llegado 10 días antes de lo previsto.</t>
  </si>
  <si>
    <t>Buena calidad Es tal y como se muestra en la foto. Buena calidad, la cinta para colgar es algo corta. Debes ajustarla al maximo.</t>
  </si>
  <si>
    <t>ok Todo bien</t>
  </si>
  <si>
    <t>estupendos Son del color de la foto, esta marca nos encanta, de precio mejor que los de marca blanca de supermercado,</t>
  </si>
  <si>
    <t>Muy cómodo Lo compré por precio y espacio y la verdad que es perfecto y muy cómodo para colocarlo incluso en el escritorio y tenerlo a mano.</t>
  </si>
  <si>
    <t>Que lo puedes usar tanto en el móvil como en el ordenador Esta muy bien el producto sobre todo para liberar espacio en el móvil sin necesidad del ordenador.</t>
  </si>
  <si>
    <t>Tenían buena pinta (Fue para regalo) Pues fue un pedido para regalo de un amigo así que mucho no puedo comentar. Si que me dijo que la persona está muy contenta con ellos</t>
  </si>
  <si>
    <t>Buena capacidad y comodidad Facil de poner ya que es ajustable y lleva cierre de clip, buen tacto de los materiales además de  traspirables la hacen comoda de llevar, bolsillos de buena capacidad con cremallera y soporte para el bote con lazo de seguridad</t>
  </si>
  <si>
    <t>esta bien calidad de sonida, buena, vienen con un cargador, y se indca cuanta bateria queda a los cascos, calidad- precio estupendo, ademas es muy facil utilizarlo se enchufa al bluetooth de cualquier dispositivo y dura la bateria alqrededor de 3-4 dias. calidad precio no esta nada mal</t>
  </si>
  <si>
    <t>Perfecta Perfecta para ir al gym y llevar los complementos, caben más cosas de las que parece ligera y cómoda</t>
  </si>
  <si>
    <t>Excelentes Me encantan, sobretodo la posibilidad de esterilizar en 3 min en el microondas. Son ligeros y mi bebé que no quiere cualquier tetina está le gusta.</t>
  </si>
  <si>
    <t>REGULAR El bolso se queda un poco pequeño, se deberia poder meter una botella de agua pequeña, tambien las gremalleras abren demasiado verticales, pueden dar problemas, si se quedan abiertas, se puede caer las cosas de dentro. las correas se quedan un poco cortas para mi gusto.</t>
  </si>
  <si>
    <t>Es lo que queria Esta muy bien, es lo que te esperas.. Sencilla, contiene tres llaves y un separador de plástico para las monedas...</t>
  </si>
  <si>
    <t>No muy buena calidad No se lo q durará pero por dentro vienen chapuceras. Se ve claramente el andamiaje, no se cuanto estará asi</t>
  </si>
  <si>
    <t>Un timo ABSOLUTO Esta es la barateja que me ha llegado por un supuesto colgante de plata de ley sin sello y sin cadena en una bolsa de plástico del chino. Penoso no lo siguiente ....</t>
  </si>
  <si>
    <t>Es reloj para niño Atención. Compré este regalo para mi padre y cuando llegó descubrí que el tamaño del reloj es ridículo. Es para un niño y no para un adulto. Deberían de indicarlo en la descripción "Tamaño cadete o niño" o algo así, porque menos mal que lo abrí y lo miré, si no hubiese sido un desastre. No es de caballero, a no ser que el caballero tenga seis años.</t>
  </si>
  <si>
    <t>Buena Calidad Es de buena Calidad, aunque caro, pero está perfecto el Bolso, No me arrepiento en la compra. espero haber ayudado con mi reseña.</t>
  </si>
  <si>
    <t>Maite Buen producto,parecen pequeños pero se dan al llevarlos.tejido bueno para entre temporadas.de momento volvería a comprarlos,ya veremos con el tiempo</t>
  </si>
  <si>
    <t>lo que esperaba segun la descripcion lo que esperaba segun la descripcion. Me ha gustado mucho. Fue un regalo para mi madre y también le encantó</t>
  </si>
  <si>
    <t>Buenas y cómodas. Me encantaron. Son súper cómodas , caminas y te sientes en el aire. Los colores son vivos y el material parece resistente. Las recomiendo.</t>
  </si>
  <si>
    <t>Buena calidad La calidad es buena y el producto es el original, son estrechas de pie, pero se adaptan bien, se darán!</t>
  </si>
  <si>
    <t>Buen producto El pedido era para mi madre, pero está contenta con el producto, relajante muscular.</t>
  </si>
  <si>
    <t>Según lo esperado Mido 1,88 y peso 84kg, he cogido la XL/ Negro... Va perfecto. Buen material.</t>
  </si>
  <si>
    <t>Muy buenos La mejor marca en biberones y chupetes</t>
  </si>
  <si>
    <t>Buena compra. Entrega rápida. Y muy buena calidad. Caja y etiqueta oficial. Color muy chulo. Por 15eur.  Recomiendo. Muy cómodas.</t>
  </si>
  <si>
    <t>Perfecto El cable es impecable, el envío ha sido muy rápido y ha venido acompañado de una caja de púas que está muy bien y es muy práctica. estoy muy satisfecho con la compra, repetiría sin duda</t>
  </si>
  <si>
    <t>Calidad Hace poco compré unos auriculaes de estos y me gustaron tanto que he repetido para usar de regalo. La verdad es que son comodísimos, no parece que los llevas y tú no los notas puestos. Se escuchan muy muy bien y tienen muy buena calidad de sonido. Para salir a paseas, a correr, en bicicleta... para hacer lo que estés haciendo puedes usarlos porque ya os digo que funcionan genial.</t>
  </si>
  <si>
    <t>Geniales Por el precio que tienen, son perfectas. Las compré para el trabajo, pero me las voy a poner para salir, son muy bonitas y muy cómodas. Los materiales podrían ser mejores, pero por lo que valen, merecen mucho la pena, están muy bien acabadas y dan el pego.</t>
  </si>
  <si>
    <t>Buenas zapatillas Gran calzado de treking. Es una pena que no tenga gore tex. Son finas, mas para verano</t>
  </si>
  <si>
    <t>Excelente compra Todo perfecto</t>
  </si>
  <si>
    <t>impresionado &lt;div id="video-block-R2DSCUYZNH7P8N"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src="https://images-eu.ssl-images-amazon.com/images/I/C1IGmKwtjES.mp4" style="position: absolute; left: 0px; top: 0px; overflow: hidden; height: 1px; width: 1px;"&gt;&lt;/video&gt;&lt;/div&gt;&lt;div id="airy-slate-preload" style="background-color: rgb(0, 0, 0); background-image: url(&amp;quot;https://images-eu.ssl-images-amazon.com/images/I/91Mzrab-dMS.png&amp;quot;);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center;"&gt;1:34&lt;/div&gt;&lt;div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1.47667%;"&gt;&lt;/div&gt;&lt;div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value="https://images-eu.ssl-images-amazon.com/images/I/C1IGmKwtjES.mp4" class="video-url"&gt;&lt;input type="hidden" name="" value="https://images-eu.ssl-images-amazon.com/images/I/91Mzrab-dMS.png" class="video-slate-img-url"&gt;&amp;nbsp;AURICULARES BLUETOOTH Auriculares bluetooth inalámbricos con batería integrada. Pequeño manual de instrucciones básicas exclusivamente en inglés. No se indica la capacidad de la batería en mah, según el proveedor, en uso 5-6 horas y en espera 180h. Incluye cable para carga (usb en un extremo y universal -como el general de los terminales-), de color negro; y cable para conectar directamente a un ordenador, stereo, etc. Sonido estéreo, muy nítido y envolvente. Las almoadillas permiten ajustarse, perfectamente evitando sonidos externos. Diadema totalmente ajustable, en cuyo interior están marcardas R (right - derecha) y L (left-izquierda). En el lado derecho, sobre la sujección de las almoadillas lleva los mandos para apagar/encender/iniciar y pausa, adelantar/volumen -, atrasar/volumen +, poder seleccionar la radio o el elmento a conectar (teléfono, cadena, etc), y el mando para descolgar la llamada. En este mismo lado lleva los puertos de carga y de conexión a otros dispositivos mediante cable, así como para poder introducir micro sd directamente en el auricular. Para el uso como manos libres para llamadas el sonido está bien pero, destaca especialmente, la calidad de sonido del audio de reproducciones.</t>
  </si>
  <si>
    <t>Recomendadisimo Perfecto para evitar sustos</t>
  </si>
  <si>
    <t>Sirve para archivar. Es caro para lo que es. Es cómodo para archivar.</t>
  </si>
  <si>
    <t>El original Llevo ya un par de años con él y funciona perfectamente. El tamaño del reloj es el que tuvo siempre este modelo, quizás algunos lo recordaban más grandes porque sus muñecas eran las de un niño... Se puede duchar con él sin problema, aunque diga que solo es resistente al agua yo voy a la piscina con él y sin ningún percance en 2 años</t>
  </si>
  <si>
    <t>cable Cable para unir bafles que hace su función bien.Satisfecho. Es largo y lo que necesitaba.gracias. Quizás más largo también me viene bien.</t>
  </si>
  <si>
    <t>Cumple su función perfectamente Cumple su función perfectamente</t>
  </si>
  <si>
    <t>El preferido Es el más cómodo de los varios que tengo.</t>
  </si>
  <si>
    <t>Buen sonido, cómodo, práctico, buen tiempo de trabajo Es bluetooth 4.2, o sea, mejor conexión,  más rápida, a más distancia  y más dispositivos a la vez. Muy buen sonido, sorprendentemente bueno. Cómodo al punto de poder dormir con ellos. Práctico porque te los dejas en el cuello cuando no los usas y no cuelgan, no se enganchan, no se caen, siempre a mano. Vienen con cable de carga usb-microusb. Vienen con estuche de piel y cremallera.  A mi me dura más de dos noches encendido conectado al ordenador oyendo pelis. Buen sonido, buen precio, cómodo, eficaz, útil y práctico. Recomendable 100%</t>
  </si>
  <si>
    <t>Tamaño perfecto. Tamaño perfecto para un único té. La compramos por eso precisamente y no nos ha defraudado.no es tan brillante como en la foto pero a mí me gusta más.</t>
  </si>
  <si>
    <t>Decepcionada Es cierto q el bebé coge menos aire pero siempre se sale la leche y es muy desesperante</t>
  </si>
  <si>
    <t>Cumple su función Calidad de la correa mejorable pero cumple muy bien su funcion y se ajusta muy bien al reloj. El acabo del producto es bueno.</t>
  </si>
  <si>
    <t>Va bien con el reloj suunto Encaja perfectamente y todo correcto.lo unico malo el precio es excesivo.</t>
  </si>
  <si>
    <t>Me gusta Me gusta. Todo salió muy bien. Es una buena compra, la recomiendo. oe oe oe oe oe oe oe oe</t>
  </si>
  <si>
    <t>No los compréis, encogen. Compre estos Crocs el verano pasado, me los dejo media hora al sol y habían encogido 3 tallas. Reclamé y me mandaron unos nuevos y esta vez los he dejado en el maletero del coche, en el maletero, ni siquiera les pegaba el sol y han encogido 2 tallas. Vale que si, que en la publicidad avisan que pueden encoger con el calor, pero que clase de zapato para el verano son estos, si no puedes ni llevarlos en el maletero de viaje o te los quitas en la piscina y si te descuidas se los tienes que regalar a tu hija pequeña. No los recomiendo para nada.</t>
  </si>
  <si>
    <t>muy mal sale plastico negro en el cafe. mal en general</t>
  </si>
  <si>
    <t>Limpieza Para mayor efectividad es mejor quitar todos los obstáculos (sillas, sillones...) que haya, donde no llega bien es a los rincones. No hace excesivo ruido. Alguna vez se me ha parado sin saber porque, pero le he vuelto a activar y problema solucionado. Estaría bien poder programarlo en español, ya que las instrucciones del robot son es ingles. La verdad es que no creía que limpiara tan a fondo. Estoy muy contenta con la compra, lo recomiendo, ademas lo compré con una oferta y me ahorré sobre 30€.</t>
  </si>
  <si>
    <t>Calidad y precio competitivo Biberones Mam, de lo mejor. Son bonitos, prácticos y aquí están muy bien de precio Es de flujo rapido Estoy empezando con la papilla le pongo un par de cacitos a mi bebé y no hay problema Como siempre un acierto</t>
  </si>
  <si>
    <t>Buena seguridad Con fallo en la cerradura desde el principio pero por lo demás todo muy bien</t>
  </si>
  <si>
    <t>Tarjeta de memoria SanDisk Extreme PRO SDXC Hoy os voy a comentar cómo es esta tarjeta SD. Yo personalmente la voy a usar con mi cámara de vídeo 4K. Como me ha gustado me he animado a comentaros mis impresiones. Espero que os sean de utilidad.  La tarjeta vino dentro de una caja, en su interior me encontré la tarjeta SDXC de 256 GB clase 10 U3 y V30 y un cupón de un año para el programa para recuperar fotografías borradas accidentalmente “RescuePro Deluxe”. Por si no lo sabéis, la clase de una tarjeta determina la velocidad de la misma. Cuanto mayor es la clase, más rápida es. En concreto esta garantiza que llegará a 95 MB/s. En mis primeras pruebas, usé el lector de tarjetas que viene integrado en la caja de mi PC, obteniendo unos decepcionantes valores de lectura de 46,06 MB/s y 45,30 MB/s de escritura, a pesar de ser el lector USB 3.0. Entonces pensé: ¿Para qué me he gastado tanto en una tarjeta tan rápida si hace lo mismo que una lenta?  Entonces probé un lector externo USB que tengo para tarjetas SD, concretamente este:&amp;nbsp;&lt;a data-hook="product-link-linked" class="a-link-normal" href="/Transcend-TS-RDF5K-Lector-de-tarjetas-de-memoria-USB-color-negro/dp/B009D79VH4/ref=cm_cr_arp_d_rvw_txt?ie=UTF8"&gt;Transcend TS-RDF5K - Lector de tarjetas de memoria USB, color negro&lt;/a&gt;&amp;nbsp;y comprobé que los valores cambiaron drásticamente: valores de lectura de 95,83 MB/s y 89,60 MB/s de escritura. Unos valores bastante mejores que los del resto de tarjetas que tengo. Os he puesto también una captura de las velocidades de las otras tarjetas que tengo para que podáis comparar si estáis dudando entre este modelo u otro.  Para lo que la voy a usar, que es para una videocámara 4K, o para hacer ráfagas de fotos y grabarlas en formato raw en una réflex, es ideal. Si tienes una videocámara 1080p o una cámara compacta normal, no merece la pena este desembolso extra de dinero, a lo mejor te interesa más una de las otras que he puesto en las imágenes.  Como podéis ver en las capturas de pantalla que os he puesto, los 256GB se quedan en 238GB reales por la manía que tienen los fabricantes de equiparar 1MB a 1000B en vez de a 1024B como debería ser, pero eso la verdad es que lo hacen todos los fabricantes. Viene formateada en exFAT.  CONCLUSIONES ¿Y qué nota le das? ¿Me lo recomiendas?  Estas dos preguntas son las que todos nos hacemos cuando compramos cualquier cosa, y la respuesta es siempre la misma: DEPENDE DE PARA QUÉ LO USES Y CUÁLES SEAN TUS EXPECTATIVAS.  En mi opinión esta tarjeta SD es ideal para usarla en dispositivos que requieran una gran velocidad de escritura, cercana a los 90 MB/s. Videocámaras 4K, réflex en ráfagas raw, etc. Sino es tu caso, no merece la pena el extra de dinero, podrías mirar una de las otras tarjetas que he puesto en las imágenes, que son un poco más lentas, pero son bastante más baratas. Ojo con el lector de tarjetas. Te puede jugar una mala pasada como me ocurrió a mi. Te pongo a continuación un resumen de cuáles son sus puntos fuertes y débiles para ayudarte a decidir.  PUNTOS FUERTES: --Artículo bien acabado y de buena calidad. --Buenas velocidades de lectura y escritura, rondando los 90 MB/s. --Licencia por un año para un programa de recuperación de imágenes borradas. --En unos pocos días lo tienes en casa y con la garantía que da Amazon.  PUNTOS DÉBILES: -- Menos espacio de almacenamiento que el anunciado. Los 256GB se quedan en 238GB. --Precio, es bastante cara. Sino necesitas tanta velocidad hay opciones bastante más baratas.</t>
  </si>
  <si>
    <t>Sorprendente. Muy util Muy útiles para cantidad de trabajos y lecturas de letra reducida</t>
  </si>
  <si>
    <t>Muy chulo Igual que la foto</t>
  </si>
  <si>
    <t>Perfecto Los compré para llevar con Vans sin cordones y me fan estupendamente, no se ven y la goma que tienen detrás buenisima para que no se las coma el zapato :) me gustaron mucho</t>
  </si>
  <si>
    <t>Buen servicio y producto Todo bien</t>
  </si>
  <si>
    <t>Buen sonido sabiendo el precio que tiene. Suenan bien cuándo consigues colocarlo bien en el oído. No suenan muy alto pero por el precio que tiene no se le puede pedir más.</t>
  </si>
  <si>
    <t>Melisa De 10, me gusta mucho. Comodidad absoluta, fácil de manejar y aspira genial. Cabe en cualquier sitio y los accesorios muy útiles</t>
  </si>
  <si>
    <t>Me gusta Me gustaría</t>
  </si>
  <si>
    <t>Calidad excepcional Aparato de alta calidad. muy versatil y potente. facil de usar. Lo unico q le diria a los sres de Cecotec, es que se ahorren la pegatina que pegan en el aparato porque cuesta dios y ayuda quitarla. gracias</t>
  </si>
  <si>
    <t>Ines Compre uno para probar me van de favula yo mido 1.60 y peso 55kl y me quedan super chulos me bajan un poquito de la rodillas son muy cómodos.una semana después me pedí 3 para mi y 2 más para mi hija y estamos muy contentas en el girnasio con ellos</t>
  </si>
  <si>
    <t>Buen sonido Después de haber probado muchos micrófonos diferentes en los que tengo que conectarlos a una tarjeta de sonido para que se escuchen mas o menos decente me he quedado alucinada, con este solo he tenido que conectarlo al ordenador y configurar 2 parámetros y tiene una mejor calidad de sonido que muchos otros a los que les ponía tarjeta de sonido, los componentes se ven de buena calidad así que mas contenta no puedo estar, el único problemilla por llamarlo así que he encontrado es que cada vez que apago el ordenador para que funcione correctamente tengo que desconectarlo y conectarlo.</t>
  </si>
  <si>
    <t>Merece la pena pasarse a los SDD No opino sobre este en particular porque no he podido comparar con los de otras marcas. Pero el cambio de un disco duro convencional a un SSD es espectacular en cuanto a velocidad. Aunque siguen siendo todavía muy caros en comparación a los convenconales, lo cierto es que merece la pena instalarlos como disco principal para el SO.</t>
  </si>
  <si>
    <t>Ultra Lijeros &lt;div id="video-block-RIPDO1ZWREF8B"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id="14" preload="auto" src="https://images-eu.ssl-images-amazon.com/images/I/A18pG-SmTCS.mp4" style="position: absolute; left: 0px; top: 0px; overflow: hidden; height: 1px; width: 1px;"&gt;&lt;/video&gt;&lt;/div&gt;&lt;div id="airy-slate-preload" style="background-color: rgb(0, 0, 0); background-image: url(&amp;quot;https://images-eu.ssl-images-amazon.com/images/I/A1c2N42ODWS.png&amp;quot;);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value="https://images-eu.ssl-images-amazon.com/images/I/A18pG-SmTCS.mp4" class="video-url"&gt;&lt;input type="hidden" name="" value="https://images-eu.ssl-images-amazon.com/images/I/A1c2N42ODWS.png" class="video-slate-img-url"&gt;&amp;nbsp;Entrega rapidísima. En una primera impresión nada más recibirlos me llamó la atención su tamaño, pensé que sería un inconveniente pero en absoluto, al cogerlos me impresionó satisfactoriamente su peso son ultra lijeros. Una vez cargados fui a probarlos en una sesión de runing y comprobé todas las funciones, muy buen sonido, adaptación a la oreja, lijeros y no se mueven para nada. La verdad que muy contento con esta compra</t>
  </si>
  <si>
    <t>Calidad Buena calidad. Zapatillas de las de toda la vida, que mantienen estilo, comodidad pero sobretodo calidad. Buena compra.</t>
  </si>
  <si>
    <t>Micro.para casa El micro tiene una calidad más que aceptable para consumo casero. Que nadie piense que es un shure o un sengeiser, pero tampoco el precio puede compararse. Si lo quieres para tus grabaciones, emisiones online o para jugar, es perfecto. Para temas profesionales creo que tendrás que seguir soltando " algo más de dinero.</t>
  </si>
  <si>
    <t>Marta Son unas mallas bonitas y sientan muy bien.Yo cogí la XL y al ser más bien altas de cintura me sujetan bien la tripa y me favorecen, la verdad.Estoy muy contenta</t>
  </si>
  <si>
    <t>Zapatos Cómodos, buen precio, es para un señor mayor con dificultad de abrocharse el zapato al ser de Velcro pues muy cómodo para el.</t>
  </si>
  <si>
    <t>Diseño basico Perfecto</t>
  </si>
  <si>
    <t>Funciona como tiene que funcionar y es muy estable La estructura es sólida, y el micrófono se aguanta perfectamente, la sujeción a la mesa es sólida, aunque yo esperaba que el propio soporte rotase un poquito más suelto, dentro de la estabilidad, hay veces que hay que apretar un poco el tornillo correspondiente (1 vez en 3 meses) el acabado esta genial y queda muy resultón si enrollas un poquillo el cable a través de el.</t>
  </si>
  <si>
    <t>Buena adquisición por este precio Lo consideraría una smart band con muy buena presencia. Proporciona avisos de aplicaciones varias pero no puedes realizar control sobre ellas. Sólo puedes visualizar las notificaciones de las aplicaciones. Aun no he utilizado las funcionalidades deportivas así que no puedo opinar. Por lo demás, cumple. Haciendo un uso basico del reloj y exprimiendo al máximo he llegado a 17 días de batería. Hoy lo cargo por segunda vez desde la carga inicial. Esto, para mí, es el aspecto que se agradece de este reloj. No proporciona la gran versatilidad de funcionalidades de otros modelos y marcas, pero me avisa de lo que necesito, tiene lo que se espera de un reloj estándar y no estoy pendiente de su batería cada dos días o tres. Le doy las cinco estrellas porque era consciente de lo que ofrece este dispositivo que, por otro lado, tiene el precio que tiene (lejos de los 200 o 300 euros que piden por otros). Así que obtienes lo que pagas. Buena adquisición sabiendo lo que estás comprando. No esperes más por lo que estás pagando.</t>
  </si>
  <si>
    <t>Preciosos y sientan fenomenal Preciosos, deberían llevar un tope en el enganche porque las que tenemos el pelo largo se engancha y podemos perderlo es la única pega</t>
  </si>
  <si>
    <t>Mala experiencia Muy bonito pero de muy mala calidad,a la semana de tenerlo y usarlo diariamente se rompió la correa. Pésimo No lo recomiendo.</t>
  </si>
  <si>
    <t>Corto Dos metros resulta muy corto para tocar.</t>
  </si>
  <si>
    <t>Tienen tara. Hola, llevo ya unos 10 años por lo menos usando este modelo, y estos calcetines puedo confirmar que tienen una tara, no se si solo son los que me llegaron a mi o todos. Pero desde luego que en la parte del tobillo está más pequeño,y eso que yo soy muy flaco y como quiera me aprietan tanto que me hacen daño. No las devuelvo porque ya las he abierto para ponérmelas. Una pena,pero seguro que no las compraría otra vez.</t>
  </si>
  <si>
    <t>Mala calidad Se despegaba la parte del revés antes que la usb. Ni pegándole</t>
  </si>
  <si>
    <t>Recomendable Calidad precio buena , no sé cuánto tardará en ponerse feo pero por el precio está bien</t>
  </si>
  <si>
    <t>Me encantan Es lo que estaba buscando. Muy bien.</t>
  </si>
  <si>
    <t>Disco duro aceptable Compré este disco duro por su capacidad y su precio. Las velocidades de transferencia son aceptables, no es muy rápido, pero tampoco muy lento, yo lo utilizo como almacenamiento de fotos y vídeos y bien.  El principal problema que veo es que la disipación de calor brilla por su ausencia, el disco duro es de plástico y se calienta. El transporte del disco duro es perfecto, pesa poco y no necesita tener un cable de alimentación.  En general, estoy contento con la compra.</t>
  </si>
  <si>
    <t>Comodo Ok</t>
  </si>
  <si>
    <t>Calidad magnifica Me decanté por esta marca y este modelo en concreto y la verdad que no ha defraudado para nada, rapidez en la grabación de datos gráficos con la réflex.Amplia memoria para la cámara</t>
  </si>
  <si>
    <t>Buena calidad Son bonitas y buena calidad.</t>
  </si>
  <si>
    <t>Alfombrilla Me encanta</t>
  </si>
  <si>
    <t>Bonitos y cómodos Talla precisa, bonitos y cómodos.</t>
  </si>
  <si>
    <t>calcetines de colores. Hola! LOs calcetines quedan como me esperaba,porque teniendo yo un pie 43, escogí hasta talla 42 y así quedan como me gustan llevarlos a mí que queden estirados. Los colores son estupendos me gustan todos. Algún dia me pongo uno de cada color y eso multiplica las opciones .Quizás una opinión rara .Positivo totalmente en que lleven ese porcentaje de algodón el pie transpira mucho mejor que los que son totalmente sintéticos.</t>
  </si>
  <si>
    <t>Eficacia de limpieza y gran producto Producto de 5estrellas me quedé asombrado de la eficacia de limpieza, muy poco ruido lo mejor fue ver como pasaba por el escalón de un cm de la cocina. La app es muy fácil de instalar y de manejar... Otra cosa es la facilidad que tiene para salir de sitios donde otros k e tenido no eran capaz de salir sin alluda. La variedad de accesorios que trae es impresionante cosa que otros no traen. En fin un producto perfecto.</t>
  </si>
  <si>
    <t>3 pares de pendientes pequeños de plata Vienen 3 pares de pendientes. 2 de 4mm,2 de 3mm y 2 de 2 mm. Tiene sello 925. No sé han puesto negros ni me han creado alergia.</t>
  </si>
  <si>
    <t>Comodísimo mientras estás fuera de casa y eficaz aliviando el dolor Todo lo que necesitas saber sobre Thermacare está reflejado en la fotografía adjunta.  Has de tener en cuenta principalmente, que está indicado para aliviar el dolor y la fatiga muscular. Pero no soluciona problemas lumbares o articulares. Si padeces dolores mas allá de los producidos por el cansancio, el trabajo o alguna actividad puntual, debes acudir a tu médico para que te diagnostiquen adecuadamente.  Dicho esto, en nuestro caso ha sido de gran ayuda para aliviar las molestias lumbares de mi mujer. En casa puede ponerse una almohadilla eléctrica, pero en el trabajo o en el coche no. Y ahí reside principalmente la eficacia de Thermacare, en su portabilidad. Es suficientemente fina para no molestar bajo la ropa y no precisa cables. Se la pone cuando tiene una crisis antes de salir de casa y le dura hasta que vuelve por la noche. No le cura su problema, pero le alivia el dolor y le permite desarrollar sus labores profesionales con cierta normalidad.  Sólo con eso ya justifica el gasto (que por cierto hace tiempo que lo utilizamos y pagándolo) y sólo puedo hablar bien de un producto que ya conocía antes. El precio es ligeramente mejor que en la farmacia del barrio y bien merece la pena llevarlo contigo de viaje o en el coche.</t>
  </si>
  <si>
    <t>Excelente Con el he cepillado todas las puertas de casa al instalar el parquet y sin ningún problema</t>
  </si>
  <si>
    <t>Cómodas, guapas, tallan pequeño. Las he comprado para mi hija de doce años, he pedido una talla más, por mi experiencia con esta marca se que tallan pequeño, son Preciosas y muy cómodas, el color azul claro guapísimo, en fin, las recomiendo. De precio .. lo que suelen costar las de esta marca.</t>
  </si>
  <si>
    <t>Justo lo que quería. Me gustan los Crocs porque se adaptan perfectamente al pie, con la punta bien redonda. Necesitaba un zapato antideslizante y este modelo cumple con el requisito a la perfección. Es un calzado cerrado y puede que en verano sea demasiado caluroso pero en ese caso me compraré unas sandalias. De Crocs, por supuesto!</t>
  </si>
  <si>
    <t>Calidad sonido Me quedé sorprendido de la calidad del sonido tanto en graves como en agudos, se adaptan perfectamente en la oreja y oído, ya que vienen con varios tamaños para adaptarse y sujetarse lo mejor posible en la oreja. Practicando deporte no se caen si te los instalas correctamente las almohadillas de tu tamaño La duración de la batería es muy buena, y cumple de sobra con lo que pone en el manual que está en castellano Los imanes que tienen para hacer "collar" viene muy bien para mantenerlos encima con las manos desocupadas</t>
  </si>
  <si>
    <t>Compra recomendada Buena relación calidad precio.</t>
  </si>
  <si>
    <t>Excelente Muy buena calidad, sobre todo sonido , lo uso en un altavoz autoamplificado .</t>
  </si>
  <si>
    <t>Muy bien Fue para un regalo y llegó  super rápido. Me gustó  mucho la apariencia  de la caja. Se sale de lo habitual. Numeros grandes.</t>
  </si>
  <si>
    <t>Muy buenas Son muy bonitas y cómodas.</t>
  </si>
  <si>
    <t>Todo perfecto Llegó en el tiempo previsto y todo perfecto</t>
  </si>
  <si>
    <t>Como parte de la oreja Los compré porque un compañero del gimnasio me los recomendó al ver que los que yo tenía se me caían constantemente, estos al tener esa patilla de silicona se ajustan impidiendo caerse con el movimiento. Me han sorprendido la gran calidad de sonido que tienen sirviendo para coger una llamada con un solo toque. La caja pesa un poco pero merece la pena llevo toda la semana utilizándolos sin tener que cargarla todavía . Con un emparejamiento con el móvil rápido y sencillo .</t>
  </si>
  <si>
    <t>Un buen SSD M.2 2280 Es el segundo  SSD M.2 2280 PCIe Express GEN3.0x4 NVMe de 240GB que tengo montado en la placa base, en mi caso una MSI X370 Gammming Pro Carbón, este en el 2º puerto PCIe Express GEN3.0x4 NVMe, dándome una tasa algo inferiores al 1º, pero muy buenas en todo caso, uns 1700  MB tanto en lectura como escritura. Muy bien producto que recomiendo.</t>
  </si>
  <si>
    <t>Satisfecho a medias Vinieron algo usada al menos 1 bota seria de muestra o algo asi la otra algo rayada el en talon asi que satisfecho a medias, imagino que ese es el precio que pagas por comprar online y con estas ofertas. Espero que siendo esta marca que tanto e  usado cumpla con las espectativas de estas botas</t>
  </si>
  <si>
    <t>Casio de calidad media-baja. Es el quinto reloj Casio que tengo y obviamente la calidad Casio hace que el reloj ni se adelante ni se atrase. Eso sí, los materiales son muy malitos, plástico del malo. Aunque por el precio me parece normal.</t>
  </si>
  <si>
    <t>Todavía algo indecisa A lo largo del tiempo puede que actualice esta review del producto.  De momento estoy confusa porque a veces noto demasiado el ruido y la temperatura no se mantiene muy baja (cuando tengo refrigeración líquida y 4 ventiladores además de una temperatura de habitación bastante fresca) A veces tarda en entrar en los datos ubicados en este disco duro. Pero bueno, quitando eso, funciona bien, normal. Nada que destacar, aunque esperaba poder destacar más cosas como su velocidad, y no el hecho de que parezca que se traba cuando intentas acceder (a veces, no tan a menudo para ser insoportable pero lo suficiente para ser molesto) Si no me provoca mayores inconvenientes y se va limando lo de trabarse, yo le daría un 8 de 10. Ahora mismo me quedo en 5 de 10 porque estoy un poco a la espectativa de cómo seguirá comportándose.</t>
  </si>
  <si>
    <t>Pequeñisimos Pequeñisimos</t>
  </si>
  <si>
    <t>MALO NO, LO SIGUIENTE. AL FINAL LO BARATO SALE CARO. CREO QUE ESTÁ DICHO TODO. LENTO, SE QUEDA "PILLADO"... TOTAL LO HE TIRADO A LA BASURA. NO VALE PARA NADA. MEJOR VER OTRAS OPCIONES.</t>
  </si>
  <si>
    <t>Muy bueno Llevo solo un par de meses con el y parece que funciona, perdi un par de sentimetros, lo malo que las cintas protectoras hay que cambiar con bastante frecuencia</t>
  </si>
  <si>
    <t>Una buena ayuda para aprender a relajarse Tardas un par de días en acostumbrarte al ritmo que se propone en el Dodow pero merece la pena.  Estoy más relajada y no tardo tanto en volverme a dormir cuando me despierto.</t>
  </si>
  <si>
    <t>Bastante bien Está bastante bien, aunque yo pensaba ke echaba más vapor, aunque tiene dos funciones a mí me parecen igual</t>
  </si>
  <si>
    <t>Bonita Me gusta pero cometí el error de no comparar con otra que tengo las medidas así que es muy grande para mi gusto. Aún así la uso.</t>
  </si>
  <si>
    <t>Buena batidora Yo la uso para hacer purés a mi bebe y va genial, lo malo es que si echas poca cantidad no lo bate en absoluto</t>
  </si>
  <si>
    <t>Un acierto de reloj La calidad de casio, en un formato muy chulo. Tengo el blanco y el negro, funcionan genial y la pila dura mucho. La alarma vibratoria, también es un plus.</t>
  </si>
  <si>
    <t>Humidificador Sencillo y queda muy bien en la casa, nos tiene perfumado todo el piso y nos encanta, no hace ruido apenas. Estamos muy contentos con el</t>
  </si>
  <si>
    <t>PERFECTO y RAPIDÍSIMO Se corresponde exactamente con la descripción. Es de alta calidad, hecho en piel y muy barato, ya que fácilmente se dobla el precio cuando se busca un bolso similar en cualquier tienda o gran almacén conocidos.</t>
  </si>
  <si>
    <t>Elegante Precioso</t>
  </si>
  <si>
    <t>Comodidad y estilo en un único calzado Mi esposa buscaba un calzado bonito y práctico y lo ha encontrado. Estas zapatillas las puede usar a diario y con todo tipo de vestuario. El tono plateado le aporta jovialidad y las zapatillas son muy cómodas. Los cordones se ajustan muy bien y son fáciles de limpiar. Unas zapatillas GEOX son un acierto para regalar.</t>
  </si>
  <si>
    <t>Buen reloj a buen precio Muy chulo. Buen tamaño.  Importante la garantía viene sellada y  firmada desde la tienda.</t>
  </si>
  <si>
    <t>Excelente Es facil de usar y de programar la alarma. Tiene hasta 7 sonidos distintos de despertador y cambia de color la luz.El diseño es bonito. La luz es luminosa. Y tambien tiene buena señal la radio.</t>
  </si>
  <si>
    <t>Calidad Calidad-precio</t>
  </si>
  <si>
    <t>Bonito y llamativo Me encanta.  Tal y como se ve en la foto. Los colores turquesa y rojizos. Con cualquier prenda negra van bien</t>
  </si>
  <si>
    <t>Excelente relación calidad-precio. El reloj cumple con creces lo que yo esperaba y más por ese precio. Si todo funciona correctamente, no se puede pedir más. Puesto, parece mejor de lo que es. La medida es buena para los que tenemos la muñeca gruesa. Va muy bien y, si el tema solar funciona como debe, te olvidas de la pila. Por ponerle algún pero, auque después me ha parecido bien tal como es, sería que la cadena en vez de 20 mm yo la hubiese puesto de 22 mm pues el reloj es de caja grande pero le queda bien también así. Por el precio que tiene, yo lo encuentro totalmente recomendable. Saludos.</t>
  </si>
  <si>
    <t>Comodidad Maravillosos. Super ligeros y cómodos.</t>
  </si>
  <si>
    <t>Todo perfecto La cantidad y el precio esta muy bien. Por fin he podido volver a usar la virobi ya que donde yo vivo no hay forma de encontrar recambios.</t>
  </si>
  <si>
    <t>Rápida Buena velocidad de transmisión de datos</t>
  </si>
  <si>
    <t>Diseño compatible con ropa formal y deportiva Buenos acabados, suficiente capacidad para todo lo necesario (cartera, dos pares de gafas, móvil, block de notas, etcétera)</t>
  </si>
  <si>
    <t>Comprado para un Amazfit Bip Compré esta correa para un Amazfit Bip, y la colocación se realiza en segundos de forma realmente sencilla. La apariencia en este reloj es impecable.</t>
  </si>
  <si>
    <t>Perfecto en diseño y calidad/precio Una pasada!!! Irrompible,  un montón de alarmas, cronómetro,  luz led, cómodo, y de aspecto rudo. El tamaño esta bien, y a pesar de lo que digan otros usuarios los números se ven perfectamente.</t>
  </si>
  <si>
    <t>bonita, ideal para regalo Lo compré en oferta por algo menos de medio euro y compre 4, han tardado en llegar, pero merece la pena, las piedras se notan bonitas y en su conjunto lucen bien. Si eres de muñeca ancha quizás te apriete un poco y no te la aconsejo, sino, queda perfecta, si quieres usarla para regalar es una inversión mínima y un detalle muy bonito, yo le he regalado a 2 amigas y están encantadas.  ¿lo volverías a comprar? Sí, incluso al precio normal, merece la pena.  No pido votos por los comentarios, eso tiene que salir de cada persona, si te gustó y quieres valorarlo, Gracias.</t>
  </si>
  <si>
    <t>Buen sonido Primeros cascos que compro por mas de 100 $ y la verdad es que se nota la claridad del sonido comparado con otros que tenia por ahí. Los uso para escuchar música, películas e incluso videojuegos con loudness equalization de windows activado.</t>
  </si>
  <si>
    <t>Regulares Demasiados sencillos</t>
  </si>
  <si>
    <t>Muy pequeño Da muy poca talla por lo menos un numero menos, he tenido que devolver</t>
  </si>
  <si>
    <t>LO NORMAL Un libro de bolsillo, tapa blanda. Pero vamos, lo normal. Es lo que esperaba. Buena compra. Compraría mas de esta colección.</t>
  </si>
  <si>
    <t>Mala Al poco tiempo deja de servir, son peores que la de los bazares.</t>
  </si>
  <si>
    <t>Resistencia al agua No cumple para nada lo anunciado. Ni tan siquiera resiste el agua bajo la ducha, por no comentar en una piscina</t>
  </si>
  <si>
    <t>Error de envio No me llego ese modelo sino otro modelo y fue bastante complicado la devolución aunque ya lo he conseguido La talla un poco justa con relación a lo habitual</t>
  </si>
  <si>
    <t>Están bien Las cojo para mi hijo por que las lleva todo el mundo y me tiene hasta los huevos</t>
  </si>
  <si>
    <t>Pesa mucho No está mal pesa mucho es la única pega</t>
  </si>
  <si>
    <t>Buena calidad A lo largo del tiempo he ido adquiriendo varias targetas de esta marca y en general no me han defraudado. Buena relacion calidad/precio aunque personalmente les doy un uso muy normal y no me ha parado a medir sus prestaciones.</t>
  </si>
  <si>
    <t>Muy buen pendrive para backup Típico de las memorias flash que marcan 32Gb y pero solo tienen 29 GB efectivos. En este caso son 114 GB en lugar de 128 teóricos. El desempeño en lectura es más bien modesto para un USB 3.1, pero el desempeño en escritura es 50% superior frente a otros modelos de pendrive que tengo Sandisk y Kingston. Lo compré en oferta en el Black Friday y realmente estoy muy contento con la velocidad de escritura, recomiendo el producto.</t>
  </si>
  <si>
    <t>Roque bosch El producto va bien lo único que no consigo enlazarlo con Google home no me encuentra en la aplicación los enchufes por lo demás va bastante bien puedo generar horarios y grupos lo único que en los tutoriales veo que hay otra opción que no sale en el enchufe de la aplicación me gustaría saber si hay algunos conmutadores compatibles con vuestra aplicación y algún tipo de electrodoméstico todos los dispositivos que sean compatibles para uso futuro gracias</t>
  </si>
  <si>
    <t>Preciosos y muy comodos Son preciosos y muy comodos. Llegaron en domingo! Antes de lo esperado. Encantada con ellos, ya los habia usado antes.</t>
  </si>
  <si>
    <t>No se como he vivido sin esto Un básico para cualquier PC</t>
  </si>
  <si>
    <t>Es tal como se describe Es como se describe en el anuncio, funciona correctamente y llego dentro del plazo establecido.</t>
  </si>
  <si>
    <t>Bonitas, de calidad y muy cómodas Son mis primeras New Balance y dudaba en la talla, pero es la normal de otras marcas. Son muy cómodas, un diseño muy bonito (a mi gusto, esto es muy personal, desde luego) y parecen tener buena calidad aunque acabo de estrenarlas y habrá que ver cómo aguantan.  Por el momento, muy contento con la compra.</t>
  </si>
  <si>
    <t>Buen producto para un buen precio Es un buen producto para en precio que tiene, la goma es suave, la hebilla es correcta aunque mejorable, si recomiendo su compra.</t>
  </si>
  <si>
    <t>Muy muy muy cómodas Muy cómodas. Tieben un color muy acertado</t>
  </si>
  <si>
    <t>Microfono excelente Calidad/Precio increible. De un material bueno y con muy buenos acabados. Además viene con un tripode y un filtro antipop. Recomendable 100%</t>
  </si>
  <si>
    <t>Buena calidad Ideal para pies que no sean delgados.</t>
  </si>
  <si>
    <t>Espectaculares Lindos</t>
  </si>
  <si>
    <t>Mejor que la descripciòn Muy bueno. Lo uso en invierno como calienta-camas y su autonomía es superior a las 2 horas que dice la descripción.</t>
  </si>
  <si>
    <t>Bandolera Un oco pequeño, pero no está mal</t>
  </si>
  <si>
    <t>BUENA COMPRA LA VERDAD ES QUE ES EL PRIMER ACEITE QUE USO PORQUE TAMBIEN ME ACABO DE COMPRAR AL MISMO TIEMPO EL DIFUSOR HACE MUY BUENA OLOR ME GUSTA ,ESO SI YO LE PONGO 10 GOTAS ME GUSTA QUE EL OLOR SEA BASTANTE INTENSO LO VOLVERIA A COMPRAR SIN NINGUNA DUDA AUNQUE LA PROXIMA VEZ TAL VEZ COMPRARE LOS DE LA MARCA NAISSANCE PARA PROVAR</t>
  </si>
  <si>
    <t>Muy bonito Vino con su cajita con la rosa. Muy bien</t>
  </si>
  <si>
    <t>Pesa poco y la batería dura mucho. Los auriculares funcionan pergectamente. Sincronizan a la primera con mi móvil Android. Suenan fuerte y nítido (Aunque el bajo no es su fuerte).  Para hacer ejercicio van genial porque pesan muy poco, la batería les dura bastante y no aislan del todo del exterior por lo que puedes salir a correr sin miedo a no escuchar los coches.</t>
  </si>
  <si>
    <t>Magnífico Eran perfetas</t>
  </si>
  <si>
    <t>Zapatillas Puma. Me quedan perfectamente tal como esperaba, ya que son las terceras zapatillas Puma que compro.</t>
  </si>
  <si>
    <t>Sencilla y fácil de usar. Sencilla y fácil de usar, justo lo que necesitaba. El vaso lleva una tapa muy útil para proteger el alimento en la nevera.</t>
  </si>
  <si>
    <t>Perfecto El producto se corresponde con la descripción. No hubo problema con la talla (cogí una más por que prefiero anchos a estrechos y me quedan perfectos. El género bueno (resisten el lavado) y el envío correcto.</t>
  </si>
  <si>
    <t>Muy bien Más. Bonitos k en las fotoa</t>
  </si>
  <si>
    <t>No correspondía la talla. Vienen en su caja original y a simple vista están bastante bien, sin embargo, no parece que sean originales, ya que no tienen la misma forma que las de tienda. Además, la talla no correspondía.</t>
  </si>
  <si>
    <t>Buena calidad pero sin verificar el producto La verdad que están bastante bien aún que me llegó con una pequeña marca de rayada no las devolví porque me urgían aún por eso son de buena calidad</t>
  </si>
  <si>
    <t>Diseño bonito, material sencillo El reloj es atractivo a la vista. Cuando lo coges se nota muy lijero y  de un metal muy sencillo. Tengo uno igual de hace 20 años que es mucho más robusto. Aún así, por este precio pienso que es una buena compra. El cristal (plástico) se ralla con facilidad.</t>
  </si>
  <si>
    <t>Mentira. Dice que es resistente al agua y no es cierto.</t>
  </si>
  <si>
    <t>mala inversion muy chulo pero dinero tirado a la basura porque lo he probado en varios dispositivos y no me lo reconoce, no se si vendrá defectuoso o que le pasa</t>
  </si>
  <si>
    <t>Todo ok. Hay que ser constante Me gusta que ai eres constante obtienes reaultados. No me gusta que las intrucciones dicen que no usar mas de 15 minutos seguidos porque se calienta. Mejor si fuera inalabrico. Envio rapido y llega producto que esperaba en buen estado. Volveria a comprar</t>
  </si>
  <si>
    <t>Viky Tal cual esperaba,!! No es muy grande es perfecto para mujer. La esfera es de plástico pero se ve de buena calidad.</t>
  </si>
  <si>
    <t>Recomendable para poder llevar lo básico La calidad del producto es bastante aceptable, las costuras bien echas, no le encontré fallos, las cremalleras son buenas, solo un pelin corta la correa de colgar, podría ser un poco más larga. En general buen producto</t>
  </si>
  <si>
    <t>Chiruca 39 Era lo que esperaba ya había gastado botas de esta marca y encuentro mal mi número en las tiendas 39 precio ajustado. Buen servicio llegaron en dos dias</t>
  </si>
  <si>
    <t>Excelente Lo estoy usando para hacer un calendario de recompensas y van genial, los he usado con la palstificadora Olímpia para plastificar en caliente y la Marca de agua que llevan desaparece totalmente, bien empaquetado y me llegó un día antes del esperado, muy contenta con la compra volveré a comprar!!</t>
  </si>
  <si>
    <t>De Díez Ya lo conocía y con mi cervicalgia , ni analgésicos  ni historias, lo que más me hace , y aquí los encuentras más economicos</t>
  </si>
  <si>
    <t>Una compra 5 estrellas El envío fue súper rápido, llegó en menos de 24 horas.  El embalaje suficiente, para no encarecer el producto.  Viene acompañado de su cable cargador y de dos esponjas adicionales por si se te rompen o pierden.  El acabo es súper elegante, poco peso y manejo súper sencillo.  La calidad del sonido es buenísima.  Sin duda alguna, lo recomendaría al 100%, y por supuesto que lo volvería a comprar sin dudarlo.</t>
  </si>
  <si>
    <t>Muy buen servicio Estoy muy contento con la compra, funciona perfectamente y tanto la atención recibida por el vendedor como el plazo de entrega han sido muy buenos</t>
  </si>
  <si>
    <t>Buena calidad/precio Buena calidad/precio</t>
  </si>
  <si>
    <t>Muy buenas De lo mejor que e comprado sin duda</t>
  </si>
  <si>
    <t>Comodo Comodo</t>
  </si>
  <si>
    <t>Buena relación calidad-precio Tiene buena visibilidad aunque es un poco grande en la muñeca.</t>
  </si>
  <si>
    <t>Todo bien Perfecto calidad precio. Recibido 1 día antes. Tamaño perfecto para dina4 y bolsillos practicos, las costuras parece que aguantaran bien.</t>
  </si>
  <si>
    <t>Un producto único Y el fabricante no abusa en el precio, a pesar de usar un sistema único (al menos que conozca) en el mercado. Es una idea genial para combinarlo con leche materna, así el bebé debe de esforzarse porque sólo sale el líquido cuando se absorbe, nunca cae sólo como en el resto de biberones.</t>
  </si>
  <si>
    <t>Muy cómodos Muy cómodos, no resbalan y se pueden limpiar muy fácilmente</t>
  </si>
  <si>
    <t>Muy bonito. Tamaño ideal , cadena de buena calidad.</t>
  </si>
  <si>
    <t>recomendable muy contento con la compra , es ideal , pequeño ,comodo y va muy bien, no tiene un agran potencia pero a la hora de batir ,sobre todo las frutas , si le añades un poco de liquido va a las mil maravillas</t>
  </si>
  <si>
    <t>Sus detalles Me ha encantado, x su precio esta super bien, muy bonita y fina. Con su bolsa rosa de tous, su cajista y certificado de tous. Perfecta para regalo y darte un capricho, a buen precio.</t>
  </si>
  <si>
    <t>Correcto, es lo que dice. Tal y como se describe.</t>
  </si>
  <si>
    <t>Aspecto y uso profesional Es el primer flexómetro que compro de forma independiente. Siempre había tenido los que regalan con cajas de herramientas o packs de bricolaje. La diferencia es abismal. Es rígido y se mantiene firme en su sitio sin problemas. Lo mejor es el freno. Si tuviera que quejarme de algo, es que es demasiado grande, pero eso es culpa mía por haber escogido el de 5m. Con el de 3m habría más que suficiente. Si lo volviera comprar me quedaría con la vesion de 3m.</t>
  </si>
  <si>
    <t>Bien Perfecta</t>
  </si>
  <si>
    <t>Microfono karaoke chulisimo Ya tengo el micrófono que le compre a mi hija y le ha encantado. Compre este modelo ya que tenía buenas opiniones, y acerté plenamente. Tiene un altavoz donde se pueden reproducir las canciones de cualquier dispositivo que transmita por Bluetooth, y es muy gracioso los ecos de voz que tiene, con posibilidad de incorporarle una tarjeta de memoria. El color dorado, en mi caso, me parece fabuloso, e incluye cable para cargarlo y para conectarlo a otro dispositivo. La batería dura bastante, y mi pequeña estabencantada, acerté plenamente...</t>
  </si>
  <si>
    <t>No pesan Preciosos.me encantan💖</t>
  </si>
  <si>
    <t>Me esperaba más de Black+Decker Despues de varios meses usandola, he de decir que no me acabo de hacer a ella. Hay ciertos fallos. Dice que pica hielo, y es verdad, pero sólo pica el hielo casero, es decir, de las cubiteras pequeñas de casa. No esperes que los hielos enormes del super los pique. Si bien es cierto que tritura que da gusto (un gazpacho lo deja estupendo, no hace falta colar), es necesario echar agua o algún tipo de líquido para que pueda trituar bien las cosas. Es decir, que solo hace bien su labor con equis cantidad de liquido en el recipiente, sino las cuchillqs se mueven y no trituran nada. La jarra es de cristal y la tapa plástico con un mecanismo que hace que no haya ninguna perdida. Aunque pongas la batidora a máxima potencia, los topes que tiene hacen que no se mueva y es una maravilla Conclusión, no os dejéis llevar por los comentarios positivos de personas a las que les ceden el producto gratuitamente para probarlo, creo con todos mis respetos que no son 100% objetivos.</t>
  </si>
  <si>
    <t>Bien por el precio que tiene No esperaba más por el precio que tienen.  Por las imágenes pensé que serían diferentes tamaños para poder poner a diferentes alturas de los dedos, pero no, son todos el mismo tamaño. El material es malo, pero como digo, por el precio que tiene no esperaba más.</t>
  </si>
  <si>
    <t>Fue un regalo y gusto mucho Fue un regalo y gusto mucho</t>
  </si>
  <si>
    <t>Falsos! Son falsos, no son apple. Lamentable por parte de Amazon. Con solo tocarlos se nota las diferencias.</t>
  </si>
  <si>
    <t>Alexandra Mala calidad, muy sintético y el diseño no es lo que sale en la foto. Lo devuelvo, parece de un mercadillo chico. Alexandra</t>
  </si>
  <si>
    <t>Muy buena Esta muy bien</t>
  </si>
  <si>
    <t>ESTUPENDA MUY BIEN TALLA Y CALIDAD</t>
  </si>
  <si>
    <t>Tritura perfecto De momento funciona perfectamente...la cuchilla difícil acceso para limpiar</t>
  </si>
  <si>
    <t>RELOJ - CUMPLE CON LO QUE EL REGALO REQUERIA Diseño y funcionalidad que ha cumplido con lo que queríamos. Lo único que no me ha gustado es la caja en la que iba.</t>
  </si>
  <si>
    <t>No da opción a escoger color Llego bien, me toco el azul y es muy bonito y los bolígrafos cogen bien Quizás si dieran opción a escoger lo volvería a comprar</t>
  </si>
  <si>
    <t>Buena calidad Buen diseño.</t>
  </si>
  <si>
    <t>Sin problemas Todo correcto</t>
  </si>
  <si>
    <t>Buena relación calidad-precio Compre estos auriculares porque ya tenía ganas de tener unos para escuchar música sin cables y hacer llamadas telefónicas con total libertad , ya que cuando hablas por teléfono con unos auriculares con cable y estas haciendo otras cosas , seguro que alguna vez te habrá pasado que has tocado el cable y se te han descolgado los auriculares de la oreja o ¿ me dirás que no ? El envio por parte de amazon una maravilla como siempre en un dia hábil mellegaron a casa. Los auriculares vienen bien presentados , en una pequeña cajita muy sútil , traen consigo un cable de carga micro usb para cargarlos  (no incluye cargador , tendrás que ponerlo tu o conectarlo al usb de tu pc ) también llevan unas almohadillas de recambio que nunca vienen mal. Decir de ellos que la instalación es super sencilla apenas los sacas de la caja te pones el derecho le pulsas al auricular y ya se empareja , después haces lo mismo con el izquierdo y listo , la verdad es que una maravilla , muy rápido. Una vez hecho esto , siempre que el bluetooh de tu móvil este encendido los sacas de la caja te los pones y se conectan automáticamente. De su calidad de sonido podría decir que no es la mejor pero si esta bastante bien teniendo en cuenta su relación calidad precio. Hice una prueba con ellos escuchando musica , me aleje unos 10 metros de donde tenía situado el móvil y la verdad seguía sonando como si lo tuviese al lado. He estado haciendo varias llamadas teléfonicas y no he tenido ningún problema , ellos me escuchan a mi perfectamente y yo a ellos también. De su comodidad podría decir que son bastante comodos , no tengo ninguna pega. Se adaptan bastante bien a la oreja y tienen buena sujeción.</t>
  </si>
  <si>
    <t>Pequeño pero eficiente Tamaño ideal para espacios pequeños, tiene diferentes luces de colores. Cumple su función.</t>
  </si>
  <si>
    <t>Reloj Casio Muy buen producto. Muy conforme con este articulo, representa a un reloj fuerte y a la vez elegante que puede ser llevado a la mayoría de las situaciones</t>
  </si>
  <si>
    <t>Una pasada de robot Es la caña.El mapeo funciona muy bien.El suelo lo deja impecable.Super sencillo de utilizar.Se me conecto al wifi en sengundos. Pensaba que a la hora de fregar no lo haria bien, me  sorprendio de lo bien que lo hace. Si lo llego a saber me lo hubiera cogido hace tiempo, me ahorra muchisimo tiempo en limpieza, lo mando a donde yo quiero y cuando quiero. No se vuelve loco sigue su patron de limpieza a la perfeccion.</t>
  </si>
  <si>
    <t>Collar Buen producto</t>
  </si>
  <si>
    <t>Elegante reloj Muy contento con el reloj para hombre, muy detallista y minimalista, loque lo hace muy elegante y a un precio muy bueno. Dispone de dos manecillas de color rojo, enfatizandose con el fondo negro. No pesa mucho y queda muy bien con cualquier tipo de ropa para combinar. En definitiva, muy contento.</t>
  </si>
  <si>
    <t>Ligero y muy bonito Esta muy bien por el precio que tiene y es muy bonito</t>
  </si>
  <si>
    <t>Buena calidad Le falta el manual de instrucciones. Al día de hoy, el micro ha dejado de funcionar. He comprado otros igual porque me gusta.</t>
  </si>
  <si>
    <t>Perfecto Perfecto. Tal y como se describe. Buena compra</t>
  </si>
  <si>
    <t>Práctica y accede a casi cualquier sitio En el título pongo que es práctica y accede a casi cualquier sitio porque realmente creo que es un acierto. Es pequeña, con  lo que puedes meterla por debajo de muebles (muebles que tengan patas o hueco, claro), llega a esquinas, etc. Además, el mango es de los "compuestos" por tramos. Así puedes adaptarlo a tu altura o necesidad.  El sistema tiene la base de goma y eso hace que el paño recambiable no se resbale cada dos por tres y se desenganche, cosa que pasa con otras mopas de este tipo. Además, es una base blandita para evitar golpes contra muebles y demás.  Los recambios son acolchados y además absorbentes, por lo que puedes utilizarlo sobre superficies húmedas.  La recomiendo sin duda.</t>
  </si>
  <si>
    <t>Comodísimos La comodidad de carga en la misma caja, la estética del producto, su calidad de sonido y una comodidad de uso que para mí era muy importante (y dificil de conseguir para mí), hacen que esté muy satisfecha con la compra. Lo recomiendo un gran artículo.</t>
  </si>
  <si>
    <t>. Suave y ligero</t>
  </si>
  <si>
    <t>Llegas a todas partes gracias al mango Al verlo en foto me esperaba que fuese más pequeño, pero es grandecito. Buscaba un masajeador con mango porque así llego a realizar el masaje yo sola a todas partes, incluso en la espalda que es donde normalmente lo uso ya que tengo bastantes dolores. Cada cabezam cumple una función distinta, y se nota.</t>
  </si>
  <si>
    <t>Puntero laser Va muy bien. Lo utilizo con windows y linux para presentaciones pasar diapositivas. El laser tiene buena luz y alcance.</t>
  </si>
  <si>
    <t>¡Muy buena! Nada que ver en absoluto con las chinas, la diferencia es abismal.</t>
  </si>
  <si>
    <t>Miguel De los mejores relojes de Casio, es un todoterreno que no se rompe nunca y aguanta lo que le echen.</t>
  </si>
  <si>
    <t>Regular Hemos recibido el producto en el tiempo estimado,  pero no me ha gustado mucho pues me parece caro para lo super pequeño que es, en la foto parecia mas grande el resto todo correcto Gracias Cristina.</t>
  </si>
  <si>
    <t>Correcto La suela me resbala  en sala</t>
  </si>
  <si>
    <t>Mala Calidad, No Funcionan Producto de mala calidad! los comandos de volumen no funcionan... cuando los conecto al movil no se oye y hay que quitarlos y volver a ponerlo hasta que lo coge.... muy decepcionado, se que el precio es barato pero esque es una estafa, ademas que compré 2 unidades y en los dos presenta los mismo fallos... no valen para nada.</t>
  </si>
  <si>
    <t>no es solido la cosa de plastico transparente siempre se rompe a</t>
  </si>
  <si>
    <t>Muy conveniente Fácil de usar, pequeño y resistente, es un pen drive muy conveniente para llevar en un pequeño bolsillo para cualquier poder usarlo en cualquier momento, lo malo es que es USB 2.0 y es algo lento, pero para pasar unos cuantos documentos es suficiente.</t>
  </si>
  <si>
    <t>Reloj perfecto Destaca por su sencillez de líneas, al llevar sólo lo básico lo hace más fácilmente leíble. Con un índice de fiabilidad y exactitud por encima de su precio. En fin un diseño elegante por un precio más módico.</t>
  </si>
  <si>
    <t>Cumple su función Lo he comprado para colocar apuntes y está bastante bien, además tiene 3 posiciones. La única pega es que la parte de abajo que sujeta los apuntes/libro venía suelta (adjunto foto), pero es algo que puedo solucionar con un poco de pegamento, y que en mi caso viene una parte del metal arañada (adjunto foto). Pero en relación calidad-precio está muy bien para lo que lo quiero.</t>
  </si>
  <si>
    <t>Cumple perfectamente con su función Un hervidor de agua que cumple a la perfección.  Es elegante y sencillo, el nivel de agua es transparente, lo cual facilita mucho el llenado si es para cosas concretas (como para llenar una bolsa de agua caliente cuando sabes de qué capacidad es la bolsa).  En casa lo usamos para todo, incluso para evitar la espera de que arranque a cocer el agua de cocción para unos macarrones, por ejemplo, ponemos la tetera en marcha mientras preparamos los ingredientes, la olla, etc... y cuando te quieres dar cuenta el agua la tienes ya hirviendo, en el fuego arranca en un pis pas tras haber sido calentada en la tetera.  Un detalle muy curioso y que no tengo ni idea de porqué pasa, es que el agua calentada en tetera dura mucho más tiempo caliente que la calentada al fuego o al microondas, yo me pongo bolsa de agua en la cama y dura muchísimas horas caliente.  La relación calidad/precio está bastante bien, dentro de la media-baja de precio, lo cual es un incentivo adicional a su practicidad.</t>
  </si>
  <si>
    <t>Práctico y buena calidad La funda para proteger el biberón de vidrio es muy buena idea. Mejora la adherencia de la mano y de paso prolonga la duración  del calor de los líquidos. En contra... pues que había visto la funda en un bonito color gris con remates amarillo-verdoso y luego llega de otro color. No está mal pero creo que debería coincidir la imagen web con el producto que llega a casa.</t>
  </si>
  <si>
    <t>Cadena Esta muy bien y la calidad es excelente estoy muy contento con la cadena era un regalo para mi madre y es muy bonita y de muy buena calidad la recomiendo</t>
  </si>
  <si>
    <t>La sudadera fenomenal La sudadera fenomenal, es muy calentita, de tamaño bien, talla un pelín más grande que otras tallas, pero yo pedí una talla M que es la que usa mi marido y le queda bien. Calidad muy buena y un precio aún mejor</t>
  </si>
  <si>
    <t>Esta bien Buena marca, buen producto, a buen precio yo lo compre porque tenia buen precio aunque reconozco que voy a tener cinta para mucho tiempo pero para pequeños comercio se lo recomiendo que lo compre ya que se corta con facilidad y es de calidad.</t>
  </si>
  <si>
    <t>Bonito reloj tal cual foto Compré el reloj para un regalo y quedamos contentos. Muy bien embalado y con caja muy bonita que vino ideal para tal fin. Muy bien presentado dentro de su caja con sus etiquetas y todo nuevo. Tal cual la descripción del reloj en el peso, 5 bares, diámetro de circunferencia,  etc... Sobra quitar un eslabón nada más para ajustarle mejor a la muñeca y es lógico para quien tenga muñeca más grande...  eso es normal cuando compras un reloj sea donde sea. Perfecto !!</t>
  </si>
  <si>
    <t>Mochila Cruzada Todo correcto!</t>
  </si>
  <si>
    <t>Estupendo Lo he comprado para mi porque el tamaño me ha parecido adecuado y he acertado, es bastante liviano pero se ve chulo y casual a la vez que deportivo. Calidad casio</t>
  </si>
  <si>
    <t>Cómodos Zapatos cómodos y bonitos, útiles para el día a día y para practicar deporte</t>
  </si>
  <si>
    <t>Útil para manualidades y estudiantes Pues nunca había usado ninguno y me ha resultado muy útil y fácil de usar. He impreso unas tarjetas y con tijeras el acabado no era lo perfecto que esperaba, con este cacharro el corte es perfecto y rápido.</t>
  </si>
  <si>
    <t>Muy cómoda, una buena compra Es un bolso_mochila ideal para llevar lo necesario , yo la uso para ir al trabajo y llevo documentación,  agua, disco duro....es  muy cómoda  y el envío  llegó  rapidísimo.</t>
  </si>
  <si>
    <t>WD nunca defrauda. Yo soy un fan incondicional de WD, la verdad que para mi son de los mejores discos duros que hay, este tiene un precio muy bueno para los 4 TB de almacenamiento, son 5400 rpm que alguno le puede parecer poco, pero al ser un disco que yo uso solo para almacenar, prefiero que sea así ya que los discos a 7200 rpm son un poco mas rápidos pero también tienen un desgaste mayor.</t>
  </si>
  <si>
    <t>Muy contento Súper ligeros  y cómodos lo recomiendo</t>
  </si>
  <si>
    <t>Batidora de mano Las 3 b la mejor hasta ahora calidad precio todo buena maquina</t>
  </si>
  <si>
    <t>Muy bueno sin duda! Año nuevo cables nuevos! He estado probando este cable por unos dias y me ha encantado! El color azul es mi favorito y ademas al ser de tela no se hacen tantos nudos. La calvija que va a la guitarra tiene angulo y asi evita que se doble demasiado el cable y se rompa antes de lo debido! Encantado!</t>
  </si>
  <si>
    <t>DESPERTARES AGRADABLES!! Reloj despertador con diferentes funciones.... me encanta los sonidos del despertador, siempre usaba el típico sonido de despertador, pero con este reloj el despertar se hace más agradable, pongo la alarma y configuro el sonido y las luces, que me encantan ponerla para que antes de que suene la alarma, enpieza las luces desde rojo amanecer a hasta La Luz amarilla simulando el día...el despertar es más agradable... a parte también configuro por si hay días que no puedo dormir... el sonido del arroyo, que es tan agradable que acabas cogiendo el sueño rápidamente... diferente Luces, sonidos, alarmas... me ha encantado!!!</t>
  </si>
  <si>
    <t>Insuperable Recomiendo no hace ruido y es una maravilla además trae aceite lavanda y ya se pude usar al llegar no hace falta comprarlo Le doy un 10</t>
  </si>
  <si>
    <t>Impresionante Microfono con una calidad muy muy buena. Que decir que este pedazo de microfono lo uso muchos para hacer Gameplays o Vblogs y la calidad es excelente. EL precio un poco alto pero teneis que ver que la calidad del producto es muy buena. Yo venia de uno Ice Blue de la misma marta y no veas como se nota la diferencia del sonido muchos amigos me lo dicen.  Yo recomiendo este producto 100%.....  Blue Yeti Microfono Plateado | Unboxing | Rewiew | Español | [...]</t>
  </si>
  <si>
    <t>Buena calidad Compre este microfono para mi hermano  que llevaba tiempo pidiendo, suele hacer covers muy a menudo, y necesitaba un microfono que fuese de calidad, y este sin duda lo es. Además es un kit muy completo viene con todo lo necesario para ponerlo en marcha desde el primer momento.</t>
  </si>
  <si>
    <t>Ideal Para lactancia mixta Los mejores que tengo ya que no gotea hasta que el bebé chupe, los otros que tengo sale tanto apenas inclinarlo que a mi bebé no Le da tiempo de tragar y se le sale por todos lados</t>
  </si>
  <si>
    <t>Todo Vaya reloj vacilón, no hace falta decir más</t>
  </si>
  <si>
    <t>tarda mucho en sellar prefiero el Slime sella mejor que esto</t>
  </si>
  <si>
    <t>Un collar bastante original Collar sencillo de color dorado tirando más a cobrizo. Además del collar viene con unos pendientes y una cadena del mismo color que el collar.  Viene presentado en una caja como puede verse en la foto, muy bien embalado y protegido, ideal para un regalo o para el día de la madre.</t>
  </si>
  <si>
    <t>Buena calidad, pesadas y algo grandes Son un poco más pesadas de lo que imaginaba y también me quedan algo más grandes por la parte de adelante sobre todo. (yo uso 11 americano 45Eu) Producto original.</t>
  </si>
  <si>
    <t>Estafa No llevo usándolas, ni siquiera de forma diaria y ya se han roto. Mi mujer tiene unas originales y lleva años con ellas. Me habéis estafado, a mi y a todos los que le han comprado a este vendedor.</t>
  </si>
  <si>
    <t>Disco Basura Un desastre, fatal en el Pc consume tanto voltaje o intensidad que casi bloquea el pc. En la wii no lo reconoce ni en el formato de la wii. Compra nefasta</t>
  </si>
  <si>
    <t>Descripción tal cuál, puntalidad en la entrega Aún no lo he probado, pero si lo he instalado, es bastante grueso elegí el de 2,5mm. Si lo vais a meter en un tubo corrugado ojo, ya que solo entran 2 cables por tubo (en un año normal) por lo demás sin problema, envío rápido, bien empaquetado.  Todo esto a falta de prueba de sonido, que será subjetiva ya que depende del equipo que monte.</t>
  </si>
  <si>
    <t>Un regalo genial! La verdad es que el resultado ha quedado muy bien. Lo hice con bastante prisa y podía haber quedado mucho mejor, pero incluso con poco tiempo he conseguido montar un buen regalo de aniversario. No he usado todo lo que venía con la caja, así que no he puesto tantas fotos, y aún así a mi marido le ha encantado la sorpresa. La única pega es que la caja me llegó bastante chafada!</t>
  </si>
  <si>
    <t>Perfectas Estás mallas son super cómodas muy ligeras y no dan nada de calor perfecta para hacer deporte con ella altamente recomendable.</t>
  </si>
  <si>
    <t>Muy bien para llevar lo indispensable. Lo tengo casi un mes y todo funciona bien (cremalleras y cosidos). para llaves, gafas, carteras, movil, bolsa de plastico para ir a comprar y hasta una botella pequeña de agua.</t>
  </si>
  <si>
    <t>Cumplen con lo que esperaba Son cómodos No me gusta que se plieguen Cuesta un poco emparejarlos con un aparato Los uso para escuchar la TV sin molestar</t>
  </si>
  <si>
    <t>👏👏 Muy rápido. Y perfecto</t>
  </si>
  <si>
    <t>Buen producto Producto adecuado a las características, igual que en la foto</t>
  </si>
  <si>
    <t>Perfecto todo. Iguales a la foto. Marca original. Respecto a la talla es cierto que tallan un poco grandes pero no llega a ser tan grande como un número más en mi caso. Yo pedí mi número de siempre y me van bien, si hubiera pedido un número menos iría incomoda por pequeñas. Respecto al vendedor: envío muy rápido.</t>
  </si>
  <si>
    <t>Bueno como siempre precio calidad muy bueno.</t>
  </si>
  <si>
    <t>Muy bonita Una cartera muy bonita con el logo bordado y cumple muy bien su función por lo que es perfecta para su función</t>
  </si>
  <si>
    <t>Bonita Bonita</t>
  </si>
  <si>
    <t>Calidad asegurada Yo uso un 40 en zapato y 41 en zapatillas. Con las Converse uso como en zapatos, 40. Son originales y venían en su caja, todo perfecto.</t>
  </si>
  <si>
    <t>Buena decisión Aunque tiene muchos compartimentos acostumbro a usar siempre el grande pero es muy funcional. Considero acertado el espacio reservado para el móvil puesto que llevando la mochila puede llegarse a escuchar el timbre o vibración de la llamada. Estoy muy satisfecho y en verano, cuando no llevo chaqueta, la uso a diario.</t>
  </si>
  <si>
    <t>Segura. Puedo quedarme dormida con la manta encendida porque una hora después se apaga sola. La recominedo mucho.</t>
  </si>
  <si>
    <t>comodos son zapatos muy cómodos y se ven bien fabricados..muy recomendable</t>
  </si>
  <si>
    <t>Todo Quedan como un guante</t>
  </si>
  <si>
    <t>Lo recomiendo Muy bien lo recomiendo</t>
  </si>
  <si>
    <t>Perfectas. Fueron para regalar y llegaron a tiempo y todo perfecto. Muy cómodas y quedan como indica la talla. Ningún pero.</t>
  </si>
  <si>
    <t>Pack completo Es muy completo, es micrófono, altavoz en uno. Trae conexión para tarjetas microsd y cable jack auxiliar. La apariencia es muy bonita, rosa y blanco. Se puede vincular por bluetooth. Tiene función de eco. La calidad del altavoz es muy buena. Suena muy nítido el sonido.</t>
  </si>
  <si>
    <t>Valen la pena Geniales y elegante</t>
  </si>
  <si>
    <t>útil. Lo compramos como regalo para mi madre que últimamente no va muy bien de la espalda y parece que le ha gustado. Es bastante fácil de utilizar y no pesa mucho. Estamos contentos con el resultado.</t>
  </si>
  <si>
    <t>es muy delicado me ha encantado es chulisima</t>
  </si>
  <si>
    <t>calidad precio buena relación calidad precio, justo lo que esperaba</t>
  </si>
  <si>
    <t>Los mejores auriculares que he probado son bestiales una cancelacion de ruido increible (solo oiras el silencio).....estoy enamorado de la supercalidad de audio que tienen estos sony que buena compra hice con ellos ...no pesan nada no molestan nada al oido y 30 horas de bluetooth una pasada muy recomendable .....y amazon lo envia todo en perfecto estado bien precintado y nuevo.</t>
  </si>
  <si>
    <t>La tapa ajusta demasiado. La tapa ajusta demasiado y cuesta sacarla.  No está mal, pero no es de la calidad esperada. Está fabricado en China y tengo por norma no usar utensilios de cocina fabricados fuera de la UE.  Tenéis un colador de té fabricado creo que en Alemania (CHG3388-00) que está mejor acabado y es más barato – también viene con su caja -.</t>
  </si>
  <si>
    <t>No es muy bueno Falla muchísimo</t>
  </si>
  <si>
    <t>Lleva golpes No me ha gustado porque lleva diversos golpes visibles. Uno de los cuales produce cortes al cogerla.</t>
  </si>
  <si>
    <t>Rotos Después de un año de uso a poco volumen, uno de los altavoces dejó de funcionar, por no hablar de que el cable se soltó de su auricular a los pocos meses de uso, sin meter un sólo tirón.</t>
  </si>
  <si>
    <t>Mal sonido cuando corres Son cómodos, y no se caen de la oreja, (los uso para hacer deporte). El envase bien, y lleva recambios para el auricular. PEro la calidad de sonido es mala, (especialmente cuando empiezas a correr, se oye un zumbido acompasado con las zancadas de la carrera). No los recomiendo para correr</t>
  </si>
  <si>
    <t>Bastante bien Para lo que vale esta bastante bien</t>
  </si>
  <si>
    <t>lo que necesitaba Sencillo, con las funciones que necesitaba, fácil de usar, precio ajustado; lo que buscaba. Pendiente de comprobar si necesita mucha exposicion solar.</t>
  </si>
  <si>
    <t>Ok Dispensador de celo muy recomendable por su magnifica relacion calidad precio y al estar fabricado con materiales resistentes y manejables buen acabado.</t>
  </si>
  <si>
    <t>Alivio del dolor de espalda Me gusta el sistema que tiene de colocación y sobre todo el alivio gracias al calor que desprende durante horas. Cambiaría un par de cositas por un lado suavizaría el tipo de tejido que lleva porque es algo duro en los extremos y raspa un poco en la piel. Por otro lado estaría bien que esa dureza la tuviera una parte donde debe agarrar tipo velcro porque parece algodón y si se despega un poco ya no sujeta bien</t>
  </si>
  <si>
    <t>Buena compra Muy buen producto , de buena calidad y bonito , cómodas , para darles caña ! La talla es la que lleves normalmente</t>
  </si>
  <si>
    <t>muy comodo Es una manta eléctrica muy acogedora, con la que puedo disfrutar calentito en el sofá o en la cama en las frías noches de invierno. La calidad es excepcional y el tacto, muy suave. La dimensión es amplia, calienta muy rápido y es muy segura. muy contento de la compra.</t>
  </si>
  <si>
    <t>Producto perfecto Un producto realmente genial que funciona de maravilla! Lo recomiendo (relación calidad precio muy buena). Facíl de usar, 4 temperaturas, rapidó,...).</t>
  </si>
  <si>
    <t>100%100 profesional Buena herramienta</t>
  </si>
  <si>
    <t>Pendrive guay Fue una buena sorpresa porque a veces algunos pendrive no tienen muy buena calidad en aspecto y finiciones, ese troco de chocolate si, parece real jeje, y funciona bien</t>
  </si>
  <si>
    <t>Para su funcionalidad perfecto Calidad precio recomendado</t>
  </si>
  <si>
    <t>Fenomenales Encantada con el producto.</t>
  </si>
  <si>
    <t>Fantástico bolso lona Bonito bolso para hombre. Cuando lo abres observas la calidad del tejido y los remates en piel. Tiene muchos apartados. Ideal para llevar siempre, tiene cabida para tablet, libros, todo tipo de tarjetas y documentación. Es cómoda y apenas pesa. Totalmente satisfecho con la compra.</t>
  </si>
  <si>
    <t>Excelente Desde que la compré no he dejado de usarla. Es fácil de usar y sobre todo de limpiar. Una gran compra</t>
  </si>
  <si>
    <t>Alivio de contracturas. Compré el masajeador porque tengo el  cuello y las cervicales fastidiadisimos, y el resultado está siendo bastante bueno, alivia los dolores aunque en el momento duela cuando está trabajando en mis contracturas. Es muy fácil de manejar e intuitivo, aunque un poco lioel ponertelo,coger la postura, darle al botón con la mano, y volver a coger postura con el aparato en marcha.</t>
  </si>
  <si>
    <t>el mejor de todos muy buen papel, siempre la calidad y acabado garantizado</t>
  </si>
  <si>
    <t>Muy práctico No me a gustado ..me encantó,adaptado genial , comodidad en ejercicio,alto de tiro,como yo quería,reforzado donde más se necesita ...lo llevo agusto</t>
  </si>
  <si>
    <t>Cómo esperaba Muy chulas y de calidad excelente</t>
  </si>
  <si>
    <t>Fabuloso ¡Lo recomiendo! Envío muy puntual y muy bien embalado. El masajeador es espectacular.</t>
  </si>
  <si>
    <t>Práctico Usado para bolsillo de uniforme en el hospital y no manche los bolígrafos</t>
  </si>
  <si>
    <t>Es un gran producto El producto es muy bueno, el sonido es completamente audible, es muy bueno para usar en deportes, ya que no tiene lana y puede hacerte sentir libre. El producto viene con dos auriculares y una caja almacenable que se puede cargar, y la batería se puede usar simplemente colocando la caja en el zócalo con el cable suministrado con el producto. Muchas veces, uso ha todas las noches, pero todavía no necesito recargar. Es muy guapo, muy práctico y fácil de iniciar sesión a través de su teléfono móvil. Realmente recomiendo este producto, planeo comprar otro como regalo.</t>
  </si>
  <si>
    <t>compra estupenda buena calidad/ precio. tiene mucha potencia. el formato es un poco inestable pero bonito</t>
  </si>
  <si>
    <t>Un poco decepcionado sobre todo por el micro Lo he estado probando y al final no me ha gustado. Yo lo he usado para guitarra y cantar. El sonido de la guitarra bastante bueno, pero el micrófono es mala calidad y nunca pude controlar que se acoplara. De hecho, solo tiene un regulador de volumen y la opción de echo, que se traslada tanto a la guitarra como al micrófono, imposible de ajustar</t>
  </si>
  <si>
    <t>Zapatillas normales No llevan gel en la suela así que son cómodas pero lo podrían ser más</t>
  </si>
  <si>
    <t>Excelente calidad. Volumen bajo para usar en un samsung s9. El sonido es excelente sobre todo en lo graves pero para el uso que les quería dar no me valen. Son unos excelentes cascos para oir en un equipo hifi ( los he probado en mi equipo Denon con vinilos y el sonido es perfecto). Sin embargo, para uso en el móvil (spotify) no son la mejor opción ya que el sonido no es demasiado alto( al menos con un samsung s9) y no hay manera de subirlo en los ajustes. Como digo el sonido es cristalino y los graves son perfectos y sin distorsión pero para mi gusto suenan bajo ( y no estoy sordo).</t>
  </si>
  <si>
    <t>Instrucciones Me ha faltado unas instrucciones con algunas propuestas de creación</t>
  </si>
  <si>
    <t>Humificador, se enciende pero no sale vapor No sale vapor, se enciende pero nada de vapor!!</t>
  </si>
  <si>
    <t>Fiasco Tengo un micrófono behringer c1U y para nada es compatible , una rosca que no rosca bien lo que deja el micrófono bailando (no se queda fijo) no recomiendo en absoluto este artículo si tienes dicho micrófono .</t>
  </si>
  <si>
    <t>Buena tarjeta Sin duda la mejor tarjeta de memoria que he tenido hasta ahora. Es rápida (no tanto como dicen las especificaciones) pero cumple con su cometido perfectamente. Viene bien protegida.  No me ha dado ningún problema todavía después de varios meses de uso.</t>
  </si>
  <si>
    <t>Talla perfecta Fueron un regalo y la talla es perfecta a la de la persona a la que iban. Llegaron justo a tiempo. Son muy transpirables y cómodas, eso si, si les vas a meter mucha caña tampoco se van a durar muchísimo. Por el precio tienes lo que esperas.</t>
  </si>
  <si>
    <t>Que llegue a tiempo y no como el mio que tardo mas de lo acordado. Es bueno para la natación, cumple con lo prometido.</t>
  </si>
  <si>
    <t>Masaje Buen producto para masajear</t>
  </si>
  <si>
    <t>Buen soporte En mi caso devueltos porque no tenia como enlazar con mi microfon, pone que es estandar y microfono es estandar pero no habia forma de enlazar. Asique fijate que tengas la rosca correspondiente</t>
  </si>
  <si>
    <t>Alivia el Dolor. Muy fácil de usar. Efectivo Mi padre, ya mayor,cesta encantado. Le Alivia Muchísimo el dolor, se evita tomar medicación. La Salud  es lo más importante. Muy fácil de usar .</t>
  </si>
  <si>
    <t>medias de calidad Lo suficientemente largas y de calidad.</t>
  </si>
  <si>
    <t>Lo que buscaba Queda genial y le da muy buen ambiente a la casa en realidad lo recomiendo</t>
  </si>
  <si>
    <t>Original y buena relación calidad/precio Me ha resultado original y ha cumplido su función. Lo he usado para una boda al atardecer en la playa combinado con un vestido burdeos y un arreglo de flores preservadas en los mismos tonos. Hay que cuidar al quitárselos que no se salgan las flores, que se deslizan fácilmente por los extremos  (la única pega)</t>
  </si>
  <si>
    <t>Eficiente Cumple con lo descrito. Buen tamaño y su peso ayuda a hacer mejor presión. Es fácil de utilizar con una mano para una persona de fuerza normal y suficientemente largo.</t>
  </si>
  <si>
    <t>Me encantan. Son chulisimas, comodisimas y el cierre es perfecto.</t>
  </si>
  <si>
    <t>Producto de Calidad Color, talla y material  excelentes, buenos acabados y muy comodadas.</t>
  </si>
  <si>
    <t>Juli Muy cómodos, un poco justo de adelante pero en dos días se adapto al pies, todo perfecto buena calidad y buen precio</t>
  </si>
  <si>
    <t>Contentísimo con la compra Es muy cómodo, tiene buenos materiales y veo esencial que puedas usarlo sin manos. Este masajeador es ligero, de un material aparentemente de calidad y con buenos acabados. Lo he utilizado en varias zonas del cuerpo y la sensación es muy buena después, ideal para relajar los músculos después del ejercicio. En definitiva volvería a comprarlo con los ojos cerrados. Contentísimo con la compra.</t>
  </si>
  <si>
    <t>Siempre Under Armour He probado muchas mallas compresoras de muchas marcas y siempre he acabado comprando Under Armour, vale la pena esperar alguna oferta, es un producto de calidad y duradero, las únicas que han aguantado tanto han sido de la marca Skin, pero tengo varias de UA y siguen con el nivel de comprensión que otras con el paso del tiempo y el desgaste van perdiendo. Muy contento y con un precio excelente.</t>
  </si>
  <si>
    <t>Edito: Todo perfecto En el pack faltan dos tetinas y sus tapas. Es decir, la parte superior de dos biberones no viene. En las fotos y descripción del producto vienen completos los 4 biberones del pack. Espero recibir noticias y poder modificar este comentario porque me hayan dado una solución.  Edito el comentario anterior: me han hecho un reemplazo del producto y todo perfecto tal y como viene en la imagen. Me alegro de la solución y la rapidez. Los biberones como siempre la marca mam no defrauda en cuanto a calidad</t>
  </si>
  <si>
    <t>Excelente Me llama la atencion la rapidez de enlazamiento que tienen los auriculares con el dispositivo movil que estemos utilizando, se conectan en cuanto los sacas del estuche.  Usandolos sin parar a un volumen medio-alto me parece que aguantan  unas 4 horas de uso. para tener la batería otra vez a tope hay que esperar aproximadamente una hora.  Diseño ergonomico in-ear, soy un poco sibarita con esos detalles y estos auriculares en concreto se adaptan bien y no molestan y tienen una cancelacion de ruido elevada.  Me gustaria que hubiera mas diseños de diferentes colores.</t>
  </si>
  <si>
    <t>Cómodas y agradables Muy cómodas</t>
  </si>
  <si>
    <t>Perfect Perfect</t>
  </si>
  <si>
    <t>Después de 6 meses de uso intensivo en un servidor sigue perfecto Tal y como explico en el título, el disco duro lo estoy usando de forma intensiva desde enero del 2017 y estando a julio del 2017 sigue funcionando a la perfección.  Un disco duro muy recomendado.</t>
  </si>
  <si>
    <t>Practica, ligera y potente &lt;div id="video-block-R1BW9XCQ9PXPJI" class="a-section a-spacing-small a-spacing-top-mini video-block"&gt;&lt;/div&gt;&lt;input type="hidden" name="" value="https://images-eu.ssl-images-amazon.com/images/I/81nwmaKDfTS.mp4" class="video-url"&gt;&lt;input type="hidden" name="" value="https://images-eu.ssl-images-amazon.com/images/I/811DTFT18wS.png" class="video-slate-img-url"&gt;&amp;nbsp;Buscaba una batidora de vaso q fuese mas comoda q mi batidora convencional.  Me decidi x esta porque me gusto la linea asi como la relacion entre funcionalidad y precio.  Pues ha resultado ser aun mejor de lo q esperaba ya q por el precio no tenia unas expectativas muy altas. Sorprendentemente a  pesar de ello, la batidora funciona de maravilla.  Es potente y muy practica, permite hacer rapidamente cualquier batido o zumo q luego puede llevarse gracias a su vaso con tapon.  La limpieza de la maquina es facil tanto con grifo (fregadero) como lavavajillas</t>
  </si>
  <si>
    <t>Comodísimos Los zapatos-botas más cómodas que he llevado en mi vida</t>
  </si>
  <si>
    <t>la mejor crema muscular que he conocido llevos muhcos años con historias muscualres: espalda, esguinces, caídas, golpes etc  y esta es la mejor que he visito, no tanto para el dolor que no es su fincion sino para "soltar" musculos"  tiene un efecto frio y luego calor que se alternan y la constractura se va soltanto pd lavarse muy bien las manos dos veces después de usarla. como todas estas cremas tiene muhco mentol y si te tocas los ojos o parter intimas conoceras el infierno</t>
  </si>
  <si>
    <t>Elimina soplidos y picos Por un precio muy ajustado un protector de sonido excelente, con doble protección, muy bueno.</t>
  </si>
  <si>
    <t>Calidad del zapato Por ser de esa marca y venir de Amazon pensé que sería original y por la calidad del zapato no creo que sea original</t>
  </si>
  <si>
    <t>Calidad Solo tiene una pega, que es un azul electrico dificil de combinar y que la esperaba un poco mas grande sinceramente. No obstante tiene varios niveles de calor, se calienta rapido y dos personas estan super agusto con ella, tiene un temporizador y a las tres horas se apaga. Es comoda y acogedora, solo que es un azul muy muy muy electrico🤙por lo demas es una gran manta electrica que te ahorrara un dinero en calefaccion 👏👏👏👏</t>
  </si>
  <si>
    <t>Frescor x segundos para ojeras como que no funciona Se secan muy rápido y apenas se nota el cambio</t>
  </si>
  <si>
    <t>Una estafa y una vergüenza Una verguenza, ni un mes llevo con el y ya da problemas, al principio todo color de rosas, ahora despues de ocupar tan solo 4tb del disco 20gb de información tardan segun la estimación del ordenador, 9 horas. Menuda estafa de disco duro. Si quereis un disco duro que os dure desde luego que este no lo es. La mayor estafa que he visto.</t>
  </si>
  <si>
    <t>al principio muy bien y un dia dejó de funcionar... Me gustaba su velocidad al triturar y hacer el zumo, y su cómodo uso. Un dia dejó e funcionar... lo he usado 2 meses.</t>
  </si>
  <si>
    <t>muy bonita queda muy bien, se ajusta a todo tipo de muñeca o tobillo. Parece duradera. de momento todo genial</t>
  </si>
  <si>
    <t>Compra recomendada sino buscas gran cosa El sonido en general es muy básico,relación calidad precio está bien pero me esperaba un poco más.</t>
  </si>
  <si>
    <t>Lo que esperaba Como veis en la foto es mas pequeño de la idea que te haces con la foto del vendedor, pero al menos (y revisando otras opiniones) ha llegado y ademas es muy bonito. No creo que dure mucho con el aspecto actual pero a decir verdad, no se puede exigir mas por el precio que tiene (cuesta mas un sello para una carta de Madrid a Madrid), asi que en general, estoy contento.</t>
  </si>
  <si>
    <t>Bien. Para guardar fotos</t>
  </si>
  <si>
    <t>No muy contento con esta v2 Son las primeras 574 que no me quedan como un guante. La plantilla parece muy pobre y levanta poco el talón, así que los primeros días molesta la talonera</t>
  </si>
  <si>
    <t>Perfecta No he parado de usarla desde que me la compré,  es muy estilosa y cómoda, repetiré</t>
  </si>
  <si>
    <t>calidad precio muy bonita y elegante, buen material</t>
  </si>
  <si>
    <t>Eso está muy bien Funciona bien tiene un efecto agradable pero no esperéis gran cosa no es ningún masajista</t>
  </si>
  <si>
    <t>Hervidor portatil Esta muy bien para llevar de viaje.</t>
  </si>
  <si>
    <t>Set de aceite esencias Compraba aceites de esencias y necesitaba medio frasco para que diera olor en la casa desde que e comprado estos con unas gotas da olor a toda la casa muy contenta</t>
  </si>
  <si>
    <t>La calidad,  perfecto. Todo bien y perfecto</t>
  </si>
  <si>
    <t>Buen "vaso" No se sale con la tapa y pesa poco, es fácil de lavar y puedes usar otras terinas de nuk hasta que aprenda a beber de la que viene; mi hija de 10 meses lo usa sola fenomenal desde los 8.</t>
  </si>
  <si>
    <t>Buena calidad Todo muy bien.</t>
  </si>
  <si>
    <t>Manta La tienes que estirar bien para que caliente por toda la manta</t>
  </si>
  <si>
    <t>Excelente producto Son magníficas, muy bonitas, supercomodas y no pesan. Producto recomendable 100%</t>
  </si>
  <si>
    <t>Batidora de mano Prepara los batidos de proteínas a la perfección. Fácil limpieza y la piezas son muy sencillas de montar. Tiene cinco velocidades y modo turbo. Instrucciones en castellano.</t>
  </si>
  <si>
    <t>Una tostadora genial Estoy muy contento con la tostadora. Tuesta muy bien el pan, admite panes largos y gruesos, y tiene un diseño muy bonito.  Hay que tener en cuenta que es bastante grande, pero nada que decir en su contra.</t>
  </si>
  <si>
    <t>Buen producto a buen precio Por suerte a pesar de llevar mentol, no pica en exceso: derrota la boca realmente fresca. El traslado es grande 1 litro), y supongo que por eso sale tan económico. Comparado con farmacias y otros comercios, el precio es perfecto</t>
  </si>
  <si>
    <t>Comodo Cómodo y con buena sujeción</t>
  </si>
  <si>
    <t>Buenas zapatillas Perfectas zapatillas, son comodas y se ajustan muy bien, falta probar en varias rutas, pero de momento hay buenas sensaciones, espero que siga asi.</t>
  </si>
  <si>
    <t>BUENA RELACION CALIDAD-PRECIO Tiene buena calidad y acabado.Recomiendo usar grapas de calidad (Petrus o El casco), para que el grapado sea perfecto.Merece la pena.</t>
  </si>
  <si>
    <t>Bastante bien Está muy bien para ser tan pequeña: 1,8cm.</t>
  </si>
  <si>
    <t>Decepcion. Compre este producto, por que pense que seria comodo, pero no lo es, es como si levara unos cascos en las orejas, y eso que tengo grande la cabeza, la bateria no dura lo que dice la descripcion, el sonido es normal, la conexion es normal, en fin, por el precio que tienen, esta bien.</t>
  </si>
  <si>
    <t>Muy bien Una cadena muy finita y elegante, parece de buena calidad.  EDITO: Se me ha roto al cabo de sólo un mes :(</t>
  </si>
  <si>
    <t>Lo siento, fue una mala compra. Había tenido hace muchos años uno que me funcionaba aceptablemente, por eso lo compré. Pero esta vez no acerté. Lo siento, no me funciona bien.</t>
  </si>
  <si>
    <t>Género malo Es un pantalón que abriga, pero me veo obligada a modificar la opinión que di en su día. Tras cuatro días todo el género queda rozado y con bolas. Un desastre.</t>
  </si>
  <si>
    <t>Reloj correcto,caja desastrosa e inútil. El reloj es como se describe, me gusta y es cómodo. Lo que no me gusta es la caja.  No es de Casio, no vale para ese reloj pues ni cierra cuando lo guardas. Es una caja metálica alargada y chafada q no está diseñada para reloj como ese. Decepcionante este punto.</t>
  </si>
  <si>
    <t>Recomendable Por el precio que tiene no está mal</t>
  </si>
  <si>
    <t>Cumple con lo especificado La batidora funciona perfectamente y están muy bien los accesorios, sobre todo el que evita las salpicaduras de puré. En general buena compra.</t>
  </si>
  <si>
    <t>Satisfacción!! Bien.- prácticamente todo, buena calidad, comodidad, autonomía, en general buenas prestaciones.  Menos bien.- Sistema táctil muy sensible, a veces se activan algunas opciones por accidente. Quizá graves menos profundos de lo esperado.  Detalles igualmente, es recomendable!!</t>
  </si>
  <si>
    <t>Buena calidad Buena calidad a precio ajustado. La medida es correcta y se ajustan bien al pie. Perfectos para vestir o trabajar</t>
  </si>
  <si>
    <t>EXPERIMENTO  CON  ÉXITO Un amigo  me  trajo  un antiguo  ASUS eeePC con  un SSD de fábrica  pequeño de  capacidad  al  que  apenas  le  entraba  un  WIN XP...(nota:  el  SSD era  de  formato  PROPIETARIO  DE  ASUS...imposible  cambiarlo por  uno  mayor). Por  ello,  decidí  perder  un poco de  velocidad  de  arranque, pero  instalarle  un  WIN 7 en la  microSD y  asi el SSD  pasaba  a ser  un mero  almacé, ....EL  TEMA  ERA  NO DESPERDICIAR ese  netbook....OBJETIVO  CONSEGUIDO....luego  de  llegar  al  escritorio,  sufre  las  limitaciones  propias  del  hardaware  del netbook,  pero  no  tiene  nada  que  ver  con la  microSD,  que  ha  resultado  de  gran  calidad</t>
  </si>
  <si>
    <t>Hace su función Perfecto, vino muy rápido y bien protegido, tenia unas almoadillas muy muy secas de tiempo y las pude recuperar</t>
  </si>
  <si>
    <t>Perfecto Son muy cómodas, sobre todo en al cintura porque tienen una goma amplia. Tal y como pone  en la descripción. Llegaron además muy pronto.</t>
  </si>
  <si>
    <t>Siempre sere fiel a Tommee Tippee No uso ningún otro biberón.... soy fan de tommee tippee dado que ya voy por el tercero y aunque no recicló todos los biberónes.. les compró nuevos y siempre de la misma marca. El sistema con el agujero arriba para anti cólico es genial encima muy cómodos y vienen en otros tamaños. Después, las retinas son fáciles de encontrar . Recomiendo esto ya que es la tetina más parecida a un pezon .</t>
  </si>
  <si>
    <t>Excelente Muy bueno pequeño por fuera pero de gran capacidad por dentro y bonito</t>
  </si>
  <si>
    <t>muy bien es perfecto y vale para el agua, ademas el color es intenso duradero y el reloj en si es precioso y aguanta y dura mucho</t>
  </si>
  <si>
    <t>Biberon Es más grande de lo que yo me esperaba pero me gusta el producto.</t>
  </si>
  <si>
    <t>Son muy bonitos Bonitos</t>
  </si>
  <si>
    <t>Favorecedoras Las mallas quedan bastante bien, se ajustan, son cómodas y el tejido es de buena calidad. Lo he lavado unas cuantas veces y están perfectos</t>
  </si>
  <si>
    <t>sin duda cuando se me gasten volveré a comprar. Paño de Microfibra para Limpieza Toallas de Cocina Paños de Cocina Negro10 Unidades 30 x 40 cm,compre un paquete de10, y la verdad que contentísimo con ellos, los uso para limpiar los cristales, el polvo y demás, resisten muy bien con agua y productos químicos como amoniaco, para madera y demás, sin duda cuando se me gasten volveré a comprar.</t>
  </si>
  <si>
    <t>Util y bueno Entrega rapidisima, biberón que ya conocia, esta marca Mam me encanta porque se puede esterilizar en el micro y a mi bebe tb le gusta y como hago lactancia mixta no tengo problema entre tetina y pezón. Lo recomiendo</t>
  </si>
  <si>
    <t>muy buenas utilizo un 45 y cogí la talla 43/44 BR y me quedan perfectas  la suela no se deforma, las he llevado un montón de tiempo durante el verano y andado un montón y están nuevas</t>
  </si>
  <si>
    <t>Gran compra Son unos auriculares de muy buena calidad. Sonido en inmersión, no oyes nada del exterior. La calidad del sonido es bastante buena, mejor en agudos que en graves, donde se satura el sonido un poco. Muy recomendables. El precio es un must.</t>
  </si>
  <si>
    <t>Calidad precio bueno Buenos días, el producto mi mujer esta encantada,la verdad muchas gracias , el aroma que tiene es muy natural.</t>
  </si>
  <si>
    <t>Muy buenos Muy buenos. Ya los he comprado anteriormente y van geniales. Muy buena calidad y muy buen sonido. Siempre se parten por el cable en union de la clavija de tenerlos metidos en el bolsillo pero me han durao mas de un año. Asi q genial</t>
  </si>
  <si>
    <t>Muy cómodas Me pedí un 41 que es el número que suelo utilizar y me va perfecto. Son cómodas pero no para correr o estar mucho tiempo con ellas al ser un poco rígidas.</t>
  </si>
  <si>
    <t>Opción económica y facil Fácil de pegar. Resistente</t>
  </si>
  <si>
    <t>. No funciona muy bien</t>
  </si>
  <si>
    <t>Cartera portadocumentos El tejido es muy poco resistente</t>
  </si>
  <si>
    <t>No me gustó Lo compré porque era el que mejor imitaba el pecho bla bla. Mi hija estaba más que acostumbrada al pecho y no fue capaz de sacar ni una gota de leche de ese biberón. Incluso yo probé a succionar y me costó bastante, cosa rara ya que cuando lo ponía boca abajo caían gotas. Lavarlo era un suplicio porque lleva mil piezas y si no se montan bien no funciona. No se, a mi no me gustó nada ni a mi hija y eso que es de una muy buena marca. Para lo caro que vale esperaba otra cosa.</t>
  </si>
  <si>
    <t>No se enteran Me gusta que el producto es el q pido pero un número de zapatilla más pequeño.  No se enteraron</t>
  </si>
  <si>
    <t>Plumero para radiador Es demasiado ancho para pasar por las lamas de un radiador moderno. La mopa se sale al tirar de ella. Ya la he tirado.</t>
  </si>
  <si>
    <t>Decepcion Lo que no me ha gustado es que no me hayan avisado que el modelo superior estaba más barato que este.</t>
  </si>
  <si>
    <t>Muy bonito y de calidad. Parece buena calidad y resistente, no he llegado a usarlo, lo he devuelto porque me parecía demasiado pequeño para lo que buscaba, el tamaño normal tiene poca capacidad. Varios bolsillos que resultarán muy útiles. El que se pueda utilizar como bandolera, mochila y maleta es un plus. Como pega principal creo que sería más cómodo si se pudiese abrir más la cremallera.</t>
  </si>
  <si>
    <t>Regalo. Era un regalo para un amigo y le encantó. Es un buen reloj para caballero y las funciones que tiene son adecuadas para darle un buen uso.</t>
  </si>
  <si>
    <t>Buen genero Buen producto</t>
  </si>
  <si>
    <t>Buena compra Buena compra  muy contento</t>
  </si>
  <si>
    <t>Piel hidratada y suave Deja la piel muy hidratada, sin grasa. Ideal para aplicar dos veces al día. Por la mañana y después aplicar la crema y por  la noche, me lo aplicó sin nada más. Me encanta!</t>
  </si>
  <si>
    <t>Muy bonito &lt;div id="video-block-R26HJYWWGPG55D"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id="78" preload="auto" src="https://images-eu.ssl-images-amazon.com/images/I/B1WwyHOipPS.mp4" style="position: absolute; left: 0px; top: 0px; overflow: hidden; height: 1px; width: 1px;"&gt;&lt;/video&gt;&lt;/div&gt;&lt;div id="airy-slate-preload" style="background-color: rgb(0, 0, 0); background-image: url(&amp;quot;https://images-eu.ssl-images-amazon.com/images/I/91V1jkd9TQS.png&amp;quot;);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value="https://images-eu.ssl-images-amazon.com/images/I/B1WwyHOipPS.mp4" class="video-url"&gt;&lt;input type="hidden" name="" value="https://images-eu.ssl-images-amazon.com/images/I/91V1jkd9TQS.png" class="video-slate-img-url"&gt;&amp;nbsp;Me encantan los Humificadores, es un regalo que siempre queda bien. Funciona bien, con múltiples colores y modos de temporizador. Sin ruido ninguno. Además de dar un ambiente humificado, aporta un olor a la habitación con los aceites esenciales. Me gusta mucho.</t>
  </si>
  <si>
    <t>Profesionalidad a buen precio Lo compré como regalo para mi padre al ver que necesitaba un micrófono profesional de grabación para los programas que estaba grabando. Quedó muy contento con el resultado. Al ser un micrófono por USB, no depende de la tarjeta de sonido del equipo en el que se enchufe, por lo que cualquier equipo puede aprovechar su calidad (siempre que se use un buen software).</t>
  </si>
  <si>
    <t>Muy bueno¡ Me ha sorprendido gratamente aspira y friega en una sola pasada. Tengo.un parque duro y oscuro. Lo deja impecable¡¡¡ Nada que envidiar a Iroomba que tiene mi madre.</t>
  </si>
  <si>
    <t>Práctica y cómoda Es ligera, tiene gran capacidad, y el hecho de que sea impermeable la hace muy práctica. Muy buena compra.</t>
  </si>
  <si>
    <t>Funciona de maravilla!! Me gusta esta mini batidora porque tiene el tamaño justo para una persona y su vaso portátil es muy fácil de llevártelo y no ocupa tanto espacio como otras. La potencia es muy buena y lo tritura todo sin problemas. Viene con todo lo necesario para que te puedas llevar tu batido a cualquier parte. Fácil de usar y limpiar. Ideal para batidos individuales</t>
  </si>
  <si>
    <t>Vileda Turbo 2in1 Simplemente Vileda, nada que añadir</t>
  </si>
  <si>
    <t>Elegantes Bien presentados en su estuche, puestos resultan muy elegantes, ya que tienen una línea sencilla. Quedan bien con todo lo que te pongas.</t>
  </si>
  <si>
    <t>Comodo Lo he cogido para mi hermana que hace deporte y es bastante comodo .Es de tejido muy suave , y de talla quizás una menos mejor.</t>
  </si>
  <si>
    <t>Buena compra Buen precio, buena capacidad, buen rendimiento.  Comprada para cámara de fotos, la uso directamente con el adaptador a formato SD que la acompaña. Se nota el rendimiento mayor en tomas de ráfagas rápidas y en la grabación de vídeo HD.  Quizá no sea la gama alta en cuanto a tarjetas de memoria, pero es una marca reconocida y con un buen rendimiento. Sobre los 64Gb no creo que haga falta decir nada más que ya no tengo que llevar ninguna otra tarjeta de reemplazo :)</t>
  </si>
  <si>
    <t>Chancla de pala Son de una pieza Comodas Y bien es cierto que en verano si te mueves mucho puedes llegar a sudar pie</t>
  </si>
  <si>
    <t>Quedan muy bien Fueron para un regalo y la persona quedó muy contenta</t>
  </si>
  <si>
    <t>Rapides y eficacia a un precio razonable Pequeña, rápida y práctica. Tenia dudas de si seria endeble, pero para nada. Pica muy bien, en menos de un minuto tengo un licuado, a mi me gusta con pulpa, pero estoy segura que si se deja mas tiempo se elimina, la he usado para mezclar carnes y verduras congeladas y también va muy bien. Eso si para carne y cosas pegajosas, la limpieza es otro asunto.</t>
  </si>
  <si>
    <t>Una maravilla Ha sido probar un montón de biberones distintos anticólicos, y este es el primero que realmente cumple con los requisitos de la palabra.</t>
  </si>
  <si>
    <t>Pequeña, bien compartimentada Producto fantástico, relación calidad precio excelente, de tamaño justo para poder levar el móvil, cartera, llaves y una botella de agua. Buena calidad de costuras y cremalleras.</t>
  </si>
  <si>
    <t>Buen regalo Un collar simple pero elegante, ideal para el día de la madre, la cadena es fina pero se ve de buena calidad, ideal si no tienes idea de que regalar y quieres tener un detalle con esa persona especial.</t>
  </si>
  <si>
    <t>Pequeño y práctico para esencias Un humidificaador corriente, pequeñito y cumple su función muy decentemente. Me decidí por este por un precio un poco más ajustado y buenas reseñas, si no me convencia lo devuelvo, llevo unos días  y me lo voy a quedar. Lo utilizo para el baño, si bien no por la humedad si no por las esencias, me encanta que el baño huela a limón, con unas gotas de Lemongrass basta. Es como casi todos los demás, programas de 1 horas, 2, y 6 horas e indefinido. Se apaga cuando se queda sin agua, todo un plus. Me ha convencido. Muy bueno</t>
  </si>
  <si>
    <t>Portátil para deportistas. Compré la licuadora para utilizarla en el gimnasio y cumple con las expectativas. Funciona sin cable, por lo que es ideal para llevártela a cualquier parte sin necesidad de enchufarla. Se carga a través de un cable USB y la batería dura. La capacidad es la correcta para batidos. Otra cosas que me gusta es que las cuchillas no funcionan cuando el vaso está quitado, esto asegura que las cuchillas no funcionen y me pueda cortar.</t>
  </si>
  <si>
    <t>Excelente rendimiento y precio por Gbyte &lt;div id="video-block-R188XVZWSTPXRI" class="a-section a-spacing-small a-spacing-top-mini video-block"&gt;&lt;/div&gt;&lt;input type="hidden" name="" value="https://images-eu.ssl-images-amazon.com/images/I/91W0xIXAMzS.mp4" class="video-url"&gt;&lt;input type="hidden" name="" value="https://images-eu.ssl-images-amazon.com/images/I/91TFe9WXPkS.png" class="video-slate-img-url"&gt;&amp;nbsp;Aprovechando el Prime Day y la oferta que puso Amazon de este disco duro, lo compré a un precio más que aceptable (83 euros) en cuanto a la relación calidad precio era una oferta excelente. Ya tenía en mente comprar un SSD para acelerar mi equipo de unos 4 años y estuve barajando este disco duro Crucial y los de la otra marca con más opiniones favorables y más ventas, el SAMSUMG 850 EVO.  &lt;a data-hook="product-link-linked" class="a-link-normal" href="/Samsung-850-EVO-Disco-duro-sólido-500-GB-Serial-ATA-III-540-MB-s-2-5-34-negro/dp/B00P73B1E4/ref=cm_cr_arp_d_rvw_txt?ie=UTF8"&gt;Samsung 850 EVO - Disco duro sólido (500 GB, Serial ATA III, 540 MB/s, 2.5"), negro&lt;/a&gt;  En cuanto a las comparaciónes de las características de ambos, que podemos encontrar en los "Benchmark" que existen por la web, vemos que tienen similares características y respuestas,  por lo que cualquiera de estos dos SDD es una excelente opción para comprar, ya que en el momento de escribir estas líneas, están en Amazon al mismo precio. En el momento que bajen alguno de los dos (como ocurrió el día del Prime Day) ese sería, en mi opinión, el disco duro a elegir, si el precio es similar, quizás el Samsung es la mejor opción por los comentarios de los compradores, aunque esto último es relativo y es una apreciación personal.  En el caso del Crucial MX500 estas son:  - Incoporpora Micron ® 3D NAND. - Soporta hasta SATA 6.0Gb/s (existen tres velocidades SATA I (1.5Gb/s), SATA II (3.0Gb/s) and SATA III (6.0Gb/s)). - 560 MB/s de lectura secuencial y 510 MB/s escritura máxima. - Garantía de 5 años por el fabricante (para España sólo 3).  En el caso del Samsung 850 esta son:  - Tecnología 3D V-NAND de Samsung. - Interfaz SATA 6 Gb/s, compatible con el interfaz SATA 3 Gb/s &amp;amp; SATA 1,5 Gb/s. - Hasta 540MB/s de lectura secuencial y 520MB/s de escritura - Garantía de 5 años por el fabricante.  Otra opción es comprar el Crucial MX500 de 1Tb que tiene una relación precio/Gbyte excelente, pero era demasiado caro para mí, si el precio sigue rondando los 170 euros seguirá siendo una compra recomendable.  Experiencia de compra  En cuanto a mi experiencia de compra, puntualizo lo siguiente. En el momento de comprarlo existía dos opciones: paquete abre fácil o con caja original, un poco más caro. El paquete abre fácil consiste en que el disco duro te lo envían en dentro de un blíster de plástico con las instrucciones de uso y con un sobre de cartón, tal y como he mostrado en las fotografías. En mi opinión  algo nefasto por que no protege el producto de golpes, al menos un sobre acolchado tendría que haberse incluido, por ser el producto del que se trata, aun así llegó en perfectas condiciones.  Lo primero que hice es comprobar las horas de uso del disco duro, dicha comprobación dio por resultado que era un disco duro completamente nuevo y sin usar.  Montaje  En mi caso monté el SSD como disco duro principal de mi portátil, sustituyendo el anterior por este y el normal lo he colocado en sustitución del grabador DVD del portátil, comprando para ello un adaptador.  Como el SSD ya venía formateado realicé la instalación desde cero de Windows 10 en él, decir que si tienes licencia original digital del sistema operativo, una vez que este se instala correctamente, esa licencia digital  se actualiza y no se pierde. Teniendo de nuevo tu licencia completamente legal y activa.  Uso  Una vez montado y probado, el resultado es excepcional, se nota una enormidad el cambio de disco duro, el arranque es inmediato, la ejecución de aplicaciones, la instalación, etc., rejuvenece el ordenador en cuanto a velocidad de ejecución, es increíble lo que influye.  Es recomendable instalar la aplicación Crucial Storage Executive desde la página de Crucial, te da información de la salud del disco duro entre otras y además permite actualizar el firmware del propio disco duro de forma fácil y cómoda. Ojo, en mí caso utilizando el actualizador automático de la aplicación hizo que entrara el sistema operativo en bucle, al estropear el sector de arranque, error reconocido por ellos, solución en mi caso: volver a instalar Windows 10 de nuevo.  Por lo tanto para evitar problemas actualizar el firmware desde el propio fichero del firmware descargado, no desde la opción automática del Crucial Storage Executive.  Resumen final.  Cosas que me ha gustado  - Disco duro excelente al precio que lo compré, aun al precio actual lo sigue siendo, se nota una barbaridad el rendimiento del portátil con el instalado. - Al ser una memoria, no tiene ruido. - Al precio idéntico tanto el de Samsung como el Crucial es una excelente opción de compra. - Soporte en la web del fabricante tanto en software como en actualizaciones de firmware.  Cosas que no me han gustado  - El envío con escasa protección, aunque el producto sea nuevo sin usar, al menos un sobre acolchado sería lo ideal.  Recomendable sin dudar por la relación calidad precio que tiene y por el rendimiento excelente. En la semana que llevo de uso, es el día y la noche en cuanto a velocidad de ejecución y de arranque con respecto al disco duro normal que tenía.  Espero que esta opinión sea de utilidad.  Edición después de un mes de uso.  No he tenido ningún problema con el por ahora, ni pérdida de sistema operativo, ni sectores defectuosos ni nada por el estilo. Creo que los principales problemas que se presentan es al realizar la clonación, así que si es posible realizad una instalación desde cero del Windows 10.  Edición 28/11/2018.  El rendimiento sigue siendo el mismo, la temperatura sigue siendo baja y ninguna perdida de datos y sectores defectuoso, usado como disco principal con sistema operativo, encantado con el SSD.</t>
  </si>
  <si>
    <t>2 meses A los dos meses dejó de funcionar un canal stereo... Entiendo que es algo solucionable, por eso no le pongo una sola estrella. Por lo demás, bien</t>
  </si>
  <si>
    <t>Parece resistente Esta bie precio calidad</t>
  </si>
  <si>
    <t>Extremelly low quality audio, totally useless. Extremelly low quality audio, totally useless. For voice calls quality is bad, but you can use it, but for any kind of audio, quality is so bad, it is totally worthless. Of course, considering the price it was expected, but now it is confirmed :)  Calidad de sonido tan baja que los hace complemente inútiles. Para llamadas de voz la calidad es muy baja, pero se puede usar, pero para cualquier clase de audio la calidad de sonido es tan mala que los hace totalmente desaconsejables. Por supuesto que era de esperar viendo el precio tan bajo, pero ya se puede confirmar que es así.</t>
  </si>
  <si>
    <t>"Platiquero" Decepcionante. Se ve que es de plástico a la legua. No recomiendo su compra</t>
  </si>
  <si>
    <t>Baja calidad Baja calidad</t>
  </si>
  <si>
    <t>opinion genial</t>
  </si>
  <si>
    <t>Calidad precio increible. Este teclado me ha sorprendido muy gratamente, necesitaba algo barato y que cumpliera para un home studio, y me ha dejado totalmente impresionado, viene perfectamente embalado, e impecable, los plasticos que tiene se notan de calidad, y tiene el tacto de un sintentizador cualquiera en las teclas, lo he usado con logic pro x y va perfecto.  La unica pega que le puedo poner (y es mas por gusto propio) es la resonancia que tiene el mismo teclado, se nota que tiene espacios vacios dentro, como digo, esto es algo totalmente personal y no interfiere en la grabacion midi, como digo, calidad precio increible.</t>
  </si>
  <si>
    <t>Decentes Compré estos auriculares por la siguiente cuestión. Tuve unos Dodocool que eran fantásticos, pero al año se averió uno de los auriculares. Compré los mismos, pero mi sorpresa es que el fabricante ha ido a peor en material de construcción y calidad de sonido. Los devolví de manera inmediata.  Compré estos, que vienen en su funda redonda con todo lo necesario. Su sonido está entre los más baratos y unos Premiun. Pero me gustó los primeros Dodocool que compré.</t>
  </si>
  <si>
    <t>Para regalar genial Se lo regale a mi hermana por su cumpleaños y le encantó! Sobre todo que viene todo desmontado para que lo haga a su gusto.</t>
  </si>
  <si>
    <t>Muy útiles Son fuertes y de colores lllamativos para difirenciar los índices - se lee facilmente lo que se escribe en negro.</t>
  </si>
  <si>
    <t>¡Muy buenos auriculares por el precio que tienen! No las tenía todas cuando me decidí a comprar estos auriculares, pero la verdad es que estoy muy contento con ellos. Os dejo resumen de lo que me gusta:  CAJA - El producto viene muy bien protegido en una caja envuelta en plástico. - En el interior se incluye: manual de instrucciones, estuche, auriculares, gomas para oreja, cable de carga (USB - microUSB).  EXPERIENCIA - Los auriculares funcionan perfectamente bien y con buena calidad en los bajos. No tienen nada que envidiar a otros más caros. - La conexión Bluetooth con dispositivos Apple (que son los que tengo) funciona perfectamente (e incluso con el iPhone y el iPad te indica el porcentaje de batería que le queda). Aunque no son los que mejor cobertura tienen. Ahí tendrían que mejorar. - Las gomas se adaptan perfectamente a la oreja aunque no son rígidas sino que es una goma flexible y puede que a alguien no le vaya demasiado bien, pero en mi caso, que los uso para ir andando por la calle o por casa, más que suficiente.  En las instrucciones se explica cómo se emparejan y cómo se controlan usando los botones de encendido/apagado y volumen.</t>
  </si>
  <si>
    <t>Compra maestra Compré una Lexar Professional SDXC de 128 GB por 36€. Un chollazo. El uso que le doy es como disco de soporte insertado de forma permanente en el lector SDXC de un MacMini. La velocidad de trasferencia no desmerece la de un HHD y por ese precio hace las veces de un disco extraíble. Muy satisfecho.</t>
  </si>
  <si>
    <t>Que calentita Que agustito estoy con mi sudadera de pelito no pensaba que iba a venir asin pero me a sorprendido mucho es super suavecita y calienta un monto . Y el modelo es muy combinable con un chandal o con un pantalon . Lleva un gorro con una cuerda  y su cremallera . De calidad es buena porque la tela es gordita y suabe y de tallaje viene exacto .</t>
  </si>
  <si>
    <t>Resistentes, prácticas y ligeras Zapato de agua ligero y práctico además de resistente al agua salada siempre que se haga el adecuado mantenimiento después del uso lavando las zapatillas y dejando secar a la sombra. OJO, elasticidad elevada: yo tengo 42.5/43 de zapatillas normalmente, pero la talla 42 calza perfectamente</t>
  </si>
  <si>
    <t>Buen detalle A quien le gusten las manualidades este está muy bien. Aún estoy en proceso, pero tiene muchos apartados para colocar fotos o dedicatorias. Viene desmontado en una bolsa, pero es muy fácil de hacer.</t>
  </si>
  <si>
    <t>Perfecta Perfecto. Llegaron antes de tiempo, ajustan a la perfección y es el modelo que elegí</t>
  </si>
  <si>
    <t>Perfectas Exactamente lo que esperaba. El tamaño acorde a lo marcado, pedí un 38. Son muy cómodas y muy bonitas. Las recomiendo</t>
  </si>
  <si>
    <t>Llegó puntual Muy buena calidad</t>
  </si>
  <si>
    <t>Puma Bonitas zapatillas!</t>
  </si>
  <si>
    <t>Cahqueta Un poco pequeña</t>
  </si>
  <si>
    <t>Perfecto igual que la descripción Todo muy bien</t>
  </si>
  <si>
    <t>Nieves Calcetines de buena calidad, buen tejido y resistentes,  quedan a la perfección,  lo recomiendo.</t>
  </si>
  <si>
    <t>Perfecta Abarca todo el ancho de la mesa y queda muy protegida. Parce duradera y buena.</t>
  </si>
  <si>
    <t>Me encanta Perfecta</t>
  </si>
  <si>
    <t>Perfecto Un USB a un precio muy reducido que pude comprar el día de Prime, era justo lo que necesitaba para poder llevarme películas y otros archivos sin tener que ir con un pendrive grandote en los pantalones. Este es diminuto, de hecho lo he colocado en la llavero y pasa desapercibido. Tan solo hay que formatearlo previamente a Fat32 si quieres que te quepan archivos de mas de 3Gb como películas y demás, de lo contrario no te permitirá gravarlas, con ello se pierde un poco la velocidad de transferencia, pero se gana en que puedes transportar pelis a cualquier sitio.</t>
  </si>
  <si>
    <t>Las Dr. Martens de siempre No he podido estrenarlas, pedí mi número pero me quedaba grande. Las devolví y estoy en espera de que vuelvan a traerme un número menos</t>
  </si>
  <si>
    <t>Un clásico del zapato! Extraordinarias botas clásicas de timberland. Son un poco duras al principio, pero después de unas semanas se amoldan perfectamente. Fabricadas de una pieza. No entra agua. Botas para durar en el tiempo.</t>
  </si>
  <si>
    <t>Genial, mi vida ha cambiado! Desde que tengo estas bayetas multiuso, ahorro tiempo y puedo dedicarme a otras cosas, ya no mas perder el tiempo entre cambio de bayetas, ahora soy una persona totalmente diferente!</t>
  </si>
  <si>
    <t>Elegante y práctica &lt;div id="video-block-R1ID6LOL1U1QBV" class="a-section a-spacing-small a-spacing-top-mini video-block"&gt;&lt;/div&gt;&lt;input type="hidden" name="" value="https://images-eu.ssl-images-amazon.com/images/I/91T6ugUjAFS.mp4" class="video-url"&gt;&lt;input type="hidden" name="" value="https://images-eu.ssl-images-amazon.com/images/I/71mSXvgcAiS.png" class="video-slate-img-url"&gt;&amp;nbsp;Es un hervidor muy bonito y práctico. Muy bien calidad precio. Me gusta que sea de 1,8l el otro que tenía era de un litro y para una familia es poco y tenía que hervir dos veces agua.</t>
  </si>
  <si>
    <t>no se corresponde producto engañoso en quanto a du tamaño.</t>
  </si>
  <si>
    <t>Hay mejores opciones. Es pequeña , los bordes no asientan en la mesa se quedan como levantados, calidad baja.</t>
  </si>
  <si>
    <t>Rapidisimo Igual que en la foto me encantan</t>
  </si>
  <si>
    <t>Regulares Me los esperaba más cómodos y con más calidad de sonido y volumen</t>
  </si>
  <si>
    <t>Muy pequeña Muy, muy, pequeña, solo entra una tablet de 7" y muy justo.</t>
  </si>
  <si>
    <t>NO son originales No son zapatillas originales. La O de CONVERSE no viene con la estrella característica tal y como sale en la web oficial de Converse.</t>
  </si>
  <si>
    <t>Parece fragil La pizarra llego en tiempo y en perfecto estado, la unica pega que veo es que tiene un tablero muy endeble, pero por el precio no se puede pedir mas.</t>
  </si>
  <si>
    <t>Encuadernadora El producto llegó rápido y es muy útil para ahorrar tiempo y dinero encuadernando documentos. Su montaje y utilización es sencilla.</t>
  </si>
  <si>
    <t>Satisfactorio :) El lo referente al articulo, cumplio satisfactoriamente con lo especificado en la descripcion del producto, todo bien. Envio correcto. Aprobado :)</t>
  </si>
  <si>
    <t>Necesaria para móviles con poca capacidad. Si tu móvil es de gama media o media baja y no dispone de capacidad suficiente para todas las aplicaciones y fotos que te gustaría guardar necesitas una de estas. SanDisk es marca referencia en dispositivos de almacenamiento y esta tarjeta clase 10 te dará mas que buenas tasas de transferencia de datos.</t>
  </si>
  <si>
    <t>Unos auriculares de batalla con buena relación calidad precio Cumplen su función. La calidad de sonido es aceptable, pero teniendo en cuenta el precio no se puede pedir más.  Las llamadas con manos libres se escuchan bien.  El cable es el típico que no se suele enredar mucho, pero a cambio "retumba" al rozar con la ropa. Para evitar este efecto, se puede utilizar una pinza que viene con los auriculares y permite enganchar el cable al cuello de la camisa.  Al cabo de un par de meses de uso intensivo y trato regular, a veces el auricular derecho no se escucha, y a veces el móvil no reconoce los cascos, pero supongo que es de tratarlos con poco cuidado (golpes, arena de playa, etcétera)</t>
  </si>
  <si>
    <t>Encantado! Tamaño reducido pero realmente no se necesita mas! Perfecto para guardar en cualquier sitio. El material se ve resistente y solido, parece que aguantara mucho tiempo.</t>
  </si>
  <si>
    <t>Genial Perfecto. Tuvimos que hacer una devolución por la talla y todo fue rapidísimo. Un 10</t>
  </si>
  <si>
    <t>Bueno y barato Perfecto para regalar y barato</t>
  </si>
  <si>
    <t>Calidad Verbatim Hará cosa de un año compré este producto y decir que ni uno solo de los 100 fué a la basura, increíble. La única pega a dia de hoy, el precio, 7 euros más caro de cuando yo realizé la compra. Por lo demás, envio y embalaje correctos (MRW).</t>
  </si>
  <si>
    <t>Impresionante Reloj precioso llegó en 1 día queda muy bonito el color oro con el color negro y de la gran marca Casio</t>
  </si>
  <si>
    <t>Jesús Villalgordo A juego con los pendientes...queda fantástica la combinación de ambos. Fue un regalo de aniversario de boda y mi amiga quedó encantada con el juego de pendientes y colgante.</t>
  </si>
  <si>
    <t>Precio calidad no está mal Cabe decir que el grosor del cable es de 2,5mm,demasiado grueso para lo que quería(fallo mio)tuve que pelar cobre,el sonido muy bueno pero ojo que el cable es muy rígido y cuesta trabajar con el...</t>
  </si>
  <si>
    <t>Perfecta En el embalaje original del fabricante, con un adaptador para el ordenador, mucho espacio útil de los teóricos 32 GB iniciales. La he colocado en un teléfono Android, no me ha dado ningún problema. Muy contento, volvería a comprarla.</t>
  </si>
  <si>
    <t>Mejor Forma de revivir un Portatil o PC lento Estos SSD son indispensables para quien quiera que su PC/Portatil gane velocidad de carga, especialmente del sistema operativo si es Windows. No es la mejor marca ni la más rápida pero tienen ofertas muy buenas por los que consigues 500GB de SSD (más que suficientes para SO y algún programa con tiempos de carga largos).  Yo recomiendo encarecidamente como amante de la informática que se utilicen este tipo de disco duro y además la marca Crucial, como he dicho antes, tiene ofertas bastante a menudo muy buenas.</t>
  </si>
  <si>
    <t>Buena calidad,resistencia y diseño adecuado Buena calidad,suela resistente, cómodas y calentitas por la lana interior.Me encantan!</t>
  </si>
  <si>
    <t>Duraderas y cómodas. La talla es totalmente real y son muy resistentes y cómodas. Encima tienen como mini puntos en donde apoyas el pie por dentro para que no te resbale el pie dentro de la propia chancleta. Me parece una idea genial y son de muy buena calidad.</t>
  </si>
  <si>
    <t>Excelente Muy bien y de buena calidad</t>
  </si>
  <si>
    <t>pava con temperatura regulable La he comprado por segunda vez , la primera para mi suegra y la segunda para uso personal, ya que es excelente calidad y nos permite regular y mantener la temperatura del agua para el mate, estoy evaluando comprar una tercera para regalo , el envio super rapido y llega en perfectas condiciones.</t>
  </si>
  <si>
    <t>me gusta mucho. La relación calidad precio es buena, me gustan mucho los compré para mí y tengo que decir que estoy muy contenta, son livianos son de color oro rosa, son pequeños y muy prácticos, tengo que decir que estoy súper fascinada, me los pongo todos los días. Son muy bonitos para un relato.</t>
  </si>
  <si>
    <t>Las botas de siempre Pasada de botas, cómodas, prácticas, duraderas y chulas. Las uso siempre para outfits rockeros, conciertos.Las recomiendo sin duda tanto para chico como chica.</t>
  </si>
  <si>
    <t>Estas son tus botas No hago muchas valoraciones, pero me han encantado, me iba a Islandia en abril y compre dos, unas para mi y las otras para mi novia, pedi un 46 un numero más de lo que uso, no las habia usado nunca y resultan muy comodas desde el principio ,no me tuve que hacer a ellas, no he pasado frio y ha hecho mucho (Iba con unos calcetines de invierno), he andado mucho y además sobre nieve, sobre un rio metiendo la bota hasta bien adentro, el hielo de un glaciar con crampones, barro, de todo. Y siempre seco y cómodo. Si necesitas unas botas cómodas y que valgan para todo , amigo estan son tus botas. Mi novia esta tambien muy contenta (Con las botas)</t>
  </si>
  <si>
    <t>Volver a lo clásico con la comodidad de hoy Zapatillas preciosas. Envío rápido sino. Precio estupendo.</t>
  </si>
  <si>
    <t>El Favotito de mi hijo Después de probar varias marcas de biberones y tetinas este es el favorito de mi hijo y qué más puede decir....</t>
  </si>
  <si>
    <t>Lo recomiendo Material bueno y duradero</t>
  </si>
  <si>
    <t>Mala calidad Al sacarlo del puerto USB se suelta la carcasa. No me sirve.</t>
  </si>
  <si>
    <t>Muy cómodas pero desgaste muy prematuro Muy cómodas,pero se desgasta la suela demasiado rápido...los he comprado en agosto y ya la suela esta desgastada...solo 2 meses de uso...estoy decepcionado.</t>
  </si>
  <si>
    <t>La comodidad a la hora de hacer correra mixta Su comodidad, he hechado en falta, unas plantillas para una mejor sujeción del pie.</t>
  </si>
  <si>
    <t>No es piel auténtica y huele fatal!! Lo único que tiene de piel auténtica es una muestra que viene en el exterior, el esto es plástico. La calidad es terriblemente mala en el forro y para colmo... Huele fatal el interior del bolso, un olor químico nauseabundo. Creo que es un engaño y lo devuelvo inmediatamente</t>
  </si>
  <si>
    <t>Pffff, mírate las Sandisk Ultra antes Esperaba que fuera mejor que mi Sandisk de 32 Gb Ultra y no lo es pese a ser “teóricamente” más rápida. Me costó algo más de 20€ y luego de comprarla apreció un segundo precio de algo más de 10€ que compré y que aún no he estrenado.  No es la primera Lexar que compro pero creo que Sandisk es más seria.</t>
  </si>
  <si>
    <t>Sujección Sujeta muchísimo pero el problema como siempre cuando se usa una talla grande de sujetador (105D) es que sujeta por aplastamiento, la forma del pecho queda fea y para deportes sin mucho impacto (pilates, yoga) es más incómodo que práctico.</t>
  </si>
  <si>
    <t>Comodida Tiene buen corte ,es cómoda y la publicidad es discreta</t>
  </si>
  <si>
    <t>Buena opción A veces me ha hecho cosas raras, desconexiones porque si, ruidos raros, imagino que sería porque lo tenía conectado en los usb frontales, al pasarlo a los traseros dejo de hacerlos, pero eso si, úsalo solo como almacén ya que por usb da unos 175Mb de media que tampoco está mal, no lleva botón de encendido y yo no lo veo una mala idea, puedes ponerlo en una parte que no se vea y es como tener un disco interno ya que se enciende cuando enciendes el pc y se apaga automáticamente cuando apagas el pc igual que uno interno. Si lo pillas no te vas a arrepentir es una buena opción.</t>
  </si>
  <si>
    <t>comodidad Era lo que yo esperaba, cómodas y muy ligeras, llegaron antes del tiempo prometido, estaba preocupada por la  talla, pero ha resultado estupendo</t>
  </si>
  <si>
    <t>buen reloj tan y como lo necesitaba SOPORTA EL AGUA A MAS DE 5 METROS a mas no lo se porque yo no bajo mas de 5 mts.</t>
  </si>
  <si>
    <t>Buena calidad Yo siempre e usado esta marca y la verdad que la silicona no se ponía fea las cambiaba por el agujero que rompía propio del uso. Y comprando aquí siempre se consiguen buenos precios.</t>
  </si>
  <si>
    <t>Genial Era un poco reacia a los difusores y me decidí a comprar este y estoy encantadisima!</t>
  </si>
  <si>
    <t>Genial Es genial, a diferencia de otros que concentran el calor en el centro, esre lo distribuye por toda la manta, en cuanto lo probe dos noches le compre uno a mi madre y estamos contentisimas</t>
  </si>
  <si>
    <t>Muy bonitos Muy bonitos y no dan alergia.</t>
  </si>
  <si>
    <t>Fresco y se absorve rápido Serum en frasco con cómodo dosificador cuenta gotas de 30 ml en potecito de cristal. Es para la zona de los ojos, aunque yo me lo pongo en toda la cara. La piel lo absorve rápido  y tienes una sensación de frescor. Su fragancia es agradable. Aun es pronto para ver resultados, pero me siento la piel más flexible.</t>
  </si>
  <si>
    <t>TODO PERFECTO El reloj es más bonito que en las fotos, ha llegado todo perfecto y en fechas previstas. Recomiendo la compra y al vendedor. Gracias</t>
  </si>
  <si>
    <t>Súper buena compra Me he sorprendido. Pensé que estaría bien tener uno y ahora lo uso todos los días. Es muy cómodo, además de tener una relación calidad precio extraordinaria (es de los más baratos). Me ha encantado, el mando a distancia funciona perfectamente y las luces también. Se lo recomiendo a cualquiera.</t>
  </si>
  <si>
    <t>Buen producto Perfecta adherencia, buen producto.</t>
  </si>
  <si>
    <t>Muy cómoda Pocas veces me encuentro prendas de las que no tenga alguna queja, que si es muy ancha, que si las mangas son demasiado cortas... esta, a pesar de ser de poliéster, un tejido plástico del que huyo como de la peste, es tremendamente cómoda, calida y ligera, básicamente es todo lo que una persona busca en una chaqueta.  Vino presentada en una bolsa de plástico, simple y sencilla, en la que venía la chaqueta doblada.  La chaqueta es de un tejido ligero, muy cómodo. Cuenta con un par de gomas con pasadores para ajustarnos la chaqueta a la cintura y en el bajo.  Los bolsillos tienen un tamaño excelente y cierran con cremallera.  Las mangas van ajustadas en las muñecas gracias a las gomas que lleva.  El relleno es de guata, lo que, al ser una fibra hueca, crea una especie de cámara de aire que permite calentarla y mantener el calor fácilmente.  Es una chaqueta totalmente recomendable, aunque ojo con el color, si tienes mascotas, el negro es un iman para los pelos.</t>
  </si>
  <si>
    <t>Bien La calidad del sonido es increíble pero el cable es demasiado delgadito para mi gusto, da la sensación de ser muy delicado, aunque bien es cierto que no he tenido ningún problema hasta la fecha</t>
  </si>
  <si>
    <t>calidad buenas tarjetas y a buen precio</t>
  </si>
  <si>
    <t>Calidad Muy prácticos I fijación muy buena no hace prguras con el tiempo aguanta bien los cables.</t>
  </si>
  <si>
    <t>Híper cómodas y no transparentan Me encanta esta marca de mallas para el gimnasio. No transparentan, son muy cómodas de llevar, se adaptan a la figura, no cesan con los lavados... Merece la pena.</t>
  </si>
  <si>
    <t>Un pack estupendo Me compré el sacaleches swing de medela en versión europea, por tanto no traía la tetina calma. Comprarla por separado era mucho más caro que comprar este pack, ya que siempre se necesita tener varios biberones.</t>
  </si>
  <si>
    <t>Virginia Beck Garcia Queda como esperaba, además son comodisimos, se adaptan perfectamente, para. el verano ideal, siempre con la sensación de tener el pie sujeto</t>
  </si>
  <si>
    <t>Bien y rapido Rápido, sonido enlatado por el precio me imagino. Si puede ser hay que invertir un poco mas y comprar algo de mas calidad.</t>
  </si>
  <si>
    <t>UN DESASTRE No ha habido ocasión de comprobar su funcionamiento. Primer envío, el vaso rajado; segundo envío, cuchillas dobladas; tercer intento, cuchillas más dobladas aún.  Por fin, se decidió abandonar la compra. BUENA ATENCIÓN DE AMAZON, todo hay que decirlo.  Tienen un gran problema</t>
  </si>
  <si>
    <t>Demasiado pequeños para un adulto Demasiado pequeños para un adulto. Son bonitos y válidos para una niña pequeña.</t>
  </si>
  <si>
    <t>Sin bajos y sin volumen Para el precio que tienen esta bien, son muy bonitos y estéticos. son cómodos. Pero para mi gusto, no tienen mucho volumen y si lo pones al máximo se nota que saturan un poco los altavoces. Si no eres muy exigente puede que te gusten, pero para mi es poco.</t>
  </si>
  <si>
    <t>absorbe todos los sonidos externos Funciona fatal</t>
  </si>
  <si>
    <t>Se oyen Se oian mas o menos bien, sonido a lata. Contactaron conmigo para ofrecerme productos gratis para cambiar la valoración. Tratando que cambie antes incluso de enviarme nada.</t>
  </si>
  <si>
    <t>Bonita y parece de calidad Buena...tallas pequeñas</t>
  </si>
  <si>
    <t>Lo mas importante es que tienen un buen producto y buen trabajo  felicidades Me a gustado  la caja fuerte al llegar  pero no a podido abrirla  llevo un mes y medio sin abrirla por favor que  tengo que hacer para abrirla porque tiene las llaves y la pila dentro gracias</t>
  </si>
  <si>
    <t>Litus Las tuve en mis manos y ya se sabe que es un buen calzado, lo único que lo devolví por qué me iban pequeñas.  Pero si, lo recomiendo. Y el servicio como casi siempre muy bueno.</t>
  </si>
  <si>
    <t>CASIO MUY BONITO El reloj fué un regalo y gustó mucho,aunque tiene una pega que es, que la correa pilla un poco la piel ,los pelos,eso me ha dicho la persona que lo utiliza que es un hombre.</t>
  </si>
  <si>
    <t>Bien Para el precio...están bien y no me da alergia</t>
  </si>
  <si>
    <t>Robusta y elegante Llevo varias semanas con esta correa y estoy contento. Es robusta y elegante. Los bordes metalicos de la correa estan suavizados y no estropean las mangas de las camisas ni de las chaquetas</t>
  </si>
  <si>
    <t>Muy elegante Muy, muy bonita para el precio que tiene. Es sencilla y elegante. Atención a la longitud de la gargantilla por si se quiere más o menos larga.</t>
  </si>
  <si>
    <t>Mejor teclado para producir con portátil y Reason 9.5 Este teclado ofrece grandes funciones, y permite la producción con un portátil o Pc, fácil manejo, teclas mejoradas respecto versión anterior.</t>
  </si>
  <si>
    <t>Los zapatos han llegado en perfecto estado con la caja Clarks. Los zapatos han llegado en perfecto estado con la caja Clarks.</t>
  </si>
  <si>
    <t>Facil de usar Me encanta</t>
  </si>
  <si>
    <t>ÚTIL Y SATISFACTORIA Al ser de 150 cm de longitud se piensa que es corta. No es así, llega desde los pies a la zona donde comienza la almohada. En la posición de calor máximo sólo debe ponerse al principio, después lo ideal es al mínimo o el calor es excesivo. Conviene colocarse bajo la sábana inferior y se evita que se manche al ser de color blanco. No puedo juzgar la duración ni el resultado del lavado. Su ancho de 80 cm es suficiente para un cuerpo, sirve para cualquier cama si el usuario se coloca encima de forma individual. Muy útil.</t>
  </si>
  <si>
    <t>Me hacen un papelón!! Cómodos y discretos. Los recomiendo.</t>
  </si>
  <si>
    <t>Perfecto Muy buen precio , y cumple su funcion</t>
  </si>
  <si>
    <t>Sencillo y útil Sencillo de instalar. Una mejora notable para cualquier equipo.</t>
  </si>
  <si>
    <t>Baratos Buenos</t>
  </si>
  <si>
    <t>Una lupa potente Es un producto interesante para ver cosas realmente pequeñas, detalles, etc. Además no es un producto caro. Las entregas se realizaron en el tipo pactado y sin problemas.</t>
  </si>
  <si>
    <t>Olor natural Huelen muy bien, son olores naturales e intensos. Para humidificador van muy bien con solo unas gotitas. He probado a hacer jabón casero con edtas esencias y huelen muy bien.</t>
  </si>
  <si>
    <t>Buenas, bonitas y baratas Buenas zapatillas y un precio espectacular</t>
  </si>
  <si>
    <t>Mejores zapatillas Todo perfecto</t>
  </si>
  <si>
    <t>Todo perfecto Todo perfecto tamaño y calidad</t>
  </si>
  <si>
    <t>Sorprendido Los compré para mi pareja, ya que es muy del color rosa: No se los esperaba, cuando los vio su primera expresión fue "alaaa que chuloos ¡Se te va la cabeza! ¿Cuanto te han costado?" No se lo creía cuando le dije que 12€. Y menos cuando los escuchó. Un diseño sobresaliente, una calidad notable y un sonido que no corresponde al precio, de verdad que, calidad-diseño-precio, es de lo mejorcito de Amazon. Completamente recomendables</t>
  </si>
  <si>
    <t>fenomenal para correr muy cómodos, se sujetan bien ideal para deportes muy activos... el sonido es plano pero se escucha.muy bien, se enlazan rápido al teléfono, por objetar algo un poco grande, pero cómodos. los recomiendo para deporte</t>
  </si>
  <si>
    <t>Pequeño pero matón Lo compré con los dineros que me dio el partner de Youtube y ya he grabado algunos podcast con el. Buena calidad y fácil de llevar y guardar. Con esto serás el reportero más dicharachero de tu barrio.</t>
  </si>
  <si>
    <t>no consigo planchar no consigo planchar con ella el piloto no se mantiene encendido, a veces suelta un chorro de calor que le acompaña pérdida de agua y es un sin vivir... ¿a alguien le pasa?</t>
  </si>
  <si>
    <t>Talla M A ver, las cosas como son la tela no es excelente pero para el precio que tiene están bien. No es una decepción ni nada, en cuanto a la talla para que tengais referencia llevo la 38 en pantalones elásticos (o que ceden un poco) y talla 40 en pantalones que quedan más ajustados (Ya sabemos que el tema del tallaje depende y varía según el comerciante) Asique con esas tallas en cuenta lo que me pedí para esta malla fue una M y queda ceñida pero no me aprieta ni mucho menos , esta bien</t>
  </si>
  <si>
    <t>pequeño muy cómoda, buen acabado y no pesan nada, pero las tallas no corresponden con el tallaje europeo. recomiendo pedir uno incluso 2 números mas. he comprado dos, las primeras que me quedaban pequeñas, se las he dejado a mi hijo el cual está encantado con ellas también.</t>
  </si>
  <si>
    <t>No sienta como esperaba. Pedi una talla S es la que uso normalmente en otras marcas de deporte pero en mi caso no me sienta bien, de hombro y cinturas mas holgada pero en la cadera mas estrecha, los bolsillos quedan abiertos y no favorece, asi que la he tenido q devolver.</t>
  </si>
  <si>
    <t>Descontento con auriculares He leido en los comentarios que se escucha iguales que los verdaderos, para mi punto de vistar no se escucha para nada igual. Donde mas se diferencia es cuando suenan los bajos. No los recomendaria.</t>
  </si>
  <si>
    <t>No los volveré a comprar Para vestir son guapas para trabajo no</t>
  </si>
  <si>
    <t>Un pelin grande Me quedan un poco grande (uso la 45EU en practicamente todo tipo de calzado) quizas una 44 y medio seria lo mejor.</t>
  </si>
  <si>
    <t>Mochila casual Es una bolsa muy practica, el tamaño es lo sufuciente para llevar las cosas personales, sobretodo me gusta la forma del tirante para llevar en el pecho o la espalda.</t>
  </si>
  <si>
    <t>Buen tamaño Tamaño perfecto para lo que buscaba lo único que le salieron unas manchas que supongo que serán de cal.</t>
  </si>
  <si>
    <t>José La cadena un poco sencilla,el colgante muy bien ,viene en una cajita, calidad precio muy bien lo recomiendo para pequeños regalos de compromiso</t>
  </si>
  <si>
    <t>correcto Es un chubasquero. Relación calidad precio genial. Eso si... Un poco justo. De momento no he salido con ella a correr, pero tiene buena pinta. Echo  de menos bolsillos.</t>
  </si>
  <si>
    <t>Actualizado 15 Sep 2019 La calidad es excepcional muy buenos acabados, la costura es casi perfecta, unas zapatillas muy comodas que se hacen al pié solamente con andar un poco, no molestan en los primeros usos, quizás si hay que poner un pequeño inciso en la suela, al principio es un poco dura, pero con el tiempo acaba desapareciendo esa durez y se vuelven muy muy cómodas.  Decir que con el tiempo no pierden la forma original ni sufren deformaciones a causa del uso.  Después de algún tiempo siguen perfectamente nuevas, me encantan! Ni rorutas, ni deformaciones...etc! Una compra más que buena.  Un 10!</t>
  </si>
  <si>
    <t>Muy bien Es lo que esperaba</t>
  </si>
  <si>
    <t>Lo que les entretiene. Me encanta y los chiquillos no paran. tiene un buen sonido y se puede enlazar con tu dispositivo móvil.Esta genial.</t>
  </si>
  <si>
    <t>elegantes Las compré para un regalo</t>
  </si>
  <si>
    <t>Buena relación calidad precio Esta muy bien para ver si se interesan por la saga. A mi hija de 10 años aun Le resulta muy pesada su lectura así que esperaremos para comprar más.</t>
  </si>
  <si>
    <t>Lo recomiendo completamente Estupendo. Pedí uno, y al comprobar que era exactamente lo que quería pedí otro. Calidad precio inmejorable. Tetina suave y biberón cómodo</t>
  </si>
  <si>
    <t>El servicio que tiene. Lo cómoda que es. 👍</t>
  </si>
  <si>
    <t>Pau Para el precio esta genial lo regale y le gusto mucho lo recomiendo si tienes poco efectivo y quieres quedar bien.</t>
  </si>
  <si>
    <t>El aspirador pequeño viene muy bien. Es muy potente y manejable, llega a todos los rincones. Se limpia con suma facilidad. Lo mejor es que se puede separar en dos partes, teniendo así la opción de usarlo como aspirador de mano. Esto es muy útil para aspirar sofás o incluso en el coche. Totalmente recomendable.</t>
  </si>
  <si>
    <t>Precio calidad Mi mujer esta encantada con el.  Comparado con otros que han comprado en mi entorno este gana en precio porque en funcionamiento es igual que los mas caros.</t>
  </si>
  <si>
    <t>Relojes acordes con la época en la que vivimos, vivir en el presente. Me gusta la calidad del producto, cuando te compras un CASIO de alta gama como este y sabiendo que es tough solar sabes que no te vas a preocupar jamás de cambiar pilas, y es bastante cómodo al tener un tamaño tan compacto y ser resistente a golpes, si le pones una correa de metal mediante un adaptador especial, que se consiguen por internet, parece un reloj de salir, y es más cómodo de quitar y poner, quien dice que un reloj de vestir tiene que ser metálico, plateado, brillante, redondo y analógico, los tiempos han cambiado, estamos en la era de los relojes sofisticados, inteligentes y digitales en última instancia, como me gustan a mí, yo no tengo ni uno analógico porque no me gustan, los veo como de otra época, y me gustan los relojes con aspecto futurista, me da igual lo que piensen otras personas, yo vivo en la época actual, no en el pasado. Y solo compro relojes duraderos como los CASIO para darles caña, o los inteligentes para sentir que llevo un ordenador en la muñeca y me gusta que se vea cómo algo robótico, un pedazo de tecnología y llamé la atención.</t>
  </si>
  <si>
    <t>Practico y lindo Llego a tiempo. Muy lindo</t>
  </si>
  <si>
    <t>Pizarra Blanca  200 x 120 cm Aun que inicialmente hubo un problema con el repartidor, contacté con el proveedor y solucionaron en 1 día. El Producto es muy bueno, buena calidad y bonito. El embalajes es fantástico, viene con una protección estupenda incluída una plancha de aglomerado bastante gruesa. Lo recomiendo 100%</t>
  </si>
  <si>
    <t>Como un guante Yo ya había usado ésta marca de calzado y por tanto, al pedir este producto a Amazon, estaba razonablemente seguro de que no me equivocaría de número de zapato. Es un zapato de alta calidad,ligero, a la vez que resistente, transpirable y con la pisada super amortiguada, lo cual es beneficioso para el talón, las rodillas, la articulación de la cadera y la columna vertebral. Además para su limpieza se pone en la lavadora y ...¡ listo !. Me encantan los Skechers (^^)</t>
  </si>
  <si>
    <t>Lotus Fantastico y muy bueno llego antes de tiempo</t>
  </si>
  <si>
    <t>INCREIBLE Madre mía, no se como no los descubrí antes y no me hablaron de este modelo ni las doctoras, ni las matronas, ni las enfermeras, no es justo. Si están dando lactancia materna y han de utilizar biberón por algún motivo, que os duela el pecho, que volvais al trabajo, que el bebe no se enganche bien al pecho y le esteís dando leche materna, etc, este es el mejor biberón.  He probado antes de descubrir este biberón de Medela, otras marcas como Nuk, Avent, Poodle, Dr. Brown.... y mi bebe ha sufrido muchísimos cólicos, pero desde que descubrimos este y lo estamos utilizando, no los ha vuelto a sufrir, ha sido nuestra salvación.  HE probado otros productos que no eran de medela, tanto en biberones, pezoneras, tetinas y sacaleches y no merecen la pena, con razón hablan tanto de medela en los grupos de lactancia, merece la pena.</t>
  </si>
  <si>
    <t>Compra ideal Genial. Super potente y se limpia muy bien. Una compra fantástica. Y es muy fuerte</t>
  </si>
  <si>
    <t>MARAVILLA Venía súper bien cerrado. Cuando he pedido otros productos online me han llegado derramador por falta de seguridad en el packaging, pero esto ha venido perfecto. Trae una mini espátula que facilita mucho coger el parche. Vienen muy impregnados, huele agradable. La sensación al ponerlo sobre la ojera es súper buena, muy fresquita. (*Tip: Si los guardas en la nevera pues aumenta la sensación de frío) No se resbalan. Al quitarlo la piel queda muuuuu suave y fresca. ME ENCANTAN.</t>
  </si>
  <si>
    <t>Buena marca Las compre ya hace un mes y la verdad contento con el resultado,son comodas y en pabellon se agarran muy bien Contento con la compra</t>
  </si>
  <si>
    <t>Opinión Tarde, pero bien</t>
  </si>
  <si>
    <t>Buena amortiguación. Durabilidad mejorable. Buenas zapatillas en la línea Saucony (pensadas en EEUU y fabricadas en realidad en el sudeste asiático). Su punto fuerte es la horma ancha y la amortiguación basada en su tecnología Everun que permite correr distancias largas a corredores pesados (89 kg en mi caso) sin dejarse rodillas, caderas y tobillos en el intento. El punto débil es que como a otros usuarios, también a mí me ha sucedido que aparezca rasgada la parte interior de la tela del talón a partir de los 250 ms.</t>
  </si>
  <si>
    <t>Sin instrucciones Viene sin instrucciones y no es muy intuitivo como van las diferentes partes. El sistema antisalpicaduras directamente no funciona(salpica por los costados, incluso usando el recipiente incluido)</t>
  </si>
  <si>
    <t>Decepción. Parece original estéticamente, pero no es una compra recomendable. Tras menos de dos semanas de uso aparecieron manchas de humedad en el interior, a pesar de haberse usado sólo en la ducha. Tuve el original hace mucho y me duró años.</t>
  </si>
  <si>
    <t>Solo funciona uno Solo funciona uno, tendré que devolverlo. Me da la sensación de que son los mismos que se fueron devueltos por otros usuarios y que no acaban de retirarse de la red de ventas.</t>
  </si>
  <si>
    <t>Pequeño robot cocina Un buen robot de cocina, ideal para cortes y ralladuras de productos habituales, el tamaño no es muy grande y es muy fácil de limpiar y de instalar las cuchillas</t>
  </si>
  <si>
    <t>Recomendado Caben muchos folios por funda y me encanta, tengo varios aunque sean del mismo color</t>
  </si>
  <si>
    <t>buen producto todo correcto</t>
  </si>
  <si>
    <t>Tarjeta micro SD 32 GB Viene dentro de un paquete con el adaptador. He tenido varias de este mismo fabricante como almacenamiento externo del móvil y nunca me han dado ningún problema.</t>
  </si>
  <si>
    <t>CE Quality PLUS 1 Desengrasante Es una pasada. Yo lo uso mezclando con agua como ponen en las instrucciones y me deja la casa limpisima de grasa y suciedad. Lo recomiendo</t>
  </si>
  <si>
    <t>Bien Muy divertido para adolescentes</t>
  </si>
  <si>
    <t>Apropriado Lo que buscava</t>
  </si>
  <si>
    <t>Perfecto para niños y adultos Fué un acierto para tener a mi niño entretenido en estos días de lluvia. Se pasa el día cantando con las diferentes voces que puede hacer a través de él. Es tal cual se describe. Perfecto.</t>
  </si>
  <si>
    <t>Muy grande Valoro positivo el producto por los aspectos de la calidad que se recibe al tocarla, el tamaño más grande de lo normal, o de las que yo he tenido, que al cubrir por ejemplo buena parte de la espalda da una muy buena sensación de calor y alivia bastante una contractura que tengo. Estoy muy contento con la compra</t>
  </si>
  <si>
    <t>Perfectas Perfectas, son lindas y cómodas. El talle es preciso, tal como indica en la tabla de medidas. No deslizan y tienen buena amortiguación, dos cosas escenciales en zapatillas de voleibol.</t>
  </si>
  <si>
    <t>Corrió todo bien Mercancía TOP</t>
  </si>
  <si>
    <t>Maletín genial! Lo compré para el trabajo (seguros) y aguanta perfectamente todo el movimiento diario, la tela es resistente y aguanta la lluvia fina sin calar en el interior (con lluvia más fuerte no lo he probado...Ni lo haré) En definitiva le pongo 5 estrellas porque la relación calidad precio en mi opinión es inmejorable.</t>
  </si>
  <si>
    <t>Perfecto Tus cueros siempre nuevos</t>
  </si>
  <si>
    <t>Calidad excelente Las zapatillas perfectas , han llegado a tiempo</t>
  </si>
  <si>
    <t>Justo lo que esperaba Muy buen producto</t>
  </si>
  <si>
    <t>perfectas perfectas</t>
  </si>
  <si>
    <t>Calidad y usabilidad excelente El microfono tiene una calidad de sonido excelente. Funciona con cualquier equipo, móvil e incluso cámaras. La medida del cable es considerablemente larga y así aumenta la facilidad de uso. Los adaptadores permiten usarlo en cualquier dispositivo y su pinza metálica acoplarlo en cualquier parte de la ropa. Perfecto para hacer entrevistas. Incluye una bolsa para guardarlo.</t>
  </si>
  <si>
    <t>Excelente Llego muy bien y a termino. Un poco grande el 39 europeo. Soy 39 en todosos zapatos de España pero este me quedo bastante grande, creo q un 38 o un 38.5 hubiese sido perfecto. Enseguida contactarin conmigo para darme una solución. Lo recomiendo 100x100</t>
  </si>
  <si>
    <t>Perfecto Necesitaba revivir un portátil de 11 años con un disco ssd sin gastar demasiado dinero. Este disco es perfecto para eso. Hay discos más rápidos, pero si tienes un procesador Core Duo tampoco merece la pena invertir mucho más. Mi Win 7 Home arranca ahora en nos 15 segundos y va muchísimo más fluido. Recomiendo hacer una instalación limpia y no clonar el disco anterior. En mi caso usé la herramienta Rufus para crear un pendrive instalador (hace falta el ISO de instalación) ya que mi disco instalador de Windows 7 ya no lo leía el reproductor que tampoco está ya myt fino. Una vez instaladas las pocas aplicaciones que necesito me quedan todavía 75GB libres, mas que de sobra. Una vez instalado todo he hecho una copia de seguridad por si tengo que usarla alguna vez.</t>
  </si>
  <si>
    <t>Rapidísimo. Realmente se nota, pero puede ser complicado de clonar. Disco SSD de 480gb, buena capacidad. Va muy muy rápido, cargando el s.o. (14 segundos en w10), arrancando programas (casi instantáneamente) y apagando el portátil (apenas 10sg). Instalarlo físicamente es muy fácil, pero si tienes que clonar un disco (con sistema operativo) en este puede que no sea tan fácil como clonar y cambiar uno por otro. Asegúrate de tener cerca a alguien que entienda de configuraciones de BIOS, etc. Los programas de clonar, en su versiones básicas, tienen las opciones limitadas. Lo ideal es que el ssd sea de la mía capacidad del clonado o superior. Si es más pequeño, la cosa se complica por lo que comentaba de los softwares "free".</t>
  </si>
  <si>
    <t>Excelente a un precio raconable Una batidora potente, con buena capacidad, buena calidad, muy resistente y facilísima de limpiar. Lo único que no entiendo es eso de los "0 Decibelios", porque hace el ruido que hacen todas estas batidoras, como es lógico (supongo que será un error de traducción). Evidentemente, de 0 decibelios nada... Entrega muy rápida y embalaje correcto. Muy recomendable.</t>
  </si>
  <si>
    <t>Chulisimo Nunca probé de colores y mi hija y yo estamos encantadas!!</t>
  </si>
  <si>
    <t>Fantásticos Gran precio para un muy buen producto</t>
  </si>
  <si>
    <t>El halo de luz no está bien logrado Probablemente una segunda versión del dispositivo mejore el halo de luz, que es poco definido y no resulta ser lo que promete. La idea es buena, la ejecución falla. Ahora no lo compraría ni lo recomendaría.</t>
  </si>
  <si>
    <t>Calidad del cuero Me ha gustado la calidad de los materiales, el tamaño que tiene. No me han gustado las cremalleras, me parece que dentro de poco tiempo empezarán a fallar.</t>
  </si>
  <si>
    <t>Decepcionada Un bote estaba completamente vacío. Decepcionada.</t>
  </si>
  <si>
    <t>Malaroma No me gusta nada sus olores solo el de naranja</t>
  </si>
  <si>
    <t>Buen precio para hacer lo mismo que otras mucho más caras Entre buscando la Pranamat pero me sorprendió su alto precio así que decidí probar la "Amazon's choice" que era esta. La verdad es que cumple con todo lo que promete, lo único malo es que uno de los círculos vino mal pegado, fuera de grilla. Recomendable!</t>
  </si>
  <si>
    <t>María Los pendientes han llegado al día siguiente de haberlos pedido.Muy bien envueltos. Son muy bonitos, no dan alergia , hoy los he estrenado para un evento y estuve todo el día con ellos y  me sentí muy cómoda. El tamaño es aproximadamente de 1 cm, lo que es la plata y despúes el diamantito. Sientan muy bien, son muy finos</t>
  </si>
  <si>
    <t>No recomendable Cambio mi opinión! La batidora me ha durado 2 meses....se ha roto/fundido una parte de plástico de la batidora y ya no funciona, y lo peor de todo el servicio técnico dice que la garantía no lo cubre. Me parece fatal que una marca tan conocida y con buena calidad en la mayoría de sus artículos, no cubran la garantía de la batidora y que me haya durado dos meses con un uso normal,para triturar purés y verduras cocidas.</t>
  </si>
  <si>
    <t>El bolso es bastante grandecito y aparenta tener unos buenos materiales y costuras. Este producto lo compré para llevar muchas cosas, equipo para dibujar fuera, toallitas, cosas informáticas como auriculares, pendrives, también llaves, los papeles del médico y el bolso aguanta bastante bien eso y que lo cojo casi todas las veces que salgo. Por darle una pega inicial, es un fastidio que pase la correa principal, justo donde tienes el bolsillo principal, te hace tener que apartarla y es algo engorroso, además al no tener asa lo tienes que pillar de donde puedas, para cogerlo y acercarlo a la mesa o donde vayas a dejarlo, como medio punto a favor, lo agarras de un lado con la correa y puedes cogerlo como si tuviese asa. Otra cosa es que puedes usarlo con la mitad de la extensión de la correa y tiene la distancia que yo . La peor parte es que se a deteriorado con el roce, justo donde le tengo metido un estuche metálico, se le a ido algo el color de la piel y no sé si eso es del todo bueno, siendo piel de calidad, supuesta mente. (Teniendo de uso menos de 2 meses)</t>
  </si>
  <si>
    <t>Preciosos Gran calidad y color estupendo.</t>
  </si>
  <si>
    <t>Laura Las fundas están muy bien y el plástico es grueso por lo que no son las típicas fundas que se arrugan todas. Satisfecha con la compra.</t>
  </si>
  <si>
    <t>Rápido y eficaz Calienta el agua en menos de 2 minutos , ideal para el agua de biberón , se apaga solo cuando ha calentado el agua</t>
  </si>
  <si>
    <t>caliente, suave y cómodo la tela de esta ropa termica es muy suave y comoda, pensé que no sería suficiente pues parecía delgada, pero ha sido una excelente opción. Te mantiene caliente y con comodidad para usarla todo el día</t>
  </si>
  <si>
    <t>Gran acierto Estoy encantada , súper cómoda y rápida y encima me la puedo llevar al trabajo para hacerme mis batidos. La botella te la llevas , la lavas y ya tienes botella de agua para todo el día</t>
  </si>
  <si>
    <t>Buena bonita y barata Me ha llegado hoy, súper rápido porque la pedí el viernes ,funciona hasta ahora fenomenal nunca pensé que en ese precio hubiera artículos tán buenos</t>
  </si>
  <si>
    <t>Buena calidad y relación calidad-precio. Auriculares y boquilla de buena calidad.</t>
  </si>
  <si>
    <t>Cumple perfectamente con su funcion Buscábamos una pizarra magnética y este modelo cumple fantásticamente con su función. Dudábamos entre otra de la misma marca que era un poco más cara, pero escribiendo a la marca nos dijeron que era el mismo modelo... Así que a la hora de comprar la pizarra tenedlo en cuenta y os ahorrareis unos euros. Por lo demás todo bien!</t>
  </si>
  <si>
    <t>Bonitas, muy cómodas y de calidad Se adaptan perfectamente al pie. Suela lo suficientemente gruesa para no notar las piedras. Muy cómodas y bonitas. Muy recomendables.</t>
  </si>
  <si>
    <t>Todo OK Todo OK</t>
  </si>
  <si>
    <t>Jose muy buen reloj, yo lo tengo mas de dos años y me funciona perfectamente, lo uso para bucear y ningun problema es de muy buena calidad, la correa es muy resistente y no presenta signos de deterioro. Estoy muy satisfecho con esta compra</t>
  </si>
  <si>
    <t>Todo ok Cumplen su función a la perfección</t>
  </si>
  <si>
    <t>lo esperado Era justo lo que esperaba</t>
  </si>
  <si>
    <t>CUMPLE CON LAS EXPECTATIVAS Es un disco duro , no hay mucho más que decir , pero no costó nada instalarlo , funciona perfectamente y llevo meses usándolo sin ningún tipo de problema, a demás llegó muy rápido. Muy contenta con la compra.</t>
  </si>
  <si>
    <t>Perfecta para correr y Gym Muy buena camiste, sobre todo si la compras con buen precio. Apta para Gym y outdoor, la camiste permanece seca en todo momento. Muy buena calidad. Yo llevo M y compre S porque se la vi un grande a la modelo, pero ambas tallas están bien si sueles llevar una M.</t>
  </si>
  <si>
    <t>Skechers Originals OG 85 Goldn Gurl SI te las has probado en tienda previamente, no vas a tener problema alguno.</t>
  </si>
  <si>
    <t>Perfecto Tenía uno igual desde hace unos 7 - 8 años que me compre para llevar al trabajo y cuando se le agoto la pila decidí cambiarlo por otro igual porque un botón ya no iba bien del todo. Son relojes cómodos y prácticamente indestructibles, supongo que por eso llevan mas de 35 años vendiéndose.</t>
  </si>
  <si>
    <t>Muy buena calidad de sonido, batería duradera y comodidad. Muy buenos auriculares bluetooth, no se caen al hacer ejercicio, se conectan rápida y fácilmente al móvil, la batería dura bastante y además con el estuche de carga se pueden cargar varias veces. El esruche es pequeño y no ocupa demasiado. La calidad dem sonido es genial. Un producto muy recomendable.</t>
  </si>
  <si>
    <t>Incómodas para andar Están bien acabadas, como acostumbra NB, pero el interior de la suela es totalmente plana, no tiene ningún mínimo puente ni elevación en el talón y para una persona de 70-80 kg la sensación es de hundirse en los talones. Por cierto, que éstos no quedan bien recogidos. Evidentemente no es una zapatilla para hacer deporte; pero incluso para ser una casual, no me parecen cómodas.</t>
  </si>
  <si>
    <t>Que no tiene quimicos para la ropa blanca hay que echar perborato y unas gotas de aceite esencial que te guste.</t>
  </si>
  <si>
    <t>No lo compreis Apenas nos ha durado dos meses. Se ha usado menos de 10 veces y la máquina ha ido perdiendo potencia hasta el punto que ha dejado de funcionar. No recomiendo para nada la compra de este articulo.</t>
  </si>
  <si>
    <t>Mal emparejamiento Se desemparejaron y el izquierdo no hubo forma de cargarlo, tuve que devolverlos</t>
  </si>
  <si>
    <t>Energía Preciosa, elegante y bien fabricada. Estoy satisfecho de esta pulsera, no me la pongo siempre segun la ropa, gracias. Un saludo</t>
  </si>
  <si>
    <t>Consistente. Parece buena y de buen material Calidad precio buena</t>
  </si>
  <si>
    <t>Faja y culotte para entreno. Es una faja que sujeta bien la parte lumbar y abdominal. El tejido bueno.Bien de talla. La he utilizado para correr y en el gimnasio y la verdad es que me he sentido cómodo con ella. No se que resultado dará en bicicleta ya que no tiene almohadillas. A lo mejor con un culotte básico por encima también se podría utilizar para la bicicleta.</t>
  </si>
  <si>
    <t>Más o menos lo que esperaba Ayudan mucho a la visión de trabajos pequeños, pero al cabo de las horas te va doliendo la cara del peso de llevarlas.</t>
  </si>
  <si>
    <t>Básicamente lo que buscaba Para el uso esporádico que le doy, es más que suficiente. La lentes y la luz led hacen su trabajo.  Es un poco pesada debido a las pilas y su uso continuo puede provocar molestias en el puente de la nariz</t>
  </si>
  <si>
    <t>Fantástica Funciona de maravilla. Cumple de sobra las expectativas. La compré para usarla en diferentes dispositivos (móvil, cámara, tablet) y no he tenido ningún problema al usarla en todos ellos. Estoy tan contento que compré una segunda unidad.  La velocidad es muy buena, la capacidad más que suficiente y además viene con adaptador para leerla con el ordenador o utilizarla en cámaras de fotos. Estoy encantado con ella.  Junto con la Samsung Evo es la mejor tarjeta de memoria en relación calidad/precio.</t>
  </si>
  <si>
    <t>Preciosos Son unos pendientes sencillos, pero muy bonitos y finos. Quedan preciosos en la oreja. Son de plata de verdad porque no hacen daño y yo soy alérgica a los metales excepto al oro y la plata. Recomiendo su compra. Repetiré sin ninguna duda.</t>
  </si>
  <si>
    <t>Me encantan Burn producto, si quereis dejar de comprar jabon en botella esto es lo ideal. Sirve como multiusos, tambien para fregar suelos y superficies. Lo deja realmente limpio, teniendo en cuenta que solo hay que herbir las cascaras de nueces menos de 10 minutos y listo. Puedes agregarle el aceite escencial de tu gusto para que tenga una escencia agradable, aunque la propia olor de la nuez no es para nada mala.</t>
  </si>
  <si>
    <t>Recomendables Muy bonitas</t>
  </si>
  <si>
    <t>A mi me encanta La he comprado para regalar a mi madre. Es verdad lo que dicen los comentarios que es muy pequeña de muñeca pero para mi es un punto a favor ya que mi madre tiene la muñeca súper peque. El osito es pequeño pero así queda disimulada la marca. Mi madre ha quedado encantada :)</t>
  </si>
  <si>
    <t>Buen producto Llevaba tiempo buscando un nuevo ambientador para mi casa y aunque no es propiamente un ambientador me decidí por comprar este humidificador y un paquete de aceites esenciales para ambientar la casa. Llena perfectamente una habitación o salón de tamaño normal, dependiendo de los aceites esenciales que utilices el aroma durará más o menos tiempo tras apagar el temporizador.  El humidificador es super silencioso, nada más darle al botón de "Mist" suena un pequeño beep y ya empieza a sacar humo. El único ruido que produce de vez en cuando es el borboteo del agua al evaporarse pero yo lo considero relajante así que para mí no es ningún problema a la hora de dormir con el puesto.  Tiene cuatro temporizadores incorporados que se activan pulsando el botón "Mist" sucesivamente. Las duraciones son 1, 3, 6 horas o hasta que se acabe el agua. Todos los modos se apagan automáticamente cuando el sensor se queda sin agua.  Respecto a la luz, no es obligatorio utilizarlo aunque produce un efecto bastante vistoso con el humo que sale de su chimenea. Tiene varios modos de uso, Siempre pulsando el botón "Light": - La primera vez hace un ciclo de colores, pasando del rojo, al verde, al azul, etc, de forma gradual. - La segunda pulsación detiene el color en el color que estuviese en ese momento. - A partir de ahí, las siguientes pulsaciones hacen el mismo ciclo de colores (en tono fuerte o suave) que el automático pero con color fijo. Si por ejemplo te gusta el de color azul, sería darle al botón 10 veces por ejemplo. La luz que produce es suave, pero a la vez un poco intensa, para dormir con ella puesta en mi opinión es un poco molesto, pero como dije al principio no es obligatorio que la luz esté encendida para que el humidificador funcione.  Al abrir la caja puede que parezca que faltan el enchufe, pero la misma caja te indica que se encuentra dentro del mismo humidificador. También incluye un dosificador de algo más de 150 ml para llenarlo más fácilmente de agua, el tanque permite llenarlo hasta 300 ml.  Incluyo foto del enchufe por si a alguien le interesa comparándolo con un enchufe normal de la torre de un ordenador.</t>
  </si>
  <si>
    <t>LEGGING PARA EL GYM Son comodísimos, elásticos y muy agradables al tácto. Sientan estupendamente y se adaptan al cuerpo genial. Me siento muy ligera y cómoda con ellos.  El tejido es de buena calidad. Los quería para ir al gimnasio ya que suelo hacer mantenimiento varios días por semana.  Muy contenta con la compra.</t>
  </si>
  <si>
    <t>Fantástico Era la que buscaba, mi piso queda super limpio. Tengo 2 perros a los que se les cae el pelo un montón y por fin puedo tener mi casa limpia</t>
  </si>
  <si>
    <t>Bueno y eficaz Se lo regalé a mi mujer. Encantada. Tiene mucha fuerza y la función calor es un extra. Parece duradero y de buena calidad. Llevamos una semana de uso y hasta la fecha, puntuación de 10.</t>
  </si>
  <si>
    <t>Resucita un viejo portatil Producto reacondicionado, adquirido a un precio menor y sin estar usado... tan solo el embalaje ligeramente dañado. Usado para recuperar un antiguo Toshiba satellite, que llevaba tiempo sin usar debido a su lentitud, pues llegaba a ser desesperante. Con un modesto Pentium dual core con 2 Gb de ram e instalando W10, la mejora es espectacular.... inicia en menos de 15 segundos y desde ese mismo instante puedes comenzar a usar cualquier programa o navegar por la red. A falta de realizar algún test, no sabría decir la diferencia de velocidad entre este y su hermano mayor MX, del cual he instalado ya varios. Un acierto y a muy buen precio si encuentras alguna unidad reacondicionada</t>
  </si>
  <si>
    <t>Es perfecto Es justo lo que buscaba era Para un regalo y la verdad fue un asiento lo compré negro y viene con las correas en marrón muyyy bonito y espacioso con Muchos bolcillo</t>
  </si>
  <si>
    <t>Bolso de mucha calidad El bolso está fabricada en lona de color marrón oscuro. Cuenta con una correa ajustable en longitud y con tres compartimentos que se cierran con cremalleras. El compartimento central es el más grande. Su interior está forrado con tela marrón aún más oscura. En el lateral trasero hay otro compartimento más pequeño forrado también con tela marrón del mismo color. En el lateral frontal, si abrimos la cremallera, nos encontraremos con distintos compartimentos de diferentes tamaños, adecuados para poner bolígrafos, tarjetas, calculadoras, etc. Y poderlos tener perfectamente organizados.  He de decir que mi bolso no huele mal ni está mal rematado. No he encontrado hilos sueltos como he leído en otras opiniones.  Las medidas aproximadas las podéis ver en las fotos.  Me ha gustado mucho. Es una buen bolso para hombre para tenerlo todo organizado. Os lo recomiendo.  Producto cedido para análisis</t>
  </si>
  <si>
    <t>Normal Un papel normal</t>
  </si>
  <si>
    <t>Bonito para regalar Pensé que eran más grandes pero la calidad y la presentación del empaque es bonito excelente para regalo</t>
  </si>
  <si>
    <t>buena compra Muy bonitas, compra recomendable, parecidas a las converse originales. La talla es correcta con la que uso de forma habitual.</t>
  </si>
  <si>
    <t>Chaqueta perfecta y muy bonita La chaqueta es muy bonita, el material de muy buena calidad y sienta estupendamente. Un producto totalmente recomendable. Todo un acierto de adidas.</t>
  </si>
  <si>
    <t>Bien Están bien, cumplen las expectativas que me imaginaba con todas las de la ley. No se han hecho ningún agujero</t>
  </si>
  <si>
    <t>De las pocas zapatillas de skate que sirve para hacer skate o movidas peligrosas Un coche me golpeó mientras iba en moto hace una semana, afortunadamente salí ileso salvo quemaduras y laceraciones en piernas, sin embargo, pese a que las zapatillas llevan un quemazo enorme en suelas y lateral, tengo los pies completamente intactos. Con otras playeras estaría ahora recibiendo un injerto de piel, en su lugar estoy mirando de pillar otras.  Esto es una señora zapatilla por su sitio. Compra 2 pares. Ya.</t>
  </si>
  <si>
    <t>Buenos parches, reducen las bolsas Son unos parches para quitar las bolsas que se crean debajo de los ojos. Los compré para mi mujer porque es algo que usa de vez en cuando, sobre todo cuando descansa poco. Los ha probado un par de veces y la verdad que se nota el efecto. Después de tenerlos puestos media hora se reducen bastante las bolsas. Por lo tanto muy contento, buen producto.</t>
  </si>
  <si>
    <t>mal, muy bonita muy vistosa pero mal No han pasado 10 meses y la verdad que muy mal, la mierda entra por todos los lados y para sacarla hay que utilizar hasta destornillador, el tubo se ha deshecho en pedazos, pierde fuerza... a ver que tal funciona el servicio tecnico por que vamos vamos</t>
  </si>
  <si>
    <t>Regular No estan mal</t>
  </si>
  <si>
    <t>Para uso de 4 a 5 días de carrera semanal dura poco Fácil de sustituir. Es el original de la marca asunto para aquellos que no quieran una marca blanca.  Es decir, durará lo mismo que el anterior.  Edito a 28AGO2019 Como comenté anteriormente, ha vuelto a durar dos años. Para ser un reloj que costó más de 400€ es evidente la mala calidad del material del que está hecha. Este Suunto está hecho para resistir todo tipo de inclemencias, sudor en carrera etc, pero no su correa. Por ello le bajo a tres estrellas.</t>
  </si>
  <si>
    <t>Amazon ni se molesto en empaquetarlo ni protegerlo Muy Bien para WD. muy silencioso. cumple lo que promete. pero Un CERO, para Amazon. A saber que golpes le han podido dar. No le doy menos estrellas por que el HD funciona bien. Muy descontento con Amazon.</t>
  </si>
  <si>
    <t>Muy decepcionado Siempre había comprado targetas de memoria de la marca más conocida y también la más cara. Vi que esta era más barata y que tenía buenas opiniones y me decidí a comprarla. Todo iba bien hasta que después de 1 mes o así, después de tener la targeta llena y de querer ver los videos al ordenador, sin hacer absolutamente NADA, todos los videos que tenía grabados se me borraron por arte de magia. Realmente lo escribo y aún no doy crédito a lo que pasó... Lo que si estoy seguro es que se borraron los videos solos y aún estoy buscandolos... Realmente indignado con esto y muy frustrado porque tenía cosas importantes almacenadas allí... Ya lo dice el dicho "Que lo barato sale caro"... Aquí lo pude comprobar</t>
  </si>
  <si>
    <t>Disgustada Fatal, un mes llevo con ellas y ya estan rotas, son comodas pero el material de la tela es pesimo.</t>
  </si>
  <si>
    <t>para corredores pesados He corrido con estas zapatillas hace años y he querido volver a ellas porque las recordaba muy buenas. Hasta ahora solo he corrido un par de veces pero nada mas ponertela, la primera impresión, no ha sido como las recordaba. Puede deberse a que las actuales están ya cedidas y he notado que estas me apretaban un poco en la parte delantera (tengo costumbre de pedir al menos medio número mas de mi pie así que no es problema de talla). No obstante, la zancada y amortiguación buenas y se ven cómodas. El segundo día me encontré mas agusto así que, imagino, poco a poco me iré haciendo a ellas y, confio, seguro me gustarán</t>
  </si>
  <si>
    <t>Buen pendrive, aunque se calienta, como todos los formatos mini. Buen pendrive, aunque se calienta, como todos los formatos mini, pero no quema. La transmisión  de datos es buena, pero no para tirar cohetes. He leído comentarios acerca de su supuesta fragilidad, pero yo no los encuentro justificados. Vamos, no es de hierro, es de plástico y hay que cuidarlo lo justo. Hasta hoy sin problemas. Recomiendo su compra.</t>
  </si>
  <si>
    <t>prácticas, ecológicas y versátiles Fue una buena idea comprarlas. Se puedes lavar y duran mucho!</t>
  </si>
  <si>
    <t>facil montaje no es de las mas fuertes, aunque cumple bien su mision</t>
  </si>
  <si>
    <t>Muy buen microfono. Es un micrófono que cumple lo que ofrece es perfecto para un uso normal y diario, captura la voz desde una distancia cómoda a la que no necesitas tener el micrófono en la boca y con claridad (y sin necesidad de comprar ningún pie de micrófono o brazo extensible). Tiene una estética curiosa, llamativa a mi parecer muy bonito, es un micrófono realmente bueno para su precio mas que de sobra para uso cotidiano, la única pega es que se necesita su software (Sound Deck) para sacarle todo el partido al micrófono, principalmente por la opción de reducción de ruido que incluye.</t>
  </si>
  <si>
    <t>Perfecta relación calidad precio Es un álbum sencillo y elegante a la vez, lo he comprado de pastas grises, y páginas negras. está bien rematado y las páginas son de gramaje medio.</t>
  </si>
  <si>
    <t>Calidad precio perfecto Perfecto, cumple a la perfección, sin ser algo profesional el sonido lo recoge sin necesidad de pergarse el micro a la boca. Buena potencia sin acoples ni ruidos.</t>
  </si>
  <si>
    <t>Merece la pena el gasto. Estupendos botines, como esperaba, ya tenía unos más altos de caña y éstos son incluso más cómodos. Muy buena compra, además son producto nacional. Aconsejo su compra. Calidad precio espectacular. Merece la pena.</t>
  </si>
  <si>
    <t>Preciso, muy poco peso Buen reloj, los materiales normaluchos, el poco peso del reloj hace pensar que es fragil. La caja en la que lo envían tambien podria mejorar. Pero es buena compra.</t>
  </si>
  <si>
    <t>Bien envueltos Bien! Tal cual en la foto y con cajita, cada pendiente en bolsitas</t>
  </si>
  <si>
    <t>Gratamente sorprendida Venía de una bosch de 600w con la que me costaba un buen rato hacer mantequilla de cacahuete o crema de avellanas tipo nocilla, que tenía que hacer pausas porque se quemaba el motor y que siempre quedaban grumitos. He estrenado la picadora para la mantequilla de cacahuete y en menos de 3 minutos estaba lista sin tener que parar y con la textura de la comercial, ni un solo grumo. El motor pesa un poquito más pero se ve más robusto, se compensa con el pie de triturar que no pesa nada. Cuesta un poquito sepapar el motor de los accesorios pero no molesta, se adaptan perfectamente y no bailan, se quedan muy biene ensamblados. El motor se calienta pero no más que la bosch. Me ha sorprendido que hace la mitad de ruido. Aún no he probado el pie triturador ni la varilla de montar, mi interés era más por la picadora que por cierto es de 1 litro y 200ml. La tapa se puede fregar normal en el fregadero, no como la mayoría  que no se pueden ni mojar y eso yo lo veo insalubre. El vaso que trae también está muy bien de tamaño aunque el plástico me da la sensación de que se rompe o raja si se cae o que se va a rayar al menor uso, lo he dejado guardado porque tengo otros, igual me equivoco. Ya veremos si esta batidora aguanta con el tiempo, el uso que yo le doy es diario.</t>
  </si>
  <si>
    <t>Una estupenda adquisición Tengo problemas en un oído y estos auriculares me han venido genial, se conectan por bluetooth rápidamente y  y gracias a ellos puedo oír las películas perfectamente sin molestar a los demás, tienen bastante alcance, me he desplazado por toda la casa y se oyen perfectamente,  son ligeros, adaptables y fáciles de guardar en una bolsa que traen y para finalizar de aspecto son bonitos. Vienen con un cable para cargarlo a través de cualquier cargador con salida USB . En cuanto a la relación calidad precio está muy bien los he visto mas caros, pero estos cumplen perfectamente el objetivo.</t>
  </si>
  <si>
    <t>Muy cómodas Me gustan y son muy cómodas para el uso diario. El tallaje es pequeño, yo uso la 38 y tuve que cambiarlas por una talla más. La 39 me queda bien aunque algo justa, pero no quise cambiarlas otra vez. Sí que recomiendo la compra pero teniendo en cuenta que son tallas pequeñas y que seguro que tienes que comprar una talla más como mínimo.</t>
  </si>
  <si>
    <t>CORCHO ADHESIVO SON VARIAS LAMINAS PEQUEÑAS QUE UNIDAS PUEDEN FORMAR ESPACIOS QUE SE ADECUEN A CADA NECESIDAD. SON DELGADAS PERO SI LAS UNIMOS PUEDEN TENER UN GROSOR MUY ÚTIL. ME ENCANTÓ</t>
  </si>
  <si>
    <t>Si las puedes pagar, no lo dudes! Tiene un precio elevado pero son de un muy cuidado acabo y excelente calidad. Ideales para andar o ir de viaje a zonas frías o con muchas lluvias. Excelentes!</t>
  </si>
  <si>
    <t>Seite de aceites original con olores muy agradables Set de aceites esenciales original, no son los típicos aburridos que vienen en caso todos los packs, me encantan en el difusor y para darle un olor más agradable a mis limpiadores ecológicos hechos por mi. Todsvia estoy experimentando con olores puros y diferentes mezclas, y no estoy del todo segura cual es mi favorito.</t>
  </si>
  <si>
    <t>Económicos Buen Precio y bonitos</t>
  </si>
  <si>
    <t>Quinto par de zapatos y 30 años usandolos Es el mejor o uno de los mejores zapatos españoles que existen. De fabricación y diseño español. Son el quinto par de zapatos que compro en mi vida de este modelo de náutico y siempre de marca Camper, por supuesto. Me suelen durar más o menos unos 5 años. Los uso tanto en verano como en invierno. Para vestir más o menos (in)formal. Hasta con bermudas. Son de una calidad excelente, cómodos y como he dicho el diseño no se encuentra en otro sitio fuera de España por eso cuando me los ven fuera se fijan en ellos gratamente. Los seguiré comprando toda la vida.</t>
  </si>
  <si>
    <t>Estrechas Muy buenas y bonitas aunque aprietan demasiado el pie, supongo que con el uso irán cediendo. Tallan bien.</t>
  </si>
  <si>
    <t>La calidad. Es muy manejable y pesa poco.</t>
  </si>
  <si>
    <t>Hola Muy cómodos para caminar,me gusta mucho.</t>
  </si>
  <si>
    <t>Muy buena calidad-precio Muy cómodas</t>
  </si>
  <si>
    <t>Zapatillas azules Una vez puesto 5 días, se ha puesto ancha, mala calidad, además resbalan cuando no debería.</t>
  </si>
  <si>
    <t>Excelente reloy vendedormuy poco detallista. Excelente reloy pero cuando uno compra un reloy nuevo o cualquier otro producto deben  de venir en su caja orijinal ahora espero que el reloy funcione bien porque todavia no me lo e puesto .Y otra cosa cuanta gsrantia tengo y mandeme la factura del reloy a mi correo kikobuenomoreno@gmail.com en pdf para luego yo sacarlo en una papeleria .</t>
  </si>
  <si>
    <t>Para uso escolar y poco mas Producto para uso por mi peque para hacer manulalidades. Es cierto que por el precio que tienen no se puede pedir mucho pero sólo valen para pegar cosas muy ligeras. A poco que pesen un poco, el pegamento no aguanta y se caen. Lo dicho, para uso por el niño en el cole valen pero para cualquier otro uso se quedan cortas</t>
  </si>
  <si>
    <t>LETRA DEMASIADO JUNTA Y PEQUEÑA Lo compré para una niña de 9 años porque pensé que al ser un formato pequeño que no pesase iba a ser más manejable y mejor para ella. Eso está bien, pero el texto está demasiado junto y no se hace fácil la lectura, además de que la letra es bastante pequeña.  Por otro lado no tiene ni un solo dibujo, solo en la portada y contraportada y se hace más densa y pesada la lectura. La historia está bien pero no lo veo atractivo para los niños por esos motivos. Mejor otro formato u otra editorial para ellos.</t>
  </si>
  <si>
    <t>No sabéis, embalar.. No me ha gustado, pues nunca lo he tenido... siempre ha llegado roto, y he comprado otro modelo.</t>
  </si>
  <si>
    <t>Peor que mal Solo usado 1 día. Empezaron a hacer un ruido desde el minuto 1 como si pisaras y doblaras una plancha metálica, supongo que la que lleva en la suela de protección. Desilusionado porque el diseño en sí es bonito.</t>
  </si>
  <si>
    <t>Muy bien Esta muy bien para regalo de cumpleaños. Me ha gustado mucho. Viene 30 con sus ceras 5 dentro de su paquete.</t>
  </si>
  <si>
    <t>Buena compra, corto de altura Realizan su función perfectamente. Lo ideal sería que fueran más altos o se pudiera regular su altura. Pero es tan fácil como, si es necesario, colocar un libro debajo. La base es lo suficientemente pesada para que no se mueva.</t>
  </si>
  <si>
    <t>Daniel Las zapatillas son muy cómodas pero me quedan un poco grande</t>
  </si>
  <si>
    <t>Calcetines Bueno pero solo para invierno</t>
  </si>
  <si>
    <t>Comodo Me gusta</t>
  </si>
  <si>
    <t>Buen precio para un ssd!! No lo puedo valorar bien porque creo que venia defectuoso.Tras instalar windows me empezo a dar errores de disco y no se guardaba la imformacion por lo que lo he tenido que devolver y pedir otro distinto para descartar que sea problema de placa base. En cualquier caso cuando pruebe con el otro(un Kingston) confirmare si estaba o no defectuoso y lo añadire al comentario. EDITADO (tengo que rectificar mi opinion sobre este articulo ya que con el nuevo disco me sucede lo mismo por lo que no es problema de disco duro)</t>
  </si>
  <si>
    <t>Diseño y rapidez Él hervidor de agua Russel Hobbs tiene un diseño muy bonito, merece la pena pagar un poco más ya que va a estar a la vista continuamente, el agua lo calienta de una manera muy rápida</t>
  </si>
  <si>
    <t>Cumplen lo esperado En cuanto a la talla uso en nike 47/47.5 y en adidas 47 1/3, estas asics con la talla 47 me quedan perfectas.  La suela es dura, pero creo que eso ya se sabe con antelación viendo el tipo de zapatilla que es.</t>
  </si>
  <si>
    <t>Satisfecha Cumple con las expectativas, aunque desconocía un dato. Tienes que descargar la app en el dispositivo para poder utilizarlo. Pero es sencillo, hay que seguir unos pasos y ya puedes descargar tus archivos en la tarjeta memoria. El adaptador es un buen detalle, aunque no lo necesito porque mi móvil tenía espacio para el micro. Lo recomiendo a cualquier persona que no necesite un almacenamiento masivo.  Además, llegó bien protegido.</t>
  </si>
  <si>
    <t>ideal era lo que necesitaba...por cierto...en las directricesde consejos basta con 5 o 10 palaberas ..no podemos exijoir que todos los productos pongamos un rollazo que el tiempo corre y vale oro...</t>
  </si>
  <si>
    <t>Buen producto. El imán funciona bien, el borrador también es imantado. Estoy satisfecho con el producto en sí. Lo único compraría unos rotuladores buenos. Los que vienen con el producto son muy malos que ni se ven.</t>
  </si>
  <si>
    <t>Calidad aceptable Buena relacion calidad precio, el suetido es muy variado en cuanto a colores y los que son de tallaje alto y tallaje bajo. Cómodos y se lavan bien. A mi problemas no me han dado alguno.</t>
  </si>
  <si>
    <t>cumple con lo descrito El artículo completo con lo descrito, es cómodo.</t>
  </si>
  <si>
    <t>Perfectas Me encantan, son muy bonitas, muy comodas Llego un dia antes de lo previsto Compra 100% recomendable</t>
  </si>
  <si>
    <t>Contento con la compra Se escuchan muy bien, son bastante cómodos, haciendo deporte no se caen y el agarre de la oreja es cómodo. La batería dura más de 5 horas escuchando música y las conversaciones se entienden bastante bien.</t>
  </si>
  <si>
    <t>El color de fondo 100% excelente, me encanta</t>
  </si>
  <si>
    <t>Me gusta Estaba buscando un hervidor de agua desde hace algún tiempo. Ese es buena opción para el dinero gastado. Robusto y atractivo, no te defraudará seguramente.</t>
  </si>
  <si>
    <t>Auriculares asequibles con buen agarre a las orejas Auriculares bluetooth pequeños casi inapreciables en la oreja. Poseen múltiples acolchados para acomodarlo en las orejas sin moverse. En lo referente al emparejamiento, al principio es un poco lioso y tarda en emparejarse la primera vez pero después lo hace bastante rápido. El sonido es correcto y con buen volumen. Se maneja x el tacto al auricular. Se pueden usar conjuntamente o por separado.</t>
  </si>
  <si>
    <t>Un Casio de lo más elegante Es un Casio bastante "sport" que es elegante pero sin pasarse de "snob". Funciona perfectamente, lo tengo hace un año, que se lo regalé a mi pareja y me lo acabé quedando yo. Así pues, queda también muy bien en una muñeca de mujer, aunque... ¿Quién dijo que las mujeres debíamos llevar relojes pequeños y los hombres grandes?  En cualquier caso no es demasiado grande ni pequeño, es apto para cualquier persona y yo diría que combinable casi con cualquier look.</t>
  </si>
  <si>
    <t>Buen producto Botas de buena calidad, el tallaje es correcto. El color el esperado. Este producto está acorde con las expectativas que tenía de él. Muy buen precio</t>
  </si>
  <si>
    <t>La entrega y calidad Todo en general</t>
  </si>
  <si>
    <t>TXEMA Perfecto, por tamaño , por lo bien que se ven las medidas, por la cantidad de elche que sale de la tetina. Buen precio , buena marca</t>
  </si>
  <si>
    <t>Calidad y precio Este electrodoméstico lo utilizamos a diario en casa y es perfecto por su diseño y capacidad.</t>
  </si>
  <si>
    <t>No es la mejor manta eléctrica Tiene buenos acabados pero técnicamente es una manta para calentar y en los días fríos debes encenderla al menos 2 horas antes de ir a la cama y siempre en la opción media o máxima debido a la lentitud en calentar las resistencias distribuidas por la superficie interior. En resumen, hace su papel pero por un poco de dinero extra e incluso menos, consigues una con programador, más opciones de calentamiento y más eficientes</t>
  </si>
  <si>
    <t>COMODíSIMAS Son espectacularmente comodas, tengo el pie ancho y algo plano por lo que encontrar calzado que me resulte cómodo suele ser complicado. Es como llevar unas deportivas. Edito y le pongo tres estrellas porque, en las que me han llegado, una de las lengüetas se me va siempre para el lado.  Respecto del tallaje, en playeras suelo usar un 46 y en zapatos ( Panama Jack) un 45, pedí un 45,5 y me va perfecto.  Si encima duran serán perfectas.</t>
  </si>
  <si>
    <t>No me ha dado buena calidad de sonido No me ha ido bien la verdad, el casco de la izquierda se oía un silvido constante que impedía la calidad de sonido, en cuanto a su manipulación por táctil muy bien, solo eso su sonido no era optimo</t>
  </si>
  <si>
    <t>Muy pequeño paraser 48mm de caja El reloj es enano</t>
  </si>
  <si>
    <t>Perfectas Lo utilizo para estar por casa. Son comodisimas las recomiendo</t>
  </si>
  <si>
    <t>Su comodidad Las uso a diario para vestir,,, son comodisimas y poco peso</t>
  </si>
  <si>
    <t>Precintadora Tesa Funciona muy bien, práctica y comoda</t>
  </si>
  <si>
    <t>Como se anuncia Como se anuncia</t>
  </si>
  <si>
    <t>Buen priducto Buen reloj....solo un pero, la vusibilidad no es muy buen, pero se ve, imagino sera para no beberse la pila en un mes. Por lo demas, tamaño, estilo, funciones, manejo muy bien....eso si por 104€ que lo compre, por 200€ no lo hubiera comprado.</t>
  </si>
  <si>
    <t>Playeras skeachers Todo perfecto!! Playeras super cómodas</t>
  </si>
  <si>
    <t>Auriculares con buen sonido y muy cómodos Estos auriculares son geniales y la calidad del sonido es increíble.  Yo los utilizo sobre todo para salir a correr y una cosa que valoro mucho a parte del sonido es que queden bien ajustados porque es bastante incómodo que se están cayendo, estos con el gancho que tiene se queda ajustado perfectamente y muy cómodos de llevar.  Yo los estoy usando a diario para correr aproximadamente sobre una hora y después de 5 días aún tienen batería.  Otra ventaja de estos auriculares es donde se guardan, que a la vez es una estación de carga, lo que viene genial cuando no se dispone de electricidad.</t>
  </si>
  <si>
    <t>Va muy bien Aguanta muchas horas el agua caliente, lo uso para preparar los biberones a mi bebe y va muy bien. La unica pega es que huele como a alquitran, espero que con los usos vaya desapareciendo el olor.</t>
  </si>
  <si>
    <t>Buen conversor Funciona estupendamente y no he tenido ningún problema, tanto por VGA como por HDMI. Sin duda es una compra obligada para cualquier usuario de mac.</t>
  </si>
  <si>
    <t>Un obligatorio para todos los nuevos usuarios de Macbook No necesita descripción ya que es muy sencillo. Debería venderse en todas las grandes superficies ya que es una solución indispensable para los nuevos usuarios de Macbook, precio adecuado a un dispositivo pendrive corriente.  Recomendable a todos mis amigos y conocidos.</t>
  </si>
  <si>
    <t>Velocidad y capacidad en formato M.2 Fantástico disco duro para equipar un miniordenador por no mucho dinero. Conectar en la ranura M.2 y a funcionar. Muy rápido y con un tamaño que nos permite convertirlo en el único disco de nuestro sistema.</t>
  </si>
  <si>
    <t>Fácil de limpiar y se adapta al bebé El mejor biberón que tiene. No se atraganta y lo usa desde muy pequeñita. Con la tetina 1 de Philips, es muy fácil al contrario que con otros biberones en los que la retina se dobla demasiado o es demasiado rígida.Es fácil de limpiar y ergonómico.</t>
  </si>
  <si>
    <t>Funcioinando a la perfección El paquete ha llegado pronto y bien embalado. Los tres pendrives funcionan sin problemas. Son pequeños, que es lo que yo buscaba, y bueno, para grabar música para el coche, cumplen su cometido a la perfección. En cuanto al vendedor, agradecer la rapidez y por supuesto, recomendarlo como vendedor de confianza.</t>
  </si>
  <si>
    <t>Buen reloj Muy bonito reloj. Elegante. La correa de metal muy cómoda, mejor de lo que aparenta. Producto entragado en caja origina con manual.</t>
  </si>
  <si>
    <t>Divertido Es muy divertido aunque no tiene mucho volumen, se escucha bien</t>
  </si>
  <si>
    <t>Micrófono Es quizá el micrófono más adecuado calidad-precio; de bonito diseño retro y, con unas características técnicas más que aceptables para podcasting, video call, etc. Decir, que como en todos los micrófonos que se conectan por USB, la latencia es cero, cuando se escucha a través de los auriculares que se conecten al micrófono. Para establecer la latencia en cero, en Panel de Control - Sonido - Grabar - Mezcla estéreo (éste se ha de establecer como "dispositivo predeterminado)").</t>
  </si>
  <si>
    <t>Tamaño perfecto Anteriormnte habia tnido d 6 y 8mm y uno m quedaba pequeño y el otro grande, m costo mucho encontrar el tamaño de 7mm q es el q tiene el tamaño perfecto para la nariz, tiene cierre pero una vez cerrado no se nota nada y se abre muy facilmente</t>
  </si>
  <si>
    <t>Lo fácil de usar y muy práctico de llevar,  bien hermético Me a gustado muchísimo buena potencia y muy fácil y práctica,  esta genial para preparar bebidas y llevar al trabajo esta genial me a gustado muchísimo la recomiendo</t>
  </si>
  <si>
    <t>Complicado poner Son unas argollas bonitas y discretas. El tamaño es ideal. Lo único es que es muy complicado ponel los pendientes. Es extremadamente fino el enchache</t>
  </si>
  <si>
    <t>Madre feliz Mi madre está contenta</t>
  </si>
  <si>
    <t>Facil de usar Es muy facil de usar y controlar, no es complicado ni nada de eso, habia comprado pensando que se llena de agua tambien, pero es masajeador, pero al final me lo quede porque es muuuy comodo cuando estas cansado y dar un masaje en los pies!!</t>
  </si>
  <si>
    <t>Genial La tetera es sencilla pero perfecta. Justo lo que necesitaba!!! Cumple con todas mis expectativas. Estoy muy contenta. La recomiendo.</t>
  </si>
  <si>
    <t>Como se describen Tal como se describen. Quizás el numero quede un poco justo. Llevan forro por dentro por lo que dan sensación de que van a ser calentitas pero esa condición no se cumple del todo.Son cómodas y anchas</t>
  </si>
  <si>
    <t>Aceites ... Bueno... aceites que sirven para un difusor aromático pero hay pocos olores que merezcan la pena. Son muy artificiales con poca durabilidad en el ambiente</t>
  </si>
  <si>
    <t>Se corta el audio Los auriculares para el precio que tienen se escuchan bien. Son cómodos. La única pega que le pongo, es que de vez en cuando se va cortando el audio.</t>
  </si>
  <si>
    <t>Buena cancelacion de ruido pero tactil patetico He tenido antes unos Bose QC35, y debo decir que La cancelacion de ruido funciona mejor en los sony. Sin embargo, no soy capaz de entender los controles tactiles. Cuando quiero subir de volumen hago pausa, cuando quiero hacer pausa salto de cancion... es un lio. Y la diadema es estrecha y noto su presion en la cabeza. Los voy a probar en un viaje esta semana pero lo mas seguro es que los devuelva y compre los Bose QC35II.</t>
  </si>
  <si>
    <t>Defectuosa o falsa. O es defectuosa, o es una falsificación. Nunca ha funcionado bien, me ha hecho perder fotos y canciones, y después de formatearla varias veces, la he tenido que retirar del móvil. Les he escrito informando y ni me han contestado. Mejor no comprar. A veces los chollos salen caros.</t>
  </si>
  <si>
    <t>MUTIS POR RESPUESTA MALA CALIDAD Y MUY PEQUEÑO, TENGO PROBLEMAS ADEMAS PARA DEVOLVERLO, LES ENVIE CORREO PORQUE HAY QUE PAGAR EL FRANQUEO PARA DEVOLVERLO, POR QUE SUPONGO QUE TENDRAN ETIQUETAS DE DEVOLUCION INTERNACIONAL CON EL FRANQUEO PAGADO Y NO ME HAN CONTESTADO. LA OTRA SOLUCION QUE ME HAN DADO ES QUE ME DEVOLVIAN PARTE DEL IMPORTE PERO TAMPOCO ME HAN CONTESTADO CUAL SERIA LA CANTIDAD</t>
  </si>
  <si>
    <t>Muy contento Sencilla de usar y practica</t>
  </si>
  <si>
    <t>contenta estoy contenta con el producto,la calidad y comodidad es lo que esperaba pero al ser un producto del extranjero,la talla es un poco más pequeña que la misma aquí en España.</t>
  </si>
  <si>
    <t>está bien, recomendable esperaba que fuera algo más grande pero no está mal para el precio que tiene, tarda algo en calentar pero funciona bien, haber cuanto dura, material lavable.</t>
  </si>
  <si>
    <t>Cómodo Cómodo</t>
  </si>
  <si>
    <t>Terminaciones Gusto</t>
  </si>
  <si>
    <t>Cumple mis expectativas. En general es el producto que esperaba.</t>
  </si>
  <si>
    <t>Accesorio útil y práctico Buena calidad a buen precio.</t>
  </si>
  <si>
    <t>Merece mucho la pena Necesitaba un disco duro que no tuviera un precio desorbitado y me hice con este que me ha convencido completamente. Es un disco duro de 500Gb de memoria que funciona muy rápido en la transmisión de datos y la verdad es que merece  mucho la pena. Además es bastante plano y posee un tamaño muy pequeño. Muy recomendable</t>
  </si>
  <si>
    <t>Funciona muy bien. Recomendable Buen producto, con distintos modos de vibración que se cambian apretando el boton del mando. El mando a distancia funciona perfectamente. Recomendable</t>
  </si>
  <si>
    <t>Son estupendos! Los compre como regalo para mi madre y la verdad esque está encantada ha sido un acierto 100%, ella los usa para salir a hacer running y dice que son comodisimos de usar, yo mismo lo e comprobado y tiene una calidad de sonido muy buena. Además tiene un detalle muy bueno y es que la misma caja en la que guardas y cargas los cascos te sirve también para cargar el teléfono, en general una relación calidad-precio muy buena</t>
  </si>
  <si>
    <t>Muy bueno Es perfecto, su calidad precio muy buena y lo que mas me gusta es que sea plegable, lo cual me permite guardarlo o transportarlo con mayor facilidad.</t>
  </si>
  <si>
    <t>Buena crema Crema buenísima, totalmente recomendable, mucho más barata que en farmacia, tanto antes como después del entrenamiento, sin duda una buena compra</t>
  </si>
  <si>
    <t>Buena compra El producto es como.se indica.</t>
  </si>
  <si>
    <t>Perfecto Queda perfecto, tal y como esperaba!</t>
  </si>
  <si>
    <t>ALMOHADILLA ELECTRICA - MUY COMODA Hola, es fenomenal, se calienta rápido, te puedes ir a la cama con ella, sin preocuparte de a pagarla. Cubre bien cuello y espalda, por su tamaño se adapta a persona grandes y también a niños. Pues sus tres intensidades de calor lo permiten. ES FANTÁSTICA.</t>
  </si>
  <si>
    <t>Muy buen microfono. Producto muy bueno, el sonido es perfecto y muy bonito. Recomiendo poner la ganancia al minimo y bajar el audio del microfono en Windows al 50% para no tener ruidos de fondo.</t>
  </si>
  <si>
    <t>Funciona perfectamente y es pequeño y discreto Hace lo que tiene que hacer y cabe en cualquier bolsillo. Lo uso con presentaciones en PDF, así que las teclas de "pantalla en negro" no funcionan (están pensadas para PowerPoint y no son reprogramables), pero la verdad es que tampoco lo veo tan útil.</t>
  </si>
  <si>
    <t>Recomendable Esta marca me gusta mucho, los usaba con mi hija mayor porque era el único que cogia, y con el pequeño se los he cogido por la buena experiencia, y muy bien también.</t>
  </si>
  <si>
    <t>Talla perfecta Tengo entre un 38.5/39 y la talla 39 es perfecta. Además, si tienes el pie ancho son muchísimo mejores que las converse All Star, debido a que son mucho más anchas</t>
  </si>
  <si>
    <t>Producto satisfactorio Buena calidad de materiales. Buena terminacion</t>
  </si>
  <si>
    <t>para mi todo perfecto el reloj es exactamente como se ve en las fotos por eso que no entiendo los comentarios de que no se ven los numero... se ve igual que en la foto, luz, suficiente es un reloj, no una linterna... por lo demás es un G-Shock, si te gusta este tipo de relojes es tu reloj, para mi muy bonito</t>
  </si>
  <si>
    <t>Perfecto lo que buscaba Genial la amo! Es perfecta funciona de maravilla todo!!</t>
  </si>
  <si>
    <t>Muy recomendables Botas perfectas y aún precio excelente gracias a una oferta que encontré, las recomiendo ya que son muy posibles en todas las ocasiones</t>
  </si>
  <si>
    <t>Mala calidad Este producto es muy barato pero la verdad creo que no compensa tanto la compra en algunos casos. Me explico, he adquirido más de estas pulseras para regalar pero varias de ellas se me han roto a los pocos días de uso y en situaciones "normales". Una de ellas mientras me la sacaba del brazo sin hacer fuerza y otra mientras la cogía para ponérmela. No recomiendo este producto. En este caso, "lo barato sí que salió caro".</t>
  </si>
  <si>
    <t>Roomba calodad/precio Roomba basica de buena calidad precio (230€ en el momento de la compra) que cumple perfectamente su cometido dejando a un lado cosas como el programador etc etc.... muy recomendado</t>
  </si>
  <si>
    <t>Se ha roto en la zona del dedo al Se ha roto la punta, como desgastado por el dedo gordo, en ambos pies. No lo recomiendo.</t>
  </si>
  <si>
    <t>No vale para TV LED No vale para TV Led, cuando se apunta a una pantalla Led el punto verde se atenúa hasta casi desaparecer.</t>
  </si>
  <si>
    <t>Nada sarisdecho con la compra La cadena se ha quedado completamente negra en cuestión de una semana y el colgante se va oxidando poco a poco con partes negras... Así que la compra no ha sido nada satisfactoria...</t>
  </si>
  <si>
    <t>Cumplen bien su función y calientan el pie Buena compra como calcetín para rutas de varias horas en invierno. Las tallas són pequeñas, recomiendo coger una talla más de la habitual, porque aprietan bastante.</t>
  </si>
  <si>
    <t>Comoda Manejable buen tamaño</t>
  </si>
  <si>
    <t>Satisfecha con la compra Con una una semana de uso, funciona bien y estoy contenta con la compra. Es elegante para el día a día. Debería mejorar la duración de la batería.</t>
  </si>
  <si>
    <t>Linino Buena come esperava..Mejor la calidad de Superga antes hecho in italia..Esto modelo despues 3 meses de uso se despega el rivestimento enterior..</t>
  </si>
  <si>
    <t>El mejor precio a la mejor batidora del mercado Se nos estropeó la batidora anterior en la zona de encaje del pie y como el coste era mayor de la batidora en si decidimos volver a comprar una Taurus. Fue nuestra primera batidora y nos duró muchísimo y podía con todo. Decidimos cambiar de marca (Braun) y nunca fue tan potente como la que tuvimos. De nuevo, hemos vuelto a comprar otra Taurus. Es un modelo con muchísima potencian (1000w) y con turbo. En el tiempo que llevamos de uso, nunca hemos utilizado el turbo. Es tal la potencia que no hace falta y puede con todo. Muy ergonómica pero creíamos que iba a tener más cuerpo. No es una crítica, sólo parece un poco pequeña. Los purés los deja muy finos y para mover la masa de los bizcochos sin gluten que hacemos se maneja muy bien. Espero que nos dure muchos años como la primera porque creo que es una muy buena marca.</t>
  </si>
  <si>
    <t>Opinión colgante Hermoso el colgante, pequeño y ligero, viste con todo</t>
  </si>
  <si>
    <t>Muy buena compra Está muy bien y su sistema de sujeción es fantástico y evita perder la mi ban3</t>
  </si>
  <si>
    <t>FAJA REDUCTORA CON TURMALINA Es una faja/pantalón reductora,con turmalina. La turmalina mejora la circulación y tiene efecto adelgazante. Es suave y cómoda. Fácil de poner y quitar. La forma y los colores igual que en las imágenes. Muy contenta con la compra.</t>
  </si>
  <si>
    <t>Pulsera muy bonita y práctica La pulsera muy bonita. He tenido un problema con la inscripcion ya que pedi varias y han cambiado las anotaciones. Pero enseguida se respondieron a mi correo y van a solucionar el problema.</t>
  </si>
  <si>
    <t>En los comentarios se mezclan productos distintos. Los Auriculares muy bien. Se echa de menos un manual en castellano, aunque con el inglés me he apañado. Funciona muy bien, lo que esperaba.  Por cierto, Amazon, en los comentarios de los usuarios se mezclan los productos, al menos a mí me pasa. He entrado en esta compra, por ejemplo, y había preguntas y respuestas de otros productos que no tenían nada que ver con él. Deberíais echarle un vistazo a eso.  En fin: sólo llevo horas utilizándolos pero recomendables cien por cien.</t>
  </si>
  <si>
    <t>Una maravilla Una maravilla. Da muchísimo calor. Tiene un aroma estupendo. Relaja la zona en la que se aplica notablemente. Muy recomendable</t>
  </si>
  <si>
    <t>Colgante Como se ve en la foto</t>
  </si>
  <si>
    <t>Llegó tal y como esperaba!!!! Todo perfecto, incluía todo lo anunciado, y es igual que el de la peli! Estoy muy contenta con la compra!!!</t>
  </si>
  <si>
    <t>Perfecto Perfecto. Cumple su función.</t>
  </si>
  <si>
    <t>Calidad de sonido y cómodos Se me rompieron unos auriculares con los que estaba muy contenta porque eran muy cómodos y la forma de estos se parecía. De forma son iguales y encima se escuchan fenomenal. Llegaron antes de lo esperado. Muy contenta con la compra.</t>
  </si>
  <si>
    <t>Mi primera prenda de esta marca La verdad es que tiene muy buen tacto y yo creo que con esta prenda en invierno no pasaras frío</t>
  </si>
  <si>
    <t>Perfecto Todo correcto vendedor recomendado!!!</t>
  </si>
  <si>
    <t>Una gran compra. Me ha sorprendido totalmente este producto al precio que lo he comprado. Decir que se ajustan perfectamente, el ruido ambiente desaparece y el manejo es supersencillo. Además su batería dura bastante algo de agradecer para no estar continuamente enchufandolo. El detalle que más me ha gusto es que lo envían con varios pares de earwing de repuesto. Recomendable 100%.</t>
  </si>
  <si>
    <t>RECOMENDABLE BASTANTE BUENO</t>
  </si>
  <si>
    <t>Calidad y comodidad Calzado cómodo y funcional.</t>
  </si>
  <si>
    <t>Funciona Efectivamente, a la hora de escribir en los billetes no escribe nada, y en un folio escribe perfectamente, por lo que es cierto q detecta lo verdadero y falso.</t>
  </si>
  <si>
    <t>Targeta de memoria valida para camaras reflex Lo compré para mi cátara réflex Nikon de 24mp. Guardo las fotos en formato RAW y ocupan mucho. Rápida transferencia de datos. Calidad precio buena...</t>
  </si>
  <si>
    <t>Molan Cumplen mis expectativas</t>
  </si>
  <si>
    <t>botas pesan ,no las e llegado  a usar pero pesan un poco, espero que sean comodas ,y que valga la pena lo que e pagado</t>
  </si>
  <si>
    <t>La comodidad Muy comodos y transpiran muy bien pero la suela se estropea pronto</t>
  </si>
  <si>
    <t>No son circonitas y no parece plata... Son muy pequeños,pero quedan finos.Desde luego la circonita brilla por su ausencia, son de plástico.Veremos si dan alerjia,indudablemente no son plata de ley.Quizás un baño de plata?.Lo dudo....</t>
  </si>
  <si>
    <t>Estrechas Mi marido lleva muchos años usando este modelo de New Balance, el 373, pero en esta ocasión nos toca devolverlas porque a pesar de tallar como siempre de largo son excesivamente estrechas y resultan muy incómodas... Una pena</t>
  </si>
  <si>
    <t>No merece la pena por barato que sea De plástico malo. Se rompió al tercer día sin haberlo usado ni uno.</t>
  </si>
  <si>
    <t>Buena relación calidad-precio Buena relación calidad-precio</t>
  </si>
  <si>
    <t>Calidad, precio Me llegó bien, la calidad es la misma, el precio mucho mejor en Amazon y lo volvería a comprar</t>
  </si>
  <si>
    <t>Es el segundo que compro Es el segundo que compro para las peques, una de ellas estaba contenta y dedicí regalarle otro igual a la hermana. Me gusta la comodidad y los acabados, el cable es comodo. El precio/calidad esta bien. La calidad de sonido es conforme al precio, no se le puede pedir mas. Basicamente para ver videos y musica de mediana calidad.</t>
  </si>
  <si>
    <t>Su autonomía Hacer llamadas</t>
  </si>
  <si>
    <t>Muy bonito y eso pero con un gran fallo. El producto funciona muy bien, pero si ha de ser por el vendedor, ni me entero que funciona. El cable/enchufe, no va. Gracias que yo tenía un humidificador más, y el cable acopla con este, porque si no, no lo hubiese podido poner en marcha.  Ahora bien, el humidificador, de momento funciona. Tiene sus lucecitas, su boton para controlar el tiempo que esta en funcionamiento, su boton para controlar las luces y también para la niebla y demás.  No le puedo poner las 5 estrellas porque me parece de muy mal gusto que el enchufe/cable que se supone debe venir en perfectas condiciones con el producto, no va y he tenido que cambiarlo por otro de mi propiedad.</t>
  </si>
  <si>
    <t>Buena calidad - precio. Muy buena relación calidad precio, además me quedan como un guante, eso si, para el verano quizás no traspiran lo suficiente.</t>
  </si>
  <si>
    <t>Buen disco duro Cumple con su función a un buen precio comparado con las marcas más conocidas.  Cuenta con las siguientes especificaciones:  Capacidad de disco duro: 1024 GB Interfaz del disco duro: USB 3.0 Velocidad de rotación: 5400 RPM Velocidad de transferencia de datos: 5 Gbit/s Sistemas operativos compatibles: Windows XP/ Vista/ 7, Mac OS X 10.5/10.6  Se trata de una muy buena alternativa a las marcas convencionales ya que cuenta con una buena velocidad de entrada y salida de datos.</t>
  </si>
  <si>
    <t>Se maneja muy bien Me encanta porque atrapa todas las pelusas y pelos, una maravilla.</t>
  </si>
  <si>
    <t>Adecuados  si quieres hacer deporte con ellos Buenas a todos!! Esta semana he adquirido estos auriculares bluetooth totalmente inalámbricos.  Quería este tipo de auriculares porque normalmente salgo a correr por las tardes y me incomodaba mucho llevar cables colgando mientras corría.  Estaba buscando unos que fuesen económicos y que el sonido fuese acorde al precio. Estos, en cuanto al  precio, creo que es un precio bastante ajustado. En cuanto al sonido, nos ofrece lo máximo que se puede pedir por este precio. No tienen el sonido de unos auriculares de primera marca, pero tampoco tiene el precio de esa categoría de producto.  Un punto muy interesante de estos auriculares es que cuenta con una caja para transporte que, además, sirve para cargar los auriculares. Con la caja totalmente cargada, tendremos para cargar cada auricular varias veces. Por lo que siempre los tendremos cargados, ya que al colocar los auriculares, estos se cargan automáticamente.  De tamaño son intermedios. Parece un poco grandes cuando los cogemos con las manos, pero a la hora de ponérnoslos, no son incómodos.  En definitiva, son unos auriculares decentes si lo que queremos es utilizarlos para hacer deporte, no queremos pagar demasiado y queremos un sonido decente.  Os dejo algunas fotos para que podáis verlos con más detalles. Un saludo!!</t>
  </si>
  <si>
    <t>Perfecto 5Tb, usb 3, rojo, como mi portátil y además Western Digital. Perfecto. Le he puesto un sistema de archivos decente, btrfs, para trabajar con el seguro y rápido. Hasta la fecha ningún problema. Lo he desenchufado a lo bestia y no me ha perdido ni un archivo. Realmente perfecto, y hace conjunto con el portátil y el ratón.</t>
  </si>
  <si>
    <t>Les falta el Español Se echa de menos una buena descripción en español y fotos de cómo utilizar el producto.  Lo utilizo para reducir la grasa facial realizando movimientos suaves por toda la zona sobre todo la zona de la mandíbula junto con la papada.  Rápida entrega y se aprecia ls calidad. Buen producto.</t>
  </si>
  <si>
    <t>Contento Todo bien números grandes resistente y recoge bien</t>
  </si>
  <si>
    <t>Simplemente genial La compre para regalársela a mis padres y estan encantados con ella. Bonita, pequeña y con 2 vasos de buen tamaño y con un precio genial. Vaya, Maravillosa.</t>
  </si>
  <si>
    <t>Perfecto aparato. &lt;div id="video-block-R13AZD8X5G3GKK"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src="https://images-eu.ssl-images-amazon.com/images/I/81I5vxO6YkS.mp4" style="position: absolute; left: 0px; top: 0px; overflow: hidden; height: 1px; width: 1px;"&gt;&lt;/video&gt;&lt;/div&gt;&lt;div id="airy-slate-preload" style="background-color: rgb(0, 0, 0); background-image: url(&amp;quot;https://images-eu.ssl-images-amazon.com/images/I/A1uUoncYTXS.png&amp;quot;);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center;"&gt;0:07&lt;/div&gt;&lt;div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18.0277%;"&gt;&lt;/div&gt;&lt;div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value="https://images-eu.ssl-images-amazon.com/images/I/81I5vxO6YkS.mp4" class="video-url"&gt;&lt;input type="hidden" name="" value="https://images-eu.ssl-images-amazon.com/images/I/A1uUoncYTXS.png" class="video-slate-img-url"&gt;&amp;nbsp;Me va perfectamente , ya que es un aparato que pesa un poco, y aparte lleva un antideslizante inferior, para que no se mueva.   Me ha sorprendido, ya que lo puedo usar con una sola mano.</t>
  </si>
  <si>
    <t>Accesorios formato mini El recipiente picador es pequeño, ideal para poca cantidad de alimento. El ajuste al brazo no es fijo a la tapa lo que facilita su limpieza. Perfecto en tamaño compacto.  El minipimer tamaño normal</t>
  </si>
  <si>
    <t>Genial Son unos aros pequeñitos pero son muy bonitos y quedan muy bien. Llego en el plazo previsto al ponertelos cuesta cerrarlos pero solo tienes que abrirlos un poquito con cuidado y ya se adaptan a la perfeccion. Los recomiendo son muy comodos de llevar como son pequeños no pesan nada y no me los quito para dormir porque no molestan.</t>
  </si>
  <si>
    <t>Sencillez y potencia Llevaba tiempo queriendo comprar una batidora de vaso, para poder preparar batidos o zumos de frutas y este producto me ha parecido un gran acierto, ya que tanto el diseño que tiene, como la potencia están cumpliendo completamente con las expectativas. El artículo se compone de 2 partes bien diferenciadas, la base; donde se encuentra el motor y la ruleta de mandos y la jarra, donde las afiladas cuchillas nos ayudarán para preparar nuestros zumos, batidos, etc. - La base está construida en plástico, combinando los colores rojo y negro para darle un toque juvenil y alegre a nuestra cocina, y cuenta con 4 ventosas en la parte inferior de su base para evitar que la batidora se mueva mientras preparamos nuestros batidos. La ruleta de mando cuenta con 4 posiciones, de izquierda a derecha: "P" (funciona como un pulsador), "Apagado", "Velocidad 1" y "Velocidad 2". - La jarra es de cristal grueso de 1.5 Litros, con una asa lateral que nos ayuda en la labor de acoplarla a la base de la batidora, así como para servir el zumo o batido preparado en ella. En la parte superior de la misma tenemos una tapa de plástico semirrígido para evitar que los alimentos se desborden, con una tapa más pequeña en su parte central, de plástico rígido transparente, la cual se puede utilizar como vaso de medidas, ya que dispone de unas muescas para tal fin, además de utilizarse para completar la tapa y evitar la salida de los alimentos. En la parte inferior de la jarra es donde se encuentran las 4 afiladas cuchillas, concretamente en una pieza de plástico rígido que sirve de unión entre la jarra y la base de la batidora. En cuanto a su funcionalidad, la potencia de la batidora permite tanto triturar nuestras frutas y verduras, como picar hielo para preparar deliciosos granizados. Me ha gustado que para la fuerza que muestra no sea muy ruidosa, ya que hay muchas en el mercado que no sirven para picar hielo y hacen mucho más ruido cuando se usan. Respecto a la limpieza del producto, es muy fácil de limpiar, ya que la posición "P" de su ruleta está pensada para ayudarnos en su limpieza agregando un poco de agua y jabón a la jarra; además esta se puede desmontar, separando la jarra de cristal de las cuchillas y de la tapa, permitiendo limpiarla de una forma muy cómoda y sencilla. Por todo esto, me parece que la compra ha sido todo un acierto y estoy encantado con ella en casa.</t>
  </si>
  <si>
    <t>Muy cómodos. Y no solo muy cómodos, sino que encima transpiran perfectos, que mas puedes esperar de unos calcetines por este precio?</t>
  </si>
  <si>
    <t>Calidad precio oferta que compre Una prenda buenísima para ir a la nieve y para pasear los días fríos de invierno</t>
  </si>
  <si>
    <t>Recomendable Tuvimos que comprar una porque la anterior pasó a mejor vida, tenía ya muchos años. La marca la teníamos bastante clara, y tampoco necesitábamos mucho, se usa para purés de verduras, batidos y cosas así, cumple su misión perfectamente, además de eso el ruido es mucho mejor que la anterior.</t>
  </si>
  <si>
    <t>Buena calidad El cable es bastante largo y tiene muy buena calidad. Funciona de maravilla. Nada que envidiar a los cables más caros. No da nada de ruido. El cable viene con una cajita con púas de 1 mm y de 1.2mm además de una púa dura que es una maravilla y se agradece muchísimo el detalle</t>
  </si>
  <si>
    <t>Muy cómodas No las uso para correr, sólo para uso diario, pero me parecen muy cómodas, y como tienen rejilla, no son excesivamente calientes para el verano, aunque imagino que en invierno serán demasiado "frescas" Contento con la compra.</t>
  </si>
  <si>
    <t>Preciosos Mas bonitos que en las fotos y en una caja elegante, mi novia quedó encantada, (es lo importante) xd</t>
  </si>
  <si>
    <t>Buena compra Muy bonitas yo soy 39 y compré justo esa me quedan un poco grande pero con las plantillas perfecto buena compra las recomiendo y muy buen precio ahora haber cuánto duran</t>
  </si>
  <si>
    <t>Gustavo Martin Pese a ser mi número habitual de adidas 47/3. Me quedan muy pequeñas para andar o correr. Las tuve que regalar</t>
  </si>
  <si>
    <t>A las zapatillas les doy un 10, pero... Las zapatillas son perfectas, tal y como las esperaba. La calidad típica de Nike, acabados geniales... ¡No me pueden gustar más! Ahora, tengo un problema, y es que las he recibido sin que se les haya eliminado la alarma, de forma que voy pitando por cada tienda en la que entro. Sé que no hay más que pedir en cualquier tienda que te la eliminen, pero me parece un gran error por parte del vendedor... Por lo demás, las zapatillas de 10.</t>
  </si>
  <si>
    <t>Más bonita que efectiva No me a convencído</t>
  </si>
  <si>
    <t>Un gran chasco, la tinta dura 20 hojas!! Desde que la he instalado el día 24/08 solo he tenido problemas😰. Los paquetes de tinta del servicio tardan 10 días la primera vez u al quedarme sin tinta he tenido que comprar y me ha durado el color 20 páginas!!! En menos de un día me he quedado sin tinta!!! Algo inexplicable. He llamado al servicio técnico y si me mandan otro cartucho pero vendes en tres días, así que estoy aquí colgada y vetando dinero de más sin tener imoresora para trabajar. Un desastre además que solo te deja escanear en JPG o PDF y no pidas más. Voy a devolver este aparato ya!!!</t>
  </si>
  <si>
    <t>Zapatos de baile Los zapatos llegaron más tarde de lo que debían, y tras llegar, cuando por fin me los pude poner la hebilla se rompió la segunda vez que me los quería poner.</t>
  </si>
  <si>
    <t>Smartwatch enfocado al deporte El smarwatch es resisente y muy bonito, cumple de sobra a la hora de realizar actividades deportivas, la pantalla es una pasada, y la bateria es aceptable ( 2,5 dias). Le pongo 4 estrellas porque tiene algunos puntos negativos, empezando por el sistema operativo (Tizen), tengo que decir que funciona de maravilla, pero a la hora de instalar aplicaciones tiene muy pocas y ademas de pago (vengo de wear os y este tiene miles y la mayoría gratuitas), me gustaría por ejemplo tener Google Maps (hay similares, pero ni de lejos funcionan decentemente) cosa que no tiene. Otro punto negativo a destacar son las notificaciones de WhatsApp, no están del todo bien implementadas y contestar se hace engorroso. Conclusión: Si buscas un reloj elegante o para hacer deporte, (tampoco es un Garmin, pero tiene in monton de pijadas que Garmin no suele llevar) con una bateria aceptable, (también puedes realizar llamadas y responder desde el mismo) no lo dudes, este es tu reloj. En cambio si buscas trastear mas, e instalar un monton de aplicaciónes no te lo recomiendo, (para eso iria de cabeza a wear os, pese a los problemas de bateria).  Tambien tengo que decir que el asistente de voz no funciona tan mal como comentan por ahi, a mi por lo menos me funciona bien, reconoze la voz si ningun problema, incluso frases largas.</t>
  </si>
  <si>
    <t>Bueno Está bastante bien por el precio que tiene. Da la sensación de que cuando haga más calor puede que haga que sude mucho la muñeca. El accesorio para el ratón es un poco exagerado en cuanto al tamaño, pero está bien.</t>
  </si>
  <si>
    <t>Están bien para el precio. Los cascos están bien para el precio, buena relación calidad/precio. Vienen con una bolsita de tela para guardarlos. Puedes conectarlos via bluetooth o con cable. Los compré para mi hija que está encantada .Para mi gusto los graves son demasiado acusados.</t>
  </si>
  <si>
    <t>Genial Muy comodos</t>
  </si>
  <si>
    <t>La cavidad de lentes lupas q tienes, así q se adapta a tu dioptria. Excelente, muy útil. La relación precio calidad perfecta... En Comercios sale mas caro</t>
  </si>
  <si>
    <t>Para repetir. Muy buen producto Buen producto</t>
  </si>
  <si>
    <t>Converse Perfecto 👌</t>
  </si>
  <si>
    <t>ACEITES esenciales para cosmetica o humidif. Se trata de un set de 6 aceites, no de aromas, ni de ambeintadores, es ACEITE ESENCIAL. Asi que no se va a disolver en agua ( aunque puede usarse en humidifcadores) donde consigues picos de olor mucho mas intensos que con esencias al agua, pero, menos constantes, a mi me gusta mas para ir percibiendo cambios en el olor. Tambien claro tienen un olor mucho mas intenso que los aromas.  Trae un rango de olores muy amplio, desde mas calidos y tipo madera como la naranja dulce a mas fescos como el te verde.  Los he usado para jabones y como ambientador, y vamos, como  cualquier otra esencia de calidad , un buen resultado. Algo que si tienen que lo hace muy chulo es el empaquetado, que da muy buen aspecto para regalo, por ejemplo.</t>
  </si>
  <si>
    <t>Acabado muy bueno Mucho mejor que en la foto, ensamblado en china (como los iPhones, etc...) pero supervisados por los japoneses, muy buen acabado y buen precio. Esta claro que Casio quiere hacer algo como sus compatriotas en el sector automovilistico, y crea esta gama "marca" Edifice para hacer algo parecido a Toyota o Nissan con Lexus o Infiniti, y saltar a una gama de relojes de mas "categoría".</t>
  </si>
  <si>
    <t>Muy bonitas Las mejores que tengo. Tela gruesa y cómoda. Muy favorecedor y super bonitas</t>
  </si>
  <si>
    <t>Largos Todo correcto, la talla s para 1,70 queda largo de piernas!!</t>
  </si>
  <si>
    <t>Muy cómodas Muy cómodas, eran para un regalo, la destinataria está encantada con ellas. Repetiría la compra sin dudarlo. Producto muy recomendable.</t>
  </si>
  <si>
    <t>Muy practico. Muy contentos con la compra. Resulta muy comodo y practico. Al ser plegable ocupa poco espacio. Buena relacion calidad precio.</t>
  </si>
  <si>
    <t>Super cómodas, muy aconsejables Espectacularmente cómodas, realmente responden a lo que se esperaba y muy puntuales en el envio</t>
  </si>
  <si>
    <t>Perfecto Perfecto,una pega, al ser metalico hay que tener cuidado una vez que esta caliente, porque si tocas lo metalico quema. Por lo demas mas que perfecto.</t>
  </si>
  <si>
    <t>Sofía Me encanta, sufro de fuertes dolores en los hombros y espalda, el masajeador me a aliviado bastante. Yo lo uso después de la ducha y primero aplico crema para el dolor o inchazon (piernas), enciendo la función de calor y te deja como nuevo. Pesa un poco por lo que al hacerlo una persona sola durante mucho tiempo cansa un poco. Pero aún así lo recomiendo 👌👌</t>
  </si>
  <si>
    <t>Buena calidad. Cascos tipo in-ear. El cuerpo de aluminio y todo el cable viene recubierto de silicona, lo que le da la rigidez justa para que no se enreden demasiado. La caja es bastante sencilla y nos trae los auriculares, 3 juegos de almohadillas de silicona en 3 tamaños diferentes, una pequeña pinza para unir los cascos a la ropa en caso de hacer deporte con ellos y una pequeña tira de velcro que nos permite llevar los cascos bien recogidos sin que se líen. La calidad del sonido es bastante buena y con un Xiaomi Mi 9 el control de volumen, el play y pause y la gestión de llamadas va perfecta. Por lo que me han dicho se oye bien al hablar por teléfono. Yo usaba las almohadillas medias hasta que probé las pequeñas y son un gustazo.</t>
  </si>
  <si>
    <t>La mejor tinta para recargar sellos Llevo años usándola, en relación calidad precio es la mejor. No transfiere, dura mucho, cómodo de usar, bien cerrado y guardado no se seca. Perfecta.</t>
  </si>
  <si>
    <t>Súper cómodos Estupendos le an encantado a mi madre , ya son los segundos que le compro . Son muy cómodos para ir andar .</t>
  </si>
  <si>
    <t>Todo lo que esperaba a ese precio Genial. una tarjeta con suficiente capacidad para no preocuparme en todo el viaje.</t>
  </si>
  <si>
    <t>Regular Me fue genial, pero la bomba de aire se me rajo..</t>
  </si>
  <si>
    <t>Muy recomendable No he tenido unas mallas más cómodas en mi vida,  tanto para correr como para zumba</t>
  </si>
  <si>
    <t>Mala Bastante regular. Pensé que la marca me daría un buen producto, y cual fue mi sorpresa cuando venia completamente pegada por uno de los laterales, haciendo imposible su separación si necesidad de unas tijeras. La adhesión es buena, pero como es tan difícil de utilizar no recomiendo este producto</t>
  </si>
  <si>
    <t>Ordinario Un poco grandes son. La calidad normal, y la terminacion floja, se me salió un botón que sostiene la tira del talón y quedó al aire.</t>
  </si>
  <si>
    <t>Normalita Cinta buena, no es ninguna maravilla pero cumple su función.</t>
  </si>
  <si>
    <t>Decepcionante - Nada recomendable Tres meses usando este reloj y ya se me para o se me retrasa. No me había pasado nunca. Bastante bonito pero un reloj que no da bien la hora no es NADA RECOMENDABLE.</t>
  </si>
  <si>
    <t>No cumple las expectativas Lo compré para mi padre porque él ya había usado esta marca, pero ya no es lo que era, para empezar la jarra y la base no  se quedan del todo fijas al encajarlas, hace muchísimo ruido y el material deja mucho que desear.</t>
  </si>
  <si>
    <t>Fantásticas Me encantan</t>
  </si>
  <si>
    <t>Precio y calidad. Genial</t>
  </si>
  <si>
    <t>Muy bien Muy bonitos, pequeños, tal como en la foto.</t>
  </si>
  <si>
    <t>Fácil de usar y robusto. Fácil de usar y robusto.</t>
  </si>
  <si>
    <t>Muy bonito! He comprado este despertador sobre todo por las luces porque como duermo con mis hijos pequeños, así no está todo oscuro. Se puede ajustar el tiempo para apagar el monitor, las luces simulan el atardecer y el amanecer,  tiene 7 luces diferentes que son los colores del arcoiris, tiene radio - reloj - alarma, 3 tipos de sonido. Dura 1 día la batería y viene con su cargador usb. Está genial!!</t>
  </si>
  <si>
    <t>me ha encantado Este producto es estupendo. Me ha sorprendido porque tiene multitud de ventajas. Puedes picar lo que quieras, realizar batidos, zumos, muchas mezclas. Viene con una gran variedad de herramientas, y permite hacerte tus propios batidos y llevarlos a donde quieras gracias a los frascos que tiene y las tapas. La potencia y velocidad del aparato es muy buena. Da muy buenos resultados.</t>
  </si>
  <si>
    <t>Perfecto Da la hora, no pesa, se ve perfectamente. De momento tengo dos de diferentes colores, se echan en falta más.</t>
  </si>
  <si>
    <t>Perfectos Chollazoooo</t>
  </si>
  <si>
    <t>Elimina los olores de los espacios cerrados y con humedad Me ha sorprendido este producto. No comocía el efecto del carbón activo en los espacios de mal olor, sobre todo debido a la humedad y condensación. Necesita unos días pero funciona genial y elimina los olores, y los mantiene a raya. Genial para huecos o armarios con problemas de olores. Estamos encantados. Además, es un pack bastante grande, lo puedes usar para varios espacios. El precio muy bueno eniendo en cuenta que son 6 bolsas.</t>
  </si>
  <si>
    <t>Recomendable Precio barato y de muy buena calidad. Correa similar a la de los clásicos Casio de metal. Queda perfecto para el modelo space gray.</t>
  </si>
  <si>
    <t>Curioso El diseño me parece muy bueno, por eso me animé a comprarlo, ya que hago colección de relojes.  Está muy bien presentado, en una caja con accesorio para acortar la correa y todo, cosa que se agradece.  En acabados parece bien acabado y robusto la verdad, las esferas son funcionales todas, una indica si es de dia y de noche y el dia, otra la semana del año y la ultima es un cronometro pero solo de segundos que se usa con los botones laterales.</t>
  </si>
  <si>
    <t>Bueno, bonito y barato Se conecta facilmente y puedes manejar PowerPoint.</t>
  </si>
  <si>
    <t>Perfecta Son muy bonitas y cómodas!!!</t>
  </si>
  <si>
    <t>Producto Excelente Los pendientes me parecieron pequeños cuando los recibí, pero estoy  muy contenta, pues tengo muchos problemas de rechazo con la bisuteria e incluso con el oro y la plata. No soporto llevar pendientes más de dos horas seguidas y la mayoria de las veces, me da picor y me los tengo que quitar. Sin embargo estos pendientes los llevo todo el día  y no me molestan nada. Estoy estupefacta. No me lo esperaba para nada Los he recibido dentro de lo previsto.</t>
  </si>
  <si>
    <t>Comodisimas Las estrene para las vacaciones, andé muchisimo y no me llagaron ni salieron rozaduras. Són super comodas y flexibles. Muy recomendable.</t>
  </si>
  <si>
    <t>Perfectas Tal y como se ven en la foto, muy cómodas y bonitas. NB originales, muy satisfecho</t>
  </si>
  <si>
    <t>Calidad y precio súper Muy grande, lo uso para calentar agua pra el te o cocinar. Bonito y de calidad. Lo compraría de nuevo</t>
  </si>
  <si>
    <t>Canela Da para pocos usos, pero probablemente dure más que el envase de toda la vida, ya que aquel se seca rápido y se tiene que terminar tirando a la basura.  A la espera de que Loctite saque un envase grande con el mismo aplique que los que usan estas unidades pequeñas, le pongo 4 estrellas.</t>
  </si>
  <si>
    <t>Bien De momento va muy bien. Tiene gran potencia.</t>
  </si>
  <si>
    <t>Me va muy bien la verdad es que va genial, la precision es muy buena, lo unico es que molesta un poco la nariz cuando llevas mucho rato, pero muy buenos, al menos para mi gusto.</t>
  </si>
  <si>
    <t>Comodidad Supercomodas, como si fueras descalzo. Hemos comprado al menos 5 pares de Skechers diferentes para personas diferentes y todos encantados😊</t>
  </si>
  <si>
    <t>Buena Buen</t>
  </si>
  <si>
    <t>Muy contento Me ha sorprendido la verdad para trabajar y aislarte del ruido son perfectos, tengo compañeros al lado hablando y no los escucho poniendo la música baja prácticamente. No aprietan y no pisan las orejas, la batería me dura bastante, son mi cómodos. Hago videoconferencia y el micrófono va perfecto. La cancelación de ruido no va mal, si es verdad que eso es con ruido constantes y sobre todo más graves, los pasa como a un segundo plano pero no esperéis en silencia darle al botón no oír nada.</t>
  </si>
  <si>
    <t>No vale para mucho uso de golpe. Lo que ves es lo que hay, simple y endeble no creo que dure mucho, le doy dos estrellas por la cantidad de zumo que cabe en el recipiente ya que es la que yo necesito.</t>
  </si>
  <si>
    <t>Aceptable, se podría mejorar algún aspecto Calidad correcta. De algo tan simple y barato no puede exigirse demasiado. No obstante, es un poco molesto que el brazo se desenrosque tan fácilmente del agarre a la pata del micro. A la hora de doblarlo para ajustarlo es sencillo que se afloje y se gire sin querer.</t>
  </si>
  <si>
    <t>No para deporte. Mejor no hacer deporte con ellos, se caen.</t>
  </si>
  <si>
    <t>Son falsas Las que me llegaron a mí son más falsas que Judas. La plantilla interior se separa de la parte del talón y el pie se mueve; ese “baile” del pie y la rozadura con la plantilla que no está bien sujeta a la zapatilla me hacen rozaduras. Las he comparado con las otras Skechers que tengo y no tienen nada que ver. Me siento estafada</t>
  </si>
  <si>
    <t>fatal se sale el agua Para mi la peor compra,  no se que le pasa que cuando la enciendo se me sale el agua , me moja toda la ropa ... no estoy nada contenta</t>
  </si>
  <si>
    <t>Buena relación calidad-precio El producto es justo tal y como se indica. Una pequeña bolsa ligera y cómoda. Es lo suficientemente pequeña como para ir cómodo realizando alguna actividad. Es lo suficientemente grande como para llevar lo mínimo necesario: LLaves, cartera, móvil, una botella de agua de medio litro y poco más. El material no parece muy resistente pero por el precio de la mochila cumple de sobra su función. Yo la recomiendo para gente que realiza largos paseos y no quiere bultos en los bolsillos.</t>
  </si>
  <si>
    <t>Ligero y resistente Lo que buscaba, ligero pero resistente.</t>
  </si>
  <si>
    <t>Geniales, pero... Son magníficos con una duración de batería larguísima. Sólo una pega. No sirven  para televisores samsung. Cuesta un montón su reconocimiento y emparejamiento y cuando se apaga la tele y se vuelve a encender, desaparecen y hay que repetir el difícil proceso de detección y emparejamiento. Por lo demás, magníficos.</t>
  </si>
  <si>
    <t>Francisco Javier Esta muy bien la calidad precio esta bastante aceptable, de tamaño para mi es la ideal pero pude que para algunos les venga algo pequeña, pero como digo para mi es el tamaño ideal y es bastante bonita</t>
  </si>
  <si>
    <t>Talla pequeño Tengo otras Timberland por lo que ya venía con el cuento y por tanto he acertado como esperaba. El modelo no se corresponde exactamente con lo que pedí, pues tiene un dibujo plateado en la zona trasera que no "mola" demasiado y es algo resbaladiza. Mis otras timberland son más resbaladizas aún, pero son muy cómodas y bonitas quitando el "dibujillo" de atrás. Un saludo</t>
  </si>
  <si>
    <t>Aptos para hacer deporte Calcetines aptos para realizar deporte. Sujetan bien en la parte de la pierna y son gruesos, llegando un palmo por encima del tobillo.</t>
  </si>
  <si>
    <t>Bonita Muy bonita, perfectamente embalada en su caja de Lotus. Fácil de poner y quitar</t>
  </si>
  <si>
    <t>Bona compra Targeta de memoria d'una marca coneguda, ho trobo tot bé, la targeta de 16GB que he comprat la tinc al mobil i tot em funciona bé, ni tant sols noto que esta posada que és del que és tracta.  El paquet porta un adaptador per a convertirla de SD a un tamany més gran, he probat de llegirla a l'ordinador amb l'adaptador i tot és correcte.</t>
  </si>
  <si>
    <t>Buen producto a buen precio Sandisk es una marca de confianza. Muy buen producto a un precio inmejorable. Cumple lo que promete. Aprovecho cuando salen ofertas de este tipo para comprar varias unidades, es algo que siempre viene bien tener a mano</t>
  </si>
  <si>
    <t>perfecto llego en tiempo y precio feniomenal</t>
  </si>
  <si>
    <t>Auriculares bluetooh Auriculares Bluetooth primero comentaros que me fije en las reseñas y me aventuré y genial porque necesitaba que me fuera bien con iPhone, antes de nada la presentación y bien protegido que viene en su estuche incluyendo repuestos no solo de dentro sino el colgante para la oreja también, al conectar se pilla a la primera rápido y fácil, las llamadas suenan limpias y bastante altas descolgado la llamada fácilmente también, me an encantado la verdad sobretodo por lo bien que se acoplan y suenan.</t>
  </si>
  <si>
    <t>Buena compra. Cómodos, transpirables los utilizo para jugar a pádel y muy bien faltaría saber la duración pero la primera impresión es muy buena.</t>
  </si>
  <si>
    <t>Perfecto para mujeres estrechas con mucho pecho Yo tengo muchisimo pecho y soy delgada y eso complica mucho la búsqueda de sujetadores, uso una 80-85F, y este queda maravilloso, creedme que he buscado y probado muchiiisimos sujetadores, te sujeta muchisimo el pecho, pero sin aplastarlo, yo lo consideraría hasta reductor, reduce el pecho y las tiras y la espalda son lo suficiente anchas para aguantar el peso y no fastidiarte la espalda . Es perfecto!</t>
  </si>
  <si>
    <t>Sencillamente brutal Sabemos todos que el inconveniente de los productos Apple es su hermetismo a la hora de combinarlo con accesorios que no son propios de la marca. Compre este producto llevado por las buenas opiniones, y el resultado no ha podido ser mejor! Te bajas la App, y todo va solo! Sencillo. Rápido. Eficiente. Útil! Muy útil. Ya no justifica pagar una pasta por iPhones con una memoria mayor. Es un simple Pincho como otro cualquiera para llevarlo encima siempre. Genial!!!! Por poner una única pega: no tiene ranura para engancharlo al llaverlo y llevarlo siempre contigo. Calidad precio: 10!</t>
  </si>
  <si>
    <t>Precioso Muy bonito y ligero, diseño elegante, muy contenta con la compra.</t>
  </si>
  <si>
    <t>Rapido Genial</t>
  </si>
  <si>
    <t>La mejor compra en años Me gasto una cantidad considerable en tecnología al año y en auriculares en concreto, tengo unos cuantos de diversos tamaños. Viajo mucho por trabajo y andaba buscando unos inalámbricos con reducción de ruido sin perdida de calidad. Son los mejores. En estetica los BW PX le ganan pero en todo lo demas los Sony son mejores. La bateria es eterna, la cancelación de ruido es espectacular, de hecho es tan fuerte q se puede calibrar a traves de la app para adaptarla a las condiciones de tu oido. Se pueden ecualizar, tienen un modo para dejar pasar el sonido ambiente en caso de estar en movimiento, para que no te atropelle un coche, es compatible con Alexa y Google Home, y lo mas importante, suenan espectacular. Son casi 400€ pero merecen la pena de verdad.</t>
  </si>
  <si>
    <t>lo que esperaba muy buen material. era lo que necesitaba para mis clase de dibujo tecnico, espero que me duren y cumpla su funcion.</t>
  </si>
  <si>
    <t>Producto muy práctico Lo recomiendo, muy buen producto y mu práctico. Lo unico el palo un pelin corto para ser perfecto.</t>
  </si>
  <si>
    <t>Satisfecho con la compra Estoy muy satisfecho con la compra realizada. Se adaptan muy bien a los cinturones de seguridad, son muy ligeros y no dan una sensación de incomodidad al conducir como otros que he tenido, es decir, que no notas que los llevas puestos. De momento no he apreciado signos de deterioro inusuales, por tanto valoro tambien positivamente este aspecto. En cuanto a su diseño, buena combinación de colores, y una buema terminación del cosido del logo y de las letras.</t>
  </si>
  <si>
    <t>Comodidad para el día a día. Muy cómodas para caminar, ideales para entretiempo. No pesan nada, amortiguan bien. Son como de tela y transpiran, buenos materiales.</t>
  </si>
  <si>
    <t>Precio-calidad Buen precio-calidad</t>
  </si>
  <si>
    <t>Buen producto Me ha gustado el precio cuanto a capacidad....lo único me costó darle formato ya que mi s.operativo no lo detectaba...pero reconozco que funciona como un rayo.</t>
  </si>
  <si>
    <t>Calidad precio Son muy cómodas</t>
  </si>
  <si>
    <t>1,5 años de vida Estos dispositivos tienen un número de escritura-borrados limitados; el de esta tarjeta no debe ser muy elevado. Ha funcionado bien...Durante 1,5 de años en el móvil, sin llegar a llenarse nunca, pero ya no se puede escribir ni borrar lo que hay en ella. He tenido otras tarjetas más tiempo que aún funcionan</t>
  </si>
  <si>
    <t>Era para un disfraz Yo no lo usaría a diario. Solo lo cogí para un disfraz. Pero el envío llegó a su tiempo debido y el precio está bien.</t>
  </si>
  <si>
    <t>Falsas Una de las zapatillas tiene 5 agujeros para los cordones y la otra tiene 4. Vaya decepción.  No os fiéis</t>
  </si>
  <si>
    <t>Lentos, no aguantan un poco de estrés Devueltos. Lo único bueno que tienen es la luz parpadeante indicando actividad, algo que deberían tener todos los pendrives de serie. Por lo demás, no aguantó 1 hora de uso intensivo y quedó pa los corrales.</t>
  </si>
  <si>
    <t>Casi perfecto Me guíe por los comentarios y no estoy decepcionado pero lo esperaba un poco mas robusto, por otra parte los números perfectos y granditos, una buena compra</t>
  </si>
  <si>
    <t>Muy buen disco Envío rápido. No viene en ningún tipo de caja, y el embalado no es muy bueno. Por lo demás muy bien, el disco lo esperado de un western digital, muy buen producto.</t>
  </si>
  <si>
    <t>Buena compra Muy buena idea, tanto para uso propio como para regalo. Cuesta un poquito acostumbrarse,pero funciona</t>
  </si>
  <si>
    <t>Sonido bueno y usabilidad correcta El sonido del amplificador es muy correcto y si vas de viaje y quieres llevarte la guitarra (eléctrica o acústica) es una muy buena opción para llevar el amplificador contigo. No creo que se pueda utilizar para tocar en público ni para ensayar en grupo. Si lo he utilizado para practicar sola y en pequeños grupos acústicos.</t>
  </si>
  <si>
    <t>Relación calidad precio buena Buena relación calidad precio. De momento funciona perfectamente. Le doy mi máxima puntuación</t>
  </si>
  <si>
    <t>Absoluta calidad La tengo en mi Nintendo switch y va perfecta, vale la pena gastarse el precio que tiene para tener la seguridad de la calidad que ofrece</t>
  </si>
  <si>
    <t>Perfectas Me encantan, tallan amplio y si tienes el pie un pelín ancho son mucho más cómodas que las converse. El color tal y como se ve, las he puesto a diario desde que las recibí</t>
  </si>
  <si>
    <t>Zapatillas cuña perfectas El diseño es moderno muy bonito aunque la suela es de plastico duro. Calidad precio bien. Muy comodas y con altura.</t>
  </si>
  <si>
    <t>Lo recomiendo Hace su función correctamente, muy buen precio y como siempre la entrega a tiempo de parte de Amazon, lo recomiendo.</t>
  </si>
  <si>
    <t>funda de muy buena calidad comparadas con otras fundas que se doblan o se rompen con facilidad, estas fundas son de muy buena calidad y hechas de un material resistente. si quieres guardar muchos documentos dentro de ellas las aconsejo.</t>
  </si>
  <si>
    <t>Queda como esperaba El tallaje es perfecto, ni demasiado grande ni demasiado pequeño. Aún así, hay que tener que en cuenta que al lavarlas tienden a encoger ligeramente. El envío fue muy rápido y sin ningún problema. Estoy encantada.</t>
  </si>
  <si>
    <t>Perfectos para pilates Compré el pack de calcetines como regalo, la persona está encantada con ellos, la talla le queda perfecta teniendo una 38 y son muy confortables y útiles para practicar pilates, además de muy bonitos. La bolsita también es útil para transportarlos.</t>
  </si>
  <si>
    <t>Cambiar talla tetina Está muy bien, de hecho quiero pedir alguno más, pero me lo podrían enviar con las tetinas de la talla 3? Porque el que compré vino con tetina talla 2 y no me daba opción a cambiarla....</t>
  </si>
  <si>
    <t>Tal y como esperaba Igual que en la foto</t>
  </si>
  <si>
    <t>Funciona genial. Funciona genial. El servicio post venta de 10</t>
  </si>
  <si>
    <t>Bolso de lona de tamaño medio Bolso de lona algo flexible como quería justo lo que queria de tamaño adecuado ni demasiado pequeño ni demasiado grande con capacidad para un botellín de agua y un libro pequeño y demás objetos pequeños personales. Lo único que le veo un poco estrecho por lo demás bien.</t>
  </si>
  <si>
    <t>La forma y que acopla La tintada negra se queda descolorida aunque se lave con ropa oscura</t>
  </si>
  <si>
    <t>buen regalo Bonito, bien acabado, buen regalo.</t>
  </si>
  <si>
    <t>Bestiales Excelente calidad de sonido y fabulosa cancelación de ruido, eso para empezar, luego seguimos con la duración de la batería ya que es bastante larga incluso cuenta con carga rápida por si tenemos poco tiempo para cargarlos, usamos un USB tipo C para ello. A la hora de usarlos son muy cómodos de poner ya que tiene bastantes tamaños de almohadillas dependiendo del tamaño de nuestro pabellón auditivo. Para sacarle el máximo partido tenemos que bajarnos una aplicación y así poder ajustar los modos a la hora de manejo, con tan solo tocarlos ya que tiene un panel táctil y desde el podemos responder llamadas, rechazarlas y todos los ajustes esenciales a día de hoy. Otra cosa es la cancelación de ruido que nos evade del ruido exterior con tan solo hacer una pulsación sobre ellos para activarlo y así poder disfrutar de la música pura y dura. Cuenta con NFC y bluetooth 5.0 para garantizar el sonido de excelente calidad y no perdamos la conexión. Podemos usarlos con Google assistant aunque a mí me ha dado la opción de Alexa pero no lo he elegido. También tenemos la opción de usar uno solo mientras que es otro podemos dejarlo en la funda, esta es grande pero muy elegante siendo una powerbank a su vez para cargar los auriculares mientras están dentro de esta. Maravillosos aunque quizás no estén diseñados para hacer deporte como los 900 que resisten agua y polvo, aún así son bestiales</t>
  </si>
  <si>
    <t>Altas prestaciones para los valiosos datos. Cuando la fiabilidad unida a las altas presataciones van juntas, si se necesita tener espacio para albergar información. Súper silencioso, rápido, con alta capacidad de desempeño. Sólo lo cambiaría por una cosa similar, un ssd de 4TB. Reciban un cordial y afectuoso saludo.</t>
  </si>
  <si>
    <t>Buena tarjeta y buena calodad para el precio que tiene no s epuede pedir mas.Los datos se traspasan mas lento que algunas tarjetas mas caras pero no merece la pena parag . mas por un segundo mas de transcasion</t>
  </si>
  <si>
    <t>me encantan tal cual en la descripción. Muy cómodas, bonitas y prácticas. Es importante pedir una talla más del número habitual porque el tallaje es pequeño (yo uso un 40, seguí los comentarios de este producto y me compré un 41 y me van justas).</t>
  </si>
  <si>
    <t>Me encanta! Me encanta la combinación de colores de negro y verde junto con el estilo de los números. Un reloj sencillo que cumple perfectamente con su función. Cómo única pega diré que en la oscuridad no se ven mucho las agujas, pero por lo demás... Solo me lo quito para trabajar. Cómo colofón diré que me salió muy bien de precio.</t>
  </si>
  <si>
    <t>Mala calidad ! Son bonitas pero las tuve que devolver no me convencían d l todo... La plantilla se despegaba con mucha facilidad y no parecían originales, lo dude mucho pero cuando compre las originales en una tienda se notaba mucho la diferencia .</t>
  </si>
  <si>
    <t>pide a gritos un cierre Se queda abierto, y más cuando está cargado. Es un poco incómodo meter tarjetas por los 2 lados. Si metes sólo por uno, se ve la parte de atrás de la tarjeta al pasar una página y te distrae y hace perder tiempo al buscar. Eso si, por el precio que tiene no está mal.</t>
  </si>
  <si>
    <t>Tallan grande los zapatos tallan grande, no hagáis caso a La foto y pedid vuestra talla normal. Su horma es bastante ancha, he tenido que devolverlos porque me quedaban muy sueltos. El color es más oscuro que La foto aun así parecen cómodos.</t>
  </si>
  <si>
    <t>_x007f_Desastre He probado 3 DVD y ninguno funciona, no los lee ningún lector de mi casa. Sin embargo, un paquete de la misma marca que tenía por casa funciona perfectamente. o la calidad de verbatim ha bajado estrepitosamente, o estos no son originales. He comprado tdk y funcioan de lujo también. Cuidado.</t>
  </si>
  <si>
    <t>Deficiente Relacion calidad precio cara.Aun siendo barata podria mejorar  vale la pena gastarse algo mas y cojer uno un poco mas caro.</t>
  </si>
  <si>
    <t>Mediocres No tienen buen sonido, el micro para hablar por teléfono no funciona.  No te oyen aunque te pongas a gritar.  La radio es un desastre,  se intuyen las emisoras entre interferencias.  Lo único bueno, que son bonitos y vienen en un estuche que está bien.  Pero funcionar correctamente, NOOOOOOO.</t>
  </si>
  <si>
    <t>Jared Muñoz Funcionan perfectamente a día de hoy y hace meses que los compré, creo que ocasionan un poco de ruido estático cuando no hay sonido pero debería comprobar si son los cables o por el contrario hay algo mal conectado, pero solo se aprecia y muy poco cuando no hay nada sonando, crro que es por el tipo de conexión jack pero no estoy del todo seguro.</t>
  </si>
  <si>
    <t>calentitas Las costuras internas son bastas, así que si la usas sin calcetines molestan en los dedos aunque no camines con ellas, porque no son para caminar. Dejar un minutillo después de calentar sin ponertelas porque se ponen húmedas. Pero son muy calentitas, si te acuestas con ellas, aunque las semillas se enfríen te mantendrán los pies bien calentitos.</t>
  </si>
  <si>
    <t>Tallan pequeño La calidad es buena, pero tallan muy pequeño. Las voy a tener quebrada cambiar por una o dos tallas más.</t>
  </si>
  <si>
    <t>Botín sin forro Son muy chulos!!!! Tallan grandes</t>
  </si>
  <si>
    <t>Evita que nos peguemos los dedos Todos conocemos este pegamento instantáneo.  Este en concreto lo que quiere evitar es que nos pegemos los dedos que te da una ràbia !!!!!!! Y coneste tipo de dosificador se evita aunque tiene un pequeño problema y es que tienes que tirar fuerte las pestañas deslizantes para que saliera la pega. Pero va bien.</t>
  </si>
  <si>
    <t>Etnies... Una de las mejores deportivas que puedes encontrar. El negro da con todo y a demás muy resistentes ya que la suela de la zapatilla va pegada y cosida... No los cambio por nada!!!</t>
  </si>
  <si>
    <t>Super práctico. Recomendable 100% Una maravilla! Tardamos aproximadamente 2 minutos en marcar toda la ropa de mi hijo. Las letras se colocan muy fácil sobre las guías con la pinza que trae. Fue fácil incluso para mi que no soy muy hábil y tengo mal pulso. Además, TRAE TINTA INCORPORADA, por lo que no hace falta comprar. Es muy pronto aún para decir cuanto durará la tinta, pero con lo fácil que es volver a marcar, pues no supone ningún problema. Una vez puesto el sello, queda bastante nítido el nombre. Incluso en el interior de un pantalón de chándal verde se ve bien. En un polo blanco apenas traspasa la tinta, lo notas solo si te fijas. Muy contento con la compra. Lo recomiendo 100%. Sobre todo para no perder tiempo, que cualquiera que tiene hijos, sabe que el tiempo es lo más preciado ;)</t>
  </si>
  <si>
    <t>Un regalo Era para un regalo y le ha gustado mucho. Viene con una cadena y queda muy elegante al cuello. Llegó muy pronto.</t>
  </si>
  <si>
    <t>Bonita Una pulsera muy bonita, viene con una bolsita original Un regalo muy original para cualquier ocasión sobretodo en Navidad. Lo recomiendo</t>
  </si>
  <si>
    <t>Recomiendo Después de trabajar de un día ,llega casa masaje 10minuto, perfecto. Se masaje cuello perfecto. Parece hay un par de  mano está en mi cuello. Antes de dormir usar este , se ayuda entra sueño más rapito.</t>
  </si>
  <si>
    <t>Buena compra Me encantan. Colores bonitos, cartulina gruesa i más grandes que un A4, de manera que los folios no se salen y se les arrugan las puntas.</t>
  </si>
  <si>
    <t>Muy bueno! Producto original, todo en orden!</t>
  </si>
  <si>
    <t>Perfecta, rapida y economica Nada que decir en contra de esta tarjeta de memoria ni de Sandisk en general, una marca con la cual todavia tengo un Pendrive de 8 gb que tiene mas de un lustro, tambien tengo otra memoria SD que sigue funconando y con la adquisicion de esta para una camara CAMPARK que funciona perfecta.</t>
  </si>
  <si>
    <t>Prácticas Bolsitas muy prácticas. Yo las utilizó para el bolso.</t>
  </si>
  <si>
    <t>El acabado Todo bien</t>
  </si>
  <si>
    <t>Buena calidad relación precio. Es muy fácil de usar y de limpiar, fabulosa.</t>
  </si>
  <si>
    <t>Perfecto Me ha gustado mucho tiene buena calidad y precio ademas llego en su fecha y en buenas condiciones</t>
  </si>
  <si>
    <t>Totalmente recomendable Justo lo que esperaba. Conecta bien la cámara tanto con el smartphone como con la tablet. La recomiendo totalmente para cámaras sin wifi propio.</t>
  </si>
  <si>
    <t>El regalo que estas buscando estas navidades Gusta a niños y a mayores, este en concreto es muy versatil y tiene muchas opciones de uso. Sobre todo las luces vuelve locos a los niños, tambien se puede utilizar como microfono, conectas la musica del movil y cantas!</t>
  </si>
  <si>
    <t>bolso la verdad que se ve muy buen bolso si que es de piel y tiene bastante compartimento no es muy grande a mi me gusta mucho por eso por que  es un tamaño muy recogido si busca un bolso que no  sea muy grande este es genial</t>
  </si>
  <si>
    <t>Buen producto Buen producto Talla correcta (yo uso una 38-36 y me pedí la M) y no se sube el pantalón porque tiene una especie de sujeción de silicona. Tiene un pequeño bolsillo detrás y el diseño es muy chulo. Cuando pueda lo compraré en otro color...</t>
  </si>
  <si>
    <t>Excelente, me encanta, lo tenía de pequeño y es una alegria volver a tener uno Es pequeño, no pesa, los botones muy pequeños, quizás lo recordaba mas grande porque tuve uno cuando era solo un niño, pero de ahí que lo haya pedido, es un gran artículo vintage, funciona perfectamente y la calidad de los materiales es la misma que la de toda la vida. Muy contento por tenerlo, envio rapidisimo por cierto.</t>
  </si>
  <si>
    <t>He adquirido 6 y funcionan a la perfección. He comprado 6 para mí y mi familia. Se pueden llevar en el llavero. Es de aluminio, resistente, y con un buen orificio para colocarlo incluso en un mosquetón pequeño o una anilla para llaves. El funcionamiento por ahora es correcto. Un pendrive todo terreno y a buen precio. Altamente recomendable. Saludos.</t>
  </si>
  <si>
    <t>Comodidad Uy cómoda, ay que tener cuidado con la cremallera si se queda abierta se caen las cosas.</t>
  </si>
  <si>
    <t>Decepcion No da resultado espersdl</t>
  </si>
  <si>
    <t>Cómoda pero no calienta mucho Es suave y fácil de poner pero la parte del cuello hay que ajustarla muy apretada para que se pegue al cuello. En la posición 3, la más alta, no calienta mucho. No obstante, puede valer para quien no necesite un valor mucho más alto. Cómoda para el mantenimiento (lavado y guardado).</t>
  </si>
  <si>
    <t>Buen producto. Buen producto. Eso sí, pensé serían algo más grandes, es posible que a mi hijo de 7 años de lean quede pequeños en poco tiempo. Por lo demás bien. Son cómodos.</t>
  </si>
  <si>
    <t>Malo Lo compre el 15 de mayo y ya se me despegó un plástico de dentro, lo pegué y solucionado , pasados unos dias lo encuentro y cuando lleva unos minutos se apaga lo vuelvo a encerder y se vuelve a apagar.</t>
  </si>
  <si>
    <t>ES DE PLÁSTICO!!! En la descripción se daba a entender que era de cristal...</t>
  </si>
  <si>
    <t>Muchos accesorios, buena succión Se maneja muy bien</t>
  </si>
  <si>
    <t>Buen auricular, pero la competencia es mejor. No es mal producto, pero por experiencia en varios auriculares bluetooth se queda por detras en volumen y calidad de sonido, tras probarlo 3 meses he decidido apostar nuevamente por unos Panasonic Bluetooth y la verdad que hay diferencia. El precio el mismo y seguire eligiendo Panasonic.</t>
  </si>
  <si>
    <t>Buena potencia Compramos esta batidora al romperse una que teníamos hace mil años. Comparada con la antigua la verdad que funciona de maravilla, tiene mucha potencia para lo que nosotros la usamos que es principalmente en salsas. Lo único que no me gusta es que en la velocidad normal hace un ruido un poco raro, no estoy segura que sea un fallo porque la verdad es que funciona muy bien y en turbo no lo hace, quizás sea normal. Como el funcionamiento es genial nos la hemos quedado definitivamente. Es más alta que la que tenía antes y también pesa algo más, pero me da la impresión de que parece de más calidad precisamente por eso.</t>
  </si>
  <si>
    <t>Bien Buena relación precio calidad</t>
  </si>
  <si>
    <t>Reloj para todas las ocasiones Reloj muy bonito con muchas funciones. El color negro lo hace muy versátil en cuanto a combinar con la ropa, y este modelo queda bien tanto en combinaciones formales como informales</t>
  </si>
  <si>
    <t>Perfectas Ideales, como siempre. Si son una imitación, cosa que dudo, son perfectas. Iguales a las anteriores que sustituyen. La talla es la propia de la marca, un pelín más grande de lo habitual.</t>
  </si>
  <si>
    <t>Resistente y muy práctico Para llevarlo puesto en cualquier situación: piscina, trabajando, montaña... Es resistente, la luz es potente y las funciones básicas más que suficientes para mi uso: fecha, hora, otra hora extra, alarma con vibración (un 'puntazo' cuando vas nadando y es hora de plegar) o sonido, cronómetro y cronómetro cuenta atrás. La pila en teoría dura unos 10 años, nada mal.</t>
  </si>
  <si>
    <t>Buena compra Pequeño bolso pero muy practico.</t>
  </si>
  <si>
    <t>Tal y como esperaba, son auténticas. Son auténticas, lo único que esperaba la puntera y la talonera de ante y son de tela, aun así muy bonitas y cómodas.</t>
  </si>
  <si>
    <t>Buen precio, buenos acabados Buen producto bien realizado, facil de limpiar y de usar, rapido y muy útil para calentar agua, buen servicio y precio</t>
  </si>
  <si>
    <t>Muy bonito Es de tapa dura y muy buena calidad. Recomendado 100% y envío rapido</t>
  </si>
  <si>
    <t>Muy practico Muy practico</t>
  </si>
  <si>
    <t>mejor de lo esperado Las compramos mi pareja y yo para usar por playas rocosas sobre todo. Al final, en mi caso las uso a diario, por todo tipo de terrenos y la verdad mejor de lo esperado. A pesar de que hace poco tiempo que las tenemos, el uso es bastante intenso y están como el primer dia, esperemos que duren bastante. La talla es la que uso diariamente, se ajusta perfectamente al pie. Son muy cómodas y frescas. Sin duda volveré a repetir en cuanto se acaben estas.</t>
  </si>
  <si>
    <t>Las tarjetas van seguras Lo he puesto en las tarjetas del banco. El tamaño bien , van protegidas. Cuesta un poco meterlas porque es difícil el manejo pero es cuestión de práctica. Si fuera de otra manera se saldría la tarjeta, así que muy bien.</t>
  </si>
  <si>
    <t>Sonido y comodidad geniales Geniales en calidad de sonido y comodidad, aisla muy bien del ruido ambiente. Los usé en una conferencia 4 horas sin quitarmelos y no me resultaron incómodos en ningún momento. Totalmente recomendable</t>
  </si>
  <si>
    <t>Bonitas Muy contenta con mi compra,he comprado mi número habitual y me queda bien,son cómodas,haber cómo van con el uso.</t>
  </si>
  <si>
    <t>Comodidad para andar Muy comodo y perfecto para sudar</t>
  </si>
  <si>
    <t>Muy práctico Muy buen producto, embalaje perfecto, calidad superior, cumple su funcion, quizá por ser objetivo, lo mas incomodo es poner los caracteres pero es algo mas que justificado en un sello universal, con la ventaja que puedes cambiarlo siempre que quieras a diferencia de un sello por encargo, para la ropa del cole fundanental. Ademas el servicio prime de amazon... Genial, lo pides por la tarde y lo tienes por la mañana.</t>
  </si>
  <si>
    <t>Eficaz Pequeño pero calienta el agua en menos de 5 minutos muy contento con esta compra</t>
  </si>
  <si>
    <t>Buena calidad de sonido Vienen en una cajita compacta que al meterlos ahí se cargan automáticamente. La cajita vale para cargar unas 4 veces, después se conecta a la corriente a través de un cargador usb. Trae el cable usb para la carga. Son cómodos y se adaptan muy bien al pabellón auditivo. La calidad del sonido es muy buena y fácil de conectar por Bluetooth. Elegantes, no son el típico estilo deportivo, me encantan.</t>
  </si>
  <si>
    <t>Auriculares con cable Muy cómodos</t>
  </si>
  <si>
    <t>Buena calidad a buen precio. Buena calidad del tejido de algodón, prenda muy confortable, está bien confeccionado. La talla es la correcta. Un precio razonable.</t>
  </si>
  <si>
    <t>Buen sonido Los cascos son comodos para las orejas y no hacen rozaduras. El sonido es bueno por el precio que tienen.</t>
  </si>
  <si>
    <t>Bienve El producto aparentemente parece bueno pero como pega importante es que desde el primer día le salen los hilos de las costuras por todos los sitios, yo no la volvería a coger.</t>
  </si>
  <si>
    <t>Depende de las zapatillas Lo bien, o mal, que queden, depende mucho de la zapatilla a la que quieras ponérselas. Si los ojales derecho e izquierdos de la zapatilla están muy juntos entre sí no quedan bien, ni siquiera uniéndolos de forma alterna. Si están bastante separados si pueden valer y quedar bien. Depende mucho de la zapatilla. Estos "cordones" son todos de la misma longitud y habitualmente las zapatillas tienen lo ojales mas separados a medida que se alejan de la puntera, en cuyo caso los del principio quedan muy flojos (incluso alternando ojales) y los finales bien. Depende del calzado.</t>
  </si>
  <si>
    <t>Hace falta una V2.0 Abrigan muy bien para los días fríos pero no transpiran y hacen que te suden los pies. La suela, aunque es ruidosa al caminar por la tarima, aísla perfectamente del frío del suelo.</t>
  </si>
  <si>
    <t>No merece la pena No merece la pena, aumenta a muy corta distancia y nada espectacular, como cualquier otra lupa barata, pesa mucho, es cara y es incómoda a la mano por su grosor, y de lejos no se ve una mi....  A punto estoy de devolver el producto, no estoy nada satisfecho</t>
  </si>
  <si>
    <t>No son originales Las he comprado y acabo de comprobar que no son originales. No se corresponde con lo que anuncian en el anuncio</t>
  </si>
  <si>
    <t>manta Calidad precio bueno. Solo que se queda un poco corta a la altura de la cintura</t>
  </si>
  <si>
    <t>Zapatillas muy cómodas Son unas zapatillas muy bonitas, al principio hacen rozadura pero cuando se acostumbra el pie son muy cómodas. Tallan un poquito más grande que la talla habitual. Y no pesan mucho aunque lleve la plataforma.</t>
  </si>
  <si>
    <t>Cumple De momento no hay quejas, sigo probando</t>
  </si>
  <si>
    <t>Bastante bien la verdad Por este precio tan bajo los cascos funcionan bastante bien no hay ninguna queja con el sonido y  el cable no esta mal es resistente a no ser que hagas deporte de manera regular , de momento ya me han durado varios meses asique ningún problema los recomiendo si buscas unos cascos baratos que cumplan esta es tu elección  y no te los recomiendo si buscas unos cascos que te vayan a durar mucho y sean la leche , aunque como digo estos cumplen con la calidad que se puede esperar de ellos !</t>
  </si>
  <si>
    <t>Bueno y económico Buen precio para un rendimiento normal en un SSD para cualquier equipo que se necesite un poco de más rendimiento. Genial para un portátil antiguo con recursos de gama media.</t>
  </si>
  <si>
    <t>Buen olor Este set de 6 aceites es fenomenal . La presentación es muy elegante si se quiere para regalar y al abrir la caja encontramos 6 frascos de diferentes olores muy buenos. Usamos estos aceites en un difusor y huele muy bien. El envío súper rápido</t>
  </si>
  <si>
    <t>Lo esperado Lo esperado, sin sorpresas desagradables</t>
  </si>
  <si>
    <t>Repito de bambas Ya tenia estos zapatos en color lila, los compré en 2013. Con un uso casi diario,en rutas de montaña, y en el dia a dia en ciudad. Por eso quise repetir i comprar las mismas pero en color verde. Buen zapato, buena marca, buena suela vibram,.... Para repetir sin duda.</t>
  </si>
  <si>
    <t>Faber-Castell La mejor marca De muy buena calidad, y buen precio. han llegado perfectas sin ningún rasguño. Ideales para el dibujo técnico, se las he comprado a mi hijo ya que muestra interés por el dibujo técnico. Muchas Gracias.</t>
  </si>
  <si>
    <t>Fantastico ES ESTUPENDO Y REALMENTE FUNCIONA.</t>
  </si>
  <si>
    <t>Excelente. Interfaz de bolsillo ultraligera. La mitad de un paquete de tabaco aproximadamente. Sirve para todas las APPs de grabacion/emulacion, etc. Al principio notaba la señal demasiado alta y se saturaba. Toqueteando un poco entre la salida de cada app (el output en opciones de la app) y la ganancia del irig (no se porque la del ipad es automatica) conseguí lo que quería. Cero ruidos y un tono muy fiel a las marcas originales. 1 hora tocando al 30% luminosidad y wifi consume un 10% con AmpliTube conectando auriculares y la salida del ampli. La cosa mejora enormemente conectando una DI BOX antes del Irig. Con esto puedes irte por ahí directo a PA sin llevarte la de dios. El modo live apenas tiene retardo con esto y con un soporte cutre de dos pavos es genial para colocarlo en un pie de micro o atril. Tambien puedes comprarte el de la misma marca que es muy cuki.</t>
  </si>
  <si>
    <t>Limpia bien y silencioso Lo que más me ha gustado es la sencilles de uso del robot de limpieza, su manera de limpiar muy silenciosa, el punto de mejora se lo daria a la bateria debido a que en estancias muy grandes si pones a fregar se le gastara la bateria y tendrias que volverla a cargar o tener una bateria de repuesto para poder terminar de fregar todo la casa.</t>
  </si>
  <si>
    <t>excelente , buena calidad y diseños como en la foto me ahan gustado desde la presentacion hasta la calidad del producto!!!!</t>
  </si>
  <si>
    <t>perfecto me sorprende la calidad que tienen , la verdad que por el precio me esperaba que no fueran buenas pero me han sorprendido. Son para un regalo que estoy seguro que le va a encantar . Vienen muy bien empaquetadas y llegaron cuando dijeron excelente</t>
  </si>
  <si>
    <t>Tres por uno Muy buen producto. A muy buen precio. Los tres biberones por el precio de uno</t>
  </si>
  <si>
    <t>Muy cómodas Las compré por la comodidad y la amortiguación. De momento sólo me las he probado y, efectivamente, son muy cómodas.</t>
  </si>
  <si>
    <t>Un modelo legendario con una calidad y acabados sublimes Impresionantes zapatillas. Diseño espectacular y atemporal, a parte de tener unos acabados excelentes, a la altura de las expectativas. Pedí la talla 43 (suelo usar un 43 1/3 en marcas como Adidas) y me quedan perfectas. El envío sensacional, como es costumbre en Amazon. Todo perfecto y sin ningún tipo de problemas. Las recomiendo 100%100, valen cada € invertido en ellas.</t>
  </si>
  <si>
    <t>Un clásico a un gran precio A mi mujer se lo he regalado y le ha encantado, no se lo quita. Toda la información necesaria en un diseño clásico a un precio bajísimo. Buena compra.</t>
  </si>
  <si>
    <t>Tallan pequeño Son muy bonitas, un poco duras, será al principio,las compré para hacer ciclo, pidan un número más de su talla habitual, contenta con la compra</t>
  </si>
  <si>
    <t>Como en los 80 No recuerdo exactamente como era el de los 80, pero si me dicen que era así, me lo creo. La calidad del reloj es buena y tiene funcionalidad de aquellos años. El "bip bip bip" de la alarma me trae recuerdos.</t>
  </si>
  <si>
    <t>Air Jordan originals Están mu' bien polque son guapa'</t>
  </si>
  <si>
    <t>Muy buena compra Son perfectas llevo bastante tiempo con ellas y las usé mucho este verano y la verdad que se han quedado prácticamente nuevas.</t>
  </si>
  <si>
    <t>Casio de siempre con un toque original Es un regalo para mi hijo, que su hermana tiene uno similar, y perfecto, el Casio de toda la vida y el modelo original</t>
  </si>
  <si>
    <t>Se rompe con facilidad En poco tiempo se le ha roto la cremallera principal (se hizo añicos) y se ha descosido el lazo del asa, es demasiado frágil para ser usado diariamente como le corresponde a cualquier bolso, NO LO RECOMIENDO.</t>
  </si>
  <si>
    <t>Después de haberlos comprado no los puedo utilizar porqué son pequeños y me sangran los dedos. Tallaje pequeño. Uso un 42,5 y pedí un 42-43 q devolví por pequeño y volví a pedir una 43-44. Los probé con calcetines, los estrené para bajar a la playa (10 minutos) y cuando llegué y me descalcé llevaba 4 dedos sangrando. La vuelta a casa fue muy incómoda y volví a sangrar. Los he arrinconado y no los he vuelto a utilizar y no los he podido cambiar por haberlos estrenado.</t>
  </si>
  <si>
    <t>Decepcionada Pues las zapatillas tienen muy buena pinta, pero el problema es q al andar se salían de los pies y eso es muy incómodo, una pena porque me gustaron mucho</t>
  </si>
  <si>
    <t>En poco tiempo deja de cortar bien. Hace 6 meses que compré esta cortadora y al principio perfecta, pero pensé ¿cuanto tiempo cortará así de bien?. A los 3 meses ya empezó a engancharse la cuchilla rasgando el papel al empezar a cortar, esto ha ido en aumento y 6 meses después de comprarla ocurre esto a menudo y va en aumento. ¿Obsolescencia programada o es un sistema o invento nefasto?, o quizás sea el objetivo principal del fabricante para vender cuchillas de recambio ¿os suena de algo?, si, es lo que ocurre con las impresoras y muuuuuuchaaaas cosas más, “lo barato sale caro” Compré esta porque tenía una cortadora con ruedecilla desde hace 25 años que se rompió ya de vieja, en 25 años solo use 2 ruedecillas, cortaba de miedo SIEMPRE. Esta que he comprado ni la volvería a comprar ni la recomiendo, a no ser que compres un buen puñado de recambios y no tengas que darle un uso intenso. Volveré a comprarme otra como la que tenía aunque valga 5 veces más.</t>
  </si>
  <si>
    <t>La imagen engaña Nada que ver con la foto, es un bolso blando de tela y más grande de lo parece en la foto</t>
  </si>
  <si>
    <t>Buena calidad/precio. Funcionanan a la perfección y por el precio que tienen no se le puede pedir más. Si que se ven un poco débiles y con acabados de plástico que de ve que son baratos. Pero es lo que de espera de un producto con ese precio.</t>
  </si>
  <si>
    <t>Rodillo El producto no es malo ,relaja los pies que es para lo que yo lo quería .</t>
  </si>
  <si>
    <t>Indispensable para 40 añeros Iba buscando un reloj calculadora de casio... como cuando yo era joven. Encontré en Amazon el de toda la vida con teclas de goma, pero me decanté por este que está "más actualizado".  Sólo le veo una pega... los botones de la calculadora están tremendamente duros!</t>
  </si>
  <si>
    <t>Bien Talla muy completa,quizás la próxima vez pediré una talla menos. Por lo demás todo bien, tanto entrega, rapidez y producto.</t>
  </si>
  <si>
    <t>Relación calidad precio muy buenas. Si bien está todo hecho de plástico , ni siquiera la hebilla  es de metal, funciona perfecto y es una pasada. ... Es verdad que la luz no permite ver bien la hora en la oscuridad.</t>
  </si>
  <si>
    <t>Perfectas Todo perfecto</t>
  </si>
  <si>
    <t>Excelente!! Es la caja que necesitábamos, porque no hacía falta que fuera más grande. El material es resistente, además lleva dentro como un cajón para monedas, que no esperaba, con lo cual está mucho mejor todavía. Excelente compra y aconsejable tanto por el precio, como por la calidad.</t>
  </si>
  <si>
    <t>Ok Dura muy poco la pila</t>
  </si>
  <si>
    <t>ideal para trabajar con comodidad Alfombrilla ideal para reposar el brazo a la hora de utilizar el ratón. Recomendado por ortopedias para mejorar el dolor en la zona del túnel carpiano y la tendinitis provocada por el uso del ratón a nivel del brazo y codo .</t>
  </si>
  <si>
    <t>Estoy encantada Estoy encantada, aspira y pasa la mopa que lleva dejando el suelo brillante, la opcion de fregado es mas complicada, no te puedes pasar con la cantidad de agua porque entonces te deja el suelo muy mojado. La volveria a comprar.</t>
  </si>
  <si>
    <t>HERVIDOR GENIAL Un hervidor genial, quizas para el uso diario es muy grande ya que tiene capacidad para 1.7l. y lo utilizo a diario para las infusiones asi que  con 0.5 litros tendria más que suficiente.. pero me va espectacular para cocinar, ya que ahora ya no tengo que esperar que la cazuela empieze a hervir.. eso en unos 4 minutos lo tengo lista :DD</t>
  </si>
  <si>
    <t>Muy ponible Es tal y como aparece en la foto Tiene muchos departamentos y caben muchas cosas. Me ha encantado</t>
  </si>
  <si>
    <t>Perfectas Son subcarpetas de buen material, durillas. A mi me gustan mucho, NO se doblan o estropean fácilmente. Muy bien.</t>
  </si>
  <si>
    <t>Buena calidad Para el precio que tienen una ganga.son igual que en la foto.los recomiendo.</t>
  </si>
  <si>
    <t>Satisfecha con la compra perfecta,bonita,de calidad, grandecita,de ceramica,contentísima y recomendable...</t>
  </si>
  <si>
    <t>Compra recomendada En relación calidad/precio, son unos auriculares ideales.  La calidad de sonido no es excepcional, pero por un precio tan bajo es más que correcto.</t>
  </si>
  <si>
    <t>Excelente relación calidad/precio Es potente y resistente.  Es un poco ruidosa.</t>
  </si>
  <si>
    <t>Bien Está bien</t>
  </si>
  <si>
    <t>Precioso y ligero Muy elegante y vistoso en la muñeca</t>
  </si>
  <si>
    <t>Bonitos Me encantaron</t>
  </si>
  <si>
    <t>Efectivo y razonable. Un producto profesional, con un acabado excelente. Nada que ver con imitaciones sin marca y que vale cada euro de su precio.</t>
  </si>
  <si>
    <t>Un casio de siempre Lo que esperas de un casio de plástico , es cómodo , pesa poco y da la hora . Por veinte euros esta muy bien y vale para la playa.</t>
  </si>
  <si>
    <t>Comodidad Muy cómodas, y a buen precio, son las segundas que me compro</t>
  </si>
  <si>
    <t>Muy bueno La verdad es que pensaba que le iba a dar uso pero todavía no lo he estrenado pero desde luego creo que cumple su función</t>
  </si>
  <si>
    <t>Decepcionante No vale lo que cuesta. El acabado de la bolsa está bien, la longitud de la correa es larga, mido 1.83 y llevándola un poco debajo de la cintura sobran 20 cm. ¿Que tiene de malo? La correa, es rugosa y de mala calidad. Pero eso no es lo peor, al lateral de la correa le han aplicado un tratamiento termico, para evitar que se deshilache. Pero no lo han acabado bien. Quedan unas bolitas pequeñas de plástico que acaban arañandote el cuello y la ropa. Además, el logo que se muestra en la parte inferior del bolso es metálico y muy grande, cuando está el bolso lleno sobresalen las esquinas y se engancha y araña. No lo recomiendo a padres con hijos ya que puede arañar a los niños. No lo volvería a comprar.</t>
  </si>
  <si>
    <t>Reloj Casio ACERO INOXIDABLE. Me ha gustado bastante, he comprobado que sea original y si que lo es. Funciones normales, cronómetro, alarma, suena cada hora exacta... Pero no es plata como indica en el enunciado. Creo que es algo corregible y sinceramente causa la duda. El material es acero inoxidable.  Por lo demás encantada. Buenos cierres, eslabones,...</t>
  </si>
  <si>
    <t>talla bien pero incomodo la talla era la adecuada, y al ponerlo me estaba perfecto, no fue hasta que no salí a la calle y empecé a andar cuando me di cuenta de que al andar se doblaba hacia dentro en la parte de los dedos y al ser tan rígido hacía muchísimo daño, tuve que devolverlos porque no podía andar cuando llevaba un rato caminando</t>
  </si>
  <si>
    <t>Cara y mala es incómoda y muy fragil siendo de Vileda eseraba algo mejor</t>
  </si>
  <si>
    <t>Abrigo de calidad baja El abrigo llegó a tiempo como todo que compro por Amazon pero es la primera vez que un producto me decepciona tanto. Pedí el abrigo en color vino tinto y me llegó en rojo normal que es demasiado clarito, encima me parece de mala calidad. Normalmente llevo talla S pero me lo pedí en M para ponerme cómodamente un jersey debajo pero me queda demasiado grande y el corte no es nada bonito. Por el precio no me esperaba mucho pero algo mas que esto seguramente. No lo recomiendo, lo devolveré.</t>
  </si>
  <si>
    <t>Con muchas dudas por el material. Camiseta muy Bonita pero con dudas por el material . Tengo dudas si llega a ser de la marca original por su material y por el etiquetado. Ha llegado arrugada y con puntitos en la parte del pecho, es extraño.  Después de plancharla  no se ha quitado.</t>
  </si>
  <si>
    <t>Cumplen la funcion Pegan bastante bien las fotos, hace ya un año que estan pegadas y ahi siguen. Lo dificil es despegar la pegatinita del papel en el que vienen pegadas</t>
  </si>
  <si>
    <t>Bonito Complemento top para look de boda chaque, da el pego,funciona muy bien,muy bonito!</t>
  </si>
  <si>
    <t>Cumple con mis expectativas Buscaba un espumador para batir el biberón de cereales de mi hijo y va bien. Lo volvería a comprar</t>
  </si>
  <si>
    <t>MUY COMODOS DE PRIMERAS TENIA DUDAS CON LA TALLA, PERO USO UNA 36 Y ME QUEDAN PERFECTOS. SON MUY COMODOS Y LOS RECIBI EN TIEMPO RECORD.</t>
  </si>
  <si>
    <t>Tal y como se describe Tal y como se describe</t>
  </si>
  <si>
    <t>MUY BUENO Y MUY RECOMENDABLE PARA PERSONAS QUE VIAJAN MUCHO Muy contento con este disco duro externo. Por trabajo viajo mucho, y es comodísimo para transportar. Es ràpido y lo único es que se calienta cuando trabajas intensamente, aunque en ningún momento hasta hoy eso ha sido un inconveniente.</t>
  </si>
  <si>
    <t>Excelente Lo super recomiendo! Me llegó todo genial. Buen micro a buen precio, tanto como para móviles como para cámaras. Lo suelo conectar a mi cámara Canon 750D y va de maravilla. Y con sus 6 metros de cable. Qué mas se puede pedir.</t>
  </si>
  <si>
    <t>Geniales Me encantan estos biberones, he probado muchos y me quedo con esta marca, a penas producen cólicos, son muy faciles de lavar y con colores bonitos y llamativos para los bebes.</t>
  </si>
  <si>
    <t>Producto original y buen servicio Un precio increíble, aunque sólo en ese color</t>
  </si>
  <si>
    <t>Celestina Justo lo que esperaba, rápido y llega a todos los rincones, super suave.muy contenta.lo volveria a comprar otra vez mas</t>
  </si>
  <si>
    <t>Real como la foto Era tal cual lo vi en la foto, muy bonito</t>
  </si>
  <si>
    <t>Humidificador/ambientador perfecto!!! Me ha llegado un día después de solicitarlo. Lo he colocado en una habitación de 45 m² y a los pocos minutos de encenderlo, olía fenomenal. Casi no hace ruido. Simplemente suena como gotitas muy sutiles.</t>
  </si>
  <si>
    <t>Contenta Encantada,calidad precio buenisima,el sonido espectacular,se escuchan mejor que los auriculares originales de mi samsung</t>
  </si>
  <si>
    <t>Brow Es uno de los mejores biberones , mi hijo tiene 16 meses y lo usamos desde el primer mes. No es muy estético pero es lo q hay</t>
  </si>
  <si>
    <t>Funcionalidad Cumple con lo expuesto</t>
  </si>
  <si>
    <t>Excelente producto a mi parecer. Cumple perfectamente su función. Lo encuentro robusto y práctico, y por el precio que tiene me parece una compra genial. El envío fue más rápido de lo que esperaba.</t>
  </si>
  <si>
    <t>Regalo a mi novia Las zapatillas son de suela gruesa, estupendas en el diseño y quedan tal y como se espera al menos en talla 39</t>
  </si>
  <si>
    <t>Buen aroma Huele bien y funciona con el humidificador perfectamente</t>
  </si>
  <si>
    <t>Me ha encantado, buena calidad. Buena calidad. Se nota en seguida como baja la hinchazón de las ojeras y deja una sensación de frescor, además de hidratar la zona.</t>
  </si>
  <si>
    <t>Bien calzado para trabajar Eran para otra persona que me las hacía pedido, pero ya venía aconsejado de que eran muy buenas</t>
  </si>
  <si>
    <t>Recomendable, calidad y precio Tuve un problema con una tarjeta recién llegada que no funcionaba bien (como puede pasar en cualquier producto) y el vendedor tramité instantáneamente otra. Trato genial y el producto funciona a la perfección. La relación calidad-precio es muy buena, con el soporte de una buena marca detrás</t>
  </si>
  <si>
    <t>Valoración Bien, funciona a la primera, veremos con el uso.</t>
  </si>
  <si>
    <t>Un poco mas suelta de lo esperado Pensé que la tapa iba a más presión no se sale sola pero si a poco que se toque. Pese a ello si llega a ser útil para aprovechar biberones que ya no se usan.</t>
  </si>
  <si>
    <t>Adecuado para niños No pega muy bien, aunque para niños es adecuado. No lo volvería a comprar porque lo compré para adultos, no para niños</t>
  </si>
  <si>
    <t>Huele muy poco, para espacios pequeños Ambientador Air Wick Nenuco con recambio.  Me encanta este tipo de ambientadores, tengo varios repartidos por la casa, dan un buen olor son limpios y económicos. Además al no tener que tenerlo enchufado se puede colocar en cualquier rincón de la casa sin depender de un enchufe.  Este en concreto, tiene un olor característico como a la colonia de Nenuco, es muy agradable. Su funcionamiento es sencillo, le pones las pilas que vienen incluidas dentro del aparato, regulas el tiempo de fragancia que expulse.  Potencia baja: expulsa fragancia cada 17 minutos. Potencia media: cada 12 minutos. Potencia alta: cada 10 minutos.  Decir que el aparato está programado para que funcione 8 horas seguidas y esté apagado las otras 16.  Vamos a las impresiones, después de usarlo, la verdad es que esperaba más, huele muy suave, lo tengo en el pasillo y solo se nota si pasas en un radio muy pequeño de distancia. Al final tuve que ponerlo en la habitación para notar sus efectos.  Por el precio que tiene, que no es barato creo que debería notarse bastante más el olor. Yo lo recomendaría para espacios pequeños.</t>
  </si>
  <si>
    <t>diseño Es bonita , pero , no es tan amplia como parece....</t>
  </si>
  <si>
    <t>Decepcionada. Soy usuaria frecuente de Superga y he tenido bastantes modelos. Siempre la calidad ha sido excepcional. Sin embargo, con menos de un mes y una utilización escasa, en su primer lavado ocurre esto. El método de limpieza ha sido según se especifica y tal y como he realizado previamente con otros modelos. Nunca antes me había ocurrido esto. Imagino que será una tara. He solicitado su devolución, pero no sé si tras ser usada esto puede ser posible.  Espero la respuesta por parte de alguien del cuerpo técnico. Un saludo.</t>
  </si>
  <si>
    <t>Ni pega, ni dura... No me ha gustado nada. No he conseguido pegar lo que quería. Es mucho mejor el de toda la vida. Se acaba en un plis plas y tienes que apretar mucho. En fin, dinero perdido</t>
  </si>
  <si>
    <t>Buena compra Relacion calidad-precio estupenda! No vale la pena pagar marcas habiendo estas cosas! Muy contenta con ellas. Mi numero es el 38 y he cojido un 38 y me van perfectas. Son faciles de lavar y comodas.</t>
  </si>
  <si>
    <t>Elegante bonita. Funciona bien. Russell Hobbs nos tare otra tostadora de buenas prestaciones con escita retro. Realmente es tan buena como todos los demás productor de Russell Hobbs, que están muy bien, pero lo que si ofrece esta marca es una variedad de diseños y de colores espectacular. Con lo cual si queremos decorar nuestra cocina como un local de los Años 50 americanos, esta es nuestra tostadora.</t>
  </si>
  <si>
    <t>Andrés Por el precio que tienees más que aceptable y no se le puede pedir más. En mi opinión tiene un aspecto muy mejorable: la rosca del nivelador de altura.</t>
  </si>
  <si>
    <t>Buenos Cómodos, con buen sonido y batería más que suficiente. No me molestan , ya hice unos cuantos km con ellos. La distancia del teléfono y los auriculares es óptima y no he sufrido cortes debido a la lejanía , he tenido varios auriculares y son los que más lejos captan. Contento.</t>
  </si>
  <si>
    <t>Bien Un producto clásico de Eastpak. El precio es honesto.</t>
  </si>
  <si>
    <t>De lo mejor de NB!! Son muy cómodos, para mi perfectos!!</t>
  </si>
  <si>
    <t>el precio que tiene estoy muy contento. Lo he comprado porque tengo un iphone con solo 16gb en casa y se llena a nada que se instalen un par de aplicaciones actuales y se hagan unas cuantas fotos, por ello me he comprado este usb. Su funcionamiento en simple, en un lado el lightning y en otro es micro usb y usb, solo elijes el lado y listo, para iphone tiene una app para pasar y leer las fotos de una manera bastante sencilla.</t>
  </si>
  <si>
    <t>Muy practica Es muy práctica. Es cierto que alguna se engancha, pero hace perfectamente su función. Las cápsulas se situan fácilmente y es muy comodo escogerlas con la base rotatoria.</t>
  </si>
  <si>
    <t>Fácil y sencilla de usar Fácil y sencilla de usar</t>
  </si>
  <si>
    <t>Me han gustado Las compré para mi hijo, que entre su forma de andar y actividades en el patio de colegio suele destrozar sus zapatos con mucha rapidez; estas me parece que van durar y aguantar mas que otros. Bonito diseño, corresponden a la calidad de Puma, comodos. Relación calidad-precio es excelente. Contenta con la compra y volvería a comprarlas.</t>
  </si>
  <si>
    <t>Muy comoda Me ha gustado mucho.</t>
  </si>
  <si>
    <t>bonitos mucho mas pequeños que la foto, así parece mas de verdad, quedan muy bien puestos. En cuanto me llegaron los primeros compre otro par para mi hija.</t>
  </si>
  <si>
    <t>Buen sonido a un precio inmejorable Son los segundos que compró, en esta ocasión para mí. Ligeros, cómodos de llevar (aún no he probado las almohadillas de Foam). La cálida del sonido es buena, para ser unos auriculares "in ear", que según te los pongas se oyen más o menos los graves. Pero la ventaja que tienen es que puedes guardarlos en el bolso o bolsillo de la chaqueta. La duración de la batería es más que aceptable. No he tenido ocasión de salir a correr con ellos, pero supongo que no habrá ningún problema de sujeción. Quizá los próximos que compre sean para mí madre, para que escuche la TV sin cables por la noche. Un producto 100% recomendable. Un saludo.</t>
  </si>
  <si>
    <t>comodidad y calidad hacemos  yoga compro siempre estos calcetines por su adherencia al suelo necesario para los ejercicios de equilibrio, su comodidad , su diseño y su precio asequible</t>
  </si>
  <si>
    <t>La puntualidad Asombroso,tardo un dia</t>
  </si>
  <si>
    <t>Todo ok Todo muy bien. Lo unico la espuma que esta muy ancha y se sale del micro . Para ajustar con algo. Por lo demas muy bien.</t>
  </si>
  <si>
    <t>Elegante y cómodo. Tengo un smartwatch para hacer deporte, y decidí comprar otro algo más elegante para salir. El mio es el dorado, me lo esperaba mas grande pero el tamaño es perfecto, se ve elegante. El cierre es un imán que de pega a la malla metálica de la correa, por lo que puedes cerrarlo o abrirlo lo que quieras. El imán se agarra bien, no se suelta. El táctil funciona bien. Respecto a la batería, lo cargué entero el primer día, y después de una semana probandolo a ratos y demás, todavía aguanta, así que estoy contento en ese aspecto. Por último, vincularlo por bluetooth es sencillo también, cuando enciendes el reloj te aparece en la lista de dispositivos bluetooth en el teléfono, le das y listo.</t>
  </si>
  <si>
    <t>Todo con lo descrito rápido envio Todo perfecto</t>
  </si>
  <si>
    <t>Buen producto Para lo que es esta bien</t>
  </si>
  <si>
    <t>Buena Compra La tarjeta tiene buena velocidad, en disparo a ráfagas y buena transmisión de datos y a un precio fabuloso de 21 euros en oferta, no se puede pedir mas.</t>
  </si>
  <si>
    <t>Recomendable. Venía de unos philips bluetooth que usaba para el gimnasio y dejaron de cargar al poco tiempo. Compré estos y el cambio fue a mejor. Mejor sonido, más cómodos, gran duración de la batería. Muy recomendables.</t>
  </si>
  <si>
    <t>Muy buena compra La he usado solo 3 o 4 veces pero por ahora estoy muy satisfecha, Phillips siempre suele ser un acierto. Es ligera y ocupa poco espacio pero es lo suficientemente grande para 1 o 2 personas. Los materiales y el acabado son de muy buena calidad. Aunque su potencia es 350W, para hacer batidos etc... es perfecta. No puedo opinar del picador o el filtro porque aun no los he probado. Lo único que quizás que hecho algo en falta es que el vaso tenga una asa para desmontar mas fácilmente, pero no es un gran problema. Precio muy bueno para ser Phillips. La recomiendo totalmente.</t>
  </si>
  <si>
    <t>Casio de toda la vida Como siempre tiene la tres BBB, quería cambiar otro Casio que tenia de mas de diez años y este me valía bien . Tiene lo mismo 2 horario, alarma, cronometro y luz. Ademas la esfera es no es muy grande en comparación a otros modelos y no molesta en la muñeca , muy discreto.</t>
  </si>
  <si>
    <t>Pequeña y se resbala en la mesa La compre para el ratón de mi iMac y es muy pequeña, parece más grande de lo q es. Y otro fallo es q no se fija bien a la mesa, resbala un poco y no trabajas bien. Si me comprara otra sería más grande q esta</t>
  </si>
  <si>
    <t>Equilibrado Justo lo que especifica, un buen reloj para el día a día, duro, resistente y cómodo. Muy buena relación calidad precio</t>
  </si>
  <si>
    <t>Decepción, vienen con Tara Lamentablemente voy a tener que devolverlas porque vienen con tara. Deberían haberlas revisado antes. El cosido esta defectuoso y las zapatillas presentan una asimetría considerable. Se nota tanto visualmente como en el pie al calzarlas.  Adjunto fotos.</t>
  </si>
  <si>
    <t>Malísimo La rosca de la pinza no es standard, por lo tanto tienes que usar la pinza que tiene... que es malísima. No se cuantas veces se ha caido mi shure SM57. Al final tienes que ponerlo con una brida... para esto es mejor un palo de escoba de los chinos!!! No lo compréis.</t>
  </si>
  <si>
    <t>Muy práctico El usb está muy bien, de tamaño muy reducido y muy cómodo para enganchar en las llaves. La única pega que le pongo es que el negro y plata viene sin tapón (o capucha, como quieras llamarle), aunque imagino que se acabaría perdiendo.</t>
  </si>
  <si>
    <t>Cómodos. Son muy comodos y practicos. Se agradecen a la hora de practicar con la pelota, pues no resbalan.</t>
  </si>
  <si>
    <t>Es lo que vi Es lo que vi en foto</t>
  </si>
  <si>
    <t>Bonito, grande y de bastante peso. Los números de la esfera pequeña que indican la fecha u hora en formato digital dependiendo de cómo se quiera utilizar, es difícil de ver, hay que verlo en ángulo o de frente dependiendo de la luz en la que te encuentres. No tiene luz propia. Son lo único negativo que le veo, por lo demás es un buen reloj, robusto, bastante gordo.</t>
  </si>
  <si>
    <t>Lo pensaba mas eficaz! Calienta mucho e no tritura muy bien...quedan alguns trocitos de fruta...para lo precio que tiene creia mejor...compre esta por question de comodidade para no desplazar me a una tienda...pero no me quedei muy satisfecha...</t>
  </si>
  <si>
    <t>Funciona perfectament y es muy facil de manejar Funciona perfectament y es muy facil de manejar. Al recibirlo se ve de un plástico endeble pero eso hace , también, que sea muy ligero. Los instrumentos de interfaz son muy sencillo y fáciles de manejar, enseguida les coges el truco, incluso para manejar más de un flash. Muy recomendable. Yo lo uso con flashes Godox y no se que tal funcionará con otro tipo de conexión.</t>
  </si>
  <si>
    <t>Tallan bien Originales y la talla la que esperabamos, es correcta.</t>
  </si>
  <si>
    <t>Resistente y mayor que una A4 Entrega dentro del plazo acordado. En caja de cartón y dentro de una bolsa de plástico. Tamaño más grande que un A4 y parecen resistentes. Unas 40 hojas A4 como mínimo caben perfectamente porque lo he probado. Parecen resistentes. Recomendable.</t>
  </si>
  <si>
    <t>PERFECTAS PERFECTAS.</t>
  </si>
  <si>
    <t>Muy bonito Es muy bonito, buenos acabados... Un regalo muy original.... Con sus huellecitas! Le encantó a mi amiga., la cadena es larga.</t>
  </si>
  <si>
    <t>La comodidad. Uso Salomon desde hace más de 20 años.</t>
  </si>
  <si>
    <t>Regulador de temperatura / buen textil Manta eléctrica de un tamaño estándar, perfecta para cualquier parte del cuerpo. Yo la he utilizado de momento para las lumbares y la verdad es que alivia mucho el dolor. Tiene un regulador para la temperatura, y el material se ve resistente y de calidad.</t>
  </si>
  <si>
    <t>Recomendisimo! Trozaaaaal de disco duro, 300gb! Para lo que quieras, ni un ruido, ultra fino, no pesa, suave al tacto, fácil de usar (conectar y listo), acepta varios formatos de archivos SUPERFAT, NTFCS,etc. Encantado!!!</t>
  </si>
  <si>
    <t>Infusiones/Té al instante Infusiones al instante. Nada de usar el microondas porque nunca lleva a hervir. Incluso lo usa para adelantar cuando quiero hervir pasta, pongo el agua en el hervidor y la caliento aquí mas rápido</t>
  </si>
  <si>
    <t>Con aspecto retro!!! Espectaculares, me recuerdan a mis años de mozo solo que ahora son para mi niña. No pasan de moda y el acabado en oro es una pasada!!!.</t>
  </si>
  <si>
    <t>Muy bonito Aunque un poco largo, quedan estupendos, aunque no se muy bien lo del yoga... pero muy chulos!!</t>
  </si>
  <si>
    <t>Bonito y muy buen precio Es reloj es muy bonito de diseño y muy completo de información, aunque hay algunas cosas a mejorar. La hora digital no está en el mejor sitio, las manecillas la oculta cuando coinciden, sería mejor que estuvieran donde la fecha. La temperatura no es real, al estar en la muñeca coge la corporal en vez de la ambiente. Por lo demás muy buen reloj, estuve a punto de cambiarlo pero al final me lo quede por lo que me gusta su diseño.</t>
  </si>
  <si>
    <t>Genial! Mucho mejor de lo que esperaba por este precio! Leo muchos comentarios que no hablan muy bien del producto ni de la calidad de sonido, pero la verdad que yo me he quedado sorprendido! En un principio los compré para poder ver películas en un MacBook Pro, pero después de ver la calidad de sonido creo que también los utilizaré para los trabajos audiovisuales que realizo! El material no es que sea excelente ya que es plástico puro, pero si no van a llevar mucho trote y los cuidas, están genial! Y el precio es inmejorable para tratarse de una marca como sony!</t>
  </si>
  <si>
    <t>Igual foto Super chulos</t>
  </si>
  <si>
    <t>Perforadora Sencillamente es la perforadora que estaba buscando, muy fácil de manejar y muy práctica. En resumen, es una compra excelente.</t>
  </si>
  <si>
    <t>SEAJUSTA A LAS FOTOS RELACION CALIDAD PRECIO MUY BIEN</t>
  </si>
  <si>
    <t>Calidad / precio muy bien Quedan muy bien, ,supercomodas, compraza!</t>
  </si>
  <si>
    <t>Facilidad de uso facil de usar y conectar, el micrófono funciona bien, agarra bien aunque no lo he usado en situaciones muy exigentes, sonido muy bueno, batería muy larga</t>
  </si>
  <si>
    <t>El tamaño y la consistencia,se ve bastante fuerte Me ha gustado su tamaño y su correa,el contraste de acero y acero brillante,lo que pasa es que el paquete de Amazon venía abierto de un lado y no sé si traía la factura o la garantía,se lo he preguntado al vendedor,le he dicho que me mande la factura o la garantía sellada, porque no traía nada,haber que me contesta.Por lo demás muy elegante,me encanta.</t>
  </si>
  <si>
    <t>Demasido ajustada, hace daño a veces Tiene una espuma en el interior, es malo y bueno a la vez. Acomoda pero coge arena y se empapa de agua. Quedan bastante apretadas y corta la circulación. Demasido ajustadas</t>
  </si>
  <si>
    <t>Reloj de pega La esfera es bastante grande. Para uso deportivo no lo considero adecuado. Los materiales sin básicos y de apariencia frágil. Visualmente correcto para el precio. No lo volvería a comprar.</t>
  </si>
  <si>
    <t>Pero es calentito y sienta muy bien Es corto y si pequeño, pego 45 k y la ca sigue siendo pequeña</t>
  </si>
  <si>
    <t>Rosa La relación calidad precio muy mala,parecían de los chinos  Las devolví porque el número era más pequeño de lo normal  Y muy arrugadas</t>
  </si>
  <si>
    <t>No tiréis vuestro dinero. Se ha roto después de 4-5 usos. No tiréis vuestro dinero.</t>
  </si>
  <si>
    <t>Bueno por el precio Es bueno pero a veces se siente muy áspero x, solo tiene una velocidad lo cual a mi parecer no es muy bueno</t>
  </si>
  <si>
    <t>Muy bueno. Se podría mejorar pero en general muy bueno Es muy práctico. Masajea bien. Agradable y se siente efectivo. Para mi podrían mejorar 3 cosas: 1- No hay casi diferencia entre las dis velocidades. Para mi gusto la más fuerte debería ser más fuerte. 2- que funcionará también sin el cable 3- que hiciera un poco menos de ruido</t>
  </si>
  <si>
    <t>Comodidad Estan muy bien para su precio! Lo único que la plantilla es de mala calidad</t>
  </si>
  <si>
    <t>Que da la hora Por su precio esta genial, un poco lioso para ponerlo en hora pero es cuestion de enredar con los botones!!!!</t>
  </si>
  <si>
    <t>rapidez precio y calidad Es un regalo</t>
  </si>
  <si>
    <t>BUEN PRODUCTO Es ligero pero robusto, funciona bien.</t>
  </si>
  <si>
    <t>Pefecto Perfectos van geniales</t>
  </si>
  <si>
    <t>BUENA OPCIÓN: LA RECOMIENDO. He probado varias cremas (intentando siempre buscar alguna que sea lo más natural posible para poder usar a diario, ya que sufro de dolores musculoesqueléticos fuertes). Había probado el gel de árnica (no me hizo absolutamente nada), fisiocream (no está mal tampoco), pero esta es la que más me ha convencido. La crema que más me ayuda es flogoprofen pero al no ser natural, no puedes usarla a diario (como quisiera) y la mejor opción natural y que, aunque no es milagrosa, algo ayuda es esta: Physiorelax. La recomiendo.</t>
  </si>
  <si>
    <t>Buenas cañas Muy bueno para tirar en casa una caña como de bar</t>
  </si>
  <si>
    <t>Hierve muy rapido y comodo para viaje Hervidor perfecto para viajes, calienta muy rapido y hace poco ruido. Hasta el maximo que se puede llenar da para 2 tazas grandes. Perfecto la bolsa de transporte. Viene con 2 tazas pequeñas y una cuchara.</t>
  </si>
  <si>
    <t>Ok Igual que en la descripción</t>
  </si>
  <si>
    <t>Estupendo! Dentro del plazo, incluso algo antes: en todo momento informado del estado del envío. El reloj en perfecto estado. Muy satisfecho de la compra: el precio, algo mas barato que en otros sitios y la entrega en casa y en poco tiempo, hacen que este sistema de compra sea muy práctico. Repetiré.</t>
  </si>
  <si>
    <t>Muy util para tapar olores y humidificar el ambiente Lo compramos para ponerlo en el salón, sobre todo cuando cocinamos o los vecinos están cocinando ya que entra el olor por el patio de luces. La instalación es muy sencilla, echas el agua en el deposito y luego echas la esencia en el tubito que esta puesto para ello, ya sea el de cristal que viene aparte o el de plástico que ya viene colocado. El agua dura mucho y el olor se nota prácticamente desde el principio, tapando los malos olores que pueda haber en ese momento sin problemas. Ademas puedes programarlo fácilmente pulsando un botón para dejarlo encendido por la noche o cuando salgas de casa a realizar alguna tarea. Como se puede ver en las imágenes es muy bonito y se puede poner prácticamente en cualquier punto de casa. También si quieres puedes encender las luces decorativas y elegir el color.</t>
  </si>
  <si>
    <t>Comodidad y flexibilidad Es mi número con calcetin de deporte 🥎 para mi comodisimas trabajo de pie todo el día y ya he probado todo tipo de zapatos me quedo con estos que no serán los últimos que me compre</t>
  </si>
  <si>
    <t>buena calidad me llego en perfectas condiciones de enbalaje ademas una ventaja poder comprar el numero en medio como mi caso 44,5,llevo con ellas unos meses y siguen estando como el primer dia super comodad para pasear</t>
  </si>
  <si>
    <t>Ideal! Fue un regalo para un gamer y le ha encantado, cubre muy bien toda la superficie y es de fácil deslizamiento, buen material</t>
  </si>
  <si>
    <t>el tripode de mesa perfecto Un tripode perfecto! Es muy pequeño, pero aguanta bastante peso, no se desliza y cuando lo pliegas es realmente portatil. Por el precio que tiene y demas, es realmente bueno. Viene con una tuerca para ajustar un micro mas grande ;)</t>
  </si>
  <si>
    <t>Auriculares excelentes Un producto de 10. Según abres la caja, puedes ver la calidad del producto. La caja cargador es simplemente única. La adaptación de los auriculares a las orejas es estupenda. Además la calidad del sonido es muy buena, así como la duración de la batería. Son unos auriculares perfectos para hacer actividad al aire libre o en gimnasio. Sinceramente producto 100% recomendado.</t>
  </si>
  <si>
    <t>Muy buenas. Todo perfecto. Muy comodas y calentitas para entretiempo.</t>
  </si>
  <si>
    <t>Rápido y bien embalado Ideal para trabajos mini</t>
  </si>
  <si>
    <t>Rita Aceite muy agradable, cumple la función perfectamente. Lo he utilizado en el pelo antes de secar e se nota un brillo muy sano después. Hay que tener cuidado con la cantidad de producto, ya que 2/3 gotas son suficientes. Algo muy agradable también es que el producto no tiene holor. Recomendo!</t>
  </si>
  <si>
    <t>Pegan fenomenal Llegó rápido y vienenuchos</t>
  </si>
  <si>
    <t>Orginal 100% Es original 100% de Pandora. Lo único diferente es que envés de venirte en la típica cajita, te viene en una bolsita pequeña de pandora. Pero eso es lo de menos. Contenta con mi compra!</t>
  </si>
  <si>
    <t>Genial Reloj sencillo que funciona muy bien Y, para el uso que le doy me va fenomenal. Totalmente recomendable. Muy buen precio.</t>
  </si>
  <si>
    <t>El precio Aún no lo he usado pero se ve un poco de mala calidad</t>
  </si>
  <si>
    <t>Pequeñas Esta marca de chanclas son fenomenal pero las tuve que devolver por que me han quedado muy pequeñas por lo demás muy monas</t>
  </si>
  <si>
    <t>se rompio la correa en dos ocasiones pero el fabricante reaccionó rápidamente y correctamente Compre dos de estas bolsas porque me gustaba mucho el diseño, y en ambos casos despues de 2 meses un de las correas se rompió. Eso si, tengo que decir que el fabricante del bolso reaccionó con rapidez, me devolvieron el dinero y me enviaron otro. No se como fue posible que rompiera tan facil, pero el diseño es muy bonito y agradezco al fabricante su rápida respuesta y acción ante el problema que tuve y les deseo lo mejor</t>
  </si>
  <si>
    <t>Averiada enseguida Una castaña, a mi me duró una semana. Se me rompió la resistencia y adiós a la manta.</t>
  </si>
  <si>
    <t>Ya llevo dos devoluciones con esta marca Zapatilla cómoda, pero primero me enviaron un color que no pedí. La devuelvo, pido otro color, me llega con el embalaje defectuoso, la abro y uno de los remaches metálicos de los cordones está defectuoso, y otra vez a devolver el producto.</t>
  </si>
  <si>
    <t>Descontenta No me gusta nada, desde el primer momento cuando está en funcionamiento huele a quemado y cuando la utilizas le da sabor a la comida, descontenta desde el primer dia</t>
  </si>
  <si>
    <t>El lproducto responde a las expectativas Sencillo y bien resuelto</t>
  </si>
  <si>
    <t>Muy comodos y ajustados El paquete llegó antes de lo indicado. El calzado tiene muy buen acabado y es muy cómodo, quizá el único pero, es que la plantilla interior debería estar pegada, ideal para usar en piscinas, ríos, playas o incluso para pasear.</t>
  </si>
  <si>
    <t>Batidora de vaso sencilla La batidora para smoothies Blend &amp;amp; Go, 600 ml, 600 W - Negro me ha parecido algo justita, digo esto, porque he tenido oportunidad de probar alguna más y la verdad es que la suparaban tanto es estética, diseño , material y potencia. A su favor tiene el tamaño que es más compacto y que es más ligera ya que las jarras están hechas de plástico en lugar de cristal y por ello es ligera. Por lo demás realiza los batidos y pica la fruta sin problema, pero aún así yo optaría por alguna otra.</t>
  </si>
  <si>
    <t>Opinión cinta adhesiva Entrega rápida y perfecta</t>
  </si>
  <si>
    <t>CALIDAD Es muy rápida en la transmisión de datos y tiene una gran capacidad de almacenamiento de datos.Muy buen producto.</t>
  </si>
  <si>
    <t>No se puede pedir más por ese precio El fin de los montones de cables liados entre sí. Con estas prácticas tiras de velcro puedes organizar todos esos cables a la perfección. Eso si, si el cable es muy gordo o largo, tendrás que utilizar dos tiras, ya que no son muy largas. Pero por lo demás, perfectas.</t>
  </si>
  <si>
    <t>BUEN PRODUCTO Es muy buen producto recomiendo esta compra</t>
  </si>
  <si>
    <t>100% Satisfecho El producto es totalmente genuino. Tiene todas los elementos que asi lo indican, caja, etiquetas, calidad de materiales, etc.. El paquete llego antes de lo esperado y en perfectas condiciones.</t>
  </si>
  <si>
    <t>Buen biberon Muy buen biberón. Es el segundo que compramos igual, ya que nos gustó mucho y queríamos otro para dejar en casa de los abuelos.</t>
  </si>
  <si>
    <t>Version de 8tb En mi caso he comprado la version de 8tb, ya que necesitaba más espacio para mis fotos y ficheros personales. Este producto trae un montón de software de WD para hacer copias de seguridad y es algo muy útil para tener segura tu información.  Al cabo de un mes decidi reusar el disco que venia dentro, para ponerlo y en mi ordenador, y sorpresa, trae un disco WD80EZAZ con 256 MB de caché, es decir, un WD RED NAS 8tb, que son carisimos... Comparte nombre de modelo con los Ultrastar He8-8 SATA... Vale mucho la pena</t>
  </si>
  <si>
    <t>Me gusta lo cómodo que es Es el segundo que compro porque el anterior se me rompió. No ha tenido gases con estos biberones. Se limpia muy bien. Me encanta y a mi bebé también.</t>
  </si>
  <si>
    <t>Silencioso Genial.Mejor de lo esperado</t>
  </si>
  <si>
    <t>Menuda diferencia Rapido veloz y sin problemas para su instalacion, solo necesitas de una carcasa y clonar tu disco antiguo, y ya esta...enseguida a funcionar...buena compra</t>
  </si>
  <si>
    <t>Chulas Muy bonitas. El tamaño es el que se esperaba. Buena calidad.</t>
  </si>
  <si>
    <t>Fácil y sencillo Es una buena opción de compra. Lo dejas enfriar antes de su uso, te lo pones , te tumbas tranquilo y relajado y desde luego la migraña se quitó. Para mí ha funcionado perfectamente , muchas gracias :D .</t>
  </si>
  <si>
    <t>Para esencias Mi pareja me pidió que comprara un humidificador y compré este modelo. Me pareció uno de los más completos, se puede programar tiempo de apagado, cambiar el color de luz y ajustar la intensidad con la que quieres que salga el vapor. El depósito es bastante grande. Lo he cogido el modelo que simula la madera ya que mi casa es casi toda de madera. Probando hemos puesto una esencia de frutos rojos y da un aroma muy agradable a la casa. Nos ha gustado mucho</t>
  </si>
  <si>
    <t>Exactamente lo que necesitaba Todo ok</t>
  </si>
  <si>
    <t>Práctica Pequeña pero matona. Fácil de usar, no da nunca problemas, almacena más de 1500 fotos en calidad RAW. Llevo unos meses con ella y estoy muy contenta.</t>
  </si>
  <si>
    <t>Guapisimos Me encantan, son super comodos, y con una lectura rapida a las instrucciones son faciles de controlar</t>
  </si>
  <si>
    <t>Perfecto Sólo la marca Vans ofrece tal nivel de calidad. 100% recomendable</t>
  </si>
  <si>
    <t>Buen tamaño y Calidad-precio Buena relación calidad-precio. Tamaño perfecto para poder meter cuadernos DIN4. Varios bolsillos.</t>
  </si>
  <si>
    <t>Dulcemf16@gmail.com La tela malísima, y es transparente. No es nada parecido a la foto. De muy mala calidad. Provoca devolverlo por engañosos.</t>
  </si>
  <si>
    <t>Como esperaba Buen material, aguanta bien los lavados. Como pega decir que las mangas son algo largas y el cuello se abre a los pocos usos, cosa que no soporto..</t>
  </si>
  <si>
    <t>vans Buena calidad y precio. Un poco pesadas, si fueran más ligeras estaría bastante mejor por lo demás estoy muy contenta ☺ con la compra</t>
  </si>
  <si>
    <t>No es seguro Después de un mes y medio de uso ya me ha dado mi primer susto dándole error al querer acceder a mis documentos. Obviamente ya no se puede devolver así que me aguantaré pero prefiero avisar los que todavía no lo han comprado.</t>
  </si>
  <si>
    <t>Muy mal Para ser de las caras es lo peor. El broche en vez de ser del color d la pulsera viene sin tapa metalica y lo q se ve es el iman por los dos lados.dando un efecto horrible a la vista</t>
  </si>
  <si>
    <t>Por el precio que tiene no se puede pedir más... Por el precio que tiene cumple su cometido , yo en mi PC tengo un ruido de fondo bastante desagradable que estoy intentando solucionar</t>
  </si>
  <si>
    <t>Buena compra Antes usaba de otra marca que encontraba en muchos supermercados y han dejado de fabricarla. Esta tiene más pequeña la esponja y por eso le doy cuatro en mi valoración. La encuentro solo en Amazon y la compro con regularidad. Es perfecto para fregar y no destrozarte las manos. Funciona genial.</t>
  </si>
  <si>
    <t>Repito adquisición Ya había adquirido antes estos auriculares ya que la forma me gusta mucho y la considero muy cómoda. Los anteriores se me estropearon pronto, espero que estos duren más aunque el precio lo amortizan más que de sobra. El pedido ha llegado antes de lo esperado, por lo que mucho mejor.</t>
  </si>
  <si>
    <t>Color bonito. El diseño no está mal pero pesan un poco y son estrechos así que recomiendo comprar un número más del que se usa habitualmente.</t>
  </si>
  <si>
    <t>Muy buenos calidad-precio Estoy muy contento con la compra, son buenos, bonitos y baratos, suendan muy bien. Y aunque no sean los mas bonitos, le da mil patadas a las imitaciones de los airpods en cuanto a sonido, que al final es su principales función. Solo tengo una pega y es que una vez no conseguía emparejarlos en stereo, se emparejaba solo uno de los dos en Mono, pero restaurando valores de fabrica y haciendo las cosas bien, todo arreglado. La clave es emparejar siempre el derecho, y ser el primero que sacas de la caja, cuando este esté emparejado sacas el izquierdo y automáticamente se conecta al derecho.</t>
  </si>
  <si>
    <t>Buen producto Ha resultado todo muy satisfactorio Se recibio el reloj antes de la fecha que me comunicaron y todo era segun estaba anunciado</t>
  </si>
  <si>
    <t>Magnifico kit de 3 bolas El kit viene con 3 bolas diferentes, una simple y dos dobles (una con peso y otra con control remoto) con varios modos de vibracion y buen tacto.</t>
  </si>
  <si>
    <t>Practicidad Muy grande, me encanta el tamaño y su tacto. Es muy práctica y el ratón se desliza muy suave. Muy práctica.</t>
  </si>
  <si>
    <t>Diversión en clase Compré este micrófono ya que me parece una herramienta muy útil para que los niños empiecen a hablar en público sin tener vergüenza, y la verdad es que el tenerlo en la mano les da mucha confianza. Desde que lo llevé al aula ha sido todo un éxito, los niños siempre quieren participar para contarnos cosas y cantar. Además como tiene altavoz incorporado me piden canciones para hacer karaoke y disfrutan muchísimo. Además, para mí ha sido una herramienta muy útil, ya que consigo captar mejor su atención y no tengo que forzar la voz. Al principio me costó un poco averiguar como quitar el eco, pero simplemente con darle al botón del medio a la izq va desapareciendo. Ha sido una gran idea comprarlo y a los niños les encanta.</t>
  </si>
  <si>
    <t>Desde que los he probado no uso otros Son muy cómodos, las tetinas natural pétalo son con las que mejor come mi bebe y no suele tragar aire. No se estropean, se limpian con facilidad y son bonitos</t>
  </si>
  <si>
    <t>Almacenamiento rápido y buena relación calidad precio Lo tengo en un xiaomi notebook pro y funciona perfectamente. Va más despacio que el que viene instalado pero también es por la configuración del portátil. Aún así lo recomiendo.</t>
  </si>
  <si>
    <t>Muy recomendable. Es muy bonito, queda bien en cualquier sitio. Aromatiza toda la habitación, y es muy facil de usar. No le veo ninguna pega.</t>
  </si>
  <si>
    <t>Buena sudadera La calidad</t>
  </si>
  <si>
    <t>Estupendo producto Perfecto de muy buena calidad y bonitos</t>
  </si>
  <si>
    <t>Satisfecho! Satisfecho! Cumple con mis perspectivas! Entrega muy rápida!</t>
  </si>
  <si>
    <t>Un buena compra. Los batidos quedan con una textura estupenda en pocos segundos. Hubiera preferido que fuera de vidrio en lugar de plástico pero a pesar de todo su aspecto es muy bueno. Parece muy resistente y se limpia muy fácilmente. No hace ni hace falta meterlo en el lavavajillas. El libro de recetas que incluye es muy completo. En definitiva, una buena compra.</t>
  </si>
  <si>
    <t>Un gran regalo y gran compra Bonito regalo para mi pareja, además viene con bastantes pegatinas, colores y demás para personalizar al 100% todo un acierto</t>
  </si>
  <si>
    <t>El artículo si es de plata Me encanta, todo perfecto</t>
  </si>
  <si>
    <t>Calidad No pensaba q me iba a gustar tanto.</t>
  </si>
  <si>
    <t>Muy rápido Va muy rápido, Windows arranca antes que pantalla.</t>
  </si>
  <si>
    <t>Muy bonito para niños de unos 4-7 años Lo adquirmos para un regalo y ha sido un exito. Para regalar a una niña de unos 5 años es perfecto para que empiecen a acostumbrarse al despertador. Es un poco complicado de programar pero luego funciona muy bien y queda muy bonito en un cuarto infantil</t>
  </si>
  <si>
    <t>Muy bien Muy bien. Me gusta mucho. Ya he comprado mas cosas de esta marca y siempre son muy buenas. Lo recomiendo</t>
  </si>
  <si>
    <t>Muy incomodos y calidades malas Muy incomodo, calidades justitas y no tardó nada en romperse. La calidad era mediocre tirando a bien, pero lo incomodo que son le quitan puntos.  No los recomiendo, los compré para mi madre mientras trabajaba y le duraron dos dias.</t>
  </si>
  <si>
    <t>correcto correcto</t>
  </si>
  <si>
    <t>Demasiado difíciles para poner Al ser completamente cerrada cuesta meterle bien las zapatillas,pero el número si es el que corresponde. Pero tal cómo salen en las fotos y no pesan nada</t>
  </si>
  <si>
    <t>del pack de 6 ya solo hay 3 enteras en apenas 4 usos, se sueltan hilos Pues de 6 ya van 3 que se han roto o soltado hilos en apenas 4 usos !! una vergüenza !!</t>
  </si>
  <si>
    <t>dejo de funcionar en un movil a los 20 dias. puede que mi situacion sea particular pero despues de haber visto comentarios y haberlo comprobado yo mismo sobre la verdadera velocidad de escritura, parece como si esta tarjeta fuera de otra epoca y estuviera reetiquetada como clase 10 y no clase 4 que es lo que la corresponderia. el telefono que tuvo esta tarjeta como memoria compartida dejo de leer o escribir a los 20 dias. fue imposible recuperar las fotos , tanto antiguas como nuevas, al final, tras formatearlo si volvio a la vida la tarjeta pero perdi todas las fotos y demas archivos. el final de este producto ha sido pedir que se me devuelva el dinero y yo devolver el producto aunque lo consegui en una gran oferta, pero aun asi, he perdido muchas cosas mas valiosas que el dinero.</t>
  </si>
  <si>
    <t>Buena calidad Calientes, pero un poco gorditos para esquiar</t>
  </si>
  <si>
    <t>Que se hagan la talla correspondiente correspondiente a xl Me queda algo corta la verdad, pero luego esta bonita y me gusta su forma y textura</t>
  </si>
  <si>
    <t>Buena Relación calidad precio Tejido de calidad,después de 10 lavados está como el primer día. Talla un poco más grande de lo esperado</t>
  </si>
  <si>
    <t>Lo que esperaba La marca Tristar por lo general tiene calidad precio buena y esta jarra en general presta aquello que buscaba. Cómoda, rápida y fácil de limpiar. Recomendable</t>
  </si>
  <si>
    <t>Buenos Perfecto calidad precio</t>
  </si>
  <si>
    <t>Cómodas Buenas zapatillas para trabajar varias horas de pie. Tienen una plantilla acolchada muy comoda que no se mueve. Yo las uso tanto para interior como para exterior y van perfectas. Repetiré</t>
  </si>
  <si>
    <t>BOTA PANAMA JACK satisfecho con el producto ajustado a las indicaciones del vendedor. muy buena relacion calidad precio. puntualidad en la entrega. buen servicio post.venta.</t>
  </si>
  <si>
    <t>perfectas Para pegar tis fotos en todo tio de albun o sitios, super practico la caja y las etiquetas que cortan solas de una en una. Cuando se corta queda una parte para pegar y la otra para quitar el adhesivo y pegar, perfectas para lo que son</t>
  </si>
  <si>
    <t>De momento ninguna queja Tenía uno parecido y este ha sido para regalar. Es bonito, funciona y queda bien</t>
  </si>
  <si>
    <t>Mejores cintas doble caras Que tiene gran adherencia y soporta peso, lo compramos para no hacer agujeros en la pared al colgar un cuadro.</t>
  </si>
  <si>
    <t>Buena compra Son tal cual la foto y la talla correcta, lo único que me ha sorprendido es que el envío ha sido en bolsa, pero igualmente no estaban muy dobladas.</t>
  </si>
  <si>
    <t>Muy bonitos Los he usado tres veces, están bien y se ven fuertes. No pesan mucho por lo que se llevan facilmente</t>
  </si>
  <si>
    <t>excelente producto muy buen producto</t>
  </si>
  <si>
    <t>Calidad precio Me gustó el precio y la calidad</t>
  </si>
  <si>
    <t>La mejor compra que he podido hacer. Este micrófono esta súper bien para el precio que tiene. Lo recomiendo al 100% para cámaras réflex, Gopro o incluso para el teléfono. Si estáis dudando, esta es una gran opción.</t>
  </si>
  <si>
    <t>Agilidad y eficacia Perfecto. Señal fluida sin cortes, muy funcional. El ordenador lo reconoce sin problema y el puntero alcanza gran distancia. Muy recomendable.</t>
  </si>
  <si>
    <t>Bien para raspberry pi 3 Probada en una Raspberry pi 3, funciona muy bien. Envío rápido.</t>
  </si>
  <si>
    <t>Un reloj deportivo y elegante a la vez El reloj es estupendo, marca los días de la semana en español que no lo esperaba genial</t>
  </si>
  <si>
    <t>Frutos rojos Para la casa</t>
  </si>
  <si>
    <t>Ligero Rapidísimo con amazon prime, el reloj perfecto tanto para chico o chica, diseño limpio, ligero</t>
  </si>
  <si>
    <t>Perfecto Ha satisfecho nuestras expectativas</t>
  </si>
  <si>
    <t>Auténticos Muy chulos</t>
  </si>
  <si>
    <t>Geniales, como siempre. Para mi pareja, excelentes. Ella encantada con las deportivas, cómodas y elegantes. Ya ha comprado unos cuantos modelos de Sketchers, y siempre genial. Duran bastante, son de buena calidad, pero sobretodo, la comodidad que ofrecen. Muy recomendables.</t>
  </si>
  <si>
    <t>Muy bonito Para el coste del reloj esta bastante bien, en mi caso le doy un uso diario y va bastante bien y es bonito, calidad precio excelente.</t>
  </si>
  <si>
    <t>barato y de materiales muy malillos bueno ya sabia que era un reloj barato, parece hecho de laton, pero bueno, es medianamente vistoso, muy simple, pequeño, y facil de leer</t>
  </si>
  <si>
    <t>Una pena los pille en promoción por 20 euros y de lujo, me guié por los comentarios que habían y la puntuación pero nadie comento la cantidad de cortes que tiene en exterior, para estar dentro del gimnasio van bien, pones el movil en la cinta y de lujo pero el problema esta cuando sales de interior a pasear el perro o directamente ir a comprar el pan xD, tiene una cantidad de cortes que no es normal teniendo el móvil incluso en la mano.</t>
  </si>
  <si>
    <t>No huelen hay que añadir mucho producto He comprado otros aceites y huelen mucho más. Apenas huele, hay que echar mucho producto.</t>
  </si>
  <si>
    <t>Malos Malos. No se sujetan bien en el oido. Si se cambian las gomas por otras de las que vienen de otro tamaño no paran de caerse a la mínima. No merecen la pena.</t>
  </si>
  <si>
    <t>Muy comodas Bastante cómodas para ser zapatillas de montaña Fuertes resistentes unas zapatillas para hacer kilómetros sin problemas por cualquier sitio que se ponga por delante</t>
  </si>
  <si>
    <t>Normal no está mal porque lo compré como producto plus por la mitad de un billete de los rojos. Por lo que cumple su función perfectamente. Hay que decir que con los fixos bancos la rueda no encaja bien, le sobra, pero por lo demás, bien. Ojo, la marca, 5 stars te lo pone en todo el frontal.</t>
  </si>
  <si>
    <t>Buena lícra No me quedo</t>
  </si>
  <si>
    <t>Buen producto. Buen producto. Llegó exactamente el día acordado, en tres días. El producto funciona perfectamente. El problema que veo es que no vienen las instrucciones en castellano, y si son para una persona mayor que no sabe inglés resulta un poco complicado de conectar con el móvil. Aún así todo bien.</t>
  </si>
  <si>
    <t>correcto Cinta adhexiva perfecta para usar y siendo de la marca Scotch no podía ser de otra manera, trae un monton de rollos y a un precio muy economico.</t>
  </si>
  <si>
    <t>Comodidad Super comodas</t>
  </si>
  <si>
    <t>Muy agradable Compré la almohadilla para aliviar mis problemas de espalda. Alcanza una temperatura muy agradable sin llegar a quemar aún en la posición número 3. Tiene un tacto muy suave. Compra muy recomendable</t>
  </si>
  <si>
    <t>buena Maquina muy útil para pelar verduras ,zanahorias , etc recomendable y de buena calidad , no es imprescindible en la cocina</t>
  </si>
  <si>
    <t>Bonito Buenos acabados Muy bonito para regalar.</t>
  </si>
  <si>
    <t>Genial A sido para regalar y a gustado mucho, por el precio que tiene esta pero que muy bien ,,, relaja si o si., cada dia un ratito y quedas como nuevo,sin  duda todo un acierto.</t>
  </si>
  <si>
    <t>Aguantan muchas horas sin gecarga Funcionan perfectamente y tienen buen radio de transmisión atravesando varias paredes, tan solo pondría unas sugerencias: El volumen más bajo hacer lo todavía un poco más bajo Avisar 30 min antes de que acabe la carga</t>
  </si>
  <si>
    <t>Gran memoria USB Memoria USB muy elegante, robusta, de mucha calidad y fiabilidad. Con el agujero te permite poner un llavero o cualquier adorno para no perder la memoria. Tamaño reducido para no incordiar. Perfecto para utilizar en el coche...</t>
  </si>
  <si>
    <t>Comodas Cómodas. No me gustan los cordones</t>
  </si>
  <si>
    <t>Buena relación precio/calidad. Va muy bien en el PC como en el smartphone.</t>
  </si>
  <si>
    <t>el diseño y lo elegante que es Muy buen reloj las esferas pequeñas funcionan es muy bonito no hace falta gastarse mucho dinero en un reloj la calidad que tiene es muy alta.</t>
  </si>
  <si>
    <t>Todo perfecto! Todo perfecto! Llego antes de lo que esperava y el producto cumple perfectamente con mis expectativas.</t>
  </si>
  <si>
    <t>Perfecto, 10/10 Muy fácil de usar y con la calidad de Logitech. Se ajusta a la mano perfectamente,  no pesa y su puntero láser alcanza mucha distancia. Perfecto para ponencias en clase o eventos.  Lo uso cada día en la Facultad y nunca me dió problemas.</t>
  </si>
  <si>
    <t>Perfecta Llego antes de la fecha, bien envuelto, calidad buena.</t>
  </si>
  <si>
    <t>calidad Bolso con varios bolsillos , relación calidad precio excelente gran capacidad para llevar cosas personales</t>
  </si>
  <si>
    <t>Masajea con fuerza Viene con su funda para guardarlo siempre que no se use. Una vez fuera lo conectas a la corriente, tiene dos botones uno para activar diferente sentido de rotación d elástico bolas y otro para la velocidad de las mismas. El aparato viene  con una goma en ma parte trasera para que lo coloques en el cabezal de la silla, sillon o donde sea, incluso viene con una toma de corriente para el coche para usarlo dentro del coche. Una cosa muy curiosa es que trae cremallera para poder quitar y lavar la funda y por último decir que puedes usarlo en cualquier zona del cuerpo, muy recomendable para soltar tensiones acumuladas</t>
  </si>
  <si>
    <t>Bonita aspiradora y con potencia Me ha sorprendido la verdad por la potencia que tiene  y la estética de la aspiradora porque es elegante y muy cómoda de utilizar ,he probado otras aspiradoras para coches y no han tenido la succión que tiene esta ,además viene muy completa.ahora no me da tanta pereza en limpiar el coche porque tengo un nene y me pone el coche .....y me daba pereza tener q ir a una gasolinera para pasar la aspiradora ,y ahora en cualquier momento la paso en un momento y listo ,en conclusión ,estoy muy contento con la compra</t>
  </si>
  <si>
    <t>Silencioso y efectivo Para limpiar en profundidad... un cepillo y con la mano... pero sorprendentemente para el mantenimiento semanal es fabuloso, la primera configuración no es complicada, hace un mapeo de la casa y posteriormente le puedes enviar a limpiar una habitación concreta si te interesa, es una gozada estar fuera de casa y ponerlo en marcha con el móvil, llegar a casa y ver que está limpio, también resulta curioso las primeras veces ver cómo va directamente a un punto concreto a limpiar y vuelve. LA autonomía es suficiente en una casa de unos 120 m cuando termina va hasta su punto de recarga automáticamente, todavía no he probado la opción de fregar. El nivel de ruido es aceptable, mucho menos que un aspirador estandar, y la capacidad de carga del depósito es suficiente para un circuito de limpieza completo.</t>
  </si>
  <si>
    <t>pedal La mayoria de estas fregonas que conozco son de pedal y no especifica nada, una vez comprada fue que me entere que era  empujando el palo de la fregona hacia abajo cosa que no me gusta nada.</t>
  </si>
  <si>
    <t>Algo pequeñas Utilizo un 43, y por no hacerme caso de los comentarios y pedir un número más,  me quedan justas, se darán con el tiempo pero son muy cómodas.</t>
  </si>
  <si>
    <t>Minúsculo Es muy pequeño. Cuando lo tienes en la mano tiene una presencia insignificante. Recomendaría usarlo sólo como regalo si se le añade un soporte como una pulsera o un colgante.</t>
  </si>
  <si>
    <t>Pie inoxidable, roto. Creo que la empresa debería hacerse cargo de una rotura del pie de la batidora que ha ocurrido ya en demasiados compradores del producto. Resulta, que el pie de la batidora parece entero de acero inoxidable, pero por dentro es de plástico y se rompe con mucha facilidad. En una página de la casa he visto que te cobran por ese accesorio la mitad de lo que bale la batidora con todos sus complementos. Me parece un robo. Desaconsejo completamente la compra de este producto.</t>
  </si>
  <si>
    <t>TIMO-ESTAFA Si en la foto aparecen dos cajas y en la especificaciones del producto pone que cada caja contiene 1.000 grapas aproximadamente das por hecho que pagas dos cajas. A mi solamente me vino una con lo que me siento engañado. Había opciones más baratas. No repetiré con este vendedor. No lo recomiendo.</t>
  </si>
  <si>
    <t>Muy bueno como era de esperar de chicco, es de gran calidad y entra perfectamente en todos lados. Pase de avent a este y no me arrepiento</t>
  </si>
  <si>
    <t>Memoria USB supernana. La memoria USB ya la he utilizado y funciona correctamente. Lo que ocurre es que me estoy un poco arrepintiendo por su tamaño y para el uso que la voy a dar. En una TV, es tan pequeña que como no sepas donde la dejas, parece fácil de extraviar.  Imagino que su tamaño "nano" para otros usos es más recomendable.</t>
  </si>
  <si>
    <t>Buen producto No e isla primera vez que compro árbol del te por Amazon, y me decante por este producto por el precio y tamaño, me parecía una buen opcional, llego a tiempo como siempre y me sorprendió ya que tiene un gotero dosificado y diluido con un poco de agua va genial, recomendable.</t>
  </si>
  <si>
    <t>Perfecto. Todo muy bien rapido y en orden. Batidora muy potente, cumple con mis expectativas. Se ajusta a lo descrito en el anuncio. Todo perfecto</t>
  </si>
  <si>
    <t>Versátil Comodísimo en un mismo pen las dos tomas y trabajar con Mac y Windows sin adaptadores, pero muy delicado el mecanismo para hacerlo, la pslanca es muy frágil y a veces no se queda bien...</t>
  </si>
  <si>
    <t>Regalo Y parece que ha gustado  mucho, siempre se lo suelo ver puesto. La verdad es que es muy bonito, no parece que haya perdido brillo. Totalmente reocomendada su compra.</t>
  </si>
  <si>
    <t>Bonito reloj para niña Buena calidad de materiales. Es Casio, fiable y duradero. Con el uso el material de la correa pierde su color un poco.</t>
  </si>
  <si>
    <t>Bandolera de diario; muy comoda Tal y como se describe es una mochila/bandolera para el uso diario y que le cabe la cartera, llaves, un kindle, el movil pero lo mejor de todo es que se ajusta perfectamente. . .</t>
  </si>
  <si>
    <t>Rápida y pequeña Me ha sorprendido por el precio que tiene. De pequeño tamaño pero rápida y silenciosa, en un minuto tenemos 200ml hirviendo. Muy útil la base separada para no tener que estar arrastrando el cable al verter el agua.</t>
  </si>
  <si>
    <t>Muy buen producto Importante; las tallas son algo más grandes de lo habitual, primero compré una L (gigante) que cambié y con la M todo está en su sitio, sirve tanto para correr como para hacer yoga. Totalmente recomendable y genial de precio y periodo de entrega-</t>
  </si>
  <si>
    <t>Para nada mal Bastante ligero y cómodo, los materiales no son de alta calidad, pero parecen bastante duraderos</t>
  </si>
  <si>
    <t>Tamaño perfecto Es muy bonito y me llego antes :)</t>
  </si>
  <si>
    <t>facil montaje muy bueno, exacto a la descripcion, lo esperaba mas pequeño pero es genial, la desidad del vapor es muy buena y es amplio en el deposito , muy contenta con la compra</t>
  </si>
  <si>
    <t>Comodas Dan un poc mas de talla</t>
  </si>
  <si>
    <t>Buena tarjeta Muy buena tarjeta, ya llevo varias compradas y la verdad que la relación calidad/precio es la mejor que he podido ver, y sobretodo siendo una clase 10, en cuanto a velocidad de escritura y de lectura están muy bien. Además si no va a ser un uso profesional, para un usuario normal, le llega y le basta.</t>
  </si>
  <si>
    <t>Un cepillo que deja brillantes las cuchillas El envío ha sido súper rápido. Al verlo pensaba que era grande,pero luego se adapta fenomenal a las cuchillas y va genial.100% recomendable</t>
  </si>
  <si>
    <t>Bueno, bonito y barato Muy bonito, me ha gustado sobretodo la cadenita, que no es como la de la foto (es mejor), así que ninguna queja. A ella le ha gustado mucho.</t>
  </si>
  <si>
    <t>Buena compra Se las compré a mi mujer que nunca ha sido de llevar deportivas y ahora se las pone a diario, diseño sencillo, clásico, súper cómodas según ella y muy fáciles de limpiar. Se puede decir que todo un acierto.</t>
  </si>
  <si>
    <t>Maravillosa...llego antes Preciosa</t>
  </si>
  <si>
    <t>Rápido y elegante &lt;div id="video-block-R3CDW6A9DAL88V"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src="https://images-eu.ssl-images-amazon.com/images/I/A12Idzo0liS.mp4" style="position: absolute; left: 0px; top: 0px; overflow: hidden; height: 1px; width: 1px;"&gt;&lt;/video&gt;&lt;/div&gt;&lt;div id="airy-slate-preload" style="background-color: rgb(0, 0, 0); background-image: url(&amp;quot;https://images-eu.ssl-images-amazon.com/images/I/A14mfbDqWjS.png&amp;quot;);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center;"&gt;0:16&lt;/div&gt;&lt;div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value="https://images-eu.ssl-images-amazon.com/images/I/A12Idzo0liS.mp4" class="video-url"&gt;&lt;input type="hidden" name="" value="https://images-eu.ssl-images-amazon.com/images/I/A14mfbDqWjS.png" class="video-slate-img-url"&gt;&amp;nbsp;El paquete venía perfectamente embalado. El diseño es elegante y ergonómico. Tiene buena potencia ya que en el primer uso tardo alrededor de 2minutos en calentar 1 litro de agua fria. Volvería a comprarlo sin duda.</t>
  </si>
  <si>
    <t>Perfecta! Es genial para infusiones, calienta el agua en un periquete, un poco difícil de limpiar por dentro pero bueno...</t>
  </si>
  <si>
    <t>Está bien Es robusta y bonita, con bastante capacidad. Es manejable, teniendo en cuenta que es grande y más bien pesada, el esmalte parece grueso y resistente. En cuanto a durabilidad.... hace un mes que la tengo y poco puedo decir.</t>
  </si>
  <si>
    <t>100% Recomendable Zapato muy cómodo y bonito, estiliza la pierna muchísimo,  pero lo he tenido que sustituir por otro modelo con tacón más bajo.</t>
  </si>
  <si>
    <t>Calidad Es precioso. Aunque lo pedí en turquesa vino en verde y me lo quedo!</t>
  </si>
  <si>
    <t>No me gustó nada Cuestionable...</t>
  </si>
  <si>
    <t>Me gustan Muy binitas</t>
  </si>
  <si>
    <t>Aceptable Buen producto, pero los adaptadores de silicona para la oreja saltan al mínimo roce. Suerte que vienen más en la misma caja, pero los tamaños son diferentes y hace que sea molesto.</t>
  </si>
  <si>
    <t>Sararc Es un armatoste, tarda mucho en calentar el agua, no cabe la mano para limpiarlo por dentro y huele bastante mal su interior. Lo he devuelto y no me han devuelto integro su importe.</t>
  </si>
  <si>
    <t>Muy contenta con la compra Ecológico y deja la ropa perfecta</t>
  </si>
  <si>
    <t>no me a gustado corta bastante mal las esquinas no las deja bien</t>
  </si>
  <si>
    <t>De momento bien. He probado una de ellas y funciona perfecto de momento ningun problema. La he usado para probar recalbox en la raspberry pi 2b y todo bien.</t>
  </si>
  <si>
    <t>. Buena calidad precio. Aun no he reutilizado pero al limpiar deja mancha eñ lapiz</t>
  </si>
  <si>
    <t>Buen disco duro. Tanto en PC como en portátil, se gana en prestaciones. Buen disco duro SSD. Lo instale en un PC de sobremesa de hace casi 9 años y sorprendentemente ha rejuvenecido. Arranca y apaga con mucha rapidez comparado con el disco duro clásico anteriormente instalado. Tambien los programas funcionan  con más agilidad. Merece la pena la instalacion en este tipo de equipos. Compre otro disco SSD y lo instale en un portátil más moderno que el PC, y también ganó en prestaciones  pero ahora resulta que el PC va más rápido que el portátil. En cualquier caso es una buena inversión. Lo que no entiendo es que todavía vendan equipos con discos duros clasicos y no se haya pasado a tecnología SSD.</t>
  </si>
  <si>
    <t>Casi perfecto Muy bien, llegó a tiempo, talla pardeara, lo único q uno de los calcetines tenía un agujero pequeño en un lateral q tuve que coser.</t>
  </si>
  <si>
    <t>Buena compra Muy útiles. Buen diseño, se pueden unir, buena adhesión</t>
  </si>
  <si>
    <t>Perfecto para aniversarios. El álbum es muy grande y viene sin sistema para pegar las fotos. Las tapas son duras y de buena calidad, y con un rotulador permanente se puede escribir sobre ellas. Entre una página y otra vienen separadores blancos traslúcidos para impedir que se peguen las fotos. Las hojas son de cartulina negra, se pueden pegar las fotos, graparlas..lo que se le ocurra a cada uno. Lo he comprado para nuestro aniversario, y ha sido un regalo muy especial. El precio de antemano parece un poco alto, pero merece la pena por la calidad.</t>
  </si>
  <si>
    <t>Alejandro Si son muy cómodas pero las tengo sin usar casi por que trabajo en amazon y me dicen que no puedo llevarlas</t>
  </si>
  <si>
    <t>Calidad y velocidad La tarjeta es de las mejores marcas. Este modelo en concreto permite escribir y leer más rápidamente la información, con lo que ideal para video cámaras o cámaras de fotos que son las que más velocidad requieren. Viene con el adaptador para SD. Muy contento con la compra</t>
  </si>
  <si>
    <t>Sencillo y práctico. Es lo que esperaba.Sencillo y práctico. Cumple su cometido.</t>
  </si>
  <si>
    <t>Inmejorable relación calidad-precio Llevaba tiempo buscando unos cascos bluetooth porque estaba cansado de los cables. Me decidí por estos porque por el precio que tenían no podía perder mucho y no me arrepiento de haberlo hecho.  La calidad de los materiales, aunque de plástico, es muy buena, son ligeros y cómodos. Los he usado para ir al gimnasio y aíslan bastante bien del ruido. En cuanto a la calidad del sonido, esta es mucho mejor de lo que me esperaba. Los probé a máximo volumen y no distorsionaban y tienen una muy buena respuesta a los graves y bajos. Incluye cable cargador y cable jack de 3.5mm  Muy contento con la compra, los recomiendo a cualquiera.</t>
  </si>
  <si>
    <t>Excelente. La caja cumple perfectamente con su cometido. Tiene apertura automática cuando se conecta con la impresora. En mi caso he hecho un montaje muy económico con una rasoberry Pi, posbox, la impresora zj-58907, un par de pistolas láser lectoras de código de barras excelvan y todo sin problemas. Lo recomiendo.</t>
  </si>
  <si>
    <t>Tinta lavable para ropa y libros Tal cual lo esperado</t>
  </si>
  <si>
    <t>Buena tarjeta Relación precio y calidad imbatible, ningún problema en que la reconociera el tf. De momento es rápida, versátil y tiene una buena velocidad de transferencia.</t>
  </si>
  <si>
    <t>Ecelente Es un disco duro de gran almacenamiento y muy seguro. Los productos de LaCie me gustan mucho porque son muy fiables.</t>
  </si>
  <si>
    <t>Justo lo que quería Buscaba unas Converse diferentes y éstas lo son. Son cómodas, ligeras y se adaptan a mi pie como un guante.</t>
  </si>
  <si>
    <t>Usb perfecto para uso con llaves Buena memoria USB, materiales de construcción robustos.  Los llevo con las llaves ya que la memoria es de material robusto y no sufre degradación. La velocidad de copia de la memoria es buena y encaja perfectamente en las bocas usb de los dispositivos.  El precio es un pelín mayor que otros USBs de su misma capacidad, pagando la marca y la robustez del dispositivo.</t>
  </si>
  <si>
    <t>Buen producto Buena solución para iphone, puedes pasar las fotos, mucica y archivos, por el otro pado tiene conexión para usb y micro usb. Muy buena compra</t>
  </si>
  <si>
    <t>Estupenda elección. Realmente contento con la compra. Los uso para oir la TV cuando en el salón hay ruido u otras personas hablando. En ningún momento me han perdido la señal, a pesar de moverme con ellos por toda la casa. El sonido es nítido y claro y, curiosamente, a veces incluso distingues los cuchicheos que se producen en los programas de tertulia y que en los altavoces normales de la TV son inapreciables.</t>
  </si>
  <si>
    <t>Gran diseño y valor Gran diseño y valor que se pone a prueba cada vez más en mi trabajo diario.&amp;nbsp;Muy satisfecho hasta ahora!</t>
  </si>
  <si>
    <t>Perfecto producto El producto es perfectamente compatible con las máquinas Dymo y la calidad es muy buena .</t>
  </si>
  <si>
    <t>Perfecto Tamaño y tetina ideal para el bebé.</t>
  </si>
  <si>
    <t>Sin sorpresas Es lo que esperaba</t>
  </si>
  <si>
    <t>Muy bien Cumple perfectamente con lo que quería. Tengo dos golden retriever que no paran de soltar pelo. El miedo que tenía era que los cepillos se atascasen de pelos, pero hasta el momento no ha habido problema. Es fácil de limpiar lo cual se agradece ya que cada poco tengo que vaciar el depósito.</t>
  </si>
  <si>
    <t>No es muy adhesivo Lamentablemente tengo que decir que no es muy adhesivo, basico en precinto.</t>
  </si>
  <si>
    <t>No repetiría Me han durado poco tiempo, se suelta fácilmente después de un tiempo.</t>
  </si>
  <si>
    <t>Diseño Solo se llena, se para y se vacía y vuelve a hacer lo mismo Cuidado con la intensidad, en 5 no la soporto</t>
  </si>
  <si>
    <t>tres no funcionan Los compré para entregar fotos y tres de ellos no funcionaban, los grabo y dan error o ni siquiera los lee,  ....</t>
  </si>
  <si>
    <t>Zapatillas distintas He comprado estas mismas zapatillas (del mismo tallaje y estilo) en dos ocasiones diferentes. El par que me ha llegado hoy es completamente distinto al que compre hace dos años. Es tan distinto que ni siquiera se parece al de la foto (que se supone es el producto que venden). La verdad es que esto muy enfadado porque la primera vez que las compré me fueron genial, pero esta última no es lo que esperaba y me siento estafado. Espero poder devolverlas de alguna forma y intentar conseguir las que ya tenía sin ningún problema.  PD: Adjunto dos imágenes que he encontrado de Internet en las que salen la que compre por primera vez y la de esta vez. Como veis, una es más "chata" que la otra y en una la costura del lado está más redondeada en la parte de abajo. Además, aunque no se aprecia en la imagen, cuando la ves de verdad se nota un tacto diferente (sobretodo en la punta): una es más rugosa mientras que la otra es suave.</t>
  </si>
  <si>
    <t>Buen micrófono para grabar lo que dices Es un buen microfono de solapa, es decir, sirve para grabar lo que dice una persona. Como micro de sonido ambiente no funciona ya que no se oye adecuadamente nada</t>
  </si>
  <si>
    <t>Buena compra Lo utilizo para la ps4 y estoy contento, aunque me he quedado corto con 1 GB. El único problema que tiene es que es muy difícil sacar el disco duro del plástico, temia de que lo rompiera. Así que ahora el viejo disco duro de la play está en la carcasa Seagate y contento. Tiene la conexión USB tipo c y es más cómodo que los otros conectores usb con doble ramificación. Contento.</t>
  </si>
  <si>
    <t>Bien Es bonito, elegante, ligero.......pero sigue siendo un producto chino, aunque por el precio que tiene merece la pena compralo</t>
  </si>
  <si>
    <t>buena compra Cumple con lo que promete..cuesta acostumbrarse a él. Calidad del sonido en ambas direcciones correcto</t>
  </si>
  <si>
    <t>Buena calidad y precio Muy buena cazadora. Solo que es un poco cara. Pero bueno, vistos los precios que hay en el mercado. Esta, está genial. Recomendable</t>
  </si>
  <si>
    <t>EL SOPORTE PERFECTO Este soporte para micrófono es perfecto para conciertos, estudios, tanto en grabación como en directos.  Es un micrófono muy ajustable en altura y en alargamiento horizontal para cantar desde más lejos del pie principal. Los materiales son duros, pesados y se notan muy buenos. En cuanto al color, es básico sin mucha diferencia con el resto de soportes del mercado.  Además, cuenta con dos pinzas para sujetar el micrófono al final del soporte. En cuanto a la sujeción al suelo. Cuenta con tres patas, tipo trípode, que se mueven fácilmente, pero se agarran perfectamente al suelo una vez bien colocadas.  Es un producto muy recomendable si eres un aficionado a la música, o bien, semiprofesional de ésta. Incluso me atrevería a decir, que a nivel profesional puede usarse también. En Amazon tampoco cuentas con mucha oferta de pies de micrófono.  Muy recomendable.  Producto cedido para su análisis.</t>
  </si>
  <si>
    <t>Perfecto Para 4,5 o 6 años está bien, para más grandes es pequeño</t>
  </si>
  <si>
    <t>CALIDAD Y PRECIO EXCELENTES Soporta gran peso y sus tres opciones de apoyar son ideales. RECOMEDADO 100 POR 100.</t>
  </si>
  <si>
    <t>Buen olor Buen producto con pocas gotas huele toda la habitación y dura bastante. He probado tres llores diferentes y me han convencido en comparación con otros que había utilizado. No son olores molestos.</t>
  </si>
  <si>
    <t>cumple lo prometido las zapatillas son iguales que como se describen en el anuncio y me han llegado en condiciones optimas, la unica pega que pongo es que han tardado en llegar pero por causas agenas al vendedor. Son muy cómodas y el número que elegi me kda perfecto ya que tallan algo más grandes que las adidas superstar</t>
  </si>
  <si>
    <t>Increíbles. De otra galaxia. Sin comentarios. Pruébalo y sacarás tus propias conclusiones. Son fantásticos, cualquier cosa que os diga se queda corta. Un pero, el que no sean resistentes a la humedad o sudor, que aunque no hagas ejercicio, en verano, el propio calor y sudor podría afectarles negativamente.</t>
  </si>
  <si>
    <t>seguridad en las compras variedad de productos, rapidez de entregas y precios</t>
  </si>
  <si>
    <t>buena calidad BUEN PRODUCTO</t>
  </si>
  <si>
    <t>Tradicion de por vida De este articulo no hay mucho que decir exepto que es calidad duradera, yo he tenido con esta tres iguales en mi vida y tengo 48 años, la ultima la deje en otro pais y aun funciona, la entrega y el embalaje muy bien y a tiempo.</t>
  </si>
  <si>
    <t>Botas Skechers Cómodisimas</t>
  </si>
  <si>
    <t>perfecto Perfecto para lo que lo necesitaba. conectar un microfono inalambrico al iphone 5s. tiene un precio algo elevado pero es perfecto</t>
  </si>
  <si>
    <t>CALIDAD-PRECIO-DISEÑO ❤️Se diferencian del otro modelo (el W5s), sobre todo, en el DISEÑO de la CAJITA CARGADOR. Ésta es más pequeña, más manejable, principalmente, más bajita: y eso hace que sea más bien rectangular: la otra era más cuadradita, más trasto pero más mona porque además es metalizada y ésta es acabado plástico. CONCLUSIÓN: este modelo gana en cuestión de tamaño porque es casi la mitad, pero pierde en diseño porque me resulta más "plasticoso". Siguiendo con la ESTUCHE DE CARGA: &amp;nbsp;solo tiene escrito el nombre de la marca en la parte delantera y los 3 LEDS INDICADORES en la trasera: el del centro da el nivel de batería de la caja. A izquierda y derecha, el nivel del auricular del lado correspondiente: azul cargado, rojo a punto de descargarse.  💡Para acabar con el apartado DISEÑO: los auriculares son BLANCOS, absolutamente blancos, de tipo "botón". Y me encannnta la CAJA DE PRESENTACIÓN: cuadrada, compacta, igual de blanca que el producto solo con la imagen de lo que contiene.  🎧 Sobre la SUJECIÓN: incluye 3 ALMOHADILLAS DE SILICONA, en 3 tamaños diferentes para adaptarse a todo tipo de orejas. Es importarte porque, para mí, es la diferencia entre sentir o no dolor. Y, en mi pareja, la diferencia entre que se caigan o se sujeten. Es un buen detalle porque, en otros auriculares de gama alta que he probado, por el triple de precio, no las incluían.  Incluye también el cable de carga (pero no el cargador).  🔋 La BATERÍA promete 42 horas de uso: 6 horas de autonomía de los auriculares y la caja tiene la capacidad de recargarlos 3 veces más sin necesidad de enchufarlos a la corriente. Como no tengo necesidad de usarlos durante un periodo de tiempo tan prolongado, no soy capaz de confirmaros que duren ‪las 6 horas‬ prometidas.&amp;nbsp;  🎶 Sin ser una experta en el tema del sonido, mi EXPERIENCIA DE USO es la siguiente: para mí se oyen bien, el sonido es limpio. Tengo la sensación de que la calidad del sonido es algo mejor en este modelo que en el anterior.  📱 La CONECTIVIDAD con varios modelos de iPhone y un portátil DELL es buena y rápida. Se manejan a través de un botón que coincide con la superficie plana del auricular. Y el auricular maestro es el izquierdo: vamos, que si quieres escuchar solo uno, debes usar ése.  💦 Me parece otro punto a favor que sean RESISTENTES AL AGUA: no quiere decir que los sumerjas pero si sudas o te llueve, están a salvo.  🏃🏽‍♀️ Le tengo que poner dos PEGAS: los controles son engorrosos: para bajar el volumen tienes que hacer triple clic (doble clic para subir y un clic para reproducir/para/descolgar/colgar). Clicar 3 veces seguidas en un auricular que tienes metido dentro de la oreja, no es cómodo. Y NO me convencen para hacer deporte, la sujeción cuando estás parado está bien pero en movimiento... puedes perderlo fácilmente.  En definitiva, me parecen unos buenos auriculares de gama media si buscas calidad razonable y buen diseño. Por 30€ no se les puede pedir más.  Gracias por leerme!</t>
  </si>
  <si>
    <t>Auriculares inalámbricos &lt;div id="video-block-R1YK0SL8FZFSYY"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src="https://images-eu.ssl-images-amazon.com/images/I/81l8LWjTnDS.mp4" style="position: absolute; left: 0px; top: 0px; overflow: hidden; height: 1px; width: 1px;"&gt;&lt;/video&gt;&lt;/div&gt;&lt;div id="airy-slate-preload" style="background-color: rgb(0, 0, 0); background-image: url(&amp;quot;https://images-eu.ssl-images-amazon.com/images/I/91M0+KHyOrS.png&amp;quot;);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value="https://images-eu.ssl-images-amazon.com/images/I/81l8LWjTnDS.mp4" class="video-url"&gt;&lt;input type="hidden" name="" value="https://images-eu.ssl-images-amazon.com/images/I/91M0+KHyOrS.png" class="video-slate-img-url"&gt;&amp;nbsp;Auriculares inalámbricos  Auriculares inalámbricos bluetooth de pequeño tamaño, llevo usándolo una semana y son espectaculares, las maravilla.  Se adapta perfectamente a la oreja y ni se inmuta al colocártelo, el sonido es muy bueno y la distancia del bluetooth por lo menos en mi caso es bastante amplia, dejo el movil cargando y por lo menos 15 metros me lleva la señal.  Para usarlo como manos libres he de decir que me ha sorprendido la calidad con la que escucho y me escuchan.  Llevó usándolos varios días y aún no he conectado la caja de los auriculares para cargarla, no se que capacidad tendrá de batería pero en 5 días no he conectado la caja para cargarla.  Son compatibles tantos para androide como IOS, y para conectarlo es muy sencillo, pulsas el boton del auricular da igual el izquierdo que el derecho y buscas el bluetooth en el movil, lo vinculas y del tirón te lo reconoce. En el lateral del auricular tiene un pequeño boton con el cual puedes colgar la llamado o poner pausa la música.  Calidad y precio inmejorable. Recomendable 100x100.</t>
  </si>
  <si>
    <t>Cumple con su función. Perfecto para usar con Forscore en iPad. Ninguna queja. Silencioso, cambia siempre sin sustos una página, no como el airturn, que nunca sabes si pasa una, dos o ninguna. Por fin tengo tranquilidad al tocar!</t>
  </si>
  <si>
    <t>Perfecta Muy práctica, de muy buenos materiales, sencilla de montar y muy robusta. Poder voltearla o desplazarla con las ruedas a cualquier parte es utilísimo, y la superficie de la pizarra es muy agradable, se escribe o pinta en ella a la perfección y no deja ninguna marca al borrar.  Por el precio que tiene, es una ganga.</t>
  </si>
  <si>
    <t>Calidad y fácil uso Bonito. Buena calidad. Rapidez</t>
  </si>
  <si>
    <t>Calidad precio muy bueno Estaba cansado de utilizar en casa uriculares que te cubren toda la oreja ya que sobretodo en verano dan muchisimo calor y también quería olvidarme de cables.  Encontré estos auriculares que se adaptan perfectamente con las gomas dentro del agujero de la oreja  ya que los otros siempre se me caían.  Sólo puedo decir que encantado , tienen una calidad de sonido que sorprendentemente se oye muy muy bien. Los he conectado a mi pc para ver pelis y genial , con los reproductores (tipo youtube, VLC, spotify) son compatibles para avanzar y parar las canciones /pelis al tacto. También lo he sincronizado con un mp3 con bluetooth y fantastico. He probado a que distancia siguen funcionando con el mp3 y calculo que unos 8 metros (con 2 paredes por medio). La cajita para guardar y cargar los auriculares está muy bien y se ve de muy buena calidad. Una gran compra , hace todo lo que buscaba y más.</t>
  </si>
  <si>
    <t>Buen producto Era para un regalo a unos amigos y han quedado bastante contentos</t>
  </si>
  <si>
    <t>Parecen Falsas o de una remesa defectuosa Desde el primer momento que las sacamos de la caja, comparándolas con otras Old Skool que tenemos, se notaba que la calidad del vulcanizado (la goma que rodea toda la zapatilla) era mala, demasiado fina; parecía que se iba a partir en pocas puestas en la zona del pliegue en el metatarso. No las devolvimos ya que las conseguimos a muy buen precio, lo que nos hace pensar que o bien eran una falsificación o eran de una partida defectuosa.</t>
  </si>
  <si>
    <t>Bien Muy barato y util, lo he usado en una psp y funciona bien, lo mejor de todo es poder ponerle dos tarjetas de memoria a la vez, un gran invento.</t>
  </si>
  <si>
    <t>Deporte sí, notificaciones y uso para el día a día, no El reloj es muy bonito, pero tiene algunas contras que paso a resumir: Es sabido que no puedes contestar llamadas desde el reloj ( este reloj está más enfocado al deporte que al uso diario), pero lo que no me gusta es que al lo disponer prácticamente de memoria interna (16mb) no admite tener tu música, por ejemplo. Cuando actualizas la versión (y hay que hacerlo al menos 5 veces al comprarlo, tarda en cada una de ellas sobre 30 minutos (parece que estemos en el siglo pasado, o era fallo de mi reloj)... Y lo que menos me ha gustado es que, aunque avisa de las notificaciones entrantes, y se leen en su pantalla, no he conseguido discriminar las de grupo WhatsApp (que en el teléfono tengo desactivadas) de manera que en el reloj vibran todas... Vamos, la muñeca echando humo todo el día con los dichosos grupos... Ese sí me parece un error grave. En fin, que no me ha convencido.</t>
  </si>
  <si>
    <t>Malisimos El biberon en si le va genial pero la pieza pequeña que tiene al final del tubo no dura ni 2 dias, en seguida se raja y la funcion anticólico no sirve para nada. He comprado 2 packs y no volveré a comprar más.</t>
  </si>
  <si>
    <t>Llegó arrugada Ha llegado totalmente arrugada, no sirve para nada, por el precio no me merece la pena ni devolverla. Nada recomendable.</t>
  </si>
  <si>
    <t>buen exprimidor y silencioso hace mucho menos ruido comparado con mi antiguo exprimidor, en ese sentido creo que hemos ganado con el cambio. el inconveniente: que ocupa mucho espacio... y eso no todas las cocinas pueden permitírselo</t>
  </si>
  <si>
    <t>Cómodas y bonitas. Estas zapatillas lucen mucho, son muy bonitas y quedan muy bien, hay que comprarse una talla menos de la normal porque tallan grande. Yo las veo más bien para paseo o ejercicio de interior, no creo que aguanten mucha paliza. Eso sí, son muy cómodas.</t>
  </si>
  <si>
    <t>IDEAL PROFESORADO Y OPOSITORES. Cumple mis expectativas, ideal para profesorado, conferenciantes y opositores (mi caso).</t>
  </si>
  <si>
    <t>Comodisimos y tallaje perfecto Me vienen perfectamente. Soy delgada y alta (mi pierna mide 1.05), y estos pantalones no se quedan cortos. El color perfecto y abrigan bastante. Se han lavado 1 vez y no destiñen. Como única pega es que al tener el cordón de adorno la cintura va un poco más suelta, pero todo tiene arreglo. El tallaje para mí con esta marca es ideal ( suelo gastar la 38) Recomiendo 100%</t>
  </si>
  <si>
    <t>Muy contenta con el hervidor Muy práctico. Lo uso todos los días. Funciona muy bien. Es bonito, rápido, con mucha capacidad. Excelente relación calidad precio.</t>
  </si>
  <si>
    <t>Gran número de compartimentos La bolsa tiene tiene tres compartimentos cremallera principales, el del medio sin divisiones y los de delante y los de detrás, ambos con varios compartimentos y cremalleras interiores, aparte del gran número de compartimentos para mi tiene interés el poder poner cartera, móvil y demás en la parte que va pegada al cuerpo para evitar sustracciones. La cartera es bonita y de buena calidad.</t>
  </si>
  <si>
    <t>Muy buena compra Son más grandes de lo que me esperaba, ha sido una grata sorpresa. De buena calidad!</t>
  </si>
  <si>
    <t>Calcetines apropiados para el ciclismo Me han gustado mucho estos calcetines si lo sabía pedía más de un par, relación calidad precio inmejorable.</t>
  </si>
  <si>
    <t>Muy bonita Correa para Mi band 3, muy bonita y muy comoda, no se engancha en el bello por lo tanto no hace daño. Es muy facil de adaptar al tamaño de la muñeca. Encaja a la perfeccion. Lo recomiendo al 100%</t>
  </si>
  <si>
    <t>Buenas zapatillas Muy cómodas y ligeras, pero hay que pedir una talla más de lo habitual para que quede bien y no apretadas</t>
  </si>
  <si>
    <t>Bueno, sin problemas Tal y como se deacribe, parece más grande en la foto. En caso de dudas, comprueba las medidas. A a</t>
  </si>
  <si>
    <t>Funciona conforme descrito Entrega rápida, funciona como descrito</t>
  </si>
  <si>
    <t>Botines cómodos y bonitos. Pedido recién llegado. Ya tenía la talla probada del Corte Inglés, así que sabía de antemano todo lo necesario. Están todavía sin estrenar, pero en los próximos días les daré uso. De momento comodísimas y tienen la suela muy suave, además de unos refuerzos en la puntera y en el talón de la suela para evitar su desgaste rápido.</t>
  </si>
  <si>
    <t>Excelente Muy buena</t>
  </si>
  <si>
    <t>Exactamente como en la imagen Compro muchos productos de esta marca y nuevamente satisfecha. Cómodos, calentitos, agradables al tacto e ideales para estar por casa. He comprado en mas colores.</t>
  </si>
  <si>
    <t>Muy recomendable. Estoy encantada con él. Ya es el tercero q tengo. No me lo quito ni en la ducha ni en el mar y aguanta perfectamente. Es bonito, duro y bien de precio. Lo recomiendo.</t>
  </si>
  <si>
    <t>Su comodidad y elegancia comodidad</t>
  </si>
  <si>
    <t>Muy bonito Ha llegado antes de tiempo. En muy buenas condiciones. Y es muy bonito</t>
  </si>
  <si>
    <t>Muy buena compra Lo compre para volver a meterle mano a la PSP y va perfecto, lo uso con 64Gb (2x 32Gb) y de momento ningún problema. Parece algo endeble, pero si la dejas montada y usas el cable de datos en la PSP, no hay que tocarla. Una opción muy economica a las caras MS Pro Duo de alta capacidad.</t>
  </si>
  <si>
    <t>Que cumple con las expectativas Son las segundas que uso de esta marca, las uso para correr en el gimnasio y la verdad son muy cómodas.</t>
  </si>
  <si>
    <t>MUY BUENO PARA SITIOS GRANDES SI SE LE COMPRA UN BUEN ACEITE, ES MUY BUENA COMPRA. YO COMPRÉ EL ACEITE HIDROSOLUBLE EN EL CORTE INGLES Y ME ENCANTA EL PERFUME. CUANDO SE VUELVE A PONER EL AGUA CON EL ACEITE QUE SOBRÓ UNO O VARIOS DIAS ANTES, YA NO HUELE IGUAL. YO SOY MUY SENSIBLE A LOS OLORES. RECOMIENDO CAMBIARLO</t>
  </si>
  <si>
    <t>Cómodas y ligeras Ligeras y cómodas, yo las uso para caminar y van genial! Materiales de calidad. Muy recomendables. Las compre en oferta y la relación calidad precio es excepcional</t>
  </si>
  <si>
    <t>Beatriz La recibí cuando quería, sin ningún tipo de problema, a un precio muy asequible y me quedan estupendamente!  Estoy muy contenta con la compra!</t>
  </si>
  <si>
    <t>No me gustan No me han gustado. El diseño es bonito y son como me esperaba, pero con tansolo 1 día de uso por las juntas y por las costuras quedaron blancas de alguna cola que llevan o algo.</t>
  </si>
  <si>
    <t>Buen liquido antipinchazos pero.... El liquido está muy bien, sella perfectamente y es muy bueno pero un punto negativo es que recibí el bote con liquido seco alrededor y en la caja manchada de haberse derramado porque el sello del precinto estaba abierto, osea que el bote a sido usado, pero vamos aun así no lo he devuelto.</t>
  </si>
  <si>
    <t>Yo Es una basura una camiseta barata con la plancha de la marca encima trae hasta la etiqueta de la Marca barata un estafador</t>
  </si>
  <si>
    <t>Pendriver no funciona Pensaba que esta marca era buena y reconocida y cuando lo meto en el Usb no lo reconoce. Lo voy a devolver y comprarme otra marca mejor.</t>
  </si>
  <si>
    <t>Bueno, aunque tiende a bajarse Me queda bien, es muy cómodo. La cinturilla se me baja, y de vez en cuando tengo que estar subiendomelo</t>
  </si>
  <si>
    <t>Perfecto para humedecer y quitar olores. Esta muy bien porque quita los olores malos de la habitación pero con el inconveniente de que tienes que echar 15/20 gotas del aceite, porque con unas pocas a la hora no huele nada. Eso de que dura hasta 10 horas, yo el máximo que he sacado a la velocidad mas lenta han sido unas 7h estando lleno, si estas a la velocidad fuerte no dura ni 4h. Los Leds, he de reconocer que están muy bien, iluminan mas de lo que parece y crea un ambiente muy bonito y relajante en la habitación, no recomiendo tenerlos mucho tiempo encendidos, sino calientan el agua y hace que huela mal.</t>
  </si>
  <si>
    <t>Por el precio al que lo compré, mejor imposible Lo compré estando de oferta, precio de 32 Gb para un pen de 128 Gb. Su principal inconveniente es que no tiene tapa y que se calienta mucho al ser metálico el exterior, aunque esto último no se si implica que disipa bien el calor de dentro y al final es algo positivo</t>
  </si>
  <si>
    <t>Comodos Calidad y precio asequibles</t>
  </si>
  <si>
    <t>El bolso está bien, tamaño me había justo El bolso cumple bien las características o lo que Comprado, pero me hubiera gustado que se hubiera ampliado la información respecto a las medidas pues resulta un poco pequeño, pero imaginas un poco más grande</t>
  </si>
  <si>
    <t>Funciona de maravilla Está genial, me encanta. Tiene un enorme depósito de agua de 400 ml en el que basta echar 10 gotita de aceite soluble en agua para conseguir mágicos efectos de niebla y olores increibles. Se puede regular el difusor y no conlleva peligro alguno pues el humidificador se apaga solo cuando se queda sin agua. Además puedes regular los leds para que cambie de color y programar hora de encendido y/o apagado. Por ponerle un pero, solo me habría gustado que incluyera algún aceite para probarlo nada más recibirlo. No obstante hay cientos de aceites donde elegir con distintos olores y el envío, desde Amazon, es rápido. Me encanta.</t>
  </si>
  <si>
    <t>Nos encanta! Compramos una hace dos años y sigue calentando como el primer día. Esta la compramos para mi mamá, un regalo genial.</t>
  </si>
  <si>
    <t>Magnífico reloj deportivo con múltiples prestaciones Tras estar probando el reloj durante una semana y pico, puedo opinar lo siguiente: Cumple perfectamente las más exigentes condiciones de cualquier deportista que quiera tener muy rigurosamente ordenadas y controladas sus sesiones de ejercicios, sean éstas las que sean (tiene una enorme variedad de deportes y es configurable además). Nada más comenzar un ejercicio (las pantallas son bastante configurables para obtener la información que resulte más útil en lo personal), el reloj se conecta al GPS (puede tardar entre 5 a 15 seg.) y empieza a controlar un buen número de parámetros, incluido el sendero en pantalla. La App controla perfectamente los ejercicios, los clasifica, los traduce inmediatamente a mapas y pueden editarse directamente o con aplicaciones complementarias gratuitas (strava o similares, para reconstruir vuelos 3D). Son muchas las posibilidades y muy abundantes las configuraciones de elección personal. He probado varios deportes y se comporta perfectamente. He comparado con pulsómetros diferentes y se muestra muy fidedigno y preciso. Controla los biorritmos más habituales (sueño, recuperación, ritmo cardiaco instantáneo…) y puede tutelarte para mejorar tu rendimiento en el deporte elegido a través de sus complejas estadísticas y algoritmos: Es una pasada. No me atrevería a decir contras, pero sí creo que hay dos breves cosas a mejorar: por una parte, aunque tiene varias esferas de relojes elegibles, son casi todas muy digitales y deportivas, convendría algunas más analógica (la hay, pero se queda corta para mi gusto), más “elegante” para la vida ordinaria. Asimismo, me parece mal que sólo tenga una alarma (además de salida y puesta de sol), cuando cualquier pulsera económica te ofrece 5 ó 6, algo para mi muy útil, para trabajos o quehaceres a diferentes horas (esto lo echo mucho de menos). Por lo demás cumple muy bien como reloj. También me gustaría que se pudiera elegir la intensidad de brillo de la pantalla, algo que, aunque va bien en automático, debería poder adaptarse a las necesidades y gustos personales aún a riesgo de gastar batería (razón por la que viene en automático por definición). Creo que estas cosas, que no son impedimento para esta máquina de precisión deportiva, podrían mejorarse con las actualizaciones que ofrece la App de Suunto y que funciona a la perfección (en ordenador y en móvil). Costaría poco y quedaría un producto más “redondo”. Por lo demás, me parece altamente recomendable. Es un reloj muy serio y hará las delicias de cualquier amante del deporte por su variedad y flexibilidad a todas las situaciones deportivas. Muy contento en general.</t>
  </si>
  <si>
    <t>Buen producto Geniales para plastificar</t>
  </si>
  <si>
    <t>muy buena calidad Los cables son de una calidad óptima. Las fotografías son fiel reflejo del original y, a pesar de ser de un grosor importante, la flexibilidad es perfecta. Estoy muy contento con el producto.</t>
  </si>
  <si>
    <t>Excelentes Cómodos y buena amortiguación</t>
  </si>
  <si>
    <t>Zapatillas muy buenas y cómodas. Zapatillas Puma retro total. Si te gusta vestir como en los 80, estas zapatillas Puma son planas, cómodas, con cordenes largos y ajustan muy bien. Llevo más de un mes con ellas uitlizándolas casi a diario y apenas noto desgaste.  Yo tengo los pies planos y anchos y utilizo plantillas, pedí un número más o sea un 46 y dan talla suficiente. Recomiendo pedir el número exacto que calzas habitualmente. Llegaron en su caja original y envío rápido en plazo y forma.</t>
  </si>
  <si>
    <t>Perfecto Ya tenía unas igual en color negro, pero son tan cómodas y tan combinables que las cogí en este otro color. Además de precio me salieron muy bien. Exactamente igual que en tienda y más económicas.</t>
  </si>
  <si>
    <t>Bueno bonito y barato Lo tengo hace 5 meses y lo utilizo a diario, para muchas cosas. El diseño es elegante y funcional, es verdad que la temperatura no se puede modeficar pero alcanza el punto de evullivión bastante rápido</t>
  </si>
  <si>
    <t>Me encanto el producto El producto es perfecto, no ocupa mucho espacio en la cocina, pero bate perfectamente, se ve de muy buena calidad. Recomendado</t>
  </si>
  <si>
    <t>Perfecto estado Acierto en color y materiales. Hice libro de aniversario y quedo mejor que uno comprado</t>
  </si>
  <si>
    <t>Me gusta! Está muy bién calidad-precio</t>
  </si>
  <si>
    <t>Buena batidora Tiene mucha potencia, tritura muy rápido y muy bien. La recomiendo</t>
  </si>
  <si>
    <t>Buena calidad Todo perfecto</t>
  </si>
  <si>
    <t>Como y confortable Ademas de el diseño para mi gusto guapisimo, son muy comodas y la talla perfecta.</t>
  </si>
  <si>
    <t>Fácil de usar Estoy muy contento, van muy bien y fáciles de usar</t>
  </si>
  <si>
    <t>Recomendable Cumple las expectativas funciona correctamente y da calor rápido y cómodo</t>
  </si>
  <si>
    <t>Originales Son las originales, muy bonitas y súper cómodas.</t>
  </si>
  <si>
    <t>Muy Bueno lo recomiendo Es un producto para quitar arañazos de la caratula del reloj o otros objetos, se quedan como nuevos lo recomiendo</t>
  </si>
  <si>
    <t>No las recomiendo Demasiado calurosas. El pie suda en exceso. Estrechas en la puntera provocan incomodidad en los dedos. No las recomiendo.</t>
  </si>
  <si>
    <t>Rara Es una zapatilla muy ligera pero demasiado fina, quizá para primavera/verano este más indicada, pero el tejido de ve algo endeble.</t>
  </si>
  <si>
    <t>Calidad justita Cuando lo pedimos ya había algunas opiniones acompañando el producto, algunas excelentes, otras no tan malas, así que nos decidimos a pedirlo.  Viene a pelo, sin bolsa protectora ni nada, unicamente encajado en un cartoncito con decoraciones cuadriculadas y la marca. El juguete en si es plasticoso, y no parece de muy mala calidad, hasta que te cortas manipulandolo y fijas en que tiene unas rebabillas bastante afiladas que te deja pensando si es apropiado para que un adulto se recree pensando en su infancia o si es apto para que los niños jueguen con ello. Cuesta 12€, que no es demasiado, pero creo que el detalle de las terminaciones deberían tenerlo en cuenta, sobre todo porque no está destinado a niños de 15 años, que son más conscientes, sino para niños de 3 años, que usan las cosas un poco más a lo bestia.  El juguete en si consta de: un carrito una fregona (con 4 pelos que encima llegaron sucios) un cepillo (que, al igual que la fregona, también llegó sucio) un recogedor un cubito en el que cabe no más de 1 litro y medio de agua  En si es un juguete que a los niños les entretiene, pero además de las malas terminaciones tiene otra pequeña pega, y es que los mangos son demasiado pequeños, parecen diseñados para niños de 3 años y solo 3 años, porque si este juguete lo coge una niña o un niño con 7 años, tiene que agacharse para poder jugar con él.  No diré que no lo recomiendo porque, que a mi no me convenza, no quiere decir que a otra persona le pueda parecer una maravilla de juguete...</t>
  </si>
  <si>
    <t>MALA CALIDAD MALA CALIDAD, EL CIERRE ES MUY FALSO Y CUANDO MENOS TE LO ESPERAS SE SUELTA Y LA PIERDES.</t>
  </si>
  <si>
    <t>Decepción total Decepción total,mala calidad ,parece para niños la talla</t>
  </si>
  <si>
    <t>Calidad precio muy ajustado En primer lugar, la presentacion muy buena con su caja y accesorios cable y gomas ajustables al oído muy bien, ademas de instrucciones muy claras y por supuesto en español. En sugundo lugar, conexion y puesta en funcionamiento rapido, comodo y sencillo. En tercer y ultimo lugar, calidad de sonido muy buena y comodo de llevar, no se notan y te proporciona una insonorizacion exterior que hace que, aunque no tengas el volumen muy alto, lo escuches perfectamente y con una calidad estupenda. La duracion de la bateria es en funcion del nivel de volumen y de llamadas bastante buena, entre 3h y algo mas. Lo mas destacable para mi es que lo tienes guardados en su caja mientras se estan cargando de la misma sin tener que estar conectado a red electrica. Y da pars bastantes cargas, 3 minimos, despues conectas la caja en la red con los auriculares dentro y se carga todo de un tiron y listo para otras 12 o 13h. Me han encantado. Lo recomiendo sin duda, y llevaba mas de uno comprado, aunque mas barato pero como este ninguno. He acertado de pleno.</t>
  </si>
  <si>
    <t>perfectas Perfectas, comodas, si hay que sacarle un pero es que si tienes el pie de horma ancha tienes que coger un número mas  comodas</t>
  </si>
  <si>
    <t>buen precio Quería una batidora de mano para hacer pequeñas cantidades sin necesidad de utilizar el robot, buen producto, se limpia bien, relación calidad/precio muy buena, estoy satisfecha.</t>
  </si>
  <si>
    <t>Buenos bonitos y baratos Lo primero es que llegaron super rápidos, sin gran envoltorio pero suficiente. Calidad aceptable y el precio excelente</t>
  </si>
  <si>
    <t>cumple con las espectativas cumple con las espectativas que tenía. Si te gusta este tipo de reloj. Llegó dentro de plazo y en  buenas condiciones</t>
  </si>
  <si>
    <t>Comodidad Las compré para mi suegra y está encantada con la compra, dice que sin muy cómodas para cambiar.</t>
  </si>
  <si>
    <t>Encantado con la compra. Sólo lo puedo describir con una palabra, PERFECTO. A pesar de ser un artículo usado, podría pasar por un artículo nuevo, salvo porque el precinto del envase estaba roto. Encantado con la compra, ya que me he ahorrado más de cien euros si lo hubiese comprado nuevo y en la práctica no hay ninguna diferencia. PERFECTO.</t>
  </si>
  <si>
    <t>Perfectos Sin duda los mejores biberones que tengo, y eso que hemos probado muchas marcas. El sistema anticolicos de estos biberones es el mejor que hemos probado y con el que menos aire coge nuestra hija. Sin duda recomendadisimos.</t>
  </si>
  <si>
    <t>Perfectas Resistentes, duras y prácticas</t>
  </si>
  <si>
    <t>Converse geniales!!! Son una preciosidad, más bonitas que en las fotos, el 37,5 UE equivale a un 38</t>
  </si>
  <si>
    <t>Funciona correctamente La tengo funcionando en una ps vita 1004 con 32 gb de micro sd, funciona perfecto. Lo recomiendo. Me llego bien embalado.</t>
  </si>
  <si>
    <t>Que no pesan¡¡¡ Me encantan y son super comodas¡¡¡¡ No pesan nada quedan genial con pantalón y vestido¡¡¡</t>
  </si>
  <si>
    <t>Geniales y cómodas Genial. Tenia miedo de como me sentarían y son geniales y super cómodas. Pedí un número mas como es habitual en estas zapatillas y estoy contentísimo.</t>
  </si>
  <si>
    <t>Muy contento Diseño muy chulo, material bueno y el acabado está muy bien. Tamaño ideal para hombre.  Relación calidad precio muy buena.</t>
  </si>
  <si>
    <t>Buenos auriculares. Buenos auriculares en relación con su precio, trae unos adaptadores de diferentes tamaños para adaptarlo al oido, la función para recibir llamadas es buena se escucha y te escuchan bien, me gusta que el cable es más largo de lo normal y puedo ir en bici con el móvil en la mochila.</t>
  </si>
  <si>
    <t>No esperaba menos He comprado este producto para navidades como regalo, pensaba que tardarían más, pero han estado antes de reyes y en muy buen estado. he dado mil vueltas por las tiendas y no las encontraba pero no solo tenían la talla sino el color, gran vendedor muy fiable.</t>
  </si>
  <si>
    <t>Muy practico Cumple su función perfectamente</t>
  </si>
  <si>
    <t>Las zapatillas europeas por excelencia Compré este producto porque estaba buscando unas zapatillas de casa algo especiales, más comodas y acerté. El problema es que tuve que devolerlas porque dejaba huella en el suelo de mármol, si no me las habría quedado</t>
  </si>
  <si>
    <t>Se escuchan muy bien Se escuchan bastante bien, viene con diferente esponjas por lo que queda genial</t>
  </si>
  <si>
    <t>Aroma delicado y persistente Aroma delicado y persistente, buen tacto ,el aceite no queda pegajoso, aunque en principio lo usaré para aromatizar mi habitación con un difusor, no para masajes o similares. Empleado  durante estos días deja una sensación fresca y de limpieza en el ambiente, no tiene un olor pegajoso, es muy agradable. Si te val el tema de los aromas y difusores/quemadores, me parece una compra acertada, para ti, o para regalo. Un saludo</t>
  </si>
  <si>
    <t>Calidad Llego al día previsto, todo bien y magnífico desempeño</t>
  </si>
  <si>
    <t>Calidad,precio y rapidez envío Calidad precio muy buena.</t>
  </si>
  <si>
    <t>Geniales Me encantan. Y super comodos</t>
  </si>
  <si>
    <t>ES MUY CALIENTE Con el ordenador (sobremesa) recién encendido se mantiene en una temperatura de 41° grados! No tiene que ver con la caja ni ventilación ya que si lo sacas solo baja un grado. Unas horas jugando al the división  y se pone a 60 GRADOS!!!! Se pone a más  grados que el procesador Es increíble, ahora mismo en reposo el procesador está a 33 grados y la SSD a 41 Con estas temperaturas dudo que aguante mucho tiempo, me lo quedo porque me salió por 23 euros... Pero tendré que comprarme otro para no perder la información, porque esto peta en cualquier momento.</t>
  </si>
  <si>
    <t>Talla Pequeña La talla es Pequeña, si tienes un 42 pide un 42 2/3, o incluso un 43. En numero mas alto, todavia mas problema. La zapatilla es es estupenda, pero pedir un numero mas.</t>
  </si>
  <si>
    <t>Lo barato acaba saliendo caro! No lo compres! Lee mi opinión! Compre este soporte para usarlo con un microfono "ELYETI" (del que pone que es compatible) parecía que iba bien, pero a los 8 meses la rosca de plastico que hay en la parte superior se rompió por el peso, ese soporte debería ser de acero y no de plástico barato. Y espera que aun hay mas! el sargento que trae para acoplarlo en la mesa, viene con una espuma protectora para no estropear la mesa, resulta que con pocos meses esa espuma se reseca y queda toda la marca del sargento marcada en la mesa de madera, vamos que te la estropea completamente.  No recomiendo para NADA su compra, es un soporte de muy baja calidad.</t>
  </si>
  <si>
    <t>producto me llego perfecto y en el tiempo indicado. no me ha gustado el usb, super lento en cargar las fotos del iphone (puedes estar dias cargando fotos y despues no funciona cn el pc, no se abre ninguna aplicacion y detecta el usb pr no permite entrar dentro de la unidad de usb. envie mensaje a la empresa y no responden.</t>
  </si>
  <si>
    <t>Tarjeta de memoria SanDisk Extreme PRO SDHC de 32 GB con hasta 95 MB/s, Class 10 y U3 y V30 Vendido por: Amazon EU S.a.r.L. El p QUIERO PRESENTAR MIS QUEJAS ANTE ESTE PRODUCTO POR QUE ME HA FASTIDIADO UN IMPORTANTE  PROYECTO ,NO LO RECOMIENDO NI LO RECOMENDARE JAMAS¡¡¡ UNA ESTAFA ... LA TARJETA DEJA  BLOQUEADA LA CÁMARA  Y 1.239 FOTOS DAÑADAS ¡¡¡ LAS HACIA CORRECTAMENTE LA CÁMARA PERO A LA HORA DE PRE VISUALIZAR LA TARJETA BLOQUEABA LA CÁMARA POR COMPLETO ... LA FOTO IRRECUPERABLE ... ESTO NO SE PUEDE PERMITIR¡ . ANTES HICE EL FORMATEO RECOMENDADO DESDE LA CÁMARA Y SIN PROBLEMAS PERO EN MEDIO DE UN VIAJE Y CUANDO TENIA 1.239 FOTOS ME DIO POR VERLAS TODAS Y UNA FOTO  SE BLOQUEABA Y TENIA QUE APARAR LA CÁMARA Y QUITAR LA BATERÍA ... QUIERO DEVOLUCIÓN DEL DINERO O SOLUCIÓN POR FAVOR .  Tarjeta de memoria SanDisk Extreme PRO SDHC de 32 GB con hasta 95 MB/s, Class 10 y U3 y V30 Vendido por: Amazon EU S.a.r.L. El periodo de devolución terminó el 9 jun. 2018 EUR 25,99 Estado: Nuevo??</t>
  </si>
  <si>
    <t>Cantidad El pack de 30 estuches para colorear, me ha venido muy bien para regalar a los niños de mi boda</t>
  </si>
  <si>
    <t>Jose Cumple perfectamente su objetivo. Lleva un Gancho incluso por si la quieres colgar. no Se puede utilizar Agua hirviendo lo dice bien claro. El Agua caliente Se mantiene perfectamente Durante un par de horas y no gotea nada.</t>
  </si>
  <si>
    <t>Colgante doble Nada que objetar, es tal cual la fotografia</t>
  </si>
  <si>
    <t>Buena relación calidad/precio Los calcetines cumplen: La horma es adecuada, el material parece resistente y todo indica que son originales de puma. No tiene recubrimientos especiales en el talón o en ninguna otra parte, por lo que no sé cómo responderá al desgaste. La altura, teniendo en cuenta que son cortos, es media: Cubren justo el tobillo. Como único detalle en contra, es que no llegan a ser suficientemente gruesos como para invierno, ni suficientemente finos como para no tener calor en verano. Como comparación, los Adidas que puedes comprar por la web son más gruesos y calurosos, y la misma altura.</t>
  </si>
  <si>
    <t>Buena compra Genial alfombrilla. Cumple con todas las expectativas Material adherente por debajo y suave por arriba. Muy limpio, impide que se pequen cosas y fácil de limpiar</t>
  </si>
  <si>
    <t>Un acierto! Pero que bonitas!!! Han tardado una semana pero a merecido la pena esperar. En su interior un ticket de caja procedente de un comercio italiano junto con las zapatillas. Todo un detalle que hace aumentar la confianza sobre el producto.</t>
  </si>
  <si>
    <t>Pantalones deporte Cómodos y sencillos,tal cual la foto y esterilizan mucho.</t>
  </si>
  <si>
    <t>Buen producto Buen producto, algodón de buena calidad . yo he tenido que comprar una talla menos de la que uso normalmente ya que la mía me quedaba muy grande.</t>
  </si>
  <si>
    <t>Contenta con la compra La compre en negro para que no se manche con el tiempo es muy practica y no hace ruido. No es aparatoso y se puede regular la cantidad de pulpa. Fácil de desmontar para lavar.</t>
  </si>
  <si>
    <t>Imprescindible Estamos encantados con esta marca. Nuestro bebé lleva chupetes y toma por biberones MAM, tiene ahora 4 meses y no ha tendido un solo cólico desde que empezamos a usar estos biberones. Habíamos probado con diferentes marcas y tetinas anticolicos... solo los MAM nos funcionaron</t>
  </si>
  <si>
    <t>Rápido y poco ruidoso &lt;div id="video-block-R2S87XAYBTSJ5F" class="a-section a-spacing-small a-spacing-top-mini video-block"&gt;&lt;/div&gt;&lt;input type="hidden" name="" value="https://images-eu.ssl-images-amazon.com/images/I/B16fynh3ThS.mp4" class="video-url"&gt;&lt;input type="hidden" name="" value="https://images-eu.ssl-images-amazon.com/images/I/B1WXPzD6-nS.png" class="video-slate-img-url"&gt;&amp;nbsp;Magnífico producto!! Tiene 4 funciones: picar hielo, smoothies, grano y pulso (ésta última de gran potencia para un picado rápido), 8 velocidades, pantalla led para temporizador y nivel de potencia. El vaso es de gran capacidad, 2 litros, grandes cuchillas que pican en pocos segundos, y para lo grande que es hace poco ruido. Fácil de usar y de limpiar. Muy recomendable.</t>
  </si>
  <si>
    <t>Perfecto ! He comprado una primera vez este producto, pero siguiendo algunos comentarios diciendo que talla grande ! No es verdad ! He comprado 38, mientre que mi tamano es 39. Debía cambiar por un 39. El tamano es justo ! Talla perfectamente ! Este zapatos estan muy chulos ! Me encantan !!!</t>
  </si>
  <si>
    <t>Bonito y económico Si quiere triunfar cómprate un reloj como este, es fabuloso, resistente, te da mucha información porque lleva muchos parámetros,excelente calidad y precio</t>
  </si>
  <si>
    <t>Igual que la foto Tal como en la foto y rapido</t>
  </si>
  <si>
    <t>Muy contento He tenido varios modelos de auriculares bluetooth y los últimos que tuve fueron los de Xiaomi TWS AirDots y me defraudaron mucho la verdad pero con estos que he comprado ahora la verdad el sonido muy bueno con buenos graves y enseguida se conecta al móvil yo hablo mucho por teléfono y muy bien se oyen y también te oyen muy bien la verdad que muy buena compra contento lo recomiendo</t>
  </si>
  <si>
    <t>Esther Martín Son geniales. Se oyen estupendamente.  Pero tienen un pero para mí como tengo gafas me aprietan un poco. Pero por lo demás genial. Baratos y muy buenos</t>
  </si>
  <si>
    <t>Perfecto Perfecto y muy rápido el envío</t>
  </si>
  <si>
    <t>Bien Se ajusta a lo esperado.</t>
  </si>
  <si>
    <t>Buen conjunto de reglas Marca conocida, buena calidad y precisión. Borde para rotuladores. El semicírculo quizás un poco grande para el colegio. Recomendable. La descripción ajustada a lo que se recibe</t>
  </si>
  <si>
    <t>Bueno Buen producto buen precio</t>
  </si>
  <si>
    <t>Llegaron a tiempo Fue para un regalo y resultaron perfectos</t>
  </si>
  <si>
    <t>Muy buenas Son muy cómodas. Tras un día llevándolas tenia  algo de disconfort pero esto siempre me pasa con chanclas. Éstas son más cómodas que Hawaianas y te dan más estabilidad también. Las recomiendo... Talla....siempre llevo 43-45 dependiendo de la marca así que compré 43-44 y están geniales.</t>
  </si>
  <si>
    <t>Precioso! Es ideal para regalar por calidad, precio y presentación.  Cuida todo detalle siendo el regalo ideal que sorprende a quien lo reciba. Si fuese algo más grande,  ya sería lo más,  aunque el tamaño es perfecto y tal como dice la ficha de descripción del producto.</t>
  </si>
  <si>
    <t>son muy blandas Son cartulinas, y claro, son muy blanditas. Solución: como van 20 las vamos a pegar  dos  iguales para hacerlas más gruesas.</t>
  </si>
  <si>
    <t>Básico sin grandes funciones Se nota que es básico el producto, falta instrucciones de uso para cada modo. Las teclas  no tienen mucha calidad pero funciona</t>
  </si>
  <si>
    <t>Aprietan el gemelo Aguantan mucho, al principio sueltan mucha pelusa. Aprietan en la zona baja del gemelo y dejan marca.</t>
  </si>
  <si>
    <t>Es calentita. No esta mal.  Yo uso la L y pedí XL para  que me quedara más grande ta tipo chaquetón.  Es calentitas.</t>
  </si>
  <si>
    <t>DINERO TIRADO A los tres meses de comprar la batidora una pestaña de anclaje rota y se sale todo el líquido, a la basura.</t>
  </si>
  <si>
    <t>No corresponde con el precio que vale... En la foto venía marrón y me lo mandaron negro. Tiene aspecto de mucho plástico, sobre todo en su interior. No corresponde con el precio que vale...</t>
  </si>
  <si>
    <t>Comodidad Son muy cómodas, el diseño es bonito y actual. Son estupendas</t>
  </si>
  <si>
    <t>POTENTE SE ME ROMPIO EL SELECTOR...</t>
  </si>
  <si>
    <t>buen producto, un poco caro pero por ahora irremplazable El producto es bueno. Estamos hablando de la mopa y del cubo escurridor por supuesto. Lo que comento con el cubo, sacados costo beneficios y la facilidad con la que se limpia con este aparato, creo que compensa. Podrían abaratar el recambio ya que se debe comprar una vez adquirido el cubo.</t>
  </si>
  <si>
    <t>Inmejorable Me sorprendio gratamente no esperaba que fuera asi de abrigado por ese precio.. Ninguna pega le veo</t>
  </si>
  <si>
    <t>Talla pequeña Tejido fino la talla algo pequeña mangas bien con un pequeño orificio para introducir el pulgar.</t>
  </si>
  <si>
    <t>Cómodas y seguras Muy cómodas y seguras. no cansan ni hacen daño en los pies.</t>
  </si>
  <si>
    <t>Hermosa Es una pulsera preciosa. Es la segunda vez que la compró para regalar. La recomiendo.</t>
  </si>
  <si>
    <t>genial Todo lo q puedo decir es bueno, precio, tiempo de entrega,... Lo compre porque mi niño tragaba aire con todos los bibes y este junto tambien con avent son los mejores!!!</t>
  </si>
  <si>
    <t>5 m clabe de lujo  por precio minimo cable mono cabezas fuertes que aguantan mi tralla que no es poca no pages mas por un buen cable</t>
  </si>
  <si>
    <t>Salida de audio ¿Se necesita un amplificador o tambien se puede usar con altavoz “normal” JBL?</t>
  </si>
  <si>
    <t>Zapatos cómodos Se trataba de un regalo y acerté. Elegí el mismo número que lleva la persona y le queda genial. Me ha comentado que son unos zapatos muy cómodos. Se ven de muy buen material, y si los elegí fue porque yo tengo unos parecidos y también son de piel muy cómoda. Se adaptan bastante bien al tamaño del pie al ofrecer la parte superior cierta elasticidad.</t>
  </si>
  <si>
    <t>Bonito , confortable, buen precio Por el precio, buena compra. No me parece que sea bueno p deporte. Es bonito y confortable</t>
  </si>
  <si>
    <t>Bonito y de gran potencia. Necesitaba un microondas ya que el que tengo después de 14 años ya ha dado de sí todo lo que tenía que dar. Me decidí a comprar este ya que lo vi muy elegante y bonito,aparte de las buenas opiniones que tiene. En los días que llevo utilizándolo funciona perfectamente y calienta mucho. Tiene una capacidad de 20 litros,una potencia de 700 W(con un motor muy silencioso),6 niveles de potencia y se puede calentar,hornear y descongelar todo tipo de alimentos. El temporizador llega hasta 30 minutos. Si tengo que ponerle una pequeña pega es que la ruleta va un poco dura,pero por lo demás todo perfecto. Lo compré en negro porque me parece más elegante y menos sucio que el blanco. Sin duda estoy contentísima con la compra y lo recomiendo al 100%.</t>
  </si>
  <si>
    <t>Muy bien, pequeñito y con buena ganancia. Cable largo y una ganancia muy buena. Cumple con las espectativas que tenía. Conectado al SONY ICDPX333 . CE7. OK.</t>
  </si>
  <si>
    <t>Recomendable Son muy cómodos. Yo los uso para el gimnasio y se acoplan muy bien.</t>
  </si>
  <si>
    <t>Que llegan a tiempo Preciosos me encantaron</t>
  </si>
  <si>
    <t>Excelente diseño, no he visto otro igual Lo recibí muy rapido, no los habia encontrado tan economicos en ningun otro sitio, tienen un acabado muy bueno. Se nota el tiempo y dedicacion que les han dado a cada bolso.  Estoy encantado con los que he comprado ya.  100% Recomendables</t>
  </si>
  <si>
    <t>Versatil con buenod acabados. Perfecta. Muy util. Acabados impecables.</t>
  </si>
  <si>
    <t>Adidas a buen precio Es como la fotografía</t>
  </si>
  <si>
    <t>Bueno Como en la foto</t>
  </si>
  <si>
    <t>Relación calidad-precio inmejorable Tras unos meses con ella estoy más que satisfecho, ha cumplido con todas mis expectativas y ha podido con todo lo que le he puesto, sólo hay que seguir las instrucciones de uso.</t>
  </si>
  <si>
    <t>Masajista a demanda Lo hemos probado en el cuello y espalda cuando estamos en casa... Te deja super relajado.. lo único negativo es lo adictivo que es. En realidad es tener un masajista a demanda. Estamos muy contentos. También tiene para usarlo con el mechero del coche, pero aún no hemos llegado a ese punto!.</t>
  </si>
  <si>
    <t>Comodos y bontitos Geniales</t>
  </si>
  <si>
    <t>Es muy buena tela y sujeta bien .. Es buena validad</t>
  </si>
  <si>
    <t>Lenta La tarjeta la he instalado en un reproductor portátil de música. Para escritura (cargar las canciones) es terriblemente lenta. Considero que hay otras opciones más interesantes.</t>
  </si>
  <si>
    <t>Lavalier calido Buen lavalier que da una voz calida y clara. El unico inconveniente es que se podria mejorar su nivel de ruido, aunque se puede eliminar facilmente en postpro. Si se le añade el transformador trrs a trs es una gran compra.</t>
  </si>
  <si>
    <t>Por ahora vale para lo que es Esta bien para el precio que esta en Amazon en comparación a los 26€ que se encuentra en Carrefour, pero en comparación a la anterior que tenia mi madre que era una Moullinex no tiene nada que ver. Pero al menos por lo que dure y para lo que sirve basta.</t>
  </si>
  <si>
    <t>Pequeño El anillo es de tamaño muy pequeño</t>
  </si>
  <si>
    <t>Muy duros Demasiado duros</t>
  </si>
  <si>
    <t>ME ENCANTA Me gustan mucho estos filtros para el té. Lo tengo bastante tiempo y está como nuevo. Además me gusta la base que lleva para cuando sacas el filtro del vaso apoyarlo en esa base. La única pega que le pongo es que son bastante caros para lo que es.</t>
  </si>
  <si>
    <t>Llegó rápido. Está como un poco raspado el frente del zapato, todo lo demás la talla, pone original con la R en la caja y en el zapato, me encanta. Muchas gracias</t>
  </si>
  <si>
    <t>Monica Aún no la he usado mucho pero tiene buena potencia y es bastante robusta. El accesorio para salsas es genial y aunque su limpieza es un poco más complicada si sigues las instrucciones se limpia estupendamente</t>
  </si>
  <si>
    <t>Cuña es baja. La zapatilla es muy cómoda La cuña es baja. Necesitaba algo mas alto</t>
  </si>
  <si>
    <t>Auriculares muy cómodos y de calidad. Ya había comprado otros de esta marca que me han dado muy buen resultado y me he vuelto a decidir por ella cambiando el modelo ya que me gustaba la funcionalidad del imán, para cuando los tienes colgados en el cuello. Son muy cómodos (tienen una esponja (no goma) que se adapta muy bien al oído) y suenan bien. Además tienen micrófono y es ideal para contestar llamadas en el móvil. La calidad de construcción es buena ya que tienen una malla que protege el cable y se ven de buena calidad. También trae un estuche de red que ocupa muy poco y es cómodo para llevarlos en cualquier sitio.</t>
  </si>
  <si>
    <t>Sujeta muy bien por debtro pie Super comodas y resistentes, agarran muy bien el pie por dentro, utiliza un 42. 5 ,pedi 42 y quedan peefectas</t>
  </si>
  <si>
    <t>Biberones bonito Muy buen precio y calidad. Repetiré si fuese necesario</t>
  </si>
  <si>
    <t>Muy prácticos para correr Los compré para regalar a mi marido, es un deportista empedernido y le encantan unos que yo tenía parecidos. Compré este porque tienen un sistema muy cómodo para correr y está encantado con ellos. No se mueven y aislan bien del ruido.</t>
  </si>
  <si>
    <t>Cumple su función Cinta adhesiva que cumple su función sin mayores problemas.</t>
  </si>
  <si>
    <t>Fenomenal Es un clásico. Funciona de maravilla</t>
  </si>
  <si>
    <t>Buen reloj Muy útil para tu día a día</t>
  </si>
  <si>
    <t>No te decepcionará Me ha sorprendido muy gratamente , yo personalmente soy fan de los Samsung pero me dicidi probar estos Toshiba en un pc que uso como media center .  Los resultados son más que buenos , sobre los 520mb de lectura y 430 MB de escritura , siempre que tengas tanto palca base como cable sata3 6gb así que que más se puede pedir?</t>
  </si>
  <si>
    <t>Zapatillas comodas Son zapatillas muy cómodas, no oprimen en absoluto y eso que uso un ancho especial.</t>
  </si>
  <si>
    <t>Ezekiel Después de varios meses de uso, sin duda... unas crocs son unas crocs!! Un gustazo estar todo el día de trabajo con ellas y llegar con los pies descansados. Tanto que cuando llego las cambio por otras que uso para casa. Sin duda lo mejor para tus pies.</t>
  </si>
  <si>
    <t>Muy rápidas pero con matices!!!! Las velocidades de lectura y escritura son impresionantes según los benchmark aunque sinceramente para el día a día yo no he notado mucha diferencia con mi anterior ssd. Quizá para tareas más exigentes si que se note más. Para tareas cotidianas sólo lo recomiendo si la encontráis bien de precio.</t>
  </si>
  <si>
    <t>Buena calidad Mucha potencia y muy práctica</t>
  </si>
  <si>
    <t>Ok Buena prenda y abriga</t>
  </si>
  <si>
    <t>Indestructible como todos los casios Indestructible muy duro para el trabajo en el campo buena compra</t>
  </si>
  <si>
    <t>Muy útiles. Cumplen su función al 100% A cierta edad tareas como soldar con estaño un componente electrónico se hace tarea casi imposible sin unas gafas como estas. Dispone de varias lentes con diferentes aumentos, y se pueden intercambiar muy fácilmente. La luz incorporada no la he probado porque he utilizado un foco de escritorio. El producto está muy bien para el precio que tiene, cumple perfectamente su función.</t>
  </si>
  <si>
    <t>Buena relación calidad precio Es bastante cómodo, viene en una bolsa de plástico, sin caja y sin dayos de fabricante y del producto,</t>
  </si>
  <si>
    <t>Cuando zapa el amor Me he labrado una fama de poligonero máximo.  Las zapas bailan por mí,  la furia Cani me sale por los poros y soy un torbellino de patadas al aire, quiebros de cadera y sonidos guturales cuando bailo. El techno duro es mi religión</t>
  </si>
  <si>
    <t>Buena calidad Me gusta el material de la funda. La boquilla es muy amplia y es facil poner el agua sin salpicar ni quemarme. Es un buen producto por el precio</t>
  </si>
  <si>
    <t>No recomendables para terrenos con piedras sueltas Los huecos de la suela se llenan de piedras. Además la suela es tan blanda que las piedras terminan haciendo agujeros. Después de sólo 4 meses de uso las suelas están totalmente desgastadas y agujereadas.</t>
  </si>
  <si>
    <t>Muy pequeña Se ve de calidad, pero resulta pequeña. Aunque eso depende de lo que quieras meter dentro, claro.</t>
  </si>
  <si>
    <t>Chasco Pedi una talla mas y aun asi quedan muy justas de talla, la suela es pesima aun siendo baratas es tirar el dinero</t>
  </si>
  <si>
    <t>NO vale Lo he probado y no vale para nada no tires los 7 euros que cuesta, mi reloj tiene arañazos superficiales y despues de aplicarlo sigue igual</t>
  </si>
  <si>
    <t>Buen precio por un cubrecolchon pequeño de calor ligero Calor suave, muy agradable incluso a intensidad alta. Lo peor es que se nota el calor solo en la resistencia, mejor un tejido algo más almohadillado. Buena relación calidad-precio.</t>
  </si>
  <si>
    <t>Bien Buen producto. Por precio calidad está muy bien. Aunque diga de 0 a 6 meses  mi bebé tiene 9 meses y le va de fábula.</t>
  </si>
  <si>
    <t>Por ese precio vale la pena Es un muy buen producto por este precio. Aisla bastante bien los sonidos externos, y se escuchan muy nítidamente casi todas las frequencias. Eso sí, para oír bien los graves, debes escucharlos con el volumen alto. El mayor hándicap es que el cable va integrado, así que te limita a utilizarlo en tu estudio. A menos que quieras ir arrastrando un cable de 3 metros por la calle.</t>
  </si>
  <si>
    <t>La fuerza de Loctite y menos engorroso El formato gel me resulta mucho más práctico de aplicar ya que no resbala. Para lo que lo que lo suelo usar yo (pegar alguna piedrecita desprendida en la bisutería) es perfecto. Le doy 4 estrellas porque es algo caro para la poca cantidad que trae.</t>
  </si>
  <si>
    <t>Buen producto Si se ecualiza apropiadamente es bastante decente en calidad de sonido</t>
  </si>
  <si>
    <t>Mi pc vuelve a funcionar como nuevo De estar a punto de jubilarlo porque se quedaba colgado, no podía manejar varios programas a la vez y tardaba media vida en arrancar y poder ser  usarlo. Ahora es un tiro y muy fácil de manejar, En youtube hablan de este la venta de este disco con todo lo necesario para su instalación en el propio paquete y aquí solo se vende el disco solo, lo demás te tienes que buscar la vida. MERECE LA PENA LA INVERSIÓN, ES MÁS CARO COMPRARSE UN ORDENADOR NUEVO.</t>
  </si>
  <si>
    <t>De las mejores fajas Muy cómoda de poner, buena sujeción, no se clava. Ha llegado rápido y en perfectas condiciones. Se nota mucho el efecto.</t>
  </si>
  <si>
    <t>Muy bonito Un perfecto regalo para los amantes de los gatos. Es muy bonito y delicado.</t>
  </si>
  <si>
    <t>Impresionante el masaje que ofrece Nunca habia probado un masajeador de estas caracteristicas y la verdad que me ha sorprendido gratamentel. La bolas que giran ofrecen un masaje con bastante fuerza, tambien dependiendo de la fuerza que tu quieras aplicar. Y tambien tiene diferentes niveles de velocidad, funcion de calor y vibracion en la zona de los brazos. Gracias al diseño se puede utilizar en diferentes zonas del cuerpo, desde el cuello hasta la espalda. Estoy muy contento con este producto y por recomiendo su compra.</t>
  </si>
  <si>
    <t>El mejor bibe de agua que he encontrado Ya tenía anteriormente un biberón de agua, de esta misma marca Nuk, con el mismo tamaño y para mí de los mejores bibes de agua del mercado, aunque màs caro de lo normal, pero por nuestros bebés merece la pena, que no gotée como otros que he utilizado por los lados. Y el tamaño es perfecto, porque a estas edades todavía no beben tanto y les es màs cómpdo levantar el biberon ahora que estàn aprendiendo. Recomendable! Mi bebé tiene 9 meses y le va perfecto. Y duradero porque no sé cuántas veces lo ha tirado al suelo. Le es fácil de beber la tetina es de goma y a veces también la mordisquea para aliviar que le sale. Los dientes. El diseño de mini lo veo muy bonito y a ella le llama la atención.</t>
  </si>
  <si>
    <t>Util y comodo Esta pulsera es fácil de colocar, viene con una pequeña herramienta para poder colocarla en el reloj, ademas de traer unos pasadores.  Es muy fácil de ponérsela en la muñeca al ser el cierre mediante un iman se ajusta perfectamente, el iman hace que el broche sea resistente</t>
  </si>
  <si>
    <t>bien Son muy grandes estructuralmente hablando. Pero ahora se ha puesto de moda y no se las quita.. Aunque no son de piel, hay que reconocer que tienen un buen acabado y que no son plasticosas..</t>
  </si>
  <si>
    <t>Perfecto para entrenar. Me parece un acierto. La tela es algo fina, pero muy cómodo. Lo compré para salir a andar, a ver si bajo tripa, y estoy contento al 90%. Me parece que la sisa del pantalón cuelga un poco más de lo necesario.</t>
  </si>
  <si>
    <t>Cartera de viaje D10 calidad aceptable lindo bueno y barato ideal para la cartera de la dama y el bolsillo del caballero ...😂😂😂😂.no es para cargarla a full .muy peactica ...y segura 👍</t>
  </si>
  <si>
    <t>Muy buen producto y fácil de usar Oh dios mio es maravilloso. Fácil de usar y no tienes que comprar recambios del algodón ese que llevan algunos. Es poner el agua y el aceite esencial y olvidarse. El temporizador y el apagado automático funcionan bien. Las luces muy bonito. Se puede regular la cantidad de vapor que sale. Muy buena relación calidad precio. Mi casa huele super bien.</t>
  </si>
  <si>
    <t>No me acuerdo de cuando lo compré. Resistente, pega con todo, aun no le he cambiado la pila, que más decir...CASIO</t>
  </si>
  <si>
    <t>patricia Son ideales,  mi bebé tenía problemas con otras tetinas y ahora ya no quiere otros! Además el precio es muy asequible,  valen la pena realmente!</t>
  </si>
  <si>
    <t>Recomiendo Todo perfecto lo que esperaba! Queda muy bien! Recomiendo!</t>
  </si>
  <si>
    <t>Biberón anti cólicos a partir de 1 mes Elegí este biberón porque me encanta.En la canastilla que me dio la matrona de mi centro de salud venía uno gratis para recién nacidos, a partir de 0 meses. Fue todo un hallazgo para mí. Empecé usando otras marcas muy conocidas de biberones, pero todos le producían gases a mi hija a la hora de la toma porque la succión con esas tetinas no era óptima. Desde que probé el de de muestra de 0 meses que me regalaron, no quise probar más marcas. Estoy encantada. Además, las tetinas son de calidad y duran muchísimo tiempo. Casi todo son ventajas. Por poner una queja diría que estos biberones que compré dicen que son a partir de un mes, pero mi hija empezó a beber con la tetina que traía de +1 mes y casi se atragantó, porque la tetina de a partir de 1 mes hace que la leche salga de forma caudalosa para un bebé tan pequeño. Yo usé la tetina de recién nacido hasta que vi que mi hija no se atragantaba y que bebía muy rápido la leche, entonces pasé a la +1 mes que viene con este biberón. En definitiva, que estoy encantada con estos biberones y con esta marca en general, que ha reducido mucho los cólicos de mi bebé. Y el precio de los dos biberones con los gastos de envío es inferior a lo que vale uno solo en las conocidas grandes superficies más económicas.</t>
  </si>
  <si>
    <t>Buena impresión. De momento buena impresión, desembalar y que aparezca una pegatina diciendo que la pila dura 10 años, por lo demás que decir resistente al agua, ligero y casio, como me dure como este último será fenomenal ya que me quito el viejo por aburrimiento.</t>
  </si>
  <si>
    <t>Cómodos Son de buena calidad y buen sonido</t>
  </si>
  <si>
    <t>¡ Son Preciosos! Los compré para regalar, y la verdad es que han salido de buena calidad, son antialérgicos, y preciosos. Los recomiendo sin lugar a dudas.</t>
  </si>
  <si>
    <t>Baratas y cómodas. Son cómodas y bonitas. Además son super ligeras....las recomiendo.</t>
  </si>
  <si>
    <t>Dentro de lo esperado Es bonito y de la calidad de las cuentas es buena, pero el cordel es muy debil y se rompe al poco tiempo de uso.</t>
  </si>
  <si>
    <t>Número erróneo A pesar de haber pedido un 39, ha llegado un 39,5. Con las ganas, mi hija no se ha dado cuenta y las ha estrenado, por lo que ya no puedo devolverlas, pero por lo demás, todo correcto</t>
  </si>
  <si>
    <t>Se rompen con la mirada Le salieron pelotillas al segundo lavado.</t>
  </si>
  <si>
    <t>No existe manual! No existe manual de funcionamiento para este producto, tampoco en PDF descargable de la web de Alesis, solo una guia de inicio rápido totalmente insuficiente y poco clara.</t>
  </si>
  <si>
    <t>NO ME HA GUSTADO Compré este disco para sustituir a un recién instalado SSD Kingston A-400 de 240 Gb porque, en teoría este es de mejor calidad y duración, y me ha defraudado.  1º porque se calienta mucho; sin utilizar juegos. Instalando el S.O. y las actualizaciones alcanza fácilmente los 65º (el vacío se pone a más de 50º), cuando los 2 mecánicos que tengo para datos nunca han pasado de 43º y están todos instalados en el mismo sitio (descartada la falta de ventilación). Nada más encender el ordenador ya se pone a 40º. El SSD Kingston nunca me pasó de 43º y estaba instalado en el mismo sitio. 2º El diseño del conector sata es malo. El conector sata de datos no quea bloqueado porque el clip del conector macho no entra en el bloqueo y queda muy suelto con lo que a cualquier movimiento de los cables se sale del conector del disco. He probado con otros cables y sucede lo mismo. Esto no me ha sucedido con ningún disco y he montado muchos. 3º Si, como aconseja Crucial, se establece el "exceso de aprovisionamiento en un 7%" (con el programa de Crucial SSD Manager) para mejorar el rendimiento y duración, la capacidad del disco se ve muy mermada y queda con una capacidad inferior a uno de 240 Gb. CONCLUCION: Será mejor y más duradero que un Kingston barato (habrá que verlo con el tiempo, pero me temo que cuando le meta "caña" se va a fundir por temperatura). La diferencia de velocidad entre el Kingston y éste es un poquito más rápido que el Kingston, pero prácticamente despreciable. Por todo lo expuesto NO ACONSEJO LA COMPRA DE ESTE DISCO. No lo devuelvo porque ya lo tengo instalado con S.O., actualizaciones y programas y no me apetece volver a instalarlo todo otra vez.</t>
  </si>
  <si>
    <t>Buena calidad, pero un tanto delicado. Funciona perfectamente con el iPhone 7 Plus. El cable parece endeble, así que hay que tenerlo en cuenta y cuidarlo bien.</t>
  </si>
  <si>
    <t>pulseras bandera españa perfecto muy bonitas</t>
  </si>
  <si>
    <t>Bastante aceptable. Buena textura para el cliente y absorbe bien el aceite. Si fuese un poco mas grueso estaría mejor pero es buen papel para trabajar.</t>
  </si>
  <si>
    <t>buena relación calidad precio de momento muy bien, la uso para una cam de vigilancia, y cuando se llena , la propia cam la vuelve a llenar de datos, y hasta ahora ok..</t>
  </si>
  <si>
    <t>buen producto cumple con lo prometido, funcionan correctamente y con buena calidad. Falta comprobar la durabilidad. Los materiales se ven de buena factura.</t>
  </si>
  <si>
    <t>Ávila como campo de pruebas Las está usando una chica que está estudiando la Universidad de Ávila, al principio albonar solas le parecían demasiado estrechas, luego con el uso se van dando un poco de sí, la suela es perfecta antideslizante, Nicolás heladas mañaneras ni con la lluvia hay peligro de resbalón, lo que más nos ha impactado, es que ese tejido muy similar alante sea impermeable, de momento la chaparra das que han caído por allá no han calado, siempre y cuando el borreguito que sale por la parte de arriba no se moje, por dentro tiene un tejido muy agradable, da la sensación de calidez, las puntadas de las costuras están bien rematadas, y no hacen daño, sí es cierto que es un poco ajustado para la talla qué es, quizás coger una talla más no vendría mal, por lo demás son materiales de buena calidad bien ensamblados, una buena puesta para este invierno</t>
  </si>
  <si>
    <t>Perfecto y recomendado! Perfecto! Ocupa poco y es ligero! Es suficiente para un vaso grande o dos medianos! Yo tengo un montón de medio litro y calienta muchísimo!</t>
  </si>
  <si>
    <t>Potente batidora para purés de bebe Fantástica batidora de mano.La compré para hacer los purés a mis hijos y los deja perfectos. La opción del turbo es muy buena y deja el puré muy fino y sin ningún trozo. Mucha potencia. La mejor batidora que he probado.</t>
  </si>
  <si>
    <t>Fácil de colocar y de muy buena calidad. Es una correa de muy buena calidad, es una piel muy suave. Se coloca muy fácilmente gracias al mecanismo que lleva.</t>
  </si>
  <si>
    <t>Marvanesa Calidad y precio muy bien. Es una tetera chulisima. Material pesadao, acabado muy bueno. Tapon hermetico y no salta al levantar. Tapa principal muy hermetica. Lo recomiendo.</t>
  </si>
  <si>
    <t>Bueno Buen aparato. Después de trabajar por un día, me siento mucho más cómodo. Tiene cinco modalidades y cinco velocidades.Los orificios de entrada de los pies tienen cremallera para poder lavarlos.Cada sesión de masaje dura unos 15 minutos. Toda la familia puede usarlo.</t>
  </si>
  <si>
    <t>Todo terreno y comodidad Son fantásticas, en cuanto te las pones notas como un guante, muy cómodas, las uso para entrenar, gimnasio y paseo. Volveré a comprarlas!</t>
  </si>
  <si>
    <t>Me ha gustado mucho Me ha gustado mucho, el pedido llegó muy rápido lo he probado y la verdad que va muy bien y con las luces se ve una estancia muy acogedora .Lo recomiendo</t>
  </si>
  <si>
    <t>Suave Muy suave al tacto y cómodo</t>
  </si>
  <si>
    <t>Buena relación Calidad/precio Hace algún tiempo  que compré estos auriculares, (quería hacer la reseña basado en mi experiencia  contrastada,)los he usado con diferentes dispositivos (PC, móvil, tablet...) y, de momento, estoy muy satisfecha. En todos los casos el sonido es bastante más que aceptable y son cómodos de usar (la diadema se regula y adapta perfectamente, el acolchado es agradable al tacto y permite el uso prolongado). Se pueden plegar (el mecanismo de plegado no parece muy resistente, pero supongo que teniendo cuidado, puede durar mucho) y eso facilita su transporte en bolso, mochila... si no los estás usando. La longitud del cable, de 1,2 m, puede resultar un pelín corta (según lo que te muevas cuando lo usas con un dispositivo de mesa), pero no les he encontrado mayor pega.</t>
  </si>
  <si>
    <t>Genial Recomiendo al 100%</t>
  </si>
  <si>
    <t>Práctico!! Son 10 metros con lo cual si lo estiras bien te deja envolver varios cables a la vez y cortarlo por donde quieras para otro tramo de cables, Si te hubieses quedado corto, puedes poner el trozo que te falte sin que se note el empalme.</t>
  </si>
  <si>
    <t>Calentita Al principio no me convenció nada ... pero me alegro mucho de haberla comprado, es súper calentita y muy funcional La recomiendo</t>
  </si>
  <si>
    <t>increible Pega rápido y fuerte. Duradero y fácil de usar con el pincel. No te manchas y es muy preciso</t>
  </si>
  <si>
    <t>Maincrah Porque no tienen C4 en los cordones</t>
  </si>
  <si>
    <t>Perfecto organizador de todo lo que hay que llevar encima Lo que más me gusta es la cantidad de bolsillos independientes que tiene, para organizarlo todo. Y huele a cuero auténtico!!! No sé si será o no, porque no entiendo mucho, pero es suave y huele como si lo fuera. Jjjjjjjj Con el uso me vengo dando cuenta de que un poco más pequeño también me hubiera servido, pero como suele decirse, "donde cabe lo grande, cabe lo chico. Al revés no" Así que .... Encantado con mi compra!!!!!</t>
  </si>
  <si>
    <t>Una gran opción Una relación calidad precio muy buena para quien no quiera/pueda gastarse presupuestos desorbitados. El sonido que recoge es muy bueno y los materiales dan la sensación de calidad.</t>
  </si>
  <si>
    <t>Sonaban bien hasta que dejaron de funcionar Iban muy bien hasta que dejaron de funcionar a los dos meses de haberlos comprado. El cable es más frágil de lo que parece.</t>
  </si>
  <si>
    <t>Velocidad de lectura dudosa Construcción sólida, funcionamiento sin problemas hasta ahora PERO las velocidades de lectura están lejos de la realidad.  COMPARACIÓN: Mi SanDisk Extreme SDXC de 128 GB promete hasta 90mb/s y me da 85 de lectura en los tests. La Lexar (de 32Gb) promete una velocidad de lectura de hasta 150mb/s (y me da 85 de lectura). Un poco decepcionante en este sentido. La velocidad de escritura es más correcta porque promete hasta 80mb/s y me da 81 (es bastante superior a la Sandisk comentada arriba).  Sí cabe destacar que con muchos de mis dipositivos es incompatible (en la grabadora Zoom H4N no funcionan, por ejemplo).  Relación calidad-precio (y más aún comprada en oferta), correcta, de momento.</t>
  </si>
  <si>
    <t>Capacidad Intente usarlo para fotos, videos, musica en mi router, y empezo a calentarse demasiado, solo sin usar tambien, 2 meses ha durado...</t>
  </si>
  <si>
    <t>Sencillamente NO ME HAN FUNCIONADO Las dos tarjetas que compré me han fallado. La captura de imágenes es normal pero la descarga da error y no puedo recuperar las imágenes tomadas. La manipulación de las tarjetas ha sido la correcta, es un producto que no tiene otro modo de operación que introducirlas, en mi caso, en la ranura de la cámara fotográfica y comenzar a hacer fotos. A la hora de descargar las imágenes las introduces en la ranura del PC y listo.</t>
  </si>
  <si>
    <t>Tras dos meses no funciona No funciona tras dos meses de uso, como puedo iniciar el reemplazo?</t>
  </si>
  <si>
    <t>Son comodas y no resbalan Pedí un número más del que suelo gastar, y me sobra de la punta de los dedos, pero al ser una zapatilla tan plana, ne queda genial, muy calentitas, no resbalan gracias a su suela, y tampoco hacen ruido al andar</t>
  </si>
  <si>
    <t>ESTA BIEN, EL QUE YO RECIBI ES COMO EN LA FOTO Y LA DESCRIPCION CORRECTA. ESTA BIEN TERMINADO. NO ES EL BOLSO DE TU VIDA PERO PARA EL PRECIO QUE TIENE ESTA BIEN.</t>
  </si>
  <si>
    <t>Pendientes acero Buena compra, son muy cómodos para dormir y pesan muy poco. La única pega es q cuando intenté desenroscar la tuerca de algunos, venía muy fuerte y me costó, pero al final bien</t>
  </si>
  <si>
    <t>Buen limpiador Muy buena opción para limpiar tu casa si tienes nenes deja un buen olor a diferencia de otros limpiadores y aunque pone que es la alternativa a la lejía no en todo todo pero casi nosotros lo hemos probado para casi todo y solo no a funcionado igual que ella para las humedades de la pared por lo demás genial</t>
  </si>
  <si>
    <t>Batería no carga bien Todo el sistema muy bueno. Soy músico y usamos para tres perdonas con prácticamente 4 instrumentos. Y suena bien. Excepto la batería que cada ves más  carga poco. Y sólo tiene un mes  me gustaría saber. Si hay garantía y como es el proceso. Gracias.</t>
  </si>
  <si>
    <t>excelente muy buena calidad, muy resistente y preciosa. LLevo un año con ella y como nueva y hace un silbido genial</t>
  </si>
  <si>
    <t>Buena compra, calidad sobre el precio Muen buen reloj, la caja es de resina pintada pero a día de hoy con toda la batalla que tiene no le noto desgaste alguno no tiene aún ralladuras en la pantalla, se nota de calidad y es cómodo sobre todo si le ajustas la correa bien, tiene ajuste por eslabones y micro ajustes en el broche.</t>
  </si>
  <si>
    <t>SOn una pasada Atentos a la talla y la primera vez que te las pones; intenta tener los dedos bien abiertos e introducirlos uno a uno con paciencia. AL principio parece que quedan pequeñas pero es que son como un guante por lo que debes tener paciencia y al lío</t>
  </si>
  <si>
    <t>Muy buen producto y entrega rápida Buen producto, buen precio y entrega rápida.  Quedé muy satisfecho con el servicio.</t>
  </si>
  <si>
    <t>Comodidad Me parece útil y práctico.</t>
  </si>
  <si>
    <t>Funciona estupendo en mi asus Z97-A La uso en mi pc y le e puesto win10 en una placa base Asus Z97-A y lo mas que me gusta es lo bien que trabaja el sistema operativo la rapides de funcionamiento y tengo mas espacio ahora la recomiendo</t>
  </si>
  <si>
    <t>Buena compra Estoy contenta es muy manejable y potente.</t>
  </si>
  <si>
    <t>Buena compra Son como en la foto,ademas no se ponen negros.buena compra.</t>
  </si>
  <si>
    <t>CÓMODOS Y DURADEROS Me gusta su comodidad y durabilidad, es el segundo par que adquiero. Usados para andar para hacer ejercicio no como uso cotidiano.</t>
  </si>
  <si>
    <t>Bueno, bonito y barato. No es de los más rápidos que he tenido, pero cumple su función perfectamente.</t>
  </si>
  <si>
    <t>Buenos Son original</t>
  </si>
  <si>
    <t>BUENA CALIDAD Y TIENES UN 2X1: AURICULARES Y UNA BESTIA DE BATERIA Aunque tengo otros auriculares quise probar este modelo porque al viajar mucho me atraía el concepto de que el propio estuche de carga de este producto me pudiera servir para cargar el móvil de trabajo en caso de ser necesario. Eso es posible porque estamos hablando de una bestia de batería de 6000 mH. Y ha funcionado... La verdad es que tanto para casa como para un viaje en avión que realicé ayer y estuve fuera todo el día estuve utilizando de forma intensiva los auriculares y tuve que cargar mi Samsung Galaxy a las seis de la tarde porque después de todo el día de ajetreo estaba literalmente seco. Me funcionó esta solución sin problemas y la batería no había bajado del 90% (lleva un led que indica el porcentaje que queda para descargarse).  Por esa parte ya digo fenomenal. Por la de los auriculares yo tengo en cuenta una serie de cuestiones: conectividad; fit o ajuste en los oídos; calidad de la música; acciones con la música que se pueden llevar a cabo desde el propio auricular y otras posibles "mejoras".  En la parte de conectividad y siguiendo las instrucciones no he tenido ningún tipo de problema para conectarlos a dos móviles diferentes: un samsung galaxy y un Huawei Mate. Igualmente no he tenido interferencias de ningún tipo ni en los dos aeropuertos que he estado ni en casa ni en el trabajo. Tienes la opción de conectarlos en modo stereo (los dos) o mono aunque yo no los he probado en mono. Además, una vez enlazados con el móvil, cuando los sacas de su carga , inmediatamente se conectan. He probado también con videos de Netflix y no he notado "delay", al menos en el Huawei.  Con respecto al ajuste en mis oídos tampoco he tenido ningún problema para utilizarlos y con la goma que ya llevaban puestos no he padecido ninguna incomodidad transcurrido un tiempo prolongado de audición. Es de agradecer que en el paquete había cinco tipos diferentes de almohadillas (lo normal son 3) ya que el poder ajustar correctamente los auriculares en el pabellón auditivo redunda en la calidad de la música que escuchas y en el nivel de supresión de ruido que estos pueden hacer. Loa auriculares además no son tan grandes o cantosos como otros modelos que hay en el mercado y no creo que hagan que llames la atención por llevarlos.  En la calidad de la música también estoy bastante contento. Sí es cierto que para mí en bajos se escuchan un poco más flojos o más planos,  pero al final, esto es cuestión de gustos y, con el ecualizador que lleva spotify y el poweramp he aumentado estos y he encontrado un nivel musical que para mí me parece muy bueno. Tener en cuenta que los auriculares cambian su sonido inicial después de llevar a cabo audiciones prolongadas cuando los driver utilizados se adaptan más. En mi caso el cambio creo que ha sido ligeramente para mejor y que la calidad se ha incrementado.  Con respecto a los controles a través de los auriculares no se puede pedir más; con simples toques con ellos podemos: Reproducir / pausar o responder / colgar llamada Canción anterior / Siguiente canción Ajustar el volumen Modo Siri  Por poneros un ejemplo, el Sony Wf-1000xm3, la joya TWS de Sony no lleva ahora mismo ajuste de volumen con los auriculares.  Por tanto, y por el precio que tienen fenomenal.  Dentro del apartado "mejoras" incluiría que la calidad de las llamadas que he recibido era clara y sin ruidos (lleva tecnología CVC 8.0) y que a su vez la otra parte también me oía a mí fuerte y sin problemas. Con respecto a la batería una carga con un volumen al 60% me ha durado prácticamente 4 horas por lo que entiendo que los tiempos que indica el fabricante de posibles cargas completas es correcto o muy cercano a la realidad.  En el apartado de las "desventajas" una relacionada con la propia utilidad del producto; con la batería que lleva, te costará llevarlo en un bolsillo que no sea ancho.  Por tanto, para mí compra recomendable y obtienes un 2x1: auriculares inalámbricos y una batería de carga de refuerzo.</t>
  </si>
  <si>
    <t>Comodidad y agarre Comodisimas y gran agarre</t>
  </si>
  <si>
    <t>La mejor inversión relajante Me encanta este cojín.Trabajo en hostelería y este cojín me ayuda a relajar los músculos para poder descansar.Calidad, precio muy buena.</t>
  </si>
  <si>
    <t>Leggins cómodos Debido a las opiniones me lo compré un poco más pequeño y me queda perfecto,la tela es poco tupida y me los estoy ponie do ahora en verano.</t>
  </si>
  <si>
    <t>Compra perfecta Estaba pensando en cambiar de cámara porque la mía no tiene wifi y encontré esta tarjeta. Buena forma de “renovar” una cámara réflex antigua.</t>
  </si>
  <si>
    <t>Cajones y cajones Me ha entrado perfectamente debajo de la mesa del ordenador, lo he puesto encima de una tabla con ruedas que he hecho a medida yo y quedan geniales, lastima que la base con ruedas no la vendan aparte, seria bueno que se lo pensasen.</t>
  </si>
  <si>
    <t>Buena adherencia Recibido en plazo como acostumbra Amazon, poco se puede opinar de este producto, buen adhesivo , pega bien pero falta esperar como se comporta al paso del tiempo. En principio totalmente recomendable</t>
  </si>
  <si>
    <t>No es una batidora profesional Quien quiera una batidora profesional, ésta no es su batidora. O al menos para el uso intensivo que yo le he dado. Y no es que me haya fallado una batidora, no, es que me han cambiado 4 batidoras en Amazon y todas han muerto por lo mismo a los pocos meses. Empieza a derramar aceite por debajo de la cuchilla y hace un ruido infernal y al final termina gripando por falta de aceite. Como digo, mi uso es muy intenso a diario, picando mucho hielo y pulpas congeladas y para esto supongo que hay que gastar más dinero. Como batidora casera supongo que es excelente, porque pica muy bien, es elegante y robusta. Pero para un negocio con mucha intensidad, no.</t>
  </si>
  <si>
    <t>DESILUSIONADA Al segundo dia se me oscureció totalmente ¿¿??</t>
  </si>
  <si>
    <t>Un poco decepcionante No corresponde exactamente a lo de la foto.</t>
  </si>
  <si>
    <t>MyBook 8TB - Disco WD80EZAZ Comprado en Junio de 2019, el disco interno que lleva es un WD80EZAZ de Helio. Por mucho que digan que es un WD RED, NO LO ES. Este disco no tiene activo el TLER, cosa que el WD RED sí lo tiene. No es recomendable para RAID por hardware. Imposible encontrar las especificaciones para saber si tiene sensores de vibración, con lo que no se sabe si aguanta configuraciones de varios discos en chasis, como por ejemplo los NAS. Eso sí, el disco es muy robusto mecánicamente, está fabricado por HGST (la antigua Hitachi, y que ahora la posee WD), pero es un disco de escritorio, no de servidor, que quede claro.  Ahora entro a valorar un par de cosas (o tres): 1.- El disco se calienta que da gusto. En las pruebas que hice para comprobar que no venía con sectores defectuosos y que tarda alrededor de 48 horas, el disco alcanzó una temperatura interna de 58ºC (y no estoy en la parte calurosa de España). No encuentro las especificaciones para este disco así que no sé ni siquiera si está funcionando dentro de las especificaciones técnicas. Por muy ventilada que parezca la carcasa, no es eficiente para este disco. No es una temperatura con la que me sienta cómodo trabajando así que está gritando que lo saque de la carcasa y lo meta en otro sitio con ventilación. Por lo tanto la carcasa en este dispositivo está sobrando. Lo que me lleva al segundo punto. 2.- La carcasa encripta el contenido del disco a la hora de la comunicación por USB. Por lo tanto si sacamos el disco con datos grabados de la carcasa y lo ponemos en un conector SATA, no podremos leer los datos ya que están cifrados. Necesitamos la carcasa para leer los datos tal y como los hemos grabado por USB. Si la carcasa se rompe (se puede romper perfectamente el conector USB 3.0 que tiene, o su transformador), nos quedamos sin datos, ya que la única forma de leerlos es con la placa original USB. No considero que esto sea muy bueno salvo para los "frikis de la seguridad", y en ese caso dudo que se compren un disco con una sola bahía y sin RAID, pero ahí lo comento, para el que esté pensando que eso de la encriptación del disco es una "buena opción". Lo es, si sabes lo que compras, lo que haces, y a qué te expones. 3.- El sistema de ficheros con el que viene por defecto es exFAT. Vale que permite grabar ficheros con más de 4GB, pero carece totalmente de sistema histórico (journal system), con lo cual, ante un corte de luz o cualquier desconexión imprevista del USB puede CORROMPER DATOS. En un disco de este tamaño el volumen de datos puede llegar a ser considerable, y un sistema de ficheros sin journal me parece un total desacierto teniendo en cuenta lo que se puede llegar a perder si se corrompe el disco. Por supuesto se puede arreglar formateando el disco a NTFS, ext4, btrfs, APFS o cualquier otro sistema con el que vayáis a usarlo. Como digo, exFAT no me parece acertado para este volumen y el tipo de conexión que tiene.  Por lo demás, siendo el fabricante HGST es un disco con mecánica de primera, que no tiene TLER activado (o como lo llama HGST: CCTL), que no se sabe si tiene sensor de vibración, y que por lo tanto no es recomendable para más de 4 bahías ni para RAID. Tampoco se sabe la carga de datos anual que aguanta sin degradación mecánica, y todo esto porque WD prefiere tener ocultas las especificaciones del disco.  Valoro con 3 estrellas por la falta de documentación que básicamente hace que no sepas lo que compras, y porque el disco se calienta demasiado simplemente "llenando el disco durante un par de horas".</t>
  </si>
  <si>
    <t>experiencia malisima y esta es lasegunda vez lo primero que  el primer reloj no llego y eso si me mandan otro pero a la  semana mas o menos del 85 % de batería  se apaga  y no enciende ni carga  ni na de na al cabo de media hora lo logro  encender y pone 1% de batería , ni idea y encima el boton superior noto  como una ligera dureza y mi primer samsumg gear s3  classic empezo asi y al final dejo de funcionar y me tubieron que devolver el dinero nuevamente de hay a que  vienmdo esos  errores con este tenga de  devolverlos y quedarme sin reloj nuevamente eso si decepcionado ya que el reloj en si si fuese bien es una pasada pero yo no puedo decir  que lo haya  disfrutado  como yo quiero un saludo y lo siento.</t>
  </si>
  <si>
    <t>Mal producto Artículo que llegó con el cristal roto</t>
  </si>
  <si>
    <t>Tamaño ideal. Es de piel, excepto la correa, que es lo que no me gusta.</t>
  </si>
  <si>
    <t>Cumple a la pefeccion Producto recomendado, cumple a la perfeccion con su cometido. Por ponerle un pero, es que no se desmonta del brazo por lo que no es lavable</t>
  </si>
  <si>
    <t>Muy cómodo para conexiones UsB c Muy cómodo la conexión dual. La velocidad de lectUra es muy rápida. La velocidad de escritura no es tan rápida.</t>
  </si>
  <si>
    <t>Buenas El producto es bueno, bien terminado y bonito.La planta, comodisims</t>
  </si>
  <si>
    <t>Buen producto Funciona perfectamente. Si que es cierto que se calienta mucho, pero no hacen falta manoplas de horno para manipularlo como sugieren algunos. En cuanto a la velocidad de transferencia no he necesitado verificarla, ya que funciona bien para mis necesidades.</t>
  </si>
  <si>
    <t>USB 16 GB Excelente calidad precio y para almacenar música y fotos más que suficiente capacidad Recomendable 100%</t>
  </si>
  <si>
    <t>Reloj original Para saber si tu reloj Casio es original, mantén pulsado el botón derecho durante unos segundos, en la pantalla debería de salir CASIO, en este caso el mío lo es, vino con su caja redonda y su libro de instrucciones.muy contenta con la compra.</t>
  </si>
  <si>
    <t>Miguel Es una mochila deportiva con un diseño elegante y una fabricación de calidad. En ella puedes llevar todos los objetos que vayas a necesitar durante la jornada. Además, por su diseño es ideal si haces footing, pues te deja los hombros libres. Muy cómoda.</t>
  </si>
  <si>
    <t>Elegante y versatil Me ha gustado mucho la cantidad de posibilidades que tiene a la hora de configurar a través de una app, puedes controlar las luces, alarmas, intervalos de alarmas, tipos de sonido, volumen de la radio y más cosas desde el móvil.  En el modo despertador puedes configurar que la luz vaya de menor a mayor intensidad con tonalidades muy naturales y en ningún momento molestas. Tambien puede ser controlado a través de asistente de voz tipo Alexa. Tambien tiene un modo en que las luces led pueden ir variando de tonalidad y es bastante relajante. Una forma original de levantarse. Muy contento con la compra.</t>
  </si>
  <si>
    <t>Perfectas La verdad muy contenta!. Tal como la foto, cómodas y no pesan. Lo del número de pie jo utilizó el 38 y coji este mismo y perfecto. Las recomiendo!!!</t>
  </si>
  <si>
    <t>Buena relación calidad y precio Bolso en piel de buena calidad que cumple con mis necesidades ya que en el mismo tiene capacidad para un libro electrónico de 6 pulgadas y una tablet de 10 pulgadas sin funda.</t>
  </si>
  <si>
    <t>La calidad precio Muy práctico economico</t>
  </si>
  <si>
    <t>MUY BUENO!! ME ENCANTA ES PARA ESOS LUGARES QUE UNO NO LLEGA, Y SE PUEDE LIMPIAR SIN ANDAR SUBIENDO ARRIBA DE NADA SE ADAPTA A PALO DE ESCOBA Y CONTINUAS LIMPIANDO.</t>
  </si>
  <si>
    <t>Perfecto Bonitos pendientes para regalo, hace mucho juego</t>
  </si>
  <si>
    <t>Perfecto El resultado de esta marca es siempre positivo, ya tengo dos de capacidad 500Gb. y otro mas 850 Evo.  Ambos tres los tengo alojados en portátiles y su rendimiento es óptimo. La durabilidad no puedo aún constatarla, pero por opiniones es mas que aceptable. Es cierto que revive un equipo antiguo, y siempre y cuando vaya acompañado de una ampliación de memoria ram permite la ejecución de aplicaciones pesadas con gran fluidez, yo lo uso con aplicaciones fotográficas y estoy satisfecho. La entrega fue en su justo tiempo. Y como negativo aún nada, no he tenido problema alguno. Y sí, lo recomiendo.</t>
  </si>
  <si>
    <t>Precio calidad buena Precio calidad bueno</t>
  </si>
  <si>
    <t>Perfecto La he comprado 2 veces para pegar una lamina térmica que he puesto tras los radiadores. Si aguanta bien el calor por los años que espero que estén esas laminas ahí pegadas...se merecería unas cuantas estrellas más.</t>
  </si>
  <si>
    <t>Buen sujetador Para aquellas que tengamos mucho pecho, queda muy bien, sujeta perfecto y el material es muy bueno. Es muy funcional.</t>
  </si>
  <si>
    <t>Producto imprescindible Son los cascos que siempre compro y siempre recomiendo a todo el mundo, jamás, pero jamás jamás encontrarás unos auriculares como estos, a este precio, y que suenen tan bien. La calidad es absolutamente impresionante, sobretodo teniendo en cuenta el precio, y el hecho de que se puedan doblar ayuda a que sea muy sencillo su transporte, La clavija en forma de L es otra ventaja que hace que duren más. Sin duda es una compra maestra, y sin duda los seguiré comprando y recomendando a familiares y amigos.</t>
  </si>
  <si>
    <t>Chaqueta perfecta para lluvia Perfecta en la talla, muy bien terminada, perfecta para la lluvia y muy chulo el diseño. Una vez más compar HH compra perfecta.</t>
  </si>
  <si>
    <t>Fenomenal Es fenomenal la utilizo para calentarme los pies mientras duermo, aguanta toda la noche...</t>
  </si>
  <si>
    <t>IM-PRESIONANTE Compre las dos versiones de 480 GB SSD, versión SATA III y versión M.2 2280 PCIe Express GEN3.0x4 NVMe , y la verdad es que tanto en una como en otra el rendimiento es excelente. Las compré para colocarlas en un portátil MSI GL62M 7REX y va como un tiro ahora. La versión NVme para sistema operativo, y la versión SATA III para almacenamiento. Estoy encantado, esto es otra dimensión.</t>
  </si>
  <si>
    <t>Comodidad y calidad Han llegado a tiempo, las botas son de horma ancha por lo que son muy cómodas y se adaptan muy bien, sin apretar; las lleva en todos los entrenos y en los partidos y está muy contento. Gracias</t>
  </si>
  <si>
    <t>Frágiles La calidad de sonido no es mala, aunque a veces falla en la recepción de la señal bluetooth. En cuanto a la arquitectura, después de 1 año se me han roto las sujeciones de los dos lados y las he tenido que pegar como he podido.  Resumen: Calidad precio está bien, buena calidad de sonido pero algo frágiles con el tiempo y la recepción bluetooth no es tan buena como esperaba.</t>
  </si>
  <si>
    <t>Funciona, pero lento Cumple los ue promete pero con velocidades de transmisión excesivamente lentas</t>
  </si>
  <si>
    <t>No vale la pena. Al principio pensé que era una buena compra pero con el paso del tiempo se desencajo del sitio y dejó de funcionar .</t>
  </si>
  <si>
    <t>increible ha llegado la caja con todos los accesorios , con el brazo y falta la batidora ya es la segunda vez que amazon la lia</t>
  </si>
  <si>
    <t>Mejor Buena tetina, calidad precio está bien</t>
  </si>
  <si>
    <t>Precio Muy bien, me gusta mucho el producto. Calidad VS. Precio está genial</t>
  </si>
  <si>
    <t>Buena calidad Buen producto y buena calidad</t>
  </si>
  <si>
    <t>Correcto Por este precio no se puede pedir más. Correctas... se nota que son malillas.. pero para un verano. Genial</t>
  </si>
  <si>
    <t>Talla pequeña Talla un numero de menos de lo habitual. Devolucion bien gestionada por Amazon.</t>
  </si>
  <si>
    <t>Aguanta mucho el calor Lo compré para mi suegra, sirve para calentarse las manos y para dolores de espalda y demás. Se calienta muy rapido y aguanta mucho tiempo en calor. Recomendable 100%</t>
  </si>
  <si>
    <t>Que es muy ligera Me encanta es súper fresquita</t>
  </si>
  <si>
    <t>Muy bonito y original Es un anillo muy bonita, por el precio que tiene está super bien y además viene con una caja para regalarlo perfecta.</t>
  </si>
  <si>
    <t>Es materia resistente para mi nieto Son grandes y no se pueden romper y lavables.</t>
  </si>
  <si>
    <t>EL RELOJ DE SIEMPRE No indica la presión atmosférica, no tiene Internet, no nos dice los pasos diarios, no tiene brújula, no tiene cuenta atrás... ¿entonces, para qué sirve? Pues para eso: nos dice la hora y la fecha, tiene luz, cuesta nada y menos y vale mucho, porque, amigos, el Casio F-91W ¡es un reloj! No hay que estar pendiente de que se cargue, de reemplazar las pilas ni de que le entren virus. Es un reloj. Punto. El mejor en relación calidad/precio, todo un clásico que nunca pasará de moda.</t>
  </si>
  <si>
    <t>Chulísimo Un regalo estupendo</t>
  </si>
  <si>
    <t>Funciona como se esperaba Le doy 5 estrellas porque no es la primera tarjeta de este tipo y de esta marca que compro, para una raspberry pi 3, ya que con estas tarjetas, la raspberry funciona muy bien, bastante rápida y sin problemas. Es de agradecer que lleve un adaptador para tarjetas SD ya que actualmente hay pocos lectores que integren un lector de microsd. La capacidad es más que suficiente para poder hacer cualquier tipo de montaje con la raspberry. Quizás se quede corta si se usa para guardar imágenes y vídeos aunque creo que 32 gigas son más que suficientes.  Por lo tanto, si tienes una raspberry y quieres una buena tarjeta de memoria, esta es tu opción. Quizás la de 16 también pero en algunos proyectos te puedes quedar corto.</t>
  </si>
  <si>
    <t>100% recomendable Pulsera perfecta, es tal y como se describe. Encaja a la perfeccion. La única pega es que al ser para mujer, debería ser un poco mas corta pues queda bastante sobrante aunque quede por debajo.</t>
  </si>
  <si>
    <t>Elegante , buena relación calidad/precio. Buscaba un reloj elegante a un buen precio. Este lo es, diseño elegante, con materiales aparentemente resistentes y a un precio muy asequible. Además es fácil adaptar a tu medida porque incluye un accesorio para poder ayudarte a retirar eslabones.</t>
  </si>
  <si>
    <t>aconsrjable una pequeña y gran solucion</t>
  </si>
  <si>
    <t>Compra perfecta Zapatillas muy bonitas. Originales 100%. Mirar bien la tabla de tallas, si no la pruebas en tienda pedir una talla más grand. Suelo usar 43 y pedí 44, me quedan perfectas. Envío sin problemas.</t>
  </si>
  <si>
    <t>Buen artículo Buen cable que cumple con su cometido. Si quieres más calidad, ya sabes que hay que pagar mucho más. Pero con este cable , tienes buena calidad y buen precio</t>
  </si>
  <si>
    <t>Resultón, cómodo, rápido y eficiente. Hace su función perfectamente. Es bastante rápido en hervir. Admite una cantidad de agua más que correcta para un té o un café y para dos personas. Además dispones de testigo luminoso y botón para parar o arrancar. Volvería a comprarlo. Muy cómodo para habitación de hotel.</t>
  </si>
  <si>
    <t>Poco práctica Es muy xula de aspecto, poco práctica para transportar, se puede llevar tipo bandolera o tipo mochila.</t>
  </si>
  <si>
    <t>Genial Es genial</t>
  </si>
  <si>
    <t>Buen producto Genial. Buen precio y mucha capacidad</t>
  </si>
  <si>
    <t>Cumple con lo esperado Excelente relación calidad precio</t>
  </si>
  <si>
    <t>Como esperaba. Deportivas muy cómodas. La talla es perfecta. Se nota que son de calidad. Traen 2 cordones (blancos y azules).Todo perfecto, estoy encantado con ellas.</t>
  </si>
  <si>
    <t>Satisfactorio Muy práctico</t>
  </si>
  <si>
    <t>Puntera estrecha,pie encajonado.... Calzo un 45, pedí un 46, y me venía pequeña la zapatilla. Hay que pedir un número y medio mas., Y la zona de la puntera es estrecha, el pie va muy encajonado... Un poco decepcionado. Pero bien,las he devuelto. Por lo demás, son buenas zapas.</t>
  </si>
  <si>
    <t>NO ESTA MAL MAS O MENOS LO QUE ESPERABA POR EL PRECIO</t>
  </si>
  <si>
    <t>Auricular derecho estropeado Pues sencillamente el auricular derecho en bajas frecuencias se distorsiona y vibra, estropeando la audición. Son cómodos y para mezclar están muy bien, pero me han venido estropeados.</t>
  </si>
  <si>
    <t>No funciona conexión para móvil No funciona la conexión para móvil, solo funciona la conexión USB</t>
  </si>
  <si>
    <t>Nada recomendable , nada más introducir la tarjeta SD se abrió completamente, inservible evidentemente, la tiré</t>
  </si>
  <si>
    <t>Muy bien, creo que mejor de lo que esperaba incluso Son muy bonitos y sientan muy bien. De tela como si fuera una licra suave pero muy fresquita. Me gustan.</t>
  </si>
  <si>
    <t>Funciona perfectamente Funciona perfectamente, lo reconoce tanto mi of de Windows 10, como mi iPad, por ponerle un pero, es que al reproducir vídeo solamente me los reproduce con el reproductor del iPad, y no deja elegir otro programa como poner un ejemplo el VLC, por lo demás funciona bien, y al tener tapas está protegido de polvo y golpes</t>
  </si>
  <si>
    <t>Pulsera Genial para un detalle, es para una chica de 15años y creo k Le va a gustar, y a un precio genial</t>
  </si>
  <si>
    <t>Sonido bien definido pero sin mucho volumen Tenía unos auriculares del mismo tipo que este (de clip) pero de la marca Sony (no eran de gama alta), se me estropearon y me aventuré a comprar estos auriculares. Me gustan para el precio que tienen, los uso para ir al gimnasio y la música se escucha bastante bien, lo único que el volumen máximo de éstos es más bajo que los Sony aunque el sonido se escucha mas definido que los Sony cuando ambos están al máximo de volumen. Son unos auriculares sencillos y cómodos y para el precio que tiene, están muy bien! Los recomiendo.</t>
  </si>
  <si>
    <t>Tamaño perfecto Cabe en el interior de Ps4 slim, pero no fuimos capaces de hacerlo funcionar. A pesar de ello con una carcasa hace la función perfecta de disco duro externo.</t>
  </si>
  <si>
    <t>Buena relación calidad/ Me ha gustado  su capacidad de almacenamiento  y su buen precio</t>
  </si>
  <si>
    <t>Bueno Es bueno, tiene el grosor perfecto. Pero en mi caso cogí la medida recomendada y tenía que haber cogido el de 9mm</t>
  </si>
  <si>
    <t>Casio original con la esfera negra Se trata de un reloj casio y venía bien embalado en su caja original. Todo correcto.</t>
  </si>
  <si>
    <t>Todo correcto Lo compré como regalo y parece que gustó. Satisfecho con la compra.</t>
  </si>
  <si>
    <t>perfecto me llego todo perfecto y a buen precio</t>
  </si>
  <si>
    <t>Lo más! Este artículo es lo mejor, funciona perfectamente, tiene diferentes modalidades e intensidades y no hace demasiado ruido. La textura es genial, muy suave. El color súper vivo. Recomendable para todo aquel que quiera cambiar y enriquecer su rutina.</t>
  </si>
  <si>
    <t>Perfecto De sabor... (?) Producto perfecto. Cómodo y de buen material</t>
  </si>
  <si>
    <t>Práctico y facil de usar. limpio y muy útil Me encanta estoy 100% satisfecha porque es justo lo que necesitaba! Es manejable y fácil de usar.tiene 3 tamaños distintos y los botes no se derraman.las cuchillas cortan genial. probe con batido de hortalizas (tipo salmorejo) y salió genial y luego en el pequeño para confitura de fruta y también fue estupendo.</t>
  </si>
  <si>
    <t>Buena absorcion La opinion se basa en la fregona original, no en el recambio, ya que aun no la hemos cambiado. La fregona absorbe bastante agua y limpia bastante. Es facil de escurrir con el cubo con escurridor que venia con ella. Suponemos que el recambio será de similar calidad.</t>
  </si>
  <si>
    <t>XBOX ONE X ha mejorado los tiempos de carga Lo he conectado a la XBOX ONE X y han mejorado significativamente los tiempos de carga. Muy contento con la compra.</t>
  </si>
  <si>
    <t>Genial. Fantástica, funciona perfectamente, ni un fallo. Genial relación CALIDAD precio. La recomiendo TOTALMENTE!.</t>
  </si>
  <si>
    <t>pendientes Son unos pendientes, que en sí no tienen nada, pero son muy divertidos, es probable que se pierdan con facilidad, pero se lo he regalado a una niña de 10 años y está encantada de poner usar uno cada día a juego con lo que lleva.  la verdad un éxito.</t>
  </si>
  <si>
    <t>muy bien La verdad que quedan mejor puestos que en la foto. Los colores se ven mas alegres al natural. Muy cómodos. La talla es tal cual. Muy contenta con la compra, los recomiendo.</t>
  </si>
  <si>
    <t>Buen pantalón para ejercicio suave. Buena relación calidad precio. Queda muy bien, abriga, es cómodo y estiliza. Seguramente repetiré la compra si no varía el precio y la calidad. Para mí es bastante recomendable.</t>
  </si>
  <si>
    <t>¡PIEL DE BÚFALO! Estoy encantado con mi bolso de mano de piel de búfalo.Desde que lo compré,siempre va conmigo a todas partes,menos en el supermercado,porque dicen que no admiten animales.Lo paseo y llevo con orgullo,y a todo el mundo les digo:''Me he comprado este bolso de mano''.''Sí,es muy chulo''-responden-''Es que esta hecho de piel de búfalo''-contesto-''¿Sí?,claro,es eso''-asienten-''Aún huele a piel de búfalo,huele''-les animo a comprobarlo-''Oh,sí,es verdad''-contestan-Entonces bromeo siempre con la misma pregunta:''¿Lo has notado?''''Oh,sí,sí que huele''-afirman-Y voy y les respondo con una carcajada:''¿Últimamente,has olido muchos búfalos muertos?''.Me hace gracia repetir esta inocente broma.Aunque pronto dejaré de hacerla,porque su impactante olor a piel curtida y fresca ya se está yendo lentamente,muy lentamente.Se diría que le da como tristeza abandonarme.Pero algo muy vivo aún persiste en mi bolso de mano de piel,que en verdad es de vaca,y no de búfalo.Llegamos a lo más sorprendente:cuando me lo acerco al oído,creo escuchar el latido de su corazón.</t>
  </si>
  <si>
    <t>Buen sonido Mis hijos están contento con sus cascos</t>
  </si>
  <si>
    <t>Mejor precio que en ningún sitio El producto es muy bueno. Mejor que otros minipimer que hemos probado. Además puedes escoger entre un montón de modelos según tus necesidades de accesorios</t>
  </si>
  <si>
    <t>Peluditas y calentitas Muy cómodas y los pies no se enfrían ni hechandoles agua fría</t>
  </si>
  <si>
    <t>Funciona bien...hasta que se rompe Por el precio que tiene cumple. Llevo un mes y no tengo queja. Por buscarle una pega, el micrófono para llamadas aunque funciona bien en interiores, en exteriores es complicado que te entiendan. .... (DESPUÉS DE USARLO 5 MESES) .... Con un uso normal, ayer ha dejado de funcionar, 5 MESES me ha durado, yo pensaba que al menos me duraría un año, pero supongo que por el precio esto es lo que hay, como se dice por ahí, "lo barato sale caro"  Calidad decente con muy poco tiempo de vida. No lo recomiendo</t>
  </si>
  <si>
    <t>Del chino, como era de esperar Si bien el precio era muy asequible, la calidad es bastante mala. En algunas incluso los mensajes están mal escritos. Creo que google translator lo hubiera hecho mejor. Pero lo dicho, por precio, es muy razonable lo que adquieres</t>
  </si>
  <si>
    <t>Funda. Hola.El envio rápido y en buenas condiciones.Sobre el producto puedo decir que:la tela es de buena calidad,aguanta el biberón caliente como mucho media hora.Espero que le sirve de algo este comentario.Un saludo.</t>
  </si>
  <si>
    <t>Dicen que bien producto. 😁 Aunque he leído maravillas de este producto, a mi me tocó «el garbanzo negro». Imposible emparejar, el auricular izquierdo defectuoso. Instrucciones sólo en chino. El vendedor hizo lo posible por solucionar y terminó haciendo devolución ante la imposibilidad se solucionar la avería.</t>
  </si>
  <si>
    <t>No me va nada bien Se oyen bien, el botón del volumen funciona como le da la gana, sin tocarlo se empieza a subir y bajar el volumen solo, si lo utilizo empieza el teléfono a volverse loco, todo esto en un Samsung A8, tienes lo que pagas eso esta claro.</t>
  </si>
  <si>
    <t>Poco util No es muy bueno, no hace nada</t>
  </si>
  <si>
    <t>Bonito, pero el software deficiente Relacion calidad-precio tirando a caro para lo que ofrece. Es bonito, poco ruidoso pero el software que incluye para las copias de seguridad es comolicado de usar. El disco duro viene con el software desactualizado y te lo dice una vez lo instalas. Te lo tienes que descargar y volver a inatalar. Aun  no he conseguido que funcione lo de las copias de seguridad.  Tambien he visto en comentarios que es poco duradero. Eso lo tengo que comprobar y editare el comentario en el caso de que asi sea. Ya que con el software que tiene este aparato se supone que esta diseñado para usarse cada dia o cada pocos dias</t>
  </si>
  <si>
    <t>Razonable relación calidad-precio Me gustan sobre todo dos cosas: 1. La relación calidad-precio del producto 2. El conector a USB con controles de volumen  A mejorar, dos cosas también: 1. El pinganillo del micrófono no es nada ajustable respecto al auricular del que baja. Se echa de menos poder subirlo o bajarlo sin forzar el cable, a través de una rueda sobre el auricular izquierdo. 2. Los "headphones" dan mucho calor y no son ni grandes ni pequeños, es decir, para una oreja estándar no son demasiado cómodos  Pero lo dicho, la calidad del sonido es buena, los controles son un acierto por ese precio y no lo considero mala compra, ni mucho menos.</t>
  </si>
  <si>
    <t>Va bien La uso en una Nikon FX, va bien, correctamente por ahora, ningún problema.  Hace poco que la tengo, de modo que si dentro de poco falla, corregiré lo dicho.</t>
  </si>
  <si>
    <t>Calidad precio bueno Van muy bien.</t>
  </si>
  <si>
    <t>Contiene anuncios todo perfecto excepto por la publicidad...el pendrive lleva incluida publicidad al conectarlo al movil</t>
  </si>
  <si>
    <t>Vale la pena comprar Este es un regalo para mi amiga, ¡ella acaba de convertirse en madre! A ella le gusta mucho, jaja, lo compré bien, el precio es muy alto, espero que todos puedan comprarlo también.</t>
  </si>
  <si>
    <t>Regalo genial Fue para un regalo de cumple de un niño de 8 años y le encantó, funciona muy bien y fue todo un acierto. Muy recomendable.</t>
  </si>
  <si>
    <t>Práctica y funcional Decidí comprar por la sencillez y potencia de la batidora y la verdad que cumple todas las expectativas. Los batidos los deja sin grumos y los prepara súper rápido</t>
  </si>
  <si>
    <t>Buen producto Producto de gran calidad. Yo,. como soy TAN friolero, se me hace más cálidas otras térmicas incluso más baratas (como las de Decathlón), pero esta prenda tiene la calidad de HH... y eso es mucho (también se paga...).</t>
  </si>
  <si>
    <t>Buen precio Me funciona de maravilla en las lesiones musculares y de tendones, alivia el dolor</t>
  </si>
  <si>
    <t>Perfecto A tiempo como siempre y todo perfecto</t>
  </si>
  <si>
    <t>Buena calidad Lo compre para hacerle un regalo a mi madre y ha sido perfecto.  Las fotos se pegaban perfectamente y las hojas protectoras entre una pagina y otra son geniales. Finas y con un dibujo precioso.  Además entran muchisimas fotos. Le pusimos al rededor de 150, nos sobraron un par de páginas y las pusimos por una cara solo.  A mi madre le ha encantado</t>
  </si>
  <si>
    <t>Se sujetan muy bien Quería unos auriculares para llevar a correr, por eso busqué unos como estos, que se sujeten bien a la oreja. Van perfectos, puedes moverte tranquilo que no se van a caer, y son cómodos. Se escuchan muy bien, emiten un sonido muy claro y tienen bastante volumen. Son sencillos de conectar, aunque recomiendo cargarlos antes, porque en mi caso uno de los auriculares tenía poca batería y se apagaba, por lo que no se sincronizaban los dos auriculares. Es interesante que si mantienes pulsado el botón, escuchas un clic y al soltar activa el asistente de voz del móvil.  Sin embargo la instrucciones están en ingles y además algunas indicaciones son erróneas, por ejemplo, dice que las luces que emiten son roja y verde y en realidad son rojas y azules.</t>
  </si>
  <si>
    <t>Excelente precio y calidad En líneas generales el producto tiene una calidad excelente y el precio es más que competitivo. Los materiales son de calidad y, tras pocos días de uso continuo, se les ve bastante resistentes.  Lo que más destaco de estos auriculares, ya que para mí es lo más importante, es la calidad de sonido, muy por encima de otros de mayor coste y marca más popular. Estos auriculares son la prueba de que no todo lo conocido es bueno, ni todo lo desconocido malo.  La música se oye increíble, con graves, medios y agudos definidos y sin distorsiones. Para ver la televisión muy recomendables pues las voces son realistas. Pero lo mejor, para mi gusto, es usarlos para ver películas a buen volumen, sin molestar a nadie y con una calidad de sonido envidiable.  En resumen: tienen buen volumen, excelente calidad, son ligeros y apenas notas que los tienes puestos.  Cinco estrellas.</t>
  </si>
  <si>
    <t>Tengo un 42'5 y m van bien el l 42 Muy cómodas y me quedan perfectas</t>
  </si>
  <si>
    <t>Lo que buscaba Cómo se describe en las características.</t>
  </si>
  <si>
    <t>Fundas de calidad y baratas Son de buena calidad, completamente transparentes y lisas y son un poco más grandes que los folios, de forma que caben bastante. Una buena compra, sin duda.</t>
  </si>
  <si>
    <t>cantidad, calidad y precio magnifico producto tanto en calidad cantidad y precio, lo utilizo sobretodo para generar CO2 en un acuario, junto a bicarbonato sódico. no obstante he probado de hacer gominolas de gelatina ácida y me quedaron geniales. producto multiusos. tanto para cocina como para otros usos</t>
  </si>
  <si>
    <t>No paran de cantar Yo es el segundo que compro primero para mi sobrina y este para la hija d unos amigos..</t>
  </si>
  <si>
    <t>Cumple su cometido a la perfección Se las compré a mi hija y le encantan. Dice que son muy cómodas, se ajustan a la perfección y con ellas no resbala</t>
  </si>
  <si>
    <t>Precio-Calidad bien El tamaño pequeño es ideal para las q tienen dedos finos. Queda precioso, lo compre para regalar. Es pronto para decir q se decolora pero por ahora se ve un anillo muy bonito.</t>
  </si>
  <si>
    <t>Muy buen producto Realmente muy buen producto, calidad de materiales excelente y realmente cumple su funcionalidad. Es perfecto para los que quieran grabar pero no tengan un estudio de grabación, permite asilar el micrófono del sonido exterior y realmente parece estar en un estudio de grabación profesional.</t>
  </si>
  <si>
    <t>Muy bonitas Perfectos y correcto el precio.</t>
  </si>
  <si>
    <t>Cómoda. Muy cómoda. Llevaba tiempo buscando una bandolera que fuese cómoda y a la vez amplia para llevar mi cámara o mis dos cámaras, sin utilizar las típicas de fotografía, mucho mas rígidas y que al cabo de un rato son un incordio. Eso sin mucho mas reforzadas y acolchadas.  En esta bandolera no hay refuerzos ni está acolchada, pero el acabado es de calidad y se ve muy segura. Obviamente no la voy dejando de cualquier manera, ya que llevo la cámara dentro, pero es tan cómoda que la puedo llevar todo el día encima y ni te enteras. Por otro lado tiene bastantes apartados y bolsillos (tanto cerrados como no) para que te resulte practico  guardar gafas, la cartera o las llaves, sin necesidad de abrirla totalmente.  Tiene un tamaño adecuado, ni muy grande ni demasiado pequeña. Un portátil de 15" no cabe por poco. Tal vez uno inferior. Dos cámaras reflex caben de sobra con sus respectivos objetivos. Documentos tipo A4 también.  Desde que la adquirí se ha vuelto mi compañera inseparable. Opción recomendable y por el precio que tiene.......</t>
  </si>
  <si>
    <t>Podría estar mejor rematado, aunque  fuera un poco más caro Mal rematado, el diseño muy bonito pero el acabado muy basto, poco Pulido</t>
  </si>
  <si>
    <t>sin mas no se realmente si hace su funcion....salen bastantes burbujitas desde la tetina, pero de momento la niña no se queja de la tripita, asi que entiendo que algo hace, ya que normalmente los niños que comen de bibi sufren de colicos, y la mia de momento nada.</t>
  </si>
  <si>
    <t>Esperaba que el olor de la fragancia durase más Bonita presentacion, buenos olores lo unico esque debes de colocar mas gotas de lo recomendado y se va muy rapido el olor de la fragancia</t>
  </si>
  <si>
    <t>mala calidad Despues de un tiempo se rasgo la cadena</t>
  </si>
  <si>
    <t>Estropeadas en un mes Recibí el producto en los plazos indicados y el tallare esperado, no obstante, al mes de usarlas han perdido todo el color, se han decolorado (eran las azul marino) y los cordones están llenos de bolitas. Parece que las hubiera usado durante años, me da vergüenza usarlas. Una auténtica decepción.</t>
  </si>
  <si>
    <t>Buena relación calidad precio Tiene buena potencia en lugares cerrados, quizás se queda un poco corto para lugares abiertos, al ponerlo al maximo se acopla a veces y resulta molesto , retumbando al hablar.</t>
  </si>
  <si>
    <t>Buenos El tejido es suave y fresco, hasta ahora parece de buena calidad</t>
  </si>
  <si>
    <t>Un pie perfecto otro apretado El pie derecho me aprieta el dedo pequeño, el izquierdo perfecto (parecen de exposición). La calidad del producto perfecta, muy bonitas. Si no fuese por ese fallo, perfectas.</t>
  </si>
  <si>
    <t>Buena relación calidad precio Buena compra</t>
  </si>
  <si>
    <t>Romina Queda muy bien, son cómodas y bonitas las recomiendo, yo tengo los pies delicados y voy muy bien con ellas</t>
  </si>
  <si>
    <t>Movilidad sobre todo Lo que más me ha gustado es que el motor esté en la zona superior, en muchos casos hay que limpiar zonas muy cercanas (sofá por ejemplo), y este tubo no es necesario, con esta aspiradora no es obligatorio su uso. Debido al uso que le doy, no la suelo recargar después de usarla, y aun así me ha durado varias sesiones sin problemas.  Tiene suficiente potencia como para mover pequeñas cosas mientras esté limpia, si absorbe mucho polvo o similares, se puede obstruir la "válvula" que esta está justo donde se acopla el tubo, si se limpia correctamente nunca pierde potencia.</t>
  </si>
  <si>
    <t>Bien Esta bien por el precio que tiene.No es gran cosa pero para las niñas está bien para que canten y se lo pasen bien. Estoy contenta con la compra.</t>
  </si>
  <si>
    <t>Comodidad y calidad. Muy satisfecho con la compra realizada. El acabado y la calidad de los cascos cumple con lo esperado. Una vez que se han sincronizado, se sacan de la cajetilla de carga y se conectan automáticamente con el terminal. Con un único botón en cada casco permite realizar todas las funciones necesarias a la hora de escuchar música, control volumen, play, pausa, pasar canciones, llamadas. Todo depende del número de veces que se pulse y el botón del casco escogido. La autonomía de los cascos es buena, utilizándolos para entrenar y en los caminos al trabajo. Además he realizado una llamada y he podido mantener una conversación con la otra persona sin problemas. La cajetilla es pequeña y entra en cualquier bolsillo. Permitiendo almacenarlos y cargarlos.</t>
  </si>
  <si>
    <t>Perfecto El producto es justo lo que promete. Velocidad de lectura y escritura muy rápida. Totalmente satisfecho</t>
  </si>
  <si>
    <t>Calidad del producto Regalo para mi hija. Fue el protagonista de nochebuena. Increible sonido. Divertido, pues permite realizar karoke. Muy facil de manejar.</t>
  </si>
  <si>
    <t>Calidad en los materiales Preciosa!! Materiales de calidad. Resistente. Mucha capacidad. Cabe un portátil y muchas mas cosas. Los compartimentos muy útiles. Una gran compra.</t>
  </si>
  <si>
    <t>Una genial inversión para mis pies Una maravilla. Muy cómodas de poner(tejido todo elástico), y parece que voy descalza. Repetiré sin duda</t>
  </si>
  <si>
    <t>Equipo muy bien diseñado y facil de sintonizar La simplicidad de manejo y de sintonización. El poco peso del equipo. se lo recomendaría a todos mis amigos que tengan problemas en oir la tele o la música sin molestar a terceros.</t>
  </si>
  <si>
    <t>perfecto Estoy satisfecho con el producto, ademas al ser USB 3.1 funciona muy muy rápido en la trasferencia de archivos. Lo recomiendo</t>
  </si>
  <si>
    <t>Anabela Rodruguez El producto super bien tal cual lo indican en el folleto la talla perfecta y muy comodos al andar y resistentes</t>
  </si>
  <si>
    <t>Muy bonito Era para regalar y la verdad que fue un acierto. Queda muy bonito puesto. Llegó muy rápido.</t>
  </si>
  <si>
    <t>Auriculares para deporte muy cómodos y con buena autonomia Como siempre el paquete me ha tardado únicamente 24h. Muy rápido. Práctico deporte todos los días y buscaba unos auriculares que se ajustaran a la oreja bien y no me han defraudado. Tienen muy buena autonomía , me duran unas 4 sesiones en gym perfectamente. La carga es muy rápida, cálculo alrededor de la hora. La sincronización con el móvil es muy fácil. Productor calidad precio perfecto.</t>
  </si>
  <si>
    <t>Comodos y sonido bueno Creo que son de los mejores auriculares de este estilo que mejor presentados me han llegado. Medida perfecta, cómodos y su sonido es bueno. A parte, la funda que trae para guardarlos tiene buen tacto y aparentemente buena calidad. Una cosa que a mi me hizo gracia cuando los abrí fue que en el jack trae como una fundita que lo protege y para mi gusto viene estupendo. Así el jack no se te llena de mierda y no va al auricular del movil.</t>
  </si>
  <si>
    <t>Precioso Me gusta todo ,mi duda, cuanto tardara en empezar a estropearse</t>
  </si>
  <si>
    <t>Le ha encantado..!!! Juguete muy original y completo.La calidad y la resistencia es muy buena,la verdad.Merece la pena comprarlo.</t>
  </si>
  <si>
    <t>Un producto 10 Llego en perfecto estado, al probarlas, van de 10, muy cómodas, y las he probado en lluvia, en ríos, es impermeable al 100x100. Un diseño único y muy atractivo, es un producto muy recomendable.</t>
  </si>
  <si>
    <t>Se oye de maravilla Parece ser que tengo un pequeño lag con el software de El Gato pero en el OBS va perfecto. Voy haciendo pruebas. Muy contento por la compra</t>
  </si>
  <si>
    <t>no parece Original No parece original, a pesar de ir en una caja original la piel es muy fina y seguramente en breve saltaria la pequeña capa blanca que la cubre. en la etiqueta pone Made in China igualito que las del top manta. lo he devuelto.</t>
  </si>
  <si>
    <t>Regular Buen a calidad, envio rapido y marca reconocida. Pero no cubre todo el oido y no aisla bien el sonido. La calidad de sonido regular/justita. No volveria a comprar, pero por el precio no se puede pedir mas.</t>
  </si>
  <si>
    <t>Eli Es bonito, queda bien y sirve para cualquier salida ocasional o regalo, buena relación calidad/ precio. Ha sido una buena compra.</t>
  </si>
  <si>
    <t>Muy malos, se rompen a las pocas semanas Muy malos. El cable es terriblemente finito, y no hay forma de dejarlos fijos en la oreja. Empiezas a andar y se caen en 15 segundos. Además uno de los auriculares y el micrófono dejaron de funcionar a las pocas semanas de uso. Un fiasco</t>
  </si>
  <si>
    <t>Calidad muy baja Calidad muy baja y poco consistente,  muy finas. Tamaño justo y sin ningún tipo de margen para insertar folios, incluso algunos din A4 o cuando son varios folios se quedan grandes y queda ondulado por la falta de espacio. Como presentación o para dar documentos resulta impresentable. Por 3€ más hay hojas de calidad. No lo recomiendo.</t>
  </si>
  <si>
    <t>Buena memoria USB Desde que lo he comprado no ha tenido fallos, es usb 2.0 por lo que va un poco más lento que los nuevos.</t>
  </si>
  <si>
    <t>Muy rapida Es lo que buscaba ara picar la verdura de diferentes formas. En general cumple con lo que promete</t>
  </si>
  <si>
    <t>Muy bonitos Me gustan mucho Gracias Saludos Maria</t>
  </si>
  <si>
    <t>chulas Están muy bien, la tela también es buena, lo que las blancas se ensucian demasiado. Pero en general bien. Gracias.</t>
  </si>
  <si>
    <t>muy bonita La cadena es muy bonita. Yo no me la quito y esta como el primer día, tiene mucho brillo. Es muy finita, pero eso ya a gustos. A mi me encanta.</t>
  </si>
  <si>
    <t>Genial Es una camiseta que me queda genial,</t>
  </si>
  <si>
    <t>Estupendo Estupendo muy buena calidad</t>
  </si>
  <si>
    <t>Buena calidad,buen precio Es muy elegante,finita y discreta.Ideal para ponerla con otra pulsera o sola,los corazones tienen un azul precioso.tiene una cadenita para poder ajustar el tamaño de cada muñeca.Se ve buena calidad</t>
  </si>
  <si>
    <t>Cinta adhesiva de gran calidad y adhesión y muy economica Cinta adhesiva de calidad. Sellado fuerte , para embalar objetos pesados ya que la cinta es muy resistente. También se puede usar para  embalar objetos menos pesados. Se adhiere muy bien en la caja, no como otras cintas que no valen nada y valen igual o mas caras</t>
  </si>
  <si>
    <t>Muy bien Junto con su cubo, muy buena herramienta casera</t>
  </si>
  <si>
    <t>Disco calidad/precio Habia leido mil comentario sobre esta marca, que si ruido que si lentitud... Tenemos que diferenciar en lo que compramos con lo que pagamos.  Yo he comprado este disco para guardar archivos varios casi sin importancia, ruido no hace nada solamente en algun momento al hacer la carga suena un clic pero casi nada Respecto a la velocidad no es que sea muy rapido pero para el uso que le voy a dar me sobra Lee a 70/80 mb Escribe a 40/50 mb Las dimenciones son muy ajustadas y la calidad de los materiales también.</t>
  </si>
  <si>
    <t>Excelente Muy buen producto. Calidad excelente,. Es la segunda vez que compro este producto, variabilidad de colores, muy comodos, tallaje adecuado. Lo recomiendo</t>
  </si>
  <si>
    <t>de la mejor solo decir que por la marca ya es buena,pero usandola puedo comentar solo un 10 perfecta y buen agarre ,comprare mas es util para todo</t>
  </si>
  <si>
    <t>Excelente He comprado bastantes discos de 2.5"  debido a la movilidad de mi trabajo y estaba harto de que terminasen fallando. Llevo ya varios meses de uso y es una gozada. El aprovechamiento del flujo  de datos 3.0 es una pasada (superior a discos similares Toshiba o Iomega). El cable es cortito. Da una sensación de robustez brutal, es el primero disco que no le pongo una funda de protección ya que creo que es suficiente con su borde de goma. Y tan ligero cómo cualquier otro disco. El precio ha sido bastante más económico que en el resto de páginas.</t>
  </si>
  <si>
    <t>Muy conforme con la compra Excelente, lo compré teniendo dudas por algunos comentarios que leí de usuarios insatisfechos, pero resultaron infundadas porque el aparato funciona bárbaro sobre cualquier superficie.</t>
  </si>
  <si>
    <t>Precioso Si, me ha gustado mucho, es precioso</t>
  </si>
  <si>
    <t>Buen producto Todo perfecto! Tal y como se indica en la descripción.</t>
  </si>
  <si>
    <t>José María Gómez Ruiz Todo perfecto, con que me dure los 5 años que me ha durado el otro que tenía del mismo modelo me conformo</t>
  </si>
  <si>
    <t>Perfectos Son muy bonitos y quedan muy bien, el producto que me llegó es tal como se ve en la fotografía.</t>
  </si>
  <si>
    <t>Útil y práctico EL tarro viene lleno de clips y es súper útil para tenerlos organizados. 100% recomendado para el escritorio</t>
  </si>
  <si>
    <t>Buena compra Está muy bien y con la tabla de tallas de la página web de la marca no he tenido ningún problema.</t>
  </si>
  <si>
    <t>Moni Muy contenta,para el precio que tienen son muy calentitos,con felpa por dentro y sientan muy bien,para mi fue buena compra</t>
  </si>
  <si>
    <t>Excelente A mi pareja le ha encantado, tal y como pone es plata real y no un revestimiento u otros engaños que se ven por ahí.</t>
  </si>
  <si>
    <t>Bueno sonido, el resto es todo malo Llevo des de mayo con estos auriculares. El cable ya se ha estropeado; cuando lo uso y me muevo se va parando el sonido. Pero bueno, son bluetooth. Sorpresa! Ahora enpieza a hacer lo mismo con el bluetooth y la bateria dira muy poco y tarda mucho en cargar. Decepcionado no, lo siguiente.  Lo bueno, se oyen bien.</t>
  </si>
  <si>
    <t>Calcetines No estan mal pero me gustan q me aprieten un poco mas . Son gorditos y para el precio no esta del todo mal</t>
  </si>
  <si>
    <t>Incomodos Son súper incómodos y se me han roto muy pronto,la suela de me despego,</t>
  </si>
  <si>
    <t>No vale la Pena Son Muy Muy Muy chinos</t>
  </si>
  <si>
    <t>Buena elección Un almacenaje extra para mi Samsung. Que la que tenía se me quedaba pequeña. Funciona genial desde el minuto cero</t>
  </si>
  <si>
    <t>Fotos engañosas Las fotos son engañosas, los clips, son muy pequeños, y cuando digo pequeños es que como un solo cable usb sea de los gordos, ya no cierra.</t>
  </si>
  <si>
    <t>Buen acabado, calidad precio Me gusta la variedad de accesorios y la facilidad para utilizarlos. Los recipientes son de plástico, pero parecen duraderos. Veremos qué pasa con el tiempo</t>
  </si>
  <si>
    <t>Calidad precio muy buena El conector no está girado 90º, lo que indica que el cable se podría fastidiar al llevar el dispositivo en el bolsillo. Se echa de menos un clip en la camiseta para que el cable no tire hacia abajo. Por lo demás muy buena calidad a un precio muy bueno.</t>
  </si>
  <si>
    <t>Q es igual a la imagen. La calidad del calzado.</t>
  </si>
  <si>
    <t>Está muy bien Está bien acabado. La cadena es bastante fina, así que hay que tener cuidado. Por lo demás cumple y luce bien</t>
  </si>
  <si>
    <t>Muy buena compra Me encanta! En menos de 3 minutos calienta el agua.. la resistencia esta por fuera a diferencia de otros hervidores de agua! Tiene opcion de quedarse caliente si dejas enchufado el cable, por ponerle una pega el cable muy corto, por el.resto excelente!</t>
  </si>
  <si>
    <t>¡¡Fresquitas!! Maravillosa esta mascarilla, te deja la piel super hidratada, refrescada y suave. Es muy facil de aplicar y trae muchisimas asique me durará un tiempo. ¡Me han encantado!</t>
  </si>
  <si>
    <t>Muy agradable El tacto es muy suave y agradable. Se adapta bien y da bastante calor. Considero que en cuanto a calidad-precio es una buena compra.</t>
  </si>
  <si>
    <t>Muy buena calidad Son perfectos, los tengo para marcar un temario de una oposición, y mira que lo trabajo muchísimo, y aún así no se caen, son muy resistentes.  Los recomiendo, esta merca en general es de mucha calidad.-</t>
  </si>
  <si>
    <t>reescribo mi opinión Reescribo nuestra opinión. Estábamos muy contentos con la batidora, mucha fuerza y muy práctica la variedad de recipientes. La relación calidad precio es estupenda. Hacemos batidos de frutas y/o verduras con frutos secos o hielo y tiene mucha fuerza para dejarlos birn triturados. Tenemos que decir que al poco tiempo la goma se rompió y nos pusimos en contacto con el vendedor y solucionaron el problema rápida y amablemente. Les recomiendo a los vendedores que hagan gomas de ajuste de repuesto para que las podamos comprar y también les recomiendo que las hagan más ajustadas para que no se salgan fácilmente. Por lo demás, estamos encantados. Producto recomendado 100%</t>
  </si>
  <si>
    <t>Llevar al trabajo, jugo fácil de beber todos los días Muy buen exprimidor, ligero y conveniente, le gusta cargar usb,no le gusta enchufar.  La taza no tiene fugas, y el jugo y el lavado son muy convenientes. En la actualidad, se ha probado varias veces, sin azúcar, y es muy bueno para beber. Incluso los niños que son demasiado vagos para comer frutas y las personas mayores sin dientes pueden consumir fácilmente jugo mixto.  Para viajar, esta capacidad es suficiente para mí</t>
  </si>
  <si>
    <t>Algo pequeña para mí tamaño de brazo Queda bastante bien, la pega es que es difícil de poner y quitar por no tener un sistema de cierre.  Algo pequeña para mí tamaño de brazo</t>
  </si>
  <si>
    <t>Buena relación calidad precio Buena relación calidad precio. Fácil de instalar y poner en marcha. No es muy ruidosa, la calidad de las impresiones en mi caso es suficiente. De tamaño normal y fácil colocación del papel y cartuchos. Muy cómodo el servicio de hp para tener los cartuchos en casa cuando los necesitas.</t>
  </si>
  <si>
    <t>Ok Bien</t>
  </si>
  <si>
    <t>Muy recomendable. Muy, muy cómodo. La talla perfecta. El tejido es suave y se adapta perfectamente al cuerpo. Estéticamente es precioso, la espalda queda muy bonita. Lo he usado para correr y transpira sin problemas y sujeta bien. Muy contenta. Seguramente pida otro en negro.</t>
  </si>
  <si>
    <t>Bonitas, y mucho más asequibles que en la tienda oficial Es un modelo clásico, así que sabes lo que estás comprando, es bonito y no pasa de moda. Son originales, con su caja y etiquetados (y sale mucho mejor de precio que en la tienda oficial, que te clavan los 95 euros, y aquí me han salido por 64). La talla va bien, como cualquier otra zapatilla adidas. El envío ha sido rápido (y gratis por ser de amazon premium).</t>
  </si>
  <si>
    <t>Cumple según descripción Compré el de 700w Cumple con las características descrita, lo he comparado con el otro modelo de 400w que tiene mi amigo y el de 700w por poco dinero más suena el doble</t>
  </si>
  <si>
    <t>Buena marca Al igual que sandisk, buena marca con buen resultado. Siempre me voy a una o la otra marca, porque las tipicas tarjetas que vienen con las camaras, por ejemplo, que son de marcas como lexar, se estropean muy rapido dejandote sin las fotos/informacion</t>
  </si>
  <si>
    <t>Aceites esenciales Este pack de aceites esenciales lo he comprado para regalarle a mi madre. Ella lo usa para poner unas gotitas en el humidificador. Con 4-5 gotas es suficiente. Huele muy bien. Es aceite puro concentrado a un fantástico precio.</t>
  </si>
  <si>
    <t>Microfono de gran calidad! Si cumple perfectamente, es una muy buena opción!</t>
  </si>
  <si>
    <t>Buen producto Son buenos para el precio que tienen</t>
  </si>
  <si>
    <t>Fallo en los números del calendario Es muy bonito y parece robusto, lo compré para un regalo y a los dos meses justos los números del calendario cambian cuando le parece.</t>
  </si>
  <si>
    <t>Impresionante el reloj Un reloj muy sofisticado para personas con clase y elegancia una joya espectacular</t>
  </si>
  <si>
    <t>es bonita pero se suelta con demasiada facilidad bonita, pero se suelta demasiado fácil</t>
  </si>
  <si>
    <t>NO FUNCIONA - sin baterias y sin cable para cargar. Hoy nos llegó el micrófono y no tenia baterias ni el cable para cargar, lo peor de todo es que no funciona, la luz azúl se queda en la opción Low Battery, un desatre de microfono.</t>
  </si>
  <si>
    <t>No recomendable Muy mala compra, no funcionaba, vale la pena devolverla y gastar un poco más. Atención al cliente muy buena, al día siguiente la cambié x otra.</t>
  </si>
  <si>
    <t>Nada de nada no hay mejoras No vale la pena gastarse un céntimo en la crema, después de varios días utilizándola mi mujer no ha mejorado nada de nada, los dolores se van con calmantes, para dar masaje con un bote de Nivea es suficiente puesto que  tiene propiedades hidratantes y medicinales y contiene vitamina E y vitamina B5.</t>
  </si>
  <si>
    <t>Satisfecho Entrega rápido y la verdad que me han sorprendido para bien. Son de gran utilidad para hacer deporte.</t>
  </si>
  <si>
    <t>Practica y comdola De tamaño es pequeño, una cartera grande ocuparía el interior. Pero para los que busquen un bolso discreto, con bastantes compartimentos y un acabado normal/bueno, la recomiendo.</t>
  </si>
  <si>
    <t>Funciona muy bien Comprado para un regalo y de momento ninguna pega. Compramos una similar hace más de 3 años y funcionó de maravilla. De este habrá que esperar un poco más para ver su durabilidad pero de momento materiales y funcionamiento sin ninguna pega.</t>
  </si>
  <si>
    <t>Exfolia bien dejando la piel suave Exfolia bien dejando la piel suave</t>
  </si>
  <si>
    <t>La profesionalidad Todo Ok, y un excelente producto</t>
  </si>
  <si>
    <t>Muy recomendable Previamente había tenido una electrolux y nada que ver. Mucho más potente, mejor deposito, mejores filtro y más autonomía. Además en la electrolux la batería falla en poco tiempo y no se puede cambiar ni en el servicio técnico, cosa que en esta se supone que si.</t>
  </si>
  <si>
    <t>Buen auricular para niños de Ma de 3 años. Ideal para niños. Tamaño ajustado a su cabeza. Plegable por lo cual ocupa poco espacio. Buen sonido y adaptabilidad a la oreja infantil.</t>
  </si>
  <si>
    <t>Genial Si me gustó real mente útil</t>
  </si>
  <si>
    <t>Buena calidad Muy buena calidad y rápida su entrega</t>
  </si>
  <si>
    <t>Unidad muy compacta y con un diseño único Hello Amigos 👨‍❤️‍👨 Amazon…  Compre este USB de 16GB Kingston para guardar el Sistema Operativo y os puedo decir que todo a salido bien tal y como me esperaba de un Kingston.  Lo primero a destacar de estas Data Traveler® 50 es su diseño, Con una carcasa metálica que la hace muy resistente y a la ve le da un toque muy chulo.  Es Retro compatible con los puertos mas actuales, Como el USB 2.0, USB 3.0, USB 3. Gen1.2. Algo curioso son los colores que los identifica, Como el de 8GB con el color Purpura o el de 16GB de Color Verde y también con los demás. No incorporan capuchones para protegeros, Seguramente le restaron importancia, Sin embargo para algunos es importante tenerlo como protector.  A día de hoy es la mejor opción para realizar una instalación o recuperación del S.O.  Lo mas importante para muchos son sus velocidades tanto en Lectura como de Escritura. En especificaciones y hoja de datos de Kingston especifica que sus velocidades son: USB de 8GB - 16GB - No especifica velocidades. USB de 32GB - 128GB - 100MB/s de lectura - Escritura no especifica.  Le hice un Test y en lectura da 94MB/S - Según Kingston ronda los 100MB/s. En escritura dio 18MB/s - Según Kingston no se especifica.  Estos resultados no debería preocuparnos, Son unidades para guardar datos personales y en mi caso para un sistema Windows. Tengo 2 unidades, Una de 8GB y otra de 16GB, Si necesitara comprar otra no dudaría.  Hace mucho tiempo que las tengo y nunca han dado problemas ni se han perdido datos, Eso es lo importante de estas unidades, Que sean fiables y den seguridad.  También son buenas para los que tengáis un PC con algunos años, Podéis usarlas para aumentar la velocidad de vuestro sistema.  1 - En propiedades del dispositivo USB.  2 - En pestaña ReadyBoost.  3 - Utilizar esta unidad para aumentar la velocidad del sistema.  Podéis aprovechar esta opción si tenéis un puerto USB. Puse una captura de pantalla (Foto) Los puertos USB valen para algo mas que guardar datos.  Recuerda que un voto anima a dedicar mas tiempo a valorar un producto y es muy confortable ver un agradecimiento.</t>
  </si>
  <si>
    <t>Cumple perfectamente Cable Jack de 3 metros de tela de color azul muy chulo. Tiene pinta de aguantar más que uno normal, con un extremo recto y el otro de codo (así se evita que el cable se doble demasiado).  De momento funciona perfectamente y no hay ruidos ni interferencias. También lleva un velcro para poderlo guardar sin que se lie. Por el precio que tiene genial!</t>
  </si>
  <si>
    <t>Bueno Bonito y bastante grande</t>
  </si>
  <si>
    <t>Novedosos Unas cintas muy útiles. Las hemos usado para muchas cosas en el cole. Son muy variadas, se adhieren  bien y su precio está muy bien.</t>
  </si>
  <si>
    <t>Buen producto Es un calentador de agua que funciona de maravilla y es elegante. Si lo rellenas con agua para una o dos tazas, es rapidísimo en hacerla hervir, y si lo llenas mas tarda un tiempo muy razonable. Llevo un año usándolo a diario y no me ha dado la mas mínima pega. Muy recomendable</t>
  </si>
  <si>
    <t>Encantada Quede encantada con este producto y eso que le e dado mucho uso y sigue nueva como la compré.</t>
  </si>
  <si>
    <t>Bestiales No era muy partidario de los auriculares bluetooth pero estos me picaron la curiosidad, primero por no estar separados y segundo por la estética y un avez que los he probado no puedo estar más contento. Aíslan perfectamente del ruido exterior, muy buena calidad de sonido y apenas pesan si los dejas colgando del cuello. Los botones que traen funcionan perfectamente, para subir o bajar volumen y para reiniciar la reproducción. Recomendadisimos</t>
  </si>
  <si>
    <t>Potente y eficaz Genial masajeador inalámbrico con 6 programas con varias intensidades. Trae mando a distancia, lo que facilita el intercambio de masajes e intensidad según se desee. Potente a pesar de su compacto tamaño (fácil de guardar)</t>
  </si>
  <si>
    <t>Reloj casio metálico Es muy cómodo y práctico para mayores porque se visualizan muy bien los números.  Se lo compré a mí padre de 86 años</t>
  </si>
  <si>
    <t>Su calidad Sin duda alguna muy buena compra !! El reloj cumple con todas mis expectativas. Tengo varios meses ya utilizándolo y funciona perfecto. Materiales resistentes,  no es pesado , buena iluminación, tanto de día como de noche y ese negro mate queda de maravilla</t>
  </si>
  <si>
    <t>Perfecto para viajar Tamaño perfecto para viaje o espacio pequeño</t>
  </si>
  <si>
    <t>Calidad de sonido Realmente  funciona muy bien, se oye muy fuerte y sonido muy nitido, compre unos hace unos meses y estos los superan con creces.</t>
  </si>
  <si>
    <t>Buenísimos materiales Súper producto. No puedo decir mas que estoy súper contento con esta batidora/exprimidor portátil. Los materiales son de primera, tanto los plásticos como las cuchillas de metal y el vidrio contenedor. Los trozos hay que picarlos en cachitos de pequeño a mediano tamaño para conseguir una mejor efectividad en menos tiempo, ya que si se introducen grandes trozos se deberá dejar trabajar al aparato más tiempo. Es un aparato recargable con dos tapas por si se desea no portar el rotor y una vez batido, llevar consigo para tomarlo después. Recomendable producto</t>
  </si>
  <si>
    <t>Perfecto Bueno y rápido.</t>
  </si>
  <si>
    <t>colgante no es de plata como lo describen es normal . Un poco caro para lo que es.</t>
  </si>
  <si>
    <t>Es muy fina Me esperaba una sudadera mas calentita</t>
  </si>
  <si>
    <t>Aceptable Muy correcto. Parece bueno y funciona muy aceptablemente. Relacion calidad precio buena. No lo valoro mejor porque no lo he tenido suficiente tiempo.</t>
  </si>
  <si>
    <t>No me ha gustado nada La pulsera en si es bastante fea y se nota muy del Baratijo no la volvería a comprar , en la Foto se muestra más bonita</t>
  </si>
  <si>
    <t>+ CARO, + MALO + INÚTIL ... Versión 2 ??? Si funcionaba bien... ¿porqué tocarlo? Hay cosas poco comprensibles en la vida.... IK, juraba que el IRIG  funcionaba perfecto y lo ponía por las nubes, prometiendo cosas que ni ellos se lo creerían (suponiendo que alguien de "ellos" haya probado nunca uno). Si era así.... ¿Qué sentido tiene sacar una versión 2 en la que lo único que cambian es la "estética" y la caja del envoltorio que parce que contiene un Rolex de oro!!? Probablemente, tenga algo que ver con el fracaso de la patata IRIG H.D. (conocida como "hay Dios...qué pena" o quizás con cambiarle la pinta utilizando el mismo diseño de caja que ya utilizaba Pevay y Flanger... O simplemente sea cosa de justificar cobrar 40 pavos por algo TAN inútil como el primero por no decir PEOR!  Por supuesto que siempre tienes que contar con que la APP tiene bastante que ver en el proceso, pues bueno.... el propio Amplitube para redondear el tema... no sólo tiene peor sonido que en los IOS 4, 5 ... en su 1ª versión, encima se bloquea cada 2x3 y los sonidos con distorsiones y overdrives han empeorado hasta el punto que se han cargado los únicos efectos que eran USABLES.  Sumemos a esto que ya hay otras apps que le dan 100 vueltas en calidad de sonido. (En un principio IK estaba casi sólo en el ruedo).  Sencillamente, viendo la cantidad de "aparatitos" similares (demasiado similares) que están lanzando, algunos a precios desorbitantes, otros simplemente caros, tengo que pensar (y lo siento porque no me gusta descalificar) que "alguien" está decidido a sacarnos la pasta a los "pobres músicos" sea como sea. Menos mal que en este caso, yo escribo sobre uno comprado (y devuelto) por un amigo. O sea que al menos no me ha costado 35/40 pavos que es casi lo que te pagan por un bolo!!  Mi consejo Conclusión: el IRIG normal sigue siendo utilizable con sus limitaciones para lo que se diseñó en un principio... todo lo demás (Pro, HD, Cyber-Nuclear, Súper-Charged, bla, bla bla.... es tirar el dinero. Tan simple como eso!! Ya está bien de machacar a los músicos y aficionados PLEASE!!</t>
  </si>
  <si>
    <t>El color no es exactamente igual Los pantalones me encantan. Son cómodos, suaves y originales, pero los pedí en rojo y en lugar del rojo vivo que esperaba eran de un rojo bastante más oscuro, casi granate.</t>
  </si>
  <si>
    <t>como la foto igual que la foto, los uso mucho</t>
  </si>
  <si>
    <t>Compatible conga excellence 990 Es totalmente compatible con conga excellence 990. Sólo la he usado un par de dias pero de momento va perfecta!</t>
  </si>
  <si>
    <t>Parecen buena calidad Parece un producto de calidad, el sistema waterproof funciona a la perfección, aunque la suela resbala sobre suelo mojado y esto quizás es el mayor fallo del producto. Demasiado grande de tamaño y anchura, aunque de talla me quedan bien.</t>
  </si>
  <si>
    <t>perfecto Lo he comprado para regalo y me ha gustado mucho, perfecto para hombre de cualquier edad, espero que dure con el tiempo pero por el precio que tuvo estoy contanta y no parece de mala calidad, el diseño sencillo y clasico y moderno a la vez, es grandecito.</t>
  </si>
  <si>
    <t>Mi mejor compra Muy cómoda y caliente 100% recomendable</t>
  </si>
  <si>
    <t>Buen material Muy buen material y es bastante grande</t>
  </si>
  <si>
    <t>Con una gota pega al momento. Lo uso para cosas pequeñas. Pega al momento. Cuidado con los dedos. Para que no se estropee, cerrarlo bien y meterlo en la nevera. No se seca.</t>
  </si>
  <si>
    <t>Barato y efectivo. Aunque es muy ligero y desde luego no es un G-Shock tienes un Casio solar con cronógrafo, que aguanta nadar perfectament y tiene el plus de aguantar sin pilas; además su tamaño, ligeramente menor que la media de los G-Shock, hace que no parezca tan tocho. Perfecta la función de iluminación así como la fosforescencia de las saetas y marcas. Poco más que decir sobre una máquina de poco más de 30€ y que responde por encima de su valor.</t>
  </si>
  <si>
    <t>perfecte el que esperaba</t>
  </si>
  <si>
    <t>Fina y elegante Es un diseño muy fino y elegante de este simbolo ancestral. Perfecto para regalar a cualquier persona pero en especial a aquellas con mayor conexión con el mundo espiritual ya que representa el ciclo de la vida y nuestra conexión con la naturaleza. Viene dentro de una bolsita suave y su uso no tiene mayor misterio y al ser playa de ley no hay que preocuparse de alergias por metales menos nobles. Además los brillantes de alrededor le quedan genial En resumen muy bonita y recomendable.</t>
  </si>
  <si>
    <t>La forma mas cómoda de hacer copias de seguridad del iphone La forma mas cómoda de hacer copias de seguridad del iphone  La base tiene muy buena calidad y el sistema es bastante útil si no quieres hacer copia de seguridad en el icloud o tienes mas de 5gb de datos, que es el límite gratuito a día de hoy en el icloud. Lo normal es los 5gb gratuitos se queden cortos, y aquí es donde viene genial este aparto.  Cuando llegas a casa lo conectas para cargarlo y te olvidas, el solo realiza la copia de seguridad en la tarjeta sd que lleva la base. Si necesitas mas capacidad o quieres hacer mas de una copia solo tienes que cambiar de tarjeta. Un sistema muy cómodo.  La velocidad de carga es mucho mas rápida que con los cargadores convencionales, los rápidos son de 2 amperios, pero este llega a 3A, reduciendo le tiempo de carga considerablemente.  La base es de goma antideslizante y con un diseño cromado que queda de maravilla. Ademas en la base trae espacio para dejar recogido la parte sobrante de cable cuando no lo utilicemos.  La base que tengo viene con una tarjeta de 64GB Clase 10 FFP.  La puesta en marcha es intuitiva, ya que cuando conectas el cable el solo te pide que instales la aplicación de sandisk y selecciones que copie.  En mi caso lo utilizo con Iphone 6 y perfecto, también sirve para Ipad.</t>
  </si>
  <si>
    <t>Buen producto Muy cómoda de usar, fácil llenado, gran capacidad.</t>
  </si>
  <si>
    <t>Contenta Único defecto es que tiene poca suela delante</t>
  </si>
  <si>
    <t>Buen producto para zumos Tras dos semanas de utilización especialmente para zumo de frutas, puedo decir que funciona perfectamente. Tiene una potencia adecuada para hacer el zumo en poco tiempo, con un ruido relativamente bajo.</t>
  </si>
  <si>
    <t>Buena calidad. Muy cómoda y caliente. Muy buena calidad del tejido. Hay que tener cuidado a la hora de elegir la talla ya que es una chaqueta que se ajusta bastante al cuerpo.</t>
  </si>
  <si>
    <t>Recomendable Perfecto para mi ps2</t>
  </si>
  <si>
    <t>Buen articulo Cómodos, ligeros, varatos y suenan realmente bien.  Lo único que he echado de menos es los botones de subir y bajar el volumen pero por lo que vale no se puede pedir más . Lo recomiendo</t>
  </si>
  <si>
    <t>masajeador buenisimo, llevo una semana con el y por mi trabajo me levanto con dolor de espalda y me acuesto con dolores de cuello, lo uso a la mañana y a la noche un cuarto de hora mientras me relajo y exito total, tambien a coincidido con la menstrucion y me he dado unos masajes en la barriguita y en los riñones y ha funcionado asi que encantada producto super-recomendable</t>
  </si>
  <si>
    <t>Bueno Envío rápido, buena presentación y buenas fragancias, aún no he probado en difusor</t>
  </si>
  <si>
    <t>Correcto Perfecto. Sirve para todo tipo de micros.</t>
  </si>
  <si>
    <t>Perfecto Las opiniones que leí no me han decepcionado. El colgante tiene el tamaño esperado, es exactamente como se ve en las fotos, tiene un certificado de que es plata 925 y la cadena es elegante, no de esas de eslabones. Además viene en uns bonita caja con varios precintos (lo que hace que llegue en perfecto estado) y un trapito para limpiarlo. Al quitar los precintos de plástico luce mucho, y el detalle del  trapito me gustó mucho (puedes ponerlo debajo del terciopelo donde se apoya el colgante).</t>
  </si>
  <si>
    <t>Comodos Excelente la entrega y el producto</t>
  </si>
  <si>
    <t>Las recomiendo Tal y como describe el fabricante</t>
  </si>
  <si>
    <t>Defectuoso El bolso me Ha llegado toda descosida,lo tendré que devolver</t>
  </si>
  <si>
    <t>NO SUJETA SUFICIENTE No acabo de entender las opiniones de los usuarios. Compré el sostén  después de leerlas y he acabado devolviéndolo. Yo estoy acostumbrada a sujetadores deportivos que sujetan fuertemente el pecho. No es el caso de los de éste tipo de tejido, que son muy cómodos pero no apretan lo suficiente para aguantar el pecho para que se mueva poco cuando realizas deporte.</t>
  </si>
  <si>
    <t>DEVOLUCION CON COSTE La calidad es regular, tirando a baja, pero ojo con equivocarte de talla, el coste de la devolución va a tu cargo, yo recomendaria cualquier otro proveedor que no realizara esta practica.</t>
  </si>
  <si>
    <t>Mi producto fue un engaño El producto a priori tiene buena pinta, pero nada mas probarlo y testarlo la velocidad de transferencia no corresponde con un usb 3.0 como indica la descripcion del articulo, es igual que un 2.0. Me sorprende que Amazon  pueda vender algo que no corresponde con lo señalado e incluso podria ser falso.</t>
  </si>
  <si>
    <t>Huele muy fuerte Compré este producto para llevar el agua caliente y preparar rápidamente los biberones de mi hija. El gran problema del producto es que desprende un olor fortísimo como a pintura y por tanto el agua coge ese sabor. Hemos probado a lavarlo de todas las maneras(bicarbonato, vinagre, ambos mezclados...) y el olor aparece al poco rato de nuevo. Eso sí, el calor lo aguanta bien.</t>
  </si>
  <si>
    <t>Rapido Era lo q esperaba</t>
  </si>
  <si>
    <t>Reloj clasico digital de toda la vida Como usuario de los relojes "Casio" desde hace cuarenta años, encuentro que son fiables, ligeros y resistentes. Quiza no sean los relojes mas bonitos del mundo, pero en mi caso, desde hace dos decadas los uso exclusivamente para ir a la playa. Por demas, el que mantengan la estetica ochentera para mi es un plus. Por lo que  se refire a este modelo en concreto, cabe destacar que el sistema de sincronizacion es sencillo y facil de usar con solo los dedos (no como en otros en los que hacia falta un lapiz o similar para apretar algun boton), ademas de tener una gama de accesorios tales como luz, funcion crono y despertador. La relacion calidad precio es imbatible y el envio fue rapidisimo</t>
  </si>
  <si>
    <t>Lo que esperaba Están bastante bien. Son comodas. Son justo lo que esperaba, aunque sí que es cierto que el número es un poco más pequeño de lo que quería</t>
  </si>
  <si>
    <t>Buena calidad-precio Este pack es muy bueno si estas buscando montar un set-up "gamer" o simplemente necesitas un microfono para jugar. Es estupendo para hacer tareas como podcast por ejemplo, excepto por el detalle de que para sacarle un mejor partido es bastante recomendado comprar el phantom power que la misma marca tiene (porque es muy barato) ya que te dará un audio mas limpio, más alto y con mejor calidad. El phantom power en cuestión es el nw-100 y por 15 euros más (euro arriba, euro abajo) obtendrás un mejor audio</t>
  </si>
  <si>
    <t>BONITOS Muy bonito, la tela es para primavera verano</t>
  </si>
  <si>
    <t>Elegid bien la talla La calidad es bastante buena. Soy un hombre y mido 185 cm y peso unos 80 kg, la talla L me viene un poco pequeña. Pediría una XL. Aun así no me arrepiento, muy buena compra</t>
  </si>
  <si>
    <t>Calidad precio genial Me gusta mucho es perfecta</t>
  </si>
  <si>
    <t>Perfectas Muy buenas ,cumple como se esperaba, las recomiendo</t>
  </si>
  <si>
    <t>Funciona Lo compré para mi hija de 8 años, algunos días tenía dificultad para dormir y se ponía muy nerviosa porque no podía conciliar el sueño ella sola. Desde que lo tiene no ha vuelto a tener problemas, hemos aprendido juntas a utilizarlo y estamos muy contentas con el resultado.</t>
  </si>
  <si>
    <t>satisfecha El pedido llegó puntual y en buen estado. La percepción del artículo es muy buena, se le ve resistente, no hace mal olor, y la he usado un día, me resulta cómoda de llevar y compartimentos útiles y variados.</t>
  </si>
  <si>
    <t>Buena A cumplido bien con sus funciones me encanta y para el precio que tiene que mas pedir</t>
  </si>
  <si>
    <t>All star converse black Perfecto</t>
  </si>
  <si>
    <t>Comoda Entra el móvil, las llaves y una botella pequeña. Para caminatas de dos o tres horas está bien</t>
  </si>
  <si>
    <t>Buen micrófono Me ha gustado mucho el micrófono. Suele grabar podcasts y mis compañeros dicen que se escucha muy bien vía Skype. Después cuando grabo algo, se mete poco ruido y eso que con el calor de ahora, los ventiladores del PC "hablan" mucho xDDD. Muy contento con esta compra.</t>
  </si>
  <si>
    <t>Buen reloj El reloj cumple con las características que buscaba y es muy bonito. Decir que, para los que lo buscan grandes y que les cubra la muñeca, no es tan grande. Más bien es un reloj clásico de casio para los que no les guste "un armario" en la muñeca. Es verdad que no se reflecta tanto en la noche.</t>
  </si>
  <si>
    <t>Recomendable Buen algodón. Cómodo Buen algodón. Diseño como aparece en la fotografía. Cómodo. Totalmente recomendable</t>
  </si>
  <si>
    <t>Un buen invento Gracias a Dodow me duermo inmediatamente al acostarme.  Se acabó el dar vueltas con nerviosismo  esperando al sueño y el contar ovejitas.  Es un buen invento.</t>
  </si>
  <si>
    <t>Relación calidad/precio Muy buena calidad/precio. Buenos materiales muy fácil de usar y limpiar, potencia 500w y viene con dos vasos y recipiente para moler. Garantía 2 años.</t>
  </si>
  <si>
    <t>Sensaciones increíbles en la piel Me ha dejado la piel increíble; me lo había recomendado mi hermana y si además lo mantienes en la nevera la agradable sensación y su efecto aún se potencia más.</t>
  </si>
  <si>
    <t>Reloj deportivo funcional, resistente y a buen precio. Reloj funcional, para uso diario. Resistente y duradero. Muy bueno para hacer series. Es el segundo que tengo de estos. Muy recomendado. Los botones de inicio fin/ vuelta mejor colocados que el modelo anterior. Muy contento con él.</t>
  </si>
  <si>
    <t>Llega a todas las esquinas El producto funciona a la perfección y cumple su cometido. La verdad que incluso a veces se me hace el cable demasiado largo para lo que yo lo utilizo, lo que hago es coger la cantidad de cable que necesito y el sobrante lo dejo recogido para que no moleste</t>
  </si>
  <si>
    <t>bueno ok trajeron estos después de mirar algunas críticas.  al igual que con cualquier cosa en línea.  Bueno, no puedo ver el contacto ni verlo en persona. La mejor apuesta es que algunas personas te digan cómo es.  Debo decir que no estoy decepcionado.  El sonido es en la parte superior.  El bajo es realmente bueno con la sensación de que va a crepitar a un volumen alto.  la vida útil de la batería es de aproximadamente 2,30 horas, dependiendo del volumen, pero la carcasa cargará los capullos 10 veces, por lo que en total serán aproximadamente 20 horas de juego.  el caso se siente bien  No se siente como plástico barato.  Realicé una prueba de sacudidas de cabeza y no se cayeron.  La carga no lleva mucho tiempo.  pero no use más de un cargador 1a ya que dañará la batería en el estuche y no admite la carga inalámbrica.  En general, por el precio de estos a un par de brotes de galaxias, no es una obviedad para mí por qué pagar 4 veces más por ni siquiera el doble de rendimiento.</t>
  </si>
  <si>
    <t>Muy bien llegó a los dos días. My bien, calienta rápido, mide la temperatura. Buen envío</t>
  </si>
  <si>
    <t>Tallan poco Se ven muy calentitas pero las tuve que devolver porque tallan uno o dos número menos de lo normal.</t>
  </si>
  <si>
    <t>Vienen con una tara. Han llegado un día antes de lo previsto,  en general bien, pero tienen una pequeña tara en la parte delantera.</t>
  </si>
  <si>
    <t>Pantalón chandal joma Viene con un enganchon, puede que el tejido de lugar a más marras.Pensaba que la calidad seria mejor ,incluso el corte,es bastante ancho por arriba</t>
  </si>
  <si>
    <t>No la compraría La he devuelto.No sé si ha sido mi unidad en concreto o qué pero, al probarla con medio litro me han salido en el fondo manchas blancas que no se van. Además los plásticos huelen a plástico de chino. Si no le pasara esto sería muy chula.</t>
  </si>
  <si>
    <t>Olor feo Por más veces que lo he lavado sigue desprendiendo un olor fuerte a plástico, con lo que al final lo he dejado de lado</t>
  </si>
  <si>
    <t>Gran calidad Gran calidad de producto, con los suficientes bolsillos, y una rapidez de entrega de a penas 24h, lo utilizo para la las libretas de mis estudios y es fantástico. Y una correa larga ajustable.</t>
  </si>
  <si>
    <t>Me encanta mi nueva adquisición compre este sin verlo fisicamente por que era de los que m,as opciones tenia coge la hora via radio automaticamente ademas de ser solar, hace bastantes cosas se apaga solo si no hay luz si activas ahorrro de energía y te indica el nivel de bateria me gusta mucho porque es muy grande aun asi parece que le falta algo de color podian haberle puesto los botones rojos o algo por el estilo, el mpodelo en negativo es decir con la pantalla negr ay letras blancas es muy bonito pero segun he leido se lee muy mal y este puedo decir todo lo contario creo que es una buena compra es muy grandote y eso me gusta.  el tema de la receppcion probe varias veces y no me funciono hasta que encontr un sitio donde recibia señal se actualiza tu hora y todas las del mundo tambien lo hace automaticamente por las noches</t>
  </si>
  <si>
    <t>cumple perfectamente Lo empleamos para una tienda física y por el momento, funcionalidad más que correcta. La opción de la batería le da más valor añadido pero no la compramos. Sabemos que tenemos esa opción. Por el momento no hemos tenido que actualizarlo. Ya veremos entonces.</t>
  </si>
  <si>
    <t>Muy buena calidad precio Con respecto a como se oye es el mejor, oyes y te oyen muy bien.Después de un rato molesta el oído es el único pero...</t>
  </si>
  <si>
    <t>Bonito y barato y llegó pronto es lo que esperaba a buen precio. Es bonito</t>
  </si>
  <si>
    <t>Muy buena calidad A mí peque le gustan. La calidad buena y el precio con la oferta super bien! Recomendables</t>
  </si>
  <si>
    <t>Bueno Buen producto y calidad. Me ha funcionado bien. Se conecta al microfono y se retira de él adecuadamente y sin engancharse. Lo recomiendo.</t>
  </si>
  <si>
    <t>Botas de calidad Nada mas abrir la caja se nota que es un producto de calidad. Muy cómodas y calentitas para el invierno. Las he probado varios días de agua y el pie seco totalmente.  Llevo usándolas un mes y nada que ver con las botas que te compras por 40 o 50 euros. La diferencia del precio con la web oficial es bastante. El envío correcto como se espera de Amazon. Las volvería a comprar sin duda.</t>
  </si>
  <si>
    <t>Sirve para la función q lo compre Buen producto para equilibrar altura de productos</t>
  </si>
  <si>
    <t>Muy útil, buenos materiales y buen precio Genial para presentaciones tanto de PDF como PowerPoint, Prezi, etc. Con una pulsación se puede tanto pasar diapositiva como retroceder, con un botón bien claro para cada uno (flecha para arriba y flecha para abajo).  Encima tiene otro botón dedicado para el láser, que emite un puntero láser rojo de gran alcance, gran potencia y visible incluso de día. El láser se mantiene encendido mientras mantienes pulsado el botón dedicado.  El mando funciona con una pila AAA  ¡que viene incluida! (Aun no he podido comprobar la duración de esta con el uso). Pero tiene una pestaña lateral para encender y apagar el mando y así no gastar la pila. Al encenderlo hay un LED verde que se ilumina un momento. El fabricante dice que el propio mando se apaga si detecta que está mucho tiempo en reposo, por lo que no haría falta bajar la pestaña, pero esto no lo he podido comprobar y realmente prefiero apagarlo por si acaso y parar ahorrar pila.  Viene incluido un manual explicativo en inglés que es muy intuitivo incluso aunque no sepas inglés, pero es verdad que si lo venden en Amazon España quizá debería estar en español. De todas formas no tiene mucho misterio. Mando con pilas, conectar el receptor USB al PC (que por cierto, es enano), encender el mando subiendo la pestaña y a funcionar.  Y para cuando lo vayas a llevar, simplemente lo guardas en la bolsita que trae y listo. No es pesado (es de plástico), así que es fácil de transportar. Y la bolsita tiene mecanismo de cierre para que no se escape el tan pequeño receptor USB ni el mando en sí.</t>
  </si>
  <si>
    <t>Rápidos en mandarlos. Quedan como esperaba, satisfecha con la compra,lo recomiendo.</t>
  </si>
  <si>
    <t>Es rápido y muy pequeño. Me gusta Es rápido y muy pequeño y viene con cable para USB y USB C. No se me ha caído y por tanto no sé si aguanta los golpes pero por ahora estoy muy contento con este disco duro!</t>
  </si>
  <si>
    <t>Muy cómodas Esta marca es sinonimo de comodidad  y calidad. Después de llevarlas todo el día, no me duelen nada los pies.</t>
  </si>
  <si>
    <t>Perfectas Por fin tengo lass convers a un buen precio.  Son las clásicas, y llegaron rápido, todo perfecto. Para todos los públicos</t>
  </si>
  <si>
    <t>Potente y fácil de limpiar Es una marca que no conocía pero funciona muy bien</t>
  </si>
  <si>
    <t>Buen producto Lo he usado poco , pero de momento funciona bien</t>
  </si>
  <si>
    <t>Con almohadillas dentro Se ajusta a la talla indicada. Son muy muy cómodos, ideales para estar en casa, hacer deporte o incluso tomar el sol (te bajas las tiras de los hombros y lo llevas tipo Bandana). También ideal si tienes que enseñar el hombro, pues llevan encaje.</t>
  </si>
  <si>
    <t>Perfecto para el uso de la micro sd Buscaba que llevara los dos adaptadores a la micro sd a buen precio. El USB es bastante pequeño y lleva incorporado una pequeña correa en él. Tiene buena velocidad de escritura y lectura, que aunque solo sea 8GB,siempre es de agradecer.</t>
  </si>
  <si>
    <t>Perfecto estado Reloj muy ligero y en perfecto estado.</t>
  </si>
  <si>
    <t>Por fin un poco de orden. Producto perfecto para no llevar mil tarjetas perdidas por la mochila y no saber donde están. El tamaño es perfecto, justo lo que necesita y perfecto para guardar en cualquier sitio. Tiene 18 compartimentos para las tarjetas sd y 4 que creo que son para las compact flash. Materiales correctos y en la caja viene con una mopa como la de limpiar las gafas y con unas pegatinas para organizar mejor el estuche y saber que va en cada tarjeta. Compra muy recomendada si utilizas varias tarjetas.</t>
  </si>
  <si>
    <t>Regalo original y casero Tal cual se ve en la foto, muchísimos complementos, te da opción de hacer muchísimas cosas, un regalo diferente y muy bonito</t>
  </si>
  <si>
    <t>Divinas Fue un regalo 🎁 y el destinatario está encantado 👏🏻👏🏻</t>
  </si>
  <si>
    <t>No pesa mucho Fue un regalo para boda y es perfecta</t>
  </si>
  <si>
    <t>No parecen Sneakers Las compré porque pensé que eran Sneakers, pero no veo la marca en ningún sitio. Tienen un estilo bonito y son muy ligeras pero no sé si tendrán una buena durada.</t>
  </si>
  <si>
    <t>Muy bonitas pero algo incomodas. Las zapatillas en si son muy bonitas, pero los lazos hacen que se noten flojas y son muy frías debido entiendo al charol. Pero bueno, como son para lucirlas y mo para hacer deporte, encantada con la compra.</t>
  </si>
  <si>
    <t>Falsa publicidad No es lo que se ve en la foto, sobre todo lleva peines y tijeras marcianos y avispas no tiene sentido</t>
  </si>
  <si>
    <t>No es el de la foto iel tacto tipo pijama.. No es la prenda que esperava pero bueno a mi hija se la po go de batita para ir por casa a ella si le gusta</t>
  </si>
  <si>
    <t>"Me lo quito de encima" El bolso llego pronto, pero no es el que yo elegí. Jamás lo hubiera comprado con colores fosforitos, la verdad.</t>
  </si>
  <si>
    <t>Valen lo que cuestan Muy satisfecho con los auriculares, el sonido no es excepcional pero es bueno, no se puede pedir más por 25€. Se conecta muy fácilmente a los dispositivos y la duración de la batería es prácticamente infinita, calculo que lo habré usado unas 12 horas y aún no ha sido necesario cargarlo.</t>
  </si>
  <si>
    <t>Fácil de usar y de limpiar Es un aparato muy fácil de usar y de limpiar, lo que se agradece muchísimo. Me parecen muy prácticos los vasos que trae, de plástico sólido y con diferentes tamaños (el más grande será de medio litro, más o menos),  y con 2 tapas distintas que ajustan muy bien. Parece sólido y fuerte, de calidad. Los batidos que he ido haciendo han salido estupendos, si bien no he intentado todavía batir productos duros, por eso todavía no le pongo 5 estrellas. Llevo con ella poco tiempo, pero puedo decir que, por ahora, muy contento.</t>
  </si>
  <si>
    <t>Recomendable! Bonitos para el regalo de una niña de 11 años. Le van a encantar. La calidad es buena para el precio que tienen, vienen muchos y variados.</t>
  </si>
  <si>
    <t>Buena relación calidad/ precio Al principio parecía que tenía poca potencia, pero de momento va muy bien. Incluso he usado el turbo para picar fruta y sigue funcionando. Lo mejor el precio.</t>
  </si>
  <si>
    <t>Muchísima potencia Muy fácil de usar y con muchísima potencia</t>
  </si>
  <si>
    <t>Súper práctico. Por el precio pensé que iba a ser 4 alambres. Pero resultó muy práctico y vistoso para exponer libros.</t>
  </si>
  <si>
    <t>Recomiendo Lo mejor</t>
  </si>
  <si>
    <t>Buena marca Llegaron en perfecto estado. Se ven algo dañados al quinto lavado, pero bien.</t>
  </si>
  <si>
    <t>Perfecto. Son perfectos, me han encantado. Muy buena compra.</t>
  </si>
  <si>
    <t>Dejó de funcionar....sin mas. -ACTUALIZACIÓN -Me devolvieron el dinero A las dos semanas de usarlo, inexplicablemente, dejó de funcionar. No soy conscinte de que le haya hecho nada, siempre lo dejo en el coche, no sale nunca de allí, lo cargo en el mismo coche. De repente un dia la gente me dice que no me oien bien, así que después de varios intentos fallidos no lo he vuelto a utilizar. -ACTUALIZACIÓN- Como he dicho el producto dejó de funcionar, peró la gente de Beshoop se pusieron en contacte conmigo y me dicen que me devolveran el dinero. Recomendo su compra pués durante el tiempo que funcionó iba MUY bien, a ver si teneis mas suerte, y si no os funciona teneis la certeza que la empresa responde, en mi caso así lo hizo.</t>
  </si>
  <si>
    <t>Fantásticos auriculares Estaba buscando unos auriculares que fueran de calidad, es decir, que tuvieran buen sonido y durase la batería bastante. Me gustan mucho de estos auriculares que funcionan de forma autónoma y que se enlazan muy bien y de forma sencilla con el móvil. Son auriculares que se pueden cargar gracias a su base de carga o estuche tipo Powerbank que te ayuda sobre todo cuando estás fuera y no dispones de dónde cargarlos. Muy recomendables.</t>
  </si>
  <si>
    <t>Super chulos. Son una monada, super chulos la verdad!! Muy elegantes y discretos. Tienen una excelente calidad de audio, se configuran de manera muy sencilla con el móvil, la duración de la pila es excelente. Son perfectos y cumplen de maravilla su función.</t>
  </si>
  <si>
    <t>Muy contenta con la compra Muy contenta, la ballesta para los cristales perfecta, no deja ninguna pelusa y limpia sin dejar huella. La he vuelto ha comprar</t>
  </si>
  <si>
    <t>Me quedo perfecto y rápida la entrega Me ha gustado, mucho ya tuve otras converse y quería en negro, el precio ideal más baratos que en otros sitios y al fijarme que en las reseñas la gente pedía un número menos por mi parte tengo un 38 normalmente, pero pedi un 37'5 y me quedo perfecto.</t>
  </si>
  <si>
    <t>Muy bonitos Parecen de Buena calidad, y son muy bonitos, mejor que verlos en la foto, quedaban un poco grandes y los cambien por un número menos sin ningún problema</t>
  </si>
  <si>
    <t>Tal cual en la descripción Es súper ligero cómodo y funcional su esfera se ve atractiva y muy bien . un reloj para llevar a cualquier lado y cualquier día.  perfecto</t>
  </si>
  <si>
    <t>Excelente Mando perfecto para cualquier presentación. De momento cumple las expectativas. Posibilidad de multifunción. Opción lupa suple la ausencia de puntero</t>
  </si>
  <si>
    <t>Genial para dar ponencias Este fín de semana tuve que dar una ponencia, entonces me dispuse a buscar y encontre esta opción a muy buen precio. Después de usarlo en la ponencia, tengo que decir que es un producto de buena calidad y cumple lo que promete. A parte el tema de que tenga un puntero es un dato destacable! Recomiendo sin duda la compra de este producto</t>
  </si>
  <si>
    <t>USB 3.1 - Pendrive de 128 GB. Necesitaba un pendrive de gran capacidad y este de 128gb con usb3.1 me ha sorprendido gratamente. La velocidad tanto de lectura como de escritura es rápida y estable. La memoria funciona estupendamente, es perfecta para poder llevar cualquier tipo de archivos, documentos, fotos, videos, música... Además tiene una tapa protectora que al quitarse puede colocarse en la parte trasera del pendrive y asi poder evitar perder la tapa. Un pendrive totalmente recomendado.</t>
  </si>
  <si>
    <t>Muy cómodas Sobran las palabras para esta conocida marca. Muy satisfecho! No la encontraba en tiendas y finalmente amazon tenía la solución.</t>
  </si>
  <si>
    <t>Gran auriculares con excelente calidad de sonido Un gran producto a un gran precio. Tienen buena calidad, buena conexión y muy buena calidad para escucharse. Merece la pena la compra. Excelente venderdor</t>
  </si>
  <si>
    <t>Auriculares para el móvil Buena relación calidad precio. No quería gastar mucho en unos auriculares de este tipo porque en cuanto me descuido mi gato se los come. Para el precio funcionan perfectamente. Se puede coger las llamadas con un botón que tiene el cable.</t>
  </si>
  <si>
    <t>potencia y duración de la batería Ya hace casi un año que lo tengo y funciona perfectamente. Tiene 3 velocidades y en nuestro caso, que no tenemos mascotas, con la potencia media es más que suficiente y podemos pasarlo como unas 3-4 veces en una casa de 70 metros. La potencia máxima la usamos para la alfombra y es suficiente. Ademas tiene un adaptador para tapicerias y demas, no es lo más comodo porque te lo cuelgas al hombro, pero la verdad es q lo usamos muy poco. Teniamos dudas entre este y los Rowenta pero lo descartamos por todas las quejas que leimos por la rotura de la pieza que hace el juego del giro y la verdad es que no nos arrepentimos.</t>
  </si>
  <si>
    <t>Tallan muy pequeño Calza MUY pequeño. Leí los comentarios y decidí pedir un número más (normalmente uso un 39 y compré un 40) pero aún así me salen los dedos para afuera...</t>
  </si>
  <si>
    <t>Mala calidad Un carpesano de anillas bastante justito de calidad. Cumple su función pero usándolo niños no creo que tarde en romperse por algún sitio, ya que el material no parece demasiado resistente.</t>
  </si>
  <si>
    <t>Mala olor. El zapato muy bonito y queda muy bien puesto, pero tiene muy mala olor y no hay manera de quitárselo. Si lo tienes en una habitación cerrada huele muy mal.</t>
  </si>
  <si>
    <t>Normal He comprado este producto ya varias veces, porque sabe bastante decente, pero viendo lo que hay por ahí... Me resulta un poco caro.</t>
  </si>
  <si>
    <t>Defectuoso Hola,  He comprado el Rode NT1-A, puesto que era uno de los micros de estudio más recomendados, pero no funciona...el conector del micro se mueve, está suelto y al conectar el cable se mete para dentro y no hace la conexión correcta....Estoy muy decepcionado, puesto que soy comprador habitual de Music Store y nunca me había pasado esto, parece como si el micro estuviera usado.  He enviado este mismo email varias veces sin respuesta alguna. Espero me podáis dar una solución  Un saludo</t>
  </si>
  <si>
    <t>Igual que la foto Las funciones que tiene son perfectas para hacer cambios de ritmo y series en la pista, es un poquito pequeño y muy ligero</t>
  </si>
  <si>
    <t>Buena relación calidad precio Los compré para un regalo y la persona que los usa está muy contento con ellos, tanto con cable cómo con Bluetooth se oyen muy bien</t>
  </si>
  <si>
    <t>Buen producto a precio recomendable Buenas gafas de aumento, se ve perfectamente y por lo que cuestan son de calidad. Me sirvieron para VER muy bien lo que necesitaba. Es un producto recomendable, aunque quizás tenerlas todo el día puestas o para trabajar no sean las idóneas, pues pesan bastante con las pilas puestas y se clavan en la nariz, aunque para ello traigan una cinta que sustituye a las patillas de las gafas. Volvería a comprarlas, las recomiendo</t>
  </si>
  <si>
    <t>Buena marca Yo compre una talla s por que suele tener talla americana. Normalmente uso m y esta me queda perfecta. Es bonita la chaqueta</t>
  </si>
  <si>
    <t>Calzan pequeño Las zapatillas adidas gazelle son originales y de buena calidad. Yo uso el 40, pedí ese número, pero parece que calzan pequeño. Tuve que devolverlas (at! Gastos de devolución a cuenta del cliente) y pedir un número más, el 40 y 2/3, que ya me queda perfecto. Las recomiendo.</t>
  </si>
  <si>
    <t>Pendientes muy brillantes Me compre estos pendientes porque me gustaron mucho y aunque son un poco mas pequeños que en la foto, quedan muy bien en el lobulo de la oreja porque los complemento con dos piercings . Muy buena compra</t>
  </si>
  <si>
    <t>Muy buenas Son estupendas</t>
  </si>
  <si>
    <t>Artículo perfecto. Se escuchan perfectamente, son muy cómodos tanto para hacer deporte como para estar tranquilamente escuchando música descansando. Muy fácil de conectar con el smartphone. Gran producto y muy bien precio. 10/10</t>
  </si>
  <si>
    <t>Buena compra Muy bien</t>
  </si>
  <si>
    <t>Perfecto me confundi y pedi xxl en vez de xl pero apenas no hay diferencia, todos los productos de under armour son perfectos,me encantan, diseño, calidad , tallaje ya que necesto grandes y los tienen</t>
  </si>
  <si>
    <t>Comodidad y calidad Al principio un pelín justas, compré mi número habitual, pero una vez amoldadas en mi pie (5-6 horas de uso en 2-3 días) me quedan como un guante.</t>
  </si>
  <si>
    <t>Buen producto Llevo unos meses y va de lujo, rapido y diseño muy bonito. recomiendo sin duda.</t>
  </si>
  <si>
    <t>Joya Buen gusto</t>
  </si>
  <si>
    <t>batidora indestructible  calidad precio insuperable es un producto americano muy buena calidad parece mas potencia del que pone a mi me aconsejaron este producto en especial porque tiene la ventaja que el eje es metalico mientras otras marcas son todos de plastico</t>
  </si>
  <si>
    <t>Reloj Todo perfecto y muy bonito</t>
  </si>
  <si>
    <t>Muy bonito y rápido. &lt;div id="video-block-R1JUYSS2JEXMO6"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id="21" preload="auto" src="https://images-eu.ssl-images-amazon.com/images/I/81bBRdFEdgS.mp4" style="position: absolute; left: 0px; top: 0px; overflow: hidden; height: 1px; width: 1px;"&gt;&lt;/video&gt;&lt;/div&gt;&lt;div id="airy-slate-preload" style="background-color: rgb(0, 0, 0); background-image: url(&amp;quot;https://images-eu.ssl-images-amazon.com/images/I/910cBb7rgmS.png&amp;quot;);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center;"&gt;0:07&lt;/div&gt;&lt;div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value="https://images-eu.ssl-images-amazon.com/images/I/81bBRdFEdgS.mp4" class="video-url"&gt;&lt;input type="hidden" name="" value="https://images-eu.ssl-images-amazon.com/images/I/910cBb7rgmS.png" class="video-slate-img-url"&gt;&amp;nbsp;Genial, lo uso muy a menudo ya que así caliento el agua muy rápido y ahorro tiempo y energía para cocinar. Es muy rápido y me encanta que venga con luz.  Muy bonito y recomendable.</t>
  </si>
  <si>
    <t>Buena calidad Perfectas, tal y como se describian</t>
  </si>
  <si>
    <t>Genial Lo primero destacar que es bastante grande. Por un lado tiene cerdas para limpiar bien los biberones por dentro (en los biberones de Medela entra un poco justo, pero entra), y por el otro lado una especie de espiral para limpiar las tetinas. Viene con una pequeña funda de plástico que tapa la parte de las cerdas para guardarlo sin que se ensucie demasiado. Después de 6 meses de uso a diario he notado que las cerdas se han ablandado bastante, pero sigue haciendo su función sin problema. Te agradecería que le dieras a voto útil si mi comentario te ha servido de ayuda.</t>
  </si>
  <si>
    <t>calidad y diseño acabo de recibir el dispensador de capsulas dolce gusto , y queda genial con todas las capsulas en distintos departamentos , ocupando poco espacio MUY BUENA COMPRA ¡¡¡¡</t>
  </si>
  <si>
    <t>LLegó muy rápido, funciona estupendamente Reloj Solar LLegó muy rápido y funciona estupendamente y no necesita que se exponga mucho a la luz para que no se pare</t>
  </si>
  <si>
    <t>Perfecto hervidor de agua, recomendado Harto de calentar en el microondas al agua para hacerme té, compré este hervidor de agua, el cual me resulta de muy buen material al uso y tacto, lo cual se agradece en un producto del precio en el que se encuentra.  Tiene una capacidad de 1,7L y en mi caso (varía de la temperatura del agua que le eches), 1,7L de agua del grifo los calentó en 3:20 minutos, lo cual me ha resultado una buena cifra.  Respecto a facilidad de uso, simplemente hay que llenar la jarra y pulsar un interruptor hacia abajo, apagándose solo tras llevar el agua al punto de ebullición.  La limpieza es un poco complicada si tienes las manos muy grandes, pero no debe suponer mucho problema para las veces que necesitas limpiar un hervidor de AGUA.  Recomiendo la compra, volvería a comprarlo.</t>
  </si>
  <si>
    <t>son panama eso lo dice todo. quedan genial, son estilosas y hacen otra planta...perfectas. el envio desde Jomodo tb muy bien</t>
  </si>
  <si>
    <t>bien comodos</t>
  </si>
  <si>
    <t>Para adulto no Lo compre para un adulto y lo tuve que descambiar la corre es pequeña más bien para niño o adolescente</t>
  </si>
  <si>
    <t>Recomendable solo en verano Después de untarlo por todo el cuerpo con un masaje, te sientes como Leonardo Di Caprio amarrado a la tabla congelandose antes de hundirse en el frío océano.  Más que efecto frío, es efecto congelación, para verano a 40 grados debe ser maravilloso, pero si no estás a esas temperaturas no tendrás consuelo calentándote ni envolvindote en 3 mantas y proyectando un secador hacia tu cuerpo. Después de usarlo creo que moriría de hipotermia.</t>
  </si>
  <si>
    <t>Ha prendido fuego Al enchufarlo después de unos 5 minutos han salido chispas de la parte electrica y me ha quemado el pelo. Sin comentarios.</t>
  </si>
  <si>
    <t>Material poco útil. Flojo</t>
  </si>
  <si>
    <t>Calidad mediocre Calidad mediocre</t>
  </si>
  <si>
    <t>Es muy caro debería costas más económico Está bien cumple con su función sudas más pero es demasiado claro</t>
  </si>
  <si>
    <t>Rocio Garcia Marin Eran un regalo para un familiar y ha quedado muy contento. Es una compra muy satisfactoria en comparación con el precio de la tienda de deportes</t>
  </si>
  <si>
    <t>Son las originales y llegaron rapido Todo perfecto, el zapato es original y esta en perfecto estado. Solo un inciso... la piel es tan dura que duele mucho al andar, para ablandarlo hay que darle 1 semana.</t>
  </si>
  <si>
    <t>Marca confiable - Producto regular Controlador bastante llamativo e intuitivo a la vez. Akai es una marca confiable desde hace años por sus productos relacionados con el mundo de la producción musical. Sin embargo, Este producto en mi opinión dejo mucho que desear. Puedo pensar que el producto en parte me haya llegado defectuoso o en su defecto el fabricante haya creado en si asi el producto. Los pads son bastante duros y hay veces en las que marcas un golpe y se reproducen dos. Para mi opinión quitando problemas de software como la ralentizacion o el delay de este es un producto que podrían haber mejorado. Mi calificación es un 6/10. Por parte de amazon sobre la devolución del producto como siempre es un 10!</t>
  </si>
  <si>
    <t>Bien, aunque caja debería ser más fuerte Pegan muy bien. El único problema es que la caja se abrió en seguida, y la función que debe cumplir en mi caso no cumplió, y se convierte en algo incómodo de usar (se desenrolla continuamente)</t>
  </si>
  <si>
    <t>Funcional y potente. Kit completo de batidora, picadora y barilla para batir. También lleva dos vasos de diferente tamaño. Lo que más me ha gustado es su diseño elegante, se nota que es de buena calidad y su potencia. Pica sin problema hielo y cosas congeladas. Se desmonta para una fácil limpieza. Un pero que ponerle es que en la mano puede notarse que pesa bastante, pero a la vez su ergonomía hace que sea muy cómoda de manipular.</t>
  </si>
  <si>
    <t>Bonita pulsera Bonita pulsera, la compre para ponerla como tobillera pero no tiene tanta medida como utilizarla para ello, pero como pulsera de muñeca es perfecta.</t>
  </si>
  <si>
    <t>Caros pero buenos Sonido fantástico. Tengo unos llamados clones que se han hecho muy famosos y que cuestan la quinta parte, pero no se pueden comparar. Te puedes ir a la otra punta de la casa con tabiques y puertas de por medio y el Bluetooth sigue conectado. Tienen pocas opciones de configuración, eso es verdad, pero puedes hacer lo que quieras pidiéndoselo a Siri. Eso sí. Todo esto es verdad si los usas con un iPhone o un iPad y seguramente con un MacBook pero si los vas a usar con un android, aunque se pueden conectar, no te recomiendo que te gastes ese dinero porque no vas a tener disponibles muchas opciones y ya no merecen la pena.</t>
  </si>
  <si>
    <t>ECONÓMICO Y BUEN FUNCIONAMIENTO De momento cumple bien su función. Lo recomiendo.</t>
  </si>
  <si>
    <t>Perfectos Talla XS, se ajustan bien, tienen un pequeño forro interior que hace tener una sensación calentita. No recomendables para entrenar en sitios cerrados porque acaban asando pero si son ideales para exteriores</t>
  </si>
  <si>
    <t>Le encanta a mi hijo y muy fácil de esterilizar en microondas. Es el único bibe que mi hijo acepta. Me encanta lo fácil que es limpiarlo y esterilizarlo. Muy buen producto!</t>
  </si>
  <si>
    <t>Un clásico! Es un clásico, y a muy buen precio. No pesa mucho, y el tamaño de la esfera es perfecto, tanto para hombre como mujer. Yo siendo hombre, y teniendo una muñeca pequeña queda genial y no es nada incómodo.  Recomendado!</t>
  </si>
  <si>
    <t>Muy cómodas Son muy cómodas, la talla viene muy bien</t>
  </si>
  <si>
    <t>super util muy bien tal como se ve en la pagina, super espaciosa y muy útil. Como pega la correa se resbala si va muy cargada</t>
  </si>
  <si>
    <t>Calidad muy rápido y en perfecto estado todo, muchas gracias!!!</t>
  </si>
  <si>
    <t>Bonito y silencioso Me ha gustado mucho. Recomendable cien por cien, pero yo quería algo más pequeño. Se me queda grande en el espacio que tenía reservado para él</t>
  </si>
  <si>
    <t>Que funcione durante mucho toiempo. es lo que esperaba. Lo usa para hervir agua.</t>
  </si>
  <si>
    <t>Comodisimo Queda perfecto</t>
  </si>
  <si>
    <t>Recomendable Me han encantado, nunca había tenido un humidificador y no sabía muy bien como iba. Ahora que tengo los aceites estoy cada dos por tres cambiando de aroma, huelen muy bien y al tener que echar unas gotitas, el bote te dura bastante. Había olido todos y el que mas me gustaba era el de naranja, al probarlos me ha encantado el de eucalipto y menta, por el frescor que tienen y te hacen respirar mejor.</t>
  </si>
  <si>
    <t>Kit de decapado completo Completo kit de accesorios para limpieza de ruedas, bicicletas , motos y en general todo tipo de materiales que sea necesario decapar. Viene cepillos, lijas y pulidoras Muy completo</t>
  </si>
  <si>
    <t>Un 10 en relación calidad-precio Más no se puede pedir a este precio. Suenan estos pequeños auriculares a Sennheiser, esta gran marca no me defrauda. Tengo por el mismo costo unos de otra marca, que suenan a lata, sin embargo este modelo, tanto en agudos como en graves la calidad es muy buena por el precio tan ajustado que tienen.</t>
  </si>
  <si>
    <t>Muy bonitas y buena calidad Las devolvieron porque me quedaban grandes pero se veían genial, si hubiese sido mi número me las hubiese quedado sin ninguna duda, y el reembolso fue rápido y sin problemas</t>
  </si>
  <si>
    <t>Bastante bueno El bálsamo calenta bastante la zona en que te lo pones, previene bastante bien contracturas y alivia si te duele. Lleva mucha cantidad por lo que no se gasta enseguida como lo que venden en farmacias.</t>
  </si>
  <si>
    <t>Facil uso Facil de usar para sacar espumilla</t>
  </si>
  <si>
    <t>Me parece muy interesante lo que e visto que se puede hacer con estos aparatos No puedo opinar si es bueno o no ya que por mi inexperiencia no lo e podido usar pensé que iba a ser más fácil, me atraía mucho lo que en vídeos de YouTube veía que se podía hacer ,pero e tenido la pega de que no me dejaba desbloquear los programas que te daban gratis que venían con el AKAI y ni si quiera me a sonado más que el metrónomo , me e quedado con las ganas de poder aprender a usarlo me parece interesante, quizá podrían añadir directamente un CD con los programas desbloqueados pero en fin, no quiero quitar la idea a nadie sobre comprar o no el controlador MIDI este.</t>
  </si>
  <si>
    <t>Bien Mencanta esta tetina pero creo k es muy larga ya que mi hijo hace ascos cuando se la doy, la e tenido que cortar, me gusta mucho pk si el no estira no sale ni una gota, asi no se acostumbra al bibi y sigue con el pecho</t>
  </si>
  <si>
    <t>Bonito pero... Los primeros días ne fue difícil de usar debido a que no te viene con instrucciones! Luego el antipoping se va descolgando, pierde fuerza el agarre! Creía que se oiría mejor...y no fue así</t>
  </si>
  <si>
    <t>No me molesto ni en devolverlo. Por el precio que tiene no se puede pedir más... Se para y se atracan las manecillas pequeños del cronómetro, la pulsera es muy blanda y chapa que suena más que un sonajero, y para terminar las agujas principales van en total discordancia con las marcas medidoras de la hora.</t>
  </si>
  <si>
    <t>Malísimo Tarda mil años en pasar datos. Está para tirar. me tengo que comprar uno que sea usb de alta transferencia porque éste no está proporcionado entre su alta capacidad y lo lento que mueve los datos.</t>
  </si>
  <si>
    <t>perfecto Perfecto</t>
  </si>
  <si>
    <t>Útil Cumple perfectamente con el propósito: cabe en el radiador y lumpia su interior.</t>
  </si>
  <si>
    <t>Me quedan perfectamente Perfecto</t>
  </si>
  <si>
    <t>Muy bien! Muy buen producto! Pedir media talla más!</t>
  </si>
  <si>
    <t>Superlux Precio calidad impresionante, suenan muy bien pero tamb tienes que pensar el precio que tienen</t>
  </si>
  <si>
    <t>Me han gustado mucho Son ideales, me han gustado mucho y me los pongo muy a menudo</t>
  </si>
  <si>
    <t>Discreción Un masajeador muy potente y relajador</t>
  </si>
  <si>
    <t>Tarjeta perfecta! Tarjeta SD con una relación calidad-precio increíble. Fiable y rápida. He tenido muchas tarjetas de otras marcas pero la verdad es que ninguna me daba los resultados de escritura y lectura tan rápidos. La volvería a comprar!</t>
  </si>
  <si>
    <t>Recomendado Son tal cual y calientan bastante los pies. Muy recomendables. Hemos comprado varios pares porque nos han gustado.</t>
  </si>
  <si>
    <t>smarwatch Contentísima con el reloj. Me gusta el color, la correa que no importa que se moje, el tacto que tiene, la comodidad de llevarlo puesto. Por su diseño es ideal para cualquier ocasión. Yo lo he utilizado para medirme la tensión, para andar y poco a poco voy descubriendo más cosas. Ideal para aquellas personas que nos olvidamos del sitio en que pusimos el móvil, gracias al reloj lo encontramos. Yo llevo tres días con el y ya no me resulta indispensable. Si haces deporte no tienes que llevar el móvil y apenas notas que lo llevas. y me encanta la forma en que se carga ya que el cargador es imantado. Y además nos da la hora!!</t>
  </si>
  <si>
    <t>Original Perfectas! Recomiendo 100%</t>
  </si>
  <si>
    <t>Ideal para un regalo Regalo precioso, elegante y buena calidad.Yo se lo regalé a mi mujer en su cumpleaños y quedó encantada. Muy recomendable</t>
  </si>
  <si>
    <t>Muy bueno y de un tamaño reducido. Dos cosas.: 1.- Cuando se transfiere mucha información se calienta un poco, pero funciona perfectamente y permite cogerlo con la mano sin problemas. 2.- Lo mas importante, que no se le ocurra a nadie para borrarlo cuando hay mucha información guardada, proceder a formatearlo porque luego ciertos dispositivos como el audio del coche no lo reconocen. He tenido que buscar la información que viene de fábrica de Kingston y grabarla de nuevo para que me lo reconociese.</t>
  </si>
  <si>
    <t>Todo correcto! Todo correcto!</t>
  </si>
  <si>
    <t>Muy lindo Me gustó mucho, linda calidad, gracias</t>
  </si>
  <si>
    <t>Alvariquay La pizarra la tengo pegada a la pared de la cocina con cinta adhesiva pequeña de dos caras gracias a lo poco que pesa. Se borra bien, aunque si la pizarra perpanece pintada por la tinta del rotulador aproximadamente una semana , al borrar deja marca. Con alcohol, se quita cualquier marca y queda como nueva. Estoy contento con la compra.</t>
  </si>
  <si>
    <t>Bota montaña La recomiendo..bota fuerte y confortable hay que pedir un número menos del que uno tiene..si vas a caminar x montaña la bici muestra comodidad , agarre y es impermeable como dice el fabricante..vale la pena comprarla sin duda..hay botas que son tochas e incómodas..esta es un gran descubrimiento!!</t>
  </si>
  <si>
    <t>Unicornio Pandora Me gusta mucho</t>
  </si>
  <si>
    <t>reloj hombre automático. Hacia tiempo que estaba buscando un reloj de estas características. Calidad y precio van de la mano y el servidor de Amazon, perfecto en toda la cadena. 100% recomendable.</t>
  </si>
  <si>
    <t>Estupendo Un buen regalo</t>
  </si>
  <si>
    <t>Un 10/10 para el proveedor Rapidez en el envío. Precio asequible y artículo concordante con la descripción.  No he calificado la durabilidad porque está por ver, pero funciona sin problemas de acuerdo con la descripción del fabricante/vendedor. Saludos</t>
  </si>
  <si>
    <t>Perfectas!! Las zapatillas son tal y como esperaba. La talla es pererecta . Las recomiendo 100% para que las compre todo el mundo . Muchas gracias por todo.</t>
  </si>
  <si>
    <t>Pequeño y práctico Estamos ante un pen drive completamente funcional para quien necesite algo discreto. Es muy pequeño y se disimula muy bien especialmente en reproductores de coche. Viene con una tapa para transportarlo y que no se ensucie, además tiene un gancho minúsculo donde podremos colocar una goma o cuerda fina para poder engancharlo a un llavero o cualquier otro sitio. La velocidad de transferencia de archivos no es la más rápida, pero no es lenta (los archivos que paso no son grandes por lo que no tarda demasiado). Un saludo.</t>
  </si>
  <si>
    <t>Pasable... Mucha potencia pero quedan muchos trozos en las cuchillas y es muy difícil de limpiar</t>
  </si>
  <si>
    <t>bolso es muy comodo pero me lo esperaba un poco mas grande pero cuando te acostumbras esta bastante bien cuando tenga que hacer un regalo lo comprare</t>
  </si>
  <si>
    <t>Se desmonta muy fácilmente Se desmonta fácilmente, es cómodo de manejar, pero es bastante ruidosa .</t>
  </si>
  <si>
    <t>Parece falso Muy mala calidad. Parece una falsificacion barata. El tejido es malo, barato y pobre. Huele a ropa acumulada de mercadillo</t>
  </si>
  <si>
    <t>Fallo al cabo de 10 meses Durante 10 meses, ningún problema. Empezó a fallar y ahora lo reconoce pero no se puede acceder a los datos. Suerte que acababa de realizar una copia de seguridad 5 dias antes. Al intentar tramitar la garantia Kingdian me pedía que lo devolviera a China!!! Amazon me resolvió el problema, me gestionaron la devolución y reembolso. Un DIEZ para ellos.</t>
  </si>
  <si>
    <t>Buen pen drive a buen precio El pen drive en si, funciona genial, y las transferencias de datos van a buena velocidad. Le doy cuatro estrellas porque parece que es un poco mas grueso de la cuenta y entra un poco forzado en los puertos usb, lo he probado en dos PCs y en los dos pasa igual, de todas formas recomiendo su compra.</t>
  </si>
  <si>
    <t>Muy comodos Genial compra. Muy comodos</t>
  </si>
  <si>
    <t>Oscar Por su precio esta bien. Sin alardear en detalles y en calidad de plasticos. Simplemente correcto para el precio que tiene</t>
  </si>
  <si>
    <t>Muy buena calidad Calidad excelente</t>
  </si>
  <si>
    <t>Bien Fue un regalo de aniversario y está bien. Es más pequeño de lo que esperaba. Pero buen tamaño para usar. Las partes puntiagudas pueden hacer daño al coger un niño</t>
  </si>
  <si>
    <t>Preciosas Perfectas me encantan.en contra que la plantilla foami form no es muy acolchada.me gustan mucho en crema pero las cogi negras porque son menos sucias.la talla la de siempre ni mas ni menos</t>
  </si>
  <si>
    <t>Genial Apenas ocupa espacio plegada y abierta tiene mucha capacidad. La compre para mi bebe recien nacido y mi hija de casi 3 años entra perfectamente.</t>
  </si>
  <si>
    <t>Es muy bonito comprar una talla menos Comprar una talla menos pero es bonito</t>
  </si>
  <si>
    <t>Le gustó mucho son muy bonitos Fue para un regalo , rapidez</t>
  </si>
  <si>
    <t>Su preciobien Para regalo ok</t>
  </si>
  <si>
    <t>Completo Es la 1a vez que compro una pulsera de actividad y esta me parece muy completa. No solo hace un seguimiento de mi actividad (correr, caminar, montar en bici, yoga, baloncesto etc...) sino que también monitoriza el sueño y sigue la frecuencia cardiaca. Además su funcionamiento es muy intuitivo, y la app con la que se empareja es muy fácil de usar. Y se carga directamente a un puerto usb sin necesidad de cables, lo que la hace muy práctica. Como es sumergible, se puede duchar con ella o ir a la playa... Además es muy bonita (la elegí roja y negra)  En fin, muy buena compra.</t>
  </si>
  <si>
    <t>Calzado español de calidad Lo uso desde hace muchos años, tanto para hacer deporte como para el día a día. Estas deportivas son cómodas y muy duraderas.</t>
  </si>
  <si>
    <t>Disco duro superslim 2.5" El disco duro funciona perfectamente y viene en perfectas condiciones de sectores defectuosos, etc... El embalaje es un poco deficiente porque no es original y consiste simplemente en un sobre de burbujas. Pero el disco funciona perfectamente.</t>
  </si>
  <si>
    <t>Buen dispositivo que cumple su función Muy bien, cumple su función.</t>
  </si>
  <si>
    <t>Perfectas Me ha gustado todo de las zapatillas</t>
  </si>
  <si>
    <t>Me gusto Me gusta mucho. Tiene una función de masaje infrarrojo. Puede ajustar la fuerza. La función de aislamiento térmico es que la temperatura del agua no es demasiado alta. Si su línea de carga es más larga, estará bien.</t>
  </si>
  <si>
    <t>Gran calidad y velocidad.  //Cuidado al clonarlo// Mi Pc tardaba muchísimo en encenderse los últimos meses y con este SSD, ha pasado a encenderse en cuestión de segundos. Las aplicaciones como Photoshop o After Effects se abren al momento, antes tenia que estar esperando un rato a que cargara todo. Hice la clonación, pero hay que tener cuidado con las opciones que da el programa, no son del todo funcionales, no recomiendo formatear el disco duro antiguo hasta que se sepa al 100% que todo va bien. Para la instalación física, hay gente que usa un soporte especial para ello, en mi caso no ha hecho falta, he tenido que atornillarlo solo en un lateral y está totalmente estable. Es muy sencillo de instalar. El embalaje y todo está muy bien, si que recomiendo tener cuidado al abrir la caja y sacar el disco duro porque no va sujeto. Sin duda, lo recomiendo al 100%</t>
  </si>
  <si>
    <t>Los mejores biberones He probabdo de Avent, de Dr. Brown y otros pero probé estos y son los que más me gustan a mi y a mi bebé, no provocan gases, fáciles de lavar y de esterilizar (nada engorroso) y aquí el mejor precio y rapidez de envío. Uno azul y uno gris con dibujos muy bonitos</t>
  </si>
  <si>
    <t>Entrega muy rápida Me llego súper rápido (al día siguiente), me han encantado no tengo queja alguna muy conforme</t>
  </si>
  <si>
    <t>Humidificador blanco liso Este humidificador tiene un diseño liso y no desentona en el ambiente.  Además apenas reproduce ruido. Trae un aceite (de lavanda en mi caso) y un mando a distancia. Un acierto para humedecer un poco el cuarto y facilitar la respiración.</t>
  </si>
  <si>
    <t>Si buscan calidad y comodidad comprenlos Sobresalientes auriculares y rapidez de entrega, felicidades otra vez Amazon</t>
  </si>
  <si>
    <t>Geniales! Cómodos, frescos i bien ajustados. Muy confortables durante el entrenamientoz</t>
  </si>
  <si>
    <t>Mala relación calidad-precio Mala relación calidad-precio, el recipiente de plástico negro no deja ver el zumo que contiene y el orificio da salida de zumo es un poco endeble, no parece muy duradero.</t>
  </si>
  <si>
    <t>Esperaba más velocidad Para ser un 3.1 esperaba más velocidad, se ve robusto y parece duradero.</t>
  </si>
  <si>
    <t>En menos de seis meses errores y pérdidas totales de imágenes Elimina automaticamnte las fotos de la cámara y por último ya no es reconocible ni por la cámara ni por el pc/mac. He perdido muchos trabajos importantes y me gustaría poner una reclamación.</t>
  </si>
  <si>
    <t>Horrible No es usb 3.0, las tasas de velocidad son bajas y cuando lleva medio segundo escribiendo se detiene y se vuelve a reanudar a los dos segundos, cosa que hace que vaya aún más lento.</t>
  </si>
  <si>
    <t>Buen micro, soporte es una basura Micrófono de calidad rode para streamings y videollamadas desde dispositivos como PC-mac de muy gran calidad. Si lo quieres usar para cantar te recomiendo el otro micro que vende está marca. Es un desastre el soporte que trae de plástico que no aguanta suficientemente el peso del mismo si lo inclinas demasido. Si usas teclado mecánico posiblemente tengas que usar por software un limpiador de ruido. El anti-pop que trae es perfecto pero es eso para limpiar el aire...suele ser muy sensible con ruidos exteriores. Pero una buena compra...si lo pillas por ciento y poco aunque suele fluctuar mucho el precio...ojo</t>
  </si>
  <si>
    <t>bien Es bonito, como en la foto</t>
  </si>
  <si>
    <t>Buena calidad y bonitos Marca que suele ser cara, pero comprados por 40€ es un precio muy bueno. No son muy llamativos pero son bonitos, la letra es algo reflectante, pero queda bien. Para uso diario muy cómodos y bonitos. La talla coge la habitual, en los U420 de esta misma marca sí hay que coger una talla más.</t>
  </si>
  <si>
    <t>Un éxito total Suena bien, se conecta con extrema facilidad al móvil y es muy fácil de usar. Era un regalo para una niña de 11 años... y ha agotado la batería (no porque dure poco: ¡¡es qué no ha parado en todo el día!!</t>
  </si>
  <si>
    <t>aceptable estan vastante bien, el apoyo de la nariz hace un poco de daño cuando estas mucho rato</t>
  </si>
  <si>
    <t>Memorias. Si, perfectamente, llegaron bien en tiempo y forma. Gracias. Un saludo.</t>
  </si>
  <si>
    <t>no hay otro igual fantastico cepillo de terciopelo que nunca te den dejara arañazo alguno, junto al liquido de la marca am hacen un fantastico duo, cepillo imprescindible</t>
  </si>
  <si>
    <t>Por el precio de uno te llevas dos. Fue para un regalo y quedó encantada.</t>
  </si>
  <si>
    <t>Buenas pegatinas Las utilizo para pegar sobre madera en trabajos de marquetería y pegan muy bien para una vez terminado el segueteado despegarla.</t>
  </si>
  <si>
    <t>Bueno Un poco estrecho en la pierna, además ok</t>
  </si>
  <si>
    <t>Buena calidad precio Por el precio que tiene, no ha dado fallos (aún, y esperemos que no los de). No he medido sus velocidades de transferencia pero no me ha dado ningún problema grabando 4K con una Sony a7iii así que a mi personalmente me vale.</t>
  </si>
  <si>
    <t>PERFECTO CALIDAD PRECIO Es lo que buscaba, algo barato y que triturase, ocupa poco y funciona muy bien. No se puede pedir más en relación calidad/precio</t>
  </si>
  <si>
    <t>Usada en una Canon 750D Dentro de todo el abanico de tarjetas SDHC, ésta es una de las mejor valoradas y con la mejor relación precio/calidad. Las velocidades de lectura y grabado no están nada mal para el precio que pagamos por ella y cumple con creces para un uso "amateur". Compra 100% recomendada.</t>
  </si>
  <si>
    <t>Kit batidora / picadora. Muy bueno Genial kit. Batidora con velocidad modulable segun la presión que se ejerza sobre el boton. Picadora de varios tamaños con diferentes cuchillas dependiendo de su uso</t>
  </si>
  <si>
    <t>Trinidad Estoy muy contenta con la compra, ya he combrado otros de otros colores porque son comodisimos y las tallas son reales no hay problemas. Tambien he comprado de esta marca otras prendas y todo muy bien. Seguire compranado de esta marca porque tiene cosas de mi estilo de vestir.</t>
  </si>
  <si>
    <t>Magnifico trato del vendedor Aunque no la he llegado a probar, es una maravilla de correa. Tiene pinta de ser muy duradera.  La pena es que no es compatible para la xiaomi mi band 4, es solo para la 3. La compre pensado que valdría (con eso de que las correas de la 3 son compatibles con la 4) pero no fue así.  El vendedor fue muy comprensivo a la hora de devolverlo y me informó de que sacarían la correa equivalente para la 4 durante este mes.  Así que esperaré a que la saquen para comprarla.</t>
  </si>
  <si>
    <t>Buena compra El envío muy serio y rápido como se esperaba. Él tamaño correcto, intermedio para el que no le guste grande y pesado</t>
  </si>
  <si>
    <t>muy buena la compre hace 3 años y estoy encantada,no he tenido ningún problema, es potente, para merengue o montar nata es ideal ,trae varilla, tritura muy bien, es robusta y se maneja bien, la recomiendo, merece la pena invertir un poco más</t>
  </si>
  <si>
    <t>Blandito y buenos conectores Es cable blandito, con recubrimiento gomoso, nada recio y muy flexible. Los conectores son estéreo y se ven de calidad, grandes y muy bien acabados. Un cable perfecto para ir de la pedalera al amplificador. Ya tenía otros productos de esta marca y no me ha fallado, justo lo que buscaba.</t>
  </si>
  <si>
    <t>Muy bonitos. Llegaron antes de lo previsto Son tal como se ven en la foto. A la niña le encantaron</t>
  </si>
  <si>
    <t>Masajeador Shiatsu muy relajante con efecto calor &lt;div id="video-block-R3NGLQXZC5KQVO"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src="https://images-eu.ssl-images-amazon.com/images/I/A1soDxF7R+S.mp4" style="position: absolute; left: 0px; top: 0px; overflow: hidden; height: 1px; width: 1px;"&gt;&lt;/video&gt;&lt;/div&gt;&lt;div id="airy-slate-preload" style="background-color: rgb(0, 0, 0); background-image: url(&amp;quot;https://images-eu.ssl-images-amazon.com/images/I/81jWuIJ+I1S.png&amp;quot;);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value="https://images-eu.ssl-images-amazon.com/images/I/A1soDxF7R+S.mp4" class="video-url"&gt;&lt;input type="hidden" name="" value="https://images-eu.ssl-images-amazon.com/images/I/81jWuIJ+I1S.png" class="video-slate-img-url"&gt;&amp;nbsp;Mi esposa sufre a veces dolores cervicales y le viene muy bien aplicar calor en la zona. Por mi parte, me atraía tener un dispositivo para masajes, así que coincidimos en adquirir este masajeador.  ¿Qué nos ha gustado?, lo resumo:   1) FUNCIÓN MASAJE CON OPCIÓN CALOR : tiene distintas velocidades y puedes elegir también cambiar la dirección de giro de los rodillos de masaje. Se puede ajustar de manera que el masaje sea más o menos intenso y válido para cualquier altura. Resulta muy agradable y muy sencillo de usar. El calor no es muy intenso, pero suficiente, especialmente cuando se usa durante el tiempo recomendado (15 minutos).   2)  BUEN MATERIAL . El masajeador está creado con materiales de calidad, resulta muy cómo ponerlo y ajustarlo a tu medida   3)  CONEXIÓN FÁCIL A LA CORRIENTE . Además, también permite opcionalmente un cable para poder conectarlo al coche. El cable es largo, lo que permite poder usarlo sin problemas.   4)  PROCESO DE MASAJE AUTOMÁTICO... El programa automatizado durante quince minutos. Para los novatos en masajes resulta fácil de usar. Y si te cansas, por supuesto, puedes interrumpirlo o cambiar la intensidad del masaje.    En conclusión, un buen aparato para disfrute de la familia. El manual recomienda no usarlo durante más de dos sesiones seguidas (en torno a 30 minutos) para que el aparato no sufra y se pueda deteriorar. Una posible mejora hubiera sido haber incluido algún estuche para su guardado.</t>
  </si>
  <si>
    <t>Bonito y sencillo Es muy sencillo de manejar y queda muy bonito y decorativo. Los aceites no me gustan demasiado,  el de lavanda me da la sensación de olor a matamoscas, el de mentol huele muy bien</t>
  </si>
  <si>
    <t>Perfecto Es perfecto tiene el tamaño adecuado, el sonido es genial y puedes hacerlo mas largo al final del embarazo. No se pone feo.</t>
  </si>
  <si>
    <t>Muy contento El producto está genial. Compré la versión con todos los accesorios, y son muy buenos materiales y resistentes. El brazo no pierde fuerza y se mantiene en la posición que lo coloques. El micro no es el mejor, pero si de los mejores por el precio que cuesta. Muy satisfecho.</t>
  </si>
  <si>
    <t>Estropeada al primer uso Compré 2, una dio el fallo de protegida contra la escritura al primer uso, la he intentado formatear de varias maneras y no ha servido. Ademas el pedido se retrasó 1 semana (aunque eso fue culpa de correos). Le doy 2 estrellas porque la 2nda aún funciona, ya veremos...  Por suerte y como de costumbre, amazon de 10, tanto solucionando el retraso como la devolucion de la defectuosa.</t>
  </si>
  <si>
    <t>Lamber No me gusta dicen que tiene los números grandes y no es así si me lo quedo es por tener uno de reserva aunque no se si aún lo devolvere</t>
  </si>
  <si>
    <t>estan bien, lo que se espera solo destacar que parece mentira pero los cordones se aflojan, los atas y se desatan constantemente, tendré que ponerles otros</t>
  </si>
  <si>
    <t>La calidad baja en picado Pedí una porque había tenido dos y me habían dado muy buen resultado. La primera que me llego no funcionaba y la segunda apenas calentaba. La calidad del producto deja mucho que desear. Decepcionada con la compra.</t>
  </si>
  <si>
    <t>Envoltorio en malas condiciones La zapatilla muy mal llevo dos días con ellas y se están desciendo por atrás y además es un poco estrecha para el que tenga el pie muy ancho,  Pedí el 47 y me está un poco justo ,pero seguro que cederá algo. la caja llegó muy rota y deteriorada y la bolsa que protege la caja también estaba bastante deteriorada, últimamente con UPS me pasa esto.</t>
  </si>
  <si>
    <t>Cepillo que no recoge migas de un mantel de tela ES una verdadera porquería para recoger migas de un mantel de tela, ademas de arrugarlo</t>
  </si>
  <si>
    <t>Preciosos Me encantan porque se parecen mucho a unos que tuve de pequeña. Al principio no cerraban bien pero basta con ensanchar un poco el aro y cierran a la perfección.</t>
  </si>
  <si>
    <t>Descripción producto: Buena compra. Acorde precio y calidad.</t>
  </si>
  <si>
    <t>Recomendable La calidad es buena, a pesar de que su precio es algo alto, es útil y manejable. se puede recomendar.</t>
  </si>
  <si>
    <t>Buen producto Es el producto de toda la vida, es buena marca y funciona bien. Lo compré porque en mi familia siempre ha existido este tipo de licuadora. Le doy una estrella menos, porque es un poco más ruidosa que las que he visto.</t>
  </si>
  <si>
    <t>Buena relación calida/precio El reloj llegó en su caja de cartón (simple, pero suficiente) acompañado de una bayeta y un destornillador adecuado para ajustar el brazalete. También viene acompañado de un pequeño manual de uso en inglés. El ajuste del brazalete se realiza de modo sencillo con la herramienta suministrada, ya que los pasadores son de tornillo; hasta el momento ninguno se ha aflojado. Mi muñeca es pequeña (16 cm), pero el brazalete se ajusta sin problemas. Para muñecas más estrechas, quizá no sea tan sencillo.  Estéticamente el reloj es muy similar a un Rolex Submariner. Las principales diferencias radican en que la caja es un poco más grande (43 frente a 40 mm) y los marcadores de las horas no son luminiscentes y, los puntos, en vez de ser planos como en el Rolex, parecen casquetes esféricos). A parte de eso, naturalmente, lleva el nombre y el logo de Pagani Design en lugar de los de Rolex.  En cuanto al movimiento, se trata de un calibre automático NH-35A de fabricación japonesa (Seiko). Ofrece parada del segundero y remonte manual (cuerda manual).  Es un modelo que ofrece más prestaciones de las que suele ofrecer el de relojes Seiko de un precio similar. Por ahora, viene adelantando unos 30 segundos diarios; podría haber tenido más suerte, pero lo considero aceptable. El cristal, supuestamente de zafiro sintético, hasta ahora no se ha rayado.  Por ahora, lo que más me incomoda es una ligera holgura que presenta el bisel giratorio.  Considero que al precio que lo adquirí en oferta flash (77,55 €), la relación calidad / precio es bastante buena. Seguramente también es buena compra por los 100 € que viene costando habitualmente.</t>
  </si>
  <si>
    <t>Están muy chulos Quedan muy punks Pesan algo pero lo justo</t>
  </si>
  <si>
    <t>buen aspecto Me ha gustado el producto. Me encanta el olor a piel nueva que tiene. los acabados son buenos. Ahora toca usarla y ver que durabilidad tiene. Dentro de unos meses reevaluaré la resistencia de este producto.</t>
  </si>
  <si>
    <t>Buena compra La verdad es que muy contenta, me la hago ya vez por semana, te queda la cara suave y el bote te da para bastante si no pones mucho grosor</t>
  </si>
  <si>
    <t>BUENO Es un buen diseño. Lo que esperaba en cuanto a funcionalidad</t>
  </si>
  <si>
    <t>LLEGO EN PERFECTAS CONDICIONES ME HA GUSTADO</t>
  </si>
  <si>
    <t>Buen reloj calidad precio Buen reloj lo mas negativo es que hay que ir regulando el altímetro</t>
  </si>
  <si>
    <t>Casio 100% Lo he comprado para un regalo y era lo esperado. Se ve un reloj bonito y por el precio está muy bien la compra</t>
  </si>
  <si>
    <t>Buen aroma Lo he utilizado para desodorante natural y el olor al cabo de unas horas apenas se queda ligeramente, pero es suficientemente fuerte para tapar el olor indeseable de la cera de abejas. No me ha parecido un olor excelente y con gran permanencia pero si bastante agradable, y por el precio, debo decir buen producto.</t>
  </si>
  <si>
    <t>Bolso de piel muy cómodo!!!! Piel auténtica. Cumple las expectativas a la perfección. Ideal para ciudad!!!!</t>
  </si>
  <si>
    <t>Casi dos años No puedo estar más contento. No le pongo ninguna pega 100% recomendado</t>
  </si>
  <si>
    <t>Buena compra Fantástica . Ha cumplido. Mis expectativas por encima de lo que esperaba. Habia probado varias mantas pero ninguna calentaba lo que decía ni la parte que pretendía cubrir. Está manera tienes varias opciones que te permite seleccionar las partes a cubrir y te permite regular la temperatura.</t>
  </si>
  <si>
    <t>USB búho Me ha encantado !!! Es super practico y muy bonito!!!</t>
  </si>
  <si>
    <t>Recomendable Hola a todos utilizó una 36 y perfecto, al ser abierto hay que poner pinkis o medias transparente para mí son muy cómodos por qué ni pie es fino</t>
  </si>
  <si>
    <t>Perfecto Funciona muy bien y quita los pelos muertos, un 10, contenta con el producto y compraré otro mas adelante ☺</t>
  </si>
  <si>
    <t>Tamaño ideal y hace su función Es de tamaño ideal, no molesta ni estorba y queda muy bien.</t>
  </si>
  <si>
    <t>Sudadera exelente calidad Me gusrado</t>
  </si>
  <si>
    <t>Zapatillas estupendas para trabajar Mi padre se dedica a la hostelería y por tanto pasa largos periodos de tiempo de pie y caminando. Estas zapatillas son ideales para este u otros trabajos similares. Muy cómodas y estéticas. De hecho, le he comprado dos pares.</t>
  </si>
  <si>
    <t>bien las compré aprovechando una oferta y no me arrepiento nada, volvería a comprar sin duda</t>
  </si>
  <si>
    <t>No es útil No he notado que se quede más limpio el depósito tras realizar la limpieza con este vinagre. Y de hecho cuesta bastante de quitarse el olor.</t>
  </si>
  <si>
    <t>Buen diseño, potencia escasa a) La base de la batidora tiene una magnífica calidad de acabados y ensamblaje del motor. El acero inoxidable le sienta bien, tiene mucha calidad. Lo absurdo es la escasa potencia y que tenga 2 velocidades. Si bien las cuchillas son de acero, son muy finas y están muy separadas entre sí. En la práctica sirve más para triturar o picar frutas y verduras, incluso desmenuzar frutos secos. Lo mejor es su delgadez y la facilidad para retirar y lavar las cuchillas.  b) El vaso superior de cristal es increíble por calidad y tamaño. Lástima la unión a la base de rosca de plástico. La unión es firme pero no deja de ser un poco "chapuza". No obstante será complicado que se rompa pues la velocidad de giro no es alta.  c) El accesorio de la botella de plástico con tapón.....se agradece pero es inncesario. Más valía haber mejorado la unión del vaso supeior, hacer las cuchillas más grusas y dotarla de mayor potencia llegando a los 600 w.  En la práctica hay que ser paciente. Hacer su trabajo lo hace pero necesita más tiempo del necesario. El batido es muy lento, produce mucha espuma y grumo. Para que desaparezca el grumo o no deje trozos de fruta hay que insistir en velocidad "alta" pero a costa de mayor espuma. Para ayudar a la batidora es mejor mezclar con leche y/o agua. Ni que decir tiene que no es capaz de batir fresas congeladas para hacer un batido, crea una espuma insufrible y aparecen demasiados trozos sin batir.  Es un producto que sólo interesa por estética y si eres poco exigente ya que es poco eficiente.   Los batidos salen correctos con paciencia, siempre que utilices agua o leche para ayudar</t>
  </si>
  <si>
    <t>Decepcionante La lu, azul ilumina toda la habitación, haciendo algo complicado que se aprecie cunado aumenta/desciende la intensidad de la luz, el cuarto entero se ilumina totalmente.</t>
  </si>
  <si>
    <t>la descripción ha quedado muy grande. la tabla de tallas no encuadra con el articulo.</t>
  </si>
  <si>
    <t>Mala calidad! Al poco tiempo se ha despegado la suela de la tela</t>
  </si>
  <si>
    <t>Gran pizarra a buen precio. Es una pizarra grande a muy buen precio, hay que comprar aparte los rotuladores pero es algo que no hay problema, es fácil de limpiar y  tras un par de meses está como el primer día.</t>
  </si>
  <si>
    <t>Cómodas pero inadecuadas para climas calurosos Las sandalias son muy cómodas, sobre todo porque son anchas en la parte delantera y muy flexibles en general. La única pega es que al ser de plástico suda mucho el pie con el calor por lo que probablemente no volvería a comprar este modelo tan cerrado.</t>
  </si>
  <si>
    <t>No me acaba de convencer Tengo otros zapatos de esta marca y se ajustan mejor a mi pie, siendo de la misma talla. Será cuestión de que se den de si.</t>
  </si>
  <si>
    <t>Funciona muy bien a precio inmejorable Muy buena acción depuradora</t>
  </si>
  <si>
    <t>Los mejores BT calidad/precio Andaba buscando unos auriculares BT para estar cómodamente en el sofá mientras escucho mi música de Spotify o cuando viajo en avión. Al bajar al precio actual de 79€ no tuve dudas y me lancé a ellos después de leer varias reviews.  Son ligeros y las almohadillas son muy cómodas. Si a ello le añadimos que son plegables pues tenemos unos cascos muy polivalentes. Al ser BT4.0 y el codec aptX tenemos música en alta calidad y que no desmerece nada a mis otros cascos con cable. Los auriculares son cerrados por lo que no molestas ni te molestan.  El emparejamiento por BT al iPad y al iPhone fue instantáneo por lo que ningún problema.  Si estáis dudando con unos cascos BT por precios menores a 100€ creo que esto se soñó la mejor opción. No olvidemos que Sennheiser los lanzó a 150€ el año pasado.</t>
  </si>
  <si>
    <t>Genial Nos encanta y que de pueda esterilizar en el microondas tan rápido perfecto!</t>
  </si>
  <si>
    <t>Buenos cascos con cable MUY LARGO Tienen un cable muy largo, que es lo que yo buscaba. Conexión jack, más sencillo imposible.</t>
  </si>
  <si>
    <t>Excelente Excelente mejor imposible, muy lindo, super cómodos, recomendado 100%</t>
  </si>
  <si>
    <t>perfecta Es preciosa y va de lujo. La usamos tanto como para tés como para cocinar ahorrando tiempo o incluso para hervir agua para limpiar algunas cosas. Es muy rápida, tiene mucho rango de capacidad con lo que te vale la pena para hacerte un té o hervir agua para un arroz o para una pasta y ahorrarte unos minutillos en la cocina cuando vas liada. La usamos un montón, tanto, que no la quitamos de la encimera.</t>
  </si>
  <si>
    <t>Comodos Pedi el 43-46,calzo un 43,y me quedan perfectos,y son cómodos...el envío perfecto....</t>
  </si>
  <si>
    <t>EL SONIDO, Es pequeño. Se lleva a todas partes y el sonido es espectacular.</t>
  </si>
  <si>
    <t>Que la cadena no se ponga negra. Es muy bonito y de momento me ha gustado mucho espero que la cadena no se ponga negra.</t>
  </si>
  <si>
    <t>Los mejores biberones Son los mejores bibes que he usado. Mi bebe lo cogió muy bien, mejor que los nuk o suavinex. No gote nada al batirlo a diferencia de los otros que son un desastre. Son lo mejor que he probado lo recomiendo al 100%</t>
  </si>
  <si>
    <t>Muy cómodas Son unas zapatillas muy cómodas y bonitas, sin cordones. Lo único que no me gusta es que en la suela se quedan encajadas las piedras pequeñas del suelo</t>
  </si>
  <si>
    <t>La duración de la batería es buena. El reloj tiene un buen tamaño y debido a los diferentes modos se puede elegir si se debe utilizar como un reloj inteligente o como un rastredor de fitness.Es muy fácil de usar,fácil de ajustar y la conexion al teléfono inteligente fue muy fácil. Tiene enorme duracion de la bateria,tenga el reloj en uso durante 7días y todavía tiene 45% de batería.</t>
  </si>
  <si>
    <t>Bien Es bueno y rápido. Una marca ya conocida por mí pero un modelo nuevo. Y por lo que la he utilizado hasta ahora funciona muy bien y es pequeña y práctica. Relación calidad-precio muy buena para si tienes que entregarlo no sea excesivamente caro. También lo cogí de menos capacidad por ello.</t>
  </si>
  <si>
    <t>reloj casio el reloj se ajusta a lo que quería, cálida precio excepcional</t>
  </si>
  <si>
    <t>Muy bien Las uso para jugar padel y la verdad son lo mejor ajustables y muy cómodas</t>
  </si>
  <si>
    <t>Estupendo!! Va muy bien de momento. Lo tengo desde el 8 de marzo y la verdad es que te relaja la musculatura de la espalda mucho. Lo recomiendo!</t>
  </si>
  <si>
    <t>múltiples usos Los he comprado para poder dormir en los vuelos por su característica de cancelación de ruidos. Funciona a la perfección pero además son tan cómodos y livianos que también me los llevo para escuchar música al correr o en el metro y hasta para mirar la televisión gracias al bluetooth</t>
  </si>
  <si>
    <t>Gran hervidor Muy contento con la adquisición de este hervidor. Calienta muy rápido el agua, con un mínimo de medio litro y un máximo de 1,7l me viene perfecto. Además de que una vez está hirviendo el agua se para solo. Os lo recomiendo.</t>
  </si>
  <si>
    <t>Bueno Lápiz de gran capacidad y a buen precio.</t>
  </si>
  <si>
    <t>NO SON ORIGINALES, pero suenan bien. NO SON ORIGINALES, pero suenan bien. Me jode mucho que anden mintiendo, son exáctamente identicos y la unica diferencia se nota en los bajos, que son "algo"menos potentes. Por lo demas muy bien. Evidentemente no justifica que los originales cuesten mas de 80 euros asi que estupendo</t>
  </si>
  <si>
    <t>buena calidad. corte raro la sudadera es de buena calidad. perfecta para el curro ya que necesitaba una lisa negra. el problemilla que le veo es que es muy corta de abajo, la talla es un poquito grande y las mangas muy anchas. Es un poco de los 90.</t>
  </si>
  <si>
    <t>Laminita de 1mm de corcho más carton ondulado De corcho tiene para decorar, si rascas un pelín con la chincheta salta la laminita de corcho. Por el precio te sale más a cuenta ir por uno al chino más cercano, seguro que la calidad es mejor.</t>
  </si>
  <si>
    <t>PRODUCTO ESTROPEADO Estábamos encantados con el producto, pero sólo lo habíamos usado una vez en enero. Al ir a usarlo este pasado fin de semana, NO FUNCIONA. ¿nos lo pueden reemplazar o arreglar?</t>
  </si>
  <si>
    <t>Quiero  el ingreso  de los pendientes en mi cartilla on el vendedo No es el pendiente que ponen en la Pajina de Amazon.  Allí la piedra cubre todo el espacio del centro. .... estos pendientes. No. Es muy pequeña la piedra del centro</t>
  </si>
  <si>
    <t>El agarre y el confort de la zapatilla. Me compré estas zapatillas por la suela, buen agarre, confortable en suelos irregulares, con barro, piedras, y desnivel. La recomiendo. Compré 2 números, el mío habitual, y uno más, por las recomendaciones leídas. Pero me quedé con mi número.</t>
  </si>
  <si>
    <t>La comodidad Las utilizó desde hace muchos años, tanto en blancas como en negro</t>
  </si>
  <si>
    <t>Perfecto Es muy util para batir sobres de medicamentos, es el uso que le doy y perfecto....</t>
  </si>
  <si>
    <t>Comodidad El diseño en si es algo feo, pero la calidad parece bastante buena y aguantan bastante la temperatura. Quizá la única pega es que resulta algo extraño caminar sobre los granos, no tiene mucha estabilidad.</t>
  </si>
  <si>
    <t>Bien Muy cómodo</t>
  </si>
  <si>
    <t>Perfectas He descubierto esta marca hace poco y en menos de 1 mes son los segundos que me compro. Son una auténtica pasada. Yo los uso para el trabajo puesto que paso muchas horas dd pie y ando mucho y parece que floto, no notas para nada el zapato, se adapta genial a la pisada y no roza en ningun sitio. La mejor compra! Uso un 36 y calza perfecto.</t>
  </si>
  <si>
    <t>muy fragiles Al tercer uso se me ha roto, pero la comunicación ha sido perfecta. Me los cambiaron.</t>
  </si>
  <si>
    <t>Buena relación calidad precio y rápido en el envio Llegó a tiempo. La calidad no es la mejor del mercado pero por su precio no esta mal. Hace su función al menos para mi</t>
  </si>
  <si>
    <t>Totalmente satisfactorio Es perfecto, muy buena calidad</t>
  </si>
  <si>
    <t>Para cualquier actividad Auriculares muy cómodos para andar y hablar por teléfono. Con el sistema stéreo, la calidad del audio es muy alta y se escucha de manera clara. La caja que trae para guardarlos es la que se encarga de la recarga. Su autonomía es muy alta, a pesar que es un manos libres, lo he utilizado para escuchar música y me ha durado 6 hs ininterrumpidas y su recarga es de aproximadamente 2 o 3 horas. Muy recomendado.</t>
  </si>
  <si>
    <t>Calidad Es la mejor, sencilla de usar y de limpiar, la potencia es mas q suficiente, no aconsejo picar hielo, no es la thermomix, para todo lo demas es la mejor bastidora.</t>
  </si>
  <si>
    <t>Un Casio de los 90 tal cual. Es justo lo que esperaba. Buen reloj estilo de los 90. Lo único que esperaba que fuera retroiluminado y solo tiene una pequeña luz algo insuficiente. Pero así eran los primeros casio!</t>
  </si>
  <si>
    <t>Compatibles 5A Prime Necesitaba auriculares compatibles con el Redmi Note 5A Prime y estos son perfectos! Sonido claro y buen ajuste de las almohadillas</t>
  </si>
  <si>
    <t>CHULISIMO💃🏼 Muy chulo y ligero.Me encanto calidad precio.Casio original . Envío rapidísimo y envoltorio en 10.</t>
  </si>
  <si>
    <t>Funciona a la perfeccion Funciona a la perfeccion. Gracias</t>
  </si>
  <si>
    <t>Hervidor de agua Me ha encantado. Calienta súper rápido. Cumple la función</t>
  </si>
  <si>
    <t>Cómodas y ligeras!! Simplemente comodísimas y ligeras, son mis primeras Skechers pero sin duda repetiré, son bonitas, no pesan y se amoldan muy bien al pie. El número pedí el que uso habitualmente y me va perfecto.</t>
  </si>
  <si>
    <t>Buenos resultados Facil de utilizar y seca el mocho muy bien con poco esfuerzo</t>
  </si>
  <si>
    <t>Lumi Muy bien.a mi marido le encantó y está muy contento con el .No es demasiado grande,y no pesa nada.buen precio también.</t>
  </si>
  <si>
    <t>estupendos calcetines son los mejores calcetines que comprar alguna vez en mi vida me mantiene los pies secos y saludables</t>
  </si>
  <si>
    <t>Anónimo El mejor bibi de aguacque he encontrado hasta la fecha, no gotea y a la vez el bebé no tiene que succionar muy fuerte para beber.</t>
  </si>
  <si>
    <t>Precio y calidad inmejorables. Estan super bien eso si hice bien en comprarme un número más porque sino me hubiesen quedado justitas.</t>
  </si>
  <si>
    <t>Vale más de lo que cuesta Sin duda las valoraciones de otros clientes no estaban equivocadas. El cepillo es de gran calidad y cuesta bastante menos de lo que cuestan otros semejantes. Lo he utilizado con agua y jabón y la parrilla ha quedado muy bien. Creo que va a durar bastante tiempo y realizará su función por muchos años. Viene de regalo una brocha para cocinar que puede ser útil. Recomiendo su compra sobre otros cepillos por su relación calidad/precio.</t>
  </si>
  <si>
    <t>Muy ruidosa Para mi es muy ruidosa, eso si tiene mucha potencia, el vaso me parece muy endeble, la tapa no ajusta bien de echo hay que esta sujetándola cuando se usa el aparato por que sino se sale y se derrama lo que estas batiendo</t>
  </si>
  <si>
    <t>Dura un año Este Bolso no esta mal, lo malo es que al poco tiempo se deteriora y no me ha durado ni un año...</t>
  </si>
  <si>
    <t>Agridulce Decidi comprarlas ya que me voy a thailandia de viaje en una semana y tenian buenas reseñas. Me he llevado una sensacion agridulce, por un lado quedan bien (mi talla me va perfecto) y el zapato en si tiene pinta de cumplir su funcion. Por otro lado, parece que los materiales sean de calidad media (el agarre frontal para sujetas cuando introduces el pie se ha roto literalmente en el primer intento) y no se cuanto durarán. Entiendo que para el precio pagado están bien, pero no se si las de decathlon a largo plazo serán casi mejores</t>
  </si>
  <si>
    <t>Alfombra No es como en la foto</t>
  </si>
  <si>
    <t>Demaciado pequeño No me gusto</t>
  </si>
  <si>
    <t>Un regal amb el que sempre pots quedar bé. Ideal per regalar.</t>
  </si>
  <si>
    <t>Muy comoda Fácil de usar, fácil de limpiar, muy cómoda y con buena potencia</t>
  </si>
  <si>
    <t>Buen reloj Perfecto. Era un regalo y acertamos. Genial para diario y darle trote.</t>
  </si>
  <si>
    <t>sujetador sorprendentemente bien. Tengo mucho pecho y sujeta muy bien. Solo queda que sea resistente a la lavadora, el tiempo lo dirá. otros más caros me han aguntado una media de 5 años, veremos como aguanta este con el tiempo</t>
  </si>
  <si>
    <t>Es muy ligero Tarda mucho en cargar la bateria</t>
  </si>
  <si>
    <t>Diseño y calidad Calcetines de buena calidad, ajustan perfectame al pié. Son muy bonitos. Los volveré a comprar.</t>
  </si>
  <si>
    <t>Excelente Este modelo de Oster es conocido por ser robusto, y este en específico no es la excepción.  Tiene muy buena fuerza y sirve tanto para uso en hogar como en restauración.</t>
  </si>
  <si>
    <t>Muy buena calidad y confortable Tuve que cambiarlas por un número mas pequeño me quedaba demasiado grande. Pero la calidad es la piel y en general es muy buena. Estoy muy contento con la compra. Recomiendo esta marca sin duda.</t>
  </si>
  <si>
    <t>Limpiar parrilla Perfecta</t>
  </si>
  <si>
    <t>Comprobado No había opinado hasta ahora porque aunque aparentemente parecía bien, no había tenido ocasión de probarlo. No era plan pinchar una rueda a propósito y menos la de la moto. Perfecto, circulé con la mecha puesta ya más de 2.000 km y está es su sitio perfectamente y sin fuga de aire. Hay que dar un cuarto de vuelta antes de quitar la aguja para que quede bien grande por dentro de la rueda y no se salga. Pero me funcionó a la perfección.</t>
  </si>
  <si>
    <t>Mágicas de verdad Pedí estas esponjas por las buenas opiniones de otros clientes, y de verdad que me han sorprendido.  Por ahora me han servido para limpiar un sillón de polipiel y muebles de plástico de exterior, donde usando producto multiusos con un paño no se quedaban bien. De esto último pongo una foto como ejemplo. Pronto las usaré para los bordes de las suelas de mis deportivas.  Vienen bien embaladas en un pack de 10 unidades, que se pueden cortar al tamaño deseado. Sólo hay que mojarlas con agua y frotar sobre la superficie a limpiar. Se enjuagan y la suciedad en ellas se va fácilmente. Han sido un gran descubrimiento.</t>
  </si>
  <si>
    <t>cable de guitarra fino cable de guitarra con un grosor de 4mm, y ligeramente rígido, si lo doblas que se queda doblado. Los conectores son de plástico, no parece que vayan soldados por dentro.</t>
  </si>
  <si>
    <t>Superior Es fantástico! Funciona de maravilla</t>
  </si>
  <si>
    <t>De 10 Estas zapatillas son fabulosas, buen material, buen tacto, son súper cómodas y duran mucho tiempo. Me parece que son unas de las mejores zapatillas que he comprado.</t>
  </si>
  <si>
    <t>increible compra Aún no me puedo creer que haya comprado unas panama jack por menos de 90 euros. Buenas botas, calidad española, piel genuina y forradas por dentro para el frio. Recomendable 100%</t>
  </si>
  <si>
    <t>Buen producto Buen selladior tubeless, recomiendo su compra, es mas liquido que otras marcas y no se seca tan rapido.</t>
  </si>
  <si>
    <t>Perfecto . Todo genial .</t>
  </si>
  <si>
    <t>Perfecta d talla Perfecta</t>
  </si>
  <si>
    <t>Practica. Ideal para hacer batidos en poco tiempo y fácil de limpiar.</t>
  </si>
  <si>
    <t>Mocho Vileda Turbo Me ha gustsdo por su comodidad y absorción pero no tanto su durabilidad.</t>
  </si>
  <si>
    <t>Perfectas!!!! Muy buen producto!!! Tallan perfectas! yo tengo 39 y me quedan muy bien.</t>
  </si>
  <si>
    <t>Maravilloso Lo estamos usando toda la familia....y para resumir :es una maravilla.......y me lo entregaron en el tiempo que dijeron..... genial.... felicitaciones Naipo  y Amazon</t>
  </si>
  <si>
    <t>Repetiría Pedido entregado a tiempo. Cumple totalmente con mis expectativas. Son muy cómodas, con buenos acabados. Pedí una talla 37 que es la que uso habitualmente y sin problemas. Calidad/precio superado.</t>
  </si>
  <si>
    <t>Excesivo volumen en los graves Hay tres cosas que yo valoro a la hora de elegir este tipo de auriculares: 1. La reducción de ruido: sin duda es uno de los mejores pero para nada el mejor. quita como un 80 del ruido de fondo. Las conversaciones, ruidos de un supermercado, por poner algún ejemplo, no las quita y es como si retumbasen dentro del auricular. 2. El sonido: para mi, unos auriculares de este precio tendrían que estar bien balanceados de graves, medios y agudos. Pues no es así. Toda la zona de graves es, (según cada uno, claro) para mi, insoportable. Sólo quitando de 10 a 15 dB se puede aguantar. Por eso he puesto una estrella solamente. 3. Y por último, la presión que se nota dentro del oído. Estos auriculares son de un tamaño más bien moderado y cubre justo la oreja. A mi me ha dado la sensación de excesiva presión interna al cerrar completamente y al estar tan cercana la fuente de sonido al oído, lo que provoca un cierto malestar. (Esto es opinable según la salud auditiva de cada persona, claro. Como aspectos buenos diría que son cómodos y pesan muy poco. Estéticamente son bonitos.</t>
  </si>
  <si>
    <t>Muy buena La compré para sustituir la que se rompió. No me la quito nunca, ni para ducharme. Actualizado: Se ha puesto negra.</t>
  </si>
  <si>
    <t>No sirve para nada Lo peor que he comprado en mucho tiempo, tirar el dinero. Después de lo que ha tardado en llegar totalmente fuera de plazo, no sirve para nada...</t>
  </si>
  <si>
    <t>NO SIRVE No he adquirido el recoge migas por Amazon pero lo tengo en casa y puedo asegurar que es todo menos un recoge migas. Las cerdas de los tres rodillos son demasiado duras y lo único que consiguen es arrastrar la tela del mantel pero no las migas. Su nombre correcto sería "esparce migas" os aseguro que no recoge nada y sin embargo acaban más migas en el suelo que en la mesa. Desconozco si el fabricante dispone de otros modelos pero esté en concreto es totalmente inútil. No lo recomiendo para nada, es más, regaló el mío.</t>
  </si>
  <si>
    <t>Nerea17 No es nada con lo que pone en la descripción.</t>
  </si>
  <si>
    <t>Juan M Buen microfono parece de buen material, pesa bastante no es de plastico y no suena mal por el precio que tiene esta bien</t>
  </si>
  <si>
    <t>bien la compramos hace ya bastante tiempo, mi mujer esta encantada , no gasta mucha luz en exceso , sigue funcionando ( creo que la compre hace mas de 1 año ) lo unico que con el tiempo le van saliendo bolas en la tela, pero bueno por el precio no se puede pedir oro , por lo demás genial y calentar calienta.</t>
  </si>
  <si>
    <t>Muy comodas, como un guante Quedan perfectas, como todas las munich</t>
  </si>
  <si>
    <t>A la semana empezaron a hacer unos ruidillos. Se oyen bien, pero a los pocos días empezaron a hacer un poco de ruido, como de cable suelto... la cuestión es que no siempre pasa y es medio imperceptible. Me dan la sensación de que son muy frágiles y no los puedes estar guardando y sacando porque los cables se fastidian y hacen esos ruidos.</t>
  </si>
  <si>
    <t>Si es de oferta, merece la pena Tiene multitud de funciones, también es resistente y parece que aguanta bien el paso del tiempo. Por otra parte, es complejo de configurar y entender si no estás acostumbrado. Recomendado</t>
  </si>
  <si>
    <t>calidad zapato muy versátil, cómodo, robusto, calidad y a la vez elegante, muy buena compra</t>
  </si>
  <si>
    <t>Muy buena Se adapta perfectamente, buena calidad del acero inoxidable y buen pulido, la media luna tapa completamente los pasadores, trae útiles para colocar los pasadores y para ajustar el armis a la muñeca, muy recomendable si buscas un armis metálico que se adapte al gear S3 Classic.</t>
  </si>
  <si>
    <t>Los he valorado hace días como buenos... Los he valorado hace días como buenos...</t>
  </si>
  <si>
    <t>Seagate Pipeline HD - Disco duro interno de 500GB Todo perfecto y en buen estado. Articulo enviado totalmente protegido. He probado el producto, y funciona perfectamente. Por el precio cumple totalmente su función. Lo volvería a comprar.</t>
  </si>
  <si>
    <t>PERFECTA Todo positivo. La verdad que va muy bien. Es potente y resiste. La compré por varios motivos. Uno, por la marca. Todo lo que he tenido de esta marcha ha dado muy buenos resultados. Yo ya recuerdo la picadora 1, 2, 3 que tenía mi madre hace más de 30 años y todavía la tiene. Por otro lado, me hacía ilusión el accesorio para las salsas, que he de decir que a mí me ha ido muy bien. Y otro motivo ha sido el pie de acero. La mía tenía el pie de las cuchillas en plástico blanco y tenía claro que no quería otra igual porque con el tiempo llegan a quedar manchadas y queda feo, haciéndolas parecer viejas e incluso parece antihigiénico. Por poner alguna pega diría que el accesorio para las salsas no es de fácil limpieza y que los vasos no llevan tapa, cosa que la anterior que tenía, una Braun, sí llevaba y son muy útiles porque si haces un batido o una salsa y quieres dejarlo ahí en la nevera, lo puedes meter con su tapa y va muy bien. Por lo demás, la recomiendo.</t>
  </si>
  <si>
    <t>tarjeta microsd kinhston de 32 GB En mi caso he comprado esta tarjeta para un teléfono móvil y funciona a la perfección, encima viene con el adaptador a SD por si lo quieres conectar al ordenador, por ejemplo, o por si quieres usar la tarjeta en otro aparato que utilice SD en lugar de microSD (por ejemplo una cámara de fotos). Da buena lectura y escritura y es segura lo que ya me esperaba dada la marca de la tarjeta. Recomendada, ademas buenas calidad/precio.</t>
  </si>
  <si>
    <t>perfecto pedí dos estuches de Faber Castell, y perfecto para las clases de tecnología de mis hijos les han dicho que son los mejores</t>
  </si>
  <si>
    <t>muy completos, de lo mejor en su categoría por debajo de 250€ Creo que son unos auriculares muy buenos dentro de su rango de precio, una opción fantástica que puede llegar a competir con modelos de 350€, como el Beoplay 8.0, los sennheiser momentum true wireless o Master and Dynamic mw07, tengo estos modelos y aunque no llega a la calidad de sonido, jugando con el equalizador se consigue un nivel de calidad muy similar. En resumen por si no quieres leerte todo, son una excelente opción dentro del rango de precio de 250€ y cumplen bien en todos los apartados.  Lo que mas me ha gustado:  ✅MANOS LIBRES ------------------------------------------- - Muy bueno, se escucha al aire libre mejor como si cogieras el teléfono, el interlocutor no nota en absoluto que estas usando un manos libres y esto no es habitual en modelos inalámbricos, creo que hasta ahora esta en el top en cuanto a manos libres.  ✅CANCELACIÓN DE RUIDO ------------------------------------------- En este apartado no llega al nivel de calidad de su hermano mayor Sony WH1000XM2 , pero sorprende como algo tan pequeño es capaz de cancelar así, que junto con las almohadillas que también anulan el ruido se consigue un nivel de aislamiento bastante bueno, suficiente como para ir en el metro sin necesidad de subir el volumen. Cuando mas notas la cancelación es cuando te los quitas. Con la aplicación para el teléfono puedes configurar para que la cancelación de ruido se adapte según el estado, si andas, te paras o si vas en coche, funciona bastante bien. Donde podría mejorar es en el modo transparencia, que permite escuchar el ruido del exterior, funciona bien pero no es tan impresionante como en el modelo de Sennheiser true wirless, que se escucha el exterior como si no tuvieses nada puesto y la música de fondo.  ✅CONEXIÓN ------------------------------------------- Muy rápida, es sacar el auricular del estuche y ya esta emparejado con el teléfono. Puedo tener el teléfono en el pantalón sin que pierda señal, esto con los beoplay por ejemplo me fallaba en ocasiones y me obligaba a llevar el teléfono en el bolsillo de la camisa o en la chaqueta, con este modelo no me sucede.  ✅CALIDAD DE SONIDO ------------------------------------------- De base la ecualización es un poco plana, jugando con la app puedes ecualizar a tu gusto y se consigue mejorar bastante, aunque subas los bajos no llega a saturar, pero no tiene mucha pegada. Son unos auriculares que suenan bien pero para los amantes de los bajos quizás noten que le falta algo.  ✅CONFORT ------------------------------------------- A pesar del tamaño son unos auriculares ligeros y bastante cómodos. Incluye 7 pares de almohadillas de diferentes tamaños y materiales, si no estás cómodo con estos es que los auriculares de este tipo no son lo tuyo  Lo que menos me ha gustado:  ❌ESTUCHE ------------------------------------------- Para mi gusto demasiado voluminoso para llevarlo en el bolsillo, lo interesante del estuche es que sea compacto y lo mas fino posible, pero este es todo lo contrario, parece pensado para llevarlo en un bolso o mochila. Lo bueno es que usa usb-C y carga rápido. Los auriculares se colocan muy fácilmente porque van imantados y prácticamente se colocan solos al acercarlos.  El diseño hay de destacar que aunque es algo mas grande de lo habitual no molesta, se lleva cómodamente y se puede correr con ellos sin que se caigan, la ventaja de este diseño es que nos da hasta 8 horas de reproducción con una sola carga, donde lo habitual en este tipo de auriculares es que esté cerca de la 6.  ❌BOTONES ------------------------------------------- Dispone de un botón táctil en cada auricular, con esto hay que controlar todo, reproducción, volumen, cancelación... lo que supone hasta tres toques seguidos para realizar una acción. No es muy intuitivo y tienes que aprenderte los comandos. Por ejemplo, el auricular derecho te permite controlar la reproducción y el izquierdo la cancelación. Puedes cambiar la respuesta desde la app.  ❌DEPORTE ------------------------------------------- No aparece ninguna información sobre si son resistentes al agua, yo los he usado para correr y aguantan sin caerse, pero no los recomendaría para hacer deporte porque no creo que soporten bien el sudor y el diseño no me da seguridad porque aunque se sujeta bien puede llegar a caerse.</t>
  </si>
  <si>
    <t>Recomendable 100% Muy recomendable. Si que es cierto que quizá la cantidad que cabe en el vaso es justa, pero para una persona sola es suficiente. Tritura todo perfecto y muy rápido.</t>
  </si>
  <si>
    <t>Cómpralo! Llevo un tiempo utilizándolo y esta genial! Con la función para la targeta microsd va genial, a mejorar el volumen (que para mi gusto podría tener más, por el ruido de la calle)  pero por todo lo demás INcreible! Practico y más que aceptable para su precio! No pesan nada Son muy prácticos para llevar La targeta microsd es un punto añadido Calidad precio perfecto!</t>
  </si>
  <si>
    <t>Genial Colgante muy fino, es ideal para regalo y por el precio la verdad que está muy bien, viene con cajita</t>
  </si>
  <si>
    <t>Bastante bien Nada mejor por ese precio. Buen sonido y muy cómodos.  Lo uso con iPhone y conectan al instante</t>
  </si>
  <si>
    <t>Carlos vallejo Precioso en pocas palabras a conjunto con los pendientes quedan preciosos en una mujer un gran regalo para alguien especial!!</t>
  </si>
  <si>
    <t>Presentación Ha venido en un paquete conjunto, en lo que todo esta perfectamente embalado, con sus cajas originales, manuales  y precintos. Queda probar su funcionamiento. Por cierto, el tornillo de sujección de esta memoria, no viene con la memoria, si no, con la placa base.</t>
  </si>
  <si>
    <t>Material resistente El plástico es de muy buen material aunque se haya caída varias veces ni se rompe, es fácil de agarrar para los niños,es anticolicos y la tetina es de silicona de hecho es el único que quiere nuestra niña. La única pega es un poco difícil de limpiar hasta el fondo por lo largo que es habría que comprar una escobilla para biberón a parte para limpiarlo bien cada vez. Espero haya sido útil esta reseña, si así es, dale al LIKE. Gracias</t>
  </si>
  <si>
    <t>MUY BUEN SONIDO Muy buen sonido y muy buen precio . Graves inmejorables . Son unos auriculares con cable que uso en el gym y para hacer running.  No se salen de los oídos.  Procura no escucharlo a todo volumen para no dañar tus oídos.</t>
  </si>
  <si>
    <t>Conforme Me gusta, es bonito. Es exactamente como en la foto. La foto de la portada se puede retirar y poner la que se quiera. Tiene muchas páginas, o sea que caben muchas fotos. Las páginas son negras así que recomiendo que si pretendéis escribir en ellas lo hagáis con un boli blanco o de cualquier otro color claro o metálico en gel para que se vea.</t>
  </si>
  <si>
    <t>Decepcionado. El reloj viene en un cartón dentro de una bolsita de plástico, NO TRAE INSTRUCCIONES y VIENE SIN FACTURA. NO sé si será original.</t>
  </si>
  <si>
    <t>bueno dentro de lo que esperaba bueno dentro de lo que esperaba</t>
  </si>
  <si>
    <t>Luces con un poco de perfume Hay que echar muchas gotas para que huela algo. Y entonces pica la garganta por lo menos mi. Luces muy bonitas</t>
  </si>
  <si>
    <t>Pesa poco pero tendrían que cuidar el diseño Lo que más me ha gustado es su suavidad y lo poco que pesa sobre los hombros. Lo que menos es que tiene unos bordes gruesos que te incomodan cuando la llevas acostado o tumbado. Al máximo que es la posición 3 calienta bien, pero no tanto como hubiera deseado. En cuanto al ajuste queda perfecto para alguien con más envergadura que yo. En las fotos lo lleva mi hijo. Aún así, Me he puesto una crema para las contracturas y la almohadilla durante dos días, mañana y tarde  unas dos horas cada vez. He notado muchísima mejoría.</t>
  </si>
  <si>
    <t>no funciona Tardo mas de lo esperado en llegar y cuando lo monto para probarlo no funciona , me decepciono por completo , he pedido uno similar , espero que esta vez si que funcione por que lo uso para emitir en directo y esto me a causado molestias .</t>
  </si>
  <si>
    <t>pulsera cuentas La verdad que no es nada del otro mundo, pero por el precio que tiene.</t>
  </si>
  <si>
    <t>Rebeca Goyenechea Muy silenciosa no es...la jarra pone que es de 2'3l, pero solo se puede trabajar hasta 1'5l. A parte de todo esto parece buena batidora</t>
  </si>
  <si>
    <t>Buena compra Mi hija de 7 años lo usa para sus clases de flamenco y le va bastante bien, pedí una talla más y la queda fenomenal. Para clases no profesionales es muy correcto. Llego en perfecto estado.</t>
  </si>
  <si>
    <t>Casi todo muy bien El reloj cumple con todas las expectativas. En mi caso no es una grata experiencia porque no se adapta bien al tamaño de mi muñeca: si coloco el cierre en el agujero más ajustado, acaba dejando marca y si lo pongo en uno más abierto, el reloj acaba bailando un poco sobre la muñeca. Por lo demás, todo perfecto.</t>
  </si>
  <si>
    <t>en general es un buen producto Los acabados están muy bien, calienta solo por la parte de abajo. Hay que ponerlo a máxima potencia siempre, si no, apenas se nota. Para calentarte los pies en casa es suficiente, para ir al pueblo donde hace mas frío se queda un poco corto. Yo creo que es una buena compra siempre que estés en un sitio no demasiado frío.</t>
  </si>
  <si>
    <t>Muy buena batidora - Muy buena calidad y buen acabado - Al batir no salpica nada. - El modo turbo bate de maravilla y aguanta mucho tiempo antea de empezar a calentarse.</t>
  </si>
  <si>
    <t>Muy práctico y fácil de usar Me ha sorprendido la potencia que tiene, en cuanto he pulsado el botón se ha batido todo. Es muy práctico hacer el smoothie y bebertelo en el mismo bote. Además, cierra muy bien y no se sale nada, por lo que me lo puedo llevar al gimnasio sin problemas. La capacidad es perfecta para un smoothie.</t>
  </si>
  <si>
    <t>Práctico. Buen sonido</t>
  </si>
  <si>
    <t>Perfecto y ligero Perfecto, tal cual</t>
  </si>
  <si>
    <t>Playeras mujer Cómodas y bonitas</t>
  </si>
  <si>
    <t>Súper útil Súper útil</t>
  </si>
  <si>
    <t>Genial y súper abrigado Precioso y súper abrigado Talla más bien ajustada diseño súper moderno pega cn todo</t>
  </si>
  <si>
    <t>Calidad-precio Sorprendido estoy!  Los recibí ayer. Soy profesional del sonido. No podía imaginar por este precio la calidad de sonido y materiales que tiene. Lodge estado usando durante tres horas y justo eso y durado la batería recargable del receptor. Las pilas de los micros indican aún cargo completa. Lo recomiendo. Compraré más. Seguro.</t>
  </si>
  <si>
    <t>Todo perfecto Pesa bastante pero es muy buen producto, se la compre a mi abuela que tiene poca visión y le ayuda mucho</t>
  </si>
  <si>
    <t>Perfectas Yo uso un 39 normalmente y me cogí la talla 40 y y me quedan como un guante</t>
  </si>
  <si>
    <t>calcetines para yoga toesox Practico yoga regularmente y estos calcetines son totalmente recomendables. Su agarre a la esterilla para realizar posturas de equilibro es perfecta, así como para cualquier otro ejercicio. Son muy cómodos y se ajustan a los pies a la perfección. La entrega con Amazon Premium estupenda. Me compraré un par más de esta marca, toesox.</t>
  </si>
  <si>
    <t>Muy buen producto Fue un regalo para mi mujer q siempre había querido tener una batidora de vaso, yo creia q no es muy necesaria pero visto los resultados me ha sorprendido. La potencia q tiene es bastante buena, tritura todo mucho más rápido q una batidora de mano y lo deja mejor. En cuanto a los materiales, la jarra es de cristal, bastante gordo y parece q resistente, el resto es de plástico, menos las cuchillas, se desmonta con facilidad y se limpia muy rápido. En general la opinión del producto es muy buena</t>
  </si>
  <si>
    <t>Perfecta para la recuperación Le compre este producto a mi padre ya que el tenia algunos dolores en la espalda del cansancio acumulado en el trabajo y según el este producto le ayuda a recuperarse por eso le doy 5 estrellas, ya que demuestra lo efectivo que es .</t>
  </si>
  <si>
    <t>super cómodas todo lo que puedo opinar es bueno. Muy recomendable</t>
  </si>
  <si>
    <t>Micrófono potente y divertido. Genial</t>
  </si>
  <si>
    <t>Sí es lo que esperaba Cumplen lo que prometen, eso sí yo he hecho un poco de falta un poco más de agarre en el pabellón auditivo, algunos de estos tipo llevan alguna goma por la parte de arriba para que encajen mejor, esto es lo único que te agarra la oreja es su forma y lo bien encajada que esté la goma de alante, en cuanto el sonido es aceptable ninguna maravilla, y los problemas de encendido y emparejamiento se solucionan cargando primero la caja, estéticamente no estás mal, aunque los botones de plástico dan una sensación de baja calidad, como ya digo faltaría saber el precio que van a tener, el auricular izquierdo es el dominante, por lo que cuando la batería está un poco baja, deberemos colocar el móvil en la misma vertical, sí tengo que decir que el emparejamiento se ha hecho sin ningún tipo de problemas, mi móvil tiene conexión bluetooth, hay que apuntar que el nivel de estanqueidad que han conseguido es bastante óptimo teniendo en cuenta que tienen botones móviles en ambos auriculares, significa que estos auriculares podrían sobrevivir a estar sumergidos durante un tiempo no superior a 30 minutos, a una profundidad no mayor de un metro de agua, así que serían una buena elección para deportistas</t>
  </si>
  <si>
    <t>Casio, nada más que decir. Reloj muy bonito y llamativo. Sistema Casio de toda la vida. Precio algo elevado, pero como ahora están de moda....</t>
  </si>
  <si>
    <t>Muy original y buen acabado Se nota que es un charm original de Pandora, buen acabado y buen diseño. Fue un regalo y gustó mucho.</t>
  </si>
  <si>
    <t>Cualidad, diseño y precio. Cualidad, diseño. Seguro que haré más pedidos, los diseños son preciosos así como el precio. Encantada con el material la Cual recomiendo mis alumnas de Yoga.</t>
  </si>
  <si>
    <t>Lo esperado Normalmente uso una talla 39 pero pedí la 40 por la orientación de tallas que dan sobre el producto y me están perfectas, además son muy ligeras.</t>
  </si>
  <si>
    <t>Un fiasco El hervidor calentaba perfectamente, pero no ha durado ni un mes, comprado el día 15 de octubre, no usado diariamente y hoy ya no funciona.</t>
  </si>
  <si>
    <t>Cierra al revés Solo una cosa no me gusta, que cierra al revés, como si fuese de mujer, lo demás coincide con lo que esperaba</t>
  </si>
  <si>
    <t>Después de 3 meses se rompió Si llenas el disco duro te empezará a borrar archivos sin más, solo deja el icono y 0 bytes</t>
  </si>
  <si>
    <t>Cómodas y rápidas pero la suela se desgasta a la velocidad de La Luz Muy cómodas pero la dueña dura... dos días a no ser que tenga una técnica que flotes sobre el suelo</t>
  </si>
  <si>
    <t>Buena conectividad, no demasiada calidad de audio La conexión rapidísima, idioma en español indicando el nivel de batería y os batería aguanta mucho. En contra el volumen no se oye demasiado alto en ambientes con gente es difícil escuchar la conversación. Después de mucho tiempo me molesta el oído.</t>
  </si>
  <si>
    <t>Buen producto Las hay más rapidas, mas grandes, y por supuesto tambien con una calidad mayor. pero la relacion calidad precio es muy dificil de superar para este producto</t>
  </si>
  <si>
    <t>Muy recomendado Un reloj muy bueno, con un fallo de un minuto cada 2 días, un tiempo de marcha de unas 12 horas aproximadamente, perfectamente legible con una buena luminiscencia y un movimiento de segundero suave y precioso, la correa de nilon es muy cómoda, coge cierto olor si se usa en algún momento de estrés físico y se suda, pero se laba fácilmente. Le doy 4 Estrellas por que me vino con 2 fallos, el primero que no vino en español, no es algo que me moleste pero si es un error de envío ya que vino solo en inglés y alemán, y otro fallo pequeño pero que no debería tenerlo, es en el sello “5”, están ligeramenre desviado a la izquierda, dejando una delgada línea blanca a la derecha dando a resaltar que no está milimetricamente en su posición, no es algo que repercute en su funcionamiento que es excelente, pero si a la vista de alguien que se fija mucho en los pequeños detalles. Por lo demás, un reloj precioso para usar en el día a día.</t>
  </si>
  <si>
    <t>Regular... No están nada mal...  Pero a veces no se queda enganchado el pestillo y se suelta.</t>
  </si>
  <si>
    <t>Perfecto Quedan genial y son super cómodas.</t>
  </si>
  <si>
    <t>De momento perfecto Estoy muy contento con el disco duro. Compacto, poco voluminoso y con buena presencia. Recomendable. Me ha valido para vaciar el disco duro del ordenador, que ya lo tenía lleno.</t>
  </si>
  <si>
    <t>muy bueno en todos los aspectos muy bueno en todos los aspectos</t>
  </si>
  <si>
    <t>Comodos Buenos bonitos y varatos</t>
  </si>
  <si>
    <t>Calidad- Precii Calidad- precio espectacular!!!! No se puede pedir más por este precio, precisión, calidad. Genial</t>
  </si>
  <si>
    <t>Lo más Compre dos, uno para casa y otro para los abuelos y todos encantados, se turnan para ponérselo, y el efecto ealmente parece de un fisio, pero con el pertinente ahorro de espacio, al no tener el sillón entero en casa, y la versatilidad de poder colocarlo en la parte del cuerpo que consideres. La opción de calor ya me parece que completa mucho la función. Un 10.</t>
  </si>
  <si>
    <t>Cascos baratos y ligeros. Es una repetición. Es un Casco barato, duro el primero unos años. Ligero. Hace perfectamente su foncion. Tengo otros de mucho mejor calidad pero pesan más y cogen más espacio. Este me encanta para viajar</t>
  </si>
  <si>
    <t>Efectivo y muy buen aplicador Excelente, como lleva un aplicado ultrafino lo puedes aplicar directamente sobre el borde de la pantalla y no rebosa.</t>
  </si>
  <si>
    <t>Tarjeta rápida y fiable Tarjeta muy fiable y rápida para fotografía, la entrega rapidísima y el paquete correctamente envuelto, sólo se hecha a faltar que no venga con su propia funda en vez de la carcasa plástica donde viene.</t>
  </si>
  <si>
    <t>Muy adecuados Me han encantado, un regalo perfecto para los niños, se pueden colorear y personalizar.</t>
  </si>
  <si>
    <t>Genial muy buena compra recomiendo esta compra hace que tu equipo vuele Un disco duro con una lectura y escritura impresionantes todo de 10 es una maravilla el cambio de un disco duro SSD normal a un M2 es una pasada</t>
  </si>
  <si>
    <t>Calidad Puntero laser de calidad, fácil de usar, aunque existen otros en el mercado por un precio menor.</t>
  </si>
  <si>
    <t>La mejor compra del año Creo que es una de las mejores compras que hice en amazon. Es un producto increíble por tan solo 45 euros. Compre dos uno para mis padres y otro para mi. Tengo sobre cargada la espalda y al de varios dias de uso noto alivio y como mejora la salud de mi espalda. 100% recomendado</t>
  </si>
  <si>
    <t>Buen Sonido. La calidad de sonido es bastante buena, personalmente escucho rock y la mayoría de los auriculares distorsionan, este no lo ha hecho. Tapan el sonido ambiente. Son fáciles de usar y no se oyen interferencias. Los contras son que el material no mira que vaya a durar muchísimo tiempo, pero no se le puede pedir más por ese precio. Yo estoy encantado.</t>
  </si>
  <si>
    <t>Velocidad..... Lo compré para sustituir mi disco mecánico, y se puede decir que es otro mundo....</t>
  </si>
  <si>
    <t>Parece que se los he quitado a mi hermana pequeña Me ha encantado pero me queda algo pequeño</t>
  </si>
  <si>
    <t>Muy bueno Lo que esperaba. Funciona muy bien y es muy cómodo</t>
  </si>
  <si>
    <t>Regalo perfecto Muy bonito es como esperaba</t>
  </si>
  <si>
    <t>El mejor disco duro externo LACIE siempre ha sido una marca TOP para almacenaje en producción.  Este disco duro externo nunca me ha dejado tirado, y le he dado mucho trote. Me gusta que trae dos cables adaptadores para usar con USBC y USB3.0 según tus necesidades de conexión.</t>
  </si>
  <si>
    <t>Capacidad e instalación penosa Velocidad increíble eso es indudable pero en 250 gb no cabe absolutamente nada, por no mencionar el dichoso tornillo que no se encuentra en ningún sitio, en resumen, sale mucho mejor de precio comprar un ssd sata de 1tb que este de 250gb.</t>
  </si>
  <si>
    <t>calidad esperada, talla disparatada La calidad es correcta para el precio que tiene, pero el tallaje es aleatorio. Compré varias de la misma talla y hay distintos tamaños, aunque, eso sí, todas muy grandes</t>
  </si>
  <si>
    <t>Bien hasta que se estropeo Todo iba como la seda hasta que un dia al conectarlo a mi pc este ya no me lo reconoció, y no es problema ni del cable (el cual compre otro para asegurarme) ni de mi pc (ya que lo he intentado en pc distintos), estoy esperando de una respuesta del servicio tecnico, el cual no da especificaciones para la devolucion con garantia para que me lo arreglen.</t>
  </si>
  <si>
    <t>Mayonesa liquida. No me gusta nada, la mayonesa sale liquida y el resto de salsas tambien, no me sirve para lo que queria y lo he devuelto.</t>
  </si>
  <si>
    <t>Nunca llegó No me ha llegado.. Y por circunstancias no he cobrado el reembolso. Por caducarme la tarjeta tengo que perder una tarde en el banco para poder cobrar lo poco que es.... No me merece la pena. Pierdo el dinero</t>
  </si>
  <si>
    <t>cumple expectativas Sí</t>
  </si>
  <si>
    <t>La vieja confiable Es lo que se espera, el clásico reloj Casio, funi bien y no tiene fallos. Tras hacer el pedido ponía que tardaría como 3 semanas pero finalmente tardó 6 días.</t>
  </si>
  <si>
    <t>Original El precio</t>
  </si>
  <si>
    <t>Reloj funcional a buen precio Para mi gusto es un reloj bonito, la esfera es grande y esta bien protegido para golpes, y lo mejor pesa muy poco</t>
  </si>
  <si>
    <t>Lo bien que funciona Me gusta su rapidez en copiar las fotos,documentos y tablas que guardo, se nota que es USB 3, lo que encuentro afaltar es que no tiene capuchon para proteger el conector USB, por lo demas un buen producto a buen precio</t>
  </si>
  <si>
    <t>perfecto almohadillado perfeto almohadillado el gel es muy suave y el tacto de  la tela también es muy agradable, totalmente recomebndable, muy contento</t>
  </si>
  <si>
    <t>Buena calidad sonido Por el precio que tienen estan muy bién. tienen función de parar o cambiar de canciones con un toque en el mismo auricular y no es necesario sacar el teléfono del bolsillo. en cuanto a landuración de batería he visto una serie de 50min y aún queda batería. cumple con lo esperado.</t>
  </si>
  <si>
    <t>mejor de lo que me esperaba Elegantes, cómodos y seguros. muy buena compra. Sin duda que repito si no se pasan con el precio.</t>
  </si>
  <si>
    <t>Muy buenos y cómodos Son camper y pelotas</t>
  </si>
  <si>
    <t>Muy satisfecha Es igual que en la imagen. Funciona muy bien</t>
  </si>
  <si>
    <t>Buena memoria usb Buena memoria usb: - soporte muy muy cómodo, muy facil meter derecho. - pequeño y manejable, con un práctico enganche, yo le he puesto un cordón, aunque no es recomendable llaveros de acero, se podria romper - Lectura y escritura suficientemente buenas, sin hacerle exhaustivos friki tests, el almacenamiento me ha resultado muy eficiente, la utilizo todos los dias, leyendo y escribiendo.  He leido en otro comentario que se calienta mucho, efectivamente en operaciones exhaustivas de escritura (vuelcas p.ejemplo 20gb de golpe) se calienta bastante, pero no lo considero un problema, prefiero que disipe el metal antes que se recaliente el chip, en cualquier caso antes de 20 segundos vuelve a una temperatura mas o menos nornal, y si lo tienes enchufado, por ejemplo editando un archivo de texto, la temperatura es caliente pero algo normal. En fin que esto no lo considero negativo.  Lo dicho 100% recomendable</t>
  </si>
  <si>
    <t>Buenas zapatillas, bonito diseño Eran para regalar a mi madre, suele usar un 39-40, escogí la talla 40 y acerté. Son bonitas, cómodas y quedan muy bien.</t>
  </si>
  <si>
    <t>Genial Calidad precio insuperable</t>
  </si>
  <si>
    <t>Moisés Reloj completo, figurando, a mi juicio, entre los relojes Casio de mejor estética. Lo volvería a comprar, pues reúne todas las cualidades de un buen reloj.</t>
  </si>
  <si>
    <t>Buen producto a muy buen precio Los azulejos tienen un tamaño y grosor adecuado para gran tipo de trabajos el adhesivo es bastante bueno y pega el multitud de superficies. La relación calidad precio es excelente.</t>
  </si>
  <si>
    <t>Increible calidad Si buscas unos auriculares con cable, como es mi caso, indicar que los llevo utilizando una semana y los resultados son muy positivos.  Por el precio que he pagado, la calidad de los materiales es muy buena, están cuidados al máximo los detalles en la presentación, viene  todo perfectamente presentado, con varios tamaños de siliconas para adaptarse a los oídos, trae incluso un protector de plástico en el jack. También trae una bolsita de transporte, sinceramente me parece una idea genial ya que guardados en esta bolsa se evita que se enrollen con cualquier otra cosa.  De nuevo, la calidad el audio es fantástica, los bajos son muy potentes y agradables. También la calidad del micrófono es genial, lo utilizo con el móvil y se escucha perfecto.  EL material del cable es como trenzado de plástico y le da un aspecto de robustez.La longitud del cable es de 125cm  En resumidas cuentas, 10/10, por este precio, recomiendo darles una oportunidad.</t>
  </si>
  <si>
    <t>Chandal ceñido Son de tiro bajo muy estrechos pero van muy muy forrados así que no son para entretiempo son para invierno pero quedan muy bien</t>
  </si>
  <si>
    <t>32gb es muy bonito y funciona muy bien. como es muy pequeño puedo llevarlo siempre encima colgado en mi llavero.</t>
  </si>
  <si>
    <t>Perfectas Talla perfecta y muy cómodas</t>
  </si>
  <si>
    <t>🧽 CALIDAD VILEDA 🧼 Lo típico que encuentras en Amazon Pantry y junto con algunas cosillas más lo compras, porque es un producto que has usado siempre, solo que algo mejor de precio.  Es un pack de tres estropajos salvauñas:  🧽 Por un lado la parte verde, para fregar 🧼 En medio esponja amarilla 🧽 Y por último en azul al otro lado, la bayeta  Compra recomendada!  HerHen 👍</t>
  </si>
  <si>
    <t>Genial Como todo lo que he probado de MAM, buena calidad. Fácil de limpiar, resistente, al niño le gustan estas tetinas.</t>
  </si>
  <si>
    <t>Un maquinón Inmejorable relación calidad/precio, lo tengo desde hace 2 años y como el primer día. ¡OJO! para que se actualice bien la hora de noche debe estar separado de circuitos eléctricos (enchufes interruptores) o del típico reloj despertador que va enchufado (interferencias electromagnéticas)</t>
  </si>
  <si>
    <t>Todo bien, maxima calidad por pocisimo dinero. Tenía dudas en pedirlo ya que había tantos comentarios sobre el malisimo embalaje etc. pero el precio me convenció. Pues la verdad es que todo llego en estado perfecto, no habia ni golpes nis rascas. Creo que depende más del transportista y como trata los paquetes porque el embalaje sí que es bastante fino. Colocarlo es super facil siempre que hay un minimo de dos personas. La pizarra funciona bien y los rotuladores no dejan manchas. La usamos para clases de idiomas para adultos. Asi que por ese precio merece 5 estrellas.</t>
  </si>
  <si>
    <t>PARA SE SALOMON ME HAN DECEPCIONADO TALLAN POCO Y ESO QUE COGI UNA TALLA MAS DE LA MIA QUE YA LO LEI EN LOS COMENTARIOS Y MUY RIGIDAS NO SON IMPERMEABLES AUN QUE PONGA QUE SI</t>
  </si>
  <si>
    <t>Precioso...pero... Un reloj simplemente espectacular en diseño, pero tiene un gran pero, aunque se trata de un reloj outdoor la durabilidad deja mucho que desear, la esfera es de plástico y tiende a rallarse con una facilidad increíble. En cuanto al barómetro y altímetro, funcionan de maravilla tras una configuración inicial.</t>
  </si>
  <si>
    <t>micro Todo bien para el precio que ha costado, pero la calidad del sonido al grabar nos es muy limpia, pero para empezar me vale.</t>
  </si>
  <si>
    <t>no comprar producto de baja calidad , la tela es superfina casi como papel de fumar</t>
  </si>
  <si>
    <t>No son buenas Los he puesto en un mp3 agptk comprado de Amazon y va solo un auricular</t>
  </si>
  <si>
    <t>Muy mala calidad de producto La audición es pésima. Todo el mundo con el que he hablado me dice que se escucha fatal. No recomiendo a nadie comprar este producto.</t>
  </si>
  <si>
    <t>mucha capacidad a un precio adecuado Es un disco duro externo que hasta el momento cumple todo que esperaba. Lo utilizo para backup y para transferir datos regularmente desde el laptop al PC y al reves. Ha funcionado sin problemas (sistema GNU/Linux, filesystem ext4). A ver cuanto tiempo va a durar. (Hasta ahora, una "vida" demasiado breve ha sido mi sola queja con discos duros en general - voy a modificar esta opinion si sea necesario.)</t>
  </si>
  <si>
    <t>Para reserva. Mejor calidad que otras compradas en tienda por 7 euros. Y esta solo 2,5. Llegaron en perfectas condiciones. Las reservo.</t>
  </si>
  <si>
    <t>Bueno equipo para empezar No es la gran cosa pero es una mejora notable a cualquier audio integrado en el PC. Es un buen punto de partida.</t>
  </si>
  <si>
    <t>Carmen Para dolores musculares de espalda va genial. La descubrí porque la usaba mi fisio. Muy buen producto. Ha sido mi salvación tras una intervención que me produjo contracturas en la espalda.</t>
  </si>
  <si>
    <t>Relación calidad-precio Me ha gustado el material ya que es resistente, acabados bien elaborados</t>
  </si>
  <si>
    <t>Muy satisfecha y feliz Todo genial por eso confio en Amazon de la A_Z</t>
  </si>
  <si>
    <t>Por el precio, Excelente Todo funciona bien con este micrófono, mecánicamente tiene una sólida estructura y desde el punto de vista del funcionamiento, trabaja muy bien. No es super profesional, pero los resultados de las grabaciones hechas son excelentes. Estoy contento y lo recomiendo.</t>
  </si>
  <si>
    <t>Que puedes seleccionar el tiempo que quieras este encendido y se apaga cuando no tiene agua Es precioso puedes poner la luz según tú ánimo lo único que ambienta solo en el lugar donde está pero da un ambiente muy acogedor por su color y su aroma que despide según qué aceite se le ponga</t>
  </si>
  <si>
    <t>Muy buena relación calidad/precio Es una gran compra la de esta tarjeta con una marca ya recon­ocida como SanDisk. Magnífica elección para cámaras de enfoque automático que vayan de compactas a gama media e inlcu­so gama más alta sin duda alguna.Por su capacidad y por su calidad. Ideal para cámaras que soportan SDHC/SDXC y SDHC-I/SDXC-I UH­S-I. Excepcional rendimie­nto de grabación de vídeo con categoría Class 10 para grabar vídeos Full HD (1080 p) y en 2k de momento no me ha dado problemas. Lo único negativo, el embalaje de Amazon donde venía, ya que la SD no incluye la típica funda/carcasa de plástico para su protección y transporte como es habitual en otras tiendas, en este caso el anuncio lo dice y se incluye suelta en un sobre de cartulina con el logotipo de Amazon y Sandisk, aun costando lo mismo que en otras tiendas físicas.</t>
  </si>
  <si>
    <t>Me gusta Es exactamente como en la foto quizás para mi que soy bajita y pequeña me hubiese venido bien una xs pero no la hay. Por lo demás todo bien. Entrega muy rápida. Recomiendo al vendedor.</t>
  </si>
  <si>
    <t>Tamaño Caben muchas fotos, lleva 50 hojas, por ambas caras, con un papel de separación entre una y otra. La portada permite poner una foto</t>
  </si>
  <si>
    <t>Reloj de siempre Es un reloj de colección. Es de todos conocido, por tanto sobran las palabras. Su calidad es buena y su diseño es de toda la vida. Reloj de siempre</t>
  </si>
  <si>
    <t>Nos gusta mucho Tengo tres de estos, al principio probamos varios biberones y al ser este el que se bebía mejor optamos por comprar más.</t>
  </si>
  <si>
    <t>Calidad Merrell Muy cómodas recomiendo pedir un número más del habitual. Totalmente impermeables y muy buena suela</t>
  </si>
  <si>
    <t>muy buena Aspira bien y es liviana. El ruido es aceptable. No la lave todavia pero creo sea facil hacerlo. Lo volveria a comprar</t>
  </si>
  <si>
    <t>precioso Collar de plata de Ley 925 para  exhibirlo o  para regalarlo.  Mi mujer tiene el problema que es alérgica a algunos materiales de bisutería por lo que para poder llevarlos, tienen que ser de plata de ley o de oro, por lo que podrá ponérselo sin miedo a reacciones.  La presentación del collar es impecable, comparable a otras marcas de más renombre. Este collar  viene con una presentación excelente, en una cajita de  color azul con detalles dorados, forrada interiormente de terciopelo.  El collar en sí, tiene forma de tres círculos entrelazados  muy original en tres colores: oro, oro rosaque y plata que por cierto he de decir que brilla más de lo que esperaba.  La cadena es finita pero fuerte tipo cordón que habrá que ver con el uso diario si es resistente a tirones y enganches con la ropa y pelo, aunque de momento y en apariencia parece fuerte.  La parte posterior al colgante es lisa,  se agradece este hecho ya que de esta manera se evita que se clave en la piel.  Respecto a la autenticidad del material de plata, en el broche de la cadena viene el sello de plata de ley 925, este dato es para aquellas personas que duden del material de fabricación de plata, ya el bajo precio de venta este collar puede hacer dudar al que lo quiera comprar.  En resumen, me parece una joya de muy buena calidad a un precio envidiable, un regalo perfecto para la mujer perfecta, en definitiva, un acierto asegurado.</t>
  </si>
  <si>
    <t>Bien Bien de talla y color</t>
  </si>
  <si>
    <t>Ya no cambio de marca ni de modelo. Hoy en día cuesta horrores encontrar en las tiendas de deporte zapatillas que no sean de colores chillones o estén diseñadas para dar la nota. Y cuando por fin les llega algún modelo discreto, desaparece enseguida.  Aquí tenéis unas zapatillas de calidad, resistentes, con buena suela, sin cordones y perfectas para los que no tenemos déficit de atención ni queremos ir de rosita fucsia por la vida.</t>
  </si>
  <si>
    <t>Buen precio Compro la cinta adhesiva y creo que es la mejor de todas. Entrega oportuna. Buen respeto de los precios en el mercado físico.</t>
  </si>
  <si>
    <t>Buen agarre Zapatillas de estar por casa, se las compré a mi madre que está mayor y se resbaló con con las antiguas estás vi que tenían buen agarre y a ella le gusta</t>
  </si>
  <si>
    <t>Buen reloj Casio es un producto de calidad</t>
  </si>
  <si>
    <t>FABULOSAS Como corresponde a una marca como Timberland, la calidad del producto es excelente. Soy usuario de esta marca desde hace muchos años, y los artículos los renuevo, no porque estén en mal estado debido a su calidad, si no por la cantidad de años que los utilizo. ¡Enhorabuena!</t>
  </si>
  <si>
    <t>Un Casio de los toda la vida me hubiese costado lo mismo...pero es mejor calidad. A la semana ya tenia una raya en la pantalla.No es tan duro como lo describen.</t>
  </si>
  <si>
    <t>No me ha convencido Pongo tres estrellas porque el producto cumple con la descripción, aúnque su calidad y su utilidad no me convencieron. El cuerpo principal en plástico transparente me pareció muy endeble y se movía durante el funcionamiento. En su segundo uso empezó a hacer un ruido raro. Funcionó solo parcialmente con el tomate, ya que la piel atasca rapidamente el filtro. No funciona con las almendras hidratadas, así que si estás buscando algo para hacer también leches vegetale además de zumos, no lo compres. Con las naranjas y zanahorias ha funcionado bien, pero entre el tiempo necesario para despiezar la fruta en los trocitos pequeños que admite la entrada, y el tiempo para limpiar todas sus partes, lo convierte en una objeto que solo podría utilizar durante los desayunos del fin de semana. Viendo que se iba a convertir en un trasto más en la cocina, finalmente lo he devuelto.</t>
  </si>
  <si>
    <t>Calidad/precio regular Zapatillas originales, pero con la primera lavada salen manchas amarillas por la puntera. Pedí mi talla habitual y era la correcta.</t>
  </si>
  <si>
    <t>Mala calidad En 2 semanas inservible, muy incómodo para montar y desmontar y encima se ha roto el enganche en dos semanas.Muy disfustada con el producto</t>
  </si>
  <si>
    <t>NO FUNCIONA una vez recibido al cabo de dos dias no ha funcionado, no se oye nada con los auriculares, no son originales</t>
  </si>
  <si>
    <t>Pequeño y eficaz Todo llegó correctamente y antes del tiempo estimado. El ordenador lo reconoce al conectarlo. La durabilidad la desconozco porque llevo menos de un mes con el.</t>
  </si>
  <si>
    <t>Cómodos y con un sonido excelente Los Logitech G430 son unos excelentes cascos para el precio que tienen. Son válidos tanto para PC como para PS4 y XBOX, aunque se debe conectar por USB. Ojo, no incluyen el adaptador para conectarlo al jack de 3,5mm del mando. Tiene una clavija para el micro y otra para los cascos y sí que incluye el conector entre estas clavijas y USB. El sonido es muy bueno y las personas con las que hablo me dicen que la voz se escucha limpia, así que el micro también es bueno.  Interesante, sobre todo, para jugar en PC, por la posibilidad de utilizar el software incluido, que le da el sonido envolvente 7.1. No es real, es emulado por software, por lo que es PS4 y XBOX funciona en estéreo, pero sigue siendo un sonido de calidad.  Muy recomendables en su rango de precio.</t>
  </si>
  <si>
    <t>Pequeños pero elegantes Son muy finos y bonitos. Pequeños pero muy elegantes</t>
  </si>
  <si>
    <t>Vegano y eco. He puesto una lavadora con 4 bolitas y ñadido aroma de marsella con vinagre de limpieza, en vez de suavizante. La roos ha salido limpia y con buen olor. La segunda lavadora que puse, la dejé unas 3 horas sin tender y cogio mal olor rápido, pero es normal, no tiene químicos.</t>
  </si>
  <si>
    <t>1 Perfecto</t>
  </si>
  <si>
    <t>Batidora de vaso, magnífica Es una maravilla</t>
  </si>
  <si>
    <t>Cómodos, calidad y bajo precio Estos auriculares en mi opinión son bastante premium, porque te traen una funda y todo y creo que por ese precio es todo un detalle. A parte de que se escuchan genial su micrófono es de gran claidad, lo he estado probando para hacer llamadas telefónicas y vía Skype y me está dando muy buen rendimiento. También quiero añadir que son bastantes cómodos y aunque lleves un tiempo usándolos sin parar no te molesta la oreja, todo un acierto.</t>
  </si>
  <si>
    <t>Gran tamaño multiple utilidad Esta manta electrica de gran tamaño es idea para calentar las camas o cualquier lugar deja introducir los pies ideal para el invierno, gracias a su gran tamaño es ideal para aplicar calor por una torcida en la mayor parte del cuerpo y con dos niveles, tambien el hecho que permite limpiar la funda en la lavadora despues de su uso la convierte en la mejor manta electrica del mercado y a esto le añadimos envio gratis y rapido con amazon prime</t>
  </si>
  <si>
    <t>Fenomenal!!! Cumplen su cometido perfectamente.</t>
  </si>
  <si>
    <t>Perfectas Son tal y como uno se espera, a mi de numero me va bien el que pedí que es el mio nada estrechas ni más pequeñas el color el lo único prácticamente es igual pero si noto alguna tonalidad diferente pero nada grave. Sin duda pediré otras de otro color ya que me encanta esta marca son super cómodas y ligeras, ya tengo otras de otro modelo desde hace tiempo y son tan cómodas que decidí pasar a esta marca aunque parezca que siempre vas igual pero distinto color, prefiero la comodidad antes de que la gente piense siempre va con las bambas de esa marca parece que siempre va igual. Me compré unas Nike a la vez que la primeras new balance que tengo y si son guapas pero algo incomdas de llevar están nuevas porque en un año me las haber puesto 4 veces como mucho, siempre me pongo o unas o otras pero de estas por su comodidad y porque también quedan mejor al menos a mi.</t>
  </si>
  <si>
    <t>Muy práctico Me encanta, tenía otro que usaba todos los días hasta que se estropeó, y me compré este por las opiniones. Y estoy muy contento, ya que es de gran capacidad, rápido y fácil de manejar.</t>
  </si>
  <si>
    <t>Todo Muy bonita especial para regalo</t>
  </si>
  <si>
    <t>Perfecto Llevo unos meses probándolo y es el mejor Casio que he tenido. Simula el primer g-shock de los 80, y es solar, o sea que la batería puede durar muchos años. Tiene temporizador, cronometro, alarmas, se sincroniza la hora por radio a diario (normalmente es las 0:00) y es muy duro y resistente. De tamaño es perfecto ni muy pequeño ni muy grande. Yo lo uso para todo, mi vida diaria, y para hacer deporte como ir al gym, correr y nadar. En resumen: es perfecto. Lo compre por Amazon por 80, en El Corte Inglés costaba 140.</t>
  </si>
  <si>
    <t>Excelente relación Calidad-Precio Prefecta relación calidad-precio. Muy comodo de llevar sin ser demasiado pequeño. Correa muy apropiada y efectivamente, resistente al agua. Volvería a comprarlo sin dudarlo.</t>
  </si>
  <si>
    <t>Prácticos Cumple perfectamente su cometido</t>
  </si>
  <si>
    <t>Grapadora Es una grapadora muy cómoda y práctica. Es muy manejable y con un diseño bonito y elegante. Aparentemente es de muy buena calidad y aunque no la uso mucho, el tiempo dirá si llevo razón. Tiene un tamaño ideal y la puedes guardar en cualquier hueco de tu despacho o escritorio.</t>
  </si>
  <si>
    <t>Tudo como esperado Tudo como esperado</t>
  </si>
  <si>
    <t>perfecta compré porque años atrás ya había tenido una y va fenomenal pero hacia tiempo que no encontraba una de 2 ranuras largas y cuando se me estropeo la que tenia y estuve mirando y la vi me decante por ella</t>
  </si>
  <si>
    <t>Nitidez Me gusta de este producto ,su terminación ,es absolutamente nítido, aumenta el tono vivificante de la fotografía dándole un aspecto totalmente profesional ,no produce burbujas y se adhiere perfectamente a la superficie del papel.Gracias.</t>
  </si>
  <si>
    <t>Cable más largo A cumplido perfectamente, buscaba un cable largo de esas características y éste era el ideal por la extensión que tiene</t>
  </si>
  <si>
    <t>Ligero. Ergonómico. Funciona con una aaa. Todo genial Super ligero. Fácil de usar. Muchísima distancia tanto para el puntero como los botones. Con una cajita para guardarlo y manuales de uso. Aunque no son necesarios. Es muy intuitivo</t>
  </si>
  <si>
    <t>Recomendable Buen producto para te a granel</t>
  </si>
  <si>
    <t>Fácil y Práctico Me ha gustado todo, no añado fotos porque es tal cual se ve en la tienda. Lo uso para batidos de fruta, avenas, etc. Puedes meter hielo sin ningún problema. Lo que no hay que hacer es meter o mucha fruta de golpe a triturar.</t>
  </si>
  <si>
    <t>Realidad se corresponde con la imagen Es tal y como se describe en la foto.</t>
  </si>
  <si>
    <t>Esta bien Teniendo en cuenta su precio esta genial, pero es bisuteria barata, queda muy bonito, sobre todo en escotes.</t>
  </si>
  <si>
    <t>ana todo bien solo que hay que tener en cuenta que la parte USB bien pero la otra entrada segun que movil no es valido para todas marcas ,problema de tantos cambios de entradas ,esto es rarisimo porque sin embargo para cargar si vale a todos los movil que tengo en casa mis cargadores encambio esto no lo reconoce ni le entra demasiado lago y no entra del todo ,así que por el USB divino" PERO"  LO SIENTO ha y decirle que aun en el dia de hoy no he podido mandar dado que aquí en Granada estamos en feria disculpe</t>
  </si>
  <si>
    <t>Mucho retraso Bonitos y comodos pero me llego con mucho retraso</t>
  </si>
  <si>
    <t>Comodidad Incómodo</t>
  </si>
  <si>
    <t>Es un engaño Lo mejor es ver lo que se compra. Las apariencias engañan.</t>
  </si>
  <si>
    <t>Su precio Para mi cumple perfectamente su calidad,son cómodos y un sonido bueno.</t>
  </si>
  <si>
    <t>Muy chulo Con este hervidor podemos calentar una buena cantidad de agua rápidamente ya que cuenta con una capacidad de 1,5 litros y una potencia de 2200W.  Tiene una base en la que se calienta de forma muy segura y cómoda ya que podremos extraerlo desde cualquier posición sin riesgo de que se caiga. Incorpora además un botón de presión para abrir la tapa de forma fácil. No hace prácticamente ruido al estar en funcionamiento, además de hervir el agua con bastante velocidad.  Está fabricado en materiales de buena calidad y su diseño (uno de los puntos fuertes de este aparato) es realmente bonito y elegante.  El precio a priori es un poco elevado, porque al fin y al cabo sólo sirve para hervir agua y porque por un precio similar los encontramos de la misma marca pero con más capacidad y potencia, pero hay que tener en cuenta que cuenta con un filtro Brita que nos permite depurar el agua.  En definitiva, si lo usas muy a menudo tampoco resulta una mala inversión.</t>
  </si>
  <si>
    <t>Perfectos i no muy gruesos de coña para verano Talla como esperava</t>
  </si>
  <si>
    <t>Me gusta bastante, no le doy 5 estrellas porque me aprieta un poco la goma de abajo Me gusta, no le doy 5 estrellas porque me aprieta un poco la goma de abajo</t>
  </si>
  <si>
    <t>Comodos Buena calidad, buscaba unos pantalones para ir al gimnasio que no fuesen anchos de camal, estos se ajustan perfectamente y llevan cremallera, muy contento con ellos.</t>
  </si>
  <si>
    <t>Impresionante. La verdad que no me lo esperaba asi, es bastante grande bueno como lo queria, ademas tenia prisa en hacerlo y viene super preparado lo recomiendo muchisimoo.</t>
  </si>
  <si>
    <t>Muy chulo Genial,rapido lleva un boli con recambios</t>
  </si>
  <si>
    <t>ZAPATILLAS Son muy cómodas. Pedí un número más del que habitualmente uso. Lo malo es que la caja llegó un poco abollada, al no ir protegida más que por la bolsa de plástico.</t>
  </si>
  <si>
    <t>Calidad-precio excelente Producto extraordinario, a un magnífico precio, contando con que son caras, que rara vez, se pueden encontrar en las tiendas. Piel aterciopelada. Ya las tenía en rojas y decidí también comprarme las azul marina. El tallaje es el que se tiene, uso 45 y pedí 45 1/3 y perfecto.</t>
  </si>
  <si>
    <t>Coger un numero mas El numero perfecto, estas son de Vietnam i mi numero normal es un 39 pero en este caso e tenido que coger un 40 y perfecto.</t>
  </si>
  <si>
    <t>Excelente compra. Ha sido un regalo y quien lo recibió me dice que es muy suave, cálido y confortable. Calienta enseguida y se lo pone a diario aliviándole dolores de espalda crónicos. Muy satisfecha.</t>
  </si>
  <si>
    <t>Zapatillas all star Son perfectas, Como esperaba!</t>
  </si>
  <si>
    <t>Cómodas Muy cómodas</t>
  </si>
  <si>
    <t>El material es muy bueno Es muy lindo y mi esposa esta encantada, buen  producto</t>
  </si>
  <si>
    <t>Los recomiendo Son unos auriculares muy buenos, tienen el sonido bastante fuerte y se escucha bastante bien, es de unos de los mejores qje he probado, son muy comodos. Los recomiendo</t>
  </si>
  <si>
    <t>Pies calentitos. Las zapatillas cumplen su cometido. Se calientan en pocos segundos y el calor aunque no dura eternamente va perfecto para que los pies entren en calor. Las he utilizado tanto para ver la tele como para estudiar. Como comentario decir que calzan pequeño, ya que me van justas y tengo un 38 de pie, el máximo que pone es 40, así que creo que los que tengan un 39 o 40 debieran coger el tamaño mayor.</t>
  </si>
  <si>
    <t>Ideal Perfectas en todo</t>
  </si>
  <si>
    <t>Menor altura Tiene menos altura que otras marcas de robot aspirador, por lo que entra mejor debajo de estanterías, es muy ligera y trabaja muy bien. No aspira especialmente las alfombras pero ya se dice que es para suelos duros. La pega es sacar el cajón de basura, tal como indica la flecha (1) es fácil, pero luego vuelves a apretar como indica la flecha para sacar la basura del cajón y no funciona, haría falta dibujar otra flecha nº 2 en sentido opuesto para que se te ocurra abrir la tapa sin más, una vez que lo descubre es elemental, pero se pasa un mal rato hasta que se descubre</t>
  </si>
  <si>
    <t>Una seda Muy cómoda, aunque no acerté con la talla.... Muy larga. Pero igual la usaré, es muy fresca y cómoda, jugosa</t>
  </si>
  <si>
    <t>Lo que dura la carga Buenos</t>
  </si>
  <si>
    <t>Muy bonitos Cómodos y són tal cual se ve en la foto con caja y todo. Talla la misma que utilizo asi que todo perfecto.</t>
  </si>
  <si>
    <t>CÓMODOS BUena calidad, muy cómodos para Yoga y pilates</t>
  </si>
  <si>
    <t>Decepcionada Lo compré por los comentarios que había tan buenos y me he quedado decepcionada. La calidad del sonido es normal, pero igual es porque no me entran en la oreja, hacen daño, si hiciese deporte con ellos se me caerían. La batería que tienen es muy muy poca. Honestamente, mirad otros que tengan un poco más de calidad.</t>
  </si>
  <si>
    <t>A Poca adherencia</t>
  </si>
  <si>
    <t>No lo recomiendo Ni con las patas que lleva se queda firme, siempre cojea, lo que es bastante incómodo..pero claro, sin esas patas se resbalaria. Lo peor es que ha rayado la parte inferior del ratón..fatal, ya lo he cambiado</t>
  </si>
  <si>
    <t>Defraudó las expectativas. LLegó desprecintado y en embalaje deficiente. El producto no cubrió las expectativas. Tanto el engranaje como los accesorios son de plástico; no se corrresponden ni a los 1000W de potencia, ni al precio del producto. Braun ya no es lo que era. Lo devolví.</t>
  </si>
  <si>
    <t>Buenas zapatillas Son cálidas y cómodas. Me tuve que pillar un número mas.</t>
  </si>
  <si>
    <t>Precioso Igual que en la foto, lo único que una se medio rompió a los tres días!!</t>
  </si>
  <si>
    <t>Practica Muy adecuada</t>
  </si>
  <si>
    <t>Volvería a comprarla Lo q esperaba. Multifuncional, con múltiples compartimentos y posibilidades. Cumple la misión para la q lo compre perfectamente, pudiendo llevarla x delante y a la espalda mientras voy en bici. Le quito una estrella xq una cremallera rozabs en el interior y tuve q hacer una pequeña reparación pero x su precio lo merece</t>
  </si>
  <si>
    <t>Suela Comodísimas!! Suela muy blandita, aunque en el suelo del gym, resbalan. Por lo demás, perfectas!!</t>
  </si>
  <si>
    <t>Justo lo que esperaba y a precio top. Son auténticas. Si ya has llevado converse no hay problema con la talla porque ya sea la de bota o la baja el tallaje es el mismo. El envío ha llegado en el tiempo indicado. Vienen con su caja en perfectas condiciones. Lo recomiendo.</t>
  </si>
  <si>
    <t>Explosiones de olores Me han encantado estos aceites. El olor es intenso y ya según se abre la cajita saltan las fragancias al ambiente. Los he probado en un quemador de esencias y al poco tiempo de ponerlo a funcionar ya perfuman toda la estancia. Me gusta el cuentagotas que traen incorporado. Es muy preciso y limpio. La única pega es que al ver la imagen pensé que iban a ser más grandes los botes, pero están bien.</t>
  </si>
  <si>
    <t>Comodas Calzado muy cómodo, supera las expectativas con relación al precio, yo calzo un 43 - 44, ya tenía unas Panter de talla 44, así que no cambié y pedí un 44 o talla 10 en UK, y me van perfectas sin llegar a tocar por poco a la puntera</t>
  </si>
  <si>
    <t>Casio SGW-100 Lo Primero Gracias a Amazon Entregado en la fecha que digeron. Bueno el Reloj la verdad que esta muy bien no es muy grande y los Digitos se ven Perfectos en toda la pantalla, las lecturas las lee muy bien, Recomiendo este reloj si buscais un buen reloj a este precio que es fantastico. El Reloj es mas Bonito cuando lo tengais delante , Gracias.</t>
  </si>
  <si>
    <t>Perfectas Al ser tallaré brasileño hay que fijarse bien al pedirlas ya que sino puede resultar pequeñas. Yo suelo calzar un 44 y en las havaianas es 43-44 BRA aunque europeo marque 44-45</t>
  </si>
  <si>
    <t>Sudadera Sudadera</t>
  </si>
  <si>
    <t>Filomena Calidad precio muy bien, fácil de utilizar, instrucciones en español. Es casio nunca falla.mi marido lo lleva también al trabajo y duro como una piedra. Excelente compra</t>
  </si>
  <si>
    <t>Bueno Bueno calidad .</t>
  </si>
  <si>
    <t>Hierve el agua muy rápido y el diseño es muy bonito. Nunca había tenido un hervidor de agua y en casa estamos encantadas con él. Diseño bonito, metálico. Escogimos este por el material libre de bpa. Funcionamiento muy fácil. Antes de coger la taza, infusión y cuchara ya tienes el agua hirviendo. Con este hervidor levantarte del sofá para hacerte una infusión no te dará ninguna pereza. La base giratoria para diestros y zurdos muy práctica también.</t>
  </si>
  <si>
    <t>Zapatilla muy buena pero pequeña Compré estas zapatillas jugándomela con la talla. Suelo llevar un 38 pero me queda algo pequeña. He cambiado por una talla más grande y genial. El material es bueno, se nota la marca. Además está muy barata en relación a otras tiendas. El color es tal cual la foto y no tiene mucha zona de tela (que a mi eso me molesta bastante porque se va dando de si). En general muy contenta con ellas. Sujetan muy bien el tobillo</t>
  </si>
  <si>
    <t>Recomendado Mejor de lo que esperaba</t>
  </si>
  <si>
    <t>Excelente compra Muy rapido de emparejar y suenan muchísimo, la estetica es muy bonita, brillantes y la caja de carga parece resistente. Llevo 2 horas usandolos viendo una pelicula y todavia no me ha hecho falta cargarlos. Una excelente compra</t>
  </si>
  <si>
    <t>Se limpia muy fácil Bueno he esperado para utilizar la zumera y poder dar mi valoración exelente estoy muy contenta es cierto q deja pulpa pero estamos hablando q en todas dejará utilizar un colador hay quien le gusta más y hay quien no pero en mi opinión particular estoy encantadisima con la zumera y nada de esfuerzo ni para esprimir ni limpiar mi opinión EXELENTE! !!</t>
  </si>
  <si>
    <t>Impresionado, lo recomiendo frente a otros más económicos e incluso más caros. He quedado impresionado con la calidad de este disco sólido en la versión de 480 gigas, lo he instalado en un Intel NUC8i3BEH con 16 gigas de ram en dual chanel y la velocidad es asombrosa. Hay modelos algo más baratos, hablamos de 15 o 20 euros de diferencia. pero no tengo la mas mínima duda de que conviene pagar esa diferencia para comprar este modelo.</t>
  </si>
  <si>
    <t>Muy bueno muy buen producto, me ha llegado bien rápido y era lo que estaba pidiendo</t>
  </si>
  <si>
    <t>Sujetador deporte. Tejido normal está bien para hacer deporte.</t>
  </si>
  <si>
    <t>Preciosas Me encantan pedí un 37 y me queda perfecto (uso un 37)</t>
  </si>
  <si>
    <t>Mejor de lo que esperaba Bastante caliente ahora en invierno. Me queda ajustada y es mas gruesa de lo que esperaba.</t>
  </si>
  <si>
    <t>Cómodas el primer día De materiales decentes para su precio, la bota resulta cómoda al principio, aunque con los días parece ser que el interior se va deformando y, en mi caso, hace que me clave los laterales de la puntera en el pie al caminar.  He probado con varias plantillas pero ninguna ha podido evitar la molestia que menciono.</t>
  </si>
  <si>
    <t>No está mal, pero..... La primera unidad llegó, no rota, sino peor. Incluso dentro del embalaje se oía que había partes metálicas rotas.  Amazon, como siempre, excelente, devolución y nuevo disco en dos días. Gracias Amazón....sigue así....  La segunda unidad estaba en perfectas condiciones, como no podía ser de otro modo.  A destacar:  - Tiene conexión USB 3.0. Ya sé que de momento no es muy popular, pero ahí está.  - NO tiene interruptor de encendido/apagado. Esto en principio no es bueno ni malo, pero conviene saberlo. Si lo vas a tener conectado permanentemente, pues el interruptor no te hace falta para nada, por ejemplo para conectarlo a un NAS.  - Temperatura: Desde mi punto de vista, la temperatura que adquiere después de varias horas de uso, es bastante elevada.  Desde luego, el único punto fuerte de este modelo es el precio. Un funcionamiento más que correcto, unido a ese buen precio (en el momento que yo lo compré), hacen de esta unidad una opción muy interesante para aquel usuario que tan solo quiera disponer de gran cantidad de almacenamiento de datos para un uso diario pero no intensivo.</t>
  </si>
  <si>
    <t>Bien a secas Cumple pero le falta peso para poder coger la cinta y cortarla con una mano sin que el dispensador se levante, no sé si me explico. Un saludo</t>
  </si>
  <si>
    <t>Muy poco potente y de calidad pésima Después de usar la batidora literalmente 7 veces, la pieza de encaje del brazo de la batidora se ha soltado y al parecer se ha "fusionado" con la pieza motor. ¿Resultado? Equipo de batidora nuevo e inservible en menos de 10 usos. Tampoco puedo utilizar los otros accesorios porque ahora el motor, al tener en enganche estropeado, ya no encaja en ellos. Además, la potencia es muy deficiente: mi batidora anterior era de sólo 600W y era mucho más potente. Definitivamente ha sido un tremendo error de compra.</t>
  </si>
  <si>
    <t>0%calidad Da calor para hacer deporte. Ajusta demasiado. No transpira el sudor.</t>
  </si>
  <si>
    <t>Perfectas Es exactamente lo que queria. El envio llegó antes de tiempo. Perfecto.</t>
  </si>
  <si>
    <t>Se ajusta a lo expuesto. Aporta confort en condiciones frias. Lo aconsejo como prenda interior. Veremos con el tiempo si sigue con las mismas cualidades.</t>
  </si>
  <si>
    <t>Se calienta mucho Tendría que mencionarse el factor temperatura a regímenes altos de trabajo, es muy muy alta. Debería recomendarse la instalación siempre con sistema de disipación</t>
  </si>
  <si>
    <t>Gran marca Me gusta la marca Puma y nunca defrauda. El tamaño es el correcto, pedí un 42 y me viene perfectamente. Una calidad genial y muy cómodas.</t>
  </si>
  <si>
    <t>Bien a medias. No calienta mucho. Es un regalo para mi mujer. Lo he probado al máximo y bien a medias, calienta algo si lo tienes en posición pies en el suelo (como la foto), pero si te estiras en el sofá y lo subes, ya no tanto, necesitas hacer contacto de peso con los radiadores para que te transmita el calor. Color bonito, amplio que casi caben 3 pies y desenfunfable. No sólo tiene el radiador en la planta, sino en todo el aparato.</t>
  </si>
  <si>
    <t>Lo volvería a comprar Está fenomenal para organizar un montón de documentos. Es bastante resistente y los colores de las carpetas son muy chulos. Seguramente compraremos más.</t>
  </si>
  <si>
    <t>Súper cómodas y calentitas Me cogí estás botas primero en beige y luego me las volví a comprar en roja, ambas con pelo. Decir que son súper cómodas a pesar de que por dentro tengan un poco de cuña. En invierno dan calor y lo mejor de todo es que son súper originales</t>
  </si>
  <si>
    <t>Perfectos Son muy suaves y cómodos, nada agobiantes en cuanto a aprietes o que den calor y por este motivo estoy muy contento con ellos</t>
  </si>
  <si>
    <t>Cable 1'5m de longitud XLR macho a Jack 6,35mm. Cable 1'5m de longitud:  - Conector A: XLR macho - Conector B: Jack 6,35mm  Cable básico para la conexión de equipos de audio.  Uso el conector Jack 6,35mm para salir de una Focusrite Scarlett 18i20 a conectar con dos monitores de estudio Yamaha HS80m con el conector XLR macho.  Antes de usar estos cables usaba unos TS. Y tenía un acople de ruido de señal. Cambie el cable por estos balanceados. El ruido desapareció y la señal emitida a través de los monitores sonaba mucho más limpia.  Cable básico recomendado.  Nota: cable individual. Pedí dos cables.</t>
  </si>
  <si>
    <t>Muy bueno Cumple las expectativas</t>
  </si>
  <si>
    <t>Bueno, bonito y a buen precio Volvería a comprarlo.</t>
  </si>
  <si>
    <t>Perfecto Como siempre genial</t>
  </si>
  <si>
    <t>Muy bueno Al principio da un poco de sensación y algunosnprogramas hacen un poco de daño hasta que te acostumbras.</t>
  </si>
  <si>
    <t>Excelente producto para niños. Mucho mejor Excelente producto para niños. Mucho mejor que el resto de pegamento en barra que no pegan nada.</t>
  </si>
  <si>
    <t>Preciosos Muy buena calidad y muy bonitos!</t>
  </si>
  <si>
    <t>Buena compra Tal y como se describía el producto</t>
  </si>
  <si>
    <t>Nike MD Runner 2 Estas deportivas han sido para mi mujer. Ella gasta siempre un 39 y hemos acertado comprando un 40. Ojo, porque son bastante estrechas.</t>
  </si>
  <si>
    <t>Cómodos y buen sonido El sonido es bueno, sin llegar a la excelencia, pero son para hacer deporte y cumplen muy bien su cometido. Encajan muy bien en el oído y no se mueven para nada. El control de volumen en el micrófono ayuda muchísimo y así no tienes que andar quitándolos y vuelta a colocar cada vez que alguien te habla. Puestos son muy cómodos. Muy recomendable.</t>
  </si>
  <si>
    <t>No sólo pagas la marca Muy cómodas y no suenan al caminar</t>
  </si>
  <si>
    <t>Siempre genial Esta marca es acierto seguro, y encima con el diseño en color rosa es mucho más bonito aún. Un 10.</t>
  </si>
  <si>
    <t>Unas buenas botas El número es el apropiado y la calidad de las botas es excelente.</t>
  </si>
  <si>
    <t>Buenísima decisión! La mejor elección para mi bebé!! Producto muy aconsejable cuando se da el pecho y alguien se le ha de dar tu alimento 😊</t>
  </si>
  <si>
    <t>muy guapas nunca había tenido unas Converse ni unas bambas altas de este tipo. las compré junto con otras iguales a mitad de precio para compararlas y no hay color, son mucho más cómodas, la lona más suave y el diseño sutilmente más bonito, sobretodo la lengüeta más larga para poderla llevar un poco salida, como a mi me gusta. sirven para entretiempo y para el verano, tanto para llevar con leggins, jeaggins y vestiditos. merece la pena comprar las auténticas.</t>
  </si>
  <si>
    <t>practico y a buen precio &lt;div id="video-block-RPWKRN39Y2SR2" class="a-section a-spacing-small a-spacing-top-mini video-block"&gt;&lt;/div&gt;&lt;input type="hidden" name="" value="https://images-eu.ssl-images-amazon.com/images/I/C14J-hvxEQS.mp4" class="video-url"&gt;&lt;input type="hidden" name="" value="https://images-eu.ssl-images-amazon.com/images/I/A1YAuR4Z7WS.png" class="video-slate-img-url"&gt;&amp;nbsp;Es un hervidor de agua. El envió super rápido como nos tiene acostumbrado Amazon. Se trata de un hervidor de agua de 600ml que es perfecto para llevar de viaje ya que su tamaño es realmente reducido y la capacidad es la justa para no desperdiciar agua. Calienta muy rápido y trae un pequeño filtro en la punta. por el precio que tiene no encuentras nada igual en unas grande superficies y el rendimiento es como el de uno de el doble de precio de firmas mas conocidas. El enchufe viene con clavija europea. Contento con la compra y 100 % recomendado. Saludos</t>
  </si>
  <si>
    <t>El micro es muy malo Se conecta muy bien al bluetooth del móvil y el altavoz mediante conexión bluetooth se oye muy bien. De todos modos, el micrófono es malísimo. Hay que acercarse muchísimo hasta tocarlo con la boca para que se oiga algo. Además hace eco la posición no eco y viceversa. Lo devuelvo.</t>
  </si>
  <si>
    <t>Tiene que mejorar Lo que falta es untapon para los extremos uno queda cubierto  pero la otra punts queda descubierto pudiendose estripear. Muy facilmente</t>
  </si>
  <si>
    <t>No está mal. Pero decepciona El dispositivo en sí, cumple con su función, aunque el cable de conexión, no está bien diseñado para la entrada del HDD y cuesta que haga contacto. Lo cual lleva a que en pleno uso, deje de hacer dicho contacto y el ordenador piense que se ha desconectado, cancelando el proceso.</t>
  </si>
  <si>
    <t>Mala calidad Producto de muy mala calidad. Se dan de si y no ajustan., muchas pelotillas tela mala</t>
  </si>
  <si>
    <t>No se oye Lo conecto a una torre de sonido y con el volumen a tope y no se oye casi nada.</t>
  </si>
  <si>
    <t>No reproduce con calidad de sonido hasta el final Siento comentarles que me dispongo a devolver este convertidor. He realizado varios intentos de convertir de cinta a mp3 y la calidad de la grabación no es buena. Al principio de la grabación la calidad del sonido es buena y según va avanzando la cinta la calidad del sonido empeora hasta hacerse casi irreconocible la voz.</t>
  </si>
  <si>
    <t>Falta algo de comodidad Esta bien para el precio que tiene pero una correa de goma mas comoda le iria genial</t>
  </si>
  <si>
    <t>Aceptables Robustos, para su precio, son robustos y fiables. Los suelo utilizar para hacer deporte y cuando llevas un tiempo se cuela un poco la humedad, pero eso es habitual para todos. Recomendables.</t>
  </si>
  <si>
    <t>Escoba electrica Han corregido los dos mayores problemas de la primera version: Los pelos que se enganchaban en el rodillo y vaciar el depósito. Aunque no entiendo porqué han quitado la mopa. De todas maneras es una muy buena compra.</t>
  </si>
  <si>
    <t>Capacidad/Valocidad Es un muy buen disco duro, con una gran cache lo que permite tener grandes velocidades en archivos grande. El precio por TB es muy muy bueno. El único punto negativo es para los que tengan que migrar de un hdd a otro teniendo el SO en un sdd ya que es algo complejo y seguramente te tocara instalar otra vez las app de la Microsoft store que tengas en el hdd anterior. A nivel de ruido está en la media de todos los hdd destacando los inicios en los cuales tiene algo mas de ruido al igual que todos los discos mecánicos. En resumen es un disco que a las personas que se estén planteando comprar uno de 2Tb por unos 30€ mas tienen este con mas cache y mas capacidad cosa que si disponen de presupuesto recomiendo comprar este</t>
  </si>
  <si>
    <t>Buena calidad aunque la talla engaña. Son un poco mas gruesas que las otras mallas que he probado de precio similar. mido 1.73 y peso 100kg. Normalmente las XL me van bien pero estas me quedan algo grandes. Asi que cuidado al escoger.</t>
  </si>
  <si>
    <t>Gran capacidad y calidad a un buen precio Un disco duro con una capacidad enorme para guardar todo tipo de contenido, la velocidad de transferencia está genial, aunque (almenos a mi) donde noto de verdad su potencia es con linux, con windows también transfiere los archivos muy rápido pero la tasa de transferencia se multiplica con linux</t>
  </si>
  <si>
    <t>Tifón Han llegado tarde pero han llegado, son muy bonitos igual que en la foto, a mi mujer le han gustado mucho.</t>
  </si>
  <si>
    <t>Encaja perfectamente con la clavija de la guitarra y del amplificador &lt;div id="video-block-RAZS0H7HF9958"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src="https://images-eu.ssl-images-amazon.com/images/I/B1flYKXWmdS.mp4" style="position: absolute; left: 0px; top: 0px; overflow: hidden; height: 1px; width: 1px;"&gt;&lt;/video&gt;&lt;/div&gt;&lt;div id="airy-slate-preload" style="background-color: rgb(0, 0, 0); background-image: url(&amp;quot;https://images-eu.ssl-images-amazon.com/images/I/91VfwhYG8PS.png&amp;quot;);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value="https://images-eu.ssl-images-amazon.com/images/I/B1flYKXWmdS.mp4" class="video-url"&gt;&lt;input type="hidden" name="" value="https://images-eu.ssl-images-amazon.com/images/I/91VfwhYG8PS.png" class="video-slate-img-url"&gt;&amp;nbsp;Es un cable con clavijas Jack,que está construido de materiales de buena calidad. Las clavijas  encajan perfectamente al amplificador y a la guitarra y no hace ningún ruido cuando está conectado. Se puede doblar muy bien es bastante flexible y viene con una pequeña tira de Velcro para poder enrollarlo. Le he comprado amarillo para que sobresalté y se pueda distinguir entre más cables utilizados. Respecto a calidad precio,está bien.</t>
  </si>
  <si>
    <t>Glamour Hasta el momento funciona muy bien . mi hermano quedó impresionado  por el regalo .Recomiendo su compra</t>
  </si>
  <si>
    <t>Ligero y cómodo Cumple con lo esperado. Es ligero y muy cómodo para uttilizarlo diariamente. Lo único la correa un poco larga si tienes la muñeca fina.</t>
  </si>
  <si>
    <t>Impresionante velocidad de acceso a los archivos. Funciona a la perfección en mi móvil Huawei, se nota la velocidad de acceso a los archivos más pesados con respecto a otras tarjetas que tenia antes. Merece la pena pagar un poco más y ganar en velocidad  calidad. Recomendable 100 %.</t>
  </si>
  <si>
    <t>Son los segundas que compro Zapatillas perfectas para trabajar no te resbalas nunca</t>
  </si>
  <si>
    <t>Recomendable Estupendo. Trae una cajita para regalo , y el certificado de autenticidad .</t>
  </si>
  <si>
    <t>Muy bonito Este disco duro está muy bien, lo compré porque me gustaba el color azul, la marca ya sé que es buena, he tenido otros discos Seagate y siempre me han ido bien. Costaba un poco más caro que los típicos negros, pero como es algo que dura mucho tiempo, quería que fuese bonito. Por lo demás, lo reconoció al instante (Windows 10), y no me ha dado problemas.</t>
  </si>
  <si>
    <t>Calidad Muy buenos</t>
  </si>
  <si>
    <t>Genial Todo ok</t>
  </si>
  <si>
    <t>Encantada Super contenta con la compra repetiré sin duda</t>
  </si>
  <si>
    <t>Muy recomendable! Mucho mejor de lo que esperaba. Lo estoy usando dos veces al día y es rápido, bate genial y muy fácil de limpiar.</t>
  </si>
  <si>
    <t>Muy buena grúa y calidad de audio Este micrófono con grúa es increíble, quizá sea porque es la primera vez que pruebo una grúa para micrófono y por eso estoy embobado cada vez que miro el rincón de mi ordenador y lo veo ahí. Muy buena calidad, de metal y se instala muy fácil. En cuanto al micrófono, le hacía falta a un familiar, que va a hacer streamings y no le hacía falta el brazo para nada, por lo que me lo he quedado yo, pero estuve probando durante unos días el micrófono con mis amigos y decían que se escuchaba genial. Probé a grabar un par de notas de audio y es muy limpio, aún no teniendo la habitación insonorizada y con eco. Muy buen producto.</t>
  </si>
  <si>
    <t>Ligeros y muy bonitos merecen la pena. Llegaron rápido son como guantes muy buenos y de talla bien tengo un 37 y quedan perfectos os recomiendo me encantan .</t>
  </si>
  <si>
    <t>Los recomiendo Son perfectos en calidad precio batería con bastante capacidad los he usado más de 2 horas y aun le que da para un rato más los recomiendo</t>
  </si>
  <si>
    <t>Viene con funda La máxima calidad de Faber Castell como siempre, pero quería añadir que viene con una pequeña funda para guardarlo todo que nos ha sido muy útil.</t>
  </si>
  <si>
    <t>Cómodas y no recogen pelusa Son muy cómodas y además no recogen pelusa. Es lo que quería.</t>
  </si>
  <si>
    <t>Extra grande Calzo normalmente 38,5 y muchas veces me queda pequeña la talla. Compré estas y me pedí una 39. Mi sorpresa ? Me sobran 2 cm! Enormes . Es como si hubiera pedido una 41</t>
  </si>
  <si>
    <t>No moldean la figura ni son push up. No son nada push up ni moldean. Calidad media y tela fina. Han tardado un mes en llegar.</t>
  </si>
  <si>
    <t>Bibe normal Un bibe normal. Quizás demasiadas piezas para que sea práctico. Si tienes cuidadores poco sofisticados o con cero tiempo no lo recomiendo.</t>
  </si>
  <si>
    <t>Después de lavar queda mal Mala calidad</t>
  </si>
  <si>
    <t>Calidad, pero por el precio que cobran de calidad mada Muy mal material</t>
  </si>
  <si>
    <t>Está bien Dan mucha talla, yo mido 1,78m y peso 80kgs y la M me queda un poco grande. Por otro lado, el cuello es bastante ancho, eso no me gusta demasiado. Pero por el precio que la he comprado (10€), ha sido buena compra. La tela parece de calidad, similar a otra camiseta Adidas que tengo comprada en tienda oficial.</t>
  </si>
  <si>
    <t>Calidad y precio inigualable. Calidad en sonido muy buena. Nada que no se haya dicho o sepa de este modelo legendario. Sigue entre los top 10 modelos en muchas reviews que he visto para este año 2018. Ideales para mezcla y estudio. A nivel particular y en cuanto a comodidad se refiere, tras varias horas de uso a mi personalmente me duelen un poco las orejas ya que no tienen suficiente hendidura para la oreja, pero claro, es un tema anatómico de cada uno y uno tiene las orejas que sus padres le han dado. Seguramente otras personas no se verán afectadas por este tema. Repito, es tras varias horas de uso. Sólo por esto no le doy 5 estrellas.</t>
  </si>
  <si>
    <t>Algo chiquitito El bolso está bien, pero es algo pequeño</t>
  </si>
  <si>
    <t>Me gusta Me gusta mucho. Muy cómodas y el número es el que uso . Muy buen precio y el color igual que las fotos</t>
  </si>
  <si>
    <t>Contenta Me ha gustado mucho este difusor, trae un cable largo de color blanco para poderlo enchufar, es muy fácil el funcionamiento, trae una caja con 4 aceites, el que más nos gusta es el de limón, las luces le da un tono muy bonito y relajante</t>
  </si>
  <si>
    <t>Chulas Me gusta mucho y son originales. El envío en un día.</t>
  </si>
  <si>
    <t>Perfecto Perfecto, justo lo que yo buscaba. Hierve el agua super rápido y se desconecta cuando está hirviendo. Calidad/precio genial. Ideal para el despacho</t>
  </si>
  <si>
    <t>Excelentes botas Impresionantes botas Panama Jack,bastante mejores que las Timberland pero al ser españolas tienen menos fama, piel excelente muy comodas y ligeras,el color muy bonito,lo del kit de limpieza y los cordones a mi me la sopla,lo tengo de otras,y encima por 94 euros!muy recomendable compra.</t>
  </si>
  <si>
    <t>Muy satisfecha Tal y como se muestra en la foto y viene con las piedras, me ha gustado mucho. Gracias</t>
  </si>
  <si>
    <t>Ideales para lactancia mixta Calidad precio perfecto la tetina simula el pezon</t>
  </si>
  <si>
    <t>Fantásticos Creo que ya expresé mi opinión pero no me importa volver a repetirlo.  Me encantaron los auriculares, aunque ya conocía la marca porque había tenido unos antes.  Luego, tampoco fue una sorpresa. Ya conocía de antemano lo bueno que son estos auriculares. Y encima no excesivamente caros, más bien baratos.</t>
  </si>
  <si>
    <t>Buen producto Mi hijo lo cojio a la primera despues del destete y eso que hemos probado muchos biberones.</t>
  </si>
  <si>
    <t>Buena calidad!!! Estos pantalones tipo mallas son cómodos y de buena calidad. Lo mejor de todo es que no transparentan. Recomendable 100%.</t>
  </si>
  <si>
    <t>Muy cómodas Son muy cómodas como todas las zapatillas Skechers.</t>
  </si>
  <si>
    <t>Buna calidad/precio Bolso muy grande. El tejido es bueno y las fotos son idénticas al producto que llega</t>
  </si>
  <si>
    <t>Llegó a su tiempo Muy bonito y deportivo. A mi me encantó. Lo recomiendo</t>
  </si>
  <si>
    <t>Buena compra Calzan grandes, pedi un 38 y deberia ser un 37'5 o 37. Muy ligeras, como si no llevases nada al caminar. Tal y como se ven en la foto.</t>
  </si>
  <si>
    <t>Esterilizador pequeño Viene igual al anuncio todo perfecto validad precio, sabía para lo que  necesitaba  me viene bien para lo que yo necesito</t>
  </si>
  <si>
    <t>Caso curioso Pedí dos pantalones, cada uno con diferentes estampados. Primero me llegó uno y a la mañana siguiente otro, así que supongo que fueron enviados por diferentes vendedores. El caso es, que son los dos exactamente la misma talla, la S (Normalmente llevo M pero pedí una menos intuyendo que quedaban bastante anchos) pero uno, el gris con casmere negro me viene enorme (como si fuera la M o casi L!) y el otro azul marino con pequeños motivos triangulares, me queda perfecto...La misma marca (oodji ultra, y lo pone), la misma talla (la etiqueta pone S en los 2), diferente estampado (pero se trata del mismo modelo de pantalón!)....un caso más en, misterios sin resolver....</t>
  </si>
  <si>
    <t>Bien Muy bonito y calidad precio genial</t>
  </si>
  <si>
    <t>perfecto Me llegó muy rápido y todo bien, la única pega que puedo poner es que hay dos colores y no te dan a elegir , te mandan el que quieren pero por lo demás genial, va perfecto, mantiene el calor, protege de los golpes y le va como un guante. Muy satisfecha de la compra.</t>
  </si>
  <si>
    <t>Calidad-precio recomendable buena Muy buena, me ha sorprendido la potencia, es  suficiente para hacer purés,me sirve para lo que la quería perfectamente, buena, calidad -precio.</t>
  </si>
  <si>
    <t>Rapidez Pensaba que era una caja vacía ya que no pesa nada! Funciona genial  instalado en un ASUS F555L y va como un tiro de rápido. He tardado más en cambiar el disco que en realizar la instalación del S.O. Calidad precio espectacular</t>
  </si>
  <si>
    <t>CAPACIDAD/PRECIO EXCELENTE, HORRIBLE QUE SE CALIENTE TANTO, LENTO 64GB por 11€ está muy bien. El tamaño también es bueno para los que no queremos tener un dispositivo grande como los de siempre. Sin embargo, falla en lo más importante: la escritura. Es bastante lento, y para mí que lo lleno de vídeos constantemente para la TV y luego los borro y meto nuevos es un incordio. Sí, puedo esperar, pero si solo fuera ese el problema le habría dado 4 estrellas. El verdadero problema es que SE CALIENTA UNA BARBARIDAD. Cuando terminan de pasarse las cosas al cogerlo da la sensación de que en cualquier momento podría haber ardido. Iba a devolverlo, pero he leído muchas opiniones de que es algo que pasa muchísimo así que lo usaré hasta que muera (siempre vigilándolo, por supuesto) y compraré otro modelo.</t>
  </si>
  <si>
    <t>Justa Batidora que no se le puede pedir mucho. De materiales endebles. Cumple su función de triturar pero sin muchos alardes ya que alimentos sólidos no los tritura bien</t>
  </si>
  <si>
    <t>Zapatillas de casa correctas, pero las hay mejores Buscaba unas zapatillas para el comienzo del invierno que fueran bonitas, aíslen del frío suelo, calientes pero tampoco en exceso y puedan transpirar un poco,  por lo que estas de algodón con suela de goma son buena opción.   En directo son como en la foto, resultan bonitas y si tienes duda entre dos tallas recomiendo la mayor.   Como punto en contra, que el tacto es agradable al introducir el pie, como si fuera un tejido de toalla fino, pero no como otras que sí son más agradables aún y se parecen mucho más tacto a algodón natural. Es recomendable, no la devolveré, pero si tengo que comprar probaré con otra marca o modelo que hay muchos. Actualizaré información cuando lleve más meses con ellas y ver durabilidad. Si te sirvió análisis, pulsa útil.</t>
  </si>
  <si>
    <t>Malo malo malo... 2 meses ha durado instalado en mi Nas, primera y ultima vez que monto Seagate. Jamas hubiera pensado que me iba a durar tan poco...</t>
  </si>
  <si>
    <t>No repetiré... (Opinion personal) Sinceramente no es lo que me esperaba, quizás me haya tocado un modelo defectuoso o algo pero la frecuencia de los graves corta muy arriba, se escucha la pegada del bajo pero no su cuerpo, la ambientación espacial del sonido si que podríamos definir como decente..... Pero vaya que no soy ningún profesional... Para cantantes o viento metal podría funcionar. Sinceramente me esperaba que fuesen mejores que los in ear LG que trae el G7 o del G6 si me apuras. Definitivamente antes me decantaria por algún kz o el jbl t112 ..... Pero para mi gusto personal.... No merecen la pena. Lo siento si ofendo a alguien pero es mi opinión y es totalmente objetiva</t>
  </si>
  <si>
    <t>Buen precio y funcionamiento correcto Hasta ahora el disco está funcionando correctamente, no lo utilizo para el Sistema operativo, pero su rendimiento es bueno. Esperemos que siga así.</t>
  </si>
  <si>
    <t>Parienta no se los quita para nada se siente flotar..</t>
  </si>
  <si>
    <t>Muy cálida y con muy buen tacto La chaqueta está muy bien pero talla un poco más grande de lo esperado. Si pretendes que quede entallada mejor pedir una talla menos de lo habitual</t>
  </si>
  <si>
    <t>casi perfecta Calienta muy rápido y parece de buena calidad. No tiene mucho cable pero eso no es un gran problema. Es un inconveniente, aunque tampoco muy grande, tener que limpiar su fondo cuando se usa, porque su estrechez dificulta su acceso.</t>
  </si>
  <si>
    <t>Alfombrilla grande y de buena calidad Me está gustando la alfombrilla. Tiene un buen tamaño sin ser excesivo, por lo que puedes usar el ratón cómodamente. La textura es agradable y funciona bien en juegos, sin crear movimientos bruscos del curso.  Al ser negro se nota la suciedad, pero se limpia bien.</t>
  </si>
  <si>
    <t>Producto recomendado 100% Es muy importante cuidar y ejercitar el suelo pélvico de las mujeres, sobretodo a partir de los treinta y cinco años o cuando se ha tenido embarazos. Yo no había probado nigún sistema para esto. Y al probar estas bolas chinas, la verdad que estoy encantada. Sobre todo porque cada una de ellas se adapta al nivel que necesito con sus diferentes pesos y tamaños.  Su material de silicona es muy suave y fácil de lavar y secar. Destacar su mando a distancia para poder controlar su activación en una de ellas, y el cable USB que incluye para cargarla, es genial. Muy recomendable.</t>
  </si>
  <si>
    <t>Pequeño y ligero Producto muy práctico! Mide poco menos de dos palmos, pesa poco y tiene gran capacidad.  Lo utilizamos a diario en casa para limpiar el mantel de migas y recoger restos de papeles y demás polvo que dejan los niños.  Se ve un producto robusto, de momento estamos muy contentos con él.</t>
  </si>
  <si>
    <t>Envío muy rápido y en buenas condiciones Todo muy bien, pero recomiendo pedir un número más como mínimo ya que el tallaje es demasiado justo para mi gusto.</t>
  </si>
  <si>
    <t>gran tamaño, pero una potencia increible &lt;div id="video-block-R2YA669JUCAU7O" class="a-section a-spacing-small a-spacing-top-mini video-block"&gt;&lt;/div&gt;&lt;input type="hidden" name="" value="https://images-eu.ssl-images-amazon.com/images/I/A1xZO+VPr9S.mp4" class="video-url"&gt;&lt;input type="hidden" name="" value="https://images-eu.ssl-images-amazon.com/images/I/71aKnjLxxpS.png" class="video-slate-img-url"&gt;&amp;nbsp;su diseño es simple pero muy ingenioso, dada la gran potencia que genera tenia un poco de miedo por la base donde se coloca el baso, en otras batidora de similar sistema, con potencia bastante inferior, por las vibraciones resultantes de la acción del motor se han roto los anclajes y han surgido grietas en la estructura superior, en este modelo se aprecia que tiene una superficie de goma, de esta manera se absorbe la vibración. El ruido es aceptable teniendo encuentra la increíble potencia que atesora, la he probado a nivel 2 y convierte en diminutas escamas a los cubitos de hielo. adjunta un manual que incluye el español entre sus idiomas, también tiene un libro de recetas saludables, y me planteado un reto ceñierme a este libro unos meses y ver el resultado. se puede triturar, batir.... se puede preparar desde un pure a un  simple batido. ahora que se acerca el calor es un gran electrodoméstico para utilizar</t>
  </si>
  <si>
    <t>Muy fino y elegante Lo primero que resalta de este producto es su elegancia. Viene en una cajita de alta calidad, y dentro, el colgante va protegido con un plástico. En dicha cajita encontramos, además de la certificación del producto, una gamuza para poder limpiarlo, y éste es un muy buen detalle. Pero hablemos del collar en sí: Es un colgante de plata de ley, con una zirconia y varias piedrecitas a parte de la grande, de 17,95mm. Es un diseño muy elegante, pero no ostentoso, así que queda genial tanto para una fiesta como para el día a día. Además, nos viene con un collar fino de 45 cm, ni muy largo ni muy corto, también de plata de ley. Todo esto por menos de 10 euros es un chollo! La verdad estoy encantada con este producto. Como regalo creo que alegraría el día a cualquiera.</t>
  </si>
  <si>
    <t>Muy bien por el precio Es una tela agradable para ser poliester, bajos de tiro (prefiero más altos en chandal) y destaca demasiado lo de Joma tan grande en el lateral</t>
  </si>
  <si>
    <t>Muy sorprendido con la calidad tras meses de uso Tras más de 3 meses usando los auriculares de manera bastante intensiva, tengo que decir que a primera vista me parecieron demasiado plasticosos, pero sorprendentemente esto se ha convertido en una ventaja, son muy ligeros, lo que hace que no te canses tras llevarlos un tiempo largo, además de que están como el primer día, al final son de una calidad muy buena</t>
  </si>
  <si>
    <t>funciona muy bien, lo recomiendo, es increible por el precio que tiene, te llevas un reloj de calidad a precio muy atractivo, compra totalmente recomendable, no te lo pierdas</t>
  </si>
  <si>
    <t>¡Mágicas! ¡Un gran producto!</t>
  </si>
  <si>
    <t>Comodos, calidad precio. Relación calidad precio insuperables, por mas que pruebo otros, estos me suele durar mucho y son muy comodos.</t>
  </si>
  <si>
    <t>Es perfecto para mi cocina. Me gusta el estilo retro. Perfecto para mi cocina</t>
  </si>
  <si>
    <t>Bueno Bonito y Barato La verdad es que estoy encantado con el , a mi juicio una buena compra que reune los tres requisitos que bsuca cualquier comprador, bueno bonito y asequible en precio.No tiene nada que envidiar a otros que le triplican en precio.Lo estoy usando diario tanto en sport,  casual como traje.VA muy bien. Buena compra</t>
  </si>
  <si>
    <t>De lo mejorcito Hace tiempo que son mi primera opción por encima de las Samsung que si me dieron problemas. Van perfectas, son rápidas y fiables</t>
  </si>
  <si>
    <t>Comodidad total Muy, muy cómodos y conseguidos a un precio muy bueno</t>
  </si>
  <si>
    <t>Zapatillas Zapatillas clásicas de toda la vida, bonitas , cómodas y buenos materiales. la talla se corresponde a la perfección.</t>
  </si>
  <si>
    <t>Están muy chulas. Pide 1 talla más! Muy bonito modelo Nike. No entiendo mucho, pero no parecen nada falsas como he leído por ahí. Yo gasto siempre un 42 y me gusta que la zapatilla me quede ajustada, pues hice caso de los comentarios y pedí un 43 y realmente me quedan como un guante. Muy contento con mi compra. (Aunque en la foto de cerca se vean un negro claro, son muy negras)</t>
  </si>
  <si>
    <t>Adecuada Buena taladradora. Se atasca al coger un grosor Eva don de folios para taladrar... lo normal</t>
  </si>
  <si>
    <t>Casio dw 5600 Es un reloj impresionante si te gustan los digitales, eso sí. Para mí , que soy lo padre de familia, gimnasio y tal es perfecto tanto que no lo quito al terminar. Es muy bonito. Hablo del que va en negativo. Difícil de encontrar , pero a veces lo ponen en Amazon.es Lo mejor, que es atómico radiocontrolado y solar. Olvidando pila...</t>
  </si>
  <si>
    <t>Perfecto. Es increible. Aspira y frega perfectamente. Lo he vinculado al asistente y con la voz o con la app lo activo antes de llegar a casa.</t>
  </si>
  <si>
    <t>Bonitos pro son ponerlos Desde que los tengo, no he podido ponérmelos. Es súper incomodo y difícil ponerlos y me hago daño. Son muy bonitos pro en mi caso no me sirven</t>
  </si>
  <si>
    <t>Bien pero pequeña Mas pequeña de lo que me esperaba no cabe ipad air</t>
  </si>
  <si>
    <t>Calidad de cable es basura. Buena Presentación. Buen Audio y estéticamente bueno. Calidad cero, un mes de uso y el cable ya falla, cuando se mueve el cable hace las funciones de los botones, y es un incordio que no puedas hacer nada pq cada vez que se mueve el cable te sube el volumen o te lo baja o te para la canción. No lo volvería a comprar ni lo recomendaría a nadie a no ser que cambien la calidad del cable.</t>
  </si>
  <si>
    <t>He comprado 3 packs y los tres defectuosos En un principio los primeros parecían funcionar bien (solo escuchar música y películas)  fáciles de emparejar entre ellos y con el dispositivo emisor (tablet o móvil) al siguiente día compre otro pack para mi mujer,, los tuvimos que devolver (que por cierto aún estamos esperando a que vengan a recogerlos) porque el lado izquierdo no funcionaba ni tan solo cargaba,,, decidimos devolverlos y comprar otro pack,, bueno,, pues ahora me encuentro que tanto el primero como el segundo,, interfiere de alguna manera con la señal wifi y los vídeos es imposible verlos (netflix, hbo y youtube) el segundo pack cada dos por tres emite los pitidos de emparejamiento sin ton ni son,,, en conclusión,, voy a devolver estos dos packs también, tiempo perdido en esta compra, no los recomiendo para nada.</t>
  </si>
  <si>
    <t>Zapatillas muy ponibles Las compré para mi hija de 16 años. Está encantada. Limpiarlas con paño húmedo con un poco de jabón de lavar loza. Y un cepillo de dientes viejo...kedan casi nuevas.</t>
  </si>
  <si>
    <t>Estupendos Funciona de maravilla. Con ellos se oye fantastico. Muy comodos de llevar. Lo unico es que yo creia que servian tambien para la ps4 y no es asi</t>
  </si>
  <si>
    <t>Mejor de lo esperado Ya llevo unas semanas con el Braava Jet y estoy muy contento. Sirve para limpiar superficies pequeñas, pero lo hace rápido y bien. Lo uso para la cocina cada noche y la batería aguanta dos días (es una cocina de unos 10m2). Con las bayetas de un solo uso es una ruina, si bien la azul deja el suelo muy bien. Compré unas de las reutilizables y el problema es que no llevan jabón. Lo que hago es poner unas pequeñas gotas de un detergente que hace poca espuma en estos paños y el suelo queda muy bien. La función de barrera virtual funciona genial para limitar la zona a limpiar</t>
  </si>
  <si>
    <t>Sella bien y es barato Desde que lo he utilizado no he tenido pinchazos...</t>
  </si>
  <si>
    <t>Buena calidad Idéntico a la foto. Un reloj moderno, cómodo de llevar y buen funcionamiento. Llegó en la fecha indicada sin ningún problema</t>
  </si>
  <si>
    <t>Calidad precio Me gustó porque era lo que queria</t>
  </si>
  <si>
    <t>Calidad precio buena Calidad precio bastante bueno</t>
  </si>
  <si>
    <t>Perfecto Para hacer un regalo a los mas pequeños ...perfecto</t>
  </si>
  <si>
    <t>Muy buena Es bastante espaciosa mucho más grande de lo que esperaba pero esta muy bien. Que se pliegue la hace mucho más cómoda para guardar, de momento es bastante resistente, lo único malo es el espacio que tiene para vaciar el agua que tarda bastante, pero se soluciona filtrando la bañera...</t>
  </si>
  <si>
    <t>Efectivo Muy buen micro para podcast</t>
  </si>
  <si>
    <t>Muy rápido calentando el agua. Muy bueno. Lástima que necesite un adaptador a la clavija española. (Viene incluido)</t>
  </si>
  <si>
    <t>Fundas de calidad Me decante por estas fundas guiándome por los comentarios de otros clientes. Lo principal que pedía es que fueran de calidad porque hay otros vendedores en Amazón que ofrecen fundas que son malísimas. Estas son muy resistentes. Buen producto.</t>
  </si>
  <si>
    <t>Gran capacidad y metalico Para mi es el mejor pendrive que tengo en la actualidad.  64Gb en un pendrive totalmente metálico, y encima tiene una velocidad de lectura de 30 Mb por segundo, mas que de sobra para llevarme las películas y series en un solo dispositivo y no tener que andar con varios a la vez.  Hasta me sobra espacio para llevar mis documentos y mucha música, he metido todo lo que se me ha ocurrido y aun así me sobra espacio, por fin podre jubilar alguno de los pendrives, que están que se caen a cachos, todos de plástico.  Espero que con este no me pase como con alguno, que se llevan un golpe sin querer y ya está para tirar, este siendo metálico en caso de un golpe accidental, seguro que sigo teniendo pendrive.</t>
  </si>
  <si>
    <t>Elegante y práctico. Era el tamaño que iba buscando. De buena calidad.</t>
  </si>
  <si>
    <t>Sin complicaciones. Sin complicaciones. Perfecta para liveOS. Al ser estrecha puedes usar una toma usb que se encuentre al lado, cosa que con otros pendrives anchos que vienen haciendo otros fabricantes es imosible.</t>
  </si>
  <si>
    <t>Facil Muy suave al tacto. Me a gusta mucho que tenga 6 intensidades de calor, por lo que resulta muy facil conseguir la temperatura deseada.</t>
  </si>
  <si>
    <t>Buena calidad y precio Material de calidad. Buena textura y buen material. De momento me está dando muy buen resultado porque me acuerdo de usarlo con frecuencia, estoy contenta porque ya noto la diferencia. Lo recomiendo.</t>
  </si>
  <si>
    <t>Excelente relación calidad/precio. Excelente relación calidad/precio. Los materiales son de primera, los acabados son excelentes, Se adapta perfectamente a las especificaciones del producto. Una buena compra.</t>
  </si>
  <si>
    <t>Perfecto Me encanta el reloj  aunque es grande pero me viene perfecto para la muñeca, los números son grandes y se ven muy bien y con la luz puedes ver la hora sin  problemas en la oscuridad, muy buena compra lo recomiendo.</t>
  </si>
  <si>
    <t>Genial Ya conocía las Havaianas, así que perfectas!!! Lo único a tener en cuenta es que hay que fijarse en el número de pie brasileño. Si miras la numeración europea, hay que pedir un número más.</t>
  </si>
  <si>
    <t>Buena calidad y diseño deportivo a muy buen precio. Buena calidad y diseño deportivo a muy buen precio. Resistente al agua, pantalla con dígitos grandes e iluminación en todas sus funciones (hora, alarma, cronometro ….)  que hacen que se vea muy bien. Se conecta vía Bluetooth. Para aprovechar todas las funciones debes bajarle la app Sports en tu móvil y sincronizar. Es una app muy completa El manual viene en castellano. Tiene alarma, cronómetro, podómetro ( para controlar los kilometos que recorres), las calorías gastadas,  te monitoriza el sueño y aviso de llamadas y mensajes entrntes  de diferentes redes sociales (entre ellas whatsapp, facebook y twitter, etc..) Para encenderlo o apagarlo hay que apretar conjuntamente las teclas mode y start. Te incluye una batería de botón de repuesto, lo cual es de agradecer. Compra recomendable 100%, estoy muy contento</t>
  </si>
  <si>
    <t>Muy bien SuenaMuy bien</t>
  </si>
  <si>
    <t>Comodidad Super cómodas.</t>
  </si>
  <si>
    <t>Tela tipo pijama Pues los he devuelto. La tela es muy fina y más que un chándal parecía un pijama. Por lo demás (entrega, servicio y devolución) muy bien; ninguna queja.</t>
  </si>
  <si>
    <t>Está curioso... pero no es para regalarlo Hace gracia porque es como el de la peli UP y si lo pilláis a buen precio no es un mal álbum de fotos, pero me parece pésimo para regalar. Se ve cutre y parece que lo has comprado en un chino.</t>
  </si>
  <si>
    <t>habra que verlo a largo plazo yo lo quiero para auyentar a los bichos de mi casa pero de momento parece que no hace mucho efecto</t>
  </si>
  <si>
    <t>África No son originales. Ni por asomo. Decepcionada. Tengo converse originales y no tiene nada que ver  la tela ni el olor. Ahora que devolverlas.</t>
  </si>
  <si>
    <t>El frazco está abierto Ha llegado rápido pero el frazco estaba abierto.</t>
  </si>
  <si>
    <t>Buen biberón Compramos esta marca porque fué la que utilizaron durante la estancia del bebé en el hospital. Son biberones bastante estrechos pero que se limpian sin problema  y de buena calidad. Para nosotros lo más destacable son las tetinas. Simulan muy bien el pezón de la madre y para lactancia combinada nos están funcionando de maravilla. Puedes montar tetina de silicona o de látex. Vienen con la de silicona que es más dura y para bebés con buena capacidad de succión son ideales. Si el bebé no chupa fuerte entonces es mejor la de látex (ojo con las posibles alergias). Como casi todas las marcas, también cuentan con un sistema anticólicos pero aquí no hay milagros, depende en parte del bebé y estas cosas no siempre funcionan. Hemos probado con Avent, Medela y Nuk, y nosotros nos quedamos con esta última.</t>
  </si>
  <si>
    <t>Buena compra He comprado esta sudadera para mi hijo y está contento con ella, es moderna y calentita, talla correcta y llegó enseguida. Tiene un precio muy ajustado y de calidad se ve bien, solo falta esperar un tiempo a ver qué tal responde al uso y los lavados por eso no le doy 5 estrellas</t>
  </si>
  <si>
    <t>Estoy encantada con ella Viene muy bien embalada y todos los accesorios son muy prácticos</t>
  </si>
  <si>
    <t>Buen disco duro Buen disco duro, lo necesitaba para revivir un all in one antiguo que ya tenía unos años y perfecto. No hace ruido y es rápido, arranca el pc en pocos srgundo. La capacidad de almacenaje está de sobra para guardar algunas cosas el si tema operativo y navegar y ver cosas online. El mejor cambio que le puedes hacer a cualquier pc antiguo.</t>
  </si>
  <si>
    <t>Genial! Súper práctico, muy buena compra</t>
  </si>
  <si>
    <t>Buen pendrive. Estamos ante un pendrive de la marca Arcanite que he tenido yo la posibilidad de probar es el de 128GB, es un pendrive de un tamaño medio, cuenta con capucha.  En cuanto al diseño en USB en color negro con brillo.  En cuanto a la velocidad de transferencia de datos de 400 MB/segundo en lectura y 100 MB/segundo en escritura, yo lo he probado en casa y la verdad es que no tengo queja para mí la velocidad es más que suficiente, cuenta con tecnología 3.1 en el USB, el mercado existen otros modelos con una velocidad escritura mayor pero para un usuario medio como soy yo creo que está bien no es rápido pero funciona bien. Yo en las pruebas he visto que puede llegar a velocidad de escritura por encima de 100 MB/s en torno de 110 MB/s.ç  La tecnología de 3.1 es muy buena opción.  Me parece un buen pendrive con unas buena velocidad de escritura y de lectura, con una buena construcción.</t>
  </si>
  <si>
    <t>Bastante bien Buena compra. Justo lo que necesitaba para guardar el tablet de 10', llaves móvil y otros trastos que llevo en el bolso.</t>
  </si>
  <si>
    <t>Muy buena calidad de la marca. Muy buen producto y rápida entrega.</t>
  </si>
  <si>
    <t>Me encanta Perfecto! Yo me cogí una talla más de la mía y queda perfecto! Es comodisimo. Suave. Me encanta. Creo que compraré más en otros colores porqué es genial.</t>
  </si>
  <si>
    <t>Piedra en la vesícula Fui diagnosticada con piedra en la vesícula hace mucho tiempo por accidente en un chequeo de rutina. No tenia molestias. Unos 10 años después empezaron los dolores que me llevaron a emergencia varías veces en donde solo con morfina me sacaban el dolor. Los doctores me recomendaron cirugía. Mi hermano en un viaje de visita me trajo un paquete con este maravilloso té y lo empezó a tomar. Bendita hierba natural. Con cada ataque tomaba doble o triple y me sacaba el dolor. A la misma ve me hize lavado para eliminar y ayudar el té con epsom sal y aceite oliva  y la cantidad de piedra y arenilla que eche fue impresionante. Hasta echaba arenilla en la orina y todo sin dolor, ningún dolor gracias a herbensurina.  Y no perderé mi órgano!!!</t>
  </si>
  <si>
    <t>Perfecto Pequeño, moderno, sutil. La luz relaja mucho y el sonido del agua también. Está genial. De vez en cuando hay que pasar un papel húmedo por dentro para limpiarlo y que así no coja olor a humedad.</t>
  </si>
  <si>
    <t>Adiós al polvo Di adiós al polvo con este plumero de avestruz.</t>
  </si>
  <si>
    <t>Boolavard pack 4 bra quedan perfectos , son muy comodos de llevar , los recomiendo.</t>
  </si>
  <si>
    <t>Perfecta! Buena relación calidad-precio. Cómodas y ligeras. Útiles los bolsillos si juegas padel. Las cogí talla M por los comentarios y acerté. En mi caso 1,70m y 65/67kg.</t>
  </si>
  <si>
    <t>Buenisima. Batidora buenisima funciona a la perfeccion y es facil de limpiar despues de usarla. Y el precio es menor que en los grandes almacenes.</t>
  </si>
  <si>
    <t>Perfecto Producto de buena calidad</t>
  </si>
  <si>
    <t>Gran artículo Lo uso para marcar cualquier cosa de mis hijos y su adherencia es fantástica. Muy burn producto y a muy buen precio</t>
  </si>
  <si>
    <t>Pulsera para regalo Muy bonito y gusto mucho</t>
  </si>
  <si>
    <t>Me encanta Es pequeña pero perfecta para mi, justo lo que buscaba. Muy buena calidad y diseño muy bonito.</t>
  </si>
  <si>
    <t>Útil y barato Me duran lo que les aguanta la correa en general. No estaría mal saber el año de fabricación, porque como todo lo que lleva baterías en funcionamiento puedes llevar sorpresas y que te falle al poco de comprarlo.</t>
  </si>
  <si>
    <t>Excelente Perfecto</t>
  </si>
  <si>
    <t>Mini batidora El producto es correcto, viene con dos vasos y funciona muy bien. El tamaño es ideal!</t>
  </si>
  <si>
    <t>Yo no lo recomiendo, esperas una distancia mínima de conectividad, y no la tiene... Me gusta el diseño-precio, la calidad normal,  pero me ha defraudado,  por distancia, si me alejó un poco del móvil ya no llega... es que ni 10m sinceramente a lo mejor lineales sin nada de por medio, pero aún así no creo que llegue a esa distancia, no se adaptan muy bien a la oreja... mire comentarios positivos y me atrevi a comprarlo,  ahora que lo he probado me arrepiento, no entiendo los comentarios de que tiene buena distancia, buena?, tengo varios aparatos de bluetooth y este es con diferencia el que más problemas da...</t>
  </si>
  <si>
    <t>Lo esperado El agarre del micro y su sujeción son muy mejorables, pero x lo que cuesta no se puede pedir mas.</t>
  </si>
  <si>
    <t>A los 4 meses ha dejado de funcionar El producto en si cumple perfectamente con su cometido. Pica muy bien todo lo que necesitamos en el día a día.  Después de usarlo durante 4 meses (una vez al día) ha dejado de funcionar.</t>
  </si>
  <si>
    <t>no los recomiendo como calzado para el trabajo no han cumplido con lo q esperaba calidad deja mucho q desearlo el precio por durabilidad 15 dias muy caro</t>
  </si>
  <si>
    <t>Recomendable Por el precio creí que me iba a encontrar con un producto de baja calidad. Me equivoqué. Buen plástico, un imán que cumple su función y una buena capacidad en muy poco espacio.</t>
  </si>
  <si>
    <t>fantastico lo recibí muy pronto Me gusta por su tamaño que es pequeño, todavía no e grabado nada, pero me gusta.</t>
  </si>
  <si>
    <t>Buen producto Es super práctico. Te avisa acústicamente cuando queda poca batería. Además carga muy rápido. Es tan pequeño... Se muy metódico cuando lo gastas (como norma te lo quitas y va a cualquier bolsillo). Yo lo perdí a las dos semanas. Para matarme :(</t>
  </si>
  <si>
    <t>Me gustan La zapatilla es lo que esperaba estéticamente, el único fallo por decir alguno es que la talla es un poco mas grande, pero me vale, no hay necesidad de cambiarlo.</t>
  </si>
  <si>
    <t>Va bien Esta muy bien sobre todo para casa pero en salas mas grandes el volumen es pequeño, no se si la carga tiene algo que ver,</t>
  </si>
  <si>
    <t>Bastante bonita la verdad He de decir que he quedado sorprendido con lo bonita que es verla fisicamente. No tiene ni un solo defecto de costura ni nada por el estilo y el tamaño es el suficiente para que entre por ejemplo una carpeta  tamaño A4 y le sobra un pelin. Por dentro, en todos los compartimentos tiene un estampado de la marca muy suave de tela y las cremalleras son metálicas. En definitiva, hay que esperar a ver cuanto dura, aunque no le voy a dar un uso muy agresivo, pero he de decir que la primera impresión es muy buena. Lo recomiendo.</t>
  </si>
  <si>
    <t>Aro fácil de poner, sencillo y bonito Llevaba tiempo buscando un piercing para la nariz que fuera fácil de poner, sin bolas, pequeño (algunos aros que venden en las tiendas me quedaban muy grandes) y sin cierres visibles. El tamaño de 6 mm me hace daño y el de 8 me queda grande (que son las medidas que suelen vender en otros sitios). Pues bien, este que compré de 7 mm es perfecto. El cierre es facilisimo de poner y quitar, hace un click y queda discreto sin que se vea una bisagra o donde está el cierre. En definitiva, creo que voy a comprar otro para el labio y también los veo bien para los pendientes de las orejas. Ponía que tardaba como 3 semanas y ha llegado en una sola semana. Muy contenta.</t>
  </si>
  <si>
    <t>Genial! Genial, muy bonita y sobre todo, súper calentita.</t>
  </si>
  <si>
    <t>buen soporte Uns maravilla. Es negro y en perfecto estado. Aunque un poco caro pa lo poco k tiene. Ideal para cuando estás tocando sentado.</t>
  </si>
  <si>
    <t>Manta eléctrica  de calidad Buena manta eléctrica. Mandos separados para que cada persona  pueda regular la temperatura por separado. Tarda en calentar (el manual recomienda encenderlo 30 minutos antes) aunque luego da un calor muy agradable. En la posición 1 es muy suave, y en el 3 es algo más caliente, aunque no llega a ser tan caliente como las almohadillas eléctricas que se suelen usar para contracturas y lesiones musculares. entiendo que la función de una manta eléctrica no es esa y en mi opinión la temperatura es más que correcta. No tiene apagado automático. Según el manual, es lavable a 30°C, pero indica que en cada lavado pierde propiedades asi que no recomiendan lavarlo más de 5 veces a lo largo de su vida útil.es evidente que no es para lavarlo frecuentemente pero en caso de necesidad, si se puede lavar. Creo que es una buena compra</t>
  </si>
  <si>
    <t>lo que esperaba es el tipico reloj de casio muy resistente y una durabilidad asombrosa destaca su color verde por eso lo hace diferente del tipico reloj negro.</t>
  </si>
  <si>
    <t>Calidad y durabilidad Buena calidad, los utilizo basicamente para grabar en ellos mis proyectos musicales personales que grabo, secuencio y mezclo en el PC. Luego los renderizo y paso a estos CD de calidad contrastada y asi poder oir como suenan mis temas en diferentes equipos y salas de escucha. Extraordinaria calidad, tarda un poco el WIN 10 en formatearlos, una vez que quieres reutilizarlos, pero lo hace a plena satisfaccion una y otra vez.</t>
  </si>
  <si>
    <t>Me ha encantado Compré este producto y llegó muy rápido, además su calidad es excelente. Sirve para echarse unas risas con amigos y familiares. La calidad de sonido es buena y además se puede conectar a un altavoz, ponerle tarjeta de memoria, etc... Lo recomiendo mucho si quieres divertirte,</t>
  </si>
  <si>
    <t>Relación calidad precio Mi hija de 3 años está encantada con los auriculares!</t>
  </si>
  <si>
    <t>Auriculares para correr Auriculares inalámbricos realmente elegantes y bien acabados. Como siempre el producto llegó en dos días laborables y sin problemas. Vienen en un estuche muy cómodo donde los podemos transportar y cargar los auriculares. Previamente debemos haber cargado la base a través de un puerto micro usb.  He comprado estos auriculares para ir al gimnasio o salir a correr. Los he utilizado por el momento un par de veces y he decir que van de maravilla. Se ajustan perfectamente a la oreja y el sonido es claro, nítido y de calidad.  Inicialmente me costó emparejar ambos auriculares pero siguiendo las instrucciones que vienen en la caja los acabé emparejando sin problemas. Podemos utilizarlos también de manera individual por lo que podemos enlazar un auricular con un móvil y el otro con otro móvil diferente. Algo muy útil si los quieres compartir con un amigo o tu pareja y que cada uno pueda contestar y gestionar sus llamadas.</t>
  </si>
  <si>
    <t>Calidad y precio Perfecta para batidos en todas partes</t>
  </si>
  <si>
    <t>Crema para soriasis Espero de buena sensacion</t>
  </si>
  <si>
    <t>Beyerdynamic DT 770 Pro 80 Ohm En primer lugar quiero decirles que estos son mis primeros auriculares de alta gama.  Impresionantes auriculares profesionales de estudio de grabacion para monitorizar sonido, circumaurales con un diseño cerrado, no molestaras a los que te rodean, ni te molestaran los ruidos externos escuchando tus reproducciones, teniendo un sonido muy limpio en todas las frecuencias, tanto los graves que son profundos, pero contenidos, que no llegan a estropear la gama de frecuencias restantes, medios cristalinos, al igual que los agudos que no chillan en demasia como otros auriculares y no desentonan para nada con los grabes y medios, auriculares con un excelente "Bass Reflex" la tecnología para mejorar la respuesta de graves y un acabado excelente, incorpora unas almoadillas de velvetón, muy suaves y atercipeladas, para no dar esa sensacion que dan otras almoadillas de plastico, que con el calor del uso se quedan pegadas tras horas de uso.  Su diseño cerrado y circumaurales con un sonido dinamico, hacen de estos cascos una opcion muy recomendable para aquellos usuarios que esten en espacios ruidosos y quieran seguir disfrutando de su musica sin molestias externas.  Su comodidad, hacen que despues de usarlos durante horas, no dejen esa sensacion de molestia que otros auriculares dejan tras horas y horas de uso.  Un produccto 9/10, altamente recomendable, ya que por su calidad de construccion nos proporcionaran años de disfrute con estos auriculares y que decir de su diseño a un precio muy contenido que compite directamente con auriculares de mayor precio, dada la calidad de estos DT 770 Pro para mi y muchos usuaros de estos, opinamos que valen menos de lo que deberian, ofreciendo una calidad de sonido increible, una autentica maravilla a un precio muy asequible, Beyerdynamic ha realizado un muy buen trabajo con estos auriculares.  Sus compitidores directos son los siguientes:  - Sennheiser HD 280 Pro - Denon AH-D2000 - Audio-Technica ATH-M50 - Sony MDR-V6 muy similar a los MDR-7506  Sus especificaciones:  Transmission type:  Wired Headphone design (operating principle):  Closed Headphone impedance:  80 Ohms Headphone frequency response:  5 - 35.000 Hz Nominal sound pressure level:  96 dB Construction:  Circumaural (around the ear) Cable &amp;amp; plug:  Coiled connecting cable with mini-jack plug (3.5 mm) &amp;amp; adapter (6.35 mm) Net weight without packaging:  270 g</t>
  </si>
  <si>
    <t>Rapidisima es estupendo. la velocidad a la que calienta es sorprendente. cumple a la perdeccion cln lo que explica la descripción. ideal para hervir rapido y por ejemplo traspasar a una olla. de ese modo creo que se debe ahorrar gasto energético.</t>
  </si>
  <si>
    <t>Pequeña pero matona Cabe en cualquier esquina. Calienta rápido y hierve bien el agua. Para 1-2 personas es ideal. Llevo 3 meses usándola a diario y muy bien.</t>
  </si>
  <si>
    <t>Muy comodo Perfecto cálidad precio 10</t>
  </si>
  <si>
    <t>Comodisimas Muy comodas</t>
  </si>
  <si>
    <t>Sonido inigualable Me ha gustado muchísimo. Presentación divina!!!!! No le falta ningún detalle.... La bolsita para guardarlos.... El protector de plástico.... Detalle tras detalle!!!! Exquisito!!!! Aparte de que se escucha muy bien!!!! Buen sonido!!!! Los volveré a comprar!!!!!</t>
  </si>
  <si>
    <t>Buen producto Deja genial la piel</t>
  </si>
  <si>
    <t>Decepcionada Deberían de especificar q hay q descargarse un programa y q es muy difícil de manejar.  Después de muchos intentos hemos conseguido q haga ruido. Pero las luces no conseguimos q se le enciendan al tocar.</t>
  </si>
  <si>
    <t>Adidas Esta bien cómodas amplias  .</t>
  </si>
  <si>
    <t>El tono de la sudadera amarillo no es ese tono exactamente Queda bellaca pero el amarillo no es ese tono es un amarillo chillón y si es verdadera la sudadera es Tim carter SAVAGE</t>
  </si>
  <si>
    <t>No corresponde con la compra No tiene nada que ver con la de la foto, (engañoso)</t>
  </si>
  <si>
    <t>Poca calidad el enganche El enganche de muy baja calidad se abre y se sale, muy descontento</t>
  </si>
  <si>
    <t>No calienta Calienta muy poco. Pedí uno y lo devolví por que calentaba muy poco, pero el segundo también calentaba muy poco.</t>
  </si>
  <si>
    <t>Comodidad Super còmodos y el color tal como lo queria</t>
  </si>
  <si>
    <t>Carga solar. ¿Afecta al reloj? Alguien que me pueda sacar de la duda. Lo único que me echa para atrás a la hora de comprarme este reloj es por la carga solar, ya que seguramente no lo utilice todos los días y se lleve algunos meses en el cajón. Mi pregunta es si al reloj le afectaría eso y se terminaría por estropear. Alguien que me saque de dudas. Gracias.</t>
  </si>
  <si>
    <t>Bien No están mal, pero el pie resbala dentro del calcetín en desplazamientos laterales.</t>
  </si>
  <si>
    <t>Bastante bien para su precio Funciona bastante bien para el precio que tiene la relación entre el precio y la calidad van de la mano.</t>
  </si>
  <si>
    <t>Resistente de verdad Es resistente, el mosquetón es duro de verdad y es muy resistente en general, no se aplasta ni se deforma, la única pega es que su velocidad de transferencia no es gran cosa, si fuese conexión USB 3.0 sería realmente el mejor Pen que se pueda comprar</t>
  </si>
  <si>
    <t>Un disco duro que merece la pena, sobre todo para PS4 =) Lo compré para reemplazar el disco duro de 500GB de mi PS4, tras mucho tiempo de búsqueda por varias tiendas físicas y online. Solo encontré ESTE disco duro que cumpliese los requisitos necesarios para ello y que tuviese 2TB de capacidad (ya que tenía que ser un  2.5 y SATA3), los demás que encontré tenían 1TB de capacidad y se quedaban cortos para lo que yo tenía en mente... Y tras usarlo, reinstalar el sistema de PS4 en él y restaurar todos los juegos y demás aplicaciones, llevo con él medio mes y va DE LUJO, ¡lo recomiendo sin dudarlo!</t>
  </si>
  <si>
    <t>para ir a trabajar  le cabe de todo tiene varias  zonas para poner lapizes o  lo que sea la unica peja es que al lado hay un espacio para poner el movil y depende que que movil no cabe pero esta bien recomiendo ya que hace años que la llevo para ir a trabajar</t>
  </si>
  <si>
    <t>Suave y comodo Es un chandal muy bonito, ligero y cómodo que además puedes usar tranquilamente como pijama calentito para el próximo invierno. La calidad del material y los acabados es excelente. El color es precioso y combina muy bien con muchas otras prendas. Muy suave al tacto gracias a su acabado de terciopelo. Lo recomiendo por precio y calidad y su variedad de usos.</t>
  </si>
  <si>
    <t>saludos todo ha salido perfecto</t>
  </si>
  <si>
    <t>Para regalo estupendo Para regalar a mi sobrina de 10 años, Le ha encantado, se lo pasa bomba con él, el micrófono tiene para sincronozar con el móvil, para poner Le tarjetas de memoria o un usb, lo enchufas te pones tu música favorita y a cantar, los acabados están bastante bien y la calidad de sonido es en relación del tamaño del altavoz aceptable</t>
  </si>
  <si>
    <t>Buena zapatilla Muy buena zapatilla sin duda buena compra</t>
  </si>
  <si>
    <t>Para uso casero, o semi- profesional. Apariencia calidad medio o medio-baja Le falta peso indudablemente.  Sincronizan y se escucha bien. Por el precio es una buena compra</t>
  </si>
  <si>
    <t>Comodisimas Muy cómodas , cumplen las espectativas . Aunque es verdad que con el suelo mojado resbalan muchísimo , no usar cuando llueve</t>
  </si>
  <si>
    <t>Artículo de calidad Buena calidad, pesan muy poco y muy bonitas</t>
  </si>
  <si>
    <t>Me gustó mucho Tal y como viene en la foto, gran idea de regalo y hojas fuertes y amplias caben varias fotos</t>
  </si>
  <si>
    <t>bueno Un buen plumero para radiadores calefacción, se acopla bien y no raya los radiadores al no llevar alambre. Buen producto</t>
  </si>
  <si>
    <t>Comodo Muy buena tela, keda perfecto para la k tiene mucho pecho y Le guste estar recogido y sobretodo tiene almohadilla en los hombros</t>
  </si>
  <si>
    <t>calidad precio muy buenas muy ligeras asic al fin y alcabo</t>
  </si>
  <si>
    <t>Servicio Lo esperado. Son los que utilicé con mi primer hijo y he comprado lis midmos para el segundo. Van muy bien cuando utilizas cereal en la leche</t>
  </si>
  <si>
    <t>Un problema menos Nuestro bebé tomaba el pecho habitualmente; cuando no estaba su madre le intentaba dar yo el biberón y digo intentaba porque no lo quería, lloraba... Nos recomendaron este biberón porque imita el pecho de la madre y... ¡BINGO! no volvió a decir que no a un biberón. Todo un acierto y un problema menos. Actualmente sigue con el biberón, ya no toma pecho, pero ya en formato grande y solo compramos esta marca.</t>
  </si>
  <si>
    <t>Calidad y velocidad El producto es tal como se ve en la imagen así que no hay mucho que mencionar de el, una buena marca como Verbatim a un precio baratísimo. En cuanto a rapidez un servicio increíble tan solo 1 día en enviármelo. Más no se puede pedir.</t>
  </si>
  <si>
    <t>Como esperaba Ideal, tamaño perfecto buena calidad de materiales, en resumen un anillo a buen precio y con buenos acabados, muy contenta</t>
  </si>
  <si>
    <t>Regular Es más bonita en fotos</t>
  </si>
  <si>
    <t>bastante que desear El producto en si no está mal el problema radica en quien lo administra ya que en la descripción decía que traía accesorios que en realidad no traía, y siendo un producto administrado y vendido por Amazon deja mucho que desear ya que uno elije el producto por los accesorios.</t>
  </si>
  <si>
    <t>Normal Funciona muy bien la batidora, un poco incómodo el picador demasiadas partes es un poco engorroso, el de otras marcas es más rápido de usar y limpiar. El sistema de acople de la batidora necesitas las dos manos es más incómodo que si fuera de boton. Salpica.</t>
  </si>
  <si>
    <t>Calidad precio estupendos El producto está bien,sólo la talla es pequeña  un 37  no es media talla menos,por lo demás son cómodos la tela un poco gruesa para la época....pues los uso para trabajar</t>
  </si>
  <si>
    <t>Hardware decente, software desastroso Me ha gustado el precio: un disco duro externo de tamaño pequeño y capacidad de 4T por 109€ está bien. No me ha gustado nada el software: -Conseguí instalar el programa de copia de seguridad y es lo más básico que he visto. Un copia pega de toda la vida es más útil para hacer copias de seguridad que esa birria. -El software de seguridad he sido incapaz de instalarlo, esta tan preocupado de no funcionar nada más que en sus discos duros que no al no reconocer la unidad como propia no se ejecuta. -Lo peor no es que lo que funciona sea pobre y que el resto no funcione, es que al instalar el software se instalan una multitud de programas "de actualización y control del software" que ralentizan el arranque del ordenador de forma insostenible. No quiero ser mal pensado,  pero me gustaría saber el motivo de instalar programas que no soy consciente de utilizar. Mi experiencia: nefasta Mi consejo: como el hardware está bien y es barato utilícenlo, el software deberían desinstalarlo.</t>
  </si>
  <si>
    <t>Mala mala malisima Quemada al tercer uso, calidad pesima, de acero nada, es pasta plateada y de la mala. Muy muy decepcionada</t>
  </si>
  <si>
    <t>Sencillo de configurar y poner en funcionamiento. Fácil de seguir incluso con los ojos cerrados. Es fácil seguir el ritmo que marca incluso con los ojos cerrados. Como consejo recomendaría poder bajar aún más la intensidad de luz, totalmente a oscuras el mínimo es algo fuerte.  Siendo realistas, no es un milagro, pero puede ayudarte a coger un ritmo calmado de respiración que influye en el inicio del sueño.</t>
  </si>
  <si>
    <t>Originales y vistosos Estos zapatos eran un regalo. Después de leer las opiniones, decidí pedir un número más del que correspondía. Le quedaron muy bien. Los zapatos vinieron envueltos y sujetos entre si con una goma elástica, sin caja. Sin embargo llegaron bien, sin aplastamiento ni arrugas. Se notaba un poco parte del adhesivo alrededor de la suela.</t>
  </si>
  <si>
    <t>GRAN CAPACIDAD A BUEN PRECIO No hay mucho que decir de esta tarjeta, ya que los comentarios de los usuarios hablan por si solos. En mi opinión, es una de las mejores marcas para este tipo de productos y totalmente confiable.  Uso este tipo de tarjeta tanto para el teléfono móvil como para las cámaras de acción. No tengo problema en que se reconozca en cualquier dispositivo, ya sea mediante adaptador de tarjeta o mediante USB.  No he tenido problemas de pérdidas de datos ni se ha estropeado por un formateo erróneo. La tarjeta no se bloquea y la velocidad de transferencia de datos me parece bastante buena.  VENTAJAS - Marca reconocida - Buena velocidad de transferencia  DESVENTAJAS - Ninguna por el momento  Contenido del paquete: - Tarjeta 32 Gb - Adaptador</t>
  </si>
  <si>
    <t>PRODUCTO MUY EFICAZ LO USO CADA DIA Y EL PRODUCTO CUMPLE SUS ESPECTATIVAS. CALIDAD Y PRECIO MUY RECOMENDADO. LA CANTIDAD DE PRODUCTO ES MUY BUENA Y EL PRECIO ES CORRECTO.</t>
  </si>
  <si>
    <t>Me ha gustado Bueno</t>
  </si>
  <si>
    <t>Me encantan. Son muy bonitos.</t>
  </si>
  <si>
    <t>A la niña le encanto El color blanco es muy lindo y la talla perfecta</t>
  </si>
  <si>
    <t>Bonita y eficiente Funciona perfectamente para lo que está pensado, ni más ni menos. El ruido es el propio de estos electrodomésticos y el tiempo empleado el ideal, más rápido que un cazo o un microondas normalito. Encima el diseño me encanta!</t>
  </si>
  <si>
    <t>+ Perfecto</t>
  </si>
  <si>
    <t>Fantastica camiseta Muy buena tela, ideal para hacer deporte y a un precio inigualable. 100 recomendable para todos esta perfecta y ttanspira</t>
  </si>
  <si>
    <t>Genial Me gusta todo</t>
  </si>
  <si>
    <t>versatilidad óptimo producto para ordenar los cables se adapta a todos los grosores que necesites por que tu mismo vas enroscando los cables.</t>
  </si>
  <si>
    <t>Perfecto Perfecto, exactamente lo que buscava</t>
  </si>
  <si>
    <t>La puntualidad Todo bien</t>
  </si>
  <si>
    <t>Buena calidad Muy cómodas y la talla perfecta</t>
  </si>
  <si>
    <t>. Coincide perfectamente con lo indicado. Cómodas y resistentes</t>
  </si>
  <si>
    <t>Encaja bien Todo como pone en anuncio, va bien</t>
  </si>
  <si>
    <t>Tijeras escolares que cortan genial el papel y cartón Tijeras infantiles para uso escolar. Cortan muy bien, son fáciles de manejar y seguras para los más pequeños. Están indicadas para niños mayores de 4 años pero no tienen ninguna parte punzante. También hay que destacar que tiene los agujeros los suficientemente grandes como para poder usarlas un adulto.</t>
  </si>
  <si>
    <t>Muy buena calidad. Voy a hablar con propiedad. Nada mas abrirlos y ponérmelos sonaba fatal pero.... Me meti en google a ver que encontraba y lei un comentario de lo importante que era usar la almohadilla correcta (las almohadillas vienen incluidas). pues así fue... Puse la almohadilla perfecta para mis oídos y milagro.... El sonido es espectacular. Los recomiendo al 100%. En la playa me alejo mas de 40 metros y sigo escuchando la musica. Muy buena calidad. Todos los dias voy al gym un par de horas y los cargo una vez a la semana. Muy contento de verdad...</t>
  </si>
  <si>
    <t>encántame No pesa nada. Es muy bonito. Venia con la caja original donde ponen los relojes en las joyerias. Para chico o si te gustan los relojes un poco grandes, este es un poco pequeño.</t>
  </si>
  <si>
    <t>Buena calidad. Pedí la talla M y me llegó la 2XL la tela es muy buena calidad.</t>
  </si>
  <si>
    <t>MUY BONITO Y ELEGANTE PANTALON DEPORTIVO "CHANDAL" MUY BONITO Y ELEGANTE. EL CORTE ES AJUSTADO PERO NO EN EXCESO. SIRVE PARA VESTIR Y PARA HACER DEMPORTE EN TIEMPO FRIO.</t>
  </si>
  <si>
    <t>Lindos Son preciosos y de muy buena calidad</t>
  </si>
  <si>
    <t>CALIDAD Y PRECIO Buen set de 6 aceites esenciales de aromaterapia de 10ml cada uno ideales para usarlos con humidificadores, lo más importante de este set de aceites es que son 100% naturales, sin químicos, por lo que no tienes problemas como con otros que producen alergias. El aceite se disuelve en el agua fácilmente, deja un buen aroma en el ambiente de la habitación, hay que hacer caso a las indicaciones que te lo dejan bien claro no poner en contacto con la piel directamente antes diluir en agua. El set es muy barato, teniendo en cuenta que en algunos centros de aromaterapia te cobran entre 7 y 20€ por un frasco de diferentes mezclas. De modo que ha sido una muy buena inversión de 15€. Teniendo en cuenta que sólo hay que utilizar unas gotas, es una buena inversión por calidad y precio.</t>
  </si>
  <si>
    <t>En poco tiempo se deteriora Lo único bueno de este producto es que llegó rápidamente. Los acabados de los conectores , forrados con cinta termoretractil no hacen que el producto tenga buena calidad.Después de varios meses de uso los conectores nada más que hacen interferencia y no se oyen bien. Tendré que comprar otro.</t>
  </si>
  <si>
    <t>La utilidad que tiene el producto Producto correcto, aunque los clips para los cables venían muy pegajosos y el protector plástico 3M, muy difícil de retirar.</t>
  </si>
  <si>
    <t>Cadena de plata se rompe con mirarla Habia dado una ipinion muy buena de la cadena .ya que es muy bonita pero es una pena. Se acaba de romper . me he duchado y se ha roto.</t>
  </si>
  <si>
    <t>Camiseta Pensaba que el tejido era diferente, es muy finita no es el tejido de sudadera, es una camiseta un poco decepcionada la verdad.</t>
  </si>
  <si>
    <t>Buen cajón. Perfectamente embalado y presentado. Buena calidad de materiales, la única salvedad es que el cajón, sale demasiado rápido para mi gusto, y no supe configurarlo bien a través del programa, ya que lo abría bien, o sea, mandaba los comandos, pero no supe hacer que lo volviera a cerrar, así que desconecté el cable serie y lo dejé en modo manual, a través de la llave. Buena compra.</t>
  </si>
  <si>
    <t>Bonitos cascos Los cascos funcionan muy bien, se enlazan rápido con el transmisor y se oyen genial... y muy practico lo de la radio FM y la micro memoria para poder escuchar música si tener que depender de otros aparatos. Los uso casi exclusivamente para la tv y son bastante cómodos de portar, cargar rápido y fácil duran cinco a siete horas, Por poner alguna pega es que los veo un poco frágiles... espero que me duren..</t>
  </si>
  <si>
    <t>Funciona No use este producto me a llegado</t>
  </si>
  <si>
    <t>Nada que envidiar a otras el doble de caras De momento muy bien.cómodas y bonitas.</t>
  </si>
  <si>
    <t>Fantastico Lo compre para una despedida de soltera y la verdad que nos encanto, nos dio muchísimo juego. El altavoz no se escucha muy alto...</t>
  </si>
  <si>
    <t>Excelente diver relación calidad/precio Posíblemente el Diver mas barato que se puede encontrar en el mercado, sin desmerecerlo en absoluto. Bisel giratorio, corona roscada, parada de segundero, resistente al agua 200m... El armis un poco flojillo como ya han comentado en otras reseñas. Pero por 50 euros no se le puede pedir mas, tienes un reloj todoterreno con las mismas prestaciones que ofrecen otras marcas a un mayor precio.</t>
  </si>
  <si>
    <t>zapatillas muy comodas</t>
  </si>
  <si>
    <t>Calida Dr. Martens Buenas botas, la calidad esperada de la marca. Los peros de siempre, la rigidez hasta que se adaptan, una vez están domadas puedes estar horas andando con ellas sin problemas. Compra muy recomendada y casi obligatoria, si te gustan y son de tu estilo.</t>
  </si>
  <si>
    <t>Calidad aceptable. Me ha sorprendido su calidad de acabados. Por el precio no me la esperaba así. Los complementos a excepción de las varillas batidoras , q no parecen gran cosa, lo demás todo buena calidad. Adjunto foto de todo su contenido. La batidora tiene un regulador de potencia en su parte posterior q te ayuda a ver la velocidad q le pones.</t>
  </si>
</sst>
</file>

<file path=xl/styles.xml><?xml version="1.0" encoding="utf-8"?>
<styleSheet xmlns="http://schemas.openxmlformats.org/spreadsheetml/2006/main" xmlns:x14ac="http://schemas.microsoft.com/office/spreadsheetml/2009/9/ac" xmlns:mc="http://schemas.openxmlformats.org/markup-compatibility/2006">
  <fonts count="2">
    <font>
      <sz val="10.0"/>
      <color rgb="FF000000"/>
      <name val="Arial"/>
    </font>
    <font/>
  </fonts>
  <fills count="2">
    <fill>
      <patternFill patternType="none"/>
    </fill>
    <fill>
      <patternFill patternType="lightGray"/>
    </fill>
  </fills>
  <borders count="1">
    <border/>
  </borders>
  <cellStyleXfs count="1">
    <xf borderId="0" fillId="0" fontId="0" numFmtId="0" applyAlignment="1" applyFont="1"/>
  </cellStyleXfs>
  <cellXfs count="3">
    <xf borderId="0" fillId="0" fontId="0" numFmtId="0" xfId="0" applyAlignment="1" applyFont="1">
      <alignment readingOrder="0" shrinkToFit="0" vertical="bottom" wrapText="0"/>
    </xf>
    <xf borderId="0" fillId="0" fontId="1" numFmtId="0" xfId="0" applyAlignment="1" applyFont="1">
      <alignment readingOrder="0"/>
    </xf>
    <xf quotePrefix="1" borderId="0" fillId="0" fontId="1" numFmtId="0" xfId="0" applyAlignment="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1" t="s">
        <v>0</v>
      </c>
      <c r="B1" s="1" t="s">
        <v>1</v>
      </c>
      <c r="C1" s="1" t="s">
        <v>2</v>
      </c>
    </row>
    <row r="2">
      <c r="A2" s="1">
        <v>2.0</v>
      </c>
      <c r="B2" s="1" t="s">
        <v>3</v>
      </c>
      <c r="C2" t="str">
        <f>IFERROR(__xludf.DUMMYFUNCTION("GOOGLETRANSLATE(B2, ""es"", ""en"")"),"I'll go to the audiologist? ...... or you, gentlemen critics ...... bad What are the expectations of a product, when before buy, looking for references and opinions and these are very good. It is what has happened with these Sony. I had read such good thi"&amp;"ngs about them, Soooo ......... anyway. I understand that people buy a headset for the first time and these are alleged to be fantastic, I understand (to think fact that 90% of the reviews on Amazon are based on that and on personal tastes), but the real "&amp;"criticism of a product it comes when one could compare in situ with other products. Do not understand how the internet reviews on this product are so good (good if you like ..... why pull checkbook? 😁). This headset is poor when you compare. The main bal"&amp;"last are low and lacking deep punching horrific they have, just messing get (in every sense of the word) the ""decent"" mids and treble. Not as bad as can be factory calibrated, because if you can ""fix"" with equalization, but it seems a tremendous failu"&amp;"re by Sony. Their sound is flat, without punch (punch), not excited. You realize when you plug a headset amplificiador with your respective cable and metes volume. Low frequencies quickly collapse the other and caking of the sound is to run 😁. I have a V"&amp;"-MODA Crossfade 2 Wireless (also wireless), even without reaching the sonic excellence, they are much better, it shows they have power. I will not delve into other details, because for me sound deprives above all. Only comment that the construction has se"&amp;"emed puny for the price, (the rotation of the cups has a pint of partirseeee ....), and that the microphone is very mediocre. Something positive? Yes, the system touch control of them seems to me that would have to be a benchmark for other brands, gesture"&amp;"s go very well. Also noise cancellation, really shocking, you absorb the ears directly, very good. To summarize: I think that the market for wireless headphones need more variety of models, because if these are the reference when we move on ....... 300 eu"&amp;"roooos 🙄")</f>
        <v>I'll go to the audiologist? ...... or you, gentlemen critics ...... bad What are the expectations of a product, when before buy, looking for references and opinions and these are very good. It is what has happened with these Sony. I had read such good things about them, Soooo ......... anyway. I understand that people buy a headset for the first time and these are alleged to be fantastic, I understand (to think fact that 90% of the reviews on Amazon are based on that and on personal tastes), but the real criticism of a product it comes when one could compare in situ with other products. Do not understand how the internet reviews on this product are so good (good if you like ..... why pull checkbook? 😁). This headset is poor when you compare. The main ballast are low and lacking deep punching horrific they have, just messing get (in every sense of the word) the "decent" mids and treble. Not as bad as can be factory calibrated, because if you can "fix" with equalization, but it seems a tremendous failure by Sony. Their sound is flat, without punch (punch), not excited. You realize when you plug a headset amplificiador with your respective cable and metes volume. Low frequencies quickly collapse the other and caking of the sound is to run 😁. I have a V-MODA Crossfade 2 Wireless (also wireless), even without reaching the sonic excellence, they are much better, it shows they have power. I will not delve into other details, because for me sound deprives above all. Only comment that the construction has seemed puny for the price, (the rotation of the cups has a pint of partirseeee ....), and that the microphone is very mediocre. Something positive? Yes, the system touch control of them seems to me that would have to be a benchmark for other brands, gestures go very well. Also noise cancellation, really shocking, you absorb the ears directly, very good. To summarize: I think that the market for wireless headphones need more variety of models, because if these are the reference when we move on ....... 300 euroooos 🙄</v>
      </c>
    </row>
    <row r="3">
      <c r="A3" s="1">
        <v>3.0</v>
      </c>
      <c r="B3" s="1" t="s">
        <v>4</v>
      </c>
      <c r="C3" t="str">
        <f>IFERROR(__xludf.DUMMYFUNCTION("GOOGLETRANSLATE(B3, ""es"", ""en"")"),"A good fabric slightly transparent, crisper and good for summer")</f>
        <v>A good fabric slightly transparent, crisper and good for summer</v>
      </c>
    </row>
    <row r="4">
      <c r="A4" s="1">
        <v>1.0</v>
      </c>
      <c r="B4" s="1" t="s">
        <v>5</v>
      </c>
      <c r="C4" t="str">
        <f>IFERROR(__xludf.DUMMYFUNCTION("GOOGLETRANSLATE(B4, ""es"", ""en"")"),"Bad experience a delusion, not silver, am allergic and I can only use silver or gold, have relied on this provider Amazon and now I have the ear inflamada..mucha rage.")</f>
        <v>Bad experience a delusion, not silver, am allergic and I can only use silver or gold, have relied on this provider Amazon and now I have the ear inflamada..mucha rage.</v>
      </c>
    </row>
    <row r="5">
      <c r="A5" s="1">
        <v>4.0</v>
      </c>
      <c r="B5" s="1" t="s">
        <v>6</v>
      </c>
      <c r="C5" t="str">
        <f>IFERROR(__xludf.DUMMYFUNCTION("GOOGLETRANSLATE(B5, ""es"", ""en"")"),"Pretty good I really like, and are of good material, good workmanship, comfortable (which may be squeezing more) I do not know if originals. The trouble is that carve very small (Nike then I said so). Anyway, I'm ancheándolos a bit with use, and rather th"&amp;"in sock, and go well. If it were not for small number would be for them 5 stars.")</f>
        <v>Pretty good I really like, and are of good material, good workmanship, comfortable (which may be squeezing more) I do not know if originals. The trouble is that carve very small (Nike then I said so). Anyway, I'm ancheándolos a bit with use, and rather thin sock, and go well. If it were not for small number would be for them 5 stars.</v>
      </c>
    </row>
    <row r="6">
      <c r="A6" s="1">
        <v>5.0</v>
      </c>
      <c r="B6" s="1" t="s">
        <v>7</v>
      </c>
      <c r="C6" t="str">
        <f>IFERROR(__xludf.DUMMYFUNCTION("GOOGLETRANSLATE(B6, ""es"", ""en"")"),"Perfect Just what I expected, quality and acceptable price.")</f>
        <v>Perfect Just what I expected, quality and acceptable price.</v>
      </c>
    </row>
    <row r="7">
      <c r="A7" s="1">
        <v>5.0</v>
      </c>
      <c r="B7" s="1" t="s">
        <v>8</v>
      </c>
      <c r="C7" t="str">
        <f>IFERROR(__xludf.DUMMYFUNCTION("GOOGLETRANSLATE(B7, ""es"", ""en"")"),"Beautiful flower pendant")</f>
        <v>Beautiful flower pendant</v>
      </c>
    </row>
    <row r="8">
      <c r="A8" s="1">
        <v>5.0</v>
      </c>
      <c r="B8" s="1" t="s">
        <v>9</v>
      </c>
      <c r="C8" t="str">
        <f>IFERROR(__xludf.DUMMYFUNCTION("GOOGLETRANSLATE(B8, ""es"", ""en"")"),"Quick and correct quick and correct")</f>
        <v>Quick and correct quick and correct</v>
      </c>
    </row>
    <row r="9">
      <c r="A9" s="1">
        <v>5.0</v>
      </c>
      <c r="B9" s="1" t="s">
        <v>10</v>
      </c>
      <c r="C9" t="str">
        <f>IFERROR(__xludf.DUMMYFUNCTION("GOOGLETRANSLATE(B9, ""es"", ""en"")"),"Great quality at a reduced price is a complete digital watch, still maintains its characteristics that have made so famous without giving up a sublime quality. Amply fulfills its function. You can not ask for more for less at a clock like this.")</f>
        <v>Great quality at a reduced price is a complete digital watch, still maintains its characteristics that have made so famous without giving up a sublime quality. Amply fulfills its function. You can not ask for more for less at a clock like this.</v>
      </c>
    </row>
    <row r="10">
      <c r="A10" s="1">
        <v>5.0</v>
      </c>
      <c r="B10" s="1" t="s">
        <v>11</v>
      </c>
      <c r="C10" t="str">
        <f>IFERROR(__xludf.DUMMYFUNCTION("GOOGLETRANSLATE(B10, ""es"", ""en"")"),"The'm happy I bought to use them to order cables and some other botched home and I'm very happy, fulfilled its function. Even I used to keep a suspended manner to a router and a plug behind a closet, great")</f>
        <v>The'm happy I bought to use them to order cables and some other botched home and I'm very happy, fulfilled its function. Even I used to keep a suspended manner to a router and a plug behind a closet, great</v>
      </c>
    </row>
    <row r="11">
      <c r="A11" s="1">
        <v>5.0</v>
      </c>
      <c r="B11" s="1" t="s">
        <v>12</v>
      </c>
      <c r="C11" t="str">
        <f>IFERROR(__xludf.DUMMYFUNCTION("GOOGLETRANSLATE(B11, ""es"", ""en"")"),"genial Recommended")</f>
        <v>genial Recommended</v>
      </c>
    </row>
    <row r="12">
      <c r="A12" s="1">
        <v>5.0</v>
      </c>
      <c r="B12" s="1" t="s">
        <v>13</v>
      </c>
      <c r="C12" t="str">
        <f>IFERROR(__xludf.DUMMYFUNCTION("GOOGLETRANSLATE(B12, ""es"", ""en"")"),"Recommended 100% perfect plastic folders to organize your papers at home, also noticeable that are of good quality and not like others I have seen. 100% recommended.")</f>
        <v>Recommended 100% perfect plastic folders to organize your papers at home, also noticeable that are of good quality and not like others I have seen. 100% recommended.</v>
      </c>
    </row>
    <row r="13">
      <c r="A13" s="1">
        <v>5.0</v>
      </c>
      <c r="B13" s="1" t="s">
        <v>14</v>
      </c>
      <c r="C13" t="str">
        <f>IFERROR(__xludf.DUMMYFUNCTION("GOOGLETRANSLATE(B13, ""es"", ""en"")"),"Tested good product and very good value for money, recommended product. Good sound quality and meet specifications, either measured according to specifications")</f>
        <v>Tested good product and very good value for money, recommended product. Good sound quality and meet specifications, either measured according to specifications</v>
      </c>
    </row>
    <row r="14">
      <c r="A14" s="1">
        <v>5.0</v>
      </c>
      <c r="B14" s="1" t="s">
        <v>15</v>
      </c>
      <c r="C14" t="str">
        <f>IFERROR(__xludf.DUMMYFUNCTION("GOOGLETRANSLATE(B14, ""es"", ""en"")"),"The necklace is beautiful as it appears in the photo is very beautiful, silver, and the measure is ideal both well positioned in the neck hearts remain. Fully recommended.")</f>
        <v>The necklace is beautiful as it appears in the photo is very beautiful, silver, and the measure is ideal both well positioned in the neck hearts remain. Fully recommended.</v>
      </c>
    </row>
    <row r="15">
      <c r="A15" s="1">
        <v>5.0</v>
      </c>
      <c r="B15" s="1" t="s">
        <v>16</v>
      </c>
      <c r="C15" t="str">
        <f>IFERROR(__xludf.DUMMYFUNCTION("GOOGLETRANSLATE(B15, ""es"", ""en"")"),"Excellent buy. Cool, I think they are original. They feel good and comfortable. My first new balance. Happy with the purchase and the price on offer.")</f>
        <v>Excellent buy. Cool, I think they are original. They feel good and comfortable. My first new balance. Happy with the purchase and the price on offer.</v>
      </c>
    </row>
    <row r="16">
      <c r="A16" s="1">
        <v>5.0</v>
      </c>
      <c r="B16" s="1" t="s">
        <v>17</v>
      </c>
      <c r="C16" t="str">
        <f>IFERROR(__xludf.DUMMYFUNCTION("GOOGLETRANSLATE(B16, ""es"", ""en"")"),"Recommended super comfortable")</f>
        <v>Recommended super comfortable</v>
      </c>
    </row>
    <row r="17">
      <c r="A17" s="1">
        <v>5.0</v>
      </c>
      <c r="B17" s="1" t="s">
        <v>18</v>
      </c>
      <c r="C17" t="str">
        <f>IFERROR(__xludf.DUMMYFUNCTION("GOOGLETRANSLATE(B17, ""es"", ""en"")"),"Good product! This bag I've given to my father that he needed to change his, is delighted say it is very nice and the quality is superbly well, I've waited time to evaluate the product and the truth that with the passage of time does not deteriorate much "&amp;"and that my father gives much use, almost daily. As for the price seems fair.")</f>
        <v>Good product! This bag I've given to my father that he needed to change his, is delighted say it is very nice and the quality is superbly well, I've waited time to evaluate the product and the truth that with the passage of time does not deteriorate much and that my father gives much use, almost daily. As for the price seems fair.</v>
      </c>
    </row>
    <row r="18">
      <c r="A18" s="1">
        <v>5.0</v>
      </c>
      <c r="B18" s="1" t="s">
        <v>19</v>
      </c>
      <c r="C18" t="str">
        <f>IFERROR(__xludf.DUMMYFUNCTION("GOOGLETRANSLATE(B18, ""es"", ""en"")"),"As I expected. I liked it.")</f>
        <v>As I expected. I liked it.</v>
      </c>
    </row>
    <row r="19">
      <c r="A19" s="1">
        <v>5.0</v>
      </c>
      <c r="B19" s="1" t="s">
        <v>20</v>
      </c>
      <c r="C19" t="str">
        <f>IFERROR(__xludf.DUMMYFUNCTION("GOOGLETRANSLATE(B19, ""es"", ""en"")"),"It will last longer than me. And that bothers me; D You put it and if you want longer you take it off anymore. Gets only an hour with pinpoint accuracy every night, it is resistant to all and is loaded with sunlight only wear it. He had a smartwatch and s"&amp;"ince I've kept it on the nightstand and I just put it to run. Above is precious and timeless.")</f>
        <v>It will last longer than me. And that bothers me; D You put it and if you want longer you take it off anymore. Gets only an hour with pinpoint accuracy every night, it is resistant to all and is loaded with sunlight only wear it. He had a smartwatch and since I've kept it on the nightstand and I just put it to run. Above is precious and timeless.</v>
      </c>
    </row>
    <row r="20">
      <c r="A20" s="1">
        <v>5.0</v>
      </c>
      <c r="B20" s="1" t="s">
        <v>21</v>
      </c>
      <c r="C20" t="str">
        <f>IFERROR(__xludf.DUMMYFUNCTION("GOOGLETRANSLATE(B20, ""es"", ""en"")"),"Fantastical water heater The best purchase I made!")</f>
        <v>Fantastical water heater The best purchase I made!</v>
      </c>
    </row>
    <row r="21">
      <c r="A21" s="1">
        <v>5.0</v>
      </c>
      <c r="B21" s="1" t="s">
        <v>22</v>
      </c>
      <c r="C21" t="str">
        <f>IFERROR(__xludf.DUMMYFUNCTION("GOOGLETRANSLATE(B21, ""es"", ""en"")"),"I've loved beautiful earrings")</f>
        <v>I've loved beautiful earrings</v>
      </c>
    </row>
    <row r="22">
      <c r="A22" s="1">
        <v>5.0</v>
      </c>
      <c r="B22" s="1" t="s">
        <v>23</v>
      </c>
      <c r="C22" t="str">
        <f>IFERROR(__xludf.DUMMYFUNCTION("GOOGLETRANSLATE(B22, ""es"", ""en"")"),"Very nice beautiful and not get ugly, you've loved.")</f>
        <v>Very nice beautiful and not get ugly, you've loved.</v>
      </c>
    </row>
    <row r="23">
      <c r="A23" s="1">
        <v>5.0</v>
      </c>
      <c r="B23" s="1" t="s">
        <v>24</v>
      </c>
      <c r="C23" t="str">
        <f>IFERROR(__xludf.DUMMYFUNCTION("GOOGLETRANSLATE(B23, ""es"", ""en"")"),"Terrific great")</f>
        <v>Terrific great</v>
      </c>
    </row>
    <row r="24">
      <c r="A24" s="1">
        <v>5.0</v>
      </c>
      <c r="B24" s="1" t="s">
        <v>25</v>
      </c>
      <c r="C24" t="str">
        <f>IFERROR(__xludf.DUMMYFUNCTION("GOOGLETRANSLATE(B24, ""es"", ""en"")"),"Well I bought for a gift and loved it. For the price it does not seem bad quality. Asique a good buy.")</f>
        <v>Well I bought for a gift and loved it. For the price it does not seem bad quality. Asique a good buy.</v>
      </c>
    </row>
    <row r="25">
      <c r="A25" s="1">
        <v>2.0</v>
      </c>
      <c r="B25" s="1" t="s">
        <v>26</v>
      </c>
      <c r="C25" t="str">
        <f>IFERROR(__xludf.DUMMYFUNCTION("GOOGLETRANSLATE(B25, ""es"", ""en"")"),"I'll post the non regalare seem good quality but too tight on the part of the instep ...")</f>
        <v>I'll post the non regalare seem good quality but too tight on the part of the instep ...</v>
      </c>
    </row>
    <row r="26">
      <c r="A26" s="1">
        <v>3.0</v>
      </c>
      <c r="B26" s="1" t="s">
        <v>27</v>
      </c>
      <c r="C26" t="str">
        <f>IFERROR(__xludf.DUMMYFUNCTION("GOOGLETRANSLATE(B26, ""es"", ""en"")"),"A good micro for the few demanding is a micro good but try the see that's not what I'm looking, perhaps a superior model for my taste would be better. If you want to record home videos it is perfect, but in my case for Youtube does not meet the expectatio"&amp;"ns.")</f>
        <v>A good micro for the few demanding is a micro good but try the see that's not what I'm looking, perhaps a superior model for my taste would be better. If you want to record home videos it is perfect, but in my case for Youtube does not meet the expectations.</v>
      </c>
    </row>
    <row r="27">
      <c r="A27" s="1">
        <v>1.0</v>
      </c>
      <c r="B27" s="1" t="s">
        <v>28</v>
      </c>
      <c r="C27" t="str">
        <f>IFERROR(__xludf.DUMMYFUNCTION("GOOGLETRANSLATE(B27, ""es"", ""en"")"),"Lijeras are nice but are not I use when you walk make much noise and bother")</f>
        <v>Lijeras are nice but are not I use when you walk make much noise and bother</v>
      </c>
    </row>
    <row r="28">
      <c r="A28" s="1">
        <v>4.0</v>
      </c>
      <c r="B28" s="1" t="s">
        <v>29</v>
      </c>
      <c r="C28" t="str">
        <f>IFERROR(__xludf.DUMMYFUNCTION("GOOGLETRANSLATE(B28, ""es"", ""en"")"),"Good product quality. Very good support and quality. I've used it to stick a magnetic board a size somewhat greater than an A4 and has endured no problem. Highly recommended.")</f>
        <v>Good product quality. Very good support and quality. I've used it to stick a magnetic board a size somewhat greater than an A4 and has endured no problem. Highly recommended.</v>
      </c>
    </row>
    <row r="29">
      <c r="A29" s="1">
        <v>4.0</v>
      </c>
      <c r="B29" s="1" t="s">
        <v>30</v>
      </c>
      <c r="C29" t="str">
        <f>IFERROR(__xludf.DUMMYFUNCTION("GOOGLETRANSLATE(B29, ""es"", ""en"")"),"great value for money")</f>
        <v>great value for money</v>
      </c>
    </row>
    <row r="30">
      <c r="A30" s="1">
        <v>4.0</v>
      </c>
      <c r="B30" s="1" t="s">
        <v>31</v>
      </c>
      <c r="C30" t="str">
        <f>IFERROR(__xludf.DUMMYFUNCTION("GOOGLETRANSLATE(B30, ""es"", ""en"")"),"Nice fine silver pendant chain medium length. Simple and very combinable. The moment has not been blackened or other defects have appeared. Magnificent price with super-discount!")</f>
        <v>Nice fine silver pendant chain medium length. Simple and very combinable. The moment has not been blackened or other defects have appeared. Magnificent price with super-discount!</v>
      </c>
    </row>
    <row r="31">
      <c r="A31" s="1">
        <v>4.0</v>
      </c>
      <c r="B31" s="1" t="s">
        <v>32</v>
      </c>
      <c r="C31" t="str">
        <f>IFERROR(__xludf.DUMMYFUNCTION("GOOGLETRANSLATE(B31, ""es"", ""en"")"),"A clock recommended recommended size and strap very similar to the known f 91 lifetime. A little chubby what it is still the clock but almost equal size. I like it because it shows the day and month, its price is excellent for what it offers quality watch"&amp;" Casio, the straps approx. two years are broken and not worth buying one for the price so I decided to try this model.")</f>
        <v>A clock recommended recommended size and strap very similar to the known f 91 lifetime. A little chubby what it is still the clock but almost equal size. I like it because it shows the day and month, its price is excellent for what it offers quality watch Casio, the straps approx. two years are broken and not worth buying one for the price so I decided to try this model.</v>
      </c>
    </row>
    <row r="32">
      <c r="A32" s="1">
        <v>5.0</v>
      </c>
      <c r="B32" s="1" t="s">
        <v>33</v>
      </c>
      <c r="C32" t="str">
        <f>IFERROR(__xludf.DUMMYFUNCTION("GOOGLETRANSLATE(B32, ""es"", ""en"")"),"phenomenal phenomenal")</f>
        <v>phenomenal phenomenal</v>
      </c>
    </row>
    <row r="33">
      <c r="A33" s="1">
        <v>5.0</v>
      </c>
      <c r="B33" s="1" t="s">
        <v>34</v>
      </c>
      <c r="C33" t="str">
        <f>IFERROR(__xludf.DUMMYFUNCTION("GOOGLETRANSLATE(B33, ""es"", ""en"")"),"Rosaio Very good better than expected and very nice the excellent price much nicer when you have it in front in the photo")</f>
        <v>Rosaio Very good better than expected and very nice the excellent price much nicer when you have it in front in the photo</v>
      </c>
    </row>
    <row r="34">
      <c r="A34" s="1">
        <v>5.0</v>
      </c>
      <c r="B34" s="1" t="s">
        <v>35</v>
      </c>
      <c r="C34" t="str">
        <f>IFERROR(__xludf.DUMMYFUNCTION("GOOGLETRANSLATE(B34, ""es"", ""en"")"),"Very nice This alarm clock is beautiful, has many shades and also carries sound radio and also relax and sleep, the alarm has many sounds and lights up when it rings Light")</f>
        <v>Very nice This alarm clock is beautiful, has many shades and also carries sound radio and also relax and sleep, the alarm has many sounds and lights up when it rings Light</v>
      </c>
    </row>
    <row r="35">
      <c r="A35" s="1">
        <v>5.0</v>
      </c>
      <c r="B35" s="1" t="s">
        <v>36</v>
      </c>
      <c r="C35" t="str">
        <f>IFERROR(__xludf.DUMMYFUNCTION("GOOGLETRANSLATE(B35, ""es"", ""en"")"),"Size size, space")</f>
        <v>Size size, space</v>
      </c>
    </row>
    <row r="36">
      <c r="A36" s="1">
        <v>5.0</v>
      </c>
      <c r="B36" s="1" t="s">
        <v>37</v>
      </c>
      <c r="C36" t="str">
        <f>IFERROR(__xludf.DUMMYFUNCTION("GOOGLETRANSLATE(B36, ""es"", ""en"")"),"Easy to connect good sound, good sound. Are perfect for day to day may not be the best but money are very good recommend it.")</f>
        <v>Easy to connect good sound, good sound. Are perfect for day to day may not be the best but money are very good recommend it.</v>
      </c>
    </row>
    <row r="37">
      <c r="A37" s="1">
        <v>5.0</v>
      </c>
      <c r="B37" s="1" t="s">
        <v>38</v>
      </c>
      <c r="C37" t="str">
        <f>IFERROR(__xludf.DUMMYFUNCTION("GOOGLETRANSLATE(B37, ""es"", ""en"")"),"Hi-tec boots Comfortable, warm and very light. Better than I expected even with earlier ones of the same brand")</f>
        <v>Hi-tec boots Comfortable, warm and very light. Better than I expected even with earlier ones of the same brand</v>
      </c>
    </row>
    <row r="38">
      <c r="A38" s="1">
        <v>5.0</v>
      </c>
      <c r="B38" s="1" t="s">
        <v>39</v>
      </c>
      <c r="C38" t="str">
        <f>IFERROR(__xludf.DUMMYFUNCTION("GOOGLETRANSLATE(B38, ""es"", ""en"")"),"Practical came fast is good price is what I expected. I recommend it")</f>
        <v>Practical came fast is good price is what I expected. I recommend it</v>
      </c>
    </row>
    <row r="39">
      <c r="A39" s="1">
        <v>5.0</v>
      </c>
      <c r="B39" s="1" t="s">
        <v>40</v>
      </c>
      <c r="C39" t="str">
        <f>IFERROR(__xludf.DUMMYFUNCTION("GOOGLETRANSLATE(B39, ""es"", ""en"")"),"Util A little slow, but heated well")</f>
        <v>Util A little slow, but heated well</v>
      </c>
    </row>
    <row r="40">
      <c r="A40" s="1">
        <v>5.0</v>
      </c>
      <c r="B40" s="1" t="s">
        <v>41</v>
      </c>
      <c r="C40" t="str">
        <f>IFERROR(__xludf.DUMMYFUNCTION("GOOGLETRANSLATE(B40, ""es"", ""en"")"),"Very fast delivery what I expected")</f>
        <v>Very fast delivery what I expected</v>
      </c>
    </row>
    <row r="41">
      <c r="A41" s="1">
        <v>5.0</v>
      </c>
      <c r="B41" s="1" t="s">
        <v>42</v>
      </c>
      <c r="C41" t="str">
        <f>IFERROR(__xludf.DUMMYFUNCTION("GOOGLETRANSLATE(B41, ""es"", ""en"")"),"Well well")</f>
        <v>Well well</v>
      </c>
    </row>
    <row r="42">
      <c r="A42" s="1">
        <v>5.0</v>
      </c>
      <c r="B42" s="1" t="s">
        <v>43</v>
      </c>
      <c r="C42" t="str">
        <f>IFERROR(__xludf.DUMMYFUNCTION("GOOGLETRANSLATE(B42, ""es"", ""en"")"),"practice is beautiful and very beautiful, very elegant, simple, small and very fast. Perfect for heating water to a liter, I use it to boil water for cooking. highly recommended")</f>
        <v>practice is beautiful and very beautiful, very elegant, simple, small and very fast. Perfect for heating water to a liter, I use it to boil water for cooking. highly recommended</v>
      </c>
    </row>
    <row r="43">
      <c r="A43" s="1">
        <v>5.0</v>
      </c>
      <c r="B43" s="1" t="s">
        <v>44</v>
      </c>
      <c r="C43" t="str">
        <f>IFERROR(__xludf.DUMMYFUNCTION("GOOGLETRANSLATE(B43, ""es"", ""en"")"),"Very good baby bottle I bought my baby and was the most used, I bought it because I had given phillips heater that goes with these bottles. The only thing I think they are a bit pricey")</f>
        <v>Very good baby bottle I bought my baby and was the most used, I bought it because I had given phillips heater that goes with these bottles. The only thing I think they are a bit pricey</v>
      </c>
    </row>
    <row r="44">
      <c r="A44" s="1">
        <v>5.0</v>
      </c>
      <c r="B44" s="1" t="s">
        <v>45</v>
      </c>
      <c r="C44" t="str">
        <f>IFERROR(__xludf.DUMMYFUNCTION("GOOGLETRANSLATE(B44, ""es"", ""en"")"),"I'm very comfortable super-encandado, I usually go running and what I value most is the convenience of the product and especially the sides and rear pockets.")</f>
        <v>I'm very comfortable super-encandado, I usually go running and what I value most is the convenience of the product and especially the sides and rear pockets.</v>
      </c>
    </row>
    <row r="45">
      <c r="A45" s="1">
        <v>5.0</v>
      </c>
      <c r="B45" s="1" t="s">
        <v>46</v>
      </c>
      <c r="C45" t="str">
        <f>IFERROR(__xludf.DUMMYFUNCTION("GOOGLETRANSLATE(B45, ""es"", ""en"")"),"One last top sneakers. In every sense. Value all. They are super soft comfortable. I love.")</f>
        <v>One last top sneakers. In every sense. Value all. They are super soft comfortable. I love.</v>
      </c>
    </row>
    <row r="46">
      <c r="A46" s="1">
        <v>5.0</v>
      </c>
      <c r="B46" s="1" t="s">
        <v>47</v>
      </c>
      <c r="C46" t="str">
        <f>IFERROR(__xludf.DUMMYFUNCTION("GOOGLETRANSLATE(B46, ""es"", ""en"")"),"Good safety shoes the most comfortable I've ever had, very light and very well resist")</f>
        <v>Good safety shoes the most comfortable I've ever had, very light and very well resist</v>
      </c>
    </row>
    <row r="47">
      <c r="A47" s="1">
        <v>5.0</v>
      </c>
      <c r="B47" s="1" t="s">
        <v>48</v>
      </c>
      <c r="C47" t="str">
        <f>IFERROR(__xludf.DUMMYFUNCTION("GOOGLETRANSLATE(B47, ""es"", ""en"")"),"Very good very good")</f>
        <v>Very good very good</v>
      </c>
    </row>
    <row r="48">
      <c r="A48" s="1">
        <v>5.0</v>
      </c>
      <c r="B48" s="1" t="s">
        <v>49</v>
      </c>
      <c r="C48" t="str">
        <f>IFERROR(__xludf.DUMMYFUNCTION("GOOGLETRANSLATE(B48, ""es"", ""en"")"),"I love everything he is precious ... his lines, curves, content size, the frame that surrounds the screen that looks like a silky mystery ... what ... ahh siiiii his touch !!!!, I love it!")</f>
        <v>I love everything he is precious ... his lines, curves, content size, the frame that surrounds the screen that looks like a silky mystery ... what ... ahh siiiii his touch !!!!, I love it!</v>
      </c>
    </row>
    <row r="49">
      <c r="A49" s="1">
        <v>5.0</v>
      </c>
      <c r="B49" s="1" t="s">
        <v>50</v>
      </c>
      <c r="C49" t="str">
        <f>IFERROR(__xludf.DUMMYFUNCTION("GOOGLETRANSLATE(B49, ""es"", ""en"")"),"Good easy drive to install, and so far, excellent performance. Good product. I received quick and installed faster. So far it works very well.")</f>
        <v>Good easy drive to install, and so far, excellent performance. Good product. I received quick and installed faster. So far it works very well.</v>
      </c>
    </row>
    <row r="50">
      <c r="A50" s="1">
        <v>5.0</v>
      </c>
      <c r="B50" s="1" t="s">
        <v>51</v>
      </c>
      <c r="C50" t="str">
        <f>IFERROR(__xludf.DUMMYFUNCTION("GOOGLETRANSLATE(B50, ""es"", ""en"")"),"Excellent quality assurance Bosch grinder with a very good value. I have used for some fruit snacks and cookies, and I'm very happy with the result. I also used the cream whipper disk mounted and mounted in seconds with very good consistency. The Bosch br"&amp;"and is of excellent quality.")</f>
        <v>Excellent quality assurance Bosch grinder with a very good value. I have used for some fruit snacks and cookies, and I'm very happy with the result. I also used the cream whipper disk mounted and mounted in seconds with very good consistency. The Bosch brand is of excellent quality.</v>
      </c>
    </row>
    <row r="51">
      <c r="A51" s="1">
        <v>2.0</v>
      </c>
      <c r="B51" s="1" t="s">
        <v>52</v>
      </c>
      <c r="C51" t="str">
        <f>IFERROR(__xludf.DUMMYFUNCTION("GOOGLETRANSLATE(B51, ""es"", ""en"")"),"Received Left Right Web Product announced that differs significantly from the original Made in China puts outside cheap leather package and untreated matte Worked crudely. Thank you")</f>
        <v>Received Left Right Web Product announced that differs significantly from the original Made in China puts outside cheap leather package and untreated matte Worked crudely. Thank you</v>
      </c>
    </row>
    <row r="52">
      <c r="A52" s="1">
        <v>3.0</v>
      </c>
      <c r="B52" s="1" t="s">
        <v>53</v>
      </c>
      <c r="C52" t="str">
        <f>IFERROR(__xludf.DUMMYFUNCTION("GOOGLETRANSLATE(B52, ""es"", ""en"")"),"Peppermint or aniseed? ... It smells good, but not mint I want. Rather it is an aniseed odor, sweetish, maybe I was confused with the concept ...")</f>
        <v>Peppermint or aniseed? ... It smells good, but not mint I want. Rather it is an aniseed odor, sweetish, maybe I was confused with the concept ...</v>
      </c>
    </row>
    <row r="53">
      <c r="A53" s="1">
        <v>1.0</v>
      </c>
      <c r="B53" s="1" t="s">
        <v>54</v>
      </c>
      <c r="C53" t="str">
        <f>IFERROR(__xludf.DUMMYFUNCTION("GOOGLETRANSLATE(B53, ""es"", ""en"")"),"Has not yet reached such is not")</f>
        <v>Has not yet reached such is not</v>
      </c>
    </row>
    <row r="54">
      <c r="A54" s="1">
        <v>4.0</v>
      </c>
      <c r="B54" s="1" t="s">
        <v>55</v>
      </c>
      <c r="C54" t="str">
        <f>IFERROR(__xludf.DUMMYFUNCTION("GOOGLETRANSLATE(B54, ""es"", ""en"")"),"Mythical casio watch a classic 80s buttons are mu duros..para see the numbers needed LUPA very good design and comfortable thought the lighting would be in blue and white like the good old casio Price design caldad- --- IS A CASIO")</f>
        <v>Mythical casio watch a classic 80s buttons are mu duros..para see the numbers needed LUPA very good design and comfortable thought the lighting would be in blue and white like the good old casio Price design caldad- --- IS A CASIO</v>
      </c>
    </row>
    <row r="55">
      <c r="A55" s="1">
        <v>4.0</v>
      </c>
      <c r="B55" s="1" t="s">
        <v>56</v>
      </c>
      <c r="C55" t="str">
        <f>IFERROR(__xludf.DUMMYFUNCTION("GOOGLETRANSLATE(B55, ""es"", ""en"")"),"Pretty good and cheap is very comfortable to use as it is light enough. It is disassembled and cleaned easily. Not the most powerful but for purees and chop some vegetables which is what we usually use goes perfectly.")</f>
        <v>Pretty good and cheap is very comfortable to use as it is light enough. It is disassembled and cleaned easily. Not the most powerful but for purees and chop some vegetables which is what we usually use goes perfectly.</v>
      </c>
    </row>
    <row r="56">
      <c r="A56" s="1">
        <v>4.0</v>
      </c>
      <c r="B56" s="1" t="s">
        <v>57</v>
      </c>
      <c r="C56" t="str">
        <f>IFERROR(__xludf.DUMMYFUNCTION("GOOGLETRANSLATE(B56, ""es"", ""en"")"),"Great price I compared prices at different stores and I came here on Amazon much better value. The use for the camera and goes perfect. I highly recommend the Kigston brand. Package Includes: 1 x Micro Memory Card 1 x Adapter")</f>
        <v>Great price I compared prices at different stores and I came here on Amazon much better value. The use for the camera and goes perfect. I highly recommend the Kigston brand. Package Includes: 1 x Micro Memory Card 1 x Adapter</v>
      </c>
    </row>
    <row r="57">
      <c r="A57" s="1">
        <v>4.0</v>
      </c>
      <c r="B57" s="1" t="s">
        <v>58</v>
      </c>
      <c r="C57" t="str">
        <f>IFERROR(__xludf.DUMMYFUNCTION("GOOGLETRANSLATE(B57, ""es"", ""en"")"),"Well I liked this windbreak, color is nice, as seen in the image. Pockets carries a cap on the neck kept lining ... in short, good product.")</f>
        <v>Well I liked this windbreak, color is nice, as seen in the image. Pockets carries a cap on the neck kept lining ... in short, good product.</v>
      </c>
    </row>
    <row r="58">
      <c r="A58" s="1">
        <v>4.0</v>
      </c>
      <c r="B58" s="1" t="s">
        <v>59</v>
      </c>
      <c r="C58" t="str">
        <f>IFERROR(__xludf.DUMMYFUNCTION("GOOGLETRANSLATE(B58, ""es"", ""en"")"),"Suckling is good")</f>
        <v>Suckling is good</v>
      </c>
    </row>
    <row r="59">
      <c r="A59" s="1">
        <v>5.0</v>
      </c>
      <c r="B59" s="1" t="s">
        <v>60</v>
      </c>
      <c r="C59" t="str">
        <f>IFERROR(__xludf.DUMMYFUNCTION("GOOGLETRANSLATE(B59, ""es"", ""en"")"),"Shoulder bag MAN bag xq loved my boy came in handy with all pockets q leads and very good price.")</f>
        <v>Shoulder bag MAN bag xq loved my boy came in handy with all pockets q leads and very good price.</v>
      </c>
    </row>
    <row r="60">
      <c r="A60" s="1">
        <v>5.0</v>
      </c>
      <c r="B60" s="1" t="s">
        <v>61</v>
      </c>
      <c r="C60" t="str">
        <f>IFERROR(__xludf.DUMMYFUNCTION("GOOGLETRANSLATE(B60, ""es"", ""en"")"),"Good value ago which it shows the description of the product if more. It's fast, cheap and as always excellent shipping, however I think for the price and the times it is better to opt for memories of 32 g onwards")</f>
        <v>Good value ago which it shows the description of the product if more. It's fast, cheap and as always excellent shipping, however I think for the price and the times it is better to opt for memories of 32 g onwards</v>
      </c>
    </row>
    <row r="61">
      <c r="A61" s="1">
        <v>5.0</v>
      </c>
      <c r="B61" s="1" t="s">
        <v>62</v>
      </c>
      <c r="C61" t="str">
        <f>IFERROR(__xludf.DUMMYFUNCTION("GOOGLETRANSLATE(B61, ""es"", ""en"")"),"Very comfortable. Comfortable and useful exercise. Very comfortable.")</f>
        <v>Very comfortable. Comfortable and useful exercise. Very comfortable.</v>
      </c>
    </row>
    <row r="62">
      <c r="A62" s="1">
        <v>5.0</v>
      </c>
      <c r="B62" s="1" t="s">
        <v>63</v>
      </c>
      <c r="C62" t="str">
        <f>IFERROR(__xludf.DUMMYFUNCTION("GOOGLETRANSLATE(B62, ""es"", ""en"")"),"The capacity and quality I liked overall")</f>
        <v>The capacity and quality I liked overall</v>
      </c>
    </row>
    <row r="63">
      <c r="A63" s="1">
        <v>5.0</v>
      </c>
      <c r="B63" s="1" t="s">
        <v>64</v>
      </c>
      <c r="C63" t="str">
        <f>IFERROR(__xludf.DUMMYFUNCTION("GOOGLETRANSLATE(B63, ""es"", ""en"")"),"All ok good blender. 700 watts at a good price")</f>
        <v>All ok good blender. 700 watts at a good price</v>
      </c>
    </row>
    <row r="64">
      <c r="A64" s="1">
        <v>5.0</v>
      </c>
      <c r="B64" s="1" t="s">
        <v>65</v>
      </c>
      <c r="C64" t="str">
        <f>IFERROR(__xludf.DUMMYFUNCTION("GOOGLETRANSLATE(B64, ""es"", ""en"")"),"Perfect value, probably the best in the market. Comfortable, exceptional quality and very good finish. Despite being a contraption, because they are not to go out with them, it shows they have a very good finish and are of good materials. Perfect if you l"&amp;"ike to listen to music at home as you ought to hear it at a great price.")</f>
        <v>Perfect value, probably the best in the market. Comfortable, exceptional quality and very good finish. Despite being a contraption, because they are not to go out with them, it shows they have a very good finish and are of good materials. Perfect if you like to listen to music at home as you ought to hear it at a great price.</v>
      </c>
    </row>
    <row r="65">
      <c r="A65" s="1">
        <v>5.0</v>
      </c>
      <c r="B65" s="1" t="s">
        <v>66</v>
      </c>
      <c r="C65" t="str">
        <f>IFERROR(__xludf.DUMMYFUNCTION("GOOGLETRANSLATE(B65, ""es"", ""en"")"),"Perfect quality price make your function perfectly good quality")</f>
        <v>Perfect quality price make your function perfectly good quality</v>
      </c>
    </row>
    <row r="66">
      <c r="A66" s="1">
        <v>5.0</v>
      </c>
      <c r="B66" s="1" t="s">
        <v>67</v>
      </c>
      <c r="C66" t="str">
        <f>IFERROR(__xludf.DUMMYFUNCTION("GOOGLETRANSLATE(B66, ""es"", ""en"")"),"Recommended recommended! I am very happy with this product, very comfortable for summer, looks good, although a little fade after several washings, I still bought several colors.")</f>
        <v>Recommended recommended! I am very happy with this product, very comfortable for summer, looks good, although a little fade after several washings, I still bought several colors.</v>
      </c>
    </row>
    <row r="67">
      <c r="A67" s="1">
        <v>5.0</v>
      </c>
      <c r="B67" s="1" t="s">
        <v>68</v>
      </c>
      <c r="C67" t="str">
        <f>IFERROR(__xludf.DUMMYFUNCTION("GOOGLETRANSLATE(B67, ""es"", ""en"")"),"Design, discreet and comfortable wireless headset with a very attractive design and very discreet. They perfect fit to the ear and comes with several adapters for different sizes of ear canal. They do not completely isolate the noise but if you notice. Th"&amp;"e sound quality is quite good and most importantly do not fall off when playing sports. Quality spectacular price. Do not wear button as such, they are tactile and easily synchronized. The only but is that the instructions are not in Castilian but in Engl"&amp;"ish, plus lots of videos to see how they work. Buy recommended.")</f>
        <v>Design, discreet and comfortable wireless headset with a very attractive design and very discreet. They perfect fit to the ear and comes with several adapters for different sizes of ear canal. They do not completely isolate the noise but if you notice. The sound quality is quite good and most importantly do not fall off when playing sports. Quality spectacular price. Do not wear button as such, they are tactile and easily synchronized. The only but is that the instructions are not in Castilian but in English, plus lots of videos to see how they work. Buy recommended.</v>
      </c>
    </row>
    <row r="68">
      <c r="A68" s="1">
        <v>5.0</v>
      </c>
      <c r="B68" s="1" t="s">
        <v>69</v>
      </c>
      <c r="C68" t="str">
        <f>IFERROR(__xludf.DUMMYFUNCTION("GOOGLETRANSLATE(B68, ""es"", ""en"")"),"They are very nice and very cool .. good .. But I would recommend for a number 42 stand up one number 43/44 .. Because Brazil is very fair and when a little bit off the pié..llegan hurt ..")</f>
        <v>They are very nice and very cool .. good .. But I would recommend for a number 42 stand up one number 43/44 .. Because Brazil is very fair and when a little bit off the pié..llegan hurt ..</v>
      </c>
    </row>
    <row r="69">
      <c r="A69" s="1">
        <v>5.0</v>
      </c>
      <c r="B69" s="1" t="s">
        <v>70</v>
      </c>
      <c r="C69" t="str">
        <f>IFERROR(__xludf.DUMMYFUNCTION("GOOGLETRANSLATE(B69, ""es"", ""en"")"),"Relaxing I've been using for a month and goes fable. I find it very relaxing and I remove the shoelaces after training. A success.")</f>
        <v>Relaxing I've been using for a month and goes fable. I find it very relaxing and I remove the shoelaces after training. A success.</v>
      </c>
    </row>
    <row r="70">
      <c r="A70" s="1">
        <v>5.0</v>
      </c>
      <c r="B70" s="1" t="s">
        <v>71</v>
      </c>
      <c r="C70" t="str">
        <f>IFERROR(__xludf.DUMMYFUNCTION("GOOGLETRANSLATE(B70, ""es"", ""en"")"),"The same function as other more expensive! I left one like it but more expensive and then I thought I would buy myself, this is cheaper and does the same function. Going very well, its rollers look like the hands of a masseur, a marvel when it changes dir"&amp;"ection and has the option to put heat I do well and I have asked another to give")</f>
        <v>The same function as other more expensive! I left one like it but more expensive and then I thought I would buy myself, this is cheaper and does the same function. Going very well, its rollers look like the hands of a masseur, a marvel when it changes direction and has the option to put heat I do well and I have asked another to give</v>
      </c>
    </row>
    <row r="71">
      <c r="A71" s="1">
        <v>5.0</v>
      </c>
      <c r="B71" s="1" t="s">
        <v>72</v>
      </c>
      <c r="C71" t="str">
        <f>IFERROR(__xludf.DUMMYFUNCTION("GOOGLETRANSLATE(B71, ""es"", ""en"")"),"Very well what is expected")</f>
        <v>Very well what is expected</v>
      </c>
    </row>
    <row r="72">
      <c r="A72" s="1">
        <v>5.0</v>
      </c>
      <c r="B72" s="1" t="s">
        <v>73</v>
      </c>
      <c r="C72" t="str">
        <f>IFERROR(__xludf.DUMMYFUNCTION("GOOGLETRANSLATE(B72, ""es"", ""en"")"),"Very good foot massage very good product, after a long day of work, I get to my very tired, I turn and foot massager is like being in the clouds, I am very happy with this purchase the truth, I recommend 100%.")</f>
        <v>Very good foot massage very good product, after a long day of work, I get to my very tired, I turn and foot massager is like being in the clouds, I am very happy with this purchase the truth, I recommend 100%.</v>
      </c>
    </row>
    <row r="73">
      <c r="A73" s="1">
        <v>5.0</v>
      </c>
      <c r="B73" s="1" t="s">
        <v>74</v>
      </c>
      <c r="C73" t="str">
        <f>IFERROR(__xludf.DUMMYFUNCTION("GOOGLETRANSLATE(B73, ""es"", ""en"")"),"Unbeatable quality for the price, compared to other more expensive headphones, nothing q envy .... The secret apart d with good sound is good sound-proof q.")</f>
        <v>Unbeatable quality for the price, compared to other more expensive headphones, nothing q envy .... The secret apart d with good sound is good sound-proof q.</v>
      </c>
    </row>
    <row r="74">
      <c r="A74" s="1">
        <v>5.0</v>
      </c>
      <c r="B74" s="1" t="s">
        <v>75</v>
      </c>
      <c r="C74" t="str">
        <f>IFERROR(__xludf.DUMMYFUNCTION("GOOGLETRANSLATE(B74, ""es"", ""en"")"),"Excellent I have lasted a year. I have put me almost every day. I washed in the washing machine and loaded. I ran the color white band")</f>
        <v>Excellent I have lasted a year. I have put me almost every day. I washed in the washing machine and loaded. I ran the color white band</v>
      </c>
    </row>
    <row r="75">
      <c r="A75" s="1">
        <v>5.0</v>
      </c>
      <c r="B75" s="1" t="s">
        <v>76</v>
      </c>
      <c r="C75" t="str">
        <f>IFERROR(__xludf.DUMMYFUNCTION("GOOGLETRANSLATE(B75, ""es"", ""en"")"),"Ideal for walking a lot. A number Elegid always less and acertaréis. Very comfortable and easy to clean. I walked all over Rome and feet with them ... better than ever. I recommend them. The extremely fast shipping.")</f>
        <v>Ideal for walking a lot. A number Elegid always less and acertaréis. Very comfortable and easy to clean. I walked all over Rome and feet with them ... better than ever. I recommend them. The extremely fast shipping.</v>
      </c>
    </row>
    <row r="76">
      <c r="A76" s="1">
        <v>5.0</v>
      </c>
      <c r="B76" s="1" t="s">
        <v>77</v>
      </c>
      <c r="C76" t="str">
        <f>IFERROR(__xludf.DUMMYFUNCTION("GOOGLETRANSLATE(B76, ""es"", ""en"")"),"more reliable first say that I am professional photographer and my works are weddings where I spend many gigas in photos. I bought the 128GB CF card to avoid having to switch between cards, so rather was for convenience. Working with an SD of 128 and is n"&amp;"ow 128 simultaneous recording, so I'm recording images on two cards at a time (for security). Use the MKIII so as many of you know, to the lower SD using the speed directly from the protocol for CF so speed was not a major factor. I've always used Pro Ext"&amp;"reme although they have many years and are UDMA 6 while this model being UDMA 7 and even without the PRO range gives a greater speed than before. Always use Sandisk because in almost 10 year career I have never had problems that the card (fingers crossed)"&amp;" is damaged. Today I will pummeling this new CF and to see how it behaves working with thousands of photos in a few hours. I bought a Flash offer for 75 €, I have not seen cheaper for now.")</f>
        <v>more reliable first say that I am professional photographer and my works are weddings where I spend many gigas in photos. I bought the 128GB CF card to avoid having to switch between cards, so rather was for convenience. Working with an SD of 128 and is now 128 simultaneous recording, so I'm recording images on two cards at a time (for security). Use the MKIII so as many of you know, to the lower SD using the speed directly from the protocol for CF so speed was not a major factor. I've always used Pro Extreme although they have many years and are UDMA 6 while this model being UDMA 7 and even without the PRO range gives a greater speed than before. Always use Sandisk because in almost 10 year career I have never had problems that the card (fingers crossed) is damaged. Today I will pummeling this new CF and to see how it behaves working with thousands of photos in a few hours. I bought a Flash offer for 75 €, I have not seen cheaper for now.</v>
      </c>
    </row>
    <row r="77">
      <c r="A77" s="1">
        <v>5.0</v>
      </c>
      <c r="B77" s="1" t="s">
        <v>78</v>
      </c>
      <c r="C77" t="str">
        <f>IFERROR(__xludf.DUMMYFUNCTION("GOOGLETRANSLATE(B77, ""es"", ""en"")"),"Perfectas a success. He had other in another color, and these have come much cheaper and I are fine.")</f>
        <v>Perfectas a success. He had other in another color, and these have come much cheaper and I are fine.</v>
      </c>
    </row>
    <row r="78">
      <c r="A78" s="1">
        <v>2.0</v>
      </c>
      <c r="B78" s="1" t="s">
        <v>79</v>
      </c>
      <c r="C78" t="str">
        <f>IFERROR(__xludf.DUMMYFUNCTION("GOOGLETRANSLATE(B78, ""es"", ""en"")"),"Replacement not recommend if for flooring because it is not due If squeezes it's okay to abuse back when squeezing but not delicate duel against water")</f>
        <v>Replacement not recommend if for flooring because it is not due If squeezes it's okay to abuse back when squeezing but not delicate duel against water</v>
      </c>
    </row>
    <row r="79">
      <c r="A79" s="1">
        <v>3.0</v>
      </c>
      <c r="B79" s="1" t="s">
        <v>80</v>
      </c>
      <c r="C79" t="str">
        <f>IFERROR(__xludf.DUMMYFUNCTION("GOOGLETRANSLATE(B79, ""es"", ""en"")"),"Acceptable punch As is fine, the only thing the indicator where to put the paper broke out a year. I lasted 3 years of daily use, which is not bad but could be better. I broke for spring wear.")</f>
        <v>Acceptable punch As is fine, the only thing the indicator where to put the paper broke out a year. I lasted 3 years of daily use, which is not bad but could be better. I broke for spring wear.</v>
      </c>
    </row>
    <row r="80">
      <c r="A80" s="1">
        <v>1.0</v>
      </c>
      <c r="B80" s="1" t="s">
        <v>81</v>
      </c>
      <c r="C80" t="str">
        <f>IFERROR(__xludf.DUMMYFUNCTION("GOOGLETRANSLATE(B80, ""es"", ""en"")"),"Not normally use size corresponds to a 38 and paste this trouser presses me very much! However I subiéndomelo + above the waist measuring 1,69 fits me of largo🤷🏻♀️")</f>
        <v>Not normally use size corresponds to a 38 and paste this trouser presses me very much! However I subiéndomelo + above the waist measuring 1,69 fits me of largo🤷🏻♀️</v>
      </c>
    </row>
    <row r="81">
      <c r="A81" s="1">
        <v>1.0</v>
      </c>
      <c r="B81" s="1" t="s">
        <v>82</v>
      </c>
      <c r="C81" t="str">
        <f>IFERROR(__xludf.DUMMYFUNCTION("GOOGLETRANSLATE(B81, ""es"", ""en"")"),"Bad experience helpful VIDAL this plate is (hopefully) a week. Quickly begins to lose water and rust plate.")</f>
        <v>Bad experience helpful VIDAL this plate is (hopefully) a week. Quickly begins to lose water and rust plate.</v>
      </c>
    </row>
    <row r="82">
      <c r="A82" s="1">
        <v>4.0</v>
      </c>
      <c r="B82" s="1" t="s">
        <v>83</v>
      </c>
      <c r="C82" t="str">
        <f>IFERROR(__xludf.DUMMYFUNCTION("GOOGLETRANSLATE(B82, ""es"", ""en"")"),"Perfect, a bit loose in the front knotted strips, have another gave a knot and hold more remains a little loose foot in the front by strips knotted, but for the rest perfect")</f>
        <v>Perfect, a bit loose in the front knotted strips, have another gave a knot and hold more remains a little loose foot in the front by strips knotted, but for the rest perfect</v>
      </c>
    </row>
    <row r="83">
      <c r="A83" s="1">
        <v>4.0</v>
      </c>
      <c r="B83" s="1" t="s">
        <v>84</v>
      </c>
      <c r="C83" t="str">
        <f>IFERROR(__xludf.DUMMYFUNCTION("GOOGLETRANSLATE(B83, ""es"", ""en"")"),"Couture brands have some seams that leave marks better circulation order one size more than usual otherwise all good")</f>
        <v>Couture brands have some seams that leave marks better circulation order one size more than usual otherwise all good</v>
      </c>
    </row>
    <row r="84">
      <c r="A84" s="1">
        <v>4.0</v>
      </c>
      <c r="B84" s="1" t="s">
        <v>85</v>
      </c>
      <c r="C84" t="str">
        <f>IFERROR(__xludf.DUMMYFUNCTION("GOOGLETRANSLATE(B84, ""es"", ""en"")"),"But with some good card but works quite well. You have put a micro sd 64 in slot 1 and 32 in slot 2. Meetings give me perfectly recognizes 87gb and PSP, the truth q is a joy to have everything you want to put on the card. The but comes in ever firing the "&amp;"PSP stays hung with black screen with the little light of the ms flashing. The restart and the second my turn me well. Also happens loading games ever. I stoy generally pretty happy with it")</f>
        <v>But with some good card but works quite well. You have put a micro sd 64 in slot 1 and 32 in slot 2. Meetings give me perfectly recognizes 87gb and PSP, the truth q is a joy to have everything you want to put on the card. The but comes in ever firing the PSP stays hung with black screen with the little light of the ms flashing. The restart and the second my turn me well. Also happens loading games ever. I stoy generally pretty happy with it</v>
      </c>
    </row>
    <row r="85">
      <c r="A85" s="1">
        <v>4.0</v>
      </c>
      <c r="B85" s="1" t="s">
        <v>86</v>
      </c>
      <c r="C85" t="str">
        <f>IFERROR(__xludf.DUMMYFUNCTION("GOOGLETRANSLATE(B85, ""es"", ""en"")"),"Fulfill their function I think they are not original, I have the originals that came with the Note 3 and there are differences but are very achieved. The original comes with a flat and more durable cable, they have round and thin wire. Hear quite well and"&amp;" as the shape of the handset and paste is the same as the Samsung they fit perfectly, I think for the price you can not ask for more. Overall, quite happy at the moment. What the duration is another story time will tell.")</f>
        <v>Fulfill their function I think they are not original, I have the originals that came with the Note 3 and there are differences but are very achieved. The original comes with a flat and more durable cable, they have round and thin wire. Hear quite well and as the shape of the handset and paste is the same as the Samsung they fit perfectly, I think for the price you can not ask for more. Overall, quite happy at the moment. What the duration is another story time will tell.</v>
      </c>
    </row>
    <row r="86">
      <c r="A86" s="1">
        <v>4.0</v>
      </c>
      <c r="B86" s="1" t="s">
        <v>87</v>
      </c>
      <c r="C86" t="str">
        <f>IFERROR(__xludf.DUMMYFUNCTION("GOOGLETRANSLATE(B86, ""es"", ""en"")"),"All good. Good product")</f>
        <v>All good. Good product</v>
      </c>
    </row>
    <row r="87">
      <c r="A87" s="1">
        <v>5.0</v>
      </c>
      <c r="B87" s="1" t="s">
        <v>88</v>
      </c>
      <c r="C87" t="str">
        <f>IFERROR(__xludf.DUMMYFUNCTION("GOOGLETRANSLATE(B87, ""es"", ""en"")"),"I've spent years wearing Converse sneakers are")</f>
        <v>I've spent years wearing Converse sneakers are</v>
      </c>
    </row>
    <row r="88">
      <c r="A88" s="1">
        <v>5.0</v>
      </c>
      <c r="B88" s="1" t="s">
        <v>89</v>
      </c>
      <c r="C88" t="str">
        <f>IFERROR(__xludf.DUMMYFUNCTION("GOOGLETRANSLATE(B88, ""es"", ""en"")"),"Well, but without laces Without laces")</f>
        <v>Well, but without laces Without laces</v>
      </c>
    </row>
    <row r="89">
      <c r="A89" s="1">
        <v>5.0</v>
      </c>
      <c r="B89" s="1" t="s">
        <v>90</v>
      </c>
      <c r="C89" t="str">
        <f>IFERROR(__xludf.DUMMYFUNCTION("GOOGLETRANSLATE(B89, ""es"", ""en"")"),"Buenisima quality and cheap quality! It is now timely.")</f>
        <v>Buenisima quality and cheap quality! It is now timely.</v>
      </c>
    </row>
    <row r="90">
      <c r="A90" s="1">
        <v>5.0</v>
      </c>
      <c r="B90" s="1" t="s">
        <v>91</v>
      </c>
      <c r="C90" t="str">
        <f>IFERROR(__xludf.DUMMYFUNCTION("GOOGLETRANSLATE(B90, ""es"", ""en"")"),"Comadas very good product, perfect light and airy")</f>
        <v>Comadas very good product, perfect light and airy</v>
      </c>
    </row>
    <row r="91">
      <c r="A91" s="1">
        <v>5.0</v>
      </c>
      <c r="B91" s="1" t="s">
        <v>92</v>
      </c>
      <c r="C91" t="str">
        <f>IFERROR(__xludf.DUMMYFUNCTION("GOOGLETRANSLATE(B91, ""es"", ""en"")"),"Shoe of comfort and aesthetics together in one. The speed and efficiency of Amazon 10.")</f>
        <v>Shoe of comfort and aesthetics together in one. The speed and efficiency of Amazon 10.</v>
      </c>
    </row>
    <row r="92">
      <c r="A92" s="1">
        <v>5.0</v>
      </c>
      <c r="B92" s="1" t="s">
        <v>93</v>
      </c>
      <c r="C92" t="str">
        <f>IFERROR(__xludf.DUMMYFUNCTION("GOOGLETRANSLATE(B92, ""es"", ""en"")"),"Perfect description the correct product")</f>
        <v>Perfect description the correct product</v>
      </c>
    </row>
    <row r="93">
      <c r="A93" s="1">
        <v>5.0</v>
      </c>
      <c r="B93" s="1" t="s">
        <v>94</v>
      </c>
      <c r="C93" t="str">
        <f>IFERROR(__xludf.DUMMYFUNCTION("GOOGLETRANSLATE(B93, ""es"", ""en"")"),"Helmets Bluetooth Buying this article was that I needed a headset to go running and get me out of the mess of wires, I arrived a couple of days and the truth is that since I opened the package I was surprised both by the presentation at the box and of cou"&amp;"rse the sound and the comfort to wear them. Connect with Bluetooth mobile only to the encerdenderlos so I see a great product value with what is offered in the market. Very good buy.")</f>
        <v>Helmets Bluetooth Buying this article was that I needed a headset to go running and get me out of the mess of wires, I arrived a couple of days and the truth is that since I opened the package I was surprised both by the presentation at the box and of course the sound and the comfort to wear them. Connect with Bluetooth mobile only to the encerdenderlos so I see a great product value with what is offered in the market. Very good buy.</v>
      </c>
    </row>
    <row r="94">
      <c r="A94" s="1">
        <v>5.0</v>
      </c>
      <c r="B94" s="1" t="s">
        <v>95</v>
      </c>
      <c r="C94" t="str">
        <f>IFERROR(__xludf.DUMMYFUNCTION("GOOGLETRANSLATE(B94, ""es"", ""en"")"),"Very good &lt;div id = ""video-block-R1KAT4SYKWFAQ2"" class = ""a-section a-spacing-small a-spacing-top mini video-block""&gt; &lt;div tabindex = ""0"" class = ""airy airy-svg vmin-supported airy-skin-beacon ""style ="" background-color: rgb (0, 0, 0) position: re"&amp;"lative; width: 100%; height: 100%; font-size: 0px; overflow: hidden; outline : none; ""&gt; &lt;div class ="" airy-renderer-container ""style ="" position: relative; height: 100%; width: 100%; ""&gt; &lt;video id ="" 15 ""preload ="" auto ""src ="" https://images-eu."&amp;"ssl-images-amazon.com/images/I/91rSXqzoMNS.mp4 ""style ="" position: absolute; left: 0px; top: 0px; overflow: hidden; height: 1px; width: 1px ; ""&gt; &lt;/ video&gt; &lt;/ div&gt; &lt;div id ="" airy-slate-preload ""style ="" background-color: rgb (0, 0, 0); background-im"&amp;"age: url (&amp; quot; https: // images-eu.ssl-images-amazon.com/images/I/71ddvnnysqS.png&amp;quot;); background-size: Contain; background-position: center center; background-repeat: no-repeat; position: absolute; top: 0px ; left: 0px; visibility: visible; width: "&amp;"100%; height: 100%; ""&gt; &lt;/ div&gt; &lt;iframe scrolling ="" no ""f rameborder = ""0"" src = ""about: blank"" style = ""display: none;""&gt; &lt;/ iframe&gt; &lt;div tabindex = ""- 1"" class = ""airy-controls-container"" style = ""opacity: 0; visibility: hidden; ""&gt; &lt;div ta"&amp;"bindex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airy-"&amp;"on ""&gt; &lt;/ div&gt; &lt;div tabindex ="" - 1 ""class ="" airy-audio-container ""style = ""opacity: 0; visibility: hidden; ""&gt; &lt;div tabindex ="" - 1 ""class ="" airy-audio-track-bar ""style ="" height: 80%; ""&gt; &lt;div tabindex ="" - 1 ""class ="" airy-audio- Scrubbe"&amp;"r-bar ""style ="" height: 85%; ""&gt; &lt;/ div&gt; &lt;div tabindex ="" - 1 ""class ="" airy-audio-scrubber ""style ="" height: 12px; bottom: 85% ""&gt; &lt;/ div&gt; &lt;/ div&gt; &lt;/ div&gt; &lt;/ div&gt; &lt;div tabindex ="" - 1 ""class ="" airy-duration-label ""style ="" float: right; widt"&amp;"h: 26px; margin-right: 4px; text-align: center; ""&gt; 0:00 &lt;/ div&gt; &lt;div tabindex ="" - 1 ""class ="" airy-track-bar-spacer-right ""style ="" float: right; width: 11px; ""&gt; &lt;/ div&gt; &lt;div tabindex ="" - 1 ""class ="" airy-track-bar-container ""style ="" margin"&amp;"-left: 35px; margin-right: 75px; ""&gt; &lt;div tabindex ="" - 1 ""class ="" airy-airy-track-bar vertically-centering-table ""&gt; &lt;div tabindex ="" - 1 ""class ="" airy-Vertical-centering- table-cell ""&gt; &lt;div tabindex ="" - 1 ""class ="" airy-track-bar-elements "&amp;"""&gt; &lt;div tabindex ="" - 1 ""class ="" airy-progress-bar ""&gt; &lt;/ div&gt; &lt;div tabindex = ""- 1"" class = ""airy-scrubber-bar""&gt; &lt;/ div&gt; &lt;div tabindex = ""- 1"" class = ""airy-scrubber""&gt; &lt;div tabindex = ""- 1"" class = ""airy-scrubber- icon ""&gt; &lt;/ div&gt; &lt;div ta"&amp;"bindex ="" - 1 ""class ="" airy-adjusted-AUI-tooltip ""style ="" opacity: 0; visibility: hidden; ""&gt; &lt;div tabindex ="" - 1 ""class ="" airy-adjusted-aui-tooltip-inner ""&gt; &lt;div tabindex ="" - 1 ""class ="" airy-current-time-label ""&gt; 0: 00 &lt;/ div&gt; &lt;/ div&gt; "&amp;"&lt;div tabindex = ""- 1"" class = ""airy-adjusted-AUI-arrow-border""&gt; &lt;div tabindex = ""- 1"" class = ""airy-adjusted-AUI-arrow"" &gt; &lt;/ div&gt; &lt;/ div&gt; &lt;/ div&gt; &lt;/ div&gt; &lt;/ div&gt; &lt;/ div&gt; &lt;/ div&gt; &lt;/ div&gt; &lt;/ div&gt; &lt;/ div&gt; &lt;div tabindex = ""- 1"" class = ""airy-age-ga"&amp;"te airy-stage airy-Vertical-centering-table airy-dialog"" style = ""opacity: 0; visibility: hidden; ""&gt; &lt;div tabindex ="" - 1 ""class ="" airy-age-gate-Vertical-centering-table-cell airy-Vertical-centering-table-cell ""&gt; &lt;div tabindex ="" - 1 ""class = """&amp;"airy-Vertical-centering-wrapper airy-age-gate-elements-wrapper""&gt; &lt;div tabindex = ""- 1"" class = ""airy-age-gate-elements airy-dialog-elements""&gt; &lt;div tabindex = "" -1 ""class ="" airy-age-gate-prompt ""&gt; This video is not Intended for all audiences What"&amp;" date were you born &lt;/ div&gt; &lt;div tabindex =.?"" - 1 ""class ="" airy-age-gate -inputs airy-dialog-inner-elements ""&gt; &lt;select tabindex ="" - 1 ""class ="" airy-age-gate-month ""&gt; &lt;option value ="" 1 ""&gt; January &lt;/ option&gt; &lt;option value ="" 2 ""&gt; February &lt;"&amp;"/ option&gt; &lt;option value ="" 3 ""&gt; March &lt;/ option&gt; &lt;option value ="" 4 ""&gt; April &lt;/ option&gt; &lt;option value ="" 5 ""&gt; May &lt;/ option&gt; &lt;option value = ""6""&gt; June &lt;/ option&gt; &lt;option value = ""7""&gt; July &lt;/ option&gt; &lt;option value = ""8""&gt; August &lt;/ option&gt; &lt;opti"&amp;"on value = ""9""&gt; September &lt;/ option&gt; &lt;option value = ""10""&gt; October &lt;/ option&gt; &lt;option value = ""11""&gt; November &lt;/ option&gt; &lt;option value = ""12""&gt; December &lt;/ option&gt; &lt;/ select&gt; &lt;select tabindex = ""- 1"" class = ""airy-age-gate-day""&gt; &lt;opti on value ="&amp;" ""1""&gt; 1 &lt;/ option&gt; &lt;option value = ""2""&gt; 2 &lt;/ option&gt; &lt;option value = ""3""&gt; 3 &lt;/ option&gt; &lt;option value = ""4""&gt; 4 &lt;/ option &gt; &lt;option value = ""5""&gt; 5 &lt;/ option&gt; &lt;option value = ""6""&gt; 6 &lt;/ option&gt; &lt;option value = ""7""&gt; 7 &lt;/ option&gt; &lt;option value = "&amp;"""8""&gt; 8 &lt; / option&gt; &lt;option value = ""9""&gt; 9 &lt;/ option&gt; &lt;option value = ""10""&gt; 10 &lt;/ option&gt; &lt;option value = ""11""&gt; 11 &lt;/ option&gt; &lt;option value = ""12""&gt; 12 &lt;/ option&gt; &lt;option value = ""13""&gt; 13 &lt;/ option&gt; &lt;option value = ""14""&gt; 14 &lt;/ option&gt; &lt;option "&amp;"value = ""15""&gt; 15 &lt;/ option&gt; &lt;option value = ""16 ""&gt; 16 &lt;/ option&gt; &lt;option value ="" 17 ""&gt; 17 &lt;/ option&gt; &lt;option value ="" 18 ""&gt; 18 &lt;/ option&gt; &lt;option value ="" 19 ""&gt; 19 &lt;/ option&gt; &lt;option value = ""20""&gt; 20 &lt;/ option&gt; &lt;option value = ""21""&gt; 21 &lt;/ o"&amp;"ption&gt; &lt;option value = ""22""&gt; 22 &lt;/ option&gt; &lt;option value = ""23""&gt; 23 &lt;/ option&gt; &lt;option value = ""24""&gt; 24 &lt;/ option&gt; &lt;option value = ""25""&gt; 25 &lt;/ option&gt; &lt;option value = ""26""&gt; 26 &lt;/ option&gt; &lt;option value = ""27""&gt; 27 &lt;/ option&gt; &lt;option value = ""28"&amp;"""&gt; 28 &lt;/ option&gt; &lt;option value = ""29""&gt; 29 &lt;/ option&gt; &lt;option value = ""30""&gt; 30 &lt;/ option&gt; &lt;option value = ""31""&gt; 31 &lt;/ option&gt; &lt;/ select&gt; &lt;select tabindex = ""- 1"" class = ""airy-age-gate-year""&gt; &lt;option value = ""2019""&gt; 2019 &lt;/ option&gt; &lt; option va"&amp;"lue = ""2018""&gt; 2018 &lt;/ option&gt; &lt;option value = ""2017""&gt; 2017 &lt;/ option&gt; &lt;option value = ""2016""&gt; ​​2016 &lt;/ option&gt; &lt;option value = ""2015""&gt; 2015 &lt;/ option &gt; &lt;option value = ""2014""&gt; 2014 &lt;/ option&gt; &lt;option value = ""2013""&gt; 2013 &lt;/ option&gt; &lt;option va"&amp;"lue = ""2012""&gt; 2012 &lt;/ option&gt; &lt;option value = ""2011""&gt; 2011 &lt; / option&gt; &lt;option value = ""2010""&gt; 2010 &lt;/ option&gt; &lt;option value = ""2009""&gt; 2009 &lt;/ option&gt; &lt;option value = ""2008""&gt; 2008 &lt;/ option&gt; &lt;option value = ""2007""&gt; 2007 &lt;/ option&gt; &lt;option valu"&amp;"e = ""2006""&gt; 2006 &lt;/ option&gt; &lt;option value = ""2005""&gt; 2005 &lt;/ option&gt; &lt;option value = ""2004""&gt; 2004 &lt;/ option&gt; &lt;option value = ""2003 ""&gt; 2003 &lt;/ option&gt; &lt;option value ="" 2002 ""&gt; 2002 &lt;/ option&gt; &lt;option value ="" 2001 ""&gt; 2001 &lt;/ option&gt; &lt;option valu"&amp;"e ="" 2000 ""&gt; 2000 &lt;/ option&gt; &lt;option value = ""1999""&gt; 1999 &lt;/ option&gt; &lt;option value = ""1998""&gt; 1998 &lt;/ option&gt; &lt;option value = ""1997""&gt; 1997 &lt;/ option&gt; &lt;option value = ""1996""&gt; 1996 &lt;/ option&gt; &lt;option value = ""1995""&gt; 1995 &lt;/ option&gt; &lt;option value "&amp;"= ""1994""&gt;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="&amp;" ""1982""&gt;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&lt;value option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&lt;value option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visib"&amp;"ility: hidden; ""&gt; &lt;div tabindex ="" - 1 ""class ="" airy-install-flash-Vertical-centering-table-cell airy-Vertical-centering-table-cell ""&gt; &lt;div tabindex ="" - 1 ""class = ""airy-Vertical-centering-wrapper airy-install-flash-elements-wrapper""&gt; &lt;div tabi"&amp;"ndex = ""- 1"" class = ""airy-install-flash-elements airy-dialog-elements""&gt; &lt;div tabindex = "" -1 ""class ="" airy-install-flash-prompt ""&gt; Adobe Flash Player is required to watch this video &lt;/ div&gt; &lt;div tabindex =."" - 1 ""class ="" airy-install-flash-b"&amp;"utton-wrapper airy -dialog-inner-elements ""&gt; &lt;div tabindex ="" - 1 ""class ="" airy-install-flash-button airy-button ""&gt; install Flash Player &lt;/ div&gt; &lt;/ div&gt; &lt;/ div&gt; &lt;/ div&gt; &lt;/ div&gt; &lt;/ div&gt; &lt;div tabindex = ""- 1"" class = ""airy-video-unsupported-dialog "&amp;"airy-stage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91rSXqzoMNS.mp4 ""Class ="" video-url ""&gt; &lt;input type ="" hidden ""name ="" ""value ="" https://images-eu.ssl-images-amazon.com/images/I/71ddvnnysqS.png ""class ="" video-slate-img-url ""&gt; &amp; nbsp; the hand weight is perfect, it will n"&amp;"ot be heavy, it is very powerful, it's easy, it's easy to beat the eggs. The most important thing is that the price is very affordable. Worth it")</f>
        <v>Very good &lt;div id = "video-block-R1KAT4SYKWFAQ2" class = "a-section a-spacing-small a-spacing-top mini video-block"&gt; &lt;div tabindex = "0" class = "airy airy-svg vmin-supported airy-skin-beacon "style =" background-color: rgb (0, 0, 0) position: relative; width: 100%; height: 100%; font-size: 0px; overflow: hidden; outline : none; "&gt; &lt;div class =" airy-renderer-container "style =" position: relative; height: 100%; width: 100%; "&gt; &lt;video id =" 15 "preload =" auto "src =" https://images-eu.ssl-images-amazon.com/images/I/91rSXqzoMNS.mp4 "style =" position: absolute; left: 0px; top: 0px; overflow: hidden; height: 1px; width: 1px ; "&gt; &lt;/ video&gt; &lt;/ div&gt; &lt;div id =" airy-slate-preload "style =" background-color: rgb (0, 0, 0); background-image: url (&amp; quot; https: // images-eu.ssl-images-amazon.com/images/I/71ddvnnysqS.png&amp;quot;); background-size: Contain; background-position: center center; background-repeat: no-repeat; position: absolute; top: 0px ; left: 0px; visibility: visible; width: 100%; height: 100%; "&gt; &lt;/ div&gt; &lt;iframe scrolling =" no "f 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91rSXqzoMNS.mp4 "Class =" video-url "&gt; &lt;input type =" hidden "name =" "value =" https://images-eu.ssl-images-amazon.com/images/I/71ddvnnysqS.png "class =" video-slate-img-url "&gt; &amp; nbsp; the hand weight is perfect, it will not be heavy, it is very powerful, it's easy, it's easy to beat the eggs. The most important thing is that the price is very affordable. Worth it</v>
      </c>
    </row>
    <row r="95">
      <c r="A95" s="1">
        <v>5.0</v>
      </c>
      <c r="B95" s="1" t="s">
        <v>96</v>
      </c>
      <c r="C95" t="str">
        <f>IFERROR(__xludf.DUMMYFUNCTION("GOOGLETRANSLATE(B95, ""es"", ""en"")"),"Good product bought them to hide the wires at the bottom of the table and the truth that the weight of the cables will perfect the duct tape that brings, if I take some serious hits that put two to hold a large strip and the end is just taking off, but th"&amp;"at seemed to come and weighing his own good parts these have a hole in the center to put a screw so everything perfect.")</f>
        <v>Good product bought them to hide the wires at the bottom of the table and the truth that the weight of the cables will perfect the duct tape that brings, if I take some serious hits that put two to hold a large strip and the end is just taking off, but that seemed to come and weighing his own good parts these have a hole in the center to put a screw so everything perfect.</v>
      </c>
    </row>
    <row r="96">
      <c r="A96" s="1">
        <v>5.0</v>
      </c>
      <c r="B96" s="1" t="s">
        <v>97</v>
      </c>
      <c r="C96" t="str">
        <f>IFERROR(__xludf.DUMMYFUNCTION("GOOGLETRANSLATE(B96, ""es"", ""en"")"),"quality manufactured by Seagate I was torn between this and other Seagate HDD (slightly more expensive). In the receive it, see the instructions, warranty and firmware of the product indicate that Seagate really is. So pleased with purchase. He had anothe"&amp;"r album before the same but 500Gb. I have it from several years ago and zero problems.")</f>
        <v>quality manufactured by Seagate I was torn between this and other Seagate HDD (slightly more expensive). In the receive it, see the instructions, warranty and firmware of the product indicate that Seagate really is. So pleased with purchase. He had another album before the same but 500Gb. I have it from several years ago and zero problems.</v>
      </c>
    </row>
    <row r="97">
      <c r="A97" s="1">
        <v>5.0</v>
      </c>
      <c r="B97" s="1" t="s">
        <v>98</v>
      </c>
      <c r="C97" t="str">
        <f>IFERROR(__xludf.DUMMYFUNCTION("GOOGLETRANSLATE(B97, ""es"", ""en"")"),"Value Relationship perfect quality perfect weight. Has weight so not moving to the cutting zeal. Highly recommended use.")</f>
        <v>Value Relationship perfect quality perfect weight. Has weight so not moving to the cutting zeal. Highly recommended use.</v>
      </c>
    </row>
    <row r="98">
      <c r="A98" s="1">
        <v>5.0</v>
      </c>
      <c r="B98" s="1" t="s">
        <v>99</v>
      </c>
      <c r="C98" t="str">
        <f>IFERROR(__xludf.DUMMYFUNCTION("GOOGLETRANSLATE(B98, ""es"", ""en"")"),"Very happy, good product. It is quite effective, has taken up the glue that remains when we take off one adhesiva.Lo tape used in a workshop of bread and to my surprise is suitable for food use which is a permitted health product for cleaning food establi"&amp;"shments. we have used and use it without lowering lowering him with water.")</f>
        <v>Very happy, good product. It is quite effective, has taken up the glue that remains when we take off one adhesiva.Lo tape used in a workshop of bread and to my surprise is suitable for food use which is a permitted health product for cleaning food establishments. we have used and use it without lowering lowering him with water.</v>
      </c>
    </row>
    <row r="99">
      <c r="A99" s="1">
        <v>5.0</v>
      </c>
      <c r="B99" s="1" t="s">
        <v>100</v>
      </c>
      <c r="C99" t="str">
        <f>IFERROR(__xludf.DUMMYFUNCTION("GOOGLETRANSLATE(B99, ""es"", ""en"")"),"Ideal for trail. Quality, good touch and good fit for the trail.")</f>
        <v>Ideal for trail. Quality, good touch and good fit for the trail.</v>
      </c>
    </row>
    <row r="100">
      <c r="A100" s="1">
        <v>5.0</v>
      </c>
      <c r="B100" s="1" t="s">
        <v>101</v>
      </c>
      <c r="C100" t="str">
        <f>IFERROR(__xludf.DUMMYFUNCTION("GOOGLETRANSLATE(B100, ""es"", ""en"")"),"pefectos fit withstand washing and do not go pellets, are very cool and do not smell much sudarlos after buying them again")</f>
        <v>pefectos fit withstand washing and do not go pellets, are very cool and do not smell much sudarlos after buying them again</v>
      </c>
    </row>
    <row r="101">
      <c r="A101" s="1">
        <v>5.0</v>
      </c>
      <c r="B101" s="1" t="s">
        <v>102</v>
      </c>
      <c r="C101" t="str">
        <f>IFERROR(__xludf.DUMMYFUNCTION("GOOGLETRANSLATE(B101, ""es"", ""en"")"),"Perfect! beautiful")</f>
        <v>Perfect! beautiful</v>
      </c>
    </row>
    <row r="102">
      <c r="A102" s="1">
        <v>5.0</v>
      </c>
      <c r="B102" s="1" t="s">
        <v>103</v>
      </c>
      <c r="C102" t="str">
        <f>IFERROR(__xludf.DUMMYFUNCTION("GOOGLETRANSLATE(B102, ""es"", ""en"")"),"Great buy. High quality materials, does not break sweat. Good buy!")</f>
        <v>Great buy. High quality materials, does not break sweat. Good buy!</v>
      </c>
    </row>
    <row r="103">
      <c r="A103" s="1">
        <v>5.0</v>
      </c>
      <c r="B103" s="1" t="s">
        <v>104</v>
      </c>
      <c r="C103" t="str">
        <f>IFERROR(__xludf.DUMMYFUNCTION("GOOGLETRANSLATE(B103, ""es"", ""en"")"),"New Computer If you want a new computer, no need to change all the pieces that you put this SSD will notice you have a new computer. You start the PC in 5 seconds, and all applications load 10 times faster. If you install the game on this hard drive, load"&amp;" times are reduced a thousand times. Not recommended purchase necessary!")</f>
        <v>New Computer If you want a new computer, no need to change all the pieces that you put this SSD will notice you have a new computer. You start the PC in 5 seconds, and all applications load 10 times faster. If you install the game on this hard drive, load times are reduced a thousand times. Not recommended purchase necessary!</v>
      </c>
    </row>
    <row r="104">
      <c r="A104" s="1">
        <v>5.0</v>
      </c>
      <c r="B104" s="1" t="s">
        <v>105</v>
      </c>
      <c r="C104" t="str">
        <f>IFERROR(__xludf.DUMMYFUNCTION("GOOGLETRANSLATE(B104, ""es"", ""en"")"),"Very comfortable")</f>
        <v>Very comfortable</v>
      </c>
    </row>
    <row r="105">
      <c r="A105" s="1">
        <v>2.0</v>
      </c>
      <c r="B105" s="1" t="s">
        <v>106</v>
      </c>
      <c r="C105" t="str">
        <f>IFERROR(__xludf.DUMMYFUNCTION("GOOGLETRANSLATE(B105, ""es"", ""en"")"),"Massage? Meets minimum under its function. I have been somewhat disappointed, I expected a better product. If you improve your product would prove")</f>
        <v>Massage? Meets minimum under its function. I have been somewhat disappointed, I expected a better product. If you improve your product would prove</v>
      </c>
    </row>
    <row r="106">
      <c r="A106" s="1">
        <v>3.0</v>
      </c>
      <c r="B106" s="1" t="s">
        <v>107</v>
      </c>
      <c r="C106" t="str">
        <f>IFERROR(__xludf.DUMMYFUNCTION("GOOGLETRANSLATE(B106, ""es"", ""en"")"),"For those looking for a pen drive for daily is a good pen drive, I bought it because I wanted to upgrade my old 2GB DataTraveler G1. Comply properly with what is expected of a pen drive with USB 3.0 being added albeit with lower rates transfer offer. If y"&amp;"ou seek speed, this is not the one. If you seek reliability and durability 100% recommended")</f>
        <v>For those looking for a pen drive for daily is a good pen drive, I bought it because I wanted to upgrade my old 2GB DataTraveler G1. Comply properly with what is expected of a pen drive with USB 3.0 being added albeit with lower rates transfer offer. If you seek speed, this is not the one. If you seek reliability and durability 100% recommended</v>
      </c>
    </row>
    <row r="107">
      <c r="A107" s="1">
        <v>1.0</v>
      </c>
      <c r="B107" s="1" t="s">
        <v>108</v>
      </c>
      <c r="C107" t="str">
        <f>IFERROR(__xludf.DUMMYFUNCTION("GOOGLETRANSLATE(B107, ""es"", ""en"")"),"Suspense. Large glass broken axle. In less than 6 months it has broken the axis of the large glass, so it no longer serves to almost nothing, can only use the small glass. If it were not for that, I would be happy, peroooo ... SUSPENSE.")</f>
        <v>Suspense. Large glass broken axle. In less than 6 months it has broken the axis of the large glass, so it no longer serves to almost nothing, can only use the small glass. If it were not for that, I would be happy, peroooo ... SUSPENSE.</v>
      </c>
    </row>
    <row r="108">
      <c r="A108" s="1">
        <v>1.0</v>
      </c>
      <c r="B108" s="1" t="s">
        <v>109</v>
      </c>
      <c r="C108" t="str">
        <f>IFERROR(__xludf.DUMMYFUNCTION("GOOGLETRANSLATE(B108, ""es"", ""en"")"),"For me an imitation in the hand is painful endings and general appearance")</f>
        <v>For me an imitation in the hand is painful endings and general appearance</v>
      </c>
    </row>
    <row r="109">
      <c r="A109" s="1">
        <v>1.0</v>
      </c>
      <c r="B109" s="1" t="s">
        <v>110</v>
      </c>
      <c r="C109" t="str">
        <f>IFERROR(__xludf.DUMMYFUNCTION("GOOGLETRANSLATE(B109, ""es"", ""en"")"),"Plastic very bad decision very poor quality. Spend much more money in a blender ""PRO"" and you find better yields on 30 €. Bad attention to the customer, know that using poor quality plastics and excluded from the warranty. Very bad choice promise you a "&amp;"professional blender and come across a blender heap gold price. Never more.")</f>
        <v>Plastic very bad decision very poor quality. Spend much more money in a blender "PRO" and you find better yields on 30 €. Bad attention to the customer, know that using poor quality plastics and excluded from the warranty. Very bad choice promise you a professional blender and come across a blender heap gold price. Never more.</v>
      </c>
    </row>
    <row r="110">
      <c r="A110" s="1">
        <v>4.0</v>
      </c>
      <c r="B110" s="1" t="s">
        <v>111</v>
      </c>
      <c r="C110" t="str">
        <f>IFERROR(__xludf.DUMMYFUNCTION("GOOGLETRANSLATE(B110, ""es"", ""en"")"),"Casio watch Good quality and good price, the Casio brand is generally a good success, all unaware mini packing carton and is a bit poor when it comes to a gift; D")</f>
        <v>Casio watch Good quality and good price, the Casio brand is generally a good success, all unaware mini packing carton and is a bit poor when it comes to a gift; D</v>
      </c>
    </row>
    <row r="111">
      <c r="A111" s="1">
        <v>4.0</v>
      </c>
      <c r="B111" s="1" t="s">
        <v>112</v>
      </c>
      <c r="C111" t="str">
        <f>IFERROR(__xludf.DUMMYFUNCTION("GOOGLETRANSLATE(B111, ""es"", ""en"")"),"PLEASED WITH PURCHASE VERY ARE AS EXPECTED, AND CAME TO TIME DA SCKECHER LESS THAN A SIZE THAT OTHER BRANDS SLIPPERS ARE PERFECT FOR SPRING AUTUMN AND NO OTHER MODELS AS FRESH AS, FABRIC AND APPARENTLY repels water")</f>
        <v>PLEASED WITH PURCHASE VERY ARE AS EXPECTED, AND CAME TO TIME DA SCKECHER LESS THAN A SIZE THAT OTHER BRANDS SLIPPERS ARE PERFECT FOR SPRING AUTUMN AND NO OTHER MODELS AS FRESH AS, FABRIC AND APPARENTLY repels water</v>
      </c>
    </row>
    <row r="112">
      <c r="A112" s="1">
        <v>4.0</v>
      </c>
      <c r="B112" s="1" t="s">
        <v>113</v>
      </c>
      <c r="C112" t="str">
        <f>IFERROR(__xludf.DUMMYFUNCTION("GOOGLETRANSLATE(B112, ""es"", ""en"")"),"Good but .. All right, it's a nice and sturdy relog but has one drawback q can not see either the digital part because it is too light and sometimes needles plug it and you can not see the date or q is q want to see")</f>
        <v>Good but .. All right, it's a nice and sturdy relog but has one drawback q can not see either the digital part because it is too light and sometimes needles plug it and you can not see the date or q is q want to see</v>
      </c>
    </row>
    <row r="113">
      <c r="A113" s="1">
        <v>4.0</v>
      </c>
      <c r="B113" s="1" t="s">
        <v>114</v>
      </c>
      <c r="C113" t="str">
        <f>IFERROR(__xludf.DUMMYFUNCTION("GOOGLETRANSLATE(B113, ""es"", ""en"")"),"Good and price is going well")</f>
        <v>Good and price is going well</v>
      </c>
    </row>
    <row r="114">
      <c r="A114" s="1">
        <v>5.0</v>
      </c>
      <c r="B114" s="1" t="s">
        <v>115</v>
      </c>
      <c r="C114" t="str">
        <f>IFERROR(__xludf.DUMMYFUNCTION("GOOGLETRANSLATE(B114, ""es"", ""en"")"),"Joaquin I used to cut wood 8 large beams that were very black, and has performed well, it is perfect for occasional DIY.")</f>
        <v>Joaquin I used to cut wood 8 large beams that were very black, and has performed well, it is perfect for occasional DIY.</v>
      </c>
    </row>
    <row r="115">
      <c r="A115" s="1">
        <v>5.0</v>
      </c>
      <c r="B115" s="1" t="s">
        <v>116</v>
      </c>
      <c r="C115" t="str">
        <f>IFERROR(__xludf.DUMMYFUNCTION("GOOGLETRANSLATE(B115, ""es"", ""en"")"),"Great Good gift")</f>
        <v>Great Good gift</v>
      </c>
    </row>
    <row r="116">
      <c r="A116" s="1">
        <v>5.0</v>
      </c>
      <c r="B116" s="1" t="s">
        <v>117</v>
      </c>
      <c r="C116" t="str">
        <f>IFERROR(__xludf.DUMMYFUNCTION("GOOGLETRANSLATE(B116, ""es"", ""en"")"),"Vacuums Great, really good quality.")</f>
        <v>Vacuums Great, really good quality.</v>
      </c>
    </row>
    <row r="117">
      <c r="A117" s="1">
        <v>5.0</v>
      </c>
      <c r="B117" s="1" t="s">
        <v>118</v>
      </c>
      <c r="C117" t="str">
        <f>IFERROR(__xludf.DUMMYFUNCTION("GOOGLETRANSLATE(B117, ""es"", ""en"")"),"All perfect perfect all coming ahead of time")</f>
        <v>All perfect perfect all coming ahead of time</v>
      </c>
    </row>
    <row r="118">
      <c r="A118" s="1">
        <v>5.0</v>
      </c>
      <c r="B118" s="1" t="s">
        <v>119</v>
      </c>
      <c r="C118" t="str">
        <f>IFERROR(__xludf.DUMMYFUNCTION("GOOGLETRANSLATE(B118, ""es"", ""en"")"),"Excelete great, exceeded my expectations.")</f>
        <v>Excelete great, exceeded my expectations.</v>
      </c>
    </row>
    <row r="119">
      <c r="A119" s="1">
        <v>5.0</v>
      </c>
      <c r="B119" s="1" t="s">
        <v>120</v>
      </c>
      <c r="C119" t="str">
        <f>IFERROR(__xludf.DUMMYFUNCTION("GOOGLETRANSLATE(B119, ""es"", ""en"")"),"Good price works perfectly, is quick to transfer photos to the computer. I use a SLR camera and time without problems. Product highly recommended")</f>
        <v>Good price works perfectly, is quick to transfer photos to the computer. I use a SLR camera and time without problems. Product highly recommended</v>
      </c>
    </row>
    <row r="120">
      <c r="A120" s="1">
        <v>5.0</v>
      </c>
      <c r="B120" s="1" t="s">
        <v>121</v>
      </c>
      <c r="C120" t="str">
        <f>IFERROR(__xludf.DUMMYFUNCTION("GOOGLETRANSLATE(B120, ""es"", ""en"")"),"Mac pr 2013 (cylinder) is not detected, neither with nor Mojave High Sierra, a greeting.")</f>
        <v>Mac pr 2013 (cylinder) is not detected, neither with nor Mojave High Sierra, a greeting.</v>
      </c>
    </row>
    <row r="121">
      <c r="A121" s="1">
        <v>5.0</v>
      </c>
      <c r="B121" s="1" t="s">
        <v>122</v>
      </c>
      <c r="C121" t="str">
        <f>IFERROR(__xludf.DUMMYFUNCTION("GOOGLETRANSLATE(B121, ""es"", ""en"")"),"ATH-M50X Vs V-Moda M100 (Incomparables) Purchase two !! Excellent. Studio Reference helmets. If you will use to produce music forward. Sound level, precise, realistic and unexciting but with a level of detail really surprising. Subwoofers have some emphas"&amp;"is on it is appreciated if used with electronic music but not smudge or harm other frequencies. Acoustic music are amazing and are at an excellent price. They are causing some fatigue after long periods of listening because quite crowded (there are people"&amp;" who open positions left to rest in a box to soften slightly) In contrast are not the most suitable outside the scope of a study. If you want to use to prick or especially listening to electronic music then the best option is the V-Moda M100 which have a "&amp;"more exciting sound with more ""punch"" and sound more V but with a level of unparalleled quality and you can take them to their full potential even with mobile devices in addition to hardware professional. (Ni Beats or stories, are on another level) also"&amp;" I think people comparing these Audio Technica with M100 not due to hear the two together in the same conditions that are incomparable sounds for different things. It must be clear. So these helmets cost are wonderful.")</f>
        <v>ATH-M50X Vs V-Moda M100 (Incomparables) Purchase two !! Excellent. Studio Reference helmets. If you will use to produce music forward. Sound level, precise, realistic and unexciting but with a level of detail really surprising. Subwoofers have some emphasis on it is appreciated if used with electronic music but not smudge or harm other frequencies. Acoustic music are amazing and are at an excellent price. They are causing some fatigue after long periods of listening because quite crowded (there are people who open positions left to rest in a box to soften slightly) In contrast are not the most suitable outside the scope of a study. If you want to use to prick or especially listening to electronic music then the best option is the V-Moda M100 which have a more exciting sound with more "punch" and sound more V but with a level of unparalleled quality and you can take them to their full potential even with mobile devices in addition to hardware professional. (Ni Beats or stories, are on another level) also I think people comparing these Audio Technica with M100 not due to hear the two together in the same conditions that are incomparable sounds for different things. It must be clear. So these helmets cost are wonderful.</v>
      </c>
    </row>
    <row r="122">
      <c r="A122" s="1">
        <v>5.0</v>
      </c>
      <c r="B122" s="1" t="s">
        <v>123</v>
      </c>
      <c r="C122" t="str">
        <f>IFERROR(__xludf.DUMMYFUNCTION("GOOGLETRANSLATE(B122, ""es"", ""en"")"),"card or external audio interface sound sending came to me three days ago and after trying this Beringher UMC204 HD am more than satisfied because it offers for home studio very good performance more than acceptable audio for your recording own models, you"&amp;" can use both to record your music, to hear sound on your PC with speakers studio or want you plugging in headphones to avoid disturbing features 2 mono inputs to plug bass guitar or string instrument, 2 XLR walk or canonpara microphone and back has two o"&amp;"utputs xlr 4 outputs stereo RCA plug plus the phatasma connector 48 volts for condenser microphones")</f>
        <v>card or external audio interface sound sending came to me three days ago and after trying this Beringher UMC204 HD am more than satisfied because it offers for home studio very good performance more than acceptable audio for your recording own models, you can use both to record your music, to hear sound on your PC with speakers studio or want you plugging in headphones to avoid disturbing features 2 mono inputs to plug bass guitar or string instrument, 2 XLR walk or canonpara microphone and back has two outputs xlr 4 outputs stereo RCA plug plus the phatasma connector 48 volts for condenser microphones</v>
      </c>
    </row>
    <row r="123">
      <c r="A123" s="1">
        <v>5.0</v>
      </c>
      <c r="B123" s="1" t="s">
        <v>124</v>
      </c>
      <c r="C123" t="str">
        <f>IFERROR(__xludf.DUMMYFUNCTION("GOOGLETRANSLATE(B123, ""es"", ""en"")"),"positive complement. It is a perfect complement to the microphone, especially to greatly reduce street noises, focusing on the main tone of voice.")</f>
        <v>positive complement. It is a perfect complement to the microphone, especially to greatly reduce street noises, focusing on the main tone of voice.</v>
      </c>
    </row>
    <row r="124">
      <c r="A124" s="1">
        <v>5.0</v>
      </c>
      <c r="B124" s="1" t="s">
        <v>125</v>
      </c>
      <c r="C124" t="str">
        <f>IFERROR(__xludf.DUMMYFUNCTION("GOOGLETRANSLATE(B124, ""es"", ""en"")"),"Ok Ok")</f>
        <v>Ok Ok</v>
      </c>
    </row>
    <row r="125">
      <c r="A125" s="1">
        <v>5.0</v>
      </c>
      <c r="B125" s="1" t="s">
        <v>126</v>
      </c>
      <c r="C125" t="str">
        <f>IFERROR(__xludf.DUMMYFUNCTION("GOOGLETRANSLATE(B125, ""es"", ""en"")"),"Very comfortable. I recommend shipping the scheduled day. It's for my mother (83 years) with lots of osteoarthritis in hands. He said q is very comfortable. It is pleased with the forward closure. You will buy more")</f>
        <v>Very comfortable. I recommend shipping the scheduled day. It's for my mother (83 years) with lots of osteoarthritis in hands. He said q is very comfortable. It is pleased with the forward closure. You will buy more</v>
      </c>
    </row>
    <row r="126">
      <c r="A126" s="1">
        <v>5.0</v>
      </c>
      <c r="B126" s="1" t="s">
        <v>127</v>
      </c>
      <c r="C126" t="str">
        <f>IFERROR(__xludf.DUMMYFUNCTION("GOOGLETRANSLATE(B126, ""es"", ""en"")"),"Perfect finish functionality and very well compartmentalized money you straight ten")</f>
        <v>Perfect finish functionality and very well compartmentalized money you straight ten</v>
      </c>
    </row>
    <row r="127">
      <c r="A127" s="1">
        <v>5.0</v>
      </c>
      <c r="B127" s="1" t="s">
        <v>128</v>
      </c>
      <c r="C127" t="str">
        <f>IFERROR(__xludf.DUMMYFUNCTION("GOOGLETRANSLATE(B127, ""es"", ""en"")"),"So autonomous mode radio. Bluetooth headset with micro SD slot, hands-free Phone and FM radio without necesidas mobile connection ... the truth is that it offers a lot of things to a more than reasonable price. I bought them to give them to my father, alt"&amp;"hough I've used a few days before to see how they were and great. My father very contento..los buy because they carry radio and he likes listening to the radio when you go out to paint and did not want one that apretasen much or being introduced into the "&amp;"ear, he says that bother you ... these are coupled well and are subject above the ear and the back of the head / neck. To me acolan me well and my father who has the slightly larger head también..así I guess it will engage or to anyone. Just squeeze the e"&amp;"ar with what they are comfortable. As for sound quality, plenty far as atrial cuanquier hear decent. And the radio does not lose the signal, at least in the city where I live. The gift has liked a lot, so I happy with the purchase.")</f>
        <v>So autonomous mode radio. Bluetooth headset with micro SD slot, hands-free Phone and FM radio without necesidas mobile connection ... the truth is that it offers a lot of things to a more than reasonable price. I bought them to give them to my father, although I've used a few days before to see how they were and great. My father very contento..los buy because they carry radio and he likes listening to the radio when you go out to paint and did not want one that apretasen much or being introduced into the ear, he says that bother you ... these are coupled well and are subject above the ear and the back of the head / neck. To me acolan me well and my father who has the slightly larger head también..así I guess it will engage or to anyone. Just squeeze the ear with what they are comfortable. As for sound quality, plenty far as atrial cuanquier hear decent. And the radio does not lose the signal, at least in the city where I live. The gift has liked a lot, so I happy with the purchase.</v>
      </c>
    </row>
    <row r="128">
      <c r="A128" s="1">
        <v>5.0</v>
      </c>
      <c r="B128" s="1" t="s">
        <v>129</v>
      </c>
      <c r="C128" t="str">
        <f>IFERROR(__xludf.DUMMYFUNCTION("GOOGLETRANSLATE(B128, ""es"", ""en"")"),"super fast order and as I hoped you liked the speed and quality of sports")</f>
        <v>super fast order and as I hoped you liked the speed and quality of sports</v>
      </c>
    </row>
    <row r="129">
      <c r="A129" s="1">
        <v>5.0</v>
      </c>
      <c r="B129" s="1" t="s">
        <v>130</v>
      </c>
      <c r="C129" t="str">
        <f>IFERROR(__xludf.DUMMYFUNCTION("GOOGLETRANSLATE(B129, ""es"", ""en"")"),"Very practical and quality. I've had this same model in another house where he shared a room. In the move to my own I did not hesitate to buy one. It is quite large and with quality materials.")</f>
        <v>Very practical and quality. I've had this same model in another house where he shared a room. In the move to my own I did not hesitate to buy one. It is quite large and with quality materials.</v>
      </c>
    </row>
    <row r="130">
      <c r="A130" s="1">
        <v>5.0</v>
      </c>
      <c r="B130" s="1" t="s">
        <v>131</v>
      </c>
      <c r="C130" t="str">
        <f>IFERROR(__xludf.DUMMYFUNCTION("GOOGLETRANSLATE(B130, ""es"", ""en"")"),"I wanted a good command and control for presentations college and I can say I'm happy to use the least I'll meet him too well, one minute was connected and running. The pointer looks good day on the projector screen, all other functions that go well imagi"&amp;"ne also the detail of the battery included is appreciated.")</f>
        <v>I wanted a good command and control for presentations college and I can say I'm happy to use the least I'll meet him too well, one minute was connected and running. The pointer looks good day on the projector screen, all other functions that go well imagine also the detail of the battery included is appreciated.</v>
      </c>
    </row>
    <row r="131">
      <c r="A131" s="1">
        <v>5.0</v>
      </c>
      <c r="B131" s="1" t="s">
        <v>132</v>
      </c>
      <c r="C131" t="str">
        <f>IFERROR(__xludf.DUMMYFUNCTION("GOOGLETRANSLATE(B131, ""es"", ""en"")"),"Great from q q born is used, and never gave him or had colic gases. It's great!!")</f>
        <v>Great from q q born is used, and never gave him or had colic gases. It's great!!</v>
      </c>
    </row>
    <row r="132">
      <c r="A132" s="1">
        <v>5.0</v>
      </c>
      <c r="B132" s="1" t="s">
        <v>133</v>
      </c>
      <c r="C132" t="str">
        <f>IFERROR(__xludf.DUMMYFUNCTION("GOOGLETRANSLATE(B132, ""es"", ""en"")"),"year hard drive Very happy with this hard drive, we actually bought several like this, very fast both in writing and reading, considering it is a hard drive liquid.The good durability for now we'll see in a few years. If you have to buy a hard drive stora"&amp;"ge seek no other, this is perfect.")</f>
        <v>year hard drive Very happy with this hard drive, we actually bought several like this, very fast both in writing and reading, considering it is a hard drive liquid.The good durability for now we'll see in a few years. If you have to buy a hard drive storage seek no other, this is perfect.</v>
      </c>
    </row>
    <row r="133">
      <c r="A133" s="1">
        <v>2.0</v>
      </c>
      <c r="B133" s="1" t="s">
        <v>134</v>
      </c>
      <c r="C133" t="str">
        <f>IFERROR(__xludf.DUMMYFUNCTION("GOOGLETRANSLATE(B133, ""es"", ""en"")"),"Regular, low speed is a card depending for what use it will serve. Its speed recording and reading is slow for today's devices, the same mobile it warns, ditto with the recording from the computer, so if you need fast service, not your card. If you just w"&amp;"ant storage regardless of speed, then ok, good price for storage offering.")</f>
        <v>Regular, low speed is a card depending for what use it will serve. Its speed recording and reading is slow for today's devices, the same mobile it warns, ditto with the recording from the computer, so if you need fast service, not your card. If you just want storage regardless of speed, then ok, good price for storage offering.</v>
      </c>
    </row>
    <row r="134">
      <c r="A134" s="1">
        <v>3.0</v>
      </c>
      <c r="B134" s="1" t="s">
        <v>135</v>
      </c>
      <c r="C134" t="str">
        <f>IFERROR(__xludf.DUMMYFUNCTION("GOOGLETRANSLATE(B134, ""es"", ""en"")"),"Ideal I bought to try my little cogia not any bottle and this is going great.")</f>
        <v>Ideal I bought to try my little cogia not any bottle and this is going great.</v>
      </c>
    </row>
    <row r="135">
      <c r="A135" s="1">
        <v>3.0</v>
      </c>
      <c r="B135" s="1" t="s">
        <v>136</v>
      </c>
      <c r="C135" t="str">
        <f>IFERROR(__xludf.DUMMYFUNCTION("GOOGLETRANSLATE(B135, ""es"", ""en"")"),"As seen in the picture is good")</f>
        <v>As seen in the picture is good</v>
      </c>
    </row>
    <row r="136">
      <c r="A136" s="1">
        <v>1.0</v>
      </c>
      <c r="B136" s="1" t="s">
        <v>137</v>
      </c>
      <c r="C136" t="str">
        <f>IFERROR(__xludf.DUMMYFUNCTION("GOOGLETRANSLATE(B136, ""es"", ""en"")"),"worthless. interference only heard, I've tried all channels and at different sound levels. I will return.")</f>
        <v>worthless. interference only heard, I've tried all channels and at different sound levels. I will return.</v>
      </c>
    </row>
    <row r="137">
      <c r="A137" s="1">
        <v>4.0</v>
      </c>
      <c r="B137" s="1" t="s">
        <v>138</v>
      </c>
      <c r="C137" t="str">
        <f>IFERROR(__xludf.DUMMYFUNCTION("GOOGLETRANSLATE(B137, ""es"", ""en"")"),"Good quality I like to have many departments and several zippered, no I especially like the color. The intended use is to store the value we bring to the beach, for walks ...")</f>
        <v>Good quality I like to have many departments and several zippered, no I especially like the color. The intended use is to store the value we bring to the beach, for walks ...</v>
      </c>
    </row>
    <row r="138">
      <c r="A138" s="1">
        <v>4.0</v>
      </c>
      <c r="B138" s="1" t="s">
        <v>139</v>
      </c>
      <c r="C138" t="str">
        <f>IFERROR(__xludf.DUMMYFUNCTION("GOOGLETRANSLATE(B138, ""es"", ""en"")"),"Ok soap sparse but well")</f>
        <v>Ok soap sparse but well</v>
      </c>
    </row>
    <row r="139">
      <c r="A139" s="1">
        <v>4.0</v>
      </c>
      <c r="B139" s="1" t="s">
        <v>140</v>
      </c>
      <c r="C139" t="str">
        <f>IFERROR(__xludf.DUMMYFUNCTION("GOOGLETRANSLATE(B139, ""es"", ""en"")"),"It's okay! It is comfortable, although I had requested a full size.")</f>
        <v>It's okay! It is comfortable, although I had requested a full size.</v>
      </c>
    </row>
    <row r="140">
      <c r="A140" s="1">
        <v>4.0</v>
      </c>
      <c r="B140" s="1" t="s">
        <v>141</v>
      </c>
      <c r="C140" t="str">
        <f>IFERROR(__xludf.DUMMYFUNCTION("GOOGLETRANSLATE(B140, ""es"", ""en"")"),"Light and comfortable Ja had some of the same brand but with cords, so they dare to buy without. Are very light and comfortable and has a slightly glossy effect that give elegance and even a touch of zapado dress. Very happy with them ...")</f>
        <v>Light and comfortable Ja had some of the same brand but with cords, so they dare to buy without. Are very light and comfortable and has a slightly glossy effect that give elegance and even a touch of zapado dress. Very happy with them ...</v>
      </c>
    </row>
    <row r="141">
      <c r="A141" s="1">
        <v>4.0</v>
      </c>
      <c r="B141" s="1" t="s">
        <v>142</v>
      </c>
      <c r="C141" t="str">
        <f>IFERROR(__xludf.DUMMYFUNCTION("GOOGLETRANSLATE(B141, ""es"", ""en"")"),"Convenient and comfortable, simple and comfortable, not having to carry weight in his pockets. Very handy for summer, you can even wash ..")</f>
        <v>Convenient and comfortable, simple and comfortable, not having to carry weight in his pockets. Very handy for summer, you can even wash ..</v>
      </c>
    </row>
    <row r="142">
      <c r="A142" s="1">
        <v>5.0</v>
      </c>
      <c r="B142" s="1" t="s">
        <v>143</v>
      </c>
      <c r="C142" t="str">
        <f>IFERROR(__xludf.DUMMYFUNCTION("GOOGLETRANSLATE(B142, ""es"", ""en"")"),"High quality and very good sound headphones good quality and sound. They come with a hard case to protect and easily connect via Bluetooth. I use them for work for many hours and the battery holds very well. A wise buying this product")</f>
        <v>High quality and very good sound headphones good quality and sound. They come with a hard case to protect and easily connect via Bluetooth. I use them for work for many hours and the battery holds very well. A wise buying this product</v>
      </c>
    </row>
    <row r="143">
      <c r="A143" s="1">
        <v>5.0</v>
      </c>
      <c r="B143" s="1" t="s">
        <v>144</v>
      </c>
      <c r="C143" t="str">
        <f>IFERROR(__xludf.DUMMYFUNCTION("GOOGLETRANSLATE(B143, ""es"", ""en"")"),"Class 10 in all ... We found a SD Card + Adapter ""Class 10"" in all its aspects. Read rates and high writing that eliminate any delay making use of it. Accompanies the price certainly since we took a master purchase price difficult to find on market. Aft"&amp;"er months of use in a redmi Xiaomi Note 2, its performance is at the level of the first day, being able to enjoy any multimedia content without any problem or delay. Recomendadísima buy any electronic equipment that you need these small memory cards.")</f>
        <v>Class 10 in all ... We found a SD Card + Adapter "Class 10" in all its aspects. Read rates and high writing that eliminate any delay making use of it. Accompanies the price certainly since we took a master purchase price difficult to find on market. After months of use in a redmi Xiaomi Note 2, its performance is at the level of the first day, being able to enjoy any multimedia content without any problem or delay. Recomendadísima buy any electronic equipment that you need these small memory cards.</v>
      </c>
    </row>
    <row r="144">
      <c r="A144" s="1">
        <v>5.0</v>
      </c>
      <c r="B144" s="1" t="s">
        <v>145</v>
      </c>
      <c r="C144" t="str">
        <f>IFERROR(__xludf.DUMMYFUNCTION("GOOGLETRANSLATE(B144, ""es"", ""en"")"),"As expected Very good product")</f>
        <v>As expected Very good product</v>
      </c>
    </row>
    <row r="145">
      <c r="A145" s="1">
        <v>5.0</v>
      </c>
      <c r="B145" s="1" t="s">
        <v>146</v>
      </c>
      <c r="C145" t="str">
        <f>IFERROR(__xludf.DUMMYFUNCTION("GOOGLETRANSLATE(B145, ""es"", ""en"")"),"Great for milkshakes I love it, I use it for fruit smoothies and chop ice without problem. Fá yl use and clean. It is not silent.")</f>
        <v>Great for milkshakes I love it, I use it for fruit smoothies and chop ice without problem. Fá yl use and clean. It is not silent.</v>
      </c>
    </row>
    <row r="146">
      <c r="A146" s="1">
        <v>5.0</v>
      </c>
      <c r="B146" s="1" t="s">
        <v>147</v>
      </c>
      <c r="C146" t="str">
        <f>IFERROR(__xludf.DUMMYFUNCTION("GOOGLETRANSLATE(B146, ""es"", ""en"")"),"All perfect perfect all")</f>
        <v>All perfect perfect all</v>
      </c>
    </row>
    <row r="147">
      <c r="A147" s="1">
        <v>5.0</v>
      </c>
      <c r="B147" s="1" t="s">
        <v>148</v>
      </c>
      <c r="C147" t="str">
        <f>IFERROR(__xludf.DUMMYFUNCTION("GOOGLETRANSLATE(B147, ""es"", ""en"")"),"Satisfied with my purchase it is as expected. I like the way it is. It is true that the sound principle, but as ulitizando will stop making that noise. I liked it a lot.")</f>
        <v>Satisfied with my purchase it is as expected. I like the way it is. It is true that the sound principle, but as ulitizando will stop making that noise. I liked it a lot.</v>
      </c>
    </row>
    <row r="148">
      <c r="A148" s="1">
        <v>5.0</v>
      </c>
      <c r="B148" s="1" t="s">
        <v>149</v>
      </c>
      <c r="C148" t="str">
        <f>IFERROR(__xludf.DUMMYFUNCTION("GOOGLETRANSLATE(B148, ""es"", ""en"")"),"Product and attention to the customer I bought these headphones last Amazon Prime Day and I was using for about two months, very happy with them very well put up with the sport and chewing (the got really tested). I fell a few times not to place the good "&amp;"of all, but smooth and perfect. The sound quality is good thanks to a cancellation of noise made involuntarily. I've tested the microphone and it sounds pretty good, for that price well worth it. Have touch controls many functions: Stop and play music, go"&amp;" back and music / video, voice assistant, answer calls, end calls and not if I leave something else. (You can not go up and down volume). The cash basis given for several hours and not have to worry much battery. The right headset can function independent"&amp;"ly, but the left dependent on the right. And in design they are nice and do not take up much space, fit in a pocket to spare. The cargo box is inmantada, although probably more than once have to give the finger to get caught while the load. I had a proble"&amp;"m with them, within two months of estarlos using the left soundpeat stopped ringing (sound only), and eventually I was the same with the right. For read luck in one of the roles of the box is 21 months warranty and contact customer service, who understood"&amp;" my probablema offered me refund or sending other headphones. Though you've had a problem with the headphones remain quite satisfied with the product, (although they stop working), and especially with the treatment received by the company, which was quite"&amp;" sympathetic. Cheers")</f>
        <v>Product and attention to the customer I bought these headphones last Amazon Prime Day and I was using for about two months, very happy with them very well put up with the sport and chewing (the got really tested). I fell a few times not to place the good of all, but smooth and perfect. The sound quality is good thanks to a cancellation of noise made involuntarily. I've tested the microphone and it sounds pretty good, for that price well worth it. Have touch controls many functions: Stop and play music, go back and music / video, voice assistant, answer calls, end calls and not if I leave something else. (You can not go up and down volume). The cash basis given for several hours and not have to worry much battery. The right headset can function independently, but the left dependent on the right. And in design they are nice and do not take up much space, fit in a pocket to spare. The cargo box is inmantada, although probably more than once have to give the finger to get caught while the load. I had a problem with them, within two months of estarlos using the left soundpeat stopped ringing (sound only), and eventually I was the same with the right. For read luck in one of the roles of the box is 21 months warranty and contact customer service, who understood my probablema offered me refund or sending other headphones. Though you've had a problem with the headphones remain quite satisfied with the product, (although they stop working), and especially with the treatment received by the company, which was quite sympathetic. Cheers</v>
      </c>
    </row>
    <row r="149">
      <c r="A149" s="1">
        <v>5.0</v>
      </c>
      <c r="B149" s="1" t="s">
        <v>150</v>
      </c>
      <c r="C149" t="str">
        <f>IFERROR(__xludf.DUMMYFUNCTION("GOOGLETRANSLATE(B149, ""es"", ""en"")"),"Exclente clock was looking for a watch of a brand that has prestige and what better casio, watch the meets my expectations a nice design, SOBER, is not heavy, recommended")</f>
        <v>Exclente clock was looking for a watch of a brand that has prestige and what better casio, watch the meets my expectations a nice design, SOBER, is not heavy, recommended</v>
      </c>
    </row>
    <row r="150">
      <c r="A150" s="1">
        <v>5.0</v>
      </c>
      <c r="B150" s="1" t="s">
        <v>151</v>
      </c>
      <c r="C150" t="str">
        <f>IFERROR(__xludf.DUMMYFUNCTION("GOOGLETRANSLATE(B150, ""es"", ""en"")"),"Good watch. Good watch. Good Quality Materials case in fact need to buckle metal belt is otherwise well. There is a heavy or too bulky watch.")</f>
        <v>Good watch. Good watch. Good Quality Materials case in fact need to buckle metal belt is otherwise well. There is a heavy or too bulky watch.</v>
      </c>
    </row>
    <row r="151">
      <c r="A151" s="1">
        <v>5.0</v>
      </c>
      <c r="B151" s="1" t="s">
        <v>152</v>
      </c>
      <c r="C151" t="str">
        <f>IFERROR(__xludf.DUMMYFUNCTION("GOOGLETRANSLATE(B151, ""es"", ""en"")"),"Beautiful and powerful very satisfied. At the moment I'm happy with everything I do. perfect texture.")</f>
        <v>Beautiful and powerful very satisfied. At the moment I'm happy with everything I do. perfect texture.</v>
      </c>
    </row>
    <row r="152">
      <c r="A152" s="1">
        <v>5.0</v>
      </c>
      <c r="B152" s="1" t="s">
        <v>153</v>
      </c>
      <c r="C152" t="str">
        <f>IFERROR(__xludf.DUMMYFUNCTION("GOOGLETRANSLATE(B152, ""es"", ""en"")"),"Good pretty and cheap. Very pretty")</f>
        <v>Good pretty and cheap. Very pretty</v>
      </c>
    </row>
    <row r="153">
      <c r="A153" s="1">
        <v>5.0</v>
      </c>
      <c r="B153" s="1" t="s">
        <v>154</v>
      </c>
      <c r="C153" t="str">
        <f>IFERROR(__xludf.DUMMYFUNCTION("GOOGLETRANSLATE(B153, ""es"", ""en"")"),"The perfect size and quality is perfect to size I use l and not to seek or bigger or smaller just your size fabric is of high quality and we totalmenten colors correspond delighted with the mark")</f>
        <v>The perfect size and quality is perfect to size I use l and not to seek or bigger or smaller just your size fabric is of high quality and we totalmenten colors correspond delighted with the mark</v>
      </c>
    </row>
    <row r="154">
      <c r="A154" s="1">
        <v>5.0</v>
      </c>
      <c r="B154" s="1" t="s">
        <v>155</v>
      </c>
      <c r="C154" t="str">
        <f>IFERROR(__xludf.DUMMYFUNCTION("GOOGLETRANSLATE(B154, ""es"", ""en"")"),"The most important thing is that it does no ruido.A I love the colors and also works great for small spaces, small is perfect, it makes no noise and the lights are todas.Osea had in two words, is perfect")</f>
        <v>The most important thing is that it does no ruido.A I love the colors and also works great for small spaces, small is perfect, it makes no noise and the lights are todas.Osea had in two words, is perfect</v>
      </c>
    </row>
    <row r="155">
      <c r="A155" s="1">
        <v>5.0</v>
      </c>
      <c r="B155" s="1" t="s">
        <v>156</v>
      </c>
      <c r="C155" t="str">
        <f>IFERROR(__xludf.DUMMYFUNCTION("GOOGLETRANSLATE(B155, ""es"", ""en"")"),"Very good came from another Bapi, the 850W that spoiled after a long trot. I chose the same brand and I was right. In addition they have become more powerful and more compact. The only downside is that the connection of some accessories (arm or adapter fo"&amp;"r mincing or Barillas) has changed and I could not reuse all")</f>
        <v>Very good came from another Bapi, the 850W that spoiled after a long trot. I chose the same brand and I was right. In addition they have become more powerful and more compact. The only downside is that the connection of some accessories (arm or adapter for mincing or Barillas) has changed and I could not reuse all</v>
      </c>
    </row>
    <row r="156">
      <c r="A156" s="1">
        <v>5.0</v>
      </c>
      <c r="B156" s="1" t="s">
        <v>157</v>
      </c>
      <c r="C156" t="str">
        <f>IFERROR(__xludf.DUMMYFUNCTION("GOOGLETRANSLATE(B156, ""es"", ""en"")"),"Would buy it is easy to use, not loud and beautiful to decorate and give. A practical gift. Haunted")</f>
        <v>Would buy it is easy to use, not loud and beautiful to decorate and give. A practical gift. Haunted</v>
      </c>
    </row>
    <row r="157">
      <c r="A157" s="1">
        <v>5.0</v>
      </c>
      <c r="B157" s="1" t="s">
        <v>158</v>
      </c>
      <c r="C157" t="str">
        <f>IFERROR(__xludf.DUMMYFUNCTION("GOOGLETRANSLATE(B157, ""es"", ""en"")"),"correct and good price Shipping For my size, best price on the market by far. They are the toughest water of all I've tried. And acabdo quality of materials is very good")</f>
        <v>correct and good price Shipping For my size, best price on the market by far. They are the toughest water of all I've tried. And acabdo quality of materials is very good</v>
      </c>
    </row>
    <row r="158">
      <c r="A158" s="1">
        <v>5.0</v>
      </c>
      <c r="B158" s="1" t="s">
        <v>159</v>
      </c>
      <c r="C158" t="str">
        <f>IFERROR(__xludf.DUMMYFUNCTION("GOOGLETRANSLATE(B158, ""es"", ""en"")"),"Very comfortable I love beautiful love me like a jousting tad size")</f>
        <v>Very comfortable I love beautiful love me like a jousting tad size</v>
      </c>
    </row>
    <row r="159">
      <c r="A159" s="1">
        <v>5.0</v>
      </c>
      <c r="B159" s="1" t="s">
        <v>160</v>
      </c>
      <c r="C159" t="str">
        <f>IFERROR(__xludf.DUMMYFUNCTION("GOOGLETRANSLATE(B159, ""es"", ""en"")"),"Good cable I use it daily along with a Focusrite Scarlett 2i4 and a microphone akg p120 and perfect truth without interference and good anchorage, not dance anything. construction looks good for its price. Thoroughly recommended.")</f>
        <v>Good cable I use it daily along with a Focusrite Scarlett 2i4 and a microphone akg p120 and perfect truth without interference and good anchorage, not dance anything. construction looks good for its price. Thoroughly recommended.</v>
      </c>
    </row>
    <row r="160">
      <c r="A160" s="1">
        <v>5.0</v>
      </c>
      <c r="B160" s="1" t="s">
        <v>161</v>
      </c>
      <c r="C160" t="str">
        <f>IFERROR(__xludf.DUMMYFUNCTION("GOOGLETRANSLATE(B160, ""es"", ""en"")"),"Feel the power in your hands to be a vacuum sucks battery like a cable. It is true that the battery life of ""up to 60min"" is with the suction speed 1 but for now I have not seen the need to go up to 2 or to the turbo. I recommend it")</f>
        <v>Feel the power in your hands to be a vacuum sucks battery like a cable. It is true that the battery life of "up to 60min" is with the suction speed 1 but for now I have not seen the need to go up to 2 or to the turbo. I recommend it</v>
      </c>
    </row>
    <row r="161">
      <c r="A161" s="1">
        <v>2.0</v>
      </c>
      <c r="B161" s="1" t="s">
        <v>162</v>
      </c>
      <c r="C161" t="str">
        <f>IFERROR(__xludf.DUMMYFUNCTION("GOOGLETRANSLATE(B161, ""es"", ""en"")"),"Sea Very fine. His appearance is not pleasant. I do not like. It is very thin and looks like a transparent rope. I do not recommend it.")</f>
        <v>Sea Very fine. His appearance is not pleasant. I do not like. It is very thin and looks like a transparent rope. I do not recommend it.</v>
      </c>
    </row>
    <row r="162">
      <c r="A162" s="1">
        <v>3.0</v>
      </c>
      <c r="B162" s="1" t="s">
        <v>163</v>
      </c>
      <c r="C162" t="str">
        <f>IFERROR(__xludf.DUMMYFUNCTION("GOOGLETRANSLATE(B162, ""es"", ""en"")"),"I ... is not leather, but are either not leather are as follows, and others do not seem resistant ... that if you are very comfortable to put on and remove and leather not being fit faster.")</f>
        <v>I ... is not leather, but are either not leather are as follows, and others do not seem resistant ... that if you are very comfortable to put on and remove and leather not being fit faster.</v>
      </c>
    </row>
    <row r="163">
      <c r="A163" s="1">
        <v>1.0</v>
      </c>
      <c r="B163" s="1" t="s">
        <v>164</v>
      </c>
      <c r="C163" t="str">
        <f>IFERROR(__xludf.DUMMYFUNCTION("GOOGLETRANSLATE(B163, ""es"", ""en"")"),"Alberto Discontent, biene in a case that does not match, this being broken so they can enter the square and bevel and the latter is damaged at one end, which is not surprising to the loose coming in a broken plastic.")</f>
        <v>Alberto Discontent, biene in a case that does not match, this being broken so they can enter the square and bevel and the latter is damaged at one end, which is not surprising to the loose coming in a broken plastic.</v>
      </c>
    </row>
    <row r="164">
      <c r="A164" s="1">
        <v>1.0</v>
      </c>
      <c r="B164" s="1" t="s">
        <v>165</v>
      </c>
      <c r="C164" t="str">
        <f>IFERROR(__xludf.DUMMYFUNCTION("GOOGLETRANSLATE(B164, ""es"", ""en"")"),"It not for locking up the pen drive is of very poor quality, not able to pass without blocking 200MB or interrupted, very low")</f>
        <v>It not for locking up the pen drive is of very poor quality, not able to pass without blocking 200MB or interrupted, very low</v>
      </c>
    </row>
    <row r="165">
      <c r="A165" s="1">
        <v>1.0</v>
      </c>
      <c r="B165" s="1" t="s">
        <v>166</v>
      </c>
      <c r="C165" t="str">
        <f>IFERROR(__xludf.DUMMYFUNCTION("GOOGLETRANSLATE(B165, ""es"", ""en"")"),"Javier deceived Ni for papers steps, I did not wet it after reading comments from other buyers, but the second day off, you replace the battery that is worth the watch, and not walk Enjoy it and spend it on antacid")</f>
        <v>Javier deceived Ni for papers steps, I did not wet it after reading comments from other buyers, but the second day off, you replace the battery that is worth the watch, and not walk Enjoy it and spend it on antacid</v>
      </c>
    </row>
    <row r="166">
      <c r="A166" s="1">
        <v>4.0</v>
      </c>
      <c r="B166" s="1" t="s">
        <v>167</v>
      </c>
      <c r="C166" t="str">
        <f>IFERROR(__xludf.DUMMYFUNCTION("GOOGLETRANSLATE(B166, ""es"", ""en"")"),"Blender always on hand, very últil and easy to clean. I like for comfort in use, occupy little space and easy cleaning. Smoothies out great.")</f>
        <v>Blender always on hand, very últil and easy to clean. I like for comfort in use, occupy little space and easy cleaning. Smoothies out great.</v>
      </c>
    </row>
    <row r="167">
      <c r="A167" s="1">
        <v>4.0</v>
      </c>
      <c r="B167" s="1" t="s">
        <v>168</v>
      </c>
      <c r="C167" t="str">
        <f>IFERROR(__xludf.DUMMYFUNCTION("GOOGLETRANSLATE(B167, ""es"", ""en"")"),"Good Stapler good value for money")</f>
        <v>Good Stapler good value for money</v>
      </c>
    </row>
    <row r="168">
      <c r="A168" s="1">
        <v>4.0</v>
      </c>
      <c r="B168" s="1" t="s">
        <v>169</v>
      </c>
      <c r="C168" t="str">
        <f>IFERROR(__xludf.DUMMYFUNCTION("GOOGLETRANSLATE(B168, ""es"", ""en"")"),"_The Manufacturer love we send a cart, a bucket, a broom, a mop and dustpan. _Conclusiones: A cleaning kit is logically one toy, but at first glance gives the trick. From here everything is already critical. The collector does not hold standing, mop has s"&amp;"ix flaps (literally), brush / broom is stiff bristle that in what may be some drag / sweep :-) and bucket with wringer built is the only thing I see "" good"". The car is plastic, so do not expect anything from the other world, they are all plastic utensi"&amp;"ls, which no longer toy. They could have a little more careful at the ends of the product. _Pros: Nothing noteworthy. _Contras: Mop could ""improve"". All plastic. Saludos By Flype")</f>
        <v>_The Manufacturer love we send a cart, a bucket, a broom, a mop and dustpan. _Conclusiones: A cleaning kit is logically one toy, but at first glance gives the trick. From here everything is already critical. The collector does not hold standing, mop has six flaps (literally), brush / broom is stiff bristle that in what may be some drag / sweep :-) and bucket with wringer built is the only thing I see " good". The car is plastic, so do not expect anything from the other world, they are all plastic utensils, which no longer toy. They could have a little more careful at the ends of the product. _Pros: Nothing noteworthy. _Contras: Mop could "improve". All plastic. Saludos By Flype</v>
      </c>
    </row>
    <row r="169">
      <c r="A169" s="1">
        <v>4.0</v>
      </c>
      <c r="B169" s="1" t="s">
        <v>170</v>
      </c>
      <c r="C169" t="str">
        <f>IFERROR(__xludf.DUMMYFUNCTION("GOOGLETRANSLATE(B169, ""es"", ""en"")"),"While it has come sooner than expected. Quite consistent with photo")</f>
        <v>While it has come sooner than expected. Quite consistent with photo</v>
      </c>
    </row>
    <row r="170">
      <c r="A170" s="1">
        <v>4.0</v>
      </c>
      <c r="B170" s="1" t="s">
        <v>171</v>
      </c>
      <c r="C170" t="str">
        <f>IFERROR(__xludf.DUMMYFUNCTION("GOOGLETRANSLATE(B170, ""es"", ""en"")"),"Comfortable but without laces Overall good. It is perhaps the most comfortable shoe brand. I do not give 5 stars because it has no laces. Those seen in the photo are ornamental, but you can not buckle, so the foot is something loose")</f>
        <v>Comfortable but without laces Overall good. It is perhaps the most comfortable shoe brand. I do not give 5 stars because it has no laces. Those seen in the photo are ornamental, but you can not buckle, so the foot is something loose</v>
      </c>
    </row>
    <row r="171">
      <c r="A171" s="1">
        <v>5.0</v>
      </c>
      <c r="B171" s="1" t="s">
        <v>172</v>
      </c>
      <c r="C171" t="str">
        <f>IFERROR(__xludf.DUMMYFUNCTION("GOOGLETRANSLATE(B171, ""es"", ""en"")"),"Perfect Perfect! Super nice and very retro design. the truth is q I love and always use ground. The only bad thing I encounter is q q no light")</f>
        <v>Perfect Perfect! Super nice and very retro design. the truth is q I love and always use ground. The only bad thing I encounter is q q no light</v>
      </c>
    </row>
    <row r="172">
      <c r="A172" s="1">
        <v>5.0</v>
      </c>
      <c r="B172" s="1" t="s">
        <v>173</v>
      </c>
      <c r="C172" t="str">
        <f>IFERROR(__xludf.DUMMYFUNCTION("GOOGLETRANSLATE(B172, ""es"", ""en"")"),"It is good purchase lime in the bass part, but it is normal to the heating water at that temperature. Very good price.")</f>
        <v>It is good purchase lime in the bass part, but it is normal to the heating water at that temperature. Very good price.</v>
      </c>
    </row>
    <row r="173">
      <c r="A173" s="1">
        <v>5.0</v>
      </c>
      <c r="B173" s="1" t="s">
        <v>174</v>
      </c>
      <c r="C173" t="str">
        <f>IFERROR(__xludf.DUMMYFUNCTION("GOOGLETRANSLATE(B173, ""es"", ""en"")"),"comfortable and soft very soft and comfortable material. nice design. It fits perfectly.")</f>
        <v>comfortable and soft very soft and comfortable material. nice design. It fits perfectly.</v>
      </c>
    </row>
    <row r="174">
      <c r="A174" s="1">
        <v>5.0</v>
      </c>
      <c r="B174" s="1" t="s">
        <v>175</v>
      </c>
      <c r="C174" t="str">
        <f>IFERROR(__xludf.DUMMYFUNCTION("GOOGLETRANSLATE(B174, ""es"", ""en"")"),"The cap classic metallic plastic but I chose these plugs that they should play with chrome rims and I am satisfied with the choice. They fit perfectly and resemble classical plastic plugs but chrome metal. They have a set price and arrived in just 11 days"&amp;".")</f>
        <v>The cap classic metallic plastic but I chose these plugs that they should play with chrome rims and I am satisfied with the choice. They fit perfectly and resemble classical plastic plugs but chrome metal. They have a set price and arrived in just 11 days.</v>
      </c>
    </row>
    <row r="175">
      <c r="A175" s="1">
        <v>5.0</v>
      </c>
      <c r="B175" s="1" t="s">
        <v>176</v>
      </c>
      <c r="C175" t="str">
        <f>IFERROR(__xludf.DUMMYFUNCTION("GOOGLETRANSLATE(B175, ""es"", ""en"")"),"Beyer gives you what you want after time looking for a headset that were good and not fire my budget, no doubt these have been a very good choice and really listen to maravilla.Se I advise anyone because they are not going to disappoint, in material quali"&amp;"ty and especially sound.")</f>
        <v>Beyer gives you what you want after time looking for a headset that were good and not fire my budget, no doubt these have been a very good choice and really listen to maravilla.Se I advise anyone because they are not going to disappoint, in material quality and especially sound.</v>
      </c>
    </row>
    <row r="176">
      <c r="A176" s="1">
        <v>5.0</v>
      </c>
      <c r="B176" s="1" t="s">
        <v>177</v>
      </c>
      <c r="C176" t="str">
        <f>IFERROR(__xludf.DUMMYFUNCTION("GOOGLETRANSLATE(B176, ""es"", ""en"")"),"Very satisfied with purchase We use it daily and several times ... we are a big fan of infusions. It seems a highly recommendable product !!!")</f>
        <v>Very satisfied with purchase We use it daily and several times ... we are a big fan of infusions. It seems a highly recommendable product !!!</v>
      </c>
    </row>
    <row r="177">
      <c r="A177" s="1">
        <v>5.0</v>
      </c>
      <c r="B177" s="1" t="s">
        <v>178</v>
      </c>
      <c r="C177" t="str">
        <f>IFERROR(__xludf.DUMMYFUNCTION("GOOGLETRANSLATE(B177, ""es"", ""en"")"),"Normal price mixer at incredible thought the price would be a mixer for very little use, but it works very well, not much hotter than any other, and I use it for all kinds of meals. Too bad you can not remove the arm, but the engine is not spoiled by him "&amp;"between some water to the scrub.")</f>
        <v>Normal price mixer at incredible thought the price would be a mixer for very little use, but it works very well, not much hotter than any other, and I use it for all kinds of meals. Too bad you can not remove the arm, but the engine is not spoiled by him between some water to the scrub.</v>
      </c>
    </row>
    <row r="178">
      <c r="A178" s="1">
        <v>5.0</v>
      </c>
      <c r="B178" s="1" t="s">
        <v>179</v>
      </c>
      <c r="C178" t="str">
        <f>IFERROR(__xludf.DUMMYFUNCTION("GOOGLETRANSLATE(B178, ""es"", ""en"")"),"Ycomodo elegant watch very comfortable, fits belt perfeca and has good touch. buttons work very well. In a very classy person watch looks with black and rojo.Recomiendo")</f>
        <v>Ycomodo elegant watch very comfortable, fits belt perfeca and has good touch. buttons work very well. In a very classy person watch looks with black and rojo.Recomiendo</v>
      </c>
    </row>
    <row r="179">
      <c r="A179" s="1">
        <v>5.0</v>
      </c>
      <c r="B179" s="1" t="s">
        <v>180</v>
      </c>
      <c r="C179" t="str">
        <f>IFERROR(__xludf.DUMMYFUNCTION("GOOGLETRANSLATE(B179, ""es"", ""en"")"),"Wireless Headphones Super comfortable and lightweight. The battery lasts long enough and the housing gives to three loads. Very good quality sound. The use in the gym, running for the dead times on the way to work .... very happy with the purchase.")</f>
        <v>Wireless Headphones Super comfortable and lightweight. The battery lasts long enough and the housing gives to three loads. Very good quality sound. The use in the gym, running for the dead times on the way to work .... very happy with the purchase.</v>
      </c>
    </row>
    <row r="180">
      <c r="A180" s="1">
        <v>5.0</v>
      </c>
      <c r="B180" s="1" t="s">
        <v>181</v>
      </c>
      <c r="C180" t="str">
        <f>IFERROR(__xludf.DUMMYFUNCTION("GOOGLETRANSLATE(B180, ""es"", ""en"")"),"beautiful and elegant nice, I get very fast,")</f>
        <v>beautiful and elegant nice, I get very fast,</v>
      </c>
    </row>
    <row r="181">
      <c r="A181" s="1">
        <v>5.0</v>
      </c>
      <c r="B181" s="1" t="s">
        <v>182</v>
      </c>
      <c r="C181" t="str">
        <f>IFERROR(__xludf.DUMMYFUNCTION("GOOGLETRANSLATE(B181, ""es"", ""en"")"),"Standard quality product smoothly Well")</f>
        <v>Standard quality product smoothly Well</v>
      </c>
    </row>
    <row r="182">
      <c r="A182" s="1">
        <v>5.0</v>
      </c>
      <c r="B182" s="1" t="s">
        <v>183</v>
      </c>
      <c r="C182" t="str">
        <f>IFERROR(__xludf.DUMMYFUNCTION("GOOGLETRANSLATE(B182, ""es"", ""en"")"),"Inna is perfect since you've had all winter, grabs the entire bed. perfect temperature. I recommend it 100%.")</f>
        <v>Inna is perfect since you've had all winter, grabs the entire bed. perfect temperature. I recommend it 100%.</v>
      </c>
    </row>
    <row r="183">
      <c r="A183" s="1">
        <v>5.0</v>
      </c>
      <c r="B183" s="1" t="s">
        <v>184</v>
      </c>
      <c r="C183" t="str">
        <f>IFERROR(__xludf.DUMMYFUNCTION("GOOGLETRANSLATE(B183, ""es"", ""en"")"),"As is the description Slippers comfortable and sturdy shoes despite being low. Leather Interior to consider for summer temperatures.")</f>
        <v>As is the description Slippers comfortable and sturdy shoes despite being low. Leather Interior to consider for summer temperatures.</v>
      </c>
    </row>
    <row r="184">
      <c r="A184" s="1">
        <v>5.0</v>
      </c>
      <c r="B184" s="1" t="s">
        <v>185</v>
      </c>
      <c r="C184" t="str">
        <f>IFERROR(__xludf.DUMMYFUNCTION("GOOGLETRANSLATE(B184, ""es"", ""en"")"),"Subject and is comfortable once since. The color is different and striking. It is placed over the head, and having chest is not as comfortable to put it on, adding that there are the rings which makes it a bit difficult but for me it is not as cumbersome "&amp;"as not advise him or not give a good score. And the size coincides with normally use.")</f>
        <v>Subject and is comfortable once since. The color is different and striking. It is placed over the head, and having chest is not as comfortable to put it on, adding that there are the rings which makes it a bit difficult but for me it is not as cumbersome as not advise him or not give a good score. And the size coincides with normally use.</v>
      </c>
    </row>
    <row r="185">
      <c r="A185" s="1">
        <v>5.0</v>
      </c>
      <c r="B185" s="1" t="s">
        <v>186</v>
      </c>
      <c r="C185" t="str">
        <f>IFERROR(__xludf.DUMMYFUNCTION("GOOGLETRANSLATE(B185, ""es"", ""en"")"),"Clean well. He looked bigger one, but this perfectly clean and the shower is no limescale.")</f>
        <v>Clean well. He looked bigger one, but this perfectly clean and the shower is no limescale.</v>
      </c>
    </row>
    <row r="186">
      <c r="A186" s="1">
        <v>5.0</v>
      </c>
      <c r="B186" s="1" t="s">
        <v>187</v>
      </c>
      <c r="C186" t="str">
        <f>IFERROR(__xludf.DUMMYFUNCTION("GOOGLETRANSLATE(B186, ""es"", ""en"")"),"Excellent shoes I bought for my husband who has dificultat to put on ... are super comfortable, wide toe and easy to poner.Llegaron before the scheduled date, 100% recommend")</f>
        <v>Excellent shoes I bought for my husband who has dificultat to put on ... are super comfortable, wide toe and easy to poner.Llegaron before the scheduled date, 100% recommend</v>
      </c>
    </row>
    <row r="187">
      <c r="A187" s="1">
        <v>5.0</v>
      </c>
      <c r="B187" s="1" t="s">
        <v>188</v>
      </c>
      <c r="C187" t="str">
        <f>IFERROR(__xludf.DUMMYFUNCTION("GOOGLETRANSLATE(B187, ""es"", ""en"")"),"Very comfortable comfortable. They are not heavy so it is an ideal for everyday footwear.")</f>
        <v>Very comfortable comfortable. They are not heavy so it is an ideal for everyday footwear.</v>
      </c>
    </row>
    <row r="188">
      <c r="A188" s="1">
        <v>5.0</v>
      </c>
      <c r="B188" s="1" t="s">
        <v>189</v>
      </c>
      <c r="C188" t="str">
        <f>IFERROR(__xludf.DUMMYFUNCTION("GOOGLETRANSLATE(B188, ""es"", ""en"")"),"flawless article submission corresponds to the photograph of the seller, good presence and good material. Fulfills its mission to bring bag in the chest with enough space to store items. Delivery date as promised.")</f>
        <v>flawless article submission corresponds to the photograph of the seller, good presence and good material. Fulfills its mission to bring bag in the chest with enough space to store items. Delivery date as promised.</v>
      </c>
    </row>
    <row r="189">
      <c r="A189" s="1">
        <v>2.0</v>
      </c>
      <c r="B189" s="1" t="s">
        <v>190</v>
      </c>
      <c r="C189" t="str">
        <f>IFERROR(__xludf.DUMMYFUNCTION("GOOGLETRANSLATE(B189, ""es"", ""en"")"),"The blender makes a lot of noise so much noise. 0 decibels as what not.")</f>
        <v>The blender makes a lot of noise so much noise. 0 decibels as what not.</v>
      </c>
    </row>
    <row r="190">
      <c r="A190" s="1">
        <v>3.0</v>
      </c>
      <c r="B190" s="1" t="s">
        <v>191</v>
      </c>
      <c r="C190" t="str">
        <f>IFERROR(__xludf.DUMMYFUNCTION("GOOGLETRANSLATE(B190, ""es"", ""en"")"),"Okay but ... Okay arm, but the arm is ""Chinese"", at the end I bought a condenser microphone that comes all mounted in a pack and I'll leave this for my family to make me xD choirs.")</f>
        <v>Okay but ... Okay arm, but the arm is "Chinese", at the end I bought a condenser microphone that comes all mounted in a pack and I'll leave this for my family to make me xD choirs.</v>
      </c>
    </row>
    <row r="191">
      <c r="A191" s="1">
        <v>3.0</v>
      </c>
      <c r="B191" s="1" t="s">
        <v>192</v>
      </c>
      <c r="C191" t="str">
        <f>IFERROR(__xludf.DUMMYFUNCTION("GOOGLETRANSLATE(B191, ""es"", ""en"")"),"small size, it falls short. It is too small in size. There is much force gums and also brings clamping the connector can become annoying. Should do to approach the size of a standard bed is usually 0.90 x 1.90. Otherwise well.")</f>
        <v>small size, it falls short. It is too small in size. There is much force gums and also brings clamping the connector can become annoying. Should do to approach the size of a standard bed is usually 0.90 x 1.90. Otherwise well.</v>
      </c>
    </row>
    <row r="192">
      <c r="A192" s="1">
        <v>1.0</v>
      </c>
      <c r="B192" s="1" t="s">
        <v>193</v>
      </c>
      <c r="C192" t="str">
        <f>IFERROR(__xludf.DUMMYFUNCTION("GOOGLETRANSLATE(B192, ""es"", ""en"")"),"Bad bad shoes .le a star because I can not give cero.no the can and put your foot goes for all lados.la sole rubber is poor goes for all lados.no recomiendo.dinero tirado.no them back by q go to vuelta.me the use.sino would feel ripped off this shoe.")</f>
        <v>Bad bad shoes .le a star because I can not give cero.no the can and put your foot goes for all lados.la sole rubber is poor goes for all lados.no recomiendo.dinero tirado.no them back by q go to vuelta.me the use.sino would feel ripped off this shoe.</v>
      </c>
    </row>
    <row r="193">
      <c r="A193" s="1">
        <v>1.0</v>
      </c>
      <c r="B193" s="1" t="s">
        <v>194</v>
      </c>
      <c r="C193" t="str">
        <f>IFERROR(__xludf.DUMMYFUNCTION("GOOGLETRANSLATE(B193, ""es"", ""en"")"),"Does not work, open box mixer will be very good but got the box open and the products inside the box were as if they had already used. And most importantly the mixer directly or working, no lights or do anything. I had to return and ask for another. This "&amp;"time the case went well, but does not work.")</f>
        <v>Does not work, open box mixer will be very good but got the box open and the products inside the box were as if they had already used. And most importantly the mixer directly or working, no lights or do anything. I had to return and ask for another. This time the case went well, but does not work.</v>
      </c>
    </row>
    <row r="194">
      <c r="A194" s="1">
        <v>4.0</v>
      </c>
      <c r="B194" s="1" t="s">
        <v>195</v>
      </c>
      <c r="C194" t="str">
        <f>IFERROR(__xludf.DUMMYFUNCTION("GOOGLETRANSLATE(B194, ""es"", ""en"")"),"Really works I bought a little suspicious, because these devices promise much and then are not as effective, but it really is relaxing and massage well, look like fingers giving massage, has enough strength in its three positions and the only downside is "&amp;"that it is a little heavy and power buttons and march, should be more on hand, but as massager worth.")</f>
        <v>Really works I bought a little suspicious, because these devices promise much and then are not as effective, but it really is relaxing and massage well, look like fingers giving massage, has enough strength in its three positions and the only downside is that it is a little heavy and power buttons and march, should be more on hand, but as massager worth.</v>
      </c>
    </row>
    <row r="195">
      <c r="A195" s="1">
        <v>4.0</v>
      </c>
      <c r="B195" s="1" t="s">
        <v>196</v>
      </c>
      <c r="C195" t="str">
        <f>IFERROR(__xludf.DUMMYFUNCTION("GOOGLETRANSLATE(B195, ""es"", ""en"")"),"Great micro, best price for that price is the best micro I've had, and I've had micro of all prices and qualities, but as it is in terms of building materials and functions is the best")</f>
        <v>Great micro, best price for that price is the best micro I've had, and I've had micro of all prices and qualities, but as it is in terms of building materials and functions is the best</v>
      </c>
    </row>
    <row r="196">
      <c r="A196" s="1">
        <v>4.0</v>
      </c>
      <c r="B196" s="1" t="s">
        <v>197</v>
      </c>
      <c r="C196" t="str">
        <f>IFERROR(__xludf.DUMMYFUNCTION("GOOGLETRANSLATE(B196, ""es"", ""en"")"),"Ask your usual size There are very comfortable")</f>
        <v>Ask your usual size There are very comfortable</v>
      </c>
    </row>
    <row r="197">
      <c r="A197" s="1">
        <v>4.0</v>
      </c>
      <c r="B197" s="1" t="s">
        <v>198</v>
      </c>
      <c r="C197" t="str">
        <f>IFERROR(__xludf.DUMMYFUNCTION("GOOGLETRANSLATE(B197, ""es"", ""en"")"),"Valence'm good product and proximity to the sea makes an incredible humidity, maybe not as much as in cities such Andalucía but rare is the day that you do not get to 85% moisture in the atmosphere. In addition, I have especially fine hair frizz of what i"&amp;"t has always been inevitable. One after month of receiving argan oil in which I've used it about 4 times I can say that the effect on the hair is remarkable, looks brighter, fuller and healthier especially at the tips in addition to effectively combat the"&amp;" aforementioned effect frizz / frizzy. It is truly a reliable and recommended product also use it as save after after shaving and is quite noticeable that extra hydration that gives the skin.")</f>
        <v>Valence'm good product and proximity to the sea makes an incredible humidity, maybe not as much as in cities such Andalucía but rare is the day that you do not get to 85% moisture in the atmosphere. In addition, I have especially fine hair frizz of what it has always been inevitable. One after month of receiving argan oil in which I've used it about 4 times I can say that the effect on the hair is remarkable, looks brighter, fuller and healthier especially at the tips in addition to effectively combat the aforementioned effect frizz / frizzy. It is truly a reliable and recommended product also use it as save after after shaving and is quite noticeable that extra hydration that gives the skin.</v>
      </c>
    </row>
    <row r="198">
      <c r="A198" s="1">
        <v>4.0</v>
      </c>
      <c r="B198" s="1" t="s">
        <v>199</v>
      </c>
      <c r="C198" t="str">
        <f>IFERROR(__xludf.DUMMYFUNCTION("GOOGLETRANSLATE(B198, ""es"", ""en"")"),"It seems pretty perfect plump and warm. Mido 1.75 and weight 75 kilos and I've taken the M and is the perfect size. Neither wide nor narrow. If someone serves reference.")</f>
        <v>It seems pretty perfect plump and warm. Mido 1.75 and weight 75 kilos and I've taken the M and is the perfect size. Neither wide nor narrow. If someone serves reference.</v>
      </c>
    </row>
    <row r="199">
      <c r="A199" s="1">
        <v>5.0</v>
      </c>
      <c r="B199" s="1" t="s">
        <v>200</v>
      </c>
      <c r="C199" t="str">
        <f>IFERROR(__xludf.DUMMYFUNCTION("GOOGLETRANSLATE(B199, ""es"", ""en"")"),"Very good I am always need any of these, so watching the price decided to go big. quite thick and quality are noticeable. Nothing to do with others that seem paper.")</f>
        <v>Very good I am always need any of these, so watching the price decided to go big. quite thick and quality are noticeable. Nothing to do with others that seem paper.</v>
      </c>
    </row>
    <row r="200">
      <c r="A200" s="1">
        <v>5.0</v>
      </c>
      <c r="B200" s="1" t="s">
        <v>201</v>
      </c>
      <c r="C200" t="str">
        <f>IFERROR(__xludf.DUMMYFUNCTION("GOOGLETRANSLATE(B200, ""es"", ""en"")"),"Super good quality of the product. Very comfortable.")</f>
        <v>Super good quality of the product. Very comfortable.</v>
      </c>
    </row>
    <row r="201">
      <c r="A201" s="1">
        <v>5.0</v>
      </c>
      <c r="B201" s="1" t="s">
        <v>202</v>
      </c>
      <c r="C201" t="str">
        <f>IFERROR(__xludf.DUMMYFUNCTION("GOOGLETRANSLATE(B201, ""es"", ""en"")"),"Easily it folds convenient and fits into any corner of the house, as saying paste the fund slips a bit, so be careful when you bathe a child.")</f>
        <v>Easily it folds convenient and fits into any corner of the house, as saying paste the fund slips a bit, so be careful when you bathe a child.</v>
      </c>
    </row>
    <row r="202">
      <c r="A202" s="1">
        <v>5.0</v>
      </c>
      <c r="B202" s="1" t="s">
        <v>203</v>
      </c>
      <c r="C202" t="str">
        <f>IFERROR(__xludf.DUMMYFUNCTION("GOOGLETRANSLATE(B202, ""es"", ""en"")"),"Comfort, quality and price. A strong and comfortable shoes security, price / quality ratio terrific. They came the day planned well packaged. I am very happy with this purchase, I recommend!")</f>
        <v>Comfort, quality and price. A strong and comfortable shoes security, price / quality ratio terrific. They came the day planned well packaged. I am very happy with this purchase, I recommend!</v>
      </c>
    </row>
    <row r="203">
      <c r="A203" s="1">
        <v>5.0</v>
      </c>
      <c r="B203" s="1" t="s">
        <v>204</v>
      </c>
      <c r="C203" t="str">
        <f>IFERROR(__xludf.DUMMYFUNCTION("GOOGLETRANSLATE(B203, ""es"", ""en"")"),"Very good! Very good, simple and does the job!")</f>
        <v>Very good! Very good, simple and does the job!</v>
      </c>
    </row>
    <row r="204">
      <c r="A204" s="1">
        <v>5.0</v>
      </c>
      <c r="B204" s="1" t="s">
        <v>205</v>
      </c>
      <c r="C204" t="str">
        <f>IFERROR(__xludf.DUMMYFUNCTION("GOOGLETRANSLATE(B204, ""es"", ""en"")"),"Nice and good quality and had bought earlier. They are nice and very good quality. Service delivery time, which all perfect.")</f>
        <v>Nice and good quality and had bought earlier. They are nice and very good quality. Service delivery time, which all perfect.</v>
      </c>
    </row>
    <row r="205">
      <c r="A205" s="1">
        <v>5.0</v>
      </c>
      <c r="B205" s="1" t="s">
        <v>206</v>
      </c>
      <c r="C205" t="str">
        <f>IFERROR(__xludf.DUMMYFUNCTION("GOOGLETRANSLATE(B205, ""es"", ""en"")"),"Perfect Perfect, I expected")</f>
        <v>Perfect Perfect, I expected</v>
      </c>
    </row>
    <row r="206">
      <c r="A206" s="1">
        <v>5.0</v>
      </c>
      <c r="B206" s="1" t="s">
        <v>207</v>
      </c>
      <c r="C206" t="str">
        <f>IFERROR(__xludf.DUMMYFUNCTION("GOOGLETRANSLATE(B206, ""es"", ""en"")"),"Unbeatable value Perfect")</f>
        <v>Unbeatable value Perfect</v>
      </c>
    </row>
    <row r="207">
      <c r="A207" s="1">
        <v>5.0</v>
      </c>
      <c r="B207" s="1" t="s">
        <v>208</v>
      </c>
      <c r="C207" t="str">
        <f>IFERROR(__xludf.DUMMYFUNCTION("GOOGLETRANSLATE(B207, ""es"", ""en"")"),"But I met had always used for my ""moments DIY"" old shoe that is being out there and as a result, I've had several shocks from falls or blows by not heeding the recommendations of experts ... "" use appropriate footwear. "" I bought these boots and I'm d"&amp;"elighted. They are quite robust, have good protection in the toe and heel and are very comfortable. I recommend absolutely. Delivery, as always on Amazon ... A 10 !!")</f>
        <v>But I met had always used for my "moments DIY" old shoe that is being out there and as a result, I've had several shocks from falls or blows by not heeding the recommendations of experts ... " use appropriate footwear. " I bought these boots and I'm delighted. They are quite robust, have good protection in the toe and heel and are very comfortable. I recommend absolutely. Delivery, as always on Amazon ... A 10 !!</v>
      </c>
    </row>
    <row r="208">
      <c r="A208" s="1">
        <v>5.0</v>
      </c>
      <c r="B208" s="1" t="s">
        <v>209</v>
      </c>
      <c r="C208" t="str">
        <f>IFERROR(__xludf.DUMMYFUNCTION("GOOGLETRANSLATE(B208, ""es"", ""en"")"),"Good product good but big but big")</f>
        <v>Good product good but big but big</v>
      </c>
    </row>
    <row r="209">
      <c r="A209" s="1">
        <v>5.0</v>
      </c>
      <c r="B209" s="1" t="s">
        <v>210</v>
      </c>
      <c r="C209" t="str">
        <f>IFERROR(__xludf.DUMMYFUNCTION("GOOGLETRANSLATE(B209, ""es"", ""en"")"),"ok clock")</f>
        <v>ok clock</v>
      </c>
    </row>
    <row r="210">
      <c r="A210" s="1">
        <v>5.0</v>
      </c>
      <c r="B210" s="1" t="s">
        <v>211</v>
      </c>
      <c r="C210" t="str">
        <f>IFERROR(__xludf.DUMMYFUNCTION("GOOGLETRANSLATE(B210, ""es"", ""en"")"),"Shoe very comfortable and very light very good buy")</f>
        <v>Shoe very comfortable and very light very good buy</v>
      </c>
    </row>
    <row r="211">
      <c r="A211" s="1">
        <v>5.0</v>
      </c>
      <c r="B211" s="1" t="s">
        <v>212</v>
      </c>
      <c r="C211" t="str">
        <f>IFERROR(__xludf.DUMMYFUNCTION("GOOGLETRANSLATE(B211, ""es"", ""en"")"),"Great buy very satisfied, very beautiful, looks very strong and if not waterproof least fairly resistant to water, medium-small capacity, is what he wanted. Capacity for large tablets and notebooks DIN-A4. Ability to handle one or the other band and adjus"&amp;"table, and is treated with a product to repel water, which leaves her with a hard texture but I do not dislike and I guess k will eventually softening. The concept of anti-theft I would not wear it, if you want pk can open up the zipper if problem, you ca"&amp;"n place it ahead to avoid risks and is very comfortable.")</f>
        <v>Great buy very satisfied, very beautiful, looks very strong and if not waterproof least fairly resistant to water, medium-small capacity, is what he wanted. Capacity for large tablets and notebooks DIN-A4. Ability to handle one or the other band and adjustable, and is treated with a product to repel water, which leaves her with a hard texture but I do not dislike and I guess k will eventually softening. The concept of anti-theft I would not wear it, if you want pk can open up the zipper if problem, you can place it ahead to avoid risks and is very comfortable.</v>
      </c>
    </row>
    <row r="212">
      <c r="A212" s="1">
        <v>5.0</v>
      </c>
      <c r="B212" s="1" t="s">
        <v>213</v>
      </c>
      <c r="C212" t="str">
        <f>IFERROR(__xludf.DUMMYFUNCTION("GOOGLETRANSLATE(B212, ""es"", ""en"")"),"Lovely lovely and very well packaged.")</f>
        <v>Lovely lovely and very well packaged.</v>
      </c>
    </row>
    <row r="213">
      <c r="A213" s="1">
        <v>5.0</v>
      </c>
      <c r="B213" s="1" t="s">
        <v>214</v>
      </c>
      <c r="C213" t="str">
        <f>IFERROR(__xludf.DUMMYFUNCTION("GOOGLETRANSLATE(B213, ""es"", ""en"")"),"Good product Despite being a simple card, goes smoothly mobile since I've incorporated the card. In addition, the delivery service has been excellent, receiving the product soon.")</f>
        <v>Good product Despite being a simple card, goes smoothly mobile since I've incorporated the card. In addition, the delivery service has been excellent, receiving the product soon.</v>
      </c>
    </row>
    <row r="214">
      <c r="A214" s="1">
        <v>5.0</v>
      </c>
      <c r="B214" s="1" t="s">
        <v>42</v>
      </c>
      <c r="C214" t="str">
        <f>IFERROR(__xludf.DUMMYFUNCTION("GOOGLETRANSLATE(B214, ""es"", ""en"")"),"Well well")</f>
        <v>Well well</v>
      </c>
    </row>
    <row r="215">
      <c r="A215" s="1">
        <v>5.0</v>
      </c>
      <c r="B215" s="1" t="s">
        <v>215</v>
      </c>
      <c r="C215" t="str">
        <f>IFERROR(__xludf.DUMMYFUNCTION("GOOGLETRANSLATE(B215, ""es"", ""en"")"),"FLEECE FLEECE tight and comfortable adjusted to comfortably move around the boat in sailing, lightweight and comfortable.")</f>
        <v>FLEECE FLEECE tight and comfortable adjusted to comfortably move around the boat in sailing, lightweight and comfortable.</v>
      </c>
    </row>
    <row r="216">
      <c r="A216" s="1">
        <v>5.0</v>
      </c>
      <c r="B216" s="1" t="s">
        <v>216</v>
      </c>
      <c r="C216" t="str">
        <f>IFERROR(__xludf.DUMMYFUNCTION("GOOGLETRANSLATE(B216, ""es"", ""en"")"),"Very useful. Previously bought another brand and the first day ... They were oxidized if they are stainless steel and are doing very well. Fully recommended.")</f>
        <v>Very useful. Previously bought another brand and the first day ... They were oxidized if they are stainless steel and are doing very well. Fully recommended.</v>
      </c>
    </row>
    <row r="217">
      <c r="A217" s="1">
        <v>5.0</v>
      </c>
      <c r="B217" s="1" t="s">
        <v>217</v>
      </c>
      <c r="C217" t="str">
        <f>IFERROR(__xludf.DUMMYFUNCTION("GOOGLETRANSLATE(B217, ""es"", ""en"")"),"Very good vitamins are very good. Use the pregnancy and now you are breastfeeding.")</f>
        <v>Very good vitamins are very good. Use the pregnancy and now you are breastfeeding.</v>
      </c>
    </row>
    <row r="218">
      <c r="A218" s="1">
        <v>2.0</v>
      </c>
      <c r="B218" s="1" t="s">
        <v>218</v>
      </c>
      <c r="C218" t="str">
        <f>IFERROR(__xludf.DUMMYFUNCTION("GOOGLETRANSLATE(B218, ""es"", ""en"")"),"Q is not expected not work well my humidor also leaves all around wet. Steam exits and no water is dispersed around the apparatus and wets all.")</f>
        <v>Q is not expected not work well my humidor also leaves all around wet. Steam exits and no water is dispersed around the apparatus and wets all.</v>
      </c>
    </row>
    <row r="219">
      <c r="A219" s="1">
        <v>3.0</v>
      </c>
      <c r="B219" s="1" t="s">
        <v>219</v>
      </c>
      <c r="C219" t="str">
        <f>IFERROR(__xludf.DUMMYFUNCTION("GOOGLETRANSLATE(B219, ""es"", ""en"")"),"Mal Mal carved carved one S is like a L")</f>
        <v>Mal Mal carved carved one S is like a L</v>
      </c>
    </row>
    <row r="220">
      <c r="A220" s="1">
        <v>3.0</v>
      </c>
      <c r="B220" s="1" t="s">
        <v>220</v>
      </c>
      <c r="C220" t="str">
        <f>IFERROR(__xludf.DUMMYFUNCTION("GOOGLETRANSLATE(B220, ""es"", ""en"")"),"Too strong smell was a gift. Bring variety of oils, I have not had chance to try them as having asthma to affect me too strong odors.")</f>
        <v>Too strong smell was a gift. Bring variety of oils, I have not had chance to try them as having asthma to affect me too strong odors.</v>
      </c>
    </row>
    <row r="221">
      <c r="A221" s="1">
        <v>1.0</v>
      </c>
      <c r="B221" s="1" t="s">
        <v>221</v>
      </c>
      <c r="C221" t="str">
        <f>IFERROR(__xludf.DUMMYFUNCTION("GOOGLETRANSLATE(B221, ""es"", ""en"")"),"I lasted one year whole year of use, accessories are breaking slowly. Of the first tube comes out and falls to the floor hard with what parquets careful with that brand. Then the wheel and filter out and have to be taped American and even with those. It's"&amp;" a shame because I think what is the great engine but the finishing works are painful. He was looking to buy a robot vacuum cleaner and having that brand seem worse because of this great vacuum cleaner brand I buy another insurance. Regards.")</f>
        <v>I lasted one year whole year of use, accessories are breaking slowly. Of the first tube comes out and falls to the floor hard with what parquets careful with that brand. Then the wheel and filter out and have to be taped American and even with those. It's a shame because I think what is the great engine but the finishing works are painful. He was looking to buy a robot vacuum cleaner and having that brand seem worse because of this great vacuum cleaner brand I buy another insurance. Regards.</v>
      </c>
    </row>
    <row r="222">
      <c r="A222" s="1">
        <v>1.0</v>
      </c>
      <c r="B222" s="1" t="s">
        <v>222</v>
      </c>
      <c r="C222" t="str">
        <f>IFERROR(__xludf.DUMMYFUNCTION("GOOGLETRANSLATE(B222, ""es"", ""en"")"),"unexpected surprise I bought a bottle through this platform because I had one just like it (bought in a hypermarket). My surprise has come when I'll give the girl and did not come nipple pierced. I tried to make him with a needle but it has been impossibl"&amp;"e to make the same role that I already had. I am quite dissatisfied, to the end I spared no time buying online, I have to go to the supermarket to buy baby bottle nipples or other.")</f>
        <v>unexpected surprise I bought a bottle through this platform because I had one just like it (bought in a hypermarket). My surprise has come when I'll give the girl and did not come nipple pierced. I tried to make him with a needle but it has been impossible to make the same role that I already had. I am quite dissatisfied, to the end I spared no time buying online, I have to go to the supermarket to buy baby bottle nipples or other.</v>
      </c>
    </row>
    <row r="223">
      <c r="A223" s="1">
        <v>1.0</v>
      </c>
      <c r="B223" s="1" t="s">
        <v>223</v>
      </c>
      <c r="C223" t="str">
        <f>IFERROR(__xludf.DUMMYFUNCTION("GOOGLETRANSLATE(B223, ""es"", ""en"")"),"Is only for pain remove, not to strengthen or exercise I bought it because he said the announcement was good for both pain removed as exercise but it is only the first, because in the instructions there is no way to strengthen or anything. I returned")</f>
        <v>Is only for pain remove, not to strengthen or exercise I bought it because he said the announcement was good for both pain removed as exercise but it is only the first, because in the instructions there is no way to strengthen or anything. I returned</v>
      </c>
    </row>
    <row r="224">
      <c r="A224" s="1">
        <v>4.0</v>
      </c>
      <c r="B224" s="1" t="s">
        <v>224</v>
      </c>
      <c r="C224" t="str">
        <f>IFERROR(__xludf.DUMMYFUNCTION("GOOGLETRANSLATE(B224, ""es"", ""en"")"),"A great product very comfortable and beautiful shoes. Eye, used a size 38 and a size 37 bought on purpose. It does not take the 5 stars for the mess of sizes (with a return through) and the elastic strands, not just them.")</f>
        <v>A great product very comfortable and beautiful shoes. Eye, used a size 38 and a size 37 bought on purpose. It does not take the 5 stars for the mess of sizes (with a return through) and the elastic strands, not just them.</v>
      </c>
    </row>
    <row r="225">
      <c r="A225" s="1">
        <v>4.0</v>
      </c>
      <c r="B225" s="1" t="s">
        <v>225</v>
      </c>
      <c r="C225" t="str">
        <f>IFERROR(__xludf.DUMMYFUNCTION("GOOGLETRANSLATE(B225, ""es"", ""en"")"),"Watch am very happy with the watch I like and I get along just one catch, is that the bracelet should go to the watchmaker to adjust")</f>
        <v>Watch am very happy with the watch I like and I get along just one catch, is that the bracelet should go to the watchmaker to adjust</v>
      </c>
    </row>
    <row r="226">
      <c r="A226" s="1">
        <v>4.0</v>
      </c>
      <c r="B226" s="1" t="s">
        <v>226</v>
      </c>
      <c r="C226" t="str">
        <f>IFERROR(__xludf.DUMMYFUNCTION("GOOGLETRANSLATE(B226, ""es"", ""en"")"),"Relaxing! At the beginning I is uncomfortable, but after 5 minutes is relaxing! I do not regret I bought it and I have really advising a friend who is happy at the moment!")</f>
        <v>Relaxing! At the beginning I is uncomfortable, but after 5 minutes is relaxing! I do not regret I bought it and I have really advising a friend who is happy at the moment!</v>
      </c>
    </row>
    <row r="227">
      <c r="A227" s="1">
        <v>4.0</v>
      </c>
      <c r="B227" s="1" t="s">
        <v>227</v>
      </c>
      <c r="C227" t="str">
        <f>IFERROR(__xludf.DUMMYFUNCTION("GOOGLETRANSLATE(B227, ""es"", ""en"")"),"Quality good quality at a good price. Very comfortable.")</f>
        <v>Quality good quality at a good price. Very comfortable.</v>
      </c>
    </row>
    <row r="228">
      <c r="A228" s="1">
        <v>5.0</v>
      </c>
      <c r="B228" s="1" t="s">
        <v>228</v>
      </c>
      <c r="C228" t="str">
        <f>IFERROR(__xludf.DUMMYFUNCTION("GOOGLETRANSLATE(B228, ""es"", ""en"")"),"Very nice very nice and they come in the box.")</f>
        <v>Very nice very nice and they come in the box.</v>
      </c>
    </row>
    <row r="229">
      <c r="A229" s="1">
        <v>5.0</v>
      </c>
      <c r="B229" s="1" t="s">
        <v>229</v>
      </c>
      <c r="C229" t="str">
        <f>IFERROR(__xludf.DUMMYFUNCTION("GOOGLETRANSLATE(B229, ""es"", ""en"")"),"everything ok everything ok")</f>
        <v>everything ok everything ok</v>
      </c>
    </row>
    <row r="230">
      <c r="A230" s="1">
        <v>5.0</v>
      </c>
      <c r="B230" s="1" t="s">
        <v>230</v>
      </c>
      <c r="C230" t="str">
        <f>IFERROR(__xludf.DUMMYFUNCTION("GOOGLETRANSLATE(B230, ""es"", ""en"")"),"Spectacular Very good size and performance. Dual spectacular. Sandisk is recommended brand and the price accordingly. Okay")</f>
        <v>Spectacular Very good size and performance. Dual spectacular. Sandisk is recommended brand and the price accordingly. Okay</v>
      </c>
    </row>
    <row r="231">
      <c r="A231" s="1">
        <v>5.0</v>
      </c>
      <c r="B231" s="1" t="s">
        <v>231</v>
      </c>
      <c r="C231" t="str">
        <f>IFERROR(__xludf.DUMMYFUNCTION("GOOGLETRANSLATE(B231, ""es"", ""en"")"),"Fully recommended Good product value, does little noise and has a lot of capacity, plus the bonus of the remote control.")</f>
        <v>Fully recommended Good product value, does little noise and has a lot of capacity, plus the bonus of the remote control.</v>
      </c>
    </row>
    <row r="232">
      <c r="A232" s="1">
        <v>5.0</v>
      </c>
      <c r="B232" s="1" t="s">
        <v>232</v>
      </c>
      <c r="C232" t="str">
        <f>IFERROR(__xludf.DUMMYFUNCTION("GOOGLETRANSLATE(B232, ""es"", ""en"")"),"Design, quality and speed of service Designs")</f>
        <v>Design, quality and speed of service Designs</v>
      </c>
    </row>
    <row r="233">
      <c r="A233" s="1">
        <v>5.0</v>
      </c>
      <c r="B233" s="1" t="s">
        <v>233</v>
      </c>
      <c r="C233" t="str">
        <f>IFERROR(__xludf.DUMMYFUNCTION("GOOGLETRANSLATE(B233, ""es"", ""en"")"),"A good alternative to the old skool Van thin! Carve and washed well without problem, the gray dirty truth that easy")</f>
        <v>A good alternative to the old skool Van thin! Carve and washed well without problem, the gray dirty truth that easy</v>
      </c>
    </row>
    <row r="234">
      <c r="A234" s="1">
        <v>5.0</v>
      </c>
      <c r="B234" s="1" t="s">
        <v>234</v>
      </c>
      <c r="C234" t="str">
        <f>IFERROR(__xludf.DUMMYFUNCTION("GOOGLETRANSLATE(B234, ""es"", ""en"")"),"Arnica massage cream is fine, cream spreads well, quite calm pains because they are very strong and difficult to remove. It goes very well priced relative quality and quantity of product. I recommend buyer.")</f>
        <v>Arnica massage cream is fine, cream spreads well, quite calm pains because they are very strong and difficult to remove. It goes very well priced relative quality and quantity of product. I recommend buyer.</v>
      </c>
    </row>
    <row r="235">
      <c r="A235" s="1">
        <v>5.0</v>
      </c>
      <c r="B235" s="1" t="s">
        <v>235</v>
      </c>
      <c r="C235" t="str">
        <f>IFERROR(__xludf.DUMMYFUNCTION("GOOGLETRANSLATE(B235, ""es"", ""en"")"),"Super comfortable shoes. I love!!! Waitressing job at the least 8h a day and are really comfortable. Recommended to 100%")</f>
        <v>Super comfortable shoes. I love!!! Waitressing job at the least 8h a day and are really comfortable. Recommended to 100%</v>
      </c>
    </row>
    <row r="236">
      <c r="A236" s="1">
        <v>5.0</v>
      </c>
      <c r="B236" s="1" t="s">
        <v>236</v>
      </c>
      <c r="C236" t="str">
        <f>IFERROR(__xludf.DUMMYFUNCTION("GOOGLETRANSLATE(B236, ""es"", ""en"")"),"Perfec is perfect as directed and description of the product. So all good packaging, presentation. Okay")</f>
        <v>Perfec is perfect as directed and description of the product. So all good packaging, presentation. Okay</v>
      </c>
    </row>
    <row r="237">
      <c r="A237" s="1">
        <v>5.0</v>
      </c>
      <c r="B237" s="1" t="s">
        <v>237</v>
      </c>
      <c r="C237" t="str">
        <f>IFERROR(__xludf.DUMMYFUNCTION("GOOGLETRANSLATE(B237, ""es"", ""en"")"),"Very good Excellent purchase")</f>
        <v>Very good Excellent purchase</v>
      </c>
    </row>
    <row r="238">
      <c r="A238" s="1">
        <v>5.0</v>
      </c>
      <c r="B238" s="1" t="s">
        <v>238</v>
      </c>
      <c r="C238" t="str">
        <f>IFERROR(__xludf.DUMMYFUNCTION("GOOGLETRANSLATE(B238, ""es"", ""en"")"),"perfect perfect")</f>
        <v>perfect perfect</v>
      </c>
    </row>
    <row r="239">
      <c r="A239" s="1">
        <v>5.0</v>
      </c>
      <c r="B239" s="1" t="s">
        <v>239</v>
      </c>
      <c r="C239" t="str">
        <f>IFERROR(__xludf.DUMMYFUNCTION("GOOGLETRANSLATE(B239, ""es"", ""en"")"),"Good value for money Very nice and good quality. A perfect gift for children because it makes them very excited and entertained a lot of painting it. I gave it to the children in my daughter's birthday instead of sweets bag and triumphed.")</f>
        <v>Good value for money Very nice and good quality. A perfect gift for children because it makes them very excited and entertained a lot of painting it. I gave it to the children in my daughter's birthday instead of sweets bag and triumphed.</v>
      </c>
    </row>
    <row r="240">
      <c r="A240" s="1">
        <v>5.0</v>
      </c>
      <c r="B240" s="1" t="s">
        <v>240</v>
      </c>
      <c r="C240" t="str">
        <f>IFERROR(__xludf.DUMMYFUNCTION("GOOGLETRANSLATE(B240, ""es"", ""en"")"),"Good buy. I did not expect such quality and comfort, good buy. Correct shipping service.")</f>
        <v>Good buy. I did not expect such quality and comfort, good buy. Correct shipping service.</v>
      </c>
    </row>
    <row r="241">
      <c r="A241" s="1">
        <v>5.0</v>
      </c>
      <c r="B241" s="1" t="s">
        <v>241</v>
      </c>
      <c r="C241" t="str">
        <f>IFERROR(__xludf.DUMMYFUNCTION("GOOGLETRANSLATE(B241, ""es"", ""en"")"),"FUNDAS for plasticizing I love them, I use them a lot and are already the sixths I ask, always perfect and great")</f>
        <v>FUNDAS for plasticizing I love them, I use them a lot and are already the sixths I ask, always perfect and great</v>
      </c>
    </row>
    <row r="242">
      <c r="A242" s="1">
        <v>5.0</v>
      </c>
      <c r="B242" s="1" t="s">
        <v>242</v>
      </c>
      <c r="C242" t="str">
        <f>IFERROR(__xludf.DUMMYFUNCTION("GOOGLETRANSLATE(B242, ""es"", ""en"")"),"Q haha ​​TLV was broken and I did not help")</f>
        <v>Q haha ​​TLV was broken and I did not help</v>
      </c>
    </row>
    <row r="243">
      <c r="A243" s="1">
        <v>5.0</v>
      </c>
      <c r="B243" s="1" t="s">
        <v>243</v>
      </c>
      <c r="C243" t="str">
        <f>IFERROR(__xludf.DUMMYFUNCTION("GOOGLETRANSLATE(B243, ""es"", ""en"")"),"Very good choice. Fully recommended. I use it to mix powdered milk my child and porridge and is perfect. The fact that it has different rods makes it much better buy than any other product in the market.")</f>
        <v>Very good choice. Fully recommended. I use it to mix powdered milk my child and porridge and is perfect. The fact that it has different rods makes it much better buy than any other product in the market.</v>
      </c>
    </row>
    <row r="244">
      <c r="A244" s="1">
        <v>5.0</v>
      </c>
      <c r="B244" s="1" t="s">
        <v>244</v>
      </c>
      <c r="C244" t="str">
        <f>IFERROR(__xludf.DUMMYFUNCTION("GOOGLETRANSLATE(B244, ""es"", ""en"")"),"Very good very good. Ideal which go together with a ring")</f>
        <v>Very good very good. Ideal which go together with a ring</v>
      </c>
    </row>
    <row r="245">
      <c r="A245" s="1">
        <v>5.0</v>
      </c>
      <c r="B245" s="1" t="s">
        <v>245</v>
      </c>
      <c r="C245" t="str">
        <f>IFERROR(__xludf.DUMMYFUNCTION("GOOGLETRANSLATE(B245, ""es"", ""en"")"),"Super comfortable excellent stay and super comfortable")</f>
        <v>Super comfortable excellent stay and super comfortable</v>
      </c>
    </row>
    <row r="246">
      <c r="A246" s="1">
        <v>5.0</v>
      </c>
      <c r="B246" s="1" t="s">
        <v>246</v>
      </c>
      <c r="C246" t="str">
        <f>IFERROR(__xludf.DUMMYFUNCTION("GOOGLETRANSLATE(B246, ""es"", ""en"")"),"Cash! Muchísmo sweat and very hygienic, because then rinsed with water and there is no smell of sweat. Good materials and comes to me almost under the breast. Phenomenal burning thighs, ass and waist .... yes .... you have to do sport !!!")</f>
        <v>Cash! Muchísmo sweat and very hygienic, because then rinsed with water and there is no smell of sweat. Good materials and comes to me almost under the breast. Phenomenal burning thighs, ass and waist .... yes .... you have to do sport !!!</v>
      </c>
    </row>
    <row r="247">
      <c r="A247" s="1">
        <v>2.0</v>
      </c>
      <c r="B247" s="1" t="s">
        <v>247</v>
      </c>
      <c r="C247" t="str">
        <f>IFERROR(__xludf.DUMMYFUNCTION("GOOGLETRANSLATE(B247, ""es"", ""en"")"),"Headphones incredible price, but battery to a minimum. I was hesitant to headphones so good price, and I knew that could not be very good ... but the impression is very good because the sound has impressed me, I have associated with a transmitter that sen"&amp;"ds the audio signal of a old TV and power is good. The design is simple and clean and simple materials but sounds great music that sends mobile and to watch TV without disturbing are very good choice. The only but is that logically this price the battery "&amp;"lasts little more than an hour, the first time I seemed to prove short-lived, but I repeat the test and battery lasts an hour. Scrap.")</f>
        <v>Headphones incredible price, but battery to a minimum. I was hesitant to headphones so good price, and I knew that could not be very good ... but the impression is very good because the sound has impressed me, I have associated with a transmitter that sends the audio signal of a old TV and power is good. The design is simple and clean and simple materials but sounds great music that sends mobile and to watch TV without disturbing are very good choice. The only but is that logically this price the battery lasts little more than an hour, the first time I seemed to prove short-lived, but I repeat the test and battery lasts an hour. Scrap.</v>
      </c>
    </row>
    <row r="248">
      <c r="A248" s="1">
        <v>3.0</v>
      </c>
      <c r="B248" s="1" t="s">
        <v>248</v>
      </c>
      <c r="C248" t="str">
        <f>IFERROR(__xludf.DUMMYFUNCTION("GOOGLETRANSLATE(B248, ""es"", ""en"")"),"defective item. I went to try and restraint cords was not properly secured and released. The reparare, no more.")</f>
        <v>defective item. I went to try and restraint cords was not properly secured and released. The reparare, no more.</v>
      </c>
    </row>
    <row r="249">
      <c r="A249" s="1">
        <v>3.0</v>
      </c>
      <c r="B249" s="1" t="s">
        <v>249</v>
      </c>
      <c r="C249" t="str">
        <f>IFERROR(__xludf.DUMMYFUNCTION("GOOGLETRANSLATE(B249, ""es"", ""en"")"),"I should have caught a size less shoes are nice, as is the photo. But I can not say anything about comfort, because I have this big. I should have caught one size smaller.")</f>
        <v>I should have caught a size less shoes are nice, as is the photo. But I can not say anything about comfort, because I have this big. I should have caught one size smaller.</v>
      </c>
    </row>
    <row r="250">
      <c r="A250" s="1">
        <v>1.0</v>
      </c>
      <c r="B250" s="1" t="s">
        <v>250</v>
      </c>
      <c r="C250" t="str">
        <f>IFERROR(__xludf.DUMMYFUNCTION("GOOGLETRANSLATE(B250, ""es"", ""en"")"),"Fake not spoil quickly buy some")</f>
        <v>Fake not spoil quickly buy some</v>
      </c>
    </row>
    <row r="251">
      <c r="A251" s="1">
        <v>4.0</v>
      </c>
      <c r="B251" s="1" t="s">
        <v>251</v>
      </c>
      <c r="C251" t="str">
        <f>IFERROR(__xludf.DUMMYFUNCTION("GOOGLETRANSLATE(B251, ""es"", ""en"")"),"They are like the picture as expected")</f>
        <v>They are like the picture as expected</v>
      </c>
    </row>
    <row r="252">
      <c r="A252" s="1">
        <v>4.0</v>
      </c>
      <c r="B252" s="1" t="s">
        <v>252</v>
      </c>
      <c r="C252" t="str">
        <f>IFERROR(__xludf.DUMMYFUNCTION("GOOGLETRANSLATE(B252, ""es"", ""en"")"),"As expected it has lots of power. At the moment I am very happy")</f>
        <v>As expected it has lots of power. At the moment I am very happy</v>
      </c>
    </row>
    <row r="253">
      <c r="A253" s="1">
        <v>4.0</v>
      </c>
      <c r="B253" s="1" t="s">
        <v>253</v>
      </c>
      <c r="C253" t="str">
        <f>IFERROR(__xludf.DUMMYFUNCTION("GOOGLETRANSLATE(B253, ""es"", ""en"")"),"I arrive at recommended time easy to use a few clunkers clean but good standard but works fine")</f>
        <v>I arrive at recommended time easy to use a few clunkers clean but good standard but works fine</v>
      </c>
    </row>
    <row r="254">
      <c r="A254" s="1">
        <v>4.0</v>
      </c>
      <c r="B254" s="1" t="s">
        <v>254</v>
      </c>
      <c r="C254" t="str">
        <f>IFERROR(__xludf.DUMMYFUNCTION("GOOGLETRANSLATE(B254, ""es"", ""en"")"),"Elegant is very pretty and summery")</f>
        <v>Elegant is very pretty and summery</v>
      </c>
    </row>
    <row r="255">
      <c r="A255" s="1">
        <v>4.0</v>
      </c>
      <c r="B255" s="1" t="s">
        <v>255</v>
      </c>
      <c r="C255" t="str">
        <f>IFERROR(__xludf.DUMMYFUNCTION("GOOGLETRANSLATE(B255, ""es"", ""en"")"),"It sticks well is fine, but cut bad. Thin sheets are used to coat a wall pierced with thumbtacks, although it is finite and do not enter skewers the whole, but is pretty good.")</f>
        <v>It sticks well is fine, but cut bad. Thin sheets are used to coat a wall pierced with thumbtacks, although it is finite and do not enter skewers the whole, but is pretty good.</v>
      </c>
    </row>
    <row r="256">
      <c r="A256" s="1">
        <v>5.0</v>
      </c>
      <c r="B256" s="1" t="s">
        <v>256</v>
      </c>
      <c r="C256" t="str">
        <f>IFERROR(__xludf.DUMMYFUNCTION("GOOGLETRANSLATE(B256, ""es"", ""en"")"),"ABSOLUTE COMFORT TO CLEAN HOUSE IN A FEW MINUTES For now very happy with the product. It handles very easily. Suctioned without difficulty all kinds of dirt on any surface, including carpets. Convenient base for deposit without difficulty and have it read"&amp;"y for a new use in a few hours. Very good value for money.")</f>
        <v>ABSOLUTE COMFORT TO CLEAN HOUSE IN A FEW MINUTES For now very happy with the product. It handles very easily. Suctioned without difficulty all kinds of dirt on any surface, including carpets. Convenient base for deposit without difficulty and have it ready for a new use in a few hours. Very good value for money.</v>
      </c>
    </row>
    <row r="257">
      <c r="A257" s="1">
        <v>5.0</v>
      </c>
      <c r="B257" s="1" t="s">
        <v>257</v>
      </c>
      <c r="C257" t="str">
        <f>IFERROR(__xludf.DUMMYFUNCTION("GOOGLETRANSLATE(B257, ""es"", ""en"")"),"Excellent oil I loved, and I'm super happy with this purchase: the quality of the product presentation in container dark d glass and of course the competitive price, when I run out to buy it back, certainly a success")</f>
        <v>Excellent oil I loved, and I'm super happy with this purchase: the quality of the product presentation in container dark d glass and of course the competitive price, when I run out to buy it back, certainly a success</v>
      </c>
    </row>
    <row r="258">
      <c r="A258" s="1">
        <v>5.0</v>
      </c>
      <c r="B258" s="1" t="s">
        <v>258</v>
      </c>
      <c r="C258" t="str">
        <f>IFERROR(__xludf.DUMMYFUNCTION("GOOGLETRANSLATE(B258, ""es"", ""en"")"),"Great for the office I liked everything, bring 6 units, very nice and very bright colors. Just as I expected. I use them to carry identification hung at work and is comfortable and does the job. Very happy.")</f>
        <v>Great for the office I liked everything, bring 6 units, very nice and very bright colors. Just as I expected. I use them to carry identification hung at work and is comfortable and does the job. Very happy.</v>
      </c>
    </row>
    <row r="259">
      <c r="A259" s="1">
        <v>5.0</v>
      </c>
      <c r="B259" s="1" t="s">
        <v>259</v>
      </c>
      <c r="C259" t="str">
        <f>IFERROR(__xludf.DUMMYFUNCTION("GOOGLETRANSLATE(B259, ""es"", ""en"")"),"The results are noticeable with three applications the results are noticed, an outline much brighter and smooth. Easy application and do not move the eye contour. They are perfect for makeup before and if you want greater anti-puffiness results can be put"&amp;" in the refrigerator. Recommended for sensitive skin. My wife delighted with the product 👍")</f>
        <v>The results are noticeable with three applications the results are noticed, an outline much brighter and smooth. Easy application and do not move the eye contour. They are perfect for makeup before and if you want greater anti-puffiness results can be put in the refrigerator. Recommended for sensitive skin. My wife delighted with the product 👍</v>
      </c>
    </row>
    <row r="260">
      <c r="A260" s="1">
        <v>5.0</v>
      </c>
      <c r="B260" s="1" t="s">
        <v>260</v>
      </c>
      <c r="C260" t="str">
        <f>IFERROR(__xludf.DUMMYFUNCTION("GOOGLETRANSLATE(B260, ""es"", ""en"")"),"EXCELLENT cream. Within three minutes the skin absorbs cream, DAILY USE AND GO BACK TO PHENOMENAL.")</f>
        <v>EXCELLENT cream. Within three minutes the skin absorbs cream, DAILY USE AND GO BACK TO PHENOMENAL.</v>
      </c>
    </row>
    <row r="261">
      <c r="A261" s="1">
        <v>5.0</v>
      </c>
      <c r="B261" s="1" t="s">
        <v>261</v>
      </c>
      <c r="C261" t="str">
        <f>IFERROR(__xludf.DUMMYFUNCTION("GOOGLETRANSLATE(B261, ""es"", ""en"")"),"Light and powerful quality and super lightweight. I used the Athlete of Bosch and this weighs half with a lot more power. I recommend it!")</f>
        <v>Light and powerful quality and super lightweight. I used the Athlete of Bosch and this weighs half with a lot more power. I recommend it!</v>
      </c>
    </row>
    <row r="262">
      <c r="A262" s="1">
        <v>5.0</v>
      </c>
      <c r="B262" s="1" t="s">
        <v>262</v>
      </c>
      <c r="C262" t="str">
        <f>IFERROR(__xludf.DUMMYFUNCTION("GOOGLETRANSLATE(B262, ""es"", ""en"")"),"Beautiful. It was a gift for my mother and loved is lovely, perfect size. Bright finish care. Perfectly packaged in padded box jewelry. I bought a gift and was a complete success!")</f>
        <v>Beautiful. It was a gift for my mother and loved is lovely, perfect size. Bright finish care. Perfectly packaged in padded box jewelry. I bought a gift and was a complete success!</v>
      </c>
    </row>
    <row r="263">
      <c r="A263" s="1">
        <v>5.0</v>
      </c>
      <c r="B263" s="1" t="s">
        <v>263</v>
      </c>
      <c r="C263" t="str">
        <f>IFERROR(__xludf.DUMMYFUNCTION("GOOGLETRANSLATE(B263, ""es"", ""en"")"),"Value ok're fine")</f>
        <v>Value ok're fine</v>
      </c>
    </row>
    <row r="264">
      <c r="A264" s="1">
        <v>5.0</v>
      </c>
      <c r="B264" s="1" t="s">
        <v>264</v>
      </c>
      <c r="C264" t="str">
        <f>IFERROR(__xludf.DUMMYFUNCTION("GOOGLETRANSLATE(B264, ""es"", ""en"")"),"I'm still in love after much time using these shoes and are like new. I use daily and I went to concerts and festivals that bring many with fatigue and dirt for shoes. Recommended hundred hundred")</f>
        <v>I'm still in love after much time using these shoes and are like new. I use daily and I went to concerts and festivals that bring many with fatigue and dirt for shoes. Recommended hundred hundred</v>
      </c>
    </row>
    <row r="265">
      <c r="A265" s="1">
        <v>5.0</v>
      </c>
      <c r="B265" s="1" t="s">
        <v>265</v>
      </c>
      <c r="C265" t="str">
        <f>IFERROR(__xludf.DUMMYFUNCTION("GOOGLETRANSLATE(B265, ""es"", ""en"")"),"Hit a gift and sizing was good, quality very well.")</f>
        <v>Hit a gift and sizing was good, quality very well.</v>
      </c>
    </row>
    <row r="266">
      <c r="A266" s="1">
        <v>5.0</v>
      </c>
      <c r="B266" s="1" t="s">
        <v>266</v>
      </c>
      <c r="C266" t="str">
        <f>IFERROR(__xludf.DUMMYFUNCTION("GOOGLETRANSLATE(B266, ""es"", ""en"")"),"They are perfect as the description says and very good quality")</f>
        <v>They are perfect as the description says and very good quality</v>
      </c>
    </row>
    <row r="267">
      <c r="A267" s="1">
        <v>5.0</v>
      </c>
      <c r="B267" s="1" t="s">
        <v>267</v>
      </c>
      <c r="C267" t="str">
        <f>IFERROR(__xludf.DUMMYFUNCTION("GOOGLETRANSLATE(B267, ""es"", ""en"")"),"Braun stalwart The second I use in 20 years, I have tried other brands and returned to my braun. It's fast, all crushed leaves and splashes. A marvel")</f>
        <v>Braun stalwart The second I use in 20 years, I have tried other brands and returned to my braun. It's fast, all crushed leaves and splashes. A marvel</v>
      </c>
    </row>
    <row r="268">
      <c r="A268" s="1">
        <v>5.0</v>
      </c>
      <c r="B268" s="1" t="s">
        <v>268</v>
      </c>
      <c r="C268" t="str">
        <f>IFERROR(__xludf.DUMMYFUNCTION("GOOGLETRANSLATE(B268, ""es"", ""en"")"),"Better than expected is the first time that a use Asics and I was surprised how little you weigh, I use a 46'5, and then wear them very comfortable. They can be used all day and not notice exhaustion feet. Highly recommended purchase")</f>
        <v>Better than expected is the first time that a use Asics and I was surprised how little you weigh, I use a 46'5, and then wear them very comfortable. They can be used all day and not notice exhaustion feet. Highly recommended purchase</v>
      </c>
    </row>
    <row r="269">
      <c r="A269" s="1">
        <v>5.0</v>
      </c>
      <c r="B269" s="1" t="s">
        <v>269</v>
      </c>
      <c r="C269" t="str">
        <f>IFERROR(__xludf.DUMMYFUNCTION("GOOGLETRANSLATE(B269, ""es"", ""en"")"),"Socks are good as expected. Chock 40 and I will perfect and still give of himself. Good value for money.")</f>
        <v>Socks are good as expected. Chock 40 and I will perfect and still give of himself. Good value for money.</v>
      </c>
    </row>
    <row r="270">
      <c r="A270" s="1">
        <v>5.0</v>
      </c>
      <c r="B270" s="1" t="s">
        <v>270</v>
      </c>
      <c r="C270" t="str">
        <f>IFERROR(__xludf.DUMMYFUNCTION("GOOGLETRANSLATE(B270, ""es"", ""en"")"),"Very comfortable Loved!")</f>
        <v>Very comfortable Loved!</v>
      </c>
    </row>
    <row r="271">
      <c r="A271" s="1">
        <v>5.0</v>
      </c>
      <c r="B271" s="1" t="s">
        <v>271</v>
      </c>
      <c r="C271" t="str">
        <f>IFERROR(__xludf.DUMMYFUNCTION("GOOGLETRANSLATE(B271, ""es"", ""en"")"),"Super cool and comfortable Very good")</f>
        <v>Super cool and comfortable Very good</v>
      </c>
    </row>
    <row r="272">
      <c r="A272" s="1">
        <v>5.0</v>
      </c>
      <c r="B272" s="1" t="s">
        <v>272</v>
      </c>
      <c r="C272" t="str">
        <f>IFERROR(__xludf.DUMMYFUNCTION("GOOGLETRANSLATE(B272, ""es"", ""en"")"),"Very nice nice and shiny and bright. They are the size of a coin of 20 cents or so.")</f>
        <v>Very nice nice and shiny and bright. They are the size of a coin of 20 cents or so.</v>
      </c>
    </row>
    <row r="273">
      <c r="A273" s="1">
        <v>5.0</v>
      </c>
      <c r="B273" s="1" t="s">
        <v>273</v>
      </c>
      <c r="C273" t="str">
        <f>IFERROR(__xludf.DUMMYFUNCTION("GOOGLETRANSLATE(B273, ""es"", ""en"")"),"Very correct bluetooth headphones I bought these headphones for a gift and I liked having a very simple design, elegant, beautiful and super practical, without cable. Despite not having lead the person to which I have given said posts are super good and n"&amp;"ot fall off even if you move or do sport. The package is very correct, very well presented. The quality of the sound, very good, has enough volume. It did not cost us anything sync. Bring instructions in Spanish, very useful. I liked the value for money. "&amp;"Amazing what battery lasts them and the box (which is loaded) gives to charge many times headphones, about 8, I had other headphones and just carried me 4 times. Currently there is nothing that we do not have liked.")</f>
        <v>Very correct bluetooth headphones I bought these headphones for a gift and I liked having a very simple design, elegant, beautiful and super practical, without cable. Despite not having lead the person to which I have given said posts are super good and not fall off even if you move or do sport. The package is very correct, very well presented. The quality of the sound, very good, has enough volume. It did not cost us anything sync. Bring instructions in Spanish, very useful. I liked the value for money. Amazing what battery lasts them and the box (which is loaded) gives to charge many times headphones, about 8, I had other headphones and just carried me 4 times. Currently there is nothing that we do not have liked.</v>
      </c>
    </row>
    <row r="274">
      <c r="A274" s="1">
        <v>2.0</v>
      </c>
      <c r="B274" s="1" t="s">
        <v>274</v>
      </c>
      <c r="C274" t="str">
        <f>IFERROR(__xludf.DUMMYFUNCTION("GOOGLETRANSLATE(B274, ""es"", ""en"")"),"The shoe soles slippery is beautiful, the fabric is very durable and easy to clean but watch as rain or a little step on a floor a bit slippery, you go to the ground. I do not know if it is a manufacturing fault in my shoes, but I have already fallen twic"&amp;"e.")</f>
        <v>The shoe soles slippery is beautiful, the fabric is very durable and easy to clean but watch as rain or a little step on a floor a bit slippery, you go to the ground. I do not know if it is a manufacturing fault in my shoes, but I have already fallen twice.</v>
      </c>
    </row>
    <row r="275">
      <c r="A275" s="1">
        <v>3.0</v>
      </c>
      <c r="B275" s="1" t="s">
        <v>275</v>
      </c>
      <c r="C275" t="str">
        <f>IFERROR(__xludf.DUMMYFUNCTION("GOOGLETRANSLATE(B275, ""es"", ""en"")"),"It conforms to the announcement. I like to work.")</f>
        <v>It conforms to the announcement. I like to work.</v>
      </c>
    </row>
    <row r="276">
      <c r="A276" s="1">
        <v>1.0</v>
      </c>
      <c r="B276" s="1" t="s">
        <v>276</v>
      </c>
      <c r="C276" t="str">
        <f>IFERROR(__xludf.DUMMYFUNCTION("GOOGLETRANSLATE(B276, ""es"", ""en"")"),"I bought the first failed experiment and returned it because it worked only reverse and could not find the charging base for coupling. They restocked me and sent me a second robot that did not work well. Contacted with the technical service iRobot, they t"&amp;"old me it was a new product that was causing problems. I finally returned to the second iRobot I will not buy more.")</f>
        <v>I bought the first failed experiment and returned it because it worked only reverse and could not find the charging base for coupling. They restocked me and sent me a second robot that did not work well. Contacted with the technical service iRobot, they told me it was a new product that was causing problems. I finally returned to the second iRobot I will not buy more.</v>
      </c>
    </row>
    <row r="277">
      <c r="A277" s="1">
        <v>1.0</v>
      </c>
      <c r="B277" s="1" t="s">
        <v>277</v>
      </c>
      <c r="C277" t="str">
        <f>IFERROR(__xludf.DUMMYFUNCTION("GOOGLETRANSLATE(B277, ""es"", ""en"")"),"Sleazy I lasted exactly 6 months. I do not understand how a brand like Assics can afford that. I suspect that they were actually an imitation, which say very little for Amazon.")</f>
        <v>Sleazy I lasted exactly 6 months. I do not understand how a brand like Assics can afford that. I suspect that they were actually an imitation, which say very little for Amazon.</v>
      </c>
    </row>
    <row r="278">
      <c r="A278" s="1">
        <v>1.0</v>
      </c>
      <c r="B278" s="1" t="s">
        <v>278</v>
      </c>
      <c r="C278" t="str">
        <f>IFERROR(__xludf.DUMMYFUNCTION("GOOGLETRANSLATE(B278, ""es"", ""en"")"),"It is in poor condition or has touched m China? I really like the size xq I can put on the key work and not lose it. But when I've used on different devices either do not recognize or restart the computers. Furthermore it heated loads when connected to an"&amp;"y system. I xq a shame I really like.")</f>
        <v>It is in poor condition or has touched m China? I really like the size xq I can put on the key work and not lose it. But when I've used on different devices either do not recognize or restart the computers. Furthermore it heated loads when connected to any system. I xq a shame I really like.</v>
      </c>
    </row>
    <row r="279">
      <c r="A279" s="1">
        <v>4.0</v>
      </c>
      <c r="B279" s="1" t="s">
        <v>279</v>
      </c>
      <c r="C279" t="str">
        <f>IFERROR(__xludf.DUMMYFUNCTION("GOOGLETRANSLATE(B279, ""es"", ""en"")"),"10. A 7'5 expected and at a good price. To go unnoticed among other books.")</f>
        <v>10. A 7'5 expected and at a good price. To go unnoticed among other books.</v>
      </c>
    </row>
    <row r="280">
      <c r="A280" s="1">
        <v>4.0</v>
      </c>
      <c r="B280" s="1" t="s">
        <v>280</v>
      </c>
      <c r="C280" t="str">
        <f>IFERROR(__xludf.DUMMYFUNCTION("GOOGLETRANSLATE(B280, ""es"", ""en"")"),"It's okay. With the price it is not the fastest. There are others who surpass him in reading, writing or both. But when you put it and do work, you appreciate it more. Gives a change to your old laptop. Windows boot in less than 30 seconds to 8 seconds .."&amp;". linux with the mechanic was 4 or 5 times longer.")</f>
        <v>It's okay. With the price it is not the fastest. There are others who surpass him in reading, writing or both. But when you put it and do work, you appreciate it more. Gives a change to your old laptop. Windows boot in less than 30 seconds to 8 seconds ... linux with the mechanic was 4 or 5 times longer.</v>
      </c>
    </row>
    <row r="281">
      <c r="A281" s="1">
        <v>4.0</v>
      </c>
      <c r="B281" s="1" t="s">
        <v>281</v>
      </c>
      <c r="C281" t="str">
        <f>IFERROR(__xludf.DUMMYFUNCTION("GOOGLETRANSLATE(B281, ""es"", ""en"")"),"Watch RFR simple, thin, discreet and functional. Excellent value for money. I use it daily to take him to work.")</f>
        <v>Watch RFR simple, thin, discreet and functional. Excellent value for money. I use it daily to take him to work.</v>
      </c>
    </row>
    <row r="282">
      <c r="A282" s="1">
        <v>4.0</v>
      </c>
      <c r="B282" s="1" t="s">
        <v>282</v>
      </c>
      <c r="C282" t="str">
        <f>IFERROR(__xludf.DUMMYFUNCTION("GOOGLETRANSLATE(B282, ""es"", ""en"")"),"It is perfect as shown")</f>
        <v>It is perfect as shown</v>
      </c>
    </row>
    <row r="283">
      <c r="A283" s="1">
        <v>4.0</v>
      </c>
      <c r="B283" s="1" t="s">
        <v>283</v>
      </c>
      <c r="C283" t="str">
        <f>IFERROR(__xludf.DUMMYFUNCTION("GOOGLETRANSLATE(B283, ""es"", ""en"")"),"Proteje of falls fits well on the hard disk, it seems fairly safe to avoid damaging falls. Closes with zip, has a pocket for cable and documentation. Also it has a conta to engage in the wrist when you transport and a carabiner")</f>
        <v>Proteje of falls fits well on the hard disk, it seems fairly safe to avoid damaging falls. Closes with zip, has a pocket for cable and documentation. Also it has a conta to engage in the wrist when you transport and a carabiner</v>
      </c>
    </row>
    <row r="284">
      <c r="A284" s="1">
        <v>5.0</v>
      </c>
      <c r="B284" s="1" t="s">
        <v>284</v>
      </c>
      <c r="C284" t="str">
        <f>IFERROR(__xludf.DUMMYFUNCTION("GOOGLETRANSLATE(B284, ""es"", ""en"")"),"Recommendable. &lt;Div id = ""video-block-R2WRAI0CDY71RE"" class = ""section a-a-a-spacing-small spacing-top-video mini-block""&gt; &lt;div tabindex = ""0"" class = ""airy airy-svg vmin- unsupported airy-skin-beacon ""style ="" background-color: rgb (0, 0, 0) posi"&amp;"tion: relative; width: 100%; height: 100%; font-size: 0px; overflow: hidden; outline: none ; ""&gt; &lt;div class ="" airy-renderer-container ""style ="" position: relative; height: 100%; width: 100%; ""&gt; &lt;video id ="" 7 ""preload ="" auto ""src ="" https: //im"&amp;"ages-eu.ssl-images-amazon.com/images/I/910jts3v2OS.mp4 ""style ="" position: absolute; left: 0px; top: 0px; overflow: hidden; height: 1px; width: 1px; "" &gt; &lt;/ video&gt; &lt;/ div&gt; &lt;div id = ""airy-slate-preload"" style = ""background-color: rgb (0, 0, 0); backg"&amp;"round-image: url (&amp; quot; https: // images- eu.ssl-images-amazon.com/images/I/A1tP9pX8NFS.png&amp;quot;); background-size: Contain; background-position: center center; background-repeat: no-repeat; position: absolute; top: 0px; left : 0px; visibility: visible"&amp;"; width: 100%; height: 100%; ""&gt; &lt;/ div&gt; &lt;iframe scrolling ="" no ""frameborde r = ""0"" src = ""about: blank"" style = ""display: none;""&gt; &lt;/ iframe&gt; &lt;div tabindex = ""- 1"" class = ""airy-controls-container"" style = ""opacity: 0; visibility: hidden; """&amp;"&gt; &lt;div tabindex ="" - 1 ""class ="" airy-screen-size-toggle airy-fullscreen ""&gt; &lt;/ div&gt; &lt;div tabindex ="" - 1 ""class ="" airy-container-bottom "" &gt; &lt;div tabindex = ""- 1"" class = ""airy-track-bar-spacer-left"" style = ""width: 11px;""&gt; &lt;/ div&gt; &lt;div tabi"&amp;"ndex = ""- 1"" class = ""airy-play- airy toggle-play ""style ="" width: 12px; margin-right: 12px; ""&gt; &lt;/ div&gt; &lt;div tabindex ="" - 1 ""class ="" airy-audio-elements ""style ="" float: right; width: 34px; ""&gt; &lt;div tabindex ="" - 1 ""class ="" airy-audio-tog"&amp;"gle airy-on ""&gt; &lt;/ div&gt; &lt;div tabindex ="" - 1 ""class ="" airy-audio-container ""style = ""opacity: 0; visibility: hidden; ""&gt; &lt;div tabindex ="" - 1 ""class ="" airy-audio-track-bar ""style ="" height: 80%; ""&gt; &lt;div tabindex ="" - 1 ""class ="" airy-audio"&amp;"- Scrubber-bar ""style ="" height: 85%; ""&gt; &lt;/ div&gt; &lt;div tabindex ="" - 1 ""class ="" airy-audio-scrubber ""style ="" height: 12px; bottom: 85% ""&gt; &lt;/ div&gt; &lt;/ div&gt; &lt;/ div&gt; &lt;/ div&gt; &lt;div tabindex ="" - 1 ""class ="" airy-duration-label ""style ="" float: ri"&amp;"ght; width: 26px; margin-right: 4px; text-align: center; ""&gt; 0:00 &lt;/ div&gt; &lt;div tabindex ="" - 1 ""class ="" airy-track-bar-spacer-right ""style ="" float: right; width: 11px; ""&gt; &lt;/ div&gt; &lt;div tabindex ="" - 1 ""class ="" airy-track-bar-container ""style ="&amp;""" margin-left: 35px; margin-right: 75px; ""&gt; &lt;div tabindex ="" - 1 ""class ="" airy-airy-track-bar vertically-centering-table ""&gt; &lt;div tabindex ="" - 1 ""class ="" airy-Vertical-centering- table-cell ""&gt; &lt;div tabindex ="" - 1 ""class ="" airy-track-bar-e"&amp;"lements ""&gt; &lt;div tabindex ="" - 1 ""class ="" airy-progress-bar ""&gt; &lt;/ div&gt; &lt;div tabindex = ""- 1"" class = ""airy-scrubber-bar""&gt; &lt;/ div&gt; &lt;div tabindex = ""- 1"" class = ""airy-scrubber""&gt; &lt;div tabindex = ""- 1"" class = ""airy-scrubber- icon ""&gt; &lt;/ div&gt;"&amp;" &lt;div tabindex ="" - 1 ""class ="" airy-adjusted-AUI-tooltip ""style ="" opacity: 0; visibility: hidden; ""&gt; &lt;div tabindex ="" - 1 ""class ="" airy-adjusted-aui-tooltip-inner ""&gt; &lt;div tabindex ="" - 1 ""class ="" airy-current-time-label ""&gt; 0: 00 &lt;/ div&gt; "&amp;"&lt;/ div&gt; &lt;div tabindex = ""- 1"" class = ""airy-adjusted-AUI-arrow-border""&gt; &lt;div tabindex = ""- 1"" class = ""airy-adjusted-AUI-arrow"" &gt; &lt;/ div&gt; &lt;/ div&gt; &lt;/ div&gt; &lt;/ div&gt; &lt;/ div&gt; &lt;/ div&gt; &lt;/ div&gt; &lt;/ div&gt; &lt;/ div&gt; &lt;/ div&gt; &lt;div tabindex = ""- 1"" class = ""air"&amp;"y-age-gate airy-stage airy-Vertical-centering-table airy-dialog"" style = ""opacity: 0; visibility: hidden; ""&gt; &lt;div tabindex ="" - 1 ""class ="" airy-age-gate-Vertical-centering-table-cell airy-Vertical-centering-table-cell ""&gt; &lt;div tabindex ="" - 1 ""cl"&amp;"ass = ""airy-Vertical-centering-wrapper airy-age-gate-elements-wrapper""&gt; &lt;div tabindex = ""- 1"" class = ""airy-age-gate-elements airy-dialog-elements""&gt; &lt;div tabindex = "" -1 ""class ="" airy-age-gate-prompt ""&gt; This video is not Intended for all audien"&amp;"ces What date were you born &lt;/ div&gt; &lt;div tabindex =.?"" - 1 ""class ="" airy-age-gate -inputs airy-dialog-inner-elements ""&gt; &lt;select tabindex ="" - 1 ""class ="" airy-age-gate-month ""&gt; &lt;option value ="" 1 ""&gt; January &lt;/ option&gt; &lt;option value ="" 2 ""&gt; Fe"&amp;"bruary &lt;/ option&gt; &lt;option value ="" 3 ""&gt; March &lt;/ option&gt; &lt;option value ="" 4 ""&gt; April &lt;/ option&gt; &lt;option value ="" 5 ""&gt; May &lt;/ option&gt; &lt;option value = ""6""&gt; June &lt;/ option&gt; &lt;option value = ""7""&gt; July &lt;/ option&gt; &lt;option value = ""8""&gt; August &lt;/ optio"&amp;"n&gt; &lt;option value = ""9""&gt; September &lt;/ option&gt; &lt;option value = ""10""&gt; October &lt;/ option&gt; &lt;option value = ""11""&gt; November &lt;/ option&gt; &lt;option value = ""12""&gt; December &lt;/ option&gt; &lt;/ select&gt; &lt;select tabindex = ""- 1"" class = ""airy-age-gate-day""&gt; &lt;opti on"&amp;" value = ""1""&gt; 1 &lt;/ option&gt; &lt;option value = ""2""&gt; 2 &lt;/ option&gt; &lt;option value = ""3""&gt; 3 &lt;/ option&gt; &lt;option value = ""4""&gt; 4 &lt;/ option &gt; &lt;option value = ""5""&gt; 5 &lt;/ option&gt; &lt;option value = ""6""&gt; 6 &lt;/ option&gt; &lt;option value = ""7""&gt; 7 &lt;/ option&gt; &lt;option v"&amp;"alue = ""8""&gt; 8 &lt; / option&gt; &lt;option value = ""9""&gt; 9 &lt;/ option&gt; &lt;option value = ""10""&gt; 10 &lt;/ option&gt; &lt;option value = ""11""&gt; 11 &lt;/ option&gt; &lt;option value = ""12""&gt; 12 &lt;/ option&gt; &lt;option value = ""13""&gt; 13 &lt;/ option&gt; &lt;option value = ""14""&gt; 14 &lt;/ option&gt; &lt;"&amp;"option value = ""15""&gt; 15 &lt;/ option&gt; &lt;option value = ""16 ""&gt; 16 &lt;/ option&gt; &lt;option value ="" 17 ""&gt; 17 &lt;/ option&gt; &lt;option value ="" 18 ""&gt; 18 &lt;/ option&gt; &lt;option value ="" 19 ""&gt; 19 &lt;/ option&gt; &lt;option value = ""20""&gt; 20 &lt;/ option&gt; &lt;option value = ""21""&gt; "&amp;"21 &lt;/ option&gt; &lt;option value = ""22""&gt; 22 &lt;/ option&gt; &lt;option value = ""23""&gt; 23 &lt;/ option&gt; &lt;option value = ""24""&gt; 24 &lt;/ option&gt; &lt;option value = ""25""&gt; 25 &lt;/ option&gt; &lt;option value = ""26""&gt; 26 &lt;/ option&gt; &lt;option value = ""27""&gt; 27 &lt;/ option&gt; &lt;option value"&amp;" = ""28""&gt; 28 &lt;/ option&gt; &lt;option value = ""29""&gt; 29 &lt;/ option&gt; &lt;option value = ""30""&gt; 30 &lt;/ option&gt; &lt;option value = ""31""&gt; 31 &lt;/ option&gt; &lt;/ select&gt; &lt;select tabindex = ""- 1"" class = ""airy-age-gate-year""&gt; &lt;option value = ""2019""&gt; 2019 &lt;/ option&gt; &lt; op"&amp;"tion value = ""2018""&gt; 2018 &lt;/ option&gt; &lt;option value = ""2017""&gt; 2017 &lt;/ option&gt; &lt;option value = ""2016""&gt; ​​2016 &lt;/ option&gt; &lt;option value = ""2015""&gt; 2015 &lt;/ option &gt; &lt;option value = ""2014""&gt; 2014 &lt;/ option&gt; &lt;option value = ""2013""&gt; 2013 &lt;/ option&gt; &lt;op"&amp;"tion value = ""2012""&gt; 2012 &lt;/ option&gt; &lt;option value = ""2011""&gt; 2011 &lt; / option&gt; &lt;option value = ""2010""&gt; 2010 &lt;/ option&gt; &lt;option value = ""2009""&gt; 2009 &lt;/ option&gt; &lt;option value = ""2008""&gt; 2008 &lt;/ option&gt; &lt;option value = ""2007""&gt; 2007 &lt;/ option&gt; &lt;opti"&amp;"on value = ""2006""&gt; 2006 &lt;/ option&gt; &lt;option value = ""2005""&gt; 2005 &lt;/ option&gt; &lt;option value = ""2004""&gt; 2004 &lt;/ option&gt; &lt;option value = ""2003 ""&gt; 2003 &lt;/ option&gt; &lt;option value ="" 2002 ""&gt; 2002 &lt;/ option&gt; &lt;option value ="" 2001 ""&gt; 2001 &lt;/ option&gt; &lt;opti"&amp;"on value ="" 2000 ""&gt; 2000 &lt;/ option&gt; &lt;option value = ""1999""&gt; 1999 &lt;/ option&gt; &lt;option value = ""1998""&gt; 1998 &lt;/ option&gt; &lt;option value = ""1997""&gt; 1997 &lt;/ option&gt; &lt;option value = ""1996""&gt; 1996 &lt;/ option&gt; &lt;option value = ""1995""&gt; 1995 &lt;/ option&gt; &lt;option"&amp;" value = ""1994""&gt; 1994 &lt;/ option&gt; &lt;option value = ""1993""&gt; 1993 &lt;/ option&gt; &lt;option value = ""1992""&gt; 1992 &lt;/ option&gt; &lt;option value = ""1991""&gt; 1991 &lt;/ option&gt; &lt;option value = ""1990""&gt; 1990 &lt;/ option&gt; &lt;option value = "" 1989 ""&gt; 1989 &lt;/ option&gt; &lt;option "&amp;"value ="" 1988 ""&gt; 1988 &lt;/ option&gt; &lt;option value ="" 1987 ""&gt; 1987 &lt;/ option&gt; &lt;option value ="" 1986 ""&gt; 1986 &lt;/ option&gt; &lt;value option = ""1985""&gt; 1985 &lt;/ option&gt; &lt;option value = ""1984""&gt; 1984 &lt;/ option&gt; &lt;option value = ""1983""&gt; 1983 &lt;/ option&gt; &lt;option "&amp;"value = ""1982""&gt; 1982 &lt;/ option&gt; &lt; option value = ""1981""&gt; 1981 &lt;/ option&gt; &lt;option value = ""1980""&gt; 1980 &lt;/ option&gt; &lt;option value = ""1979""&gt; 1979 &lt;/ option&gt; &lt;option value = ""1978""&gt; 1978 &lt;/ option &gt; &lt;option value = ""1977""&gt; 1977 &lt;/ option&gt; &lt;option v"&amp;"alue = ""1976""&gt; 1976 &lt;/ option&gt; &lt;option value = ""1975""&gt; 1975 &lt;/ option&gt; &lt;option value = ""1974""&gt; 1974 &lt; / option&gt; &lt;option value = ""1973""&gt; 1973 &lt;/ option&gt; &lt;option value = ""1972""&gt; 1972 &lt;/ option&gt; &lt;option value = ""1971""&gt; 1971 &lt;/ option&gt; &lt;option val"&amp;"ue = ""1970""&gt; 1970 &lt;/ option&gt; &lt;option value = ""1969""&gt; 1969 &lt;/ option&gt; &lt;option value = ""1968""&gt; 1968 &lt;/ option&gt; &lt;option value = ""1967""&gt; 1967 &lt;/ option&gt; &lt;option value = ""1966 ""&gt; 1966 &lt;/ option&gt; &lt;option value ="" 1965 ""&gt; 1965 &lt;/ option&gt; &lt;option valu"&amp;"e ="" 1964 ""&gt; 1964 &lt;/ option&gt; &lt;option value ="" 1963 ""&gt; 1963 &lt;/ option&gt; &lt;option value = ""1962""&gt; 1962 &lt;/ option&gt; &lt;option value = ""1961""&gt; 1961 &lt;/ option&gt; &lt;option value = ""1960""&gt; 1960 &lt;/ op tion&gt; &lt;option value = ""1959""&gt; 1959 &lt;/ option&gt; &lt;option valu"&amp;"e = ""1958""&gt; 1958 &lt;/ option&gt; &lt;option value = ""1957""&gt; 1957 &lt;/ option&gt; &lt;option value = ""1956""&gt; 1956 &lt;/ option&gt; &lt;option value = ""1955""&gt; 1955 &lt;/ option&gt; &lt;option value = ""1954""&gt; 1954 &lt;/ option&gt; &lt;option value = ""1953""&gt; 1953 &lt;/ option&gt; &lt;option value ="&amp;" ""1952""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"&amp;"= ""1940""&gt;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&lt;value option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airy-stage airy -vertical-centering-table-dialog airy airy-denied ""style ="" opacity: 0;"&amp;" visibility: hidden; ""&gt; &lt;div tabindex ="" - 1 ""class ="" airy-install-flash-Vertical-centering-table-cell airy-Vertical-centering-table-cell ""&gt; &lt;div tabindex ="" - 1 ""class = ""airy-Vertical-centering-wrapper airy-install-flash-elements-wrapper""&gt; &lt;di"&amp;"v tabindex = ""- 1"" class = ""airy-install-flash-elements airy-dialog-elements""&gt; &lt;div tabindex = "" -1 ""class ="" airy-install-flash-prompt ""&gt; Adobe Flash Player is required to watch this video &lt;/ div&gt; &lt;div tabindex =."" - 1 ""class ="" airy-install-f"&amp;"lash-button-wrapper airy -dialog-inner-elements ""&gt; &lt;div tabindex ="" - 1 ""class ="" airy-install-flash-button airy-button ""&gt; install Flash Player &lt;/ div&gt; &lt;/ div&gt; &lt;/ div&gt; &lt;/ div&gt; &lt;/ div&gt; &lt;/ div&gt; &lt;div tabindex = ""- 1"" class = ""airy-video-unsupported-d"&amp;"ialog airy-stage airy-Vertical-centering-table airy-dialog airy-denied"" style = ""opacity: 0; visibility: hidden; ""&gt; &lt;div tabindex ="" - 1 ""class ="" airy-video-unsupported-Vertical-centering-table-cell airy-Vertical-centering-table-cell ""&gt; &lt;div tabin"&amp;"dex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tabinde"&amp;"x ="" - 1 ""class ="" airy-loading-spinner-container airy-scalable-hint-container ""&gt; &lt;div tabindex ="" - 1 ""class ="" airy-loading-spinner-dummy airy-scalable-dummy ""&gt; &lt;/ div&gt; &lt; div tabindex = ""- 1"" class = ""airy-loading-spinner airy-hint"" style = "&amp;"""visibility: hidden;""&gt; &lt;/ div&gt; &lt;/ div&gt; &lt;/ div&gt; &lt;/ div&gt; &lt;div tabindex = ""- 1 ""class ="" airy-ads-screen-size-toggle airy-screen-size-toggle-fullscreen airy ""style ="" visibility: hidden; ""&gt; &lt;/ div&gt; &lt;div tabindex = ""-1"" class = ""airy-ad-prompt-cont"&amp;"ainer"" style = ""visibility: hidden;""&gt; &lt;div tabindex = ""- 1"" class = ""airy-ad-prompt-Vertical-centering-table-vertically airy centering-table ""&gt; &lt;div tabindex ="" - 1 ""class ="" airy-ad-prompt-Vertical-centering-table-cell airy-Vertical-centering-t"&amp;"able-cell ""&gt; &lt;div tabindex ="" - 1 ""class = ""airy-ad-prompt-label""&gt; &lt;/ div&gt; &lt;/ div&gt; &lt;/ div&gt; &lt;/ div&gt; &lt;div tabindex = ""- 1"" class = ""airy-ads-controls-container"" style = ""visibility: hidden; ""&gt; &lt;div tabindex ="" - 1 ""class ="" airy-ads-audio-togg"&amp;"le airy-audio-toggle airy-on ""style ="" visibility: hidden; ""&gt; &lt;/ div&gt; &lt;div tabindex ="" - 1 ""class ="" airy-time-remaining-label-container ""&gt; &lt;div tabindex ="" - 1 ""class ="" airy-time-remaining-Vertical-centering-table airy-Vertical-centering-table"&amp;"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&lt;/ "&amp;"div&gt; &lt;/ div&gt; &lt;/ div&gt; &lt;/ div&gt; &lt;/ div&gt; &lt;div tabindex ="" - 1 ""class ="" airy-learn-more ""style ="" visibility: hidden; ""&gt; &lt;/ div&gt; &lt;/ div&gt; &lt;div tabindex = ""- 1"" class = ""airy-play-toggle-hint-stage airy-stage airy-cursor""&gt; &lt;div tabindex = ""- 1"" clas"&amp;"s = ""airy-play -toggle-hint-Vertical-centering-table-cell airy-Vertical-centering-table-cell airy-cursor ""&gt; &lt;div tabindex ="" - 1 ""class ="" airy-play-toggle-hint-container airy-scalable- Hint-container ""&gt; &lt;div tabindex ="" - 1 ""class ="" airy-play-t"&amp;"oggle-hint-dummy airy-scalable-dummy ""&gt; &lt;/ div&gt; &lt;div tabindex ="" - 1 ""class ="" airy-play -toggle-hint hint airy-airy-play-hint ""style ="" opacity: 1; visibility: visible; ""&gt; &lt;/ div&gt; &lt;/ div&gt; &lt;/ div&gt; &lt;/ div&gt; &lt;div tabindex ="" - 1 ""class ="" airy-repl"&amp;"ay-hint-stage airy-stage ""style ="" visibility: hidden ; ""&gt; &lt;div tabindex ="" - 1 ""class ="" airy-replay-hint-Vertical-centering-table-cell airy-Vertical-centering-table-cell airy-cursor ""&gt; &lt;div tabindex ="" - 1 ""class = ""airy-replay-hint-container "&amp;"airy-scalable-hint-container""&gt; &lt;div tabindex = ""- 1"" class = ""airy-replay-hint-dummy airy-scalable-dummy""&gt; &lt;/ div&gt; &lt;div tabindex = ""- 1"" class = ""airy-replay-hint airy-hint""&gt; &lt;/ div&gt; &lt;/ div&gt; &lt;/ div&gt; &lt;/ div&gt; &lt;div tabindex = ""- 1"" class = ""airy-"&amp;"autoplay-hint -stage airy-stage ""style ="" visibility: hidden; ""&gt; &lt;div tabindex ="" - 1 ""class ="" airy-autoplay-hint-Vertical-centering-table-cell airy-Vertical-centering-table-cell airy- cursor ""&gt; &lt;div tabindex ="" - 1 ""class ="" autoplay airy-airy"&amp;"-hint-container-scalable-hint-container ""&gt; &lt;div tabindex ="" - 1 ""class ="" airy-autoplay-hint-dummy airy- scalable-dummy ""&gt; &lt;/ div&gt; &lt;/ div&gt; &lt;/ div&gt; &lt;/ div&gt; &lt;/ div&gt; &lt;/ div&gt; &lt;input type ="" hidden ""name ="" ""value ="" https: // images-eu .ssl-images-a"&amp;"mazon.com / images / I / 910jts3v2OS.mp4 ""Class ="" video-url ""&gt; &lt;input type ="" hidden ""name ="" ""value ="" https://images-eu.ssl-images-amazon.com/images/I/A1tP9pX8NFS.png ""class ="" video-slate-img-url ""&gt; &amp; nbsp; Very nice and fine, looks good qu"&amp;"ality, ideal for dressing. Very happy with the purchase, I hope I last long. I recommend it.")</f>
        <v>Recommendable. &lt;Div id = "video-block-R2WRAI0CDY71RE" class = "section a-a-a-spacing-small spacing-top-video mini-block"&gt; &lt;div tabindex = "0" class = "airy airy-svg vmin- unsupported airy-skin-beacon "style =" background-color: rgb (0, 0, 0) position: relative; width: 100%; height: 100%; font-size: 0px; overflow: hidden; outline: none ; "&gt; &lt;div class =" airy-renderer-container "style =" position: relative; height: 100%; width: 100%; "&gt; &lt;video id =" 7 "preload =" auto "src =" https: //images-eu.ssl-images-amazon.com/images/I/910jts3v2OS.mp4 "style =" position: absolute; left: 0px; top: 0px; overflow: hidden; height: 1px; width: 1px; " &gt; &lt;/ video&gt; &lt;/ div&gt; &lt;div id = "airy-slate-preload" style = "background-color: rgb (0, 0, 0); background-image: url (&amp; quot; https: // images- eu.ssl-images-amazon.com/images/I/A1tP9pX8NFS.png&amp;quot;); background-size: Contain; background-position: center center; background-repeat: no-repeat; position: absolute; top: 0px; left : 0px; visibility: visible; width: 100%; height: 100%; "&gt; &lt;/ div&gt; &lt;iframe scrolling =" no "frameborde 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910jts3v2OS.mp4 "Class =" video-url "&gt; &lt;input type =" hidden "name =" "value =" https://images-eu.ssl-images-amazon.com/images/I/A1tP9pX8NFS.png "class =" video-slate-img-url "&gt; &amp; nbsp; Very nice and fine, looks good quality, ideal for dressing. Very happy with the purchase, I hope I last long. I recommend it.</v>
      </c>
    </row>
    <row r="285">
      <c r="A285" s="1">
        <v>5.0</v>
      </c>
      <c r="B285" s="1" t="s">
        <v>285</v>
      </c>
      <c r="C285" t="str">
        <f>IFERROR(__xludf.DUMMYFUNCTION("GOOGLETRANSLATE(B285, ""es"", ""en"")"),"World map pendant The pendant is well sized, as in the image, comes with an ideal gift box.")</f>
        <v>World map pendant The pendant is well sized, as in the image, comes with an ideal gift box.</v>
      </c>
    </row>
    <row r="286">
      <c r="A286" s="1">
        <v>5.0</v>
      </c>
      <c r="B286" s="1" t="s">
        <v>286</v>
      </c>
      <c r="C286" t="str">
        <f>IFERROR(__xludf.DUMMYFUNCTION("GOOGLETRANSLATE(B286, ""es"", ""en"")"),"Size is very happy normal. Very comfortable. All perfect")</f>
        <v>Size is very happy normal. Very comfortable. All perfect</v>
      </c>
    </row>
    <row r="287">
      <c r="A287" s="1">
        <v>5.0</v>
      </c>
      <c r="B287" s="1" t="s">
        <v>287</v>
      </c>
      <c r="C287" t="str">
        <f>IFERROR(__xludf.DUMMYFUNCTION("GOOGLETRANSLATE(B287, ""es"", ""en"")"),"Quick and easy connectivity with phone connects quickly and easily with the Bluetooth mobile phone. The sound is loud and sounds very good. You can transfer songs from the micro buttons, volume up or down ... The finishes are good and comes with the cable"&amp;" to charge the battery. I bought it for my daughter and it is a great gift.")</f>
        <v>Quick and easy connectivity with phone connects quickly and easily with the Bluetooth mobile phone. The sound is loud and sounds very good. You can transfer songs from the micro buttons, volume up or down ... The finishes are good and comes with the cable to charge the battery. I bought it for my daughter and it is a great gift.</v>
      </c>
    </row>
    <row r="288">
      <c r="A288" s="1">
        <v>5.0</v>
      </c>
      <c r="B288" s="1" t="s">
        <v>288</v>
      </c>
      <c r="C288" t="str">
        <f>IFERROR(__xludf.DUMMYFUNCTION("GOOGLETRANSLATE(B288, ""es"", ""en"")"),"Very good had them in white, good quality and perfect sound quality. They are the only headphones I like since that completely plugged my external cause hearing me empty feeling in my ears.")</f>
        <v>Very good had them in white, good quality and perfect sound quality. They are the only headphones I like since that completely plugged my external cause hearing me empty feeling in my ears.</v>
      </c>
    </row>
    <row r="289">
      <c r="A289" s="1">
        <v>5.0</v>
      </c>
      <c r="B289" s="1" t="s">
        <v>289</v>
      </c>
      <c r="C289" t="str">
        <f>IFERROR(__xludf.DUMMYFUNCTION("GOOGLETRANSLATE(B289, ""es"", ""en"")"),"Antiskid they remain wonderfully well, and they are truly slip, as I have had others who slipped despite being slip. Comfortable, beautiful and practical.")</f>
        <v>Antiskid they remain wonderfully well, and they are truly slip, as I have had others who slipped despite being slip. Comfortable, beautiful and practical.</v>
      </c>
    </row>
    <row r="290">
      <c r="A290" s="1">
        <v>5.0</v>
      </c>
      <c r="B290" s="1" t="s">
        <v>290</v>
      </c>
      <c r="C290" t="str">
        <f>IFERROR(__xludf.DUMMYFUNCTION("GOOGLETRANSLATE(B290, ""es"", ""en"")"),"The ssd faster he buys market for the iMac, I have been using to make a backup of the computer through the machine time, is the second that I have, the first to use it boot with the operating system, quality samsung and speed, ssd noticeable speed.")</f>
        <v>The ssd faster he buys market for the iMac, I have been using to make a backup of the computer through the machine time, is the second that I have, the first to use it boot with the operating system, quality samsung and speed, ssd noticeable speed.</v>
      </c>
    </row>
    <row r="291">
      <c r="A291" s="1">
        <v>5.0</v>
      </c>
      <c r="B291" s="1" t="s">
        <v>291</v>
      </c>
      <c r="C291" t="str">
        <f>IFERROR(__xludf.DUMMYFUNCTION("GOOGLETRANSLATE(B291, ""es"", ""en"")"),"They are wonderful and better order a number minus I'm loyal to this brand with minor exceptions. As always you have to order a number less and divinely fit the foot, they are also wonderfully flexible. Ideal for wide feet. Very comfortable. Would buy in "&amp;"hesitation and also recommend")</f>
        <v>They are wonderful and better order a number minus I'm loyal to this brand with minor exceptions. As always you have to order a number less and divinely fit the foot, they are also wonderfully flexible. Ideal for wide feet. Very comfortable. Would buy in hesitation and also recommend</v>
      </c>
    </row>
    <row r="292">
      <c r="A292" s="1">
        <v>5.0</v>
      </c>
      <c r="B292" s="1" t="s">
        <v>292</v>
      </c>
      <c r="C292" t="str">
        <f>IFERROR(__xludf.DUMMYFUNCTION("GOOGLETRANSLATE(B292, ""es"", ""en"")"),"What a surprise!!! Better than I thought, I thought it would be pure plastic but it is a very compact clock and gives the pego")</f>
        <v>What a surprise!!! Better than I thought, I thought it would be pure plastic but it is a very compact clock and gives the pego</v>
      </c>
    </row>
    <row r="293">
      <c r="A293" s="1">
        <v>5.0</v>
      </c>
      <c r="B293" s="1" t="s">
        <v>293</v>
      </c>
      <c r="C293" t="str">
        <f>IFERROR(__xludf.DUMMYFUNCTION("GOOGLETRANSLATE(B293, ""es"", ""en"")"),"Relog not very good relog looks nice and big, all right, but submersible to 50m is not true, I showered and already the water came. In order an inexpensive thing you can not expect everything.")</f>
        <v>Relog not very good relog looks nice and big, all right, but submersible to 50m is not true, I showered and already the water came. In order an inexpensive thing you can not expect everything.</v>
      </c>
    </row>
    <row r="294">
      <c r="A294" s="1">
        <v>5.0</v>
      </c>
      <c r="B294" s="1" t="s">
        <v>294</v>
      </c>
      <c r="C294" t="str">
        <f>IFERROR(__xludf.DUMMYFUNCTION("GOOGLETRANSLATE(B294, ""es"", ""en"")"),"Meets perfect function")</f>
        <v>Meets perfect function</v>
      </c>
    </row>
    <row r="295">
      <c r="A295" s="1">
        <v>5.0</v>
      </c>
      <c r="B295" s="1" t="s">
        <v>295</v>
      </c>
      <c r="C295" t="str">
        <f>IFERROR(__xludf.DUMMYFUNCTION("GOOGLETRANSLATE(B295, ""es"", ""en"")"),"10 Perfect and very Nonito better than I expected ... I recommend it ..")</f>
        <v>10 Perfect and very Nonito better than I expected ... I recommend it ..</v>
      </c>
    </row>
    <row r="296">
      <c r="A296" s="1">
        <v>5.0</v>
      </c>
      <c r="B296" s="1" t="s">
        <v>296</v>
      </c>
      <c r="C296" t="str">
        <f>IFERROR(__xludf.DUMMYFUNCTION("GOOGLETRANSLATE(B296, ""es"", ""en"")"),"Practical Drain well so it helps when scrubbing floors")</f>
        <v>Practical Drain well so it helps when scrubbing floors</v>
      </c>
    </row>
    <row r="297">
      <c r="A297" s="1">
        <v>5.0</v>
      </c>
      <c r="B297" s="1" t="s">
        <v>297</v>
      </c>
      <c r="C297" t="str">
        <f>IFERROR(__xludf.DUMMYFUNCTION("GOOGLETRANSLATE(B297, ""es"", ""en"")"),"Correct function and storage I bought to back up my macbook pro and my impressions with him have been very good. What surprised me the naked eye was its size and weight, is very thin, very light, box bulged the least and yet real 500.08 GB of free space I"&amp;" have checked and are correct that I ordered. Compatibility has been high, I plugged it into my Mac and then I recognized him and I got the message if you want to back up. The good thing about the hard drive so cheaply that I managed to have plenty of sto"&amp;"rage. I was hesitant to use my old hard drive but only the housing was needed for recycling and more expensive in proportion. In addition, another aspect that I liked and I was like transfer speed, it shows far more so when many files are the 3.0 feature."&amp;" In short, with've got triple the capacity of my laptop, I have taken space problems, I have also saved time and I can take it everywhere because it is very light, it is very important to me. I'm really satisfied with my purchase.")</f>
        <v>Correct function and storage I bought to back up my macbook pro and my impressions with him have been very good. What surprised me the naked eye was its size and weight, is very thin, very light, box bulged the least and yet real 500.08 GB of free space I have checked and are correct that I ordered. Compatibility has been high, I plugged it into my Mac and then I recognized him and I got the message if you want to back up. The good thing about the hard drive so cheaply that I managed to have plenty of storage. I was hesitant to use my old hard drive but only the housing was needed for recycling and more expensive in proportion. In addition, another aspect that I liked and I was like transfer speed, it shows far more so when many files are the 3.0 feature. In short, with've got triple the capacity of my laptop, I have taken space problems, I have also saved time and I can take it everywhere because it is very light, it is very important to me. I'm really satisfied with my purchase.</v>
      </c>
    </row>
    <row r="298">
      <c r="A298" s="1">
        <v>5.0</v>
      </c>
      <c r="B298" s="1" t="s">
        <v>298</v>
      </c>
      <c r="C298" t="str">
        <f>IFERROR(__xludf.DUMMYFUNCTION("GOOGLETRANSLATE(B298, ""es"", ""en"")"),"Versatil I bought my son who is studying hospitality. And she is delighted. Especially with the juices that makes and takes them with portable glass. Very good!")</f>
        <v>Versatil I bought my son who is studying hospitality. And she is delighted. Especially with the juices that makes and takes them with portable glass. Very good!</v>
      </c>
    </row>
    <row r="299">
      <c r="A299" s="1">
        <v>5.0</v>
      </c>
      <c r="B299" s="1" t="s">
        <v>299</v>
      </c>
      <c r="C299" t="str">
        <f>IFERROR(__xludf.DUMMYFUNCTION("GOOGLETRANSLATE(B299, ""es"", ""en"")"),"Very nice and very good price Lovely brooch, I did not think it was so nice, for the price, is fantastic.")</f>
        <v>Very nice and very good price Lovely brooch, I did not think it was so nice, for the price, is fantastic.</v>
      </c>
    </row>
    <row r="300">
      <c r="A300" s="1">
        <v>5.0</v>
      </c>
      <c r="B300" s="1" t="s">
        <v>300</v>
      </c>
      <c r="C300" t="str">
        <f>IFERROR(__xludf.DUMMYFUNCTION("GOOGLETRANSLATE(B300, ""es"", ""en"")"),"for what it is, and how it fits, stunning highly recommended, although its appearance is very Chinese plastic, that is not noticeable at a distance or touch. It makes a very good shape, as the photo. I recommend it")</f>
        <v>for what it is, and how it fits, stunning highly recommended, although its appearance is very Chinese plastic, that is not noticeable at a distance or touch. It makes a very good shape, as the photo. I recommend it</v>
      </c>
    </row>
    <row r="301">
      <c r="A301" s="1">
        <v>5.0</v>
      </c>
      <c r="B301" s="1" t="s">
        <v>301</v>
      </c>
      <c r="C301" t="str">
        <f>IFERROR(__xludf.DUMMYFUNCTION("GOOGLETRANSLATE(B301, ""es"", ""en"")"),"Good quality bass I was surprised by the good quality of the bass / low for the price they have. They fit very well to the ear. Cable texture is rubbery and has good touch. It also comes with 2 pairs of replacement pads, some large and some small. By putt"&amp;"ing downside it is that I have liked the connector out in an ""L"" instead of as ""I"", but it's a minor quibble.")</f>
        <v>Good quality bass I was surprised by the good quality of the bass / low for the price they have. They fit very well to the ear. Cable texture is rubbery and has good touch. It also comes with 2 pairs of replacement pads, some large and some small. By putting downside it is that I have liked the connector out in an "L" instead of as "I", but it's a minor quibble.</v>
      </c>
    </row>
    <row r="302">
      <c r="A302" s="1">
        <v>5.0</v>
      </c>
      <c r="B302" s="1" t="s">
        <v>302</v>
      </c>
      <c r="C302" t="str">
        <f>IFERROR(__xludf.DUMMYFUNCTION("GOOGLETRANSLATE(B302, ""es"", ""en"")"),"I like it works")</f>
        <v>I like it works</v>
      </c>
    </row>
    <row r="303">
      <c r="A303" s="1">
        <v>2.0</v>
      </c>
      <c r="B303" s="1" t="s">
        <v>303</v>
      </c>
      <c r="C303" t="str">
        <f>IFERROR(__xludf.DUMMYFUNCTION("GOOGLETRANSLATE(B303, ""es"", ""en"")"),"Mala unserviceable delaterial quality and the twisted brush hairs. Then it is too wide relative to the slot grosos window .... Therefore I can not insert the blade")</f>
        <v>Mala unserviceable delaterial quality and the twisted brush hairs. Then it is too wide relative to the slot grosos window .... Therefore I can not insert the blade</v>
      </c>
    </row>
    <row r="304">
      <c r="A304" s="1">
        <v>3.0</v>
      </c>
      <c r="B304" s="1" t="s">
        <v>304</v>
      </c>
      <c r="C304" t="str">
        <f>IFERROR(__xludf.DUMMYFUNCTION("GOOGLETRANSLATE(B304, ""es"", ""en"")"),"Large even looking Joma size chart sizes are grandes.Tuve to return the S.Mido 92 breast, 63 kgs, 1.70 tall If you look like Falete (comparing everything is very handy with) the M's your size")</f>
        <v>Large even looking Joma size chart sizes are grandes.Tuve to return the S.Mido 92 breast, 63 kgs, 1.70 tall If you look like Falete (comparing everything is very handy with) the M's your size</v>
      </c>
    </row>
    <row r="305">
      <c r="A305" s="1">
        <v>3.0</v>
      </c>
      <c r="B305" s="1" t="s">
        <v>305</v>
      </c>
      <c r="C305" t="str">
        <f>IFERROR(__xludf.DUMMYFUNCTION("GOOGLETRANSLATE(B305, ""es"", ""en"")"),"They drain a little I like them because they are ankle length and pockets are very useful. What I do not like is that, although my size, drain a little hip, so not recommend for people to run.")</f>
        <v>They drain a little I like them because they are ankle length and pockets are very useful. What I do not like is that, although my size, drain a little hip, so not recommend for people to run.</v>
      </c>
    </row>
    <row r="306">
      <c r="A306" s="1">
        <v>3.0</v>
      </c>
      <c r="B306" s="1" t="s">
        <v>306</v>
      </c>
      <c r="C306" t="str">
        <f>IFERROR(__xludf.DUMMYFUNCTION("GOOGLETRANSLATE(B306, ""es"", ""en"")"),"Correct correct in what you can ask staples. The shipment was satisfactory, when you need staples again probably buy you the same.")</f>
        <v>Correct correct in what you can ask staples. The shipment was satisfactory, when you need staples again probably buy you the same.</v>
      </c>
    </row>
    <row r="307">
      <c r="A307" s="1">
        <v>1.0</v>
      </c>
      <c r="B307" s="1" t="s">
        <v>307</v>
      </c>
      <c r="C307" t="str">
        <f>IFERROR(__xludf.DUMMYFUNCTION("GOOGLETRANSLATE(B307, ""es"", ""en"")"),"False Totally agree with the previous comments, a couple of uses and begins to see the originals that they are loved and go disappointment, I ignore case comments and I came expensive, not recommend it for anything this purchase")</f>
        <v>False Totally agree with the previous comments, a couple of uses and begins to see the originals that they are loved and go disappointment, I ignore case comments and I came expensive, not recommend it for anything this purchase</v>
      </c>
    </row>
    <row r="308">
      <c r="A308" s="1">
        <v>1.0</v>
      </c>
      <c r="B308" s="1" t="s">
        <v>308</v>
      </c>
      <c r="C308" t="str">
        <f>IFERROR(__xludf.DUMMYFUNCTION("GOOGLETRANSLATE(B308, ""es"", ""en"")"),"Failure from day one not going well, you put a ticket of 100 and 200 detects ongoing Devolucion")</f>
        <v>Failure from day one not going well, you put a ticket of 100 and 200 detects ongoing Devolucion</v>
      </c>
    </row>
    <row r="309">
      <c r="A309" s="1">
        <v>4.0</v>
      </c>
      <c r="B309" s="1" t="s">
        <v>309</v>
      </c>
      <c r="C309" t="str">
        <f>IFERROR(__xludf.DUMMYFUNCTION("GOOGLETRANSLATE(B309, ""es"", ""en"")"),"PRODUCTIVE Sounds great. You should try it with a wireless device to see the fall you have, but studied and even outside has a capacity to collect sound very clean.")</f>
        <v>PRODUCTIVE Sounds great. You should try it with a wireless device to see the fall you have, but studied and even outside has a capacity to collect sound very clean.</v>
      </c>
    </row>
    <row r="310">
      <c r="A310" s="1">
        <v>4.0</v>
      </c>
      <c r="B310" s="1" t="s">
        <v>310</v>
      </c>
      <c r="C310" t="str">
        <f>IFERROR(__xludf.DUMMYFUNCTION("GOOGLETRANSLATE(B310, ""es"", ""en"")"),"Basic headphones can hear a little low for my taste. The duration is still correct")</f>
        <v>Basic headphones can hear a little low for my taste. The duration is still correct</v>
      </c>
    </row>
    <row r="311">
      <c r="A311" s="1">
        <v>4.0</v>
      </c>
      <c r="B311" s="1" t="s">
        <v>311</v>
      </c>
      <c r="C311" t="str">
        <f>IFERROR(__xludf.DUMMYFUNCTION("GOOGLETRANSLATE(B311, ""es"", ""en"")"),"Price is not complaining")</f>
        <v>Price is not complaining</v>
      </c>
    </row>
    <row r="312">
      <c r="A312" s="1">
        <v>4.0</v>
      </c>
      <c r="B312" s="1" t="s">
        <v>312</v>
      </c>
      <c r="C312" t="str">
        <f>IFERROR(__xludf.DUMMYFUNCTION("GOOGLETRANSLATE(B312, ""es"", ""en"")"),"LIGE watch The watch arrived on schedule and perfectly packaged. Very comfortable for everyday use.")</f>
        <v>LIGE watch The watch arrived on schedule and perfectly packaged. Very comfortable for everyday use.</v>
      </c>
    </row>
    <row r="313">
      <c r="A313" s="1">
        <v>5.0</v>
      </c>
      <c r="B313" s="1" t="s">
        <v>313</v>
      </c>
      <c r="C313" t="str">
        <f>IFERROR(__xludf.DUMMYFUNCTION("GOOGLETRANSLATE(B313, ""es"", ""en"")"),"Good buy to offer! Great, like an EVO but with less guarantee, for which we usually change each less and save some money :)")</f>
        <v>Good buy to offer! Great, like an EVO but with less guarantee, for which we usually change each less and save some money :)</v>
      </c>
    </row>
    <row r="314">
      <c r="A314" s="1">
        <v>5.0</v>
      </c>
      <c r="B314" s="1" t="s">
        <v>314</v>
      </c>
      <c r="C314" t="str">
        <f>IFERROR(__xludf.DUMMYFUNCTION("GOOGLETRANSLATE(B314, ""es"", ""en"")"),"Very useful, so far it works perfect and I have about 3 months. Perfect for boiling water in reasonable time while doing something else, I needed something to boil water and reduce the heating time in the kitchen and it works perfect.")</f>
        <v>Very useful, so far it works perfect and I have about 3 months. Perfect for boiling water in reasonable time while doing something else, I needed something to boil water and reduce the heating time in the kitchen and it works perfect.</v>
      </c>
    </row>
    <row r="315">
      <c r="A315" s="1">
        <v>5.0</v>
      </c>
      <c r="B315" s="1" t="s">
        <v>315</v>
      </c>
      <c r="C315" t="str">
        <f>IFERROR(__xludf.DUMMYFUNCTION("GOOGLETRANSLATE(B315, ""es"", ""en"")"),"Great wonderful, I have 1 month in and I do not regret having bought, for a YouTube channel quality intensity, the gain is wonderful, not lost, if you're hesitating to buy it, do not hesitate and buy it, because do not you'll regret it, I love it.")</f>
        <v>Great wonderful, I have 1 month in and I do not regret having bought, for a YouTube channel quality intensity, the gain is wonderful, not lost, if you're hesitating to buy it, do not hesitate and buy it, because do not you'll regret it, I love it.</v>
      </c>
    </row>
    <row r="316">
      <c r="A316" s="1">
        <v>5.0</v>
      </c>
      <c r="B316" s="1" t="s">
        <v>316</v>
      </c>
      <c r="C316" t="str">
        <f>IFERROR(__xludf.DUMMYFUNCTION("GOOGLETRANSLATE(B316, ""es"", ""en"")"),"Small and compact. Quality sound! How wonderful .. I have several wireless headphones and are the first to adapt like no other, you forget you're wearing them. They dream that is a luxury. They are automatically connected by Bluetooth to mobile, when you "&amp;"get out of the base. Great for day to day. Listening to music and sports. External noise eliminated everything to help you focus. Comodisumos you see, which are loaded in their own box. Good feeling from the first moment in which out of the box. I recomme"&amp;"nd it !! Amazon Thanks !!")</f>
        <v>Small and compact. Quality sound! How wonderful .. I have several wireless headphones and are the first to adapt like no other, you forget you're wearing them. They dream that is a luxury. They are automatically connected by Bluetooth to mobile, when you get out of the base. Great for day to day. Listening to music and sports. External noise eliminated everything to help you focus. Comodisumos you see, which are loaded in their own box. Good feeling from the first moment in which out of the box. I recommend it !! Amazon Thanks !!</v>
      </c>
    </row>
    <row r="317">
      <c r="A317" s="1">
        <v>5.0</v>
      </c>
      <c r="B317" s="1" t="s">
        <v>147</v>
      </c>
      <c r="C317" t="str">
        <f>IFERROR(__xludf.DUMMYFUNCTION("GOOGLETRANSLATE(B317, ""es"", ""en"")"),"All perfect perfect all")</f>
        <v>All perfect perfect all</v>
      </c>
    </row>
    <row r="318">
      <c r="A318" s="1">
        <v>5.0</v>
      </c>
      <c r="B318" s="1" t="s">
        <v>317</v>
      </c>
      <c r="C318" t="str">
        <f>IFERROR(__xludf.DUMMYFUNCTION("GOOGLETRANSLATE(B318, ""es"", ""en"")"),"Buenony perfect product quality very fast to reach buenony perfect product quality very fast to arrive")</f>
        <v>Buenony perfect product quality very fast to reach buenony perfect product quality very fast to arrive</v>
      </c>
    </row>
    <row r="319">
      <c r="A319" s="1">
        <v>5.0</v>
      </c>
      <c r="B319" s="1" t="s">
        <v>318</v>
      </c>
      <c r="C319" t="str">
        <f>IFERROR(__xludf.DUMMYFUNCTION("GOOGLETRANSLATE(B319, ""es"", ""en"")"),"Desiring pointer to practical use in a presentation with more people. Surprised by the usefulness of such a small device. It is very easy and simple. It has a USB that connects to the PC and a couple of buttons can change dispositive and even change from "&amp;"one window to another browser or program. The laser is clearly even in bright lighting.")</f>
        <v>Desiring pointer to practical use in a presentation with more people. Surprised by the usefulness of such a small device. It is very easy and simple. It has a USB that connects to the PC and a couple of buttons can change dispositive and even change from one window to another browser or program. The laser is clearly even in bright lighting.</v>
      </c>
    </row>
    <row r="320">
      <c r="A320" s="1">
        <v>5.0</v>
      </c>
      <c r="B320" s="1" t="s">
        <v>319</v>
      </c>
      <c r="C320" t="str">
        <f>IFERROR(__xludf.DUMMYFUNCTION("GOOGLETRANSLATE(B320, ""es"", ""en"")"),"Men's Watch This watch me what I bought because I never had a watch so look mechanical and automatic, apart because the golden color inside is handsome and shines at night Well guess like all happy because with shirt looks good .")</f>
        <v>Men's Watch This watch me what I bought because I never had a watch so look mechanical and automatic, apart because the golden color inside is handsome and shines at night Well guess like all happy because with shirt looks good .</v>
      </c>
    </row>
    <row r="321">
      <c r="A321" s="1">
        <v>5.0</v>
      </c>
      <c r="B321" s="1" t="s">
        <v>320</v>
      </c>
      <c r="C321" t="str">
        <f>IFERROR(__xludf.DUMMYFUNCTION("GOOGLETRANSLATE(B321, ""es"", ""en"")"),"Cool shoes Cool Solomon Solomon'm thinking about buying others are very comfortable and lightweight perfect for hiking or mountain running thanks to its tremendous grip of his firm floor")</f>
        <v>Cool shoes Cool Solomon Solomon'm thinking about buying others are very comfortable and lightweight perfect for hiking or mountain running thanks to its tremendous grip of his firm floor</v>
      </c>
    </row>
    <row r="322">
      <c r="A322" s="1">
        <v>5.0</v>
      </c>
      <c r="B322" s="1" t="s">
        <v>321</v>
      </c>
      <c r="C322" t="str">
        <f>IFERROR(__xludf.DUMMYFUNCTION("GOOGLETRANSLATE(B322, ""es"", ""en"")"),"ideal complement for Powerpoint and less than 10 € Do not complicate your life by buying the original pointer Microsoft at a price five times higher, or using the laser inductor of some portable keyboards. This is perfect and doing very well. To launch th"&amp;"e laser, you have to press hard, just put your finger on the switch pointer and it works. It is perfect for PowerPoint and even lets pass the slides, I liked a lot and especially for the price.")</f>
        <v>ideal complement for Powerpoint and less than 10 € Do not complicate your life by buying the original pointer Microsoft at a price five times higher, or using the laser inductor of some portable keyboards. This is perfect and doing very well. To launch the laser, you have to press hard, just put your finger on the switch pointer and it works. It is perfect for PowerPoint and even lets pass the slides, I liked a lot and especially for the price.</v>
      </c>
    </row>
    <row r="323">
      <c r="A323" s="1">
        <v>5.0</v>
      </c>
      <c r="B323" s="1" t="s">
        <v>322</v>
      </c>
      <c r="C323" t="str">
        <f>IFERROR(__xludf.DUMMYFUNCTION("GOOGLETRANSLATE(B323, ""es"", ""en"")"),"This article first quality as described in the description.")</f>
        <v>This article first quality as described in the description.</v>
      </c>
    </row>
    <row r="324">
      <c r="A324" s="1">
        <v>5.0</v>
      </c>
      <c r="B324" s="1" t="s">
        <v>323</v>
      </c>
      <c r="C324" t="str">
        <f>IFERROR(__xludf.DUMMYFUNCTION("GOOGLETRANSLATE(B324, ""es"", ""en"")"),"Beautiful, durable and fast I have enough USB pendrive like this and this is the best I have left me. This model, also I have the 32GB version USB 3.0 and one USB 2.0 16GB. At first glance it looks nice and stylish, has a slightly rough touch that facilit"&amp;"ates put it and remove it from where it is placed. It has a good size, not huge and plasticky, or flea size (it costs to get them out and get lost with astonishing ease). No cover, so no problem to get lost (to me happens a lot). The disadvantage of not h"&amp;"aving cover is that if you take it with the keys in his jacket, maybe some cotton lint goal within, so attentive to this (happened too and the computer does not detect). Enduring pretty good shock and apparently is not scratched by contact with other obje"&amp;"cts and bustle (attached to the keys for example). A having a clamping ring approx 1 cm., Not stuck in the keychain with the keys and is very easy to remove and put back. In reading and writing speed USB 3.0 port, it is within acceptable margins: Reading "&amp;"127.8 MB / s and writing at 41.2 MB / s. That you can you go a little faster or slower, everything will depend on what computer you connect. Of course, if you connect it to a USB 2.0 port, these values ​​fall drastically, but it is perfectly compatible. O"&amp;"bviously, you can use it for whatever you want: save data, music, mp3, movies, photos, recorded TV or even USB-boot to boot an OS from USB. It comes without additional software, but in my case, do not miss, because are not very functional at the time of t"&amp;"ruth. With 5 years warranty provided by the manufacturer Kingston (from the best brands in the market) and a price that Amazon stands at around 11 € for the 64GB version, it is a very good option to consider. I hope has been useful.")</f>
        <v>Beautiful, durable and fast I have enough USB pendrive like this and this is the best I have left me. This model, also I have the 32GB version USB 3.0 and one USB 2.0 16GB. At first glance it looks nice and stylish, has a slightly rough touch that facilitates put it and remove it from where it is placed. It has a good size, not huge and plasticky, or flea size (it costs to get them out and get lost with astonishing ease). No cover, so no problem to get lost (to me happens a lot). The disadvantage of not having cover is that if you take it with the keys in his jacket, maybe some cotton lint goal within, so attentive to this (happened too and the computer does not detect). Enduring pretty good shock and apparently is not scratched by contact with other objects and bustle (attached to the keys for example). A having a clamping ring approx 1 cm., Not stuck in the keychain with the keys and is very easy to remove and put back. In reading and writing speed USB 3.0 port, it is within acceptable margins: Reading 127.8 MB / s and writing at 41.2 MB / s. That you can you go a little faster or slower, everything will depend on what computer you connect. Of course, if you connect it to a USB 2.0 port, these values ​​fall drastically, but it is perfectly compatible. Obviously, you can use it for whatever you want: save data, music, mp3, movies, photos, recorded TV or even USB-boot to boot an OS from USB. It comes without additional software, but in my case, do not miss, because are not very functional at the time of truth. With 5 years warranty provided by the manufacturer Kingston (from the best brands in the market) and a price that Amazon stands at around 11 € for the 64GB version, it is a very good option to consider. I hope has been useful.</v>
      </c>
    </row>
    <row r="325">
      <c r="A325" s="1">
        <v>5.0</v>
      </c>
      <c r="B325" s="1" t="s">
        <v>324</v>
      </c>
      <c r="C325" t="str">
        <f>IFERROR(__xludf.DUMMYFUNCTION("GOOGLETRANSLATE(B325, ""es"", ""en"")"),"I had good descambiarlo by more number means the product should clarify the sizing, is misleading because if you compare it with the official website")</f>
        <v>I had good descambiarlo by more number means the product should clarify the sizing, is misleading because if you compare it with the official website</v>
      </c>
    </row>
    <row r="326">
      <c r="A326" s="1">
        <v>5.0</v>
      </c>
      <c r="B326" s="1" t="s">
        <v>325</v>
      </c>
      <c r="C326" t="str">
        <f>IFERROR(__xludf.DUMMYFUNCTION("GOOGLETRANSLATE(B326, ""es"", ""en"")"),"Versatile and large storage capacity very versatile. Ideal to download photos and videos of the mobil and pete and then not be able to pass directly to the laptop. Large storage capacity.")</f>
        <v>Versatile and large storage capacity very versatile. Ideal to download photos and videos of the mobil and pete and then not be able to pass directly to the laptop. Large storage capacity.</v>
      </c>
    </row>
    <row r="327">
      <c r="A327" s="1">
        <v>5.0</v>
      </c>
      <c r="B327" s="1" t="s">
        <v>326</v>
      </c>
      <c r="C327" t="str">
        <f>IFERROR(__xludf.DUMMYFUNCTION("GOOGLETRANSLATE(B327, ""es"", ""en"")"),"Hot good shoe is a shoe and sturdy, comfortable sole. Highly recommended, especially for houses with gardens, because you can go out without any problems. On height. I took the number higher than soil fit without problem.")</f>
        <v>Hot good shoe is a shoe and sturdy, comfortable sole. Highly recommended, especially for houses with gardens, because you can go out without any problems. On height. I took the number higher than soil fit without problem.</v>
      </c>
    </row>
    <row r="328">
      <c r="A328" s="1">
        <v>5.0</v>
      </c>
      <c r="B328" s="1" t="s">
        <v>327</v>
      </c>
      <c r="C328" t="str">
        <f>IFERROR(__xludf.DUMMYFUNCTION("GOOGLETRANSLATE(B328, ""es"", ""en"")"),"As Picture The truth is that very well. Exactly like the picture.")</f>
        <v>As Picture The truth is that very well. Exactly like the picture.</v>
      </c>
    </row>
    <row r="329">
      <c r="A329" s="1">
        <v>5.0</v>
      </c>
      <c r="B329" s="1" t="s">
        <v>328</v>
      </c>
      <c r="C329" t="str">
        <f>IFERROR(__xludf.DUMMYFUNCTION("GOOGLETRANSLATE(B329, ""es"", ""en"")"),"Beautiful and very good quality. As I say, I know this series of Casio, and I think all the modelos.En phenomenal as I saw it, buy it. On the downside, they reached their normal price for these models but the seller's price has gone up a lot and is no lon"&amp;"ger atractivo.Por casio these prices has them best.")</f>
        <v>Beautiful and very good quality. As I say, I know this series of Casio, and I think all the modelos.En phenomenal as I saw it, buy it. On the downside, they reached their normal price for these models but the seller's price has gone up a lot and is no longer atractivo.Por casio these prices has them best.</v>
      </c>
    </row>
    <row r="330">
      <c r="A330" s="1">
        <v>5.0</v>
      </c>
      <c r="B330" s="1" t="s">
        <v>329</v>
      </c>
      <c r="C330" t="str">
        <f>IFERROR(__xludf.DUMMYFUNCTION("GOOGLETRANSLATE(B330, ""es"", ""en"")"),"lolo Excited with casio g-shock, large, robust buttons, the white gives good atractivo.la paste only when the screen being in reverse color according as look no reading is well appreciated, so others left over, I'm a fan of this brand watches")</f>
        <v>lolo Excited with casio g-shock, large, robust buttons, the white gives good atractivo.la paste only when the screen being in reverse color according as look no reading is well appreciated, so others left over, I'm a fan of this brand watches</v>
      </c>
    </row>
    <row r="331">
      <c r="A331" s="1">
        <v>5.0</v>
      </c>
      <c r="B331" s="1" t="s">
        <v>330</v>
      </c>
      <c r="C331" t="str">
        <f>IFERROR(__xludf.DUMMYFUNCTION("GOOGLETRANSLATE(B331, ""es"", ""en"")"),"Very good moment. I've only been using it a few days, but so far has not given me any problems, file transfer is very fast and does the job perfectly. Strong Buy.")</f>
        <v>Very good moment. I've only been using it a few days, but so far has not given me any problems, file transfer is very fast and does the job perfectly. Strong Buy.</v>
      </c>
    </row>
    <row r="332">
      <c r="A332" s="1">
        <v>2.0</v>
      </c>
      <c r="B332" s="1" t="s">
        <v>331</v>
      </c>
      <c r="C332" t="str">
        <f>IFERROR(__xludf.DUMMYFUNCTION("GOOGLETRANSLATE(B332, ""es"", ""en"")"),"back If you want to take as pictured or wear super-tight with purple ears or are turned by weight, they are given a shame because they are not bad and are pretty but I'll have them put to the reverse, with the Estrellita small down")</f>
        <v>back If you want to take as pictured or wear super-tight with purple ears or are turned by weight, they are given a shame because they are not bad and are pretty but I'll have them put to the reverse, with the Estrellita small down</v>
      </c>
    </row>
    <row r="333">
      <c r="A333" s="1">
        <v>3.0</v>
      </c>
      <c r="B333" s="1" t="s">
        <v>332</v>
      </c>
      <c r="C333" t="str">
        <f>IFERROR(__xludf.DUMMYFUNCTION("GOOGLETRANSLATE(B333, ""es"", ""en"")"),"Need to stick replacement. The system of rotating mop and bucket is great not to have to make efforts in wringing (especially for older people with back problems) and clean well. I put only 3 stars because I broke the stick earlier he had and no parts of "&amp;"the stick, I had to re-buy the whole kit only because he needed the stick ... I feel really bad that Vileda not sell the club separated by Amazon even in his own web.")</f>
        <v>Need to stick replacement. The system of rotating mop and bucket is great not to have to make efforts in wringing (especially for older people with back problems) and clean well. I put only 3 stars because I broke the stick earlier he had and no parts of the stick, I had to re-buy the whole kit only because he needed the stick ... I feel really bad that Vileda not sell the club separated by Amazon even in his own web.</v>
      </c>
    </row>
    <row r="334">
      <c r="A334" s="1">
        <v>1.0</v>
      </c>
      <c r="B334" s="1" t="s">
        <v>333</v>
      </c>
      <c r="C334" t="str">
        <f>IFERROR(__xludf.DUMMYFUNCTION("GOOGLETRANSLATE(B334, ""es"", ""en"")"),"Error in description We buy these bottles by size and because the nipple was the X (the best for milk and cereals) and finally the nipple that was included 2. As I read, other buyers had no problem ... FOR I will say that the shipping was fast and the ret"&amp;"urn too.")</f>
        <v>Error in description We buy these bottles by size and because the nipple was the X (the best for milk and cereals) and finally the nipple that was included 2. As I read, other buyers had no problem ... FOR I will say that the shipping was fast and the return too.</v>
      </c>
    </row>
    <row r="335">
      <c r="A335" s="1">
        <v>1.0</v>
      </c>
      <c r="B335" s="1" t="s">
        <v>334</v>
      </c>
      <c r="C335" t="str">
        <f>IFERROR(__xludf.DUMMYFUNCTION("GOOGLETRANSLATE(B335, ""es"", ""en"")"),"No guarantee that are original The description of the product sets that are adidas shoes but when we received the product does not have any logo that really are original adidas or sneakers, labels or cabinet. The returned it.")</f>
        <v>No guarantee that are original The description of the product sets that are adidas shoes but when we received the product does not have any logo that really are original adidas or sneakers, labels or cabinet. The returned it.</v>
      </c>
    </row>
    <row r="336">
      <c r="A336" s="1">
        <v>4.0</v>
      </c>
      <c r="B336" s="1" t="s">
        <v>335</v>
      </c>
      <c r="C336" t="str">
        <f>IFERROR(__xludf.DUMMYFUNCTION("GOOGLETRANSLATE(B336, ""es"", ""en"")"),"Very good quality good as the only image that gives a lot of heat but the sole is very comfortable")</f>
        <v>Very good quality good as the only image that gives a lot of heat but the sole is very comfortable</v>
      </c>
    </row>
    <row r="337">
      <c r="A337" s="1">
        <v>4.0</v>
      </c>
      <c r="B337" s="1" t="s">
        <v>336</v>
      </c>
      <c r="C337" t="str">
        <f>IFERROR(__xludf.DUMMYFUNCTION("GOOGLETRANSLATE(B337, ""es"", ""en"")"),"I love Good morning, I do yoga, I bought them because I liked their design but it is a little big. Still, I am delighted Greetings Anabel")</f>
        <v>I love Good morning, I do yoga, I bought them because I liked their design but it is a little big. Still, I am delighted Greetings Anabel</v>
      </c>
    </row>
    <row r="338">
      <c r="A338" s="1">
        <v>4.0</v>
      </c>
      <c r="B338" s="1" t="s">
        <v>337</v>
      </c>
      <c r="C338" t="str">
        <f>IFERROR(__xludf.DUMMYFUNCTION("GOOGLETRANSLATE(B338, ""es"", ""en"")"),"Quality finishes I love Converse seem finishes and quality. Evil in the lining of the heel is worn with little use and make some noise when you walk. The soles do not rub off")</f>
        <v>Quality finishes I love Converse seem finishes and quality. Evil in the lining of the heel is worn with little use and make some noise when you walk. The soles do not rub off</v>
      </c>
    </row>
    <row r="339">
      <c r="A339" s="1">
        <v>4.0</v>
      </c>
      <c r="B339" s="1" t="s">
        <v>338</v>
      </c>
      <c r="C339" t="str">
        <f>IFERROR(__xludf.DUMMYFUNCTION("GOOGLETRANSLATE(B339, ""es"", ""en"")"),"Magnificent good cables speaker cables. OFC. Length 2 x 5m. Cable diameter 4.6 mm. Diameter of 2.6 mm copper. Cable ""heavy"" by the large number of copper wires but very manageable.")</f>
        <v>Magnificent good cables speaker cables. OFC. Length 2 x 5m. Cable diameter 4.6 mm. Diameter of 2.6 mm copper. Cable "heavy" by the large number of copper wires but very manageable.</v>
      </c>
    </row>
    <row r="340">
      <c r="A340" s="1">
        <v>4.0</v>
      </c>
      <c r="B340" s="1" t="s">
        <v>339</v>
      </c>
      <c r="C340" t="str">
        <f>IFERROR(__xludf.DUMMYFUNCTION("GOOGLETRANSLATE(B340, ""es"", ""en"")"),"Good buy and look great Ojala people know the importance of using such footwear and escape air chambers or padded soles hikes ... for anyone who wants reliazar really effective work with their feet and therefore your body is shoe meets. In a few months if"&amp;" necessary to see edit this I will, as I saw that durability is low in many comments and I hope that does not happen. My wife has these, I have other and we arrived at a time in different color but same model")</f>
        <v>Good buy and look great Ojala people know the importance of using such footwear and escape air chambers or padded soles hikes ... for anyone who wants reliazar really effective work with their feet and therefore your body is shoe meets. In a few months if necessary to see edit this I will, as I saw that durability is low in many comments and I hope that does not happen. My wife has these, I have other and we arrived at a time in different color but same model</v>
      </c>
    </row>
    <row r="341">
      <c r="A341" s="1">
        <v>5.0</v>
      </c>
      <c r="B341" s="1" t="s">
        <v>340</v>
      </c>
      <c r="C341" t="str">
        <f>IFERROR(__xludf.DUMMYFUNCTION("GOOGLETRANSLATE(B341, ""es"", ""en"")"),"family loved me, and I wish also like to ..........")</f>
        <v>family loved me, and I wish also like to ..........</v>
      </c>
    </row>
    <row r="342">
      <c r="A342" s="1">
        <v>5.0</v>
      </c>
      <c r="B342" s="1" t="s">
        <v>341</v>
      </c>
      <c r="C342" t="str">
        <f>IFERROR(__xludf.DUMMYFUNCTION("GOOGLETRANSLATE(B342, ""es"", ""en"")"),"The best are the best bottles, especially if you want to opt for a mixed feeding or to go from breast to bottle without traumas. The nipple is the most similar to the womb, both in form and touch and suck when molded as the breast.")</f>
        <v>The best are the best bottles, especially if you want to opt for a mixed feeding or to go from breast to bottle without traumas. The nipple is the most similar to the womb, both in form and touch and suck when molded as the breast.</v>
      </c>
    </row>
    <row r="343">
      <c r="A343" s="1">
        <v>5.0</v>
      </c>
      <c r="B343" s="1" t="s">
        <v>342</v>
      </c>
      <c r="C343" t="str">
        <f>IFERROR(__xludf.DUMMYFUNCTION("GOOGLETRANSLATE(B343, ""es"", ""en"")"),"Super Phenomenal")</f>
        <v>Super Phenomenal</v>
      </c>
    </row>
    <row r="344">
      <c r="A344" s="1">
        <v>5.0</v>
      </c>
      <c r="B344" s="1" t="s">
        <v>343</v>
      </c>
      <c r="C344" t="str">
        <f>IFERROR(__xludf.DUMMYFUNCTION("GOOGLETRANSLATE(B344, ""es"", ""en"")"),"Very practical and comfortable bath ideal for small space Easy to fold and takes up little space. Ideal for homes with limited space or bathrooms. Very happy with the quality of the product.")</f>
        <v>Very practical and comfortable bath ideal for small space Easy to fold and takes up little space. Ideal for homes with limited space or bathrooms. Very happy with the quality of the product.</v>
      </c>
    </row>
    <row r="345">
      <c r="A345" s="1">
        <v>5.0</v>
      </c>
      <c r="B345" s="1" t="s">
        <v>344</v>
      </c>
      <c r="C345" t="str">
        <f>IFERROR(__xludf.DUMMYFUNCTION("GOOGLETRANSLATE(B345, ""es"", ""en"")"),"Just expected Very beautiful and wearable. It's just what I was looking for. The size is perfect for my taste and the chain lives up to the photos do not bring any nasty surprises as it sometimes disappoint you because it is too small or too finite.")</f>
        <v>Just expected Very beautiful and wearable. It's just what I was looking for. The size is perfect for my taste and the chain lives up to the photos do not bring any nasty surprises as it sometimes disappoint you because it is too small or too finite.</v>
      </c>
    </row>
    <row r="346">
      <c r="A346" s="1">
        <v>5.0</v>
      </c>
      <c r="B346" s="1" t="s">
        <v>345</v>
      </c>
      <c r="C346" t="str">
        <f>IFERROR(__xludf.DUMMYFUNCTION("GOOGLETRANSLATE(B346, ""es"", ""en"")"),"Bluetooth headphones bluetooth headset perfect go train, very good sound quality and long battery life.")</f>
        <v>Bluetooth headphones bluetooth headset perfect go train, very good sound quality and long battery life.</v>
      </c>
    </row>
    <row r="347">
      <c r="A347" s="1">
        <v>5.0</v>
      </c>
      <c r="B347" s="1" t="s">
        <v>346</v>
      </c>
      <c r="C347" t="str">
        <f>IFERROR(__xludf.DUMMYFUNCTION("GOOGLETRANSLATE(B347, ""es"", ""en"")"),"All right makes his feature The bag is great, fits all. Not the shoulder type, which are smaller to carry on the chest or back. This is to bring back or shoulder, but it fits everything you need for a daily output. Mobile, water, umbrella, Tablet, Charger"&amp;", Kindle, book, etc. Very useful.")</f>
        <v>All right makes his feature The bag is great, fits all. Not the shoulder type, which are smaller to carry on the chest or back. This is to bring back or shoulder, but it fits everything you need for a daily output. Mobile, water, umbrella, Tablet, Charger, Kindle, book, etc. Very useful.</v>
      </c>
    </row>
    <row r="348">
      <c r="A348" s="1">
        <v>5.0</v>
      </c>
      <c r="B348" s="1" t="s">
        <v>347</v>
      </c>
      <c r="C348" t="str">
        <f>IFERROR(__xludf.DUMMYFUNCTION("GOOGLETRANSLATE(B348, ""es"", ""en"")"),"Exact. I certainly technical and seeking accuracy and cleanliness career. I had another bar, which bought for good and tripling the price of this, and at the end of a disaster. This measure meets all expectations and for a very affordable price.")</f>
        <v>Exact. I certainly technical and seeking accuracy and cleanliness career. I had another bar, which bought for good and tripling the price of this, and at the end of a disaster. This measure meets all expectations and for a very affordable price.</v>
      </c>
    </row>
    <row r="349">
      <c r="A349" s="1">
        <v>5.0</v>
      </c>
      <c r="B349" s="1" t="s">
        <v>348</v>
      </c>
      <c r="C349" t="str">
        <f>IFERROR(__xludf.DUMMYFUNCTION("GOOGLETRANSLATE(B349, ""es"", ""en"")"),"Microphone has excellent quality. I was flabbergasted sound clarity you have, it is better than other higher priced I've ever had. Really, I totally recommend it! It is also super easy to ride and just put it on your computer can have it all ready in less"&amp;" than 5 minutes.")</f>
        <v>Microphone has excellent quality. I was flabbergasted sound clarity you have, it is better than other higher priced I've ever had. Really, I totally recommend it! It is also super easy to ride and just put it on your computer can have it all ready in less than 5 minutes.</v>
      </c>
    </row>
    <row r="350">
      <c r="A350" s="1">
        <v>5.0</v>
      </c>
      <c r="B350" s="1" t="s">
        <v>349</v>
      </c>
      <c r="C350" t="str">
        <f>IFERROR(__xludf.DUMMYFUNCTION("GOOGLETRANSLATE(B350, ""es"", ""en"")"),"Very light Sizes very small. I had to buy a full size. Very light comfortable shoes. I bought three for just over 20 euros each, gifts for everyone !. Very good design and variety of colors")</f>
        <v>Very light Sizes very small. I had to buy a full size. Very light comfortable shoes. I bought three for just over 20 euros each, gifts for everyone !. Very good design and variety of colors</v>
      </c>
    </row>
    <row r="351">
      <c r="A351" s="1">
        <v>5.0</v>
      </c>
      <c r="B351" s="1" t="s">
        <v>350</v>
      </c>
      <c r="C351" t="str">
        <f>IFERROR(__xludf.DUMMYFUNCTION("GOOGLETRANSLATE(B351, ""es"", ""en"")"),"Good sound a little price before did not expect very good quality sound headset is very economical. AKG and my headphones were costing JBL before 2 or 3 times larger than this but do not notice much Differencia sound.")</f>
        <v>Good sound a little price before did not expect very good quality sound headset is very economical. AKG and my headphones were costing JBL before 2 or 3 times larger than this but do not notice much Differencia sound.</v>
      </c>
    </row>
    <row r="352">
      <c r="A352" s="1">
        <v>5.0</v>
      </c>
      <c r="B352" s="1" t="s">
        <v>351</v>
      </c>
      <c r="C352" t="str">
        <f>IFERROR(__xludf.DUMMYFUNCTION("GOOGLETRANSLATE(B352, ""es"", ""en"")"),"Very nice are very nice. My daughter liked it very much. Regarding size, large carve, my daughter usually uses 38 but 38 in this shoe enormous him came, I had to take her back and 37 1/3 and that is you perfect.")</f>
        <v>Very nice are very nice. My daughter liked it very much. Regarding size, large carve, my daughter usually uses 38 but 38 in this shoe enormous him came, I had to take her back and 37 1/3 and that is you perfect.</v>
      </c>
    </row>
    <row r="353">
      <c r="A353" s="1">
        <v>5.0</v>
      </c>
      <c r="B353" s="1" t="s">
        <v>352</v>
      </c>
      <c r="C353" t="str">
        <f>IFERROR(__xludf.DUMMYFUNCTION("GOOGLETRANSLATE(B353, ""es"", ""en"")"),"Possibly the best alarm sounds silly, but I have 25 years buying these alarm clocks and I have never found any that fit me.")</f>
        <v>Possibly the best alarm sounds silly, but I have 25 years buying these alarm clocks and I have never found any that fit me.</v>
      </c>
    </row>
    <row r="354">
      <c r="A354" s="1">
        <v>5.0</v>
      </c>
      <c r="B354" s="1" t="s">
        <v>353</v>
      </c>
      <c r="C354" t="str">
        <f>IFERROR(__xludf.DUMMYFUNCTION("GOOGLETRANSLATE(B354, ""es"", ""en"")"),"Buenísimo quality")</f>
        <v>Buenísimo quality</v>
      </c>
    </row>
    <row r="355">
      <c r="A355" s="1">
        <v>5.0</v>
      </c>
      <c r="B355" s="1" t="s">
        <v>354</v>
      </c>
      <c r="C355" t="str">
        <f>IFERROR(__xludf.DUMMYFUNCTION("GOOGLETRANSLATE(B355, ""es"", ""en"")"),"10 are beautiful! And it is true! I love! At the beginning hurt (like all new shoes) I hope they will soften")</f>
        <v>10 are beautiful! And it is true! I love! At the beginning hurt (like all new shoes) I hope they will soften</v>
      </c>
    </row>
    <row r="356">
      <c r="A356" s="1">
        <v>5.0</v>
      </c>
      <c r="B356" s="1" t="s">
        <v>355</v>
      </c>
      <c r="C356" t="str">
        <f>IFERROR(__xludf.DUMMYFUNCTION("GOOGLETRANSLATE(B356, ""es"", ""en"")"),"Calentita as he expected and comfortable")</f>
        <v>Calentita as he expected and comfortable</v>
      </c>
    </row>
    <row r="357">
      <c r="A357" s="1">
        <v>5.0</v>
      </c>
      <c r="B357" s="1" t="s">
        <v>356</v>
      </c>
      <c r="C357" t="str">
        <f>IFERROR(__xludf.DUMMYFUNCTION("GOOGLETRANSLATE(B357, ""es"", ""en"")"),"Ideal for the mountain. I had one and the same or similar 15 years ago. Leave forgotten in a mountain river. If well calibrated PAHs, the information is very accurate.")</f>
        <v>Ideal for the mountain. I had one and the same or similar 15 years ago. Leave forgotten in a mountain river. If well calibrated PAHs, the information is very accurate.</v>
      </c>
    </row>
    <row r="358">
      <c r="A358" s="1">
        <v>5.0</v>
      </c>
      <c r="B358" s="1" t="s">
        <v>357</v>
      </c>
      <c r="C358" t="str">
        <f>IFERROR(__xludf.DUMMYFUNCTION("GOOGLETRANSLATE(B358, ""es"", ""en"")"),"Perfect perfect everything.")</f>
        <v>Perfect perfect everything.</v>
      </c>
    </row>
    <row r="359">
      <c r="A359" s="1">
        <v>2.0</v>
      </c>
      <c r="B359" s="1" t="s">
        <v>358</v>
      </c>
      <c r="C359" t="str">
        <f>IFERROR(__xludf.DUMMYFUNCTION("GOOGLETRANSLATE(B359, ""es"", ""en"")"),"Data transfer is slow The first, and what surprised me by being the Kingston brand was slow data transfer. It says in the description is a USB 3.0 and I'll say it's not. I've spent already several things from my PC to the flash drive, and every time the t"&amp;"ransfer has been slow. I do not complain because their storage capacity is what it is, and I had no problem when reading the stored files. If you are looking for speed, this is not your pendrive.")</f>
        <v>Data transfer is slow The first, and what surprised me by being the Kingston brand was slow data transfer. It says in the description is a USB 3.0 and I'll say it's not. I've spent already several things from my PC to the flash drive, and every time the transfer has been slow. I do not complain because their storage capacity is what it is, and I had no problem when reading the stored files. If you are looking for speed, this is not your pendrive.</v>
      </c>
    </row>
    <row r="360">
      <c r="A360" s="1">
        <v>3.0</v>
      </c>
      <c r="B360" s="1" t="s">
        <v>359</v>
      </c>
      <c r="C360" t="str">
        <f>IFERROR(__xludf.DUMMYFUNCTION("GOOGLETRANSLATE(B360, ""es"", ""en"")"),"Simply it Works The quality is fair, clear, commensurate with the price.")</f>
        <v>Simply it Works The quality is fair, clear, commensurate with the price.</v>
      </c>
    </row>
    <row r="361">
      <c r="A361" s="1">
        <v>3.0</v>
      </c>
      <c r="B361" s="1" t="s">
        <v>360</v>
      </c>
      <c r="C361" t="str">
        <f>IFERROR(__xludf.DUMMYFUNCTION("GOOGLETRANSLATE(B361, ""es"", ""en"")"),"The size collar is too tight as I expected, the sleeves have a correct length. As for the quality of the fabric are cotton but a little thin for my taste, without being transparent. Neck very tight, stay a little ""drowned"" detail that can not be seen in"&amp;" the photo of the model product. I still very tight compared to all the shirts I have and have had other brands, but like everything is a matter of taste.")</f>
        <v>The size collar is too tight as I expected, the sleeves have a correct length. As for the quality of the fabric are cotton but a little thin for my taste, without being transparent. Neck very tight, stay a little "drowned" detail that can not be seen in the photo of the model product. I still very tight compared to all the shirts I have and have had other brands, but like everything is a matter of taste.</v>
      </c>
    </row>
    <row r="362">
      <c r="A362" s="1">
        <v>1.0</v>
      </c>
      <c r="B362" s="1" t="s">
        <v>361</v>
      </c>
      <c r="C362" t="str">
        <f>IFERROR(__xludf.DUMMYFUNCTION("GOOGLETRANSLATE(B362, ""es"", ""en"")"),"Cumbersome and sticky where it should ... Quite disappointing moment. I gave error and on a couple of occasions for no apparent reason. It is very cumbersome, adhesives stick to all and remain in the skin when you take them off ... remains sticky legs. Wh"&amp;"en storing highly problematic as the adhesive sticks to his pants ... I started the first day at level 88've been using 5 days and go for 92 ... do not know if it's worth so much money. I give another week of testing but fails to convince me ..")</f>
        <v>Cumbersome and sticky where it should ... Quite disappointing moment. I gave error and on a couple of occasions for no apparent reason. It is very cumbersome, adhesives stick to all and remain in the skin when you take them off ... remains sticky legs. When storing highly problematic as the adhesive sticks to his pants ... I started the first day at level 88've been using 5 days and go for 92 ... do not know if it's worth so much money. I give another week of testing but fails to convince me ..</v>
      </c>
    </row>
    <row r="363">
      <c r="A363" s="1">
        <v>1.0</v>
      </c>
      <c r="B363" s="1" t="s">
        <v>362</v>
      </c>
      <c r="C363" t="str">
        <f>IFERROR(__xludf.DUMMYFUNCTION("GOOGLETRANSLATE(B363, ""es"", ""en"")"),"Helmets bad connector has broken the third day. I'd like to mandarais others, I am a regular customer of Amazon")</f>
        <v>Helmets bad connector has broken the third day. I'd like to mandarais others, I am a regular customer of Amazon</v>
      </c>
    </row>
    <row r="364">
      <c r="A364" s="1">
        <v>4.0</v>
      </c>
      <c r="B364" s="1" t="s">
        <v>363</v>
      </c>
      <c r="C364" t="str">
        <f>IFERROR(__xludf.DUMMYFUNCTION("GOOGLETRANSLATE(B364, ""es"", ""en"")"),"BUT IF ... In the box comes pendant, two earrings and a rag to clean parts. It is an original detail to give away, because inside the heart is engraved the word ""love"" in countless languages. This can be seen through the flashlight mobile or taking a pi"&amp;"cture in the center of the heart. The quality of the product is average for my taste a little loose, but overall it is beautiful and elegant. I hope they serve a greeting.")</f>
        <v>BUT IF ... In the box comes pendant, two earrings and a rag to clean parts. It is an original detail to give away, because inside the heart is engraved the word "love" in countless languages. This can be seen through the flashlight mobile or taking a picture in the center of the heart. The quality of the product is average for my taste a little loose, but overall it is beautiful and elegant. I hope they serve a greeting.</v>
      </c>
    </row>
    <row r="365">
      <c r="A365" s="1">
        <v>4.0</v>
      </c>
      <c r="B365" s="1" t="s">
        <v>364</v>
      </c>
      <c r="C365" t="str">
        <f>IFERROR(__xludf.DUMMYFUNCTION("GOOGLETRANSLATE(B365, ""es"", ""en"")"),"Good value is the cream using my physio daily. I decided to buy it here for its competitive price. Slides very well and leaves a pleasant smell of mint. As I run out the back to buy. Perfect for massaging. Shipping within the estimated time.")</f>
        <v>Good value is the cream using my physio daily. I decided to buy it here for its competitive price. Slides very well and leaves a pleasant smell of mint. As I run out the back to buy. Perfect for massaging. Shipping within the estimated time.</v>
      </c>
    </row>
    <row r="366">
      <c r="A366" s="1">
        <v>4.0</v>
      </c>
      <c r="B366" s="1" t="s">
        <v>365</v>
      </c>
      <c r="C366" t="str">
        <f>IFERROR(__xludf.DUMMYFUNCTION("GOOGLETRANSLATE(B366, ""es"", ""en"")"),"Comfort / Value is fine. Naturally, the materials are common. I did not expect anything else, either.")</f>
        <v>Comfort / Value is fine. Naturally, the materials are common. I did not expect anything else, either.</v>
      </c>
    </row>
    <row r="367">
      <c r="A367" s="1">
        <v>4.0</v>
      </c>
      <c r="B367" s="1" t="s">
        <v>366</v>
      </c>
      <c r="C367" t="str">
        <f>IFERROR(__xludf.DUMMYFUNCTION("GOOGLETRANSLATE(B367, ""es"", ""en"")"),"In general all lines well.")</f>
        <v>In general all lines well.</v>
      </c>
    </row>
    <row r="368">
      <c r="A368" s="1">
        <v>4.0</v>
      </c>
      <c r="B368" s="1" t="s">
        <v>367</v>
      </c>
      <c r="C368" t="str">
        <f>IFERROR(__xludf.DUMMYFUNCTION("GOOGLETRANSLATE(B368, ""es"", ""en"")"),"best value for money if you want to start with a channel twich or yt This is the best option for a price adjusted receive full and high quality pack 100% recommend")</f>
        <v>best value for money if you want to start with a channel twich or yt This is the best option for a price adjusted receive full and high quality pack 100% recommend</v>
      </c>
    </row>
    <row r="369">
      <c r="A369" s="1">
        <v>5.0</v>
      </c>
      <c r="B369" s="1" t="s">
        <v>368</v>
      </c>
      <c r="C369" t="str">
        <f>IFERROR(__xludf.DUMMYFUNCTION("GOOGLETRANSLATE(B369, ""es"", ""en"")"),"Very useful for traveling very practical")</f>
        <v>Very useful for traveling very practical</v>
      </c>
    </row>
    <row r="370">
      <c r="A370" s="1">
        <v>5.0</v>
      </c>
      <c r="B370" s="1" t="s">
        <v>369</v>
      </c>
      <c r="C370" t="str">
        <f>IFERROR(__xludf.DUMMYFUNCTION("GOOGLETRANSLATE(B370, ""es"", ""en"")"),"It works perfectly perfect")</f>
        <v>It works perfectly perfect</v>
      </c>
    </row>
    <row r="371">
      <c r="A371" s="1">
        <v>5.0</v>
      </c>
      <c r="B371" s="1" t="s">
        <v>370</v>
      </c>
      <c r="C371" t="str">
        <f>IFERROR(__xludf.DUMMYFUNCTION("GOOGLETRANSLATE(B371, ""es"", ""en"")"),"Super monkey is super nice, as is in the picture.")</f>
        <v>Super monkey is super nice, as is in the picture.</v>
      </c>
    </row>
    <row r="372">
      <c r="A372" s="1">
        <v>5.0</v>
      </c>
      <c r="B372" s="1" t="s">
        <v>371</v>
      </c>
      <c r="C372" t="str">
        <f>IFERROR(__xludf.DUMMYFUNCTION("GOOGLETRANSLATE(B372, ""es"", ""en"")"),"It is recommended very practical and handy, my enanitas love and have learned to catch them three months alone. Easy to clean and transport.")</f>
        <v>It is recommended very practical and handy, my enanitas love and have learned to catch them three months alone. Easy to clean and transport.</v>
      </c>
    </row>
    <row r="373">
      <c r="A373" s="1">
        <v>5.0</v>
      </c>
      <c r="B373" s="1" t="s">
        <v>372</v>
      </c>
      <c r="C373" t="str">
        <f>IFERROR(__xludf.DUMMYFUNCTION("GOOGLETRANSLATE(B373, ""es"", ""en"")"),"Great was long meditating whether to buy it. I have enough chest and not going any bra, I've spent a lot of money in bras and this has nothing to envy to others. Use a size 100 E, and do well for my spinning, picks chest pretty good but not as much as we "&amp;"all would like both breast to pick us all fasteners. I recommend it 100%. It has nothing to envy to other brands very expensive. I will repeat.")</f>
        <v>Great was long meditating whether to buy it. I have enough chest and not going any bra, I've spent a lot of money in bras and this has nothing to envy to others. Use a size 100 E, and do well for my spinning, picks chest pretty good but not as much as we all would like both breast to pick us all fasteners. I recommend it 100%. It has nothing to envy to other brands very expensive. I will repeat.</v>
      </c>
    </row>
    <row r="374">
      <c r="A374" s="1">
        <v>5.0</v>
      </c>
      <c r="B374" s="1" t="s">
        <v>373</v>
      </c>
      <c r="C374" t="str">
        <f>IFERROR(__xludf.DUMMYFUNCTION("GOOGLETRANSLATE(B374, ""es"", ""en"")"),"Everything works nice and recommended perfectanente and blue light across the screen. Good product and original. I recommend it.")</f>
        <v>Everything works nice and recommended perfectanente and blue light across the screen. Good product and original. I recommend it.</v>
      </c>
    </row>
    <row r="375">
      <c r="A375" s="1">
        <v>5.0</v>
      </c>
      <c r="B375" s="1" t="s">
        <v>374</v>
      </c>
      <c r="C375" t="str">
        <f>IFERROR(__xludf.DUMMYFUNCTION("GOOGLETRANSLATE(B375, ""es"", ""en"")"),"very very comfortable headphones comfortable, had about the same but with cable and to go with the bike wearing only one was a little hassle by cable and this is ideal, the lid of the case are connected very quickly to the open, and listen very well, and "&amp;"the engagement of the ear is ideal for not fall, fit very well and bring spares both the engagement of the ear as different measures which goes inside the ear, have different functions, to increase the volume, move song or open the voice assistant mobile,"&amp;" as you press once, once prolonged or three times. very happy with them. the battery lasts quite and battery cover also carries that reloads when the guards inside. c has connection type for loading.")</f>
        <v>very very comfortable headphones comfortable, had about the same but with cable and to go with the bike wearing only one was a little hassle by cable and this is ideal, the lid of the case are connected very quickly to the open, and listen very well, and the engagement of the ear is ideal for not fall, fit very well and bring spares both the engagement of the ear as different measures which goes inside the ear, have different functions, to increase the volume, move song or open the voice assistant mobile, as you press once, once prolonged or three times. very happy with them. the battery lasts quite and battery cover also carries that reloads when the guards inside. c has connection type for loading.</v>
      </c>
    </row>
    <row r="376">
      <c r="A376" s="1">
        <v>5.0</v>
      </c>
      <c r="B376" s="1" t="s">
        <v>375</v>
      </c>
      <c r="C376" t="str">
        <f>IFERROR(__xludf.DUMMYFUNCTION("GOOGLETRANSLATE(B376, ""es"", ""en"")"),"Great is great, I loved, very good sound, I had to buy one that grabbed me my daughter.")</f>
        <v>Great is great, I loved, very good sound, I had to buy one that grabbed me my daughter.</v>
      </c>
    </row>
    <row r="377">
      <c r="A377" s="1">
        <v>5.0</v>
      </c>
      <c r="B377" s="1" t="s">
        <v>376</v>
      </c>
      <c r="C377" t="str">
        <f>IFERROR(__xludf.DUMMYFUNCTION("GOOGLETRANSLATE(B377, ""es"", ""en"")"),"Very soft in the pack are a set of three balls (one single and two doubles), one has battery and controlled with a small remote control distance handy because you can vary the intensity and frequency of vibration. The others carry a counterweight inside t"&amp;"hat vibrates with your own movement while wearing them for normal use daily. What most surprised me is the texture that is very soft, just need lubrication and are washed and dried easily. Definitely a good varied toy.")</f>
        <v>Very soft in the pack are a set of three balls (one single and two doubles), one has battery and controlled with a small remote control distance handy because you can vary the intensity and frequency of vibration. The others carry a counterweight inside that vibrates with your own movement while wearing them for normal use daily. What most surprised me is the texture that is very soft, just need lubrication and are washed and dried easily. Definitely a good varied toy.</v>
      </c>
    </row>
    <row r="378">
      <c r="A378" s="1">
        <v>5.0</v>
      </c>
      <c r="B378" s="1" t="s">
        <v>377</v>
      </c>
      <c r="C378" t="str">
        <f>IFERROR(__xludf.DUMMYFUNCTION("GOOGLETRANSLATE(B378, ""es"", ""en"")"),"Very comfortable very good quality")</f>
        <v>Very comfortable very good quality</v>
      </c>
    </row>
    <row r="379">
      <c r="A379" s="1">
        <v>5.0</v>
      </c>
      <c r="B379" s="1" t="s">
        <v>378</v>
      </c>
      <c r="C379" t="str">
        <f>IFERROR(__xludf.DUMMYFUNCTION("GOOGLETRANSLATE(B379, ""es"", ""en"")"),"Wordless wordlessly")</f>
        <v>Wordless wordlessly</v>
      </c>
    </row>
    <row r="380">
      <c r="A380" s="1">
        <v>5.0</v>
      </c>
      <c r="B380" s="1" t="s">
        <v>379</v>
      </c>
      <c r="C380" t="str">
        <f>IFERROR(__xludf.DUMMYFUNCTION("GOOGLETRANSLATE(B380, ""es"", ""en"")"),"Good fragrance I liked the product enough to leave a clean smell and not very strong! (I think they could send small samples of other fragrances) because it is not a cheap product.")</f>
        <v>Good fragrance I liked the product enough to leave a clean smell and not very strong! (I think they could send small samples of other fragrances) because it is not a cheap product.</v>
      </c>
    </row>
    <row r="381">
      <c r="A381" s="1">
        <v>5.0</v>
      </c>
      <c r="B381" s="1" t="s">
        <v>380</v>
      </c>
      <c r="C381" t="str">
        <f>IFERROR(__xludf.DUMMYFUNCTION("GOOGLETRANSLATE(B381, ""es"", ""en"")"),"It is very good is very practical, nice and has great capacity")</f>
        <v>It is very good is very practical, nice and has great capacity</v>
      </c>
    </row>
    <row r="382">
      <c r="A382" s="1">
        <v>5.0</v>
      </c>
      <c r="B382" s="1" t="s">
        <v>381</v>
      </c>
      <c r="C382" t="str">
        <f>IFERROR(__xludf.DUMMYFUNCTION("GOOGLETRANSLATE(B382, ""es"", ""en"")"),"Ideals comfortable. As you will samples. They are more comfortable than other models that had")</f>
        <v>Ideals comfortable. As you will samples. They are more comfortable than other models that had</v>
      </c>
    </row>
    <row r="383">
      <c r="A383" s="1">
        <v>5.0</v>
      </c>
      <c r="B383" s="1" t="s">
        <v>382</v>
      </c>
      <c r="C383" t="str">
        <f>IFERROR(__xludf.DUMMYFUNCTION("GOOGLETRANSLATE(B383, ""es"", ""en"")"),"Casio quality, bawdy (pink). Watch Casio classic design, it is understood that the same quality as always. What makes it different color, very pink and very striking.")</f>
        <v>Casio quality, bawdy (pink). Watch Casio classic design, it is understood that the same quality as always. What makes it different color, very pink and very striking.</v>
      </c>
    </row>
    <row r="384">
      <c r="A384" s="1">
        <v>5.0</v>
      </c>
      <c r="B384" s="1" t="s">
        <v>383</v>
      </c>
      <c r="C384" t="str">
        <f>IFERROR(__xludf.DUMMYFUNCTION("GOOGLETRANSLATE(B384, ""es"", ""en"")"),"A large Pelin The size of the micro makes me a tad bigger, but I use what I need camouflaged it almost imperceptible. Otherwise very happy, very clean sound and lungitud of the cable is wonderful. Very happy with the product.")</f>
        <v>A large Pelin The size of the micro makes me a tad bigger, but I use what I need camouflaged it almost imperceptible. Otherwise very happy, very clean sound and lungitud of the cable is wonderful. Very happy with the product.</v>
      </c>
    </row>
    <row r="385">
      <c r="A385" s="1">
        <v>5.0</v>
      </c>
      <c r="B385" s="1" t="s">
        <v>384</v>
      </c>
      <c r="C385" t="str">
        <f>IFERROR(__xludf.DUMMYFUNCTION("GOOGLETRANSLATE(B385, ""es"", ""en"")"),"Kit condenser microphone for streaming &lt;div id = ""video-block-R3N9QJVIVRQIZY"" class = ""a-section a-spacing-small to-spacing-top mini-video block""&gt; &lt;/ div&gt; &lt;input type = ""hidden"" name = """" value = ""https://images-eu.ssl-images-amazon.com/images/I/"&amp;"A1DH8L0hosS.mp4"" class = ""video-url""&gt; &lt;input type = ""hidden"" name = """" value = ""https://images-eu.ssl-images-amazon.com/images/I/A1X4bSc664S.png"" class = ""video-slate-img-url""&gt; &amp; nbsp; Now I'm outfitting gradually to improve my streaming in thi"&amp;"s step and caught this condenser microphone kit. Initially buy it for its price as cheap and step when I arrived they were not expecting such quality for the price you have. All components so top quality and very robust, installation was very light and ea"&amp;"sy was plugged into the USB of the computer and running the first. The sound is pretty good and full-bodied and thanks to the windproof sponge and filter antipop prevents background noise so upset I had in my previous streaming leakage. Past definitely wa"&amp;"nt them to step up to save you some professional range to stay as definitive.")</f>
        <v>Kit condenser microphone for streaming &lt;div id = "video-block-R3N9QJVIVRQIZY" class = "a-section a-spacing-small to-spacing-top mini-video block"&gt; &lt;/ div&gt; &lt;input type = "hidden" name = "" value = "https://images-eu.ssl-images-amazon.com/images/I/A1DH8L0hosS.mp4" class = "video-url"&gt; &lt;input type = "hidden" name = "" value = "https://images-eu.ssl-images-amazon.com/images/I/A1X4bSc664S.png" class = "video-slate-img-url"&gt; &amp; nbsp; Now I'm outfitting gradually to improve my streaming in this step and caught this condenser microphone kit. Initially buy it for its price as cheap and step when I arrived they were not expecting such quality for the price you have. All components so top quality and very robust, installation was very light and easy was plugged into the USB of the computer and running the first. The sound is pretty good and full-bodied and thanks to the windproof sponge and filter antipop prevents background noise so upset I had in my previous streaming leakage. Past definitely want them to step up to save you some professional range to stay as definitive.</v>
      </c>
    </row>
    <row r="386">
      <c r="A386" s="1">
        <v>5.0</v>
      </c>
      <c r="B386" s="1" t="s">
        <v>385</v>
      </c>
      <c r="C386" t="str">
        <f>IFERROR(__xludf.DUMMYFUNCTION("GOOGLETRANSLATE(B386, ""es"", ""en"")"),"Very good value for money Good finishes, good quality, I have received today. I submit to an intensive daily use to see how it goes. In a couple of months I'll update the review.")</f>
        <v>Very good value for money Good finishes, good quality, I have received today. I submit to an intensive daily use to see how it goes. In a couple of months I'll update the review.</v>
      </c>
    </row>
    <row r="387">
      <c r="A387" s="1">
        <v>5.0</v>
      </c>
      <c r="B387" s="1" t="s">
        <v>386</v>
      </c>
      <c r="C387" t="str">
        <f>IFERROR(__xludf.DUMMYFUNCTION("GOOGLETRANSLATE(B387, ""es"", ""en"")"),"I love!!!! They shipping fast, are very comfortable and fit perfectly! Product recommended!")</f>
        <v>I love!!!! They shipping fast, are very comfortable and fit perfectly! Product recommended!</v>
      </c>
    </row>
    <row r="388">
      <c r="A388" s="1">
        <v>2.0</v>
      </c>
      <c r="B388" s="1" t="s">
        <v>387</v>
      </c>
      <c r="C388" t="str">
        <f>IFERROR(__xludf.DUMMYFUNCTION("GOOGLETRANSLATE(B388, ""es"", ""en"")"),"lightweight, sole very bad is uglier than the picture, is very comfortable and weighs very little, it seems that going barefoot but its Achilles heel is the sole, not grab anything, is smooth and wet it is impossible to walk down the street without a scar"&amp;"e. a shame because otherwise very good.")</f>
        <v>lightweight, sole very bad is uglier than the picture, is very comfortable and weighs very little, it seems that going barefoot but its Achilles heel is the sole, not grab anything, is smooth and wet it is impossible to walk down the street without a scare. a shame because otherwise very good.</v>
      </c>
    </row>
    <row r="389">
      <c r="A389" s="1">
        <v>3.0</v>
      </c>
      <c r="B389" s="1" t="s">
        <v>388</v>
      </c>
      <c r="C389" t="str">
        <f>IFERROR(__xludf.DUMMYFUNCTION("GOOGLETRANSLATE(B389, ""es"", ""en"")"),"Very nice but I enjoyed just breaking, but breaking just one hand")</f>
        <v>Very nice but I enjoyed just breaking, but breaking just one hand</v>
      </c>
    </row>
    <row r="390">
      <c r="A390" s="1">
        <v>1.0</v>
      </c>
      <c r="B390" s="1" t="s">
        <v>389</v>
      </c>
      <c r="C390" t="str">
        <f>IFERROR(__xludf.DUMMYFUNCTION("GOOGLETRANSLATE(B390, ""es"", ""en"")"),"Fatal not favor anything, they do not fit like other Maya, are too high for my taste and they are of low quality")</f>
        <v>Fatal not favor anything, they do not fit like other Maya, are too high for my taste and they are of low quality</v>
      </c>
    </row>
    <row r="391">
      <c r="A391" s="1">
        <v>1.0</v>
      </c>
      <c r="B391" s="1" t="s">
        <v>390</v>
      </c>
      <c r="C391" t="str">
        <f>IFERROR(__xludf.DUMMYFUNCTION("GOOGLETRANSLATE(B391, ""es"", ""en"")"),"Many cuts and distorted sound I've been disappointed with these helmets. He was cut with bluetooth occasionally and cable heard background noise like aguilla. Luckily I return and that's what I'll do. I recommend spending a little more if you want a quali"&amp;"ty product. This would not be bad if I did not give problems. I bought the EUASOO that are cheaper and are much better than these. The materiasles and completion are a lot better than these helmets.")</f>
        <v>Many cuts and distorted sound I've been disappointed with these helmets. He was cut with bluetooth occasionally and cable heard background noise like aguilla. Luckily I return and that's what I'll do. I recommend spending a little more if you want a quality product. This would not be bad if I did not give problems. I bought the EUASOO that are cheaper and are much better than these. The materiasles and completion are a lot better than these helmets.</v>
      </c>
    </row>
    <row r="392">
      <c r="A392" s="1">
        <v>1.0</v>
      </c>
      <c r="B392" s="1" t="s">
        <v>391</v>
      </c>
      <c r="C392" t="str">
        <f>IFERROR(__xludf.DUMMYFUNCTION("GOOGLETRANSLATE(B392, ""es"", ""en"")"),"Lousy spot purchase care is a real danger. Mancha lot and is not removed.")</f>
        <v>Lousy spot purchase care is a real danger. Mancha lot and is not removed.</v>
      </c>
    </row>
    <row r="393">
      <c r="A393" s="1">
        <v>4.0</v>
      </c>
      <c r="B393" s="1" t="s">
        <v>392</v>
      </c>
      <c r="C393" t="str">
        <f>IFERROR(__xludf.DUMMYFUNCTION("GOOGLETRANSLATE(B393, ""es"", ""en"")"),"He gave very good buy good use while you breastfeed your daughter")</f>
        <v>He gave very good buy good use while you breastfeed your daughter</v>
      </c>
    </row>
    <row r="394">
      <c r="A394" s="1">
        <v>4.0</v>
      </c>
      <c r="B394" s="1" t="s">
        <v>393</v>
      </c>
      <c r="C394" t="str">
        <f>IFERROR(__xludf.DUMMYFUNCTION("GOOGLETRANSLATE(B394, ""es"", ""en"")"),"The latest pointers; The recommended minimum size of the color point is excessively large.")</f>
        <v>The latest pointers; The recommended minimum size of the color point is excessively large.</v>
      </c>
    </row>
    <row r="395">
      <c r="A395" s="1">
        <v>4.0</v>
      </c>
      <c r="B395" s="1" t="s">
        <v>394</v>
      </c>
      <c r="C395" t="str">
        <f>IFERROR(__xludf.DUMMYFUNCTION("GOOGLETRANSLATE(B395, ""es"", ""en"")"),"Mariluz Beautiful, my daughter loved him. It is simple and elegant, with a very short chain and very natural glow")</f>
        <v>Mariluz Beautiful, my daughter loved him. It is simple and elegant, with a very short chain and very natural glow</v>
      </c>
    </row>
    <row r="396">
      <c r="A396" s="1">
        <v>4.0</v>
      </c>
      <c r="B396" s="1" t="s">
        <v>395</v>
      </c>
      <c r="C396" t="str">
        <f>IFERROR(__xludf.DUMMYFUNCTION("GOOGLETRANSLATE(B396, ""es"", ""en"")"),"Practice for keys, glasses, snuff, etc. It is polyester.")</f>
        <v>Practice for keys, glasses, snuff, etc. It is polyester.</v>
      </c>
    </row>
    <row r="397">
      <c r="A397" s="1">
        <v>4.0</v>
      </c>
      <c r="B397" s="1" t="s">
        <v>396</v>
      </c>
      <c r="C397" t="str">
        <f>IFERROR(__xludf.DUMMYFUNCTION("GOOGLETRANSLATE(B397, ""es"", ""en"")"),"The product is very correct microphone behaves perfectly and the price is very good. The method of bundling is through a Paperclip on a table or work support. I miss the possibility to screw the bracket to a wall. Generally the product is very satisfactor"&amp;"y.")</f>
        <v>The product is very correct microphone behaves perfectly and the price is very good. The method of bundling is through a Paperclip on a table or work support. I miss the possibility to screw the bracket to a wall. Generally the product is very satisfactory.</v>
      </c>
    </row>
    <row r="398">
      <c r="A398" s="1">
        <v>5.0</v>
      </c>
      <c r="B398" s="1" t="s">
        <v>397</v>
      </c>
      <c r="C398" t="str">
        <f>IFERROR(__xludf.DUMMYFUNCTION("GOOGLETRANSLATE(B398, ""es"", ""en"")"),"A good quality sealer of very good quality.")</f>
        <v>A good quality sealer of very good quality.</v>
      </c>
    </row>
    <row r="399">
      <c r="A399" s="1">
        <v>5.0</v>
      </c>
      <c r="B399" s="1" t="s">
        <v>398</v>
      </c>
      <c r="C399" t="str">
        <f>IFERROR(__xludf.DUMMYFUNCTION("GOOGLETRANSLATE(B399, ""es"", ""en"")"),"Very nice good buy. The expected.")</f>
        <v>Very nice good buy. The expected.</v>
      </c>
    </row>
    <row r="400">
      <c r="A400" s="1">
        <v>5.0</v>
      </c>
      <c r="B400" s="1" t="s">
        <v>399</v>
      </c>
      <c r="C400" t="str">
        <f>IFERROR(__xludf.DUMMYFUNCTION("GOOGLETRANSLATE(B400, ""es"", ""en"")"),"Perfect except for one little thing good construction, good material, crystalline lens and varied. Bring an optional rubber pin to pin if you want to fix the glasses to your head. Everything is perfect except for one small detail: when you put the batteri"&amp;"es for LED will housed in the front, glasses begin to weigh heavily and hurt on the bridge of the nose. Except for that little detail, everything perfect. I recommend them. In addition they bring a bag. A plus to get rid of the box.")</f>
        <v>Perfect except for one little thing good construction, good material, crystalline lens and varied. Bring an optional rubber pin to pin if you want to fix the glasses to your head. Everything is perfect except for one small detail: when you put the batteries for LED will housed in the front, glasses begin to weigh heavily and hurt on the bridge of the nose. Except for that little detail, everything perfect. I recommend them. In addition they bring a bag. A plus to get rid of the box.</v>
      </c>
    </row>
    <row r="401">
      <c r="A401" s="1">
        <v>5.0</v>
      </c>
      <c r="B401" s="1" t="s">
        <v>400</v>
      </c>
      <c r="C401" t="str">
        <f>IFERROR(__xludf.DUMMYFUNCTION("GOOGLETRANSLATE(B401, ""es"", ""en"")"),"Maximum comfort! I always buy this brand for shoes that will use daily. No complaints, quality is very good and the price is worth something even if it would be cheaper milk! Before I buy the probe in a shop but is hard hit. I recommend them.")</f>
        <v>Maximum comfort! I always buy this brand for shoes that will use daily. No complaints, quality is very good and the price is worth something even if it would be cheaper milk! Before I buy the probe in a shop but is hard hit. I recommend them.</v>
      </c>
    </row>
    <row r="402">
      <c r="A402" s="1">
        <v>5.0</v>
      </c>
      <c r="B402" s="1" t="s">
        <v>401</v>
      </c>
      <c r="C402" t="str">
        <f>IFERROR(__xludf.DUMMYFUNCTION("GOOGLETRANSLATE(B402, ""es"", ""en"")"),"Good for the Small but good price. It exactly as described. Great little massager for my back pain. Just a few minutes helps a lot. I usually use at night.")</f>
        <v>Good for the Small but good price. It exactly as described. Great little massager for my back pain. Just a few minutes helps a lot. I usually use at night.</v>
      </c>
    </row>
    <row r="403">
      <c r="A403" s="1">
        <v>5.0</v>
      </c>
      <c r="B403" s="1" t="s">
        <v>402</v>
      </c>
      <c r="C403" t="str">
        <f>IFERROR(__xludf.DUMMYFUNCTION("GOOGLETRANSLATE(B403, ""es"", ""en"")"),"Super fast order. It works very well, unlike others I've had. Value highly recommended for daily use shakes, creams, purees ...")</f>
        <v>Super fast order. It works very well, unlike others I've had. Value highly recommended for daily use shakes, creams, purees ...</v>
      </c>
    </row>
    <row r="404">
      <c r="A404" s="1">
        <v>5.0</v>
      </c>
      <c r="B404" s="1" t="s">
        <v>403</v>
      </c>
      <c r="C404" t="str">
        <f>IFERROR(__xludf.DUMMYFUNCTION("GOOGLETRANSLATE(B404, ""es"", ""en"")"),"Very useful for its two connectors In my case is great to pass media files from the tablet to the computer and to store files and not have to be wired. For its price it is fine.")</f>
        <v>Very useful for its two connectors In my case is great to pass media files from the tablet to the computer and to store files and not have to be wired. For its price it is fine.</v>
      </c>
    </row>
    <row r="405">
      <c r="A405" s="1">
        <v>5.0</v>
      </c>
      <c r="B405" s="1" t="s">
        <v>404</v>
      </c>
      <c r="C405" t="str">
        <f>IFERROR(__xludf.DUMMYFUNCTION("GOOGLETRANSLATE(B405, ""es"", ""en"")"),"I have really enjoyed They look very beautiful places, have already asked me a couple of times where I bought me, I'm glad I bought")</f>
        <v>I have really enjoyed They look very beautiful places, have already asked me a couple of times where I bought me, I'm glad I bought</v>
      </c>
    </row>
    <row r="406">
      <c r="A406" s="1">
        <v>5.0</v>
      </c>
      <c r="B406" s="1" t="s">
        <v>405</v>
      </c>
      <c r="C406" t="str">
        <f>IFERROR(__xludf.DUMMYFUNCTION("GOOGLETRANSLATE(B406, ""es"", ""en"")"),"Nice and fresh. Very nice shirt. very comfortable and fresh material. Size in my case is the S and coincides, I look good. This fashion model because I've seen several. I recommend it.")</f>
        <v>Nice and fresh. Very nice shirt. very comfortable and fresh material. Size in my case is the S and coincides, I look good. This fashion model because I've seen several. I recommend it.</v>
      </c>
    </row>
    <row r="407">
      <c r="A407" s="1">
        <v>5.0</v>
      </c>
      <c r="B407" s="1" t="s">
        <v>406</v>
      </c>
      <c r="C407" t="str">
        <f>IFERROR(__xludf.DUMMYFUNCTION("GOOGLETRANSLATE(B407, ""es"", ""en"")"),"Comfortable shoes Good shoes, materials and quality finishes and more comfortable than other shoes I've had this style. I have not tried for intensive use, but look also durable.")</f>
        <v>Comfortable shoes Good shoes, materials and quality finishes and more comfortable than other shoes I've had this style. I have not tried for intensive use, but look also durable.</v>
      </c>
    </row>
    <row r="408">
      <c r="A408" s="1">
        <v>5.0</v>
      </c>
      <c r="B408" s="1" t="s">
        <v>407</v>
      </c>
      <c r="C408" t="str">
        <f>IFERROR(__xludf.DUMMYFUNCTION("GOOGLETRANSLATE(B408, ""es"", ""en"")"),"Good product, high quality excellent product. There is a good quality price relation. Aroma intense and lasting. The assay works perfectly. With a couple of drops keeps the smell for hours. I bought it for a humidifier and gives a perfect touch and smell "&amp;"of the house. Great product very good quality. You can also use untándolas with bamboo rods with it.")</f>
        <v>Good product, high quality excellent product. There is a good quality price relation. Aroma intense and lasting. The assay works perfectly. With a couple of drops keeps the smell for hours. I bought it for a humidifier and gives a perfect touch and smell of the house. Great product very good quality. You can also use untándolas with bamboo rods with it.</v>
      </c>
    </row>
    <row r="409">
      <c r="A409" s="1">
        <v>5.0</v>
      </c>
      <c r="B409" s="1" t="s">
        <v>408</v>
      </c>
      <c r="C409" t="str">
        <f>IFERROR(__xludf.DUMMYFUNCTION("GOOGLETRANSLATE(B409, ""es"", ""en"")"),"Simply perfect perfect, fulfill their function perfectly, fit the head snugly and after several hours of continuous use not suffer ears. In contrast: simply put something, stuffing the bag is a bit small, I think for the price they could imcluir a travel "&amp;"case.")</f>
        <v>Simply perfect perfect, fulfill their function perfectly, fit the head snugly and after several hours of continuous use not suffer ears. In contrast: simply put something, stuffing the bag is a bit small, I think for the price they could imcluir a travel case.</v>
      </c>
    </row>
    <row r="410">
      <c r="A410" s="1">
        <v>5.0</v>
      </c>
      <c r="B410" s="1" t="s">
        <v>409</v>
      </c>
      <c r="C410" t="str">
        <f>IFERROR(__xludf.DUMMYFUNCTION("GOOGLETRANSLATE(B410, ""es"", ""en"")"),"Buenos helmets at a good price! I needed a wireless headset for use on my pc and not have the hassle of cable in the middle forever. At the beginning the search was complicated, because they were either too expensive or were of poor quality. I finally fou"&amp;"nd these helmets, which were in the middle. We are not expensive as others that are worth 200 euros, and looked shoddy. First, come in a travel case very sturdy hard fabric, perfect for traveling or carry in your backpack while not going to use. Within th"&amp;"e housing are helmets and several cables / adapters. Headphones itself'm also very comfortable. They are of the type that will cover the entire ear without crushing it, so you do not end up hurting your ears after prolonged use. The sound, on the other ha"&amp;"nd, I also find it very decent. It has a powerful bass and no noise seen in the sound. The battery lasts quite well. Always I leave charging when not'm using, but during sessions of 3-4 hours of use I give, I had no problems with the battery time. In shor"&amp;"t, if you are looking for a wireless headset upper-middle, these are perfect range.")</f>
        <v>Buenos helmets at a good price! I needed a wireless headset for use on my pc and not have the hassle of cable in the middle forever. At the beginning the search was complicated, because they were either too expensive or were of poor quality. I finally found these helmets, which were in the middle. We are not expensive as others that are worth 200 euros, and looked shoddy. First, come in a travel case very sturdy hard fabric, perfect for traveling or carry in your backpack while not going to use. Within the housing are helmets and several cables / adapters. Headphones itself'm also very comfortable. They are of the type that will cover the entire ear without crushing it, so you do not end up hurting your ears after prolonged use. The sound, on the other hand, I also find it very decent. It has a powerful bass and no noise seen in the sound. The battery lasts quite well. Always I leave charging when not'm using, but during sessions of 3-4 hours of use I give, I had no problems with the battery time. In short, if you are looking for a wireless headset upper-middle, these are perfect range.</v>
      </c>
    </row>
    <row r="411">
      <c r="A411" s="1">
        <v>5.0</v>
      </c>
      <c r="B411" s="1" t="s">
        <v>410</v>
      </c>
      <c r="C411" t="str">
        <f>IFERROR(__xludf.DUMMYFUNCTION("GOOGLETRANSLATE(B411, ""es"", ""en"")"),"Great sound quality and autonomy This is a Bluetooth headset high-quality finishing materials gives a premium look. The sound quality is really good, especially low. It has a range of about 10 meters from your phone connected, which gives you great freedo"&amp;"m of movement. The loading base is perceived heavy but is carrying a 6000mAh battery enough to charge dozens of times headphones, or a few times the mobile itself, but the base is not necessary to carry it because its purpose is to charge the headset, the"&amp;"y are not required for operation. It also has a marker that indicates the remaining battery charge, which makes it really useful. Recommendable.")</f>
        <v>Great sound quality and autonomy This is a Bluetooth headset high-quality finishing materials gives a premium look. The sound quality is really good, especially low. It has a range of about 10 meters from your phone connected, which gives you great freedom of movement. The loading base is perceived heavy but is carrying a 6000mAh battery enough to charge dozens of times headphones, or a few times the mobile itself, but the base is not necessary to carry it because its purpose is to charge the headset, they are not required for operation. It also has a marker that indicates the remaining battery charge, which makes it really useful. Recommendable.</v>
      </c>
    </row>
    <row r="412">
      <c r="A412" s="1">
        <v>5.0</v>
      </c>
      <c r="B412" s="1" t="s">
        <v>411</v>
      </c>
      <c r="C412" t="str">
        <f>IFERROR(__xludf.DUMMYFUNCTION("GOOGLETRANSLATE(B412, ""es"", ""en"")"),"Very good very good. Better than the picture. I ordered the same number I always have and I do well.")</f>
        <v>Very good very good. Better than the picture. I ordered the same number I always have and I do well.</v>
      </c>
    </row>
    <row r="413">
      <c r="A413" s="1">
        <v>5.0</v>
      </c>
      <c r="B413" s="1" t="s">
        <v>412</v>
      </c>
      <c r="C413" t="str">
        <f>IFERROR(__xludf.DUMMYFUNCTION("GOOGLETRANSLATE(B413, ""es"", ""en"")"),"Very good product very fast and at a very good")</f>
        <v>Very good product very fast and at a very good</v>
      </c>
    </row>
    <row r="414">
      <c r="A414" s="1">
        <v>5.0</v>
      </c>
      <c r="B414" s="1" t="s">
        <v>413</v>
      </c>
      <c r="C414" t="str">
        <f>IFERROR(__xludf.DUMMYFUNCTION("GOOGLETRANSLATE(B414, ""es"", ""en"")"),"elegant pretty shoes for a holiday, very comfortable and elegant, I'm happy with them, recommended a 100 x 100")</f>
        <v>elegant pretty shoes for a holiday, very comfortable and elegant, I'm happy with them, recommended a 100 x 100</v>
      </c>
    </row>
    <row r="415">
      <c r="A415" s="1">
        <v>5.0</v>
      </c>
      <c r="B415" s="1" t="s">
        <v>414</v>
      </c>
      <c r="C415" t="str">
        <f>IFERROR(__xludf.DUMMYFUNCTION("GOOGLETRANSLATE(B415, ""es"", ""en"")"),"Good food I've bought to go comfortable, very soft and fits very well, I love this brand, good quality price and fast shipping, I always repeat")</f>
        <v>Good food I've bought to go comfortable, very soft and fits very well, I love this brand, good quality price and fast shipping, I always repeat</v>
      </c>
    </row>
    <row r="416">
      <c r="A416" s="1">
        <v>5.0</v>
      </c>
      <c r="B416" s="1" t="s">
        <v>415</v>
      </c>
      <c r="C416" t="str">
        <f>IFERROR(__xludf.DUMMYFUNCTION("GOOGLETRANSLATE(B416, ""es"", ""en"")"),"Quality rewards Very good quality at an excellent price")</f>
        <v>Quality rewards Very good quality at an excellent price</v>
      </c>
    </row>
    <row r="417">
      <c r="A417" s="1">
        <v>2.0</v>
      </c>
      <c r="B417" s="1" t="s">
        <v>416</v>
      </c>
      <c r="C417" t="str">
        <f>IFERROR(__xludf.DUMMYFUNCTION("GOOGLETRANSLATE(B417, ""es"", ""en"")"),"It should be prohibited from selling things according to some noise, but can be compensated with the controls, but stopped working at the end of a mes..Hasta that time was wonderful ..")</f>
        <v>It should be prohibited from selling things according to some noise, but can be compensated with the controls, but stopped working at the end of a mes..Hasta that time was wonderful ..</v>
      </c>
    </row>
    <row r="418">
      <c r="A418" s="1">
        <v>3.0</v>
      </c>
      <c r="B418" s="1" t="s">
        <v>417</v>
      </c>
      <c r="C418" t="str">
        <f>IFERROR(__xludf.DUMMYFUNCTION("GOOGLETRANSLATE(B418, ""es"", ""en"")"),"Fair value Fair value, recommend buying 4 in 4 because they do not last long. But the price they are a decent product.")</f>
        <v>Fair value Fair value, recommend buying 4 in 4 because they do not last long. But the price they are a decent product.</v>
      </c>
    </row>
    <row r="419">
      <c r="A419" s="1">
        <v>3.0</v>
      </c>
      <c r="B419" s="1" t="s">
        <v>418</v>
      </c>
      <c r="C419" t="str">
        <f>IFERROR(__xludf.DUMMYFUNCTION("GOOGLETRANSLATE(B419, ""es"", ""en"")"),"Quite a Casio watch as all Casio is perfect, very good quality and performance, the battery is what has failed in 3 months begin to lighten much the digits, and not if failure Casio or dealer.")</f>
        <v>Quite a Casio watch as all Casio is perfect, very good quality and performance, the battery is what has failed in 3 months begin to lighten much the digits, and not if failure Casio or dealer.</v>
      </c>
    </row>
    <row r="420">
      <c r="A420" s="1">
        <v>3.0</v>
      </c>
      <c r="B420" s="1" t="s">
        <v>419</v>
      </c>
      <c r="C420" t="str">
        <f>IFERROR(__xludf.DUMMYFUNCTION("GOOGLETRANSLATE(B420, ""es"", ""en"")"),"To get a taste nor does the trick for me withstands heat or cold. It is simple, to cover the bottle and little else, is nice but expected to put up with the temperature")</f>
        <v>To get a taste nor does the trick for me withstands heat or cold. It is simple, to cover the bottle and little else, is nice but expected to put up with the temperature</v>
      </c>
    </row>
    <row r="421">
      <c r="A421" s="1">
        <v>1.0</v>
      </c>
      <c r="B421" s="1" t="s">
        <v>420</v>
      </c>
      <c r="C421" t="str">
        <f>IFERROR(__xludf.DUMMYFUNCTION("GOOGLETRANSLATE(B421, ""es"", ""en"")"),"The shoes are badly flawed. The side rubber unattached")</f>
        <v>The shoes are badly flawed. The side rubber unattached</v>
      </c>
    </row>
    <row r="422">
      <c r="A422" s="1">
        <v>1.0</v>
      </c>
      <c r="B422" s="1" t="s">
        <v>421</v>
      </c>
      <c r="C422" t="str">
        <f>IFERROR(__xludf.DUMMYFUNCTION("GOOGLETRANSLATE(B422, ""es"", ""en"")"),"Okay disappointment and the early days it worked great until he got a heat wave and making more than 25 degrees in the machine house for loading and not cool.")</f>
        <v>Okay disappointment and the early days it worked great until he got a heat wave and making more than 25 degrees in the machine house for loading and not cool.</v>
      </c>
    </row>
    <row r="423">
      <c r="A423" s="1">
        <v>4.0</v>
      </c>
      <c r="B423" s="1" t="s">
        <v>422</v>
      </c>
      <c r="C423" t="str">
        <f>IFERROR(__xludf.DUMMYFUNCTION("GOOGLETRANSLATE(B423, ""es"", ""en"")"),"It has good rates of speed Today what makes the difference in a card is reading and writing data, especially when recording high quality video and photography bursts. The Arcanite brand was unknown until the day today for me, though it takes a few years d"&amp;"istributed in major countries of the world, through its headquarters in Tokyo. It is a micro SD card class 10 XC version. This truth is a little crazy, because each manufacturer calls them a way to refer to the same thing. I usually just me based on MB / "&amp;"s. Although eventually come out new models that improve transfer rates, especially when being more constant and also very importantly, provide a reliable, which still must prove Arcanite. The speed test is satisfactory, providing the speeds indicated by t"&amp;"he manufacturer, resulting 92.02 MB / s read and 75.04 MB / s writing. It Includes SD adapter to use on other computers.")</f>
        <v>It has good rates of speed Today what makes the difference in a card is reading and writing data, especially when recording high quality video and photography bursts. The Arcanite brand was unknown until the day today for me, though it takes a few years distributed in major countries of the world, through its headquarters in Tokyo. It is a micro SD card class 10 XC version. This truth is a little crazy, because each manufacturer calls them a way to refer to the same thing. I usually just me based on MB / s. Although eventually come out new models that improve transfer rates, especially when being more constant and also very importantly, provide a reliable, which still must prove Arcanite. The speed test is satisfactory, providing the speeds indicated by the manufacturer, resulting 92.02 MB / s read and 75.04 MB / s writing. It Includes SD adapter to use on other computers.</v>
      </c>
    </row>
    <row r="424">
      <c r="A424" s="1">
        <v>4.0</v>
      </c>
      <c r="B424" s="1" t="s">
        <v>423</v>
      </c>
      <c r="C424" t="str">
        <f>IFERROR(__xludf.DUMMYFUNCTION("GOOGLETRANSLATE(B424, ""es"", ""en"")"),"Quality shoes. I usually use 41 because 40 is very fair to me. These shoes, with a size 41 I feel almost like a 40. So you know, carve a little small. Otherwise, good quality and very comfortable insole.")</f>
        <v>Quality shoes. I usually use 41 because 40 is very fair to me. These shoes, with a size 41 I feel almost like a 40. So you know, carve a little small. Otherwise, good quality and very comfortable insole.</v>
      </c>
    </row>
    <row r="425">
      <c r="A425" s="1">
        <v>4.0</v>
      </c>
      <c r="B425" s="1" t="s">
        <v>424</v>
      </c>
      <c r="C425" t="str">
        <f>IFERROR(__xludf.DUMMYFUNCTION("GOOGLETRANSLATE(B425, ""es"", ""en"")"),"Perfect for jogging track and rocky terrain sneakers are lightweight and especially perfect for jogging tracks. The carbon sheet improves tread on stones preventing them nailed you. Tamping should last longer disappear in a year and stay smooth and perfec"&amp;"t to play basketball. You definitely have to take a number more if you do not want to stay without nails. They are waterproof and perfect for the field.")</f>
        <v>Perfect for jogging track and rocky terrain sneakers are lightweight and especially perfect for jogging tracks. The carbon sheet improves tread on stones preventing them nailed you. Tamping should last longer disappear in a year and stay smooth and perfect to play basketball. You definitely have to take a number more if you do not want to stay without nails. They are waterproof and perfect for the field.</v>
      </c>
    </row>
    <row r="426">
      <c r="A426" s="1">
        <v>4.0</v>
      </c>
      <c r="B426" s="1" t="s">
        <v>425</v>
      </c>
      <c r="C426" t="str">
        <f>IFERROR(__xludf.DUMMYFUNCTION("GOOGLETRANSLATE(B426, ""es"", ""en"")"),"I like long delivery time, moreover, has great power and gives good results, we will see its durabilidad.A dira wait time if worth the price paid.")</f>
        <v>I like long delivery time, moreover, has great power and gives good results, we will see its durabilidad.A dira wait time if worth the price paid.</v>
      </c>
    </row>
    <row r="427">
      <c r="A427" s="1">
        <v>5.0</v>
      </c>
      <c r="B427" s="1" t="s">
        <v>426</v>
      </c>
      <c r="C427" t="str">
        <f>IFERROR(__xludf.DUMMYFUNCTION("GOOGLETRANSLATE(B427, ""es"", ""en"")"),"Super moment perfect. Not very large and light. Comfortable and practical It's not like others I have seen, too big for my taste (and my wrist). So far, happy with it")</f>
        <v>Super moment perfect. Not very large and light. Comfortable and practical It's not like others I have seen, too big for my taste (and my wrist). So far, happy with it</v>
      </c>
    </row>
    <row r="428">
      <c r="A428" s="1">
        <v>5.0</v>
      </c>
      <c r="B428" s="1" t="s">
        <v>427</v>
      </c>
      <c r="C428" t="str">
        <f>IFERROR(__xludf.DUMMYFUNCTION("GOOGLETRANSLATE(B428, ""es"", ""en"")"),"The pendant is very nice very nice. It has a size that is neither too large nor too small. Blue Stone is gorgeous and has a brightness that makes it stand out. In addition to silver being no problem that can cause allergies or anything like that and the c"&amp;"ombination it is beautiful. Buy gift and has been a success.")</f>
        <v>The pendant is very nice very nice. It has a size that is neither too large nor too small. Blue Stone is gorgeous and has a brightness that makes it stand out. In addition to silver being no problem that can cause allergies or anything like that and the combination it is beautiful. Buy gift and has been a success.</v>
      </c>
    </row>
    <row r="429">
      <c r="A429" s="1">
        <v>5.0</v>
      </c>
      <c r="B429" s="1" t="s">
        <v>428</v>
      </c>
      <c r="C429" t="str">
        <f>IFERROR(__xludf.DUMMYFUNCTION("GOOGLETRANSLATE(B429, ""es"", ""en"")"),"The use for two years without any failure in use for 2 years in both smartphone and SLR camera without any problems. In favor the reliability of the brand itself and Amazon, as well as its consistent price. Satisfied with the purchase.")</f>
        <v>The use for two years without any failure in use for 2 years in both smartphone and SLR camera without any problems. In favor the reliability of the brand itself and Amazon, as well as its consistent price. Satisfied with the purchase.</v>
      </c>
    </row>
    <row r="430">
      <c r="A430" s="1">
        <v>5.0</v>
      </c>
      <c r="B430" s="1" t="s">
        <v>429</v>
      </c>
      <c r="C430" t="str">
        <f>IFERROR(__xludf.DUMMYFUNCTION("GOOGLETRANSLATE(B430, ""es"", ""en"")"),"Fantastico was what I needed, because with long hours of games, arms began to ache with these pads have found a pleasant relief, a great recommendation for people who just pain in the joints of the hands.")</f>
        <v>Fantastico was what I needed, because with long hours of games, arms began to ache with these pads have found a pleasant relief, a great recommendation for people who just pain in the joints of the hands.</v>
      </c>
    </row>
    <row r="431">
      <c r="A431" s="1">
        <v>5.0</v>
      </c>
      <c r="B431" s="1" t="s">
        <v>430</v>
      </c>
      <c r="C431" t="str">
        <f>IFERROR(__xludf.DUMMYFUNCTION("GOOGLETRANSLATE(B431, ""es"", ""en"")"),"Perfect sports. And very nice and comfortable. Very good quality.")</f>
        <v>Perfect sports. And very nice and comfortable. Very good quality.</v>
      </c>
    </row>
    <row r="432">
      <c r="A432" s="1">
        <v>5.0</v>
      </c>
      <c r="B432" s="1" t="s">
        <v>431</v>
      </c>
      <c r="C432" t="str">
        <f>IFERROR(__xludf.DUMMYFUNCTION("GOOGLETRANSLATE(B432, ""es"", ""en"")"),"Your comfort no equal quality Price")</f>
        <v>Your comfort no equal quality Price</v>
      </c>
    </row>
    <row r="433">
      <c r="A433" s="1">
        <v>5.0</v>
      </c>
      <c r="B433" s="1" t="s">
        <v>432</v>
      </c>
      <c r="C433" t="str">
        <f>IFERROR(__xludf.DUMMYFUNCTION("GOOGLETRANSLATE(B433, ""es"", ""en"")"),"Aspira Very good buy very good. Not long ago ruido.tiene much power. Is comfortable to handle, drain, remove ... maybe it weighs a little. But is it worth it. Very happy with the purchase")</f>
        <v>Aspira Very good buy very good. Not long ago ruido.tiene much power. Is comfortable to handle, drain, remove ... maybe it weighs a little. But is it worth it. Very happy with the purchase</v>
      </c>
    </row>
    <row r="434">
      <c r="A434" s="1">
        <v>5.0</v>
      </c>
      <c r="B434" s="1" t="s">
        <v>433</v>
      </c>
      <c r="C434" t="str">
        <f>IFERROR(__xludf.DUMMYFUNCTION("GOOGLETRANSLATE(B434, ""es"", ""en"")"),"Excellent I recommend good, meets expectations")</f>
        <v>Excellent I recommend good, meets expectations</v>
      </c>
    </row>
    <row r="435">
      <c r="A435" s="1">
        <v>5.0</v>
      </c>
      <c r="B435" s="1" t="s">
        <v>434</v>
      </c>
      <c r="C435" t="str">
        <f>IFERROR(__xludf.DUMMYFUNCTION("GOOGLETRANSLATE(B435, ""es"", ""en"")"),"I recommend using them for pasting snapshots in an album and the result is excellent.")</f>
        <v>I recommend using them for pasting snapshots in an album and the result is excellent.</v>
      </c>
    </row>
    <row r="436">
      <c r="A436" s="1">
        <v>5.0</v>
      </c>
      <c r="B436" s="1" t="s">
        <v>435</v>
      </c>
      <c r="C436" t="str">
        <f>IFERROR(__xludf.DUMMYFUNCTION("GOOGLETRANSLATE(B436, ""es"", ""en"")"),"How pleased with purchase waiting ahead says ""Be Happy"" also in black and white and warm. That if I recommend ordering a size more than you have. Pleased with purchase I like it!")</f>
        <v>How pleased with purchase waiting ahead says "Be Happy" also in black and white and warm. That if I recommend ordering a size more than you have. Pleased with purchase I like it!</v>
      </c>
    </row>
    <row r="437">
      <c r="A437" s="1">
        <v>5.0</v>
      </c>
      <c r="B437" s="1" t="s">
        <v>436</v>
      </c>
      <c r="C437" t="str">
        <f>IFERROR(__xludf.DUMMYFUNCTION("GOOGLETRANSLATE(B437, ""es"", ""en"")"),"It feels good odor with a few drops.")</f>
        <v>It feels good odor with a few drops.</v>
      </c>
    </row>
    <row r="438">
      <c r="A438" s="1">
        <v>5.0</v>
      </c>
      <c r="B438" s="1" t="s">
        <v>437</v>
      </c>
      <c r="C438" t="str">
        <f>IFERROR(__xludf.DUMMYFUNCTION("GOOGLETRANSLATE(B438, ""es"", ""en"")"),"Quality and comfort Nike is comfortable and quality services!")</f>
        <v>Quality and comfort Nike is comfortable and quality services!</v>
      </c>
    </row>
    <row r="439">
      <c r="A439" s="1">
        <v>5.0</v>
      </c>
      <c r="B439" s="1" t="s">
        <v>438</v>
      </c>
      <c r="C439" t="str">
        <f>IFERROR(__xludf.DUMMYFUNCTION("GOOGLETRANSLATE(B439, ""es"", ""en"")"),"He was looking perfectly fulfills a case that bulged not much. Sitema also that worked the automatic supenso. I have to say that I was surprised pleasantly. It fits perfectly to the reader, protecting both the screen and the back. The lid has a soft felt "&amp;"protects from scratches front, being rigid enough to protect the reader. Leave accessible the connectors for USB and can be handled without problems. The suspension is activated and deactivated on closing the cover, it runs smoothly. Highly recommended pu"&amp;"rchase, price quality")</f>
        <v>He was looking perfectly fulfills a case that bulged not much. Sitema also that worked the automatic supenso. I have to say that I was surprised pleasantly. It fits perfectly to the reader, protecting both the screen and the back. The lid has a soft felt protects from scratches front, being rigid enough to protect the reader. Leave accessible the connectors for USB and can be handled without problems. The suspension is activated and deactivated on closing the cover, it runs smoothly. Highly recommended purchase, price quality</v>
      </c>
    </row>
    <row r="440">
      <c r="A440" s="1">
        <v>5.0</v>
      </c>
      <c r="B440" s="1" t="s">
        <v>439</v>
      </c>
      <c r="C440" t="str">
        <f>IFERROR(__xludf.DUMMYFUNCTION("GOOGLETRANSLATE(B440, ""es"", ""en"")"),"The great value really is what I wanted, a simple mixer without accessories, and goes great. If you could remove the bottom for better wash it, it would be perfect. Ah! and if it comes with glass beater is not put on the web")</f>
        <v>The great value really is what I wanted, a simple mixer without accessories, and goes great. If you could remove the bottom for better wash it, it would be perfect. Ah! and if it comes with glass beater is not put on the web</v>
      </c>
    </row>
    <row r="441">
      <c r="A441" s="1">
        <v>5.0</v>
      </c>
      <c r="B441" s="1" t="s">
        <v>440</v>
      </c>
      <c r="C441" t="str">
        <f>IFERROR(__xludf.DUMMYFUNCTION("GOOGLETRANSLATE(B441, ""es"", ""en"")"),"elultimokzierre bandolier very good material, compact and with lots of compartments that are very usable. The purchase would definitely")</f>
        <v>elultimokzierre bandolier very good material, compact and with lots of compartments that are very usable. The purchase would definitely</v>
      </c>
    </row>
    <row r="442">
      <c r="A442" s="1">
        <v>5.0</v>
      </c>
      <c r="B442" s="1" t="s">
        <v>441</v>
      </c>
      <c r="C442" t="str">
        <f>IFERROR(__xludf.DUMMYFUNCTION("GOOGLETRANSLATE(B442, ""es"", ""en"")"),"I chose the valuation perfect for the price and the number of opinions of the supplier and the truth is that every perfect")</f>
        <v>I chose the valuation perfect for the price and the number of opinions of the supplier and the truth is that every perfect</v>
      </c>
    </row>
    <row r="443">
      <c r="A443" s="1">
        <v>5.0</v>
      </c>
      <c r="B443" s="1" t="s">
        <v>442</v>
      </c>
      <c r="C443" t="str">
        <f>IFERROR(__xludf.DUMMYFUNCTION("GOOGLETRANSLATE(B443, ""es"", ""en"")"),"ok very good and comfortable shoe, it would lack a bit of grip, but are incredible")</f>
        <v>ok very good and comfortable shoe, it would lack a bit of grip, but are incredible</v>
      </c>
    </row>
    <row r="444">
      <c r="A444" s="1">
        <v>5.0</v>
      </c>
      <c r="B444" s="1" t="s">
        <v>443</v>
      </c>
      <c r="C444" t="str">
        <f>IFERROR(__xludf.DUMMYFUNCTION("GOOGLETRANSLATE(B444, ""es"", ""en"")"),"It works in cobblers! I use it for Shoemakers and spectacular results! Barely a month of use and odors have disappeared.")</f>
        <v>It works in cobblers! I use it for Shoemakers and spectacular results! Barely a month of use and odors have disappeared.</v>
      </c>
    </row>
    <row r="445">
      <c r="A445" s="1">
        <v>2.0</v>
      </c>
      <c r="B445" s="1" t="s">
        <v>444</v>
      </c>
      <c r="C445" t="str">
        <f>IFERROR(__xludf.DUMMYFUNCTION("GOOGLETRANSLATE(B445, ""es"", ""en"")"),"Duster poor quality and extension have a different thread.")</f>
        <v>Duster poor quality and extension have a different thread.</v>
      </c>
    </row>
    <row r="446">
      <c r="A446" s="1">
        <v>3.0</v>
      </c>
      <c r="B446" s="1" t="s">
        <v>445</v>
      </c>
      <c r="C446" t="str">
        <f>IFERROR(__xludf.DUMMYFUNCTION("GOOGLETRANSLATE(B446, ""es"", ""en"")"),"You have to order a number more than the one used. I chock 42 feet and the shoes is small. Article is what it is.")</f>
        <v>You have to order a number more than the one used. I chock 42 feet and the shoes is small. Article is what it is.</v>
      </c>
    </row>
    <row r="447">
      <c r="A447" s="1">
        <v>3.0</v>
      </c>
      <c r="B447" s="1" t="s">
        <v>446</v>
      </c>
      <c r="C447" t="str">
        <f>IFERROR(__xludf.DUMMYFUNCTION("GOOGLETRANSLATE(B447, ""es"", ""en"")"),"It gives the pego gives the pego")</f>
        <v>It gives the pego gives the pego</v>
      </c>
    </row>
    <row r="448">
      <c r="A448" s="1">
        <v>1.0</v>
      </c>
      <c r="B448" s="1" t="s">
        <v>447</v>
      </c>
      <c r="C448" t="str">
        <f>IFERROR(__xludf.DUMMYFUNCTION("GOOGLETRANSLATE(B448, ""es"", ""en"")"),"The screwdriver does not include shipping does not include screwdriver for assembly, so it is useless to ask. It is a special screwdriver for these watches. I do not recommend asking if you make sure not before having the tool.")</f>
        <v>The screwdriver does not include shipping does not include screwdriver for assembly, so it is useless to ask. It is a special screwdriver for these watches. I do not recommend asking if you make sure not before having the tool.</v>
      </c>
    </row>
    <row r="449">
      <c r="A449" s="1">
        <v>1.0</v>
      </c>
      <c r="B449" s="1" t="s">
        <v>448</v>
      </c>
      <c r="C449" t="str">
        <f>IFERROR(__xludf.DUMMYFUNCTION("GOOGLETRANSLATE(B449, ""es"", ""en"")"),"I think money roll a roll of money brutal !!!! I d have trouble back and it hurts and does not run over anything !!!! Leaves the ground so soaked q takes life to dry")</f>
        <v>I think money roll a roll of money brutal !!!! I d have trouble back and it hurts and does not run over anything !!!! Leaves the ground so soaked q takes life to dry</v>
      </c>
    </row>
    <row r="450">
      <c r="A450" s="1">
        <v>4.0</v>
      </c>
      <c r="B450" s="1" t="s">
        <v>449</v>
      </c>
      <c r="C450" t="str">
        <f>IFERROR(__xludf.DUMMYFUNCTION("GOOGLETRANSLATE(B450, ""es"", ""en"")"),"Two-speed, 3 accessories and power (600W) well used This BATIDORA only has two speeds, ""normal"" and ""turbo"", which are selected by simply pressing a button. Not a blender powerful (at turbo speed are 600W) but is effective for grinding evenly vegetabl"&amp;"es and almost any type of food (if you crush meat and cooked, depending on what kind of meat may not be too thin, It serves no chopping ice because it would lack much time at the risk of burning the motor). The texture of food once crushed is quite fine b"&amp;"ut sometimes you need to use the Chinese to remove the skins or threads of vegetables that have not been properly shredded as in the case of certain types of tomatoes that have thick skin or some vegetables like leeks. Not too loud (85dB), and the handle "&amp;"is ergonomic which makes it easy to handle. The arm of the mixer is removable and can be washed in the dishwasher, although I prefer hand washing immediately after use, dry it and save it. My mixer came with several 3 ACCESSORIES: A 600 ml graduated beake"&amp;"r manageable, has a size suitable for comminuting foods and mixtures although sometimes falls a little short, depending on what and how many cook cook. For example, use it to make creams for two or whisking until stiff but if I cream for the whole family,"&amp;" mashed vegetables directly into the pot. The model ""without accessories"" also carries the measuring cup. RODS arm to lift snow egg whites (makes it very fast), beat cake mixes, etc. it works very well. A mincer having very sharp knives and chop quickly"&amp;" and well. At home we used to prepare sauces (pesto for example), make breadcrumbs when we have stale bread, making ""chopped"" for soups and creams, etc. but it can also be used to chop meat with satisfactory results (relative to its potency, of course)."&amp;" It also has a cover if we want to keep the food we have chopped and goes very well when you chop not going to consume immediately. If you are a person that life when cooking and preparing simple recipes are not complicated, this mixer will be fine. But i"&amp;"f you ""cocinillas"" and like to prepare complex recipes, maybe you'll stay a little short.")</f>
        <v>Two-speed, 3 accessories and power (600W) well used This BATIDORA only has two speeds, "normal" and "turbo", which are selected by simply pressing a button. Not a blender powerful (at turbo speed are 600W) but is effective for grinding evenly vegetables and almost any type of food (if you crush meat and cooked, depending on what kind of meat may not be too thin, It serves no chopping ice because it would lack much time at the risk of burning the motor). The texture of food once crushed is quite fine but sometimes you need to use the Chinese to remove the skins or threads of vegetables that have not been properly shredded as in the case of certain types of tomatoes that have thick skin or some vegetables like leeks. Not too loud (85dB), and the handle is ergonomic which makes it easy to handle. The arm of the mixer is removable and can be washed in the dishwasher, although I prefer hand washing immediately after use, dry it and save it. My mixer came with several 3 ACCESSORIES: A 600 ml graduated beaker manageable, has a size suitable for comminuting foods and mixtures although sometimes falls a little short, depending on what and how many cook cook. For example, use it to make creams for two or whisking until stiff but if I cream for the whole family, mashed vegetables directly into the pot. The model "without accessories" also carries the measuring cup. RODS arm to lift snow egg whites (makes it very fast), beat cake mixes, etc. it works very well. A mincer having very sharp knives and chop quickly and well. At home we used to prepare sauces (pesto for example), make breadcrumbs when we have stale bread, making "chopped" for soups and creams, etc. but it can also be used to chop meat with satisfactory results (relative to its potency, of course). It also has a cover if we want to keep the food we have chopped and goes very well when you chop not going to consume immediately. If you are a person that life when cooking and preparing simple recipes are not complicated, this mixer will be fine. But if you "cocinillas" and like to prepare complex recipes, maybe you'll stay a little short.</v>
      </c>
    </row>
    <row r="451">
      <c r="A451" s="1">
        <v>4.0</v>
      </c>
      <c r="B451" s="1" t="s">
        <v>450</v>
      </c>
      <c r="C451" t="str">
        <f>IFERROR(__xludf.DUMMYFUNCTION("GOOGLETRANSLATE(B451, ""es"", ""en"")"),"Since what I was looking kind my city water is very hard, I need to use in every wash and quantity and price I found no better place")</f>
        <v>Since what I was looking kind my city water is very hard, I need to use in every wash and quantity and price I found no better place</v>
      </c>
    </row>
    <row r="452">
      <c r="A452" s="1">
        <v>4.0</v>
      </c>
      <c r="B452" s="1" t="s">
        <v>451</v>
      </c>
      <c r="C452" t="str">
        <f>IFERROR(__xludf.DUMMYFUNCTION("GOOGLETRANSLATE(B452, ""es"", ""en"")"),"Tight. Good but small size")</f>
        <v>Tight. Good but small size</v>
      </c>
    </row>
    <row r="453">
      <c r="A453" s="1">
        <v>4.0</v>
      </c>
      <c r="B453" s="1" t="s">
        <v>452</v>
      </c>
      <c r="C453" t="str">
        <f>IFERROR(__xludf.DUMMYFUNCTION("GOOGLETRANSLATE(B453, ""es"", ""en"")"),"It is 2.5 ""in the description says it is a record of 2'5"" and what is not. It's a record 3.5 narrower but obviously not enough for me. I thank pq stars I think it's a good product, but not described.")</f>
        <v>It is 2.5 "in the description says it is a record of 2'5" and what is not. It's a record 3.5 narrower but obviously not enough for me. I thank pq stars I think it's a good product, but not described.</v>
      </c>
    </row>
    <row r="454">
      <c r="A454" s="1">
        <v>4.0</v>
      </c>
      <c r="B454" s="1" t="s">
        <v>453</v>
      </c>
      <c r="C454" t="str">
        <f>IFERROR(__xludf.DUMMYFUNCTION("GOOGLETRANSLATE(B454, ""es"", ""en"")"),"Slingbag Good Value, a little rough.")</f>
        <v>Slingbag Good Value, a little rough.</v>
      </c>
    </row>
    <row r="455">
      <c r="A455" s="1">
        <v>5.0</v>
      </c>
      <c r="B455" s="1" t="s">
        <v>454</v>
      </c>
      <c r="C455" t="str">
        <f>IFERROR(__xludf.DUMMYFUNCTION("GOOGLETRANSLATE(B455, ""es"", ""en"")"),"Warm, soft and covering the shoulders well is soft, has 3 temperature settings, covering the back, neck and shoulders, bought by problems d cervical d my wife and I liked him a lot, price quality is pretty good, concerning the Amazon shipping and transpor"&amp;"tation very well as usual.")</f>
        <v>Warm, soft and covering the shoulders well is soft, has 3 temperature settings, covering the back, neck and shoulders, bought by problems d cervical d my wife and I liked him a lot, price quality is pretty good, concerning the Amazon shipping and transportation very well as usual.</v>
      </c>
    </row>
    <row r="456">
      <c r="A456" s="1">
        <v>5.0</v>
      </c>
      <c r="B456" s="1" t="s">
        <v>455</v>
      </c>
      <c r="C456" t="str">
        <f>IFERROR(__xludf.DUMMYFUNCTION("GOOGLETRANSLATE(B456, ""es"", ""en"")"),"good! recomento &lt;div id = ""video-block-R10JGUJ9CO5TDO"" class = ""section a-a-a-spacing-small spacing-top-video mini-block""&gt; &lt;div tabindex = ""0"" class = ""airy airy- svg vmin-supported airy-skin-beacon ""style ="" background-color: rgb (0, 0, 0) posit"&amp;"ion: relative; width: 100%; height: 100%; font-size: 0px; overflow: hidden; outline: none; ""&gt; &lt;div class ="" airy-renderer-container ""style ="" position: relative; height: 100%; width: 100%; ""&gt; &lt;video id ="" 7 ""preload ="" auto ""src = ""https://image"&amp;"s-eu.ssl-images-amazon.com/images/I/B1izqZwp-6S.mp4"" style = ""position: absolute; left: 0px; top: 0px; overflow: hidden; height: 1px; width: 1px; ""&gt; &lt;/ video&gt; &lt;/ div&gt; &lt;div id ="" airy-slate-preload ""style ="" background-color: rgb (0, 0, 0); backgroun"&amp;"d-image: url (&amp; quot; https : //images-eu.ssl-images-amazon.com/images/I/81HD7yPZM2S.png&amp;quot;); background-size: Contain; background-position: center center; background-repeat: no-repeat; position: absolute; top: 0px; left: 0px; visibility: visible; widt"&amp;"h: 100%; height: 100%; ""&gt; &lt;/ div&gt; &lt;iframe scrolling ="" no ""frameborder ="" 0 ""src ="" about: blank ""style ="" display: none; ""&gt; &lt;/ iframe&gt; &lt;div tabindex ="" - 1 ""class ="" airy-controls-container ""style ="" opacity: 0 ; visibility: hidden; ""&gt; &lt;di"&amp;"v tabindex ="" - 1 ""class ="" airy-screen-size-toggle airy-fullscreen ""&gt; &lt;/ div&gt; &lt;div tabindex ="" - 1 ""class ="" airy-container-bottom "" &gt; &lt;div tabindex = ""- 1"" class = ""airy-track-bar-spacer-left"" style = ""width: 11px;""&gt; &lt;/ div&gt; &lt;div tabindex "&amp;"= ""- 1"" class = ""airy-play- airy toggle-play ""style ="" width: 12px; margin-right: 12px; ""&gt; &lt;/ div&gt; &lt;div tabindex ="" - 1 ""class ="" airy-audio-elements ""style ="" float: right; width: 34px; ""&gt; &lt;div tabindex ="" - 1 ""class ="" airy-audio-toggle a"&amp;"iry-on ""&gt; &lt;/ div&gt; &lt;div tabindex ="" - 1 ""class ="" airy-audio-container ""style = ""opacity: 0; visibility: hidden; ""&gt; &lt;div tabindex ="" - 1 ""class ="" airy-audio-track-bar ""style ="" height: 80%; ""&gt; &lt;div tabindex ="" - 1 ""class ="" airy-audio- Scr"&amp;"ubber-bar ""style ="" height: 85%; ""&gt; &lt;/ div&gt; &lt;div tabindex ="" - 1 ""class ="" airy-audio-scrubber ""style ="" height: 12px; bottom: 85% ""&gt; &lt;/ div&gt; &lt;/ div&gt; &lt;/ div&gt; &lt;/ div&gt; &lt;div tabindex ="" - 1 ""class ="" airy-duration-label ""style ="" float: right; "&amp;"width: 26px; margin-right: 4px; text-align: center; ""&gt; 0:00 &lt;/ div&gt; &lt;div tabindex ="" - 1 ""class ="" airy-track-bar-spacer-right ""style ="" float: right; width: 11px; ""&gt; &lt;/ div&gt; &lt;div tabindex ="" - 1 ""class ="" airy-track-bar-container ""style ="" ma"&amp;"rgin-left: 35px; margin-right: 75px; ""&gt; &lt;div tabindex ="" - 1 ""class ="" airy-airy-track-bar vertically-centering-table ""&gt; &lt;div tabindex ="" - 1 ""class ="" airy-Vertical-centering- table-cell ""&gt; &lt;div tabindex ="" - 1 ""class ="" airy-track-bar-elemen"&amp;"ts ""&gt; &lt;div tabindex ="" - 1 ""class ="" airy-progress-bar ""&gt; &lt;/ div&gt; &lt;div tabindex = ""- 1"" class = ""airy-scrubber-bar""&gt; &lt;/ div&gt; &lt;div tabindex = ""- 1"" class = ""airy-scrubber""&gt; &lt;div tabindex = ""- 1"" class = ""airy-scrubber- icon ""&gt; &lt;/ div&gt; &lt;div"&amp;" tabindex ="" - 1 ""class ="" airy-adjusted-AUI-tooltip ""style ="" opacity: 0; visibility: hidden; ""&gt; &lt;div tabindex ="" - 1 ""class ="" airy-adjusted-aui-tooltip-inner ""&gt; &lt;div tabindex ="" - 1 ""class ="" airy-current-time-label ""&gt; 0: 00 &lt;/ div&gt; &lt;/ di"&amp;"v&gt; &lt;div tabindex = ""- 1"" class = ""airy-adjusted-AUI-arrow-border""&gt; &lt;div tabindex = ""- 1"" class = ""airy-adjusted-AUI-arrow"" &gt; &lt;/ div&gt; &lt;/ div&gt; &lt;/ div&gt; &lt;/ div&gt; &lt;/ div&gt; &lt;/ div&gt; &lt;/ div&gt; &lt;/ div&gt; &lt;/ div&gt; &lt;/ div&gt; &lt;div tabindex = ""- 1"" class = ""airy-age"&amp;"-gate airy-stage airy-Vertical-centering-table airy-dialog"" style = ""opacity: 0; visibility: hidden; ""&gt; &lt;div tabindex ="" - 1 ""class ="" airy-age-gate-Vertical-centering-table-cell airy-Vertical-centering-table-cell ""&gt; &lt;div tabindex ="" - 1 ""class ="&amp;" ""airy-Vertical-centering-wrapper airy-age-gate-elements-wrapper""&gt; &lt;div tabindex = ""- 1"" class = ""airy-age-gate-elements airy-dialog-elements""&gt; &lt;div tabindex = "" -1 ""class ="" airy-age-gate-prompt ""&gt; This video is not Intended for all audiences W"&amp;"hat date were you born &lt;/ div&gt; &lt;div tabindex =.?"" - 1 ""class ="" airy-age-gate -inputs airy-dialog-inner-elements ""&gt; &lt;select tabindex ="" - 1 ""class ="" airy-age-gate-month ""&gt; &lt;option value ="" 1 ""&gt; January &lt;/ option&gt; &lt;option value ="" 2 ""&gt; Februar"&amp;"y &lt;/ option&gt; &lt;option value ="" 3 ""&gt; March &lt;/ option&gt; &lt;option value ="" 4 ""&gt; April &lt;/ option&gt; &lt;option value ="" 5 ""&gt; May &lt;/ option&gt; &lt;option value = ""6""&gt; June &lt;/ option&gt; &lt;option value = ""7""&gt; July &lt;/ option&gt; &lt;option value = ""8""&gt; August &lt;/ option&gt; &lt;o"&amp;"ption value = ""9""&gt; September &lt;/ option&gt; &lt;option value = ""10""&gt; October &lt;/ option&gt; &lt;option value = ""11""&gt; November &lt;/ option&gt; &lt;option value = ""12""&gt; December &lt;/ option&gt; &lt;/ select&gt; &lt;select tabindex = ""- 1"" class = ""airy-age-gate-day""&gt; &lt;opti on valu"&amp;"e = ""1""&gt; 1 &lt;/ option&gt; &lt;option value = ""2""&gt; 2 &lt;/ option&gt; &lt;option value = ""3""&gt; 3 &lt;/ option&gt; &lt;option value = ""4""&gt; 4 &lt;/ option &gt; &lt;option value = ""5""&gt; 5 &lt;/ option&gt; &lt;option value = ""6""&gt; 6 &lt;/ option&gt; &lt;option value = ""7""&gt; 7 &lt;/ option&gt; &lt;option value "&amp;"= ""8""&gt; 8 &lt; / option&gt; &lt;option value = ""9""&gt; 9 &lt;/ option&gt; &lt;option value = ""10""&gt; 10 &lt;/ option&gt; &lt;option value = ""11""&gt; 11 &lt;/ option&gt; &lt;option value = ""12""&gt; 12 &lt;/ option&gt; &lt;option value = ""13""&gt; 13 &lt;/ option&gt; &lt;option value = ""14""&gt; 14 &lt;/ option&gt; &lt;optio"&amp;"n value = ""15""&gt; 15 &lt;/ option&gt; &lt;option value = ""16 ""&gt; 16 &lt;/ option&gt; &lt;option value ="" 17 ""&gt; 17 &lt;/ option&gt; &lt;option value ="" 18 ""&gt; 18 &lt;/ option&gt; &lt;option value ="" 19 ""&gt; 19 &lt;/ option&gt; &lt;option value = ""20""&gt; 20 &lt;/ option&gt; &lt;option value = ""21""&gt; 21 &lt;/"&amp;"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option "&amp;"value = ""2018""&gt; 2018 &lt;/ option&gt; &lt;option value = ""2017""&gt; 2017 &lt;/ option&gt; &lt;option value = ""2016""&gt; ​​2016 &lt;/ option&gt; &lt;option value = ""2015""&gt; 2015 &lt;/ option &gt; &lt;option value = ""2014""&gt; 2014 &lt;/ option&gt; &lt;option value = ""2013""&gt; 2013 &lt;/ option&gt; &lt;option "&amp;"value = ""2012""&gt; 2012 &lt;/ option&gt; &lt;option value = ""2011""&gt; 2011 &lt; / option&gt; &lt;option value = ""2010""&gt; 2010 &lt;/ option&gt; &lt;option value = ""2009""&gt; 2009 &lt;/ option&gt; &lt;option value = ""2008""&gt; 2008 &lt;/ option&gt; &lt;option value = ""2007""&gt; 2007 &lt;/ option&gt; &lt;option va"&amp;"lue = ""2006""&gt; 2006 &lt;/ option&gt; &lt;option value = ""2005""&gt; 2005 &lt;/ option&gt; &lt;option value = ""2004""&gt; 2004 &lt;/ option&gt; &lt;option value = ""2003 ""&gt; 2003 &lt;/ option&gt; &lt;option value ="" 2002 ""&gt; 2002 &lt;/ option&gt; &lt;option value ="" 2001 ""&gt; 2001 &lt;/ option&gt; &lt;option va"&amp;"lue ="" 2000 ""&gt; 2000 &lt;/ option&gt; &lt;option value = ""1999""&gt; 1999 &lt;/ option&gt; &lt;option value = ""1998""&gt; 1998 &lt;/ option&gt; &lt;option value = ""1997""&gt; 1997 &lt;/ option&gt; &lt;option value = ""1996""&gt; 1996 &lt;/ option&gt; &lt;option value = ""1995""&gt; 1995 &lt;/ option&gt; &lt;option valu"&amp;"e = ""1994""&gt; 1994 &lt;/ option&gt; &lt;option value = ""1993""&gt; 1993 &lt;/ option&gt; &lt;option value = ""1992""&gt; 1992 &lt;/ option&gt; &lt;option value = ""1991""&gt; 1991 &lt;/ option&gt; &lt;option value = ""1990""&gt; 1990 &lt;/ option&gt; &lt;option value = "" 1989 ""&gt; 1989 &lt;/ option&gt; &lt;option value"&amp;" ="" 1988 ""&gt; 1988 &lt;/ option&gt; &lt;option value ="" 1987 ""&gt; 1987 &lt;/ option&gt; &lt;option value ="" 1986 ""&gt; 1986 &lt;/ option&gt; &lt;value option = ""1985""&gt; 1985 &lt;/ option&gt; &lt;option value = ""1984""&gt; 1984 &lt;/ option&gt; &lt;option value = ""1983""&gt; 1983 &lt;/ option&gt; &lt;option value"&amp;" = ""1982""&gt; 1982 &lt;/ option&gt; &lt; option value = ""1981""&gt; 1981 &lt;/ option&gt; &lt;option value = ""1980""&gt; 1980 &lt;/ option&gt; &lt;option value = ""1979""&gt; 1979 &lt;/ option&gt; &lt;option value = ""1978""&gt; 1978 &lt;/ option &gt; &lt;option value = ""1977""&gt; 1977 &lt;/ option&gt; &lt;option value "&amp;"= ""1976""&gt;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 "&amp;"""1958""&gt; 1958 &lt;/ option&gt; &lt;option value = ""1957""&gt; 1957 &lt;/ option&gt; &lt;option value = ""1956""&gt; 1956 &lt;/ option&gt; &lt;option value = ""1955""&gt; 1955 &lt;/ option&gt; &lt;option value = ""1954""&gt; 1954 &lt;/ option&gt; &lt;option value = ""1953""&gt; 1953 &lt;/ option&gt; &lt;option value = ""1"&amp;"952"" &gt; 1952 &lt;/ option&gt; &lt;option value = ""1951""&gt; 1951 &lt;/ option&gt; &lt;option value = ""1950""&gt; 1950 &lt;/ option&gt; &lt;option value = ""1949""&gt; 1949 &lt;/ option&gt; &lt;option value = "" 1948 ""&gt; 1948 &lt;/ option&gt; &lt;option value ="" 1947 ""&gt; 1947 &lt;/ option&gt; &lt;option value ="" "&amp;"1946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""19"&amp;"34""&gt; 1934 &lt;/ option&gt; &lt;option value = ""1933""&gt; 1933 &lt; / option&gt; &lt;option value = ""1932""&gt; 1932 &lt;/ option&gt; &lt;option value = ""1931""&gt; 1931 &lt;/ option&gt; &lt;option v alue = ""1930""&gt; 1930 &lt;/ option&gt; &lt;option value = ""1929""&gt; 1929 &lt;/ option&gt; &lt;option value = ""192"&amp;"8""&gt;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 1"&amp;"916 &lt;/ option&gt; &lt;option value = ""1915"" &gt; 1915 &lt;/ option&gt; &lt;option value = ""1914""&gt; 1914 &lt;/ option&gt; &lt;option value = ""1913""&gt; 1913 &lt;/ option&gt; &lt;option value = ""1912""&gt; 1912 &lt;/ option&gt; &lt;option value = "" 1911 ""&gt; 1911 &lt;/ option&gt; &lt;option value ="" 1910 ""&gt; "&amp;"1910 &lt;/ option&gt; &lt;option value ="" 1909 ""&gt; 1909 &lt;/ option&gt; &lt;option value ="" 1908 ""&gt; 1908 &lt;/ option&gt; &lt;value option = ""1907""&gt; 1907 &lt;/ option&gt; &lt;option value = ""1906""&gt; 1906 &lt;/ option&gt; &lt;option value = ""1905""&gt; 1905 &lt;/ option&gt; &lt;option value = ""1904""&gt; 1"&amp;"904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tabindex =."" - 1 ""class ="" airy-install-flash-"&amp;"button-wrapper airy -dialog-inner-elements ""&gt; &lt;div tabindex ="" - 1 ""class ="" airy-install-flash-button airy-button ""&gt; install Flash Player &lt;/ div&gt; &lt;/ div&gt; &lt;/ div&gt; &lt;/ div&gt; &lt;/ div&gt; &lt;/ div&gt; &lt;div tabindex = ""- 1"" class = ""airy-video-unsupported-dialog"&amp;" 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B1izqZwp-6S.mp4 ""Class ="" video-url ""&gt; &lt;input type ="" hidden ""name ="" ""value ="" https://images-eu.ssl-images-amazon.com/images/I/81HD7yPZM2S.png ""class ="" video-slate-img-url ""&gt; &amp; nbsp; is a pretty mini backpack, which I li"&amp;"ke very much fits pocket")</f>
        <v>good! recomento &lt;div id = "video-block-R10JGUJ9CO5TDO" class = "section a-a-a-spacing-small spacing-top-video mini-block"&gt; &lt;div tabindex = "0" class = "airy airy- svg vmin-supported airy-skin-beacon "style =" background-color: rgb (0, 0, 0) position: relative; width: 100%; height: 100%; font-size: 0px; overflow: hidden; outline: none; "&gt; &lt;div class =" airy-renderer-container "style =" position: relative; height: 100%; width: 100%; "&gt; &lt;video id =" 7 "preload =" auto "src = "https://images-eu.ssl-images-amazon.com/images/I/B1izqZwp-6S.mp4" style = "position: absolute; left: 0px; top: 0px; overflow: hidden; height: 1px; width: 1px; "&gt; &lt;/ video&gt; &lt;/ div&gt; &lt;div id =" airy-slate-preload "style =" background-color: rgb (0, 0, 0); background-image: url (&amp; quot; https : //images-eu.ssl-images-amazon.com/images/I/81HD7yPZM2S.png&amp;quot;); background-size: Contain; background-position: center center; background-repeat: no-repeat; position: absolute; top: 0px; left: 0px; visibility: visible; width: 100%; height: 100%; "&gt; &lt;/ div&gt; &lt;iframe scrolling =" no "frameborder =" 0 "src =" about: blank "style =" display: none; "&gt; &lt;/ iframe&gt; &lt;div tabindex =" - 1 "class =" airy-controls-container "style =" opacity: 0 ;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B1izqZwp-6S.mp4 "Class =" video-url "&gt; &lt;input type =" hidden "name =" "value =" https://images-eu.ssl-images-amazon.com/images/I/81HD7yPZM2S.png "class =" video-slate-img-url "&gt; &amp; nbsp; is a pretty mini backpack, which I like very much fits pocket</v>
      </c>
    </row>
    <row r="457">
      <c r="A457" s="1">
        <v>5.0</v>
      </c>
      <c r="B457" s="1" t="s">
        <v>456</v>
      </c>
      <c r="C457" t="str">
        <f>IFERROR(__xludf.DUMMYFUNCTION("GOOGLETRANSLATE(B457, ""es"", ""en"")"),"Better than expected quality product. It is presented in a case with instruction manual and warranty. Good finishes, and so far works perfectly without delay or advance the time")</f>
        <v>Better than expected quality product. It is presented in a case with instruction manual and warranty. Good finishes, and so far works perfectly without delay or advance the time</v>
      </c>
    </row>
    <row r="458">
      <c r="A458" s="1">
        <v>5.0</v>
      </c>
      <c r="B458" s="1" t="s">
        <v>457</v>
      </c>
      <c r="C458" t="str">
        <f>IFERROR(__xludf.DUMMYFUNCTION("GOOGLETRANSLATE(B458, ""es"", ""en"")"),"VERY GOOD IS VITAL TODAY TO TAKE WITH YOU THE CAMERA DIGITAL PHOTO AND A MEMORY CARD LIKE THIS TWO IN TWO TO BE ABLE TO TAKE WITH YOU ALL THAT YOUR EYES DECIDE WHAT IS INTERESTING FOR YOU AND YOUR NETWORK OF FRIENDS WITH THAT share your life .TARJETA MEMO"&amp;"RY 64GB ""Many hours of good memories PLACES MARAVILLOSOS STATES TO LIFE FOREVER .-"" .- G R A T I A ​​S")</f>
        <v>VERY GOOD IS VITAL TODAY TO TAKE WITH YOU THE CAMERA DIGITAL PHOTO AND A MEMORY CARD LIKE THIS TWO IN TWO TO BE ABLE TO TAKE WITH YOU ALL THAT YOUR EYES DECIDE WHAT IS INTERESTING FOR YOU AND YOUR NETWORK OF FRIENDS WITH THAT share your life .TARJETA MEMORY 64GB "Many hours of good memories PLACES MARAVILLOSOS STATES TO LIFE FOREVER .-" .- G R A T I A ​​S</v>
      </c>
    </row>
    <row r="459">
      <c r="A459" s="1">
        <v>5.0</v>
      </c>
      <c r="B459" s="1" t="s">
        <v>458</v>
      </c>
      <c r="C459" t="str">
        <f>IFERROR(__xludf.DUMMYFUNCTION("GOOGLETRANSLATE(B459, ""es"", ""en"")"),"All great works. Good quality. I've used it a few times and going great. Simply plug it into your laptop and get to spend slides. Windows makes installation in seconds. It is very useful to bring the tab to attach it to your pocket and that result as a ba"&amp;"llpoint pen. You can magrearlo at the conference as if such were. The perfect pointer, not dazzles as more powerful than if the room is a bit dark, shine much more than annoying and counterproductive resulting dispositive. And the materials seem of good q"&amp;"uality, so great.")</f>
        <v>All great works. Good quality. I've used it a few times and going great. Simply plug it into your laptop and get to spend slides. Windows makes installation in seconds. It is very useful to bring the tab to attach it to your pocket and that result as a ballpoint pen. You can magrearlo at the conference as if such were. The perfect pointer, not dazzles as more powerful than if the room is a bit dark, shine much more than annoying and counterproductive resulting dispositive. And the materials seem of good quality, so great.</v>
      </c>
    </row>
    <row r="460">
      <c r="A460" s="1">
        <v>5.0</v>
      </c>
      <c r="B460" s="1" t="s">
        <v>459</v>
      </c>
      <c r="C460" t="str">
        <f>IFERROR(__xludf.DUMMYFUNCTION("GOOGLETRANSLATE(B460, ""es"", ""en"")"),"Battery length I bought these headphones for use at work. The truth that moment very happy with her performance. The battery gives me full shift (8 hours) and are very comfortable to be worn. They bring different sizes to suit the ear, according to each p"&amp;"erson. The sound quality very good, very good bass. Very pleased summary")</f>
        <v>Battery length I bought these headphones for use at work. The truth that moment very happy with her performance. The battery gives me full shift (8 hours) and are very comfortable to be worn. They bring different sizes to suit the ear, according to each person. The sound quality very good, very good bass. Very pleased summary</v>
      </c>
    </row>
    <row r="461">
      <c r="A461" s="1">
        <v>5.0</v>
      </c>
      <c r="B461" s="1" t="s">
        <v>460</v>
      </c>
      <c r="C461" t="str">
        <f>IFERROR(__xludf.DUMMYFUNCTION("GOOGLETRANSLATE(B461, ""es"", ""en"")"),"well Perfect")</f>
        <v>well Perfect</v>
      </c>
    </row>
    <row r="462">
      <c r="A462" s="1">
        <v>5.0</v>
      </c>
      <c r="B462" s="1" t="s">
        <v>461</v>
      </c>
      <c r="C462" t="str">
        <f>IFERROR(__xludf.DUMMYFUNCTION("GOOGLETRANSLATE(B462, ""es"", ""en"")"),"excellent excellent")</f>
        <v>excellent excellent</v>
      </c>
    </row>
    <row r="463">
      <c r="A463" s="1">
        <v>5.0</v>
      </c>
      <c r="B463" s="1" t="s">
        <v>462</v>
      </c>
      <c r="C463" t="str">
        <f>IFERROR(__xludf.DUMMYFUNCTION("GOOGLETRANSLATE(B463, ""es"", ""en"")"),"Aromas I bought this nice box with 8 cans of essential oils, each of a different flavor and as I usually use a humidifier to the changing'm not tired of the same flavor every day. I put some drops in water and the leaves turn aromatized steam.")</f>
        <v>Aromas I bought this nice box with 8 cans of essential oils, each of a different flavor and as I usually use a humidifier to the changing'm not tired of the same flavor every day. I put some drops in water and the leaves turn aromatized steam.</v>
      </c>
    </row>
    <row r="464">
      <c r="A464" s="1">
        <v>5.0</v>
      </c>
      <c r="B464" s="1" t="s">
        <v>463</v>
      </c>
      <c r="C464" t="str">
        <f>IFERROR(__xludf.DUMMYFUNCTION("GOOGLETRANSLATE(B464, ""es"", ""en"")"),"Recomendables are great! Support is good for low-impact sport, by giving read reviews and asked for a size much less than I am and remain great, so I recommend ordering 2 sizes smaller than you usually use")</f>
        <v>Recomendables are great! Support is good for low-impact sport, by giving read reviews and asked for a size much less than I am and remain great, so I recommend ordering 2 sizes smaller than you usually use</v>
      </c>
    </row>
    <row r="465">
      <c r="A465" s="1">
        <v>5.0</v>
      </c>
      <c r="B465" s="1" t="s">
        <v>464</v>
      </c>
      <c r="C465" t="str">
        <f>IFERROR(__xludf.DUMMYFUNCTION("GOOGLETRANSLATE(B465, ""es"", ""en"")"),"It is just what you'd expect from a midi cable.")</f>
        <v>It is just what you'd expect from a midi cable.</v>
      </c>
    </row>
    <row r="466">
      <c r="A466" s="1">
        <v>5.0</v>
      </c>
      <c r="B466" s="1" t="s">
        <v>465</v>
      </c>
      <c r="C466" t="str">
        <f>IFERROR(__xludf.DUMMYFUNCTION("GOOGLETRANSLATE(B466, ""es"", ""en"")"),"perfect all ok")</f>
        <v>perfect all ok</v>
      </c>
    </row>
    <row r="467">
      <c r="A467" s="1">
        <v>5.0</v>
      </c>
      <c r="B467" s="1" t="s">
        <v>466</v>
      </c>
      <c r="C467" t="str">
        <f>IFERROR(__xludf.DUMMYFUNCTION("GOOGLETRANSLATE(B467, ""es"", ""en"")"),"The classics never fail. Casio handles a simple, classic and useful. I took the lead 20 minutes the first week, but I suspect it had to do something accidentally, because since I came back to put in perfect working hour.")</f>
        <v>The classics never fail. Casio handles a simple, classic and useful. I took the lead 20 minutes the first week, but I suspect it had to do something accidentally, because since I came back to put in perfect working hour.</v>
      </c>
    </row>
    <row r="468">
      <c r="A468" s="1">
        <v>5.0</v>
      </c>
      <c r="B468" s="1" t="s">
        <v>467</v>
      </c>
      <c r="C468" t="str">
        <f>IFERROR(__xludf.DUMMYFUNCTION("GOOGLETRANSLATE(B468, ""es"", ""en"")"),"Ok right")</f>
        <v>Ok right</v>
      </c>
    </row>
    <row r="469">
      <c r="A469" s="1">
        <v>5.0</v>
      </c>
      <c r="B469" s="1" t="s">
        <v>468</v>
      </c>
      <c r="C469" t="str">
        <f>IFERROR(__xludf.DUMMYFUNCTION("GOOGLETRANSLATE(B469, ""es"", ""en"")"),"Practical and good material has enough weight to dispense the heat without having to juggle with both hands, although it should be slightly secure the bracket.")</f>
        <v>Practical and good material has enough weight to dispense the heat without having to juggle with both hands, although it should be slightly secure the bracket.</v>
      </c>
    </row>
    <row r="470">
      <c r="A470" s="1">
        <v>5.0</v>
      </c>
      <c r="B470" s="1" t="s">
        <v>469</v>
      </c>
      <c r="C470" t="str">
        <f>IFERROR(__xludf.DUMMYFUNCTION("GOOGLETRANSLATE(B470, ""es"", ""en"")"),"Just an absolute joy to say they are the best and most comfortable shoes I've ever had. They fit my wide foot perfectly. I have problems with the Achilles' heel when I played football and I are great because they have a high heel and are very fluffy. Reco"&amp;"mmended to 100%.")</f>
        <v>Just an absolute joy to say they are the best and most comfortable shoes I've ever had. They fit my wide foot perfectly. I have problems with the Achilles' heel when I played football and I are great because they have a high heel and are very fluffy. Recommended to 100%.</v>
      </c>
    </row>
    <row r="471">
      <c r="A471" s="1">
        <v>5.0</v>
      </c>
      <c r="B471" s="1" t="s">
        <v>470</v>
      </c>
      <c r="C471" t="str">
        <f>IFERROR(__xludf.DUMMYFUNCTION("GOOGLETRANSLATE(B471, ""es"", ""en"")"),"Tal Cual like the photos I liked the shirt fabric, something negative is it's a bit long, but looks great tucked into his pants!")</f>
        <v>Tal Cual like the photos I liked the shirt fabric, something negative is it's a bit long, but looks great tucked into his pants!</v>
      </c>
    </row>
    <row r="472">
      <c r="A472" s="1">
        <v>5.0</v>
      </c>
      <c r="B472" s="1" t="s">
        <v>471</v>
      </c>
      <c r="C472" t="str">
        <f>IFERROR(__xludf.DUMMYFUNCTION("GOOGLETRANSLATE(B472, ""es"", ""en"")"),"very good right all, I have used with two children and last long, are of good quality and meet expectations. worth the money I paid.")</f>
        <v>very good right all, I have used with two children and last long, are of good quality and meet expectations. worth the money I paid.</v>
      </c>
    </row>
    <row r="473">
      <c r="A473" s="1">
        <v>5.0</v>
      </c>
      <c r="B473" s="1" t="s">
        <v>238</v>
      </c>
      <c r="C473" t="str">
        <f>IFERROR(__xludf.DUMMYFUNCTION("GOOGLETRANSLATE(B473, ""es"", ""en"")"),"perfect perfect")</f>
        <v>perfect perfect</v>
      </c>
    </row>
    <row r="474">
      <c r="A474" s="1">
        <v>2.0</v>
      </c>
      <c r="B474" s="1" t="s">
        <v>472</v>
      </c>
      <c r="C474" t="str">
        <f>IFERROR(__xludf.DUMMYFUNCTION("GOOGLETRANSLATE(B474, ""es"", ""en"")"),"I bought very large size XS, and it is huge")</f>
        <v>I bought very large size XS, and it is huge</v>
      </c>
    </row>
    <row r="475">
      <c r="A475" s="1">
        <v>3.0</v>
      </c>
      <c r="B475" s="1" t="s">
        <v>473</v>
      </c>
      <c r="C475" t="str">
        <f>IFERROR(__xludf.DUMMYFUNCTION("GOOGLETRANSLATE(B475, ""es"", ""en"")"),"Bonitisimos larger than expected, they are heavy")</f>
        <v>Bonitisimos larger than expected, they are heavy</v>
      </c>
    </row>
    <row r="476">
      <c r="A476" s="1">
        <v>1.0</v>
      </c>
      <c r="B476" s="1" t="s">
        <v>474</v>
      </c>
      <c r="C476" t="str">
        <f>IFERROR(__xludf.DUMMYFUNCTION("GOOGLETRANSLATE(B476, ""es"", ""en"")"),"are not originals are not originals. They do not adapt well to the whole, with some movement disengages from the pin and the terminal continues to send messages that connect an original.")</f>
        <v>are not originals are not originals. They do not adapt well to the whole, with some movement disengages from the pin and the terminal continues to send messages that connect an original.</v>
      </c>
    </row>
    <row r="477">
      <c r="A477" s="1">
        <v>1.0</v>
      </c>
      <c r="B477" s="1" t="s">
        <v>475</v>
      </c>
      <c r="C477" t="str">
        <f>IFERROR(__xludf.DUMMYFUNCTION("GOOGLETRANSLATE(B477, ""es"", ""en"")"),"Lousy From day worked very slow. A month later it used 3 times when they had to copy some media, no longer works and do not recognize the devices.")</f>
        <v>Lousy From day worked very slow. A month later it used 3 times when they had to copy some media, no longer works and do not recognize the devices.</v>
      </c>
    </row>
    <row r="478">
      <c r="A478" s="1">
        <v>4.0</v>
      </c>
      <c r="B478" s="1" t="s">
        <v>476</v>
      </c>
      <c r="C478" t="str">
        <f>IFERROR(__xludf.DUMMYFUNCTION("GOOGLETRANSLATE(B478, ""es"", ""en"")"),"Good buy. Very simple to program, uncomplicated, it seems sturdy and comes with screws and holes for anchoring. Quality and price, good.")</f>
        <v>Good buy. Very simple to program, uncomplicated, it seems sturdy and comes with screws and holes for anchoring. Quality and price, good.</v>
      </c>
    </row>
    <row r="479">
      <c r="A479" s="1">
        <v>4.0</v>
      </c>
      <c r="B479" s="1" t="s">
        <v>477</v>
      </c>
      <c r="C479" t="str">
        <f>IFERROR(__xludf.DUMMYFUNCTION("GOOGLETRANSLATE(B479, ""es"", ""en"")"),"Pretty pretty pretty and they do not weigh much.")</f>
        <v>Pretty pretty pretty and they do not weigh much.</v>
      </c>
    </row>
    <row r="480">
      <c r="A480" s="1">
        <v>4.0</v>
      </c>
      <c r="B480" s="1" t="s">
        <v>478</v>
      </c>
      <c r="C480" t="str">
        <f>IFERROR(__xludf.DUMMYFUNCTION("GOOGLETRANSLATE(B480, ""es"", ""en"")"),"In my case they carved more than normal sneakers are fine in design and quality but I left me pretty big 37, I usually use this number.")</f>
        <v>In my case they carved more than normal sneakers are fine in design and quality but I left me pretty big 37, I usually use this number.</v>
      </c>
    </row>
    <row r="481">
      <c r="A481" s="1">
        <v>4.0</v>
      </c>
      <c r="B481" s="1" t="s">
        <v>479</v>
      </c>
      <c r="C481" t="str">
        <f>IFERROR(__xludf.DUMMYFUNCTION("GOOGLETRANSLATE(B481, ""es"", ""en"")"),"This molt bé M'ha agradat that també is pogui fer serve the cotxe")</f>
        <v>This molt bé M'ha agradat that també is pogui fer serve the cotxe</v>
      </c>
    </row>
    <row r="482">
      <c r="A482" s="1">
        <v>4.0</v>
      </c>
      <c r="B482" s="1" t="s">
        <v>480</v>
      </c>
      <c r="C482" t="str">
        <f>IFERROR(__xludf.DUMMYFUNCTION("GOOGLETRANSLATE(B482, ""es"", ""en"")"),"DISAPPOINTED Buenas tardes. I bought two units of this model, generally happy, but hoping to have updates that improve their capabilities, which ""evolved"" as we see in other brands happens every few months. To this day there has been none, nor as promis"&amp;"ed to the mapping for more than one plant, nor any who added any of the multiple possibilities we see these machines in other brands, cleaning modes, etc. A SALUTE TO ALL")</f>
        <v>DISAPPOINTED Buenas tardes. I bought two units of this model, generally happy, but hoping to have updates that improve their capabilities, which "evolved" as we see in other brands happens every few months. To this day there has been none, nor as promised to the mapping for more than one plant, nor any who added any of the multiple possibilities we see these machines in other brands, cleaning modes, etc. A SALUTE TO ALL</v>
      </c>
    </row>
    <row r="483">
      <c r="A483" s="1">
        <v>5.0</v>
      </c>
      <c r="B483" s="1" t="s">
        <v>481</v>
      </c>
      <c r="C483" t="str">
        <f>IFERROR(__xludf.DUMMYFUNCTION("GOOGLETRANSLATE(B483, ""es"", ""en"")"),"Just what I needed it fair that I was looking for")</f>
        <v>Just what I needed it fair that I was looking for</v>
      </c>
    </row>
    <row r="484">
      <c r="A484" s="1">
        <v>5.0</v>
      </c>
      <c r="B484" s="1" t="s">
        <v>482</v>
      </c>
      <c r="C484" t="str">
        <f>IFERROR(__xludf.DUMMYFUNCTION("GOOGLETRANSLATE(B484, ""es"", ""en"")"),"👍👍👍 perfect !! It's great, my 8 year old daughter loves it. Good buy. 👍👍👍")</f>
        <v>👍👍👍 perfect !! It's great, my 8 year old daughter loves it. Good buy. 👍👍👍</v>
      </c>
    </row>
    <row r="485">
      <c r="A485" s="1">
        <v>5.0</v>
      </c>
      <c r="B485" s="1" t="s">
        <v>483</v>
      </c>
      <c r="C485" t="str">
        <f>IFERROR(__xludf.DUMMYFUNCTION("GOOGLETRANSLATE(B485, ""es"", ""en"")"),"Very good boots high quality workmanship and materials. They look great with jeans. I found them at half price in store so happy. They are not as thought but for winter are perfect for mid-season")</f>
        <v>Very good boots high quality workmanship and materials. They look great with jeans. I found them at half price in store so happy. They are not as thought but for winter are perfect for mid-season</v>
      </c>
    </row>
    <row r="486">
      <c r="A486" s="1">
        <v>5.0</v>
      </c>
      <c r="B486" s="1" t="s">
        <v>484</v>
      </c>
      <c r="C486" t="str">
        <f>IFERROR(__xludf.DUMMYFUNCTION("GOOGLETRANSLATE(B486, ""es"", ""en"")"),"Buenissimo I was not convinced to buy it because it had the movie many times and thought that would no longer be emocinante history. No doubt I was wrong. I finished in 3 days. It was like back has to get into the story of the movie but with more scenes a"&amp;"nd everything more detailed. In the movie they skip some things.")</f>
        <v>Buenissimo I was not convinced to buy it because it had the movie many times and thought that would no longer be emocinante history. No doubt I was wrong. I finished in 3 days. It was like back has to get into the story of the movie but with more scenes and everything more detailed. In the movie they skip some things.</v>
      </c>
    </row>
    <row r="487">
      <c r="A487" s="1">
        <v>5.0</v>
      </c>
      <c r="B487" s="1" t="s">
        <v>485</v>
      </c>
      <c r="C487" t="str">
        <f>IFERROR(__xludf.DUMMYFUNCTION("GOOGLETRANSLATE(B487, ""es"", ""en"")"),"Best Value. The best value for money. I tried the xiaomi and future Enacfire plus and Enacfire e-18, the latter two top rated on Amazon, and xiaomi the like, all I stay with them, especially for the size, very small, the future plus also they work very we"&amp;"ll but are great.")</f>
        <v>Best Value. The best value for money. I tried the xiaomi and future Enacfire plus and Enacfire e-18, the latter two top rated on Amazon, and xiaomi the like, all I stay with them, especially for the size, very small, the future plus also they work very well but are great.</v>
      </c>
    </row>
    <row r="488">
      <c r="A488" s="1">
        <v>5.0</v>
      </c>
      <c r="B488" s="1" t="s">
        <v>486</v>
      </c>
      <c r="C488" t="str">
        <f>IFERROR(__xludf.DUMMYFUNCTION("GOOGLETRANSLATE(B488, ""es"", ""en"")"),"Daisy Chain and Snowflake Pendant in Sterling Silver Made in 925 sterling silver with a chain length: 45-50 cm has a rhodium finish that will not rust. The pendant is a snowflake, with 5A Zirconia. It has a size 14.48 * 12.59 mm and weighing 3.6 g. I thou"&amp;"ght it was bigger on the pictures, but really the chain is finite and quite tiny snowflake. I am delighted. I bought it as a gift for my partner and has great resemblance, it has been in love with her and that was my intention. With what I can only say GO"&amp;"AL ACHIEVED. It has been a wonderful lesson and I'm repeating myself, when I have some justification for another gift. I am very happy with the manufacturer and seller that motivated me to make the purchase. I attached some pictures to you appreciate: The"&amp;" perfect packaging. Lovely gift box. And delicacy in the good work of all those who have tried my order and product. Clearly I repeat and repeat every few minutes.")</f>
        <v>Daisy Chain and Snowflake Pendant in Sterling Silver Made in 925 sterling silver with a chain length: 45-50 cm has a rhodium finish that will not rust. The pendant is a snowflake, with 5A Zirconia. It has a size 14.48 * 12.59 mm and weighing 3.6 g. I thought it was bigger on the pictures, but really the chain is finite and quite tiny snowflake. I am delighted. I bought it as a gift for my partner and has great resemblance, it has been in love with her and that was my intention. With what I can only say GOAL ACHIEVED. It has been a wonderful lesson and I'm repeating myself, when I have some justification for another gift. I am very happy with the manufacturer and seller that motivated me to make the purchase. I attached some pictures to you appreciate: The perfect packaging. Lovely gift box. And delicacy in the good work of all those who have tried my order and product. Clearly I repeat and repeat every few minutes.</v>
      </c>
    </row>
    <row r="489">
      <c r="A489" s="1">
        <v>5.0</v>
      </c>
      <c r="B489" s="1" t="s">
        <v>487</v>
      </c>
      <c r="C489" t="str">
        <f>IFERROR(__xludf.DUMMYFUNCTION("GOOGLETRANSLATE(B489, ""es"", ""en"")"),"Needed at home fulfills its function")</f>
        <v>Needed at home fulfills its function</v>
      </c>
    </row>
    <row r="490">
      <c r="A490" s="1">
        <v>5.0</v>
      </c>
      <c r="B490" s="1" t="s">
        <v>238</v>
      </c>
      <c r="C490" t="str">
        <f>IFERROR(__xludf.DUMMYFUNCTION("GOOGLETRANSLATE(B490, ""es"", ""en"")"),"perfect perfect")</f>
        <v>perfect perfect</v>
      </c>
    </row>
    <row r="491">
      <c r="A491" s="1">
        <v>5.0</v>
      </c>
      <c r="B491" s="1" t="s">
        <v>488</v>
      </c>
      <c r="C491" t="str">
        <f>IFERROR(__xludf.DUMMYFUNCTION("GOOGLETRANSLATE(B491, ""es"", ""en"")"),"It works well and offer worth")</f>
        <v>It works well and offer worth</v>
      </c>
    </row>
    <row r="492">
      <c r="A492" s="1">
        <v>5.0</v>
      </c>
      <c r="B492" s="1" t="s">
        <v>489</v>
      </c>
      <c r="C492" t="str">
        <f>IFERROR(__xludf.DUMMYFUNCTION("GOOGLETRANSLATE(B492, ""es"", ""en"")"),"CASIO = QUALITY I arrived a day later, rare in Amazon. Enpaquetado came well protected in a aluminum case, was out and give the day, month, right time as given light. Battery butt and without a scratch. The book also comes instructions in Spanish and that"&amp;" is welcome. It is very easy to handle and 2 times a day is updated when at least 2 times in the South. As usual in the Casio alarms sound low that it could have currado in a modern watch as this. As I have said repeatedly button operation is difficult be"&amp;"cause it does not project even has its positive side is more difficult to damage and not the entire day driving them is a lesser evil bone is. In light of the clock is powerful and lasts a couple of seconds each time given to the button, enough to see the"&amp;" time. The clock is that it is robust despite the rather ordinary / small measures. It is lightweight and more if you're used to watch hands like me. You can take a shower, go to the quiet pool because it is resistant to water and attest. In difinitiva if"&amp;" you are looking for a tough, solar clock, and it is not great this no doubt.")</f>
        <v>CASIO = QUALITY I arrived a day later, rare in Amazon. Enpaquetado came well protected in a aluminum case, was out and give the day, month, right time as given light. Battery butt and without a scratch. The book also comes instructions in Spanish and that is welcome. It is very easy to handle and 2 times a day is updated when at least 2 times in the South. As usual in the Casio alarms sound low that it could have currado in a modern watch as this. As I have said repeatedly button operation is difficult because it does not project even has its positive side is more difficult to damage and not the entire day driving them is a lesser evil bone is. In light of the clock is powerful and lasts a couple of seconds each time given to the button, enough to see the time. The clock is that it is robust despite the rather ordinary / small measures. It is lightweight and more if you're used to watch hands like me. You can take a shower, go to the quiet pool because it is resistant to water and attest. In difinitiva if you are looking for a tough, solar clock, and it is not great this no doubt.</v>
      </c>
    </row>
    <row r="493">
      <c r="A493" s="1">
        <v>5.0</v>
      </c>
      <c r="B493" s="1" t="s">
        <v>490</v>
      </c>
      <c r="C493" t="str">
        <f>IFERROR(__xludf.DUMMYFUNCTION("GOOGLETRANSLATE(B493, ""es"", ""en"")"),"Comfortable and easy to clean Love, they are very comfortable and easy to clean. Shipping as always perfect. Important to look at the average numbers, I chock 42.5, I had previously asked for 43 but could change smoothly and comfortably you collect them a"&amp;"t home.")</f>
        <v>Comfortable and easy to clean Love, they are very comfortable and easy to clean. Shipping as always perfect. Important to look at the average numbers, I chock 42.5, I had previously asked for 43 but could change smoothly and comfortably you collect them at home.</v>
      </c>
    </row>
    <row r="494">
      <c r="A494" s="1">
        <v>5.0</v>
      </c>
      <c r="B494" s="1" t="s">
        <v>491</v>
      </c>
      <c r="C494" t="str">
        <f>IFERROR(__xludf.DUMMYFUNCTION("GOOGLETRANSLATE(B494, ""es"", ""en"")"),"Genial is much better when it arrives! Startled for good!")</f>
        <v>Genial is much better when it arrives! Startled for good!</v>
      </c>
    </row>
    <row r="495">
      <c r="A495" s="1">
        <v>5.0</v>
      </c>
      <c r="B495" s="1" t="s">
        <v>492</v>
      </c>
      <c r="C495" t="str">
        <f>IFERROR(__xludf.DUMMYFUNCTION("GOOGLETRANSLATE(B495, ""es"", ""en"")"),"The lasting odor tried yesterday for the first time and I love, lasting smell with about 5 drops enough, bienen box.")</f>
        <v>The lasting odor tried yesterday for the first time and I love, lasting smell with about 5 drops enough, bienen box.</v>
      </c>
    </row>
    <row r="496">
      <c r="A496" s="1">
        <v>5.0</v>
      </c>
      <c r="B496" s="1" t="s">
        <v>493</v>
      </c>
      <c r="C496" t="str">
        <f>IFERROR(__xludf.DUMMYFUNCTION("GOOGLETRANSLATE(B496, ""es"", ""en"")"),"Stylish I liked but I had to return it because the pants I was fine, but the jacket size M is very tight and I was very small.")</f>
        <v>Stylish I liked but I had to return it because the pants I was fine, but the jacket size M is very tight and I was very small.</v>
      </c>
    </row>
    <row r="497">
      <c r="A497" s="1">
        <v>5.0</v>
      </c>
      <c r="B497" s="1" t="s">
        <v>494</v>
      </c>
      <c r="C497" t="str">
        <f>IFERROR(__xludf.DUMMYFUNCTION("GOOGLETRANSLATE(B497, ""es"", ""en"")"),"Good for any portable SSD is noted change response speed and execution on my laptop, a MacBook pro 2012, a pleasure to work with now. Let's see how long that way.")</f>
        <v>Good for any portable SSD is noted change response speed and execution on my laptop, a MacBook pro 2012, a pleasure to work with now. Let's see how long that way.</v>
      </c>
    </row>
    <row r="498">
      <c r="A498" s="1">
        <v>5.0</v>
      </c>
      <c r="B498" s="1" t="s">
        <v>495</v>
      </c>
      <c r="C498" t="str">
        <f>IFERROR(__xludf.DUMMYFUNCTION("GOOGLETRANSLATE(B498, ""es"", ""en"")"),"It is big enough and good quality Mouse large enough to cover the area you use the mouse and keyboard.")</f>
        <v>It is big enough and good quality Mouse large enough to cover the area you use the mouse and keyboard.</v>
      </c>
    </row>
    <row r="499">
      <c r="A499" s="1">
        <v>5.0</v>
      </c>
      <c r="B499" s="1" t="s">
        <v>496</v>
      </c>
      <c r="C499" t="str">
        <f>IFERROR(__xludf.DUMMYFUNCTION("GOOGLETRANSLATE(B499, ""es"", ""en"")"),"Lingfeng ye love Me, I have to check on that work properly and I was hooked him, could not stop cantar.asi my daughter wants to sing every day.")</f>
        <v>Lingfeng ye love Me, I have to check on that work properly and I was hooked him, could not stop cantar.asi my daughter wants to sing every day.</v>
      </c>
    </row>
    <row r="500">
      <c r="A500" s="1">
        <v>5.0</v>
      </c>
      <c r="B500" s="1" t="s">
        <v>497</v>
      </c>
      <c r="C500" t="str">
        <f>IFERROR(__xludf.DUMMYFUNCTION("GOOGLETRANSLATE(B500, ""es"", ""en"")"),"They have enchanted me. I love the selection next. At the opening they were all tightly closed and sealed the box and I love to have it all come where well kept and tidy. I've used it to put in a humidor with few smells much droplets. It is a soft scent t"&amp;"hat not gets in the nose that sometimes annoying, this is perfect. It also comes a piece of paper out of oil profits. Is a wise buy, recomendadosimo.")</f>
        <v>They have enchanted me. I love the selection next. At the opening they were all tightly closed and sealed the box and I love to have it all come where well kept and tidy. I've used it to put in a humidor with few smells much droplets. It is a soft scent that not gets in the nose that sometimes annoying, this is perfect. It also comes a piece of paper out of oil profits. Is a wise buy, recomendadosimo.</v>
      </c>
    </row>
    <row r="501">
      <c r="A501" s="1">
        <v>5.0</v>
      </c>
      <c r="B501" s="1" t="s">
        <v>498</v>
      </c>
      <c r="C501" t="str">
        <f>IFERROR(__xludf.DUMMYFUNCTION("GOOGLETRANSLATE(B501, ""es"", ""en"")"),"Well I expected wue")</f>
        <v>Well I expected wue</v>
      </c>
    </row>
    <row r="502">
      <c r="A502" s="1">
        <v>2.0</v>
      </c>
      <c r="B502" s="1" t="s">
        <v>499</v>
      </c>
      <c r="C502" t="str">
        <f>IFERROR(__xludf.DUMMYFUNCTION("GOOGLETRANSLATE(B502, ""es"", ""en"")"),"Poor quality boots are not bad but are broken cords hitches on the first day")</f>
        <v>Poor quality boots are not bad but are broken cords hitches on the first day</v>
      </c>
    </row>
    <row r="503">
      <c r="A503" s="1">
        <v>3.0</v>
      </c>
      <c r="B503" s="1" t="s">
        <v>500</v>
      </c>
      <c r="C503" t="str">
        <f>IFERROR(__xludf.DUMMYFUNCTION("GOOGLETRANSLATE(B503, ""es"", ""en"")"),"Well but I had to be exchanged slippers are very cool but gives little difference size 2 numbers")</f>
        <v>Well but I had to be exchanged slippers are very cool but gives little difference size 2 numbers</v>
      </c>
    </row>
    <row r="504">
      <c r="A504" s="1">
        <v>3.0</v>
      </c>
      <c r="B504" s="1" t="s">
        <v>501</v>
      </c>
      <c r="C504" t="str">
        <f>IFERROR(__xludf.DUMMYFUNCTION("GOOGLETRANSLATE(B504, ""es"", ""en"")"),"Cheaper than the essence in small packages is not easy to use because it does not bring dropper.")</f>
        <v>Cheaper than the essence in small packages is not easy to use because it does not bring dropper.</v>
      </c>
    </row>
    <row r="505">
      <c r="A505" s="1">
        <v>1.0</v>
      </c>
      <c r="B505" s="1" t="s">
        <v>502</v>
      </c>
      <c r="C505" t="str">
        <f>IFERROR(__xludf.DUMMYFUNCTION("GOOGLETRANSLATE(B505, ""es"", ""en"")"),"Disappointed poor quality, are short, in a month or so I already broke the left ear, and that no misuse")</f>
        <v>Disappointed poor quality, are short, in a month or so I already broke the left ear, and that no misuse</v>
      </c>
    </row>
    <row r="506">
      <c r="A506" s="1">
        <v>1.0</v>
      </c>
      <c r="B506" s="1" t="s">
        <v>503</v>
      </c>
      <c r="C506" t="str">
        <f>IFERROR(__xludf.DUMMYFUNCTION("GOOGLETRANSLATE(B506, ""es"", ""en"")"),"Does not work .... does not work, nothing else put the card next to a technician came the message ... damaged SD card, phone or recognize her, and only to be restarted, the technician put the adapter that brings a PC or recognized and on top desconfiguro "&amp;"all USB ports and readers, put it on another PC and did the same, I suspect it was a fake and made some tests with positive results ""forgery"" Good thing no install it on my tablet medium / high or my phone range, if not, do not know what would have happ"&amp;"ened, if I desconfuguro poeque 2 pcs not say anything what you could have done to my devices. A been returned for these reasons.")</f>
        <v>Does not work .... does not work, nothing else put the card next to a technician came the message ... damaged SD card, phone or recognize her, and only to be restarted, the technician put the adapter that brings a PC or recognized and on top desconfiguro all USB ports and readers, put it on another PC and did the same, I suspect it was a fake and made some tests with positive results "forgery" Good thing no install it on my tablet medium / high or my phone range, if not, do not know what would have happened, if I desconfuguro poeque 2 pcs not say anything what you could have done to my devices. A been returned for these reasons.</v>
      </c>
    </row>
    <row r="507">
      <c r="A507" s="1">
        <v>1.0</v>
      </c>
      <c r="B507" s="1" t="s">
        <v>504</v>
      </c>
      <c r="C507" t="str">
        <f>IFERROR(__xludf.DUMMYFUNCTION("GOOGLETRANSLATE(B507, ""es"", ""en"")"),"Not get it to work without network cable in less than an hour sent him to return amazon for 2 reasons. The first reason is that no network cable (connect with thought put network). The second reason is I can not recognize the Mac hard drive, do not know i"&amp;"f I do something wrong but because no one Led you indicate which state is the disc that has not had to do to make it work. Probare with another brand, because I can not find how to make it work.")</f>
        <v>Not get it to work without network cable in less than an hour sent him to return amazon for 2 reasons. The first reason is that no network cable (connect with thought put network). The second reason is I can not recognize the Mac hard drive, do not know if I do something wrong but because no one Led you indicate which state is the disc that has not had to do to make it work. Probare with another brand, because I can not find how to make it work.</v>
      </c>
    </row>
    <row r="508">
      <c r="A508" s="1">
        <v>4.0</v>
      </c>
      <c r="B508" s="1" t="s">
        <v>505</v>
      </c>
      <c r="C508" t="str">
        <f>IFERROR(__xludf.DUMMYFUNCTION("GOOGLETRANSLATE(B508, ""es"", ""en"")"),"Well, for my child Good product, like photo")</f>
        <v>Well, for my child Good product, like photo</v>
      </c>
    </row>
    <row r="509">
      <c r="A509" s="1">
        <v>4.0</v>
      </c>
      <c r="B509" s="1" t="s">
        <v>506</v>
      </c>
      <c r="C509" t="str">
        <f>IFERROR(__xludf.DUMMYFUNCTION("GOOGLETRANSLATE(B509, ""es"", ""en"")"),"Okay I'm very nice, all are not of the whole round, it has shaped a bit mashed but the brightness is nice.")</f>
        <v>Okay I'm very nice, all are not of the whole round, it has shaped a bit mashed but the brightness is nice.</v>
      </c>
    </row>
    <row r="510">
      <c r="A510" s="1">
        <v>4.0</v>
      </c>
      <c r="B510" s="1" t="s">
        <v>507</v>
      </c>
      <c r="C510" t="str">
        <f>IFERROR(__xludf.DUMMYFUNCTION("GOOGLETRANSLATE(B510, ""es"", ""en"")"),"good packing tape packing tape at a very affordable price")</f>
        <v>good packing tape packing tape at a very affordable price</v>
      </c>
    </row>
    <row r="511">
      <c r="A511" s="1">
        <v>4.0</v>
      </c>
      <c r="B511" s="1" t="s">
        <v>508</v>
      </c>
      <c r="C511" t="str">
        <f>IFERROR(__xludf.DUMMYFUNCTION("GOOGLETRANSLATE(B511, ""es"", ""en"")"),"While they are fine for the price they have. Dry quickly. Waist tightened a little and leave a mark, which is the only thing I did not like much.")</f>
        <v>While they are fine for the price they have. Dry quickly. Waist tightened a little and leave a mark, which is the only thing I did not like much.</v>
      </c>
    </row>
    <row r="512">
      <c r="A512" s="1">
        <v>5.0</v>
      </c>
      <c r="B512" s="1" t="s">
        <v>509</v>
      </c>
      <c r="C512" t="str">
        <f>IFERROR(__xludf.DUMMYFUNCTION("GOOGLETRANSLATE(B512, ""es"", ""en"")"),"Super calentitas good product. Mine are pink and are monísimas")</f>
        <v>Super calentitas good product. Mine are pink and are monísimas</v>
      </c>
    </row>
    <row r="513">
      <c r="A513" s="1">
        <v>5.0</v>
      </c>
      <c r="B513" s="1" t="s">
        <v>510</v>
      </c>
      <c r="C513" t="str">
        <f>IFERROR(__xludf.DUMMYFUNCTION("GOOGLETRANSLATE(B513, ""es"", ""en"")"),"Good value for money was a gift. It works perfectly. The only thing that was wrong and I bought this instead of that comes with the table stand. very fast shipping and product quality relative to price. To start recording is great. I recommend it")</f>
        <v>Good value for money was a gift. It works perfectly. The only thing that was wrong and I bought this instead of that comes with the table stand. very fast shipping and product quality relative to price. To start recording is great. I recommend it</v>
      </c>
    </row>
    <row r="514">
      <c r="A514" s="1">
        <v>5.0</v>
      </c>
      <c r="B514" s="1" t="s">
        <v>511</v>
      </c>
      <c r="C514" t="str">
        <f>IFERROR(__xludf.DUMMYFUNCTION("GOOGLETRANSLATE(B514, ""es"", ""en"")"),"They come two packs good one, did not know. The material is good and durable, volvere to buy go great with my laminator")</f>
        <v>They come two packs good one, did not know. The material is good and durable, volvere to buy go great with my laminator</v>
      </c>
    </row>
    <row r="515">
      <c r="A515" s="1">
        <v>5.0</v>
      </c>
      <c r="B515" s="1" t="s">
        <v>512</v>
      </c>
      <c r="C515" t="str">
        <f>IFERROR(__xludf.DUMMYFUNCTION("GOOGLETRANSLATE(B515, ""es"", ""en"")"),"Good value / price'm super happy with the purchase. A sweatshirt good quality at a good price.")</f>
        <v>Good value / price'm super happy with the purchase. A sweatshirt good quality at a good price.</v>
      </c>
    </row>
    <row r="516">
      <c r="A516" s="1">
        <v>5.0</v>
      </c>
      <c r="B516" s="1" t="s">
        <v>513</v>
      </c>
      <c r="C516" t="str">
        <f>IFERROR(__xludf.DUMMYFUNCTION("GOOGLETRANSLATE(B516, ""es"", ""en"")"),"Best in town for my best bottles")</f>
        <v>Best in town for my best bottles</v>
      </c>
    </row>
    <row r="517">
      <c r="A517" s="1">
        <v>5.0</v>
      </c>
      <c r="B517" s="1" t="s">
        <v>514</v>
      </c>
      <c r="C517" t="str">
        <f>IFERROR(__xludf.DUMMYFUNCTION("GOOGLETRANSLATE(B517, ""es"", ""en"")"),"Very good product very good product. Perfectly fulfills what it promises and certainly significantly reduce colic totally recommend this product. Thank you")</f>
        <v>Very good product very good product. Perfectly fulfills what it promises and certainly significantly reduce colic totally recommend this product. Thank you</v>
      </c>
    </row>
    <row r="518">
      <c r="A518" s="1">
        <v>5.0</v>
      </c>
      <c r="B518" s="1" t="s">
        <v>515</v>
      </c>
      <c r="C518" t="str">
        <f>IFERROR(__xludf.DUMMYFUNCTION("GOOGLETRANSLATE(B518, ""es"", ""en"")"),"100 100 recommended for sound and function to meet exercise. Q better than expected. Avoids much external noise, avoiding those there q q placed on top of the ears are both me and bother me.")</f>
        <v>100 100 recommended for sound and function to meet exercise. Q better than expected. Avoids much external noise, avoiding those there q q placed on top of the ears are both me and bother me.</v>
      </c>
    </row>
    <row r="519">
      <c r="A519" s="1">
        <v>5.0</v>
      </c>
      <c r="B519" s="1" t="s">
        <v>516</v>
      </c>
      <c r="C519" t="str">
        <f>IFERROR(__xludf.DUMMYFUNCTION("GOOGLETRANSLATE(B519, ""es"", ""en"")"),"OK works fine, 100% recommended")</f>
        <v>OK works fine, 100% recommended</v>
      </c>
    </row>
    <row r="520">
      <c r="A520" s="1">
        <v>5.0</v>
      </c>
      <c r="B520" s="1" t="s">
        <v>517</v>
      </c>
      <c r="C520" t="str">
        <f>IFERROR(__xludf.DUMMYFUNCTION("GOOGLETRANSLATE(B520, ""es"", ""en"")"),"THIS WELL vastante good and cheap enough fulfills + use it professionally for interviews without much importacia")</f>
        <v>THIS WELL vastante good and cheap enough fulfills + use it professionally for interviews without much importacia</v>
      </c>
    </row>
    <row r="521">
      <c r="A521" s="1">
        <v>5.0</v>
      </c>
      <c r="B521" s="1" t="s">
        <v>518</v>
      </c>
      <c r="C521" t="str">
        <f>IFERROR(__xludf.DUMMYFUNCTION("GOOGLETRANSLATE(B521, ""es"", ""en"")"),"Clogs quality service package unfortunate clogs are very nice and are very good quality and very comfortable. As for the delivery service package unfortunate, long overdue and barias claims, a horror ...")</f>
        <v>Clogs quality service package unfortunate clogs are very nice and are very good quality and very comfortable. As for the delivery service package unfortunate, long overdue and barias claims, a horror ...</v>
      </c>
    </row>
    <row r="522">
      <c r="A522" s="1">
        <v>5.0</v>
      </c>
      <c r="B522" s="1" t="s">
        <v>519</v>
      </c>
      <c r="C522" t="str">
        <f>IFERROR(__xludf.DUMMYFUNCTION("GOOGLETRANSLATE(B522, ""es"", ""en"")"),"I was surprised look perfect material and quality of the shoe in general")</f>
        <v>I was surprised look perfect material and quality of the shoe in general</v>
      </c>
    </row>
    <row r="523">
      <c r="A523" s="1">
        <v>5.0</v>
      </c>
      <c r="B523" s="1" t="s">
        <v>520</v>
      </c>
      <c r="C523" t="str">
        <f>IFERROR(__xludf.DUMMYFUNCTION("GOOGLETRANSLATE(B523, ""es"", ""en"")"),"Aromas therapeutic ... We love the aroma therapeutic gives a wonderful smell of home. recommended 100x100")</f>
        <v>Aromas therapeutic ... We love the aroma therapeutic gives a wonderful smell of home. recommended 100x100</v>
      </c>
    </row>
    <row r="524">
      <c r="A524" s="1">
        <v>5.0</v>
      </c>
      <c r="B524" s="1" t="s">
        <v>521</v>
      </c>
      <c r="C524" t="str">
        <f>IFERROR(__xludf.DUMMYFUNCTION("GOOGLETRANSLATE(B524, ""es"", ""en"")"),"Comfort Very good all")</f>
        <v>Comfort Very good all</v>
      </c>
    </row>
    <row r="525">
      <c r="A525" s="1">
        <v>5.0</v>
      </c>
      <c r="B525" s="1" t="s">
        <v>522</v>
      </c>
      <c r="C525" t="str">
        <f>IFERROR(__xludf.DUMMYFUNCTION("GOOGLETRANSLATE(B525, ""es"", ""en"")"),"Perfect. Perfect size perfect quality every perfect everything perfect perfect all that's what my boyfriend says.")</f>
        <v>Perfect. Perfect size perfect quality every perfect everything perfect perfect all that's what my boyfriend says.</v>
      </c>
    </row>
    <row r="526">
      <c r="A526" s="1">
        <v>5.0</v>
      </c>
      <c r="B526" s="1" t="s">
        <v>523</v>
      </c>
      <c r="C526" t="str">
        <f>IFERROR(__xludf.DUMMYFUNCTION("GOOGLETRANSLATE(B526, ""es"", ""en"")"),"Great buy. Good price, quality and capacity, light, although it is thicker than other models, their ability worth, all in a pocket.")</f>
        <v>Great buy. Good price, quality and capacity, light, although it is thicker than other models, their ability worth, all in a pocket.</v>
      </c>
    </row>
    <row r="527">
      <c r="A527" s="1">
        <v>5.0</v>
      </c>
      <c r="B527" s="1" t="s">
        <v>524</v>
      </c>
      <c r="C527" t="str">
        <f>IFERROR(__xludf.DUMMYFUNCTION("GOOGLETRANSLATE(B527, ""es"", ""en"")"),"Brilliant brilliant")</f>
        <v>Brilliant brilliant</v>
      </c>
    </row>
    <row r="528">
      <c r="A528" s="1">
        <v>5.0</v>
      </c>
      <c r="B528" s="1" t="s">
        <v>525</v>
      </c>
      <c r="C528" t="str">
        <f>IFERROR(__xludf.DUMMYFUNCTION("GOOGLETRANSLATE(B528, ""es"", ""en"")"),"perfect for my mother liked it. It is perfect. Thank you")</f>
        <v>perfect for my mother liked it. It is perfect. Thank you</v>
      </c>
    </row>
    <row r="529">
      <c r="A529" s="1">
        <v>5.0</v>
      </c>
      <c r="B529" s="1" t="s">
        <v>526</v>
      </c>
      <c r="C529" t="str">
        <f>IFERROR(__xludf.DUMMYFUNCTION("GOOGLETRANSLATE(B529, ""es"", ""en"")"),"XV It is perfectly fitted the external disk. For the price q has not ask for more. Good looks and I recommend it.")</f>
        <v>XV It is perfectly fitted the external disk. For the price q has not ask for more. Good looks and I recommend it.</v>
      </c>
    </row>
    <row r="530">
      <c r="A530" s="1">
        <v>2.0</v>
      </c>
      <c r="B530" s="1" t="s">
        <v>527</v>
      </c>
      <c r="C530" t="str">
        <f>IFERROR(__xludf.DUMMYFUNCTION("GOOGLETRANSLATE(B530, ""es"", ""en"")"),"It seemed like a bargain but the final 30 € thrown away do not think I put them ... besides Brown is not podrque is not brown, taupe :( is a shame because they painted a whole pretty good. I've tried and the toe to being close is pretty bad. it happened t"&amp;"o me the repayment period and the end me have to stay :( Regarding quality, something sturdy material and is not comfortable to go barefoot. he also had a projection on the coordoneras washer and I have scratched the entire foot :( well, I've already put "&amp;"right the washer in place but that ... the color is a disappointment and the photos do not do justice at all.")</f>
        <v>It seemed like a bargain but the final 30 € thrown away do not think I put them ... besides Brown is not podrque is not brown, taupe :( is a shame because they painted a whole pretty good. I've tried and the toe to being close is pretty bad. it happened to me the repayment period and the end me have to stay :( Regarding quality, something sturdy material and is not comfortable to go barefoot. he also had a projection on the coordoneras washer and I have scratched the entire foot :( well, I've already put right the washer in place but that ... the color is a disappointment and the photos do not do justice at all.</v>
      </c>
    </row>
    <row r="531">
      <c r="A531" s="1">
        <v>3.0</v>
      </c>
      <c r="B531" s="1" t="s">
        <v>528</v>
      </c>
      <c r="C531" t="str">
        <f>IFERROR(__xludf.DUMMYFUNCTION("GOOGLETRANSLATE(B531, ""es"", ""en"")"),"suspiciously small and poorly packed not get to try the product because I was very small. The label came to the shoe caught the original looked like, and I can not say that I look like copies, but the packaging had really bad. It was a bag without any ide"&amp;"ntification. I found it strange not to come in the box.")</f>
        <v>suspiciously small and poorly packed not get to try the product because I was very small. The label came to the shoe caught the original looked like, and I can not say that I look like copies, but the packaging had really bad. It was a bag without any identification. I found it strange not to come in the box.</v>
      </c>
    </row>
    <row r="532">
      <c r="A532" s="1">
        <v>3.0</v>
      </c>
      <c r="B532" s="1" t="s">
        <v>529</v>
      </c>
      <c r="C532" t="str">
        <f>IFERROR(__xludf.DUMMYFUNCTION("GOOGLETRANSLATE(B532, ""es"", ""en"")"),"It is very light and convenient quality and price are RIGHT")</f>
        <v>It is very light and convenient quality and price are RIGHT</v>
      </c>
    </row>
    <row r="533">
      <c r="A533" s="1">
        <v>1.0</v>
      </c>
      <c r="B533" s="1" t="s">
        <v>530</v>
      </c>
      <c r="C533" t="str">
        <f>IFERROR(__xludf.DUMMYFUNCTION("GOOGLETRANSLATE(B533, ""es"", ""en"")"),"That I will not ask for more &lt;div id = ""video-block-RREXNMAMW1XYD"" class = ""a-section a-spacing-small a-spacing-top mini video-block""&gt; &lt;div tabindex = ""0"" class = ""airy airy-svg vmin-unsupported airy-skin-beacon"" style = ""background-color: rgb (0"&amp;", 0, 0) position: relative; width: 100%; height: 100%; font-size: 0px; overflow: hidden; outline: none; ""&gt; &lt;div class ="" airy-renderer-container ""style ="" position: relative; height: 100%; width: 100%; ""&gt; &lt;video id ="" 7 ""preload ="" auto ""src ="" "&amp;"https://images-eu.ssl-images-amazon.com/images/I/A1f-JTSIl5S.mp4 ""style ="" position: absolute; left: 0px; top: 0px; overflow: hidden; height: 1px; width: 1px; ""&gt; &lt;/ video&gt; &lt;/ div&gt; &lt;div id ="" airy-slate-preload ""style ="" background-color: rgb (0, 0, "&amp;"0); background-image: url (&amp; quot; https: //images-eu.ssl-images-amazon.com/images/I/71lofTzhJAS.png&amp;quot;); background-size: Contain; background-position: center center; background-repeat: no-repeat; position: absolute; top: 0px; left: 0px; visibility: v"&amp;"isible; width: 100%; height: 100%; ""&gt; &lt;/ div&gt; &lt;if Rame scrolling = ""no"" frameborder = ""0"" src = ""about: blank"" style = ""display: none;""&gt; &lt;/ iframe&gt; &lt;div tabindex = ""- 1"" class = ""airy-controls-container"" style = ""opacity: 0; visibility: hidd"&amp;"en; ""&gt; &lt;div tabindex ="" - 1 ""class ="" airy-screen-size-toggle airy-fullscreen ""&gt; &lt;/ div&gt; &lt;div tabindex ="" - 1 ""class ="" airy-container-bottom "" &gt; &lt;div tabindex = ""- 1"" class = ""airy-track-bar-spacer-left"" style = ""width: 11px;""&gt; &lt;/ div&gt; &lt;di"&amp;"v tabindex = ""- 1"" class = ""airy-play- airy toggle-play ""style ="" width: 12px; margin-right: 12px; ""&gt; &lt;/ div&gt; &lt;div tabindex ="" - 1 ""class ="" airy-audio-elements ""style ="" float: right; width: 34px; ""&gt; &lt;div tabindex ="" - 1 ""class ="" airy-aud"&amp;"io-toggle airy-on ""&gt; &lt;/ div&gt; &lt;div tabindex ="" - 1 ""class ="" airy-audio-container ""style = ""opacity: 0; visibility: hidden; ""&gt; &lt;div tabindex ="" - 1 ""class ="" airy-audio-track-bar ""style ="" height: 80%; ""&gt; &lt;div tabindex ="" - 1 ""class ="" airy"&amp;"-audio- Scrubber-bar ""style ="" height: 85%; ""&gt; &lt;/ div&gt; &lt;div tabindex ="" - 1 ""class ="" airy-audio-scrubber ""style ="" height: 12px; bottom: 85% ""&gt; &lt;/ div&gt; &lt;/ div&gt; &lt;/ div&gt; &lt;/ div&gt; &lt;div tabindex ="" - 1 ""class ="" airy-duration-label ""style ="" flo"&amp;"at: right; width: 26px; margin-right: 4px; text-align: center; ""&gt; 0:00 &lt;/ div&gt; &lt;div tabindex ="" - 1 ""class ="" airy-track-bar-spacer-right ""style ="" float: right; width: 11px; ""&gt; &lt;/ div&gt; &lt;div tabindex ="" - 1 ""class ="" airy-track-bar-container ""s"&amp;"tyle ="" margin-left: 35px; margin-right: 75px; ""&gt; &lt;div tabindex ="" - 1 ""class ="" airy-airy-track-bar vertically-centering-table ""&gt; &lt;div tabindex ="" - 1 ""class ="" airy-Vertical-centering- table-cell ""&gt; &lt;div tabindex ="" - 1 ""class ="" airy-track"&amp;"-bar-elements ""&gt; &lt;div tabindex ="" - 1 ""class ="" airy-progress-bar ""&gt; &lt;/ div&gt; &lt;div tabindex = ""- 1"" class = ""airy-scrubber-bar""&gt; &lt;/ div&gt; &lt;div tabindex = ""- 1"" class = ""airy-scrubber""&gt; &lt;div tabindex = ""- 1"" class = ""airy-scrubber- icon ""&gt; &lt;"&amp;"/ div&gt; &lt;div tabindex ="" - 1 ""class ="" airy-adjusted-AUI-tooltip ""style ="" opacity: 0; visibility: hidden; ""&gt; &lt;div tabindex ="" - 1 ""class ="" airy-adjusted-aui-tooltip-inner ""&gt; &lt;div tabindex ="" - 1 ""class ="" airy-current-time-label ""&gt; 0: 00 &lt;/"&amp;" div&gt; &lt;/ div&gt; &lt;div tabindex = ""- 1"" class = ""airy-adjusted-AUI-arrow-border""&gt; &lt;div tabindex = ""- 1"" class = ""airy-adjusted-AUI-arrow"" &gt; &lt;/ div&gt; &lt;/ div&gt; &lt;/ div&gt; &lt;/ div&gt; &lt;/ div&gt; &lt;/ div&gt; &lt;/ div&gt; &lt;/ div&gt; &lt;/ div&gt; &lt;/ div&gt; &lt;div tabindex = ""- 1"" class ="&amp;" ""airy-age-gate airy-stage airy-Vertical-centering-table airy-dialog"" style = ""opacity: 0; visibility: hidden; ""&gt; &lt;div tabindex ="" - 1 ""class ="" airy-age-gate-Vertical-centering-table-cell airy-Vertical-centering-table-cell ""&gt; &lt;div tabindex ="" - "&amp;"1 ""class = ""airy-Vertical-centering-wrapper airy-age-gate-elements-wrapper""&gt; &lt;div tabindex = ""- 1"" class = ""airy-age-gate-elements airy-dialog-elements""&gt; &lt;div tabindex = "" -1 ""class ="" airy-age-gate-prompt ""&gt; This video is not Intended for all "&amp;"audiences What date were you born &lt;/ div&gt; &lt;div tabindex =.?"" - 1 ""class ="" airy-age-gate -inputs airy-dialog-inner-elements ""&gt; &lt;select tabindex ="" - 1 ""class ="" airy-age-gate-month ""&gt; &lt;option value ="" 1 ""&gt; January &lt;/ option&gt; &lt;option value ="" 2 "&amp;"""&gt; February &lt;/ option&gt; &lt;option value ="" 3 ""&gt; March &lt;/ option&gt; &lt;option value ="" 4 ""&gt; April &lt;/ option&gt; &lt;option value ="" 5 ""&gt; May &lt;/ option&gt; &lt;option value = ""6""&gt; June &lt;/ option&gt; &lt;option value = ""7""&gt; July &lt;/ option&gt; &lt;option value = ""8""&gt; August &lt;/"&amp;" option&gt; &lt;option value = ""9""&gt; September &lt;/ option&gt; &lt;option value = ""10""&gt; October &lt;/ option&gt; &lt;option value = ""11""&gt; November &lt;/ option&gt; &lt;option value = ""12""&gt; December &lt;/ option&gt; &lt;/ select&gt; &lt;select tabindex = ""- 1"" class = ""airy-age-gate-day""&gt; &lt;o"&amp;"pti on value = ""1""&gt; 1 &lt;/ option&gt; &lt;option value = ""2""&gt; 2 &lt;/ option&gt; &lt;option value = ""3""&gt; 3 &lt;/ option&gt; &lt;option value = ""4""&gt; 4 &lt;/ option &gt; &lt;option value = ""5""&gt; 5 &lt;/ option&gt; &lt;option value = ""6""&gt; 6 &lt;/ option&gt; &lt;option value = ""7""&gt; 7 &lt;/ option&gt; &lt;op"&amp;"tion value = ""8""&gt; 8 &lt; / option&gt; &lt;option value = ""9""&gt; 9 &lt;/ option&gt; &lt;option value = ""10""&gt; 10 &lt;/ option&gt; &lt;option value = ""11""&gt; 11 &lt;/ option&gt; &lt;option value = ""12""&gt; 12 &lt;/ option&gt; &lt;option value = ""13""&gt; 13 &lt;/ option&gt; &lt;option value = ""14""&gt; 14 &lt;/ opt"&amp;"ion&gt; &lt;option value = ""15""&gt; 15 &lt;/ option&gt; &lt;option value = ""16 ""&gt; 16 &lt;/ option&gt; &lt;option value ="" 17 ""&gt; 17 &lt;/ option&gt; &lt;option value ="" 18 ""&gt; 18 &lt;/ option&gt; &lt;option value ="" 19 ""&gt; 19 &lt;/ option&gt; &lt;option value = ""20""&gt; 20 &lt;/ option&gt; &lt;option value = """&amp;"21""&gt; 21 &lt;/ option&gt; &lt;option value = ""22""&gt; 22 &lt;/ option&gt; &lt;option value = ""23""&gt; 23 &lt;/ option&gt; &lt;option value = ""24""&gt; 24 &lt;/ option&gt; &lt;option value = ""25""&gt; 25 &lt;/ option&gt; &lt;option value = ""26""&gt; 26 &lt;/ option&gt; &lt;option value = ""27""&gt; 27 &lt;/ option&gt; &lt;option"&amp;" value = ""28""&gt; 28 &lt;/ option&gt; &lt;option value = ""29""&gt; 29 &lt;/ option&gt; &lt;option value = ""30""&gt; 30 &lt;/ option&gt; &lt;option value = ""31""&gt; 31 &lt;/ option&gt; &lt;/ select&gt; &lt;select tabindex = ""- 1"" class = ""airy-age-gate-year""&gt; &lt;option value = ""2019""&gt; 2019 &lt;/ option"&amp;"&gt; &lt; option value = ""2018""&gt; 2018 &lt;/ option&gt; &lt;option value = ""2017""&gt; 2017 &lt;/ option&gt; &lt;option value = ""2016""&gt; ​​2016 &lt;/ option&gt; &lt;option value = ""2015""&gt; 2015 &lt;/ option &gt; &lt;option value = ""2014""&gt; 2014 &lt;/ option&gt; &lt;option value = ""2013""&gt; 2013 &lt;/ optio"&amp;"n&gt; &lt;option value = ""2012""&gt; 2012 &lt;/ option&gt; &lt;option value = ""2011""&gt; 2011 &lt; / option&gt; &lt;option value = ""2010""&gt; 2010 &lt;/ option&gt; &lt;option value = ""2009""&gt; 2009 &lt;/ option&gt; &lt;option value = ""2008""&gt; 2008 &lt;/ option&gt; &lt;option value = ""2007""&gt; 2007 &lt;/ option&gt;"&amp;" &lt;option value = ""2006""&gt; 2006 &lt;/ option&gt; &lt;option value = ""2005""&gt; 2005 &lt;/ option&gt; &lt;option value = ""2004""&gt; 2004 &lt;/ option&gt; &lt;option value = ""2003 ""&gt; 2003 &lt;/ option&gt; &lt;option value ="" 2002 ""&gt; 2002 &lt;/ option&gt; &lt;option value ="" 2001 ""&gt; 2001 &lt;/ option&gt;"&amp;" &lt;option value ="" 2000 ""&gt; 2000 &lt;/ option&gt; &lt;option value = ""1999""&gt; 1999 &lt;/ option&gt; &lt;option value = ""1998""&gt; 1998 &lt;/ option&gt; &lt;option value = ""1997""&gt; 1997 &lt;/ option&gt; &lt;option value = ""1996""&gt; 1996 &lt;/ option&gt; &lt;option value = ""1995""&gt; 1995 &lt;/ option&gt; &lt;"&amp;"option value = ""1994""&gt; 1994 &lt;/ option&gt; &lt;option value = ""1993""&gt; 1993 &lt;/ option&gt; &lt;option value = ""1992""&gt; 1992 &lt;/ option&gt; &lt;option value = ""1991""&gt; 1991 &lt;/ option&gt; &lt;option value = ""1990""&gt; 1990 &lt;/ option&gt; &lt;option value = "" 1989 ""&gt; 1989 &lt;/ option&gt; &lt;o"&amp;"ption value ="" 1988 ""&gt; 1988 &lt;/ option&gt; &lt;option value ="" 1987 ""&gt; 1987 &lt;/ option&gt; &lt;option value ="" 1986 ""&gt; 1986 &lt;/ option&gt; &lt;value option = ""1985""&gt; 1985 &lt;/ option&gt; &lt;option value = ""1984""&gt; 1984 &lt;/ option&gt; &lt;option value = ""1983""&gt; 1983 &lt;/ option&gt; &lt;o"&amp;"ption value = ""1982""&gt; 1982 &lt;/ option&gt; &lt; option value = ""1981""&gt; 1981 &lt;/ option&gt; &lt;option value = ""1980""&gt; 1980 &lt;/ option&gt; &lt;option value = ""1979""&gt; 1979 &lt;/ option&gt; &lt;option value = ""1978""&gt; 1978 &lt;/ option &gt; &lt;option value = ""1977""&gt; 1977 &lt;/ option&gt; &lt;op"&amp;"tion value = ""1976""&gt; 1976 &lt;/ option&gt; &lt;option value = ""1975""&gt; 1975 &lt;/ option&gt; &lt;option value = ""1974""&gt; 1974 &lt; / option&gt; &lt;option value = ""1973""&gt; 1973 &lt;/ option&gt; &lt;option value = ""1972""&gt; 1972 &lt;/ option&gt; &lt;option value = ""1971""&gt; 1971 &lt;/ option&gt; &lt;opti"&amp;"on value = ""1970""&gt; 1970 &lt;/ option&gt; &lt;option value = ""1969""&gt; 1969 &lt;/ option&gt; &lt;option value = ""1968""&gt; 1968 &lt;/ option&gt; &lt;option value = ""1967""&gt; 1967 &lt;/ option&gt; &lt;option value = ""1966 ""&gt; 1966 &lt;/ option&gt; &lt;option value ="" 1965 ""&gt; 1965 &lt;/ option&gt; &lt;optio"&amp;"n value ="" 1964 ""&gt; 1964 &lt;/ option&gt; &lt;option value ="" 1963 ""&gt; 1963 &lt;/ option&gt; &lt;option value = ""1962""&gt; 1962 &lt;/ option&gt; &lt;option value = ""1961""&gt; 1961 &lt;/ option&gt; &lt;option value = ""1960""&gt; 1960 &lt;/ op tion&gt; &lt;option value = ""1959""&gt; 1959 &lt;/ option&gt; &lt;optio"&amp;"n value = ""1958""&gt; 1958 &lt;/ option&gt; &lt;option value = ""1957""&gt; 1957 &lt;/ option&gt; &lt;option value = ""1956""&gt; 1956 &lt;/ option&gt; &lt;option value = ""1955""&gt; 1955 &lt;/ option&gt; &lt;option value = ""1954""&gt; 1954 &lt;/ option&gt; &lt;option value = ""1953""&gt; 1953 &lt;/ option&gt; &lt;option v"&amp;"alue = ""1952"" &gt; 1952 &lt;/ option&gt; &lt;option value = ""1951""&gt; 1951 &lt;/ option&gt; &lt;option value = ""1950""&gt; 1950 &lt;/ option&gt; &lt;option value = ""1949""&gt; 1949 &lt;/ option&gt; &lt;option value = "" 1948 ""&gt; 1948 &lt;/ option&gt; &lt;option value ="" 1947 ""&gt; 1947 &lt;/ option&gt; &lt;option "&amp;"value ="" 1946 ""&gt; 1946 &lt;/ option&gt; &lt;option value ="" 1945 ""&gt; 1945 &lt;/ option&gt; &lt;value option = ""1944""&gt; 1944 &lt;/ option&gt; &lt;option value = ""1943""&gt; 1943 &lt;/ option&gt; &lt;option value = ""1942""&gt; 1942 &lt;/ option&gt; &lt;option value = ""1941""&gt; 1941 &lt;/ option&gt; &lt; option "&amp;"value = ""1940""&gt; 1940 &lt;/ option&gt; &lt;option value = ""1939""&gt; 1939 &lt;/ option&gt; &lt;option value = ""1938""&gt; 1938 &lt;/ option&gt; &lt;option value = ""1937""&gt; 1937 &lt;/ option &gt; &lt;option value = ""1936""&gt; 1936 &lt;/ option&gt; &lt;option value = ""1935""&gt; 1935 &lt;/ option&gt; &lt;option va"&amp;"lue = ""1934""&gt; 1934 &lt;/ option&gt; &lt;option value = ""1933""&gt; 1933 &lt; / option&gt; &lt;option value = ""1932""&gt; 1932 &lt;/ option&gt; &lt;option value = ""1931""&gt; 1931 &lt;/ option&gt; &lt;option v alue = ""1930""&gt; 1930 &lt;/ option&gt; &lt;option value = ""1929""&gt; 1929 &lt;/ option&gt; &lt;option val"&amp;"ue = ""1928""&gt; 1928 &lt;/ option&gt; &lt;option value = ""1927""&gt; 1927 &lt;/ option&gt; &lt;option value = ""1926""&gt; 1926 &lt;/ option&gt; &lt;option value = ""1925""&gt; 1925 &lt;/ option&gt; &lt;option value = ""1924""&gt; 1924 &lt;/ option&gt; &lt;option value = ""1923""&gt; 1923 &lt;/ option&gt; &lt;option value "&amp;"= ""1922""&gt; 1922 &lt;/ option&gt; &lt;option value = ""1921""&gt; 1921 &lt;/ option&gt; &lt;option value = ""1920""&gt; 1920 &lt;/ option&gt; &lt;option value = ""1919""&gt; 1919 &lt;/ option&gt; &lt;option value = ""1918""&gt; 1918 &lt;/ option&gt; &lt;option value = ""1917""&gt; 1917 &lt;/ option&gt; &lt;option value = "&amp;"""1916""&gt; 1916 &lt;/ option&gt; &lt;option value = ""1915"" &gt; 1915 &lt;/ option&gt; &lt;option value = ""1914""&gt; 1914 &lt;/ option&gt; &lt;option value = ""1913""&gt; 1913 &lt;/ option&gt; &lt;option value = ""1912""&gt; 1912 &lt;/ option&gt; &lt;option value = "" 1911 ""&gt; 1911 &lt;/ option&gt; &lt;option value ="&amp;""" 1910 ""&gt; 1910 &lt;/ option&gt; &lt;option value ="" 1909 ""&gt; 1909 &lt;/ option&gt; &lt;option value ="" 1908 ""&gt; 1908 &lt;/ option&gt; &lt;value option = ""1907""&gt; 1907 &lt;/ option&gt; &lt;option value = ""1906""&gt; 1906 &lt;/ option&gt; &lt;option value = ""1905""&gt; 1905 &lt;/ option&gt; &lt;option value ="&amp;" ""1904""&gt; 1904 &lt;/ option&gt; &lt; option value = ""1903""&gt; 1903 &lt;/ option&gt; &lt;option value = ""1902""&gt; 1902 &lt;/ option&gt; &lt;option value = ""1901""&gt; 19 01 &lt;/ option&gt; &lt;option value = ""1900""&gt; 1900 &lt;/ option&gt; &lt;/ select&gt; &lt;div tabindex = ""- 1"" class = ""airy-age-gate"&amp;"-submit airy-submit-button airy airy-submit- disabled ""&gt; Submit &lt;/ div&gt; &lt;/ div&gt; &lt;/ div&gt; &lt;/ div&gt; &lt;/ div&gt; &lt;/ div&gt; &lt;div tabindex ="" - 1 ""class ="" airy-install-flash-dialog airy-stage airy -vertical-centering-table-dialog airy airy-denied ""style ="" opac"&amp;"ity: 0; visibility: hidden; ""&gt; &lt;div tabindex ="" - 1 ""class ="" airy-install-flash-Vertical-centering-table-cell airy-Vertical-centering-table-cell ""&gt; &lt;div tabindex ="" - 1 ""class = ""airy-Vertical-centering-wrapper airy-install-flash-elements-wrapper"&amp;"""&gt; &lt;div tabindex = ""- 1"" class = ""airy-install-flash-elements airy-dialog-elements""&gt; &lt;div tabindex = "" -1 ""class ="" airy-install-flash-prompt ""&gt; Adobe Flash Player is required to watch this video &lt;/ div&gt; &lt;div tabindex =."" - 1 ""class ="" airy-in"&amp;"stall-flash-button-wrapper airy -dialog-inner-elements ""&gt; &lt;div tabindex ="" - 1 ""class ="" airy-install-flash-button airy-button ""&gt; install Flash Player &lt;/ div&gt; &lt;/ div&gt; &lt;/ div&gt; &lt;/ div&gt; &lt;/ div&gt; &lt;/ div&gt; &lt;div tabindex = ""- 1"" class = ""airy-video-unsupp"&amp;"orted-dialog airy-stage airy-Vertical-centering-table airy-dialog airy-denied"" style = ""opacity: 0; visibility: hidden; ""&gt; &lt;div tabindex ="" - 1 ""class ="" airy-video-unsupported-Vertical-centering-table-cell airy-Vertical-centering-table-cell ""&gt; &lt;di"&amp;"v tabindex ="" - 1 ""class = ""airy-Vertical-centering-wrapper airy-video-unsupported-elements-wrapper""&gt; &lt;div tabindex = ""- 1"" class = ""airy-video-unsupported-elements airy-dialog-elements""&gt; &lt;div tabindex = "" -1 ""class ="" airy-video-unsupported-pr"&amp;"ompt ""&gt; &lt;/ div&gt; &lt;/ div&gt; &lt;/ div&gt; &lt;/ div&gt; &lt;/ div&gt; &lt;div tabindex ="" - 1 ""class ="" airy-loading- spinner-stage airy-stage ""&gt; &lt;div tabindex ="" - 1 ""class ="" airy-loading-spinner-Vertical-centering-table-cell airy-Vertical-centering-table-cell ""&gt; &lt;div "&amp;"tabindex ="" - 1 ""class ="" airy-loading-spinner-container airy-scalable-hint-container ""&gt; &lt;div tabindex ="" - 1 ""class ="" airy-loading-spinner-dummy airy-scalable-dummy ""&gt; &lt;/ div&gt; &lt; div tabindex = ""- 1"" class = ""airy-loading-spinner airy-hint"" s"&amp;"tyle = ""visibility: hidden;""&gt; &lt;/ div&gt; &lt;/ div&gt; &lt;/ div&gt; &lt;/ div&gt; &lt;div tabindex = ""- 1 ""class ="" airy-ads-screen-size-toggle airy-screen-size-toggle-fullscreen airy ""style ="" visibility: hidden; ""&gt; &lt;/ div&gt; &lt;div tabindex = ""-1"" class = ""airy-ad-prom"&amp;"pt-container"" style = ""visibility: hidden;""&gt; &lt;div tabindex = ""- 1"" class = ""airy-ad-prompt-Vertical-centering-table-vertically airy centering-table ""&gt; &lt;div tabindex ="" - 1 ""class ="" airy-ad-prompt-Vertical-centering-table-cell airy-Vertical-cent"&amp;"ering-table-cell ""&gt; &lt;div tabindex ="" - 1 ""class = ""airy-ad-prompt-label""&gt; &lt;/ div&gt; &lt;/ div&gt; &lt;/ div&gt; &lt;/ div&gt; &lt;div tabindex = ""- 1"" class = ""airy-ads-controls-container"" style = ""visibility: hidden; ""&gt; &lt;div tabindex ="" - 1 ""class ="" airy-ads-aud"&amp;"io-toggle airy-audio-toggle airy-on ""style ="" visibility: hidden; ""&gt; &lt;/ div&gt; &lt;div tabindex ="" - 1 ""class ="" airy-time-remaining-label-container ""&gt; &lt;div tabindex ="" - 1 ""class ="" airy-time-remaining-Vertical-centering-table airy-Vertical-centerin"&amp;"g-table ""&gt; &lt;div tabindex = ""- 1"" class = ""airy-time-remaining-Vertical-centering-table-cell airy-Vertical-centering-table-cell""&gt; &lt;div tabindex = ""- 1"" class = ""airy-Vertical-centering-wrapper airy-time-remaining-label-wrapper ""&gt; &lt;div tabindex ="""&amp;" - 1 ""class ="" airy-time-remaining-label ""style ="" visibility: hidden; ""&gt; &lt;/ div&gt; &lt;div tabi ndex = ""- 1"" class = ""airy-ad-skip"" style = ""visibility: hidden;""&gt; &lt;/ div&gt; &lt;div tabindex = ""- 1"" class = ""airy-ad-end"" style = ""visibility: hidden "&amp;"""&gt; &lt;/ div&gt; &lt;/ div&gt; &lt;/ div&gt; &lt;/ div&gt; &lt;/ div&gt; &lt;div tabindex ="" - 1 ""class ="" airy-learn-more ""style ="" visibility: hidden; ""&gt; &lt;/ div&gt; &lt;/ div&gt; &lt;div tabindex = ""- 1"" class = ""airy-play-toggle-hint-stage airy-stage airy-cursor""&gt; &lt;div tabindex = ""- 1"&amp;""" class = ""airy-play -toggle-hint-Vertical-centering-table-cell airy-Vertical-centering-table-cell airy-cursor ""&gt; &lt;div tabindex ="" - 1 ""class ="" airy-play-toggle-hint-container airy-scalable- Hint-container ""&gt; &lt;div tabindex ="" - 1 ""class ="" airy"&amp;"-play-toggle-hint-dummy airy-scalable-dummy ""&gt; &lt;/ div&gt; &lt;div tabindex ="" - 1 ""class ="" airy-play -toggle-hint hint airy-airy-play-hint ""style ="" opacity: 1; visibility: visible; ""&gt; &lt;/ div&gt; &lt;/ div&gt; &lt;/ div&gt; &lt;/ div&gt; &lt;div tabindex ="" - 1 ""class ="" ai"&amp;"ry-replay-hint-stage airy-stage ""style ="" visibility: hidden ; ""&gt; &lt;div tabindex ="" - 1 ""class ="" airy-replay-hint-Vertical-centering-table-cell airy-Vertical-centering-table-cell airy-cursor ""&gt; &lt;div tabindex ="" - 1 ""class = ""airy-replay-hint-con"&amp;"tainer airy-scalable-hint-container""&gt; &lt;div tabindex = ""- 1"" class = ""airy-replay-hint-dummy airy-scalable-dummy""&gt; &lt;/ div&gt; &lt;div tabindex = ""- 1"" class = ""airy-replay-hint airy-hint""&gt; &lt;/ div&gt; &lt;/ div&gt; &lt;/ div&gt; &lt;/ div&gt; &lt;div tabindex = ""- 1"" class = "&amp;"""airy-autoplay-hint -stage airy-stage ""style ="" visibility: hidden; ""&gt; &lt;div tabindex ="" - 1 ""class ="" airy-autoplay-hint-Vertical-centering-table-cell airy-Vertical-centering-table-cell airy- cursor ""&gt; &lt;div tabindex ="" - 1 ""class ="" autoplay ai"&amp;"ry-airy-hint-container-scalable-hint-container ""&gt; &lt;div tabindex ="" - 1 ""class ="" airy-autoplay-hint-dummy airy- scalable-dummy ""&gt; &lt;/ div&gt; &lt;/ div&gt; &lt;/ div&gt; &lt;/ div&gt; &lt;/ div&gt; &lt;/ div&gt; &lt;input type ="" hidden ""name ="" ""value ="" https: // images-eu .ssl-i"&amp;"mages-amazon.com / images / I / A1f-JTSIl5S.mp4 ""Class ="" video-url ""&gt; &lt;input type ="" hidden ""name ="" ""value ="" https://images-eu.ssl-images-amazon.com/images/I/71lofTzhJAS.png ""class ="" video-slate-img-url ""&gt; &amp; nbsp; has been unboxed and paper"&amp;"less")</f>
        <v>That I will not ask for more &lt;div id = "video-block-RREXNMAMW1XYD" class = "a-section a-spacing-small a-spacing-top mini video-block"&gt; &lt;div tabindex = "0" class = "airy airy-svg vmin-unsupported airy-skin-beacon" style = "background-color: rgb (0, 0, 0) position: relative; width: 100%; height: 100%; font-size: 0px; overflow: hidden; outline: none; "&gt; &lt;div class =" airy-renderer-container "style =" position: relative; height: 100%; width: 100%; "&gt; &lt;video id =" 7 "preload =" auto "src =" https://images-eu.ssl-images-amazon.com/images/I/A1f-JTSIl5S.mp4 "style =" position: absolute; left: 0px; top: 0px; overflow: hidden; height: 1px; width: 1px; "&gt; &lt;/ video&gt; &lt;/ div&gt; &lt;div id =" airy-slate-preload "style =" background-color: rgb (0, 0, 0); background-image: url (&amp; quot; https: //images-eu.ssl-images-amazon.com/images/I/71lofTzhJAS.png&amp;quot;); background-size: Contain; background-position: center center; background-repeat: no-repeat; position: absolute; top: 0px; left: 0px; visibility: visible; width: 100%; height: 100%; "&gt; &lt;/ div&gt; &lt;if 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A1f-JTSIl5S.mp4 "Class =" video-url "&gt; &lt;input type =" hidden "name =" "value =" https://images-eu.ssl-images-amazon.com/images/I/71lofTzhJAS.png "class =" video-slate-img-url "&gt; &amp; nbsp; has been unboxed and paperless</v>
      </c>
    </row>
    <row r="534">
      <c r="A534" s="1">
        <v>1.0</v>
      </c>
      <c r="B534" s="1" t="s">
        <v>531</v>
      </c>
      <c r="C534" t="str">
        <f>IFERROR(__xludf.DUMMYFUNCTION("GOOGLETRANSLATE(B534, ""es"", ""en"")"),"Smelly ... and poor quality as could be arrived well very fast, surprise .. must be boiled before use twice as in those twice the ass turned black and smelly ... very cheap but very bad")</f>
        <v>Smelly ... and poor quality as could be arrived well very fast, surprise .. must be boiled before use twice as in those twice the ass turned black and smelly ... very cheap but very bad</v>
      </c>
    </row>
    <row r="535">
      <c r="A535" s="1">
        <v>4.0</v>
      </c>
      <c r="B535" s="1" t="s">
        <v>532</v>
      </c>
      <c r="C535" t="str">
        <f>IFERROR(__xludf.DUMMYFUNCTION("GOOGLETRANSLATE(B535, ""es"", ""en"")"),"Original product meets expectations 128GB card really leaves 116Gb use a formatted time. Ronzan speed tests 100Mb / s specified by the manufacturer, and I think on the evidence does not reach the maximum because of the interface I'm using to make the meas"&amp;"urements. In actual use the phone works perfectly even recording video to 4k, so it meets expectations, no delays or failures reading. I have also used temporarily with the camera and have no latency issues, so that the operation is correct, the less time"&amp;". The card comes sealed with a logo HP security and a serial number of authenticity, it is appreciated that also includes a Sd-MMC card adapter. Meets Expectations")</f>
        <v>Original product meets expectations 128GB card really leaves 116Gb use a formatted time. Ronzan speed tests 100Mb / s specified by the manufacturer, and I think on the evidence does not reach the maximum because of the interface I'm using to make the measurements. In actual use the phone works perfectly even recording video to 4k, so it meets expectations, no delays or failures reading. I have also used temporarily with the camera and have no latency issues, so that the operation is correct, the less time. The card comes sealed with a logo HP security and a serial number of authenticity, it is appreciated that also includes a Sd-MMC card adapter. Meets Expectations</v>
      </c>
    </row>
    <row r="536">
      <c r="A536" s="1">
        <v>4.0</v>
      </c>
      <c r="B536" s="1" t="s">
        <v>533</v>
      </c>
      <c r="C536" t="str">
        <f>IFERROR(__xludf.DUMMYFUNCTION("GOOGLETRANSLATE(B536, ""es"", ""en"")"),"Watch tough and hard but with improved lighting have not been able to test all functions but for now very good, looks strong and tough (on YouTube can see videos of the dirty things that make you and Peluco is unfazed). Only has a small flaw ... in the da"&amp;"rk light is not very effective, digital displays virtually unseen (although neither is very important to me) and the hands of the clock are best viewed but not rocket's take. If you wake up at midnight and want to know the time will cost you a bit.")</f>
        <v>Watch tough and hard but with improved lighting have not been able to test all functions but for now very good, looks strong and tough (on YouTube can see videos of the dirty things that make you and Peluco is unfazed). Only has a small flaw ... in the dark light is not very effective, digital displays virtually unseen (although neither is very important to me) and the hands of the clock are best viewed but not rocket's take. If you wake up at midnight and want to know the time will cost you a bit.</v>
      </c>
    </row>
    <row r="537">
      <c r="A537" s="1">
        <v>4.0</v>
      </c>
      <c r="B537" s="1" t="s">
        <v>534</v>
      </c>
      <c r="C537" t="str">
        <f>IFERROR(__xludf.DUMMYFUNCTION("GOOGLETRANSLATE(B537, ""es"", ""en"")"),"Backup Deal")</f>
        <v>Backup Deal</v>
      </c>
    </row>
    <row r="538">
      <c r="A538" s="1">
        <v>4.0</v>
      </c>
      <c r="B538" s="1" t="s">
        <v>535</v>
      </c>
      <c r="C538" t="str">
        <f>IFERROR(__xludf.DUMMYFUNCTION("GOOGLETRANSLATE(B538, ""es"", ""en"")"),"It puts something small to a size 95 but it is something small for that size, drawing matched the advertised product")</f>
        <v>It puts something small to a size 95 but it is something small for that size, drawing matched the advertised product</v>
      </c>
    </row>
    <row r="539">
      <c r="A539" s="1">
        <v>4.0</v>
      </c>
      <c r="B539" s="1" t="s">
        <v>536</v>
      </c>
      <c r="C539" t="str">
        <f>IFERROR(__xludf.DUMMYFUNCTION("GOOGLETRANSLATE(B539, ""es"", ""en"")"),"Recommended for 4K videos microSDXC This type of memory is U3 type, which means it is particularly suitable for read and write transfers at very high speed, which is necessary if we want to record video in 4K. Because many phones already incorporate the p"&amp;"ossibility of recording this resolution, I think the investment is more than reasonable, since it has a high capacity and is a necessity for sizes 4K videos. I always recommend recording at maximum resolution, since nothing inside will be a standard and w"&amp;"ill continue a while, so if you are now recording in HD or FULLHD, error, within a time will seem blurry. The eye gets used to the good stuff soon. The microSD card is but comes with SD adapter, perfect for connecting to notebooks, for example, if you wan"&amp;"t to use as SD or make backups. I made a test and write speed exceeds 30 Mb / s, which is fine, but should be more to specification, although it is true that my laptop has more than 5 years. Operation in the short term has been correct. Also it promises t"&amp;"o be waterproof, although I've wanted to check it out. I understand that if he does not carry mechanical parts, but can not find much sense, because if you bring in a camera is not waterproof, do not know what use is that. To withstand the temperature see"&amp;"ms more logical because the devices are often very hot. In short, a very correct choice with good quality / price ratio. I do not put all the stars as it has not been tested long term and that will have to value it more carefully after continued usage tim"&amp;"e.")</f>
        <v>Recommended for 4K videos microSDXC This type of memory is U3 type, which means it is particularly suitable for read and write transfers at very high speed, which is necessary if we want to record video in 4K. Because many phones already incorporate the possibility of recording this resolution, I think the investment is more than reasonable, since it has a high capacity and is a necessity for sizes 4K videos. I always recommend recording at maximum resolution, since nothing inside will be a standard and will continue a while, so if you are now recording in HD or FULLHD, error, within a time will seem blurry. The eye gets used to the good stuff soon. The microSD card is but comes with SD adapter, perfect for connecting to notebooks, for example, if you want to use as SD or make backups. I made a test and write speed exceeds 30 Mb / s, which is fine, but should be more to specification, although it is true that my laptop has more than 5 years. Operation in the short term has been correct. Also it promises to be waterproof, although I've wanted to check it out. I understand that if he does not carry mechanical parts, but can not find much sense, because if you bring in a camera is not waterproof, do not know what use is that. To withstand the temperature seems more logical because the devices are often very hot. In short, a very correct choice with good quality / price ratio. I do not put all the stars as it has not been tested long term and that will have to value it more carefully after continued usage time.</v>
      </c>
    </row>
    <row r="540">
      <c r="A540" s="1">
        <v>5.0</v>
      </c>
      <c r="B540" s="1" t="s">
        <v>537</v>
      </c>
      <c r="C540" t="str">
        <f>IFERROR(__xludf.DUMMYFUNCTION("GOOGLETRANSLATE(B540, ""es"", ""en"")"),"Eva is great this pants and price much cheaper q in stores. It is quality and is very comfortable. I took the floor size M and q 38/40 and I will spend perfect. I recommend it")</f>
        <v>Eva is great this pants and price much cheaper q in stores. It is quality and is very comfortable. I took the floor size M and q 38/40 and I will spend perfect. I recommend it</v>
      </c>
    </row>
    <row r="541">
      <c r="A541" s="1">
        <v>5.0</v>
      </c>
      <c r="B541" s="1" t="s">
        <v>538</v>
      </c>
      <c r="C541" t="str">
        <f>IFERROR(__xludf.DUMMYFUNCTION("GOOGLETRANSLATE(B541, ""es"", ""en"")"),"I love!! Dude, but now I'm super happy, I love the fabric, it's nice and cool, fall, fine, great for summer, colors are accurate to the image, I am very cool, I'm thinking of buying another.")</f>
        <v>I love!! Dude, but now I'm super happy, I love the fabric, it's nice and cool, fall, fine, great for summer, colors are accurate to the image, I am very cool, I'm thinking of buying another.</v>
      </c>
    </row>
    <row r="542">
      <c r="A542" s="1">
        <v>5.0</v>
      </c>
      <c r="B542" s="1" t="s">
        <v>539</v>
      </c>
      <c r="C542" t="str">
        <f>IFERROR(__xludf.DUMMYFUNCTION("GOOGLETRANSLATE(B542, ""es"", ""en"")"),"Good sound quality I love them, are very comfortable to wear and listen to great. The battery lasts much longer than the cover itself acts Charger, is also very beautiful and elegant outside is like leather, for a gift are great.")</f>
        <v>Good sound quality I love them, are very comfortable to wear and listen to great. The battery lasts much longer than the cover itself acts Charger, is also very beautiful and elegant outside is like leather, for a gift are great.</v>
      </c>
    </row>
    <row r="543">
      <c r="A543" s="1">
        <v>5.0</v>
      </c>
      <c r="B543" s="1" t="s">
        <v>540</v>
      </c>
      <c r="C543" t="str">
        <f>IFERROR(__xludf.DUMMYFUNCTION("GOOGLETRANSLATE(B543, ""es"", ""en"")"),"As expected I arrived early and stay super-cool")</f>
        <v>As expected I arrived early and stay super-cool</v>
      </c>
    </row>
    <row r="544">
      <c r="A544" s="1">
        <v>5.0</v>
      </c>
      <c r="B544" s="1" t="s">
        <v>541</v>
      </c>
      <c r="C544" t="str">
        <f>IFERROR(__xludf.DUMMYFUNCTION("GOOGLETRANSLATE(B544, ""es"", ""en"")"),"Better skill than strength is a versatile and very useful cutter. Easy to use and practice. Cuts up to twelve sheets of paper. The arm has a good idea and the service excellent seller. I recommend it.")</f>
        <v>Better skill than strength is a versatile and very useful cutter. Easy to use and practice. Cuts up to twelve sheets of paper. The arm has a good idea and the service excellent seller. I recommend it.</v>
      </c>
    </row>
    <row r="545">
      <c r="A545" s="1">
        <v>5.0</v>
      </c>
      <c r="B545" s="1" t="s">
        <v>542</v>
      </c>
      <c r="C545" t="str">
        <f>IFERROR(__xludf.DUMMYFUNCTION("GOOGLETRANSLATE(B545, ""es"", ""en"")"),"Good buy I was impressed. Very comfortable with many cases for q what you please")</f>
        <v>Good buy I was impressed. Very comfortable with many cases for q what you please</v>
      </c>
    </row>
    <row r="546">
      <c r="A546" s="1">
        <v>5.0</v>
      </c>
      <c r="B546" s="1" t="s">
        <v>543</v>
      </c>
      <c r="C546" t="str">
        <f>IFERROR(__xludf.DUMMYFUNCTION("GOOGLETRANSLATE(B546, ""es"", ""en"")"),"There is a good quality price relation. I just totally recommended purchase is super easy to receive and link them with mobile (I have a redmi Xiaomi Note 7). Eye must withdraw a small blue plastiquito connections that will contact the box is put back in "&amp;"the box ensure that the connection points make contact with the box. They are bright red. Re-take and settings Mobile Bluetooth select and already we have q appear the Airdots even your battery level (to me came to me with 100%) and nothing else, I had q "&amp;"do anything else as I read some @ q all he had to match or something. They have a lot of volume and quality of sound is not q is spectacular but neither can you ask more for the price q have (as q songs and where have gone down). To receive calls there ar"&amp;"e only q Press one to hear and answer the call (I tried them inside the house and hear perfectly, I do not know on the street). Q so bad you can not change the song has q go to the phone to change but for the price (I bought them on Amazon for 21,80 € shi"&amp;"pping included) are a bargain. Purchase totally recommended.")</f>
        <v>There is a good quality price relation. I just totally recommended purchase is super easy to receive and link them with mobile (I have a redmi Xiaomi Note 7). Eye must withdraw a small blue plastiquito connections that will contact the box is put back in the box ensure that the connection points make contact with the box. They are bright red. Re-take and settings Mobile Bluetooth select and already we have q appear the Airdots even your battery level (to me came to me with 100%) and nothing else, I had q do anything else as I read some @ q all he had to match or something. They have a lot of volume and quality of sound is not q is spectacular but neither can you ask more for the price q have (as q songs and where have gone down). To receive calls there are only q Press one to hear and answer the call (I tried them inside the house and hear perfectly, I do not know on the street). Q so bad you can not change the song has q go to the phone to change but for the price (I bought them on Amazon for 21,80 € shipping included) are a bargain. Purchase totally recommended.</v>
      </c>
    </row>
    <row r="547">
      <c r="A547" s="1">
        <v>5.0</v>
      </c>
      <c r="B547" s="1" t="s">
        <v>544</v>
      </c>
      <c r="C547" t="str">
        <f>IFERROR(__xludf.DUMMYFUNCTION("GOOGLETRANSLATE(B547, ""es"", ""en"")"),"Meets expectations works well.")</f>
        <v>Meets expectations works well.</v>
      </c>
    </row>
    <row r="548">
      <c r="A548" s="1">
        <v>5.0</v>
      </c>
      <c r="B548" s="1" t="s">
        <v>545</v>
      </c>
      <c r="C548" t="str">
        <f>IFERROR(__xludf.DUMMYFUNCTION("GOOGLETRANSLATE(B548, ""es"", ""en"")"),"A 😊 I arrived perfectly happy to stay ami encantadicima guy will love 🤩😍gracias Amazon, 😊")</f>
        <v>A 😊 I arrived perfectly happy to stay ami encantadicima guy will love 🤩😍gracias Amazon, 😊</v>
      </c>
    </row>
    <row r="549">
      <c r="A549" s="1">
        <v>5.0</v>
      </c>
      <c r="B549" s="1" t="s">
        <v>546</v>
      </c>
      <c r="C549" t="str">
        <f>IFERROR(__xludf.DUMMYFUNCTION("GOOGLETRANSLATE(B549, ""es"", ""en"")"),"fast shipping and all right all right, good buy")</f>
        <v>fast shipping and all right all right, good buy</v>
      </c>
    </row>
    <row r="550">
      <c r="A550" s="1">
        <v>5.0</v>
      </c>
      <c r="B550" s="1" t="s">
        <v>547</v>
      </c>
      <c r="C550" t="str">
        <f>IFERROR(__xludf.DUMMYFUNCTION("GOOGLETRANSLATE(B550, ""es"", ""en"")"),"Do you really like it is practical")</f>
        <v>Do you really like it is practical</v>
      </c>
    </row>
    <row r="551">
      <c r="A551" s="1">
        <v>5.0</v>
      </c>
      <c r="B551" s="1" t="s">
        <v>548</v>
      </c>
      <c r="C551" t="str">
        <f>IFERROR(__xludf.DUMMYFUNCTION("GOOGLETRANSLATE(B551, ""es"", ""en"")"),"Fanny very practical Perfect")</f>
        <v>Fanny very practical Perfect</v>
      </c>
    </row>
    <row r="552">
      <c r="A552" s="1">
        <v>5.0</v>
      </c>
      <c r="B552" s="1" t="s">
        <v>549</v>
      </c>
      <c r="C552" t="str">
        <f>IFERROR(__xludf.DUMMYFUNCTION("GOOGLETRANSLATE(B552, ""es"", ""en"")"),"Perfect. He had long been behind some Timberland boots, after Amazon letting me an offer, I ventured to pay good money, very watered down, but still a significant amount. They have not disappointed, completely original, smelling skin, are calentitas, comp"&amp;"letely waterproof and just ask average number less fit like a glove authentic. Anyone who is thinking about buying winter boots, do not skimp on expenses, this type of boots accompany you for years and years.")</f>
        <v>Perfect. He had long been behind some Timberland boots, after Amazon letting me an offer, I ventured to pay good money, very watered down, but still a significant amount. They have not disappointed, completely original, smelling skin, are calentitas, completely waterproof and just ask average number less fit like a glove authentic. Anyone who is thinking about buying winter boots, do not skimp on expenses, this type of boots accompany you for years and years.</v>
      </c>
    </row>
    <row r="553">
      <c r="A553" s="1">
        <v>5.0</v>
      </c>
      <c r="B553" s="1" t="s">
        <v>550</v>
      </c>
      <c r="C553" t="str">
        <f>IFERROR(__xludf.DUMMYFUNCTION("GOOGLETRANSLATE(B553, ""es"", ""en"")"),"Super relaxing massage I've given a surprise to my wife, I gave her a massage and was delighted, really he likes the smell and said it was very relaxing, let that put horny as a bitch.")</f>
        <v>Super relaxing massage I've given a surprise to my wife, I gave her a massage and was delighted, really he likes the smell and said it was very relaxing, let that put horny as a bitch.</v>
      </c>
    </row>
    <row r="554">
      <c r="A554" s="1">
        <v>5.0</v>
      </c>
      <c r="B554" s="1" t="s">
        <v>551</v>
      </c>
      <c r="C554" t="str">
        <f>IFERROR(__xludf.DUMMYFUNCTION("GOOGLETRANSLATE(B554, ""es"", ""en"")"),"Heated quickly heated to 50-55 degrees 20 liters in aproximadamrbte 5 minutoa")</f>
        <v>Heated quickly heated to 50-55 degrees 20 liters in aproximadamrbte 5 minutoa</v>
      </c>
    </row>
    <row r="555">
      <c r="A555" s="1">
        <v>5.0</v>
      </c>
      <c r="B555" s="1" t="s">
        <v>552</v>
      </c>
      <c r="C555" t="str">
        <f>IFERROR(__xludf.DUMMYFUNCTION("GOOGLETRANSLATE(B555, ""es"", ""en"")"),"You are great! perfect number, my number is 40 and q have asked. Meals, waterproof and very warm. I use daily in London and delighted.")</f>
        <v>You are great! perfect number, my number is 40 and q have asked. Meals, waterproof and very warm. I use daily in London and delighted.</v>
      </c>
    </row>
    <row r="556">
      <c r="A556" s="1">
        <v>5.0</v>
      </c>
      <c r="B556" s="1" t="s">
        <v>553</v>
      </c>
      <c r="C556" t="str">
        <f>IFERROR(__xludf.DUMMYFUNCTION("GOOGLETRANSLATE(B556, ""es"", ""en"")"),"Producte adequat is such reflexed photo com, measure 40mm. i és força prim. Bellesa highlights the simplicitat seva. The vaig buy meva per la dona i will be contentíssima.")</f>
        <v>Producte adequat is such reflexed photo com, measure 40mm. i és força prim. Bellesa highlights the simplicitat seva. The vaig buy meva per la dona i will be contentíssima.</v>
      </c>
    </row>
    <row r="557">
      <c r="A557" s="1">
        <v>5.0</v>
      </c>
      <c r="B557" s="1" t="s">
        <v>554</v>
      </c>
      <c r="C557" t="str">
        <f>IFERROR(__xludf.DUMMYFUNCTION("GOOGLETRANSLATE(B557, ""es"", ""en"")"),"Great to talk took 3 days with him and is the best I've been able to buy, you hear perfectly and the battery lasts a lot. They are very comfortable to wear. Very happy with headphones")</f>
        <v>Great to talk took 3 days with him and is the best I've been able to buy, you hear perfectly and the battery lasts a lot. They are very comfortable to wear. Very happy with headphones</v>
      </c>
    </row>
    <row r="558">
      <c r="A558" s="1">
        <v>5.0</v>
      </c>
      <c r="B558" s="1" t="s">
        <v>555</v>
      </c>
      <c r="C558" t="str">
        <f>IFERROR(__xludf.DUMMYFUNCTION("GOOGLETRANSLATE(B558, ""es"", ""en"")"),"Correct small and powerful, I expected")</f>
        <v>Correct small and powerful, I expected</v>
      </c>
    </row>
    <row r="559">
      <c r="A559" s="1">
        <v>2.0</v>
      </c>
      <c r="B559" s="1" t="s">
        <v>556</v>
      </c>
      <c r="C559" t="str">
        <f>IFERROR(__xludf.DUMMYFUNCTION("GOOGLETRANSLATE(B559, ""es"", ""en"")"),"Do not buy milk formula had high hopes in calm teats because I had been told was best for mixing breast and bottle. These nipples do not serve only milk formula for feeding. Formula is constantly clogged with what makes children despair. I tried to desacr"&amp;" formula at higher temperature but still stuck. PSEA only breast milk is good.")</f>
        <v>Do not buy milk formula had high hopes in calm teats because I had been told was best for mixing breast and bottle. These nipples do not serve only milk formula for feeding. Formula is constantly clogged with what makes children despair. I tried to desacr formula at higher temperature but still stuck. PSEA only breast milk is good.</v>
      </c>
    </row>
    <row r="560">
      <c r="A560" s="1">
        <v>3.0</v>
      </c>
      <c r="B560" s="1" t="s">
        <v>557</v>
      </c>
      <c r="C560" t="str">
        <f>IFERROR(__xludf.DUMMYFUNCTION("GOOGLETRANSLATE(B560, ""es"", ""en"")"),"I've fulfills its function tested by plugging directly to the phone and a USB interface focusrite and working properly. I bought a mini foot (of putting on the table) and the weight falls sometimes; I recommend using a normal micro foot.")</f>
        <v>I've fulfills its function tested by plugging directly to the phone and a USB interface focusrite and working properly. I bought a mini foot (of putting on the table) and the weight falls sometimes; I recommend using a normal micro foot.</v>
      </c>
    </row>
    <row r="561">
      <c r="A561" s="1">
        <v>3.0</v>
      </c>
      <c r="B561" s="1" t="s">
        <v>558</v>
      </c>
      <c r="C561" t="str">
        <f>IFERROR(__xludf.DUMMYFUNCTION("GOOGLETRANSLATE(B561, ""es"", ""en"")"),"Quality improved quality normalita according to the price. Proper operation even if the cable is too stiff compared to others I have.")</f>
        <v>Quality improved quality normalita according to the price. Proper operation even if the cable is too stiff compared to others I have.</v>
      </c>
    </row>
    <row r="562">
      <c r="A562" s="1">
        <v>1.0</v>
      </c>
      <c r="B562" s="1" t="s">
        <v>559</v>
      </c>
      <c r="C562" t="str">
        <f>IFERROR(__xludf.DUMMYFUNCTION("GOOGLETRANSLATE(B562, ""es"", ""en"")"),"Disapointment am a computer, had a solid (marac Crucial) on my laptop 240GB giving me a reading speed of 540Mgb, I bought two equal and the two do not reach the same capacity, being the same make and the same model and the two 960gb according to the manuf"&amp;"acturer, one comes with 920gb and 890gb other ..... very strange and suspicious. The worst is that on the same laptop I only get 300Mbs read speed, a little more than half my old ssd 240GB. I suggest spending a little more money and buy another brand / mo"&amp;"del. A big disappointment")</f>
        <v>Disapointment am a computer, had a solid (marac Crucial) on my laptop 240GB giving me a reading speed of 540Mgb, I bought two equal and the two do not reach the same capacity, being the same make and the same model and the two 960gb according to the manufacturer, one comes with 920gb and 890gb other ..... very strange and suspicious. The worst is that on the same laptop I only get 300Mbs read speed, a little more than half my old ssd 240GB. I suggest spending a little more money and buy another brand / model. A big disappointment</v>
      </c>
    </row>
    <row r="563">
      <c r="A563" s="1">
        <v>1.0</v>
      </c>
      <c r="B563" s="1" t="s">
        <v>560</v>
      </c>
      <c r="C563" t="str">
        <f>IFERROR(__xludf.DUMMYFUNCTION("GOOGLETRANSLATE(B563, ""es"", ""en"")"),"Is false, imitation Chinese clock initially looked good but I saw the warranty card in which you must fill serial num etc etc and that is not so in the sieko watches (I have one). Also in the area where the bottom has defects are white spots that have not"&amp;" performed well cut it. In order not recommend better to buy one really even worth 35% more expensive than this.")</f>
        <v>Is false, imitation Chinese clock initially looked good but I saw the warranty card in which you must fill serial num etc etc and that is not so in the sieko watches (I have one). Also in the area where the bottom has defects are white spots that have not performed well cut it. In order not recommend better to buy one really even worth 35% more expensive than this.</v>
      </c>
    </row>
    <row r="564">
      <c r="A564" s="1">
        <v>4.0</v>
      </c>
      <c r="B564" s="1" t="s">
        <v>561</v>
      </c>
      <c r="C564" t="str">
        <f>IFERROR(__xludf.DUMMYFUNCTION("GOOGLETRANSLATE(B564, ""es"", ""en"")"),"Magnifico Scraper Most importantly does not scratch, scratch and other models to the end is annoying at the same time painful, this is very good and the telesopico be very long. I recommend it")</f>
        <v>Magnifico Scraper Most importantly does not scratch, scratch and other models to the end is annoying at the same time painful, this is very good and the telesopico be very long. I recommend it</v>
      </c>
    </row>
    <row r="565">
      <c r="A565" s="1">
        <v>4.0</v>
      </c>
      <c r="B565" s="1" t="s">
        <v>562</v>
      </c>
      <c r="C565" t="str">
        <f>IFERROR(__xludf.DUMMYFUNCTION("GOOGLETRANSLATE(B565, ""es"", ""en"")"),"Effective recommend for value for money, it goes fast, and weighs little. freight good prices as usual. I recommend the same as the data kimstom 100 g2 traveler, I got 2 and going great.")</f>
        <v>Effective recommend for value for money, it goes fast, and weighs little. freight good prices as usual. I recommend the same as the data kimstom 100 g2 traveler, I got 2 and going great.</v>
      </c>
    </row>
    <row r="566">
      <c r="A566" s="1">
        <v>4.0</v>
      </c>
      <c r="B566" s="1" t="s">
        <v>563</v>
      </c>
      <c r="C566" t="str">
        <f>IFERROR(__xludf.DUMMYFUNCTION("GOOGLETRANSLATE(B566, ""es"", ""en"")"),"Rode is, somewhat pricey but excellent quality. The suspension greatly reduces noise and vibration to the handle pole or accidentally hit. I use it mainly with a NTG4 and BOOMPOLE also Rode. After half a year has endured many shootings and continues as th"&amp;"e first day except for gray cushions, which are no longer dirtied while no one to clean, that Rode had been well in the black fabricate directly. If you are looking for sound equipment premium Rode is a great brand and its products are always of the highe"&amp;"st quality. All my stereo is Rode except the Tascam recorder is (as it is the only thing that does not make Rode) and the truth is that product you buy them a product that lasts years.")</f>
        <v>Rode is, somewhat pricey but excellent quality. The suspension greatly reduces noise and vibration to the handle pole or accidentally hit. I use it mainly with a NTG4 and BOOMPOLE also Rode. After half a year has endured many shootings and continues as the first day except for gray cushions, which are no longer dirtied while no one to clean, that Rode had been well in the black fabricate directly. If you are looking for sound equipment premium Rode is a great brand and its products are always of the highest quality. All my stereo is Rode except the Tascam recorder is (as it is the only thing that does not make Rode) and the truth is that product you buy them a product that lasts years.</v>
      </c>
    </row>
    <row r="567">
      <c r="A567" s="1">
        <v>4.0</v>
      </c>
      <c r="B567" s="1" t="s">
        <v>564</v>
      </c>
      <c r="C567" t="str">
        <f>IFERROR(__xludf.DUMMYFUNCTION("GOOGLETRANSLATE(B567, ""es"", ""en"")"),"Heat durable camita use it for my chihuahuas and hard hot all night. The only bad thing is that it is not removable, but you put your a holster and ready")</f>
        <v>Heat durable camita use it for my chihuahuas and hard hot all night. The only bad thing is that it is not removable, but you put your a holster and ready</v>
      </c>
    </row>
    <row r="568">
      <c r="A568" s="1">
        <v>4.0</v>
      </c>
      <c r="B568" s="1" t="s">
        <v>565</v>
      </c>
      <c r="C568" t="str">
        <f>IFERROR(__xludf.DUMMYFUNCTION("GOOGLETRANSLATE(B568, ""es"", ""en"")"),"original color and very nice very nice and comfortable. The color is original and rarely seen")</f>
        <v>original color and very nice very nice and comfortable. The color is original and rarely seen</v>
      </c>
    </row>
    <row r="569">
      <c r="A569" s="1">
        <v>5.0</v>
      </c>
      <c r="B569" s="1" t="s">
        <v>566</v>
      </c>
      <c r="C569" t="str">
        <f>IFERROR(__xludf.DUMMYFUNCTION("GOOGLETRANSLATE(B569, ""es"", ""en"")"),"I love. Bambas good. Very comfortable and that q have delicate feet. The use for fitness and for street jeans. On the quality of the shoes, if not much mistreat (rain, mud ...) will continue as the first day. Highly recommended.")</f>
        <v>I love. Bambas good. Very comfortable and that q have delicate feet. The use for fitness and for street jeans. On the quality of the shoes, if not much mistreat (rain, mud ...) will continue as the first day. Highly recommended.</v>
      </c>
    </row>
    <row r="570">
      <c r="A570" s="1">
        <v>5.0</v>
      </c>
      <c r="B570" s="1" t="s">
        <v>567</v>
      </c>
      <c r="C570" t="str">
        <f>IFERROR(__xludf.DUMMYFUNCTION("GOOGLETRANSLATE(B570, ""es"", ""en"")"),"Blender great shakes Ideal for fruits and vegetables. What makes it crushed and is extremely easy to clean.")</f>
        <v>Blender great shakes Ideal for fruits and vegetables. What makes it crushed and is extremely easy to clean.</v>
      </c>
    </row>
    <row r="571">
      <c r="A571" s="1">
        <v>5.0</v>
      </c>
      <c r="B571" s="1" t="s">
        <v>568</v>
      </c>
      <c r="C571" t="str">
        <f>IFERROR(__xludf.DUMMYFUNCTION("GOOGLETRANSLATE(B571, ""es"", ""en"")"),"Excellent watch Super happy with this purchase, very good watch at an excellent price and most importantly 100% original, after several months using him give it a 10.")</f>
        <v>Excellent watch Super happy with this purchase, very good watch at an excellent price and most importantly 100% original, after several months using him give it a 10.</v>
      </c>
    </row>
    <row r="572">
      <c r="A572" s="1">
        <v>5.0</v>
      </c>
      <c r="B572" s="1" t="s">
        <v>569</v>
      </c>
      <c r="C572" t="str">
        <f>IFERROR(__xludf.DUMMYFUNCTION("GOOGLETRANSLATE(B572, ""es"", ""en"")"),"A clock with striking metal casing and chain and some pretty interesting finishes to a risible price.")</f>
        <v>A clock with striking metal casing and chain and some pretty interesting finishes to a risible price.</v>
      </c>
    </row>
    <row r="573">
      <c r="A573" s="1">
        <v>5.0</v>
      </c>
      <c r="B573" s="1" t="s">
        <v>570</v>
      </c>
      <c r="C573" t="str">
        <f>IFERROR(__xludf.DUMMYFUNCTION("GOOGLETRANSLATE(B573, ""es"", ""en"")"),"Comfortable and trendy I like its design. Comfortable not very high and it was what I wanted I bought one size more. So I can use the large stockings")</f>
        <v>Comfortable and trendy I like its design. Comfortable not very high and it was what I wanted I bought one size more. So I can use the large stockings</v>
      </c>
    </row>
    <row r="574">
      <c r="A574" s="1">
        <v>5.0</v>
      </c>
      <c r="B574" s="1" t="s">
        <v>571</v>
      </c>
      <c r="C574" t="str">
        <f>IFERROR(__xludf.DUMMYFUNCTION("GOOGLETRANSLATE(B574, ""es"", ""en"")"),"quality great price I'll buy when I screwed up, it's going very well, the film picks up right, not for low and super fast you have to watch. The size is right, the housing is part of hard rubber for shock.")</f>
        <v>quality great price I'll buy when I screwed up, it's going very well, the film picks up right, not for low and super fast you have to watch. The size is right, the housing is part of hard rubber for shock.</v>
      </c>
    </row>
    <row r="575">
      <c r="A575" s="1">
        <v>5.0</v>
      </c>
      <c r="B575" s="1" t="s">
        <v>572</v>
      </c>
      <c r="C575" t="str">
        <f>IFERROR(__xludf.DUMMYFUNCTION("GOOGLETRANSLATE(B575, ""es"", ""en"")"),"Very pleased with the purchase I think it has a value adequate. Tells time, it is comfortable, hold the water pressure (at the least two showers since yesterday I received, and I have no complaints). Ligerita weight, perhaps influenced by fine (or plastic"&amp;") glass having coverage. Let's see how it responds hereinafter. At the moment, meets expectation.")</f>
        <v>Very pleased with the purchase I think it has a value adequate. Tells time, it is comfortable, hold the water pressure (at the least two showers since yesterday I received, and I have no complaints). Ligerita weight, perhaps influenced by fine (or plastic) glass having coverage. Let's see how it responds hereinafter. At the moment, meets expectation.</v>
      </c>
    </row>
    <row r="576">
      <c r="A576" s="1">
        <v>5.0</v>
      </c>
      <c r="B576" s="1" t="s">
        <v>573</v>
      </c>
      <c r="C576" t="str">
        <f>IFERROR(__xludf.DUMMYFUNCTION("GOOGLETRANSLATE(B576, ""es"", ""en"")"),"Very nice photo Like")</f>
        <v>Very nice photo Like</v>
      </c>
    </row>
    <row r="577">
      <c r="A577" s="1">
        <v>5.0</v>
      </c>
      <c r="B577" s="1" t="s">
        <v>574</v>
      </c>
      <c r="C577" t="str">
        <f>IFERROR(__xludf.DUMMYFUNCTION("GOOGLETRANSLATE(B577, ""es"", ""en"")"),"Meets featured pitcher is very nice and is water heats up fast. I am very happy with the purchase.")</f>
        <v>Meets featured pitcher is very nice and is water heats up fast. I am very happy with the purchase.</v>
      </c>
    </row>
    <row r="578">
      <c r="A578" s="1">
        <v>5.0</v>
      </c>
      <c r="B578" s="1" t="s">
        <v>575</v>
      </c>
      <c r="C578" t="str">
        <f>IFERROR(__xludf.DUMMYFUNCTION("GOOGLETRANSLATE(B578, ""es"", ""en"")"),"Tactile digital display good headphones and battery box brings. Box also features an LED display that indicates the percentage of each handset battery. Also they incorporate several adapters for each type of silicon ear. Do not forget that also incorporat"&amp;"es a fabric bolsilla a bit average but very practical")</f>
        <v>Tactile digital display good headphones and battery box brings. Box also features an LED display that indicates the percentage of each handset battery. Also they incorporate several adapters for each type of silicon ear. Do not forget that also incorporates a fabric bolsilla a bit average but very practical</v>
      </c>
    </row>
    <row r="579">
      <c r="A579" s="1">
        <v>5.0</v>
      </c>
      <c r="B579" s="1" t="s">
        <v>576</v>
      </c>
      <c r="C579" t="str">
        <f>IFERROR(__xludf.DUMMYFUNCTION("GOOGLETRANSLATE(B579, ""es"", ""en"")"),"Sweatshirt Very nice and good quality")</f>
        <v>Sweatshirt Very nice and good quality</v>
      </c>
    </row>
    <row r="580">
      <c r="A580" s="1">
        <v>5.0</v>
      </c>
      <c r="B580" s="1" t="s">
        <v>577</v>
      </c>
      <c r="C580" t="str">
        <f>IFERROR(__xludf.DUMMYFUNCTION("GOOGLETRANSLATE(B580, ""es"", ""en"")"),"Large capacity, easy to wear The design is nice, very simple operation, for now works correctly and expands while the aroma. The main advantage is its large capacity, which makes not have to be continually filling the tank.")</f>
        <v>Large capacity, easy to wear The design is nice, very simple operation, for now works correctly and expands while the aroma. The main advantage is its large capacity, which makes not have to be continually filling the tank.</v>
      </c>
    </row>
    <row r="581">
      <c r="A581" s="1">
        <v>5.0</v>
      </c>
      <c r="B581" s="1" t="s">
        <v>42</v>
      </c>
      <c r="C581" t="str">
        <f>IFERROR(__xludf.DUMMYFUNCTION("GOOGLETRANSLATE(B581, ""es"", ""en"")"),"Well well")</f>
        <v>Well well</v>
      </c>
    </row>
    <row r="582">
      <c r="A582" s="1">
        <v>5.0</v>
      </c>
      <c r="B582" s="1" t="s">
        <v>578</v>
      </c>
      <c r="C582" t="str">
        <f>IFERROR(__xludf.DUMMYFUNCTION("GOOGLETRANSLATE(B582, ""es"", ""en"")"),"Comfortable I've loved the texture and blanditas they are. Perfectamento adapt to the foot, at the moment I do not see anything negative")</f>
        <v>Comfortable I've loved the texture and blanditas they are. Perfectamento adapt to the foot, at the moment I do not see anything negative</v>
      </c>
    </row>
    <row r="583">
      <c r="A583" s="1">
        <v>5.0</v>
      </c>
      <c r="B583" s="1" t="s">
        <v>579</v>
      </c>
      <c r="C583" t="str">
        <f>IFERROR(__xludf.DUMMYFUNCTION("GOOGLETRANSLATE(B583, ""es"", ""en"")"),"Practical and well finished breast good backpack to carry what is indispensable to your reach and controlled primarily for certain events and motorbike trips. Surprising quality, multiple departments and is waterproof. Good buy.")</f>
        <v>Practical and well finished breast good backpack to carry what is indispensable to your reach and controlled primarily for certain events and motorbike trips. Surprising quality, multiple departments and is waterproof. Good buy.</v>
      </c>
    </row>
    <row r="584">
      <c r="A584" s="1">
        <v>5.0</v>
      </c>
      <c r="B584" s="1" t="s">
        <v>580</v>
      </c>
      <c r="C584" t="str">
        <f>IFERROR(__xludf.DUMMYFUNCTION("GOOGLETRANSLATE(B584, ""es"", ""en"")"),"They buy perfect :) They are very well priced and just spend a few drops in each use. They smell good all essences :)")</f>
        <v>They buy perfect :) They are very well priced and just spend a few drops in each use. They smell good all essences :)</v>
      </c>
    </row>
    <row r="585">
      <c r="A585" s="1">
        <v>5.0</v>
      </c>
      <c r="B585" s="1" t="s">
        <v>581</v>
      </c>
      <c r="C585" t="str">
        <f>IFERROR(__xludf.DUMMYFUNCTION("GOOGLETRANSLATE(B585, ""es"", ""en"")"),"Cheap and with good performance sounds good and is easy to use. I am very happy with the product, how bad is it has only one meter long and I had to buy an extension cord, but overall good.")</f>
        <v>Cheap and with good performance sounds good and is easy to use. I am very happy with the product, how bad is it has only one meter long and I had to buy an extension cord, but overall good.</v>
      </c>
    </row>
    <row r="586">
      <c r="A586" s="1">
        <v>5.0</v>
      </c>
      <c r="B586" s="1" t="s">
        <v>582</v>
      </c>
      <c r="C586" t="str">
        <f>IFERROR(__xludf.DUMMYFUNCTION("GOOGLETRANSLATE(B586, ""es"", ""en"")"),"Perfect purchase perfect, the water holds 24h, loses temperature but not the whole. Super practical")</f>
        <v>Perfect purchase perfect, the water holds 24h, loses temperature but not the whole. Super practical</v>
      </c>
    </row>
    <row r="587">
      <c r="A587" s="1">
        <v>5.0</v>
      </c>
      <c r="B587" s="1" t="s">
        <v>583</v>
      </c>
      <c r="C587" t="str">
        <f>IFERROR(__xludf.DUMMYFUNCTION("GOOGLETRANSLATE(B587, ""es"", ""en"")"),"Not ugly it looked in the picture")</f>
        <v>Not ugly it looked in the picture</v>
      </c>
    </row>
    <row r="588">
      <c r="A588" s="1">
        <v>2.0</v>
      </c>
      <c r="B588" s="1" t="s">
        <v>584</v>
      </c>
      <c r="C588" t="str">
        <f>IFERROR(__xludf.DUMMYFUNCTION("GOOGLETRANSLATE(B588, ""es"", ""en"")"),"I think NOT FUNCTION PROPERLY memory stick I bought this and another similar in all performance and price. This was much slower and then started giving me problems. The other always worked out great.")</f>
        <v>I think NOT FUNCTION PROPERLY memory stick I bought this and another similar in all performance and price. This was much slower and then started giving me problems. The other always worked out great.</v>
      </c>
    </row>
    <row r="589">
      <c r="A589" s="1">
        <v>3.0</v>
      </c>
      <c r="B589" s="1" t="s">
        <v>585</v>
      </c>
      <c r="C589" t="str">
        <f>IFERROR(__xludf.DUMMYFUNCTION("GOOGLETRANSLATE(B589, ""es"", ""en"")"),"Useful and economic practice and economic")</f>
        <v>Useful and economic practice and economic</v>
      </c>
    </row>
    <row r="590">
      <c r="A590" s="1">
        <v>1.0</v>
      </c>
      <c r="B590" s="1" t="s">
        <v>586</v>
      </c>
      <c r="C590" t="str">
        <f>IFERROR(__xludf.DUMMYFUNCTION("GOOGLETRANSLATE(B590, ""es"", ""en"")"),"Lucia's have returned. They were too wide and I did not like the material they were like very plastic. Q They are not expected.")</f>
        <v>Lucia's have returned. They were too wide and I did not like the material they were like very plastic. Q They are not expected.</v>
      </c>
    </row>
    <row r="591">
      <c r="A591" s="1">
        <v>1.0</v>
      </c>
      <c r="B591" s="1" t="s">
        <v>587</v>
      </c>
      <c r="C591" t="str">
        <f>IFERROR(__xludf.DUMMYFUNCTION("GOOGLETRANSLATE(B591, ""es"", ""en"")"),"Connection failure has an important problem to be recognized in computers and televisions. Finally I chose to return it because in my new Samsung TV, amid content playback is disconnected; sometimes it takes longer, sometimes less, but ends disconnected.")</f>
        <v>Connection failure has an important problem to be recognized in computers and televisions. Finally I chose to return it because in my new Samsung TV, amid content playback is disconnected; sometimes it takes longer, sometimes less, but ends disconnected.</v>
      </c>
    </row>
    <row r="592">
      <c r="A592" s="1">
        <v>4.0</v>
      </c>
      <c r="B592" s="1" t="s">
        <v>588</v>
      </c>
      <c r="C592" t="str">
        <f>IFERROR(__xludf.DUMMYFUNCTION("GOOGLETRANSLATE(B592, ""es"", ""en"")"),"Expected, the product well expected, works perfectly and my computer with an SSD is much more fluid and more, I give enough cane and heat that makes the PC reaches enough temperature and other, for the perfect moment, not you I give 5 stars because I thin"&amp;"k the shipping method (by the manufacturer not Amazon) did not see it quite right just a cardboard box normally fine with ssd, drivers and instructions, could put an outer packaging or a foam so that it reaches well protected, then also it (that my thing)"&amp;", could add the sATA cable or at least the case screws, without 4 screws and costs led anything other than a perfect product.")</f>
        <v>Expected, the product well expected, works perfectly and my computer with an SSD is much more fluid and more, I give enough cane and heat that makes the PC reaches enough temperature and other, for the perfect moment, not you I give 5 stars because I think the shipping method (by the manufacturer not Amazon) did not see it quite right just a cardboard box normally fine with ssd, drivers and instructions, could put an outer packaging or a foam so that it reaches well protected, then also it (that my thing), could add the sATA cable or at least the case screws, without 4 screws and costs led anything other than a perfect product.</v>
      </c>
    </row>
    <row r="593">
      <c r="A593" s="1">
        <v>4.0</v>
      </c>
      <c r="B593" s="1" t="s">
        <v>589</v>
      </c>
      <c r="C593" t="str">
        <f>IFERROR(__xludf.DUMMYFUNCTION("GOOGLETRANSLATE(B593, ""es"", ""en"")"),"They are good quality tracksuit pants good and cheap, with polar interior, do not spend cold with them, slightly larger size, I stayed with an M, but use as dryer shrink a bit and look perfect.")</f>
        <v>They are good quality tracksuit pants good and cheap, with polar interior, do not spend cold with them, slightly larger size, I stayed with an M, but use as dryer shrink a bit and look perfect.</v>
      </c>
    </row>
    <row r="594">
      <c r="A594" s="1">
        <v>4.0</v>
      </c>
      <c r="B594" s="1" t="s">
        <v>590</v>
      </c>
      <c r="C594" t="str">
        <f>IFERROR(__xludf.DUMMYFUNCTION("GOOGLETRANSLATE(B594, ""es"", ""en"")"),"Capacity / speed. Good added capability to mobile devices. He is responding well to the needs of the phone and tablet.")</f>
        <v>Capacity / speed. Good added capability to mobile devices. He is responding well to the needs of the phone and tablet.</v>
      </c>
    </row>
    <row r="595">
      <c r="A595" s="1">
        <v>4.0</v>
      </c>
      <c r="B595" s="1" t="s">
        <v>591</v>
      </c>
      <c r="C595" t="str">
        <f>IFERROR(__xludf.DUMMYFUNCTION("GOOGLETRANSLATE(B595, ""es"", ""en"")"),"They work well correct operation, the adhesive is not the best in the world and can be terminated by releasing (cables, etc) but overall are good for the money they have.")</f>
        <v>They work well correct operation, the adhesive is not the best in the world and can be terminated by releasing (cables, etc) but overall are good for the money they have.</v>
      </c>
    </row>
    <row r="596">
      <c r="A596" s="1">
        <v>4.0</v>
      </c>
      <c r="B596" s="1" t="s">
        <v>592</v>
      </c>
      <c r="C596" t="str">
        <f>IFERROR(__xludf.DUMMYFUNCTION("GOOGLETRANSLATE(B596, ""es"", ""en"")"),"Large capacity the best price is a memory card 128 gigas. Arcanite of the brand. I must say that I had not heard of this brand, and on issues of computer and electronics am more in favor of playing it safe, but still decided to try it for good price. I ha"&amp;"ve to say that reading by the device was instantaneous, fast and first. It has a high capacity, so you make sure plenty of storage. It is a kind and brings SD adapter. Generally fulfills its function and is economical. A good buy.")</f>
        <v>Large capacity the best price is a memory card 128 gigas. Arcanite of the brand. I must say that I had not heard of this brand, and on issues of computer and electronics am more in favor of playing it safe, but still decided to try it for good price. I have to say that reading by the device was instantaneous, fast and first. It has a high capacity, so you make sure plenty of storage. It is a kind and brings SD adapter. Generally fulfills its function and is economical. A good buy.</v>
      </c>
    </row>
    <row r="597">
      <c r="A597" s="1">
        <v>5.0</v>
      </c>
      <c r="B597" s="1" t="s">
        <v>593</v>
      </c>
      <c r="C597" t="str">
        <f>IFERROR(__xludf.DUMMYFUNCTION("GOOGLETRANSLATE(B597, ""es"", ""en"")"),"Good product to take care of our body This massager has several speeds which allows you to fit your needs. With heat reduces contractures of the neck and back, helping to reduce pain in the neck gives me to the work. It is not light, but it is convenient "&amp;"to use and the benefits that offset this disadvantage. The power cord might be a bit longer because you have to be very close to an outlet where I feed it. Highly recommended if you have cervical problems and contractures.")</f>
        <v>Good product to take care of our body This massager has several speeds which allows you to fit your needs. With heat reduces contractures of the neck and back, helping to reduce pain in the neck gives me to the work. It is not light, but it is convenient to use and the benefits that offset this disadvantage. The power cord might be a bit longer because you have to be very close to an outlet where I feed it. Highly recommended if you have cervical problems and contractures.</v>
      </c>
    </row>
    <row r="598">
      <c r="A598" s="1">
        <v>5.0</v>
      </c>
      <c r="B598" s="1" t="s">
        <v>594</v>
      </c>
      <c r="C598" t="str">
        <f>IFERROR(__xludf.DUMMYFUNCTION("GOOGLETRANSLATE(B598, ""es"", ""en"")"),"Quality and tone The truth is that it is very good, feels robust and quality both visually and to the touch, all accessories can ask, support, arm, antipop, sponge ... And the sound quality is outstanding, Of course, I clear, without noise or strangers. D"&amp;"efinitely worth it.")</f>
        <v>Quality and tone The truth is that it is very good, feels robust and quality both visually and to the touch, all accessories can ask, support, arm, antipop, sponge ... And the sound quality is outstanding, Of course, I clear, without noise or strangers. Definitely worth it.</v>
      </c>
    </row>
    <row r="599">
      <c r="A599" s="1">
        <v>5.0</v>
      </c>
      <c r="B599" s="1" t="s">
        <v>595</v>
      </c>
      <c r="C599" t="str">
        <f>IFERROR(__xludf.DUMMYFUNCTION("GOOGLETRANSLATE(B599, ""es"", ""en"")"),"So comfortable! Order a number more than shoe Second pair I buy. I was afraid to stay small but as in all sports one greater than shoe is perfect. Combine well with everything, sweats, jeans, Chinese ... In addition, they are the most comfortable I've eve"&amp;"r had.")</f>
        <v>So comfortable! Order a number more than shoe Second pair I buy. I was afraid to stay small but as in all sports one greater than shoe is perfect. Combine well with everything, sweats, jeans, Chinese ... In addition, they are the most comfortable I've ever had.</v>
      </c>
    </row>
    <row r="600">
      <c r="A600" s="1">
        <v>5.0</v>
      </c>
      <c r="B600" s="1" t="s">
        <v>596</v>
      </c>
      <c r="C600" t="str">
        <f>IFERROR(__xludf.DUMMYFUNCTION("GOOGLETRANSLATE(B600, ""es"", ""en"")"),"SPECTACULAR There are ointments and oils that work very well, but if you want something that is immediate and fits-all muscle and joint aches this is your remedy-My back pain last a couple of days when it used to take one week. My father used to osteoarth"&amp;"ritis of the hands and my mother's knee. Total success!! Cunde lot, and totally natural. no longer miss at home. Thank you!!")</f>
        <v>SPECTACULAR There are ointments and oils that work very well, but if you want something that is immediate and fits-all muscle and joint aches this is your remedy-My back pain last a couple of days when it used to take one week. My father used to osteoarthritis of the hands and my mother's knee. Total success!! Cunde lot, and totally natural. no longer miss at home. Thank you!!</v>
      </c>
    </row>
    <row r="601">
      <c r="A601" s="1">
        <v>5.0</v>
      </c>
      <c r="B601" s="1" t="s">
        <v>597</v>
      </c>
      <c r="C601" t="str">
        <f>IFERROR(__xludf.DUMMYFUNCTION("GOOGLETRANSLATE(B601, ""es"", ""en"")"),"Very good value I recommend buying these headphones for those who do not want to pay a lot of money. The sound is very good and they adapt very well to the ears (are 3 sizes of ear adapter). You can answer calls to the smartphone by simply pressing a boto"&amp;" with headphones and coming to stay next to the neck. It has no volume control (the only downside) unless you download certain software from Sony in the Smartphone. It also comes with a handy cover for when you do not use and do not want the cable is woun"&amp;"d. I am very happy with the purchase.")</f>
        <v>Very good value I recommend buying these headphones for those who do not want to pay a lot of money. The sound is very good and they adapt very well to the ears (are 3 sizes of ear adapter). You can answer calls to the smartphone by simply pressing a boto with headphones and coming to stay next to the neck. It has no volume control (the only downside) unless you download certain software from Sony in the Smartphone. It also comes with a handy cover for when you do not use and do not want the cable is wound. I am very happy with the purchase.</v>
      </c>
    </row>
    <row r="602">
      <c r="A602" s="1">
        <v>5.0</v>
      </c>
      <c r="B602" s="1" t="s">
        <v>598</v>
      </c>
      <c r="C602" t="str">
        <f>IFERROR(__xludf.DUMMYFUNCTION("GOOGLETRANSLATE(B602, ""es"", ""en"")"),"Super nice woman shoe and practices are very comfortable and adapts well to the shape of the foot. They are really as I expected them to be.")</f>
        <v>Super nice woman shoe and practices are very comfortable and adapts well to the shape of the foot. They are really as I expected them to be.</v>
      </c>
    </row>
    <row r="603">
      <c r="A603" s="1">
        <v>5.0</v>
      </c>
      <c r="B603" s="1" t="s">
        <v>599</v>
      </c>
      <c r="C603" t="str">
        <f>IFERROR(__xludf.DUMMYFUNCTION("GOOGLETRANSLATE(B603, ""es"", ""en"")"),"Very good value I have used these tapes manufactured homes cat colony, street. These houses are placed outdoors and have to endure rain, wind, cold ice cream. For now the result is still great, enduring without problems.")</f>
        <v>Very good value I have used these tapes manufactured homes cat colony, street. These houses are placed outdoors and have to endure rain, wind, cold ice cream. For now the result is still great, enduring without problems.</v>
      </c>
    </row>
    <row r="604">
      <c r="A604" s="1">
        <v>5.0</v>
      </c>
      <c r="B604" s="1" t="s">
        <v>600</v>
      </c>
      <c r="C604" t="str">
        <f>IFERROR(__xludf.DUMMYFUNCTION("GOOGLETRANSLATE(B604, ""es"", ""en"")"),"BEST bought these memories RAM for ASUS sustitutirlas on my PC desktop i7 and 6GB gift of Kingston RAM. Change RAM is the easiest of the world. Search on Google. With these features, I find the best of the market right now. Excellent heat dissipation, spe"&amp;"ed in abundance and full compatibility. Consult your motherboard to see if it is compatible with its characteristics. My pc ripped fast, but is now a brown beast at all. The next will buy an SSD for the operating system. If it was fast before, now it a sh"&amp;"ot. Another recommendation is an SSD to your PC.")</f>
        <v>BEST bought these memories RAM for ASUS sustitutirlas on my PC desktop i7 and 6GB gift of Kingston RAM. Change RAM is the easiest of the world. Search on Google. With these features, I find the best of the market right now. Excellent heat dissipation, speed in abundance and full compatibility. Consult your motherboard to see if it is compatible with its characteristics. My pc ripped fast, but is now a brown beast at all. The next will buy an SSD for the operating system. If it was fast before, now it a shot. Another recommendation is an SSD to your PC.</v>
      </c>
    </row>
    <row r="605">
      <c r="A605" s="1">
        <v>5.0</v>
      </c>
      <c r="B605" s="1" t="s">
        <v>601</v>
      </c>
      <c r="C605" t="str">
        <f>IFERROR(__xludf.DUMMYFUNCTION("GOOGLETRANSLATE(B605, ""es"", ""en"")"),"I like it because I'm a fan The bottom is not well engaged and does not work in Mac but I love")</f>
        <v>I like it because I'm a fan The bottom is not well engaged and does not work in Mac but I love</v>
      </c>
    </row>
    <row r="606">
      <c r="A606" s="1">
        <v>5.0</v>
      </c>
      <c r="B606" s="1" t="s">
        <v>602</v>
      </c>
      <c r="C606" t="str">
        <f>IFERROR(__xludf.DUMMYFUNCTION("GOOGLETRANSLATE(B606, ""es"", ""en"")"),"Such right as described; the sphere and the hours are very clear. Perhaps as a single no objection to adjust the strap to the wrist size.")</f>
        <v>Such right as described; the sphere and the hours are very clear. Perhaps as a single no objection to adjust the strap to the wrist size.</v>
      </c>
    </row>
    <row r="607">
      <c r="A607" s="1">
        <v>5.0</v>
      </c>
      <c r="B607" s="1" t="s">
        <v>603</v>
      </c>
      <c r="C607" t="str">
        <f>IFERROR(__xludf.DUMMYFUNCTION("GOOGLETRANSLATE(B607, ""es"", ""en"")"),"Ana The watch came in perfect condition. Perfectly packaged by Amazon. It was for my boyfriend and size is ideal. It seems to have a better than other more traditional models casio finish. I recommend it enough for man.")</f>
        <v>Ana The watch came in perfect condition. Perfectly packaged by Amazon. It was for my boyfriend and size is ideal. It seems to have a better than other more traditional models casio finish. I recommend it enough for man.</v>
      </c>
    </row>
    <row r="608">
      <c r="A608" s="1">
        <v>5.0</v>
      </c>
      <c r="B608" s="1" t="s">
        <v>604</v>
      </c>
      <c r="C608" t="str">
        <f>IFERROR(__xludf.DUMMYFUNCTION("GOOGLETRANSLATE(B608, ""es"", ""en"")"),"Very smooth Size is very good, the softness that has made practically look like an ordinary blanket. He had electric blankets and were always stiff and hardwired, this stands out for its flexibility and softness, besides the heat it gives it is strong and"&amp;" comforting, which is what more can you ask for this product. For me it has served its purpose fully.")</f>
        <v>Very smooth Size is very good, the softness that has made practically look like an ordinary blanket. He had electric blankets and were always stiff and hardwired, this stands out for its flexibility and softness, besides the heat it gives it is strong and comforting, which is what more can you ask for this product. For me it has served its purpose fully.</v>
      </c>
    </row>
    <row r="609">
      <c r="A609" s="1">
        <v>5.0</v>
      </c>
      <c r="B609" s="1" t="s">
        <v>605</v>
      </c>
      <c r="C609" t="str">
        <f>IFERROR(__xludf.DUMMYFUNCTION("GOOGLETRANSLATE(B609, ""es"", ""en"")"),"Comfortable, small, well insulated and with a good audio for the price for which they are. A bargain. The box where are stored and used to load is fine, it's smaller than I expected (approx. About 6 cm in diameter). It has a button to open the taba and ac"&amp;"cess to headphones. The headphones are super easy to pair with your mobile. As for comfort are fine, they do not weigh almost nothing and are not very large (not protruding from the ear as others). To go running, go to the gym and some sports activity are"&amp;" entirely valid, because they do not move and the danger of falling is virtually nil. The audio quality is good for the price they have: low are well balanced midrange and high squeal in the ear no other. Isolation is also a plus point of these headphones"&amp;". On the other hand what I do not end, is that if you have some background noise being without playing anything. Another aspect is the issue of the ""touch control"" is not very intuitive, okay, but it's not intuitive.")</f>
        <v>Comfortable, small, well insulated and with a good audio for the price for which they are. A bargain. The box where are stored and used to load is fine, it's smaller than I expected (approx. About 6 cm in diameter). It has a button to open the taba and access to headphones. The headphones are super easy to pair with your mobile. As for comfort are fine, they do not weigh almost nothing and are not very large (not protruding from the ear as others). To go running, go to the gym and some sports activity are entirely valid, because they do not move and the danger of falling is virtually nil. The audio quality is good for the price they have: low are well balanced midrange and high squeal in the ear no other. Isolation is also a plus point of these headphones. On the other hand what I do not end, is that if you have some background noise being without playing anything. Another aspect is the issue of the "touch control" is not very intuitive, okay, but it's not intuitive.</v>
      </c>
    </row>
    <row r="610">
      <c r="A610" s="1">
        <v>5.0</v>
      </c>
      <c r="B610" s="1" t="s">
        <v>606</v>
      </c>
      <c r="C610" t="str">
        <f>IFERROR(__xludf.DUMMYFUNCTION("GOOGLETRANSLATE(B610, ""es"", ""en"")"),"As is the description Great, good packaging and in perfect condition a terrific gift.")</f>
        <v>As is the description Great, good packaging and in perfect condition a terrific gift.</v>
      </c>
    </row>
    <row r="611">
      <c r="A611" s="1">
        <v>5.0</v>
      </c>
      <c r="B611" s="1" t="s">
        <v>607</v>
      </c>
      <c r="C611" t="str">
        <f>IFERROR(__xludf.DUMMYFUNCTION("GOOGLETRANSLATE(B611, ""es"", ""en"")"),"Perfect Luck. You can not ask for better customer service. I slept right foot why I have wide, I contacted with Luck and sent as slippers. Thank Luck Spain.")</f>
        <v>Perfect Luck. You can not ask for better customer service. I slept right foot why I have wide, I contacted with Luck and sent as slippers. Thank Luck Spain.</v>
      </c>
    </row>
    <row r="612">
      <c r="A612" s="1">
        <v>5.0</v>
      </c>
      <c r="B612" s="1" t="s">
        <v>608</v>
      </c>
      <c r="C612" t="str">
        <f>IFERROR(__xludf.DUMMYFUNCTION("GOOGLETRANSLATE(B612, ""es"", ""en"")"),"I love Superga originals are. They have enchanted me. Wanting them had time, and the price is too good. His only problem is that dirty easily but the white be, is normal. Rest in quality, color, lavaods, comfort, all give 10/10. Super recommended.")</f>
        <v>I love Superga originals are. They have enchanted me. Wanting them had time, and the price is too good. His only problem is that dirty easily but the white be, is normal. Rest in quality, color, lavaods, comfort, all give 10/10. Super recommended.</v>
      </c>
    </row>
    <row r="613">
      <c r="A613" s="1">
        <v>5.0</v>
      </c>
      <c r="B613" s="1" t="s">
        <v>609</v>
      </c>
      <c r="C613" t="str">
        <f>IFERROR(__xludf.DUMMYFUNCTION("GOOGLETRANSLATE(B613, ""es"", ""en"")"),"wonderful design is a marvel of headphones spectacular design good size can put the case in his pocket without noticing I bought for my sister and I loved me too very cool sound very good quality and to make calls what speaks to you is perfectly comfortab"&amp;"le listening very fast and connect the ear fit well can exercise without fear of falling case comes with a screen indicating the battery charge level holds can not ask much more advisable 100%")</f>
        <v>wonderful design is a marvel of headphones spectacular design good size can put the case in his pocket without noticing I bought for my sister and I loved me too very cool sound very good quality and to make calls what speaks to you is perfectly comfortable listening very fast and connect the ear fit well can exercise without fear of falling case comes with a screen indicating the battery charge level holds can not ask much more advisable 100%</v>
      </c>
    </row>
    <row r="614">
      <c r="A614" s="1">
        <v>5.0</v>
      </c>
      <c r="B614" s="1" t="s">
        <v>610</v>
      </c>
      <c r="C614" t="str">
        <f>IFERROR(__xludf.DUMMYFUNCTION("GOOGLETRANSLATE(B614, ""es"", ""en"")"),"However, I do not use it I sent it to my daughter.")</f>
        <v>However, I do not use it I sent it to my daughter.</v>
      </c>
    </row>
    <row r="615">
      <c r="A615" s="1">
        <v>2.0</v>
      </c>
      <c r="B615" s="1" t="s">
        <v>611</v>
      </c>
      <c r="C615" t="str">
        <f>IFERROR(__xludf.DUMMYFUNCTION("GOOGLETRANSLATE(B615, ""es"", ""en"")"),"Ay Valle bought me not to wear a shirt and trousers but not fit me very small !!! It serves more for a carteira !!!")</f>
        <v>Ay Valle bought me not to wear a shirt and trousers but not fit me very small !!! It serves more for a carteira !!!</v>
      </c>
    </row>
    <row r="616">
      <c r="A616" s="1">
        <v>3.0</v>
      </c>
      <c r="B616" s="1" t="s">
        <v>612</v>
      </c>
      <c r="C616" t="str">
        <f>IFERROR(__xludf.DUMMYFUNCTION("GOOGLETRANSLATE(B616, ""es"", ""en"")"),"Too low they are very elastic, but I find them very low, would be better if they were to the ankles.")</f>
        <v>Too low they are very elastic, but I find them very low, would be better if they were to the ankles.</v>
      </c>
    </row>
    <row r="617">
      <c r="A617" s="1">
        <v>3.0</v>
      </c>
      <c r="B617" s="1" t="s">
        <v>613</v>
      </c>
      <c r="C617" t="str">
        <f>IFERROR(__xludf.DUMMYFUNCTION("GOOGLETRANSLATE(B617, ""es"", ""en"")"),"Acceptable expected it to be better quality but after two months of use, the peaks of the filer are very deteriorated. I think it's highly advisable that had a metal reinforcement in the corners. It goes so well because the rubber is very practical and ri"&amp;"ngs far have not had any problems")</f>
        <v>Acceptable expected it to be better quality but after two months of use, the peaks of the filer are very deteriorated. I think it's highly advisable that had a metal reinforcement in the corners. It goes so well because the rubber is very practical and rings far have not had any problems</v>
      </c>
    </row>
    <row r="618">
      <c r="A618" s="1">
        <v>1.0</v>
      </c>
      <c r="B618" s="1" t="s">
        <v>614</v>
      </c>
      <c r="C618" t="str">
        <f>IFERROR(__xludf.DUMMYFUNCTION("GOOGLETRANSLATE(B618, ""es"", ""en"")"),"Crappy quality I find amazing that after a month of use have made a hole in the toe of the shoe. Quality is nefarious. I am very unhappy with the purchase. I will try to contact the seller.")</f>
        <v>Crappy quality I find amazing that after a month of use have made a hole in the toe of the shoe. Quality is nefarious. I am very unhappy with the purchase. I will try to contact the seller.</v>
      </c>
    </row>
    <row r="619">
      <c r="A619" s="1">
        <v>1.0</v>
      </c>
      <c r="B619" s="1" t="s">
        <v>615</v>
      </c>
      <c r="C619" t="str">
        <f>IFERROR(__xludf.DUMMYFUNCTION("GOOGLETRANSLATE(B619, ""es"", ""en"")"),"They look like a fake Puma you can buy at any market. Are very bad quality, some fake Puma seem that you can buy in any market, the soles are a joke.")</f>
        <v>They look like a fake Puma you can buy at any market. Are very bad quality, some fake Puma seem that you can buy in any market, the soles are a joke.</v>
      </c>
    </row>
    <row r="620">
      <c r="A620" s="1">
        <v>1.0</v>
      </c>
      <c r="B620" s="1" t="s">
        <v>616</v>
      </c>
      <c r="C620" t="str">
        <f>IFERROR(__xludf.DUMMYFUNCTION("GOOGLETRANSLATE(B620, ""es"", ""en"")"),"Bad buy buy it for a gift and the truth that comes nicely packaged but not only worth the presentation. Although take many drops of oil does not smell anything so I do not recommend at all")</f>
        <v>Bad buy buy it for a gift and the truth that comes nicely packaged but not only worth the presentation. Although take many drops of oil does not smell anything so I do not recommend at all</v>
      </c>
    </row>
    <row r="621">
      <c r="A621" s="1">
        <v>4.0</v>
      </c>
      <c r="B621" s="1" t="s">
        <v>617</v>
      </c>
      <c r="C621" t="str">
        <f>IFERROR(__xludf.DUMMYFUNCTION("GOOGLETRANSLATE(B621, ""es"", ""en"")"),"Perfect to carry Good to incorporate USB keychain and carry around. You are now a bit outdated since it is not 3.0. but it does its job perfectly. recommendable")</f>
        <v>Perfect to carry Good to incorporate USB keychain and carry around. You are now a bit outdated since it is not 3.0. but it does its job perfectly. recommendable</v>
      </c>
    </row>
    <row r="622">
      <c r="A622" s="1">
        <v>4.0</v>
      </c>
      <c r="B622" s="1" t="s">
        <v>618</v>
      </c>
      <c r="C622" t="str">
        <f>IFERROR(__xludf.DUMMYFUNCTION("GOOGLETRANSLATE(B622, ""es"", ""en"")"),"a good buy a good buy. I was not wrong with the purchase, good product and delivery it is also very good")</f>
        <v>a good buy a good buy. I was not wrong with the purchase, good product and delivery it is also very good</v>
      </c>
    </row>
    <row r="623">
      <c r="A623" s="1">
        <v>4.0</v>
      </c>
      <c r="B623" s="1" t="s">
        <v>619</v>
      </c>
      <c r="C623" t="str">
        <f>IFERROR(__xludf.DUMMYFUNCTION("GOOGLETRANSLATE(B623, ""es"", ""en"")"),"money well")</f>
        <v>money well</v>
      </c>
    </row>
    <row r="624">
      <c r="A624" s="1">
        <v>4.0</v>
      </c>
      <c r="B624" s="1" t="s">
        <v>620</v>
      </c>
      <c r="C624" t="str">
        <f>IFERROR(__xludf.DUMMYFUNCTION("GOOGLETRANSLATE(B624, ""es"", ""en"")"),"as it comes on the photo Wonderful never disappoints")</f>
        <v>as it comes on the photo Wonderful never disappoints</v>
      </c>
    </row>
    <row r="625">
      <c r="A625" s="1">
        <v>5.0</v>
      </c>
      <c r="B625" s="1" t="s">
        <v>621</v>
      </c>
      <c r="C625" t="str">
        <f>IFERROR(__xludf.DUMMYFUNCTION("GOOGLETRANSLATE(B625, ""es"", ""en"")"),"Well, they are Converse. I never liked its design, materials, lack of resistance ... But my daughter wanted that it marks ""mola"" ;-D")</f>
        <v>Well, they are Converse. I never liked its design, materials, lack of resistance ... But my daughter wanted that it marks "mola" ;-D</v>
      </c>
    </row>
    <row r="626">
      <c r="A626" s="1">
        <v>5.0</v>
      </c>
      <c r="B626" s="1" t="s">
        <v>622</v>
      </c>
      <c r="C626" t="str">
        <f>IFERROR(__xludf.DUMMYFUNCTION("GOOGLETRANSLATE(B626, ""es"", ""en"")"),"'IT'S A corkboard !!!!! MAN LOVES ME, IN THE END IS ONLY A corkboard, BUT ....... IS WHAT HAD TO BE.")</f>
        <v>'IT'S A corkboard !!!!! MAN LOVES ME, IN THE END IS ONLY A corkboard, BUT ....... IS WHAT HAD TO BE.</v>
      </c>
    </row>
    <row r="627">
      <c r="A627" s="1">
        <v>5.0</v>
      </c>
      <c r="B627" s="1" t="s">
        <v>623</v>
      </c>
      <c r="C627" t="str">
        <f>IFERROR(__xludf.DUMMYFUNCTION("GOOGLETRANSLATE(B627, ""es"", ""en"")"),"Is very strong. It is very strong. The best I've tasted")</f>
        <v>Is very strong. It is very strong. The best I've tasted</v>
      </c>
    </row>
    <row r="628">
      <c r="A628" s="1">
        <v>5.0</v>
      </c>
      <c r="B628" s="1" t="s">
        <v>624</v>
      </c>
      <c r="C628" t="str">
        <f>IFERROR(__xludf.DUMMYFUNCTION("GOOGLETRANSLATE(B628, ""es"", ""en"")"),"Magnifica unquestionable quality presentation. Acompañdo even comes with a tool and instructions to shorten the chain of stainless steel. Highly recommended as a replacement for silicone straps.")</f>
        <v>Magnifica unquestionable quality presentation. Acompañdo even comes with a tool and instructions to shorten the chain of stainless steel. Highly recommended as a replacement for silicone straps.</v>
      </c>
    </row>
    <row r="629">
      <c r="A629" s="1">
        <v>5.0</v>
      </c>
      <c r="B629" s="1" t="s">
        <v>625</v>
      </c>
      <c r="C629" t="str">
        <f>IFERROR(__xludf.DUMMYFUNCTION("GOOGLETRANSLATE(B629, ""es"", ""en"")"),"Very slight very slight, beautiful and modern. They fit perfectly to the foot and seem to fly with them. The gray paste perfectly with all")</f>
        <v>Very slight very slight, beautiful and modern. They fit perfectly to the foot and seem to fly with them. The gray paste perfectly with all</v>
      </c>
    </row>
    <row r="630">
      <c r="A630" s="1">
        <v>5.0</v>
      </c>
      <c r="B630" s="1" t="s">
        <v>626</v>
      </c>
      <c r="C630" t="str">
        <f>IFERROR(__xludf.DUMMYFUNCTION("GOOGLETRANSLATE(B630, ""es"", ""en"")"),"Good cheap nice gift. Good quality and perfect for gift giving")</f>
        <v>Good cheap nice gift. Good quality and perfect for gift giving</v>
      </c>
    </row>
    <row r="631">
      <c r="A631" s="1">
        <v>5.0</v>
      </c>
      <c r="B631" s="1" t="s">
        <v>627</v>
      </c>
      <c r="C631" t="str">
        <f>IFERROR(__xludf.DUMMYFUNCTION("GOOGLETRANSLATE(B631, ""es"", ""en"")"),"All right. All right, as expected, I have liked it, very happy with purchase, thank you very much.")</f>
        <v>All right. All right, as expected, I have liked it, very happy with purchase, thank you very much.</v>
      </c>
    </row>
    <row r="632">
      <c r="A632" s="1">
        <v>5.0</v>
      </c>
      <c r="B632" s="1" t="s">
        <v>628</v>
      </c>
      <c r="C632" t="str">
        <f>IFERROR(__xludf.DUMMYFUNCTION("GOOGLETRANSLATE(B632, ""es"", ""en"")"),"Skechers shoes without laces. It was what I wanted and a good precio.Muchas thanks.")</f>
        <v>Skechers shoes without laces. It was what I wanted and a good precio.Muchas thanks.</v>
      </c>
    </row>
    <row r="633">
      <c r="A633" s="1">
        <v>5.0</v>
      </c>
      <c r="B633" s="1" t="s">
        <v>629</v>
      </c>
      <c r="C633" t="str">
        <f>IFERROR(__xludf.DUMMYFUNCTION("GOOGLETRANSLATE(B633, ""es"", ""en"")"),"Awesome for the price you can not ask for more. I was out of the box and hands be rotated to indicate the hour, then I just had to select the time zone to be correct. De aparciencia is fine, larger than I expected.")</f>
        <v>Awesome for the price you can not ask for more. I was out of the box and hands be rotated to indicate the hour, then I just had to select the time zone to be correct. De aparciencia is fine, larger than I expected.</v>
      </c>
    </row>
    <row r="634">
      <c r="A634" s="1">
        <v>5.0</v>
      </c>
      <c r="B634" s="1" t="s">
        <v>630</v>
      </c>
      <c r="C634" t="str">
        <f>IFERROR(__xludf.DUMMYFUNCTION("GOOGLETRANSLATE(B634, ""es"", ""en"")"),"Honesty and professionalism Is What It Seemed I was surprised that it took so little to arrive")</f>
        <v>Honesty and professionalism Is What It Seemed I was surprised that it took so little to arrive</v>
      </c>
    </row>
    <row r="635">
      <c r="A635" s="1">
        <v>5.0</v>
      </c>
      <c r="B635" s="1" t="s">
        <v>631</v>
      </c>
      <c r="C635" t="str">
        <f>IFERROR(__xludf.DUMMYFUNCTION("GOOGLETRANSLATE(B635, ""es"", ""en"")"),"original headphones arrived in time and working properly")</f>
        <v>original headphones arrived in time and working properly</v>
      </c>
    </row>
    <row r="636">
      <c r="A636" s="1">
        <v>5.0</v>
      </c>
      <c r="B636" s="1" t="s">
        <v>632</v>
      </c>
      <c r="C636" t="str">
        <f>IFERROR(__xludf.DUMMYFUNCTION("GOOGLETRANSLATE(B636, ""es"", ""en"")"),"Great great as always Casio's great size is perfect and it is nice to the old style with the usual quality was delighted with the purchase. The case is also stainless steel.")</f>
        <v>Great great as always Casio's great size is perfect and it is nice to the old style with the usual quality was delighted with the purchase. The case is also stainless steel.</v>
      </c>
    </row>
    <row r="637">
      <c r="A637" s="1">
        <v>5.0</v>
      </c>
      <c r="B637" s="1" t="s">
        <v>633</v>
      </c>
      <c r="C637" t="str">
        <f>IFERROR(__xludf.DUMMYFUNCTION("GOOGLETRANSLATE(B637, ""es"", ""en"")"),"Meets! The card is beautiful although any other card goes for the switch, the extra price is just for the design.")</f>
        <v>Meets! The card is beautiful although any other card goes for the switch, the extra price is just for the design.</v>
      </c>
    </row>
    <row r="638">
      <c r="A638" s="1">
        <v>5.0</v>
      </c>
      <c r="B638" s="1" t="s">
        <v>634</v>
      </c>
      <c r="C638" t="str">
        <f>IFERROR(__xludf.DUMMYFUNCTION("GOOGLETRANSLATE(B638, ""es"", ""en"")"),"Very good choice Very cheap and quite quality, I have given multiple uses: mobile, video camera, projector and computer, and in all cases the result is optimal.")</f>
        <v>Very good choice Very cheap and quite quality, I have given multiple uses: mobile, video camera, projector and computer, and in all cases the result is optimal.</v>
      </c>
    </row>
    <row r="639">
      <c r="A639" s="1">
        <v>5.0</v>
      </c>
      <c r="B639" s="1" t="s">
        <v>635</v>
      </c>
      <c r="C639" t="str">
        <f>IFERROR(__xludf.DUMMYFUNCTION("GOOGLETRANSLATE(B639, ""es"", ""en"")"),"The bracelet charm bracelet I received earlier than expected, so I was great to take it on vacation this summer. It fits perfectly because it is elastic, until one night I put on my arm. Very friendly seller resolving the doubts I had, sure to come back t"&amp;"o buy")</f>
        <v>The bracelet charm bracelet I received earlier than expected, so I was great to take it on vacation this summer. It fits perfectly because it is elastic, until one night I put on my arm. Very friendly seller resolving the doubts I had, sure to come back to buy</v>
      </c>
    </row>
    <row r="640">
      <c r="A640" s="1">
        <v>5.0</v>
      </c>
      <c r="B640" s="1" t="s">
        <v>636</v>
      </c>
      <c r="C640" t="str">
        <f>IFERROR(__xludf.DUMMYFUNCTION("GOOGLETRANSLATE(B640, ""es"", ""en"")"),"Surface Pro 4 fulfills its function in a Surface Pro 4. HDMI audio output will also get the wing TV (select it in Windows playback devices). Compact and versatile design with many outputs.")</f>
        <v>Surface Pro 4 fulfills its function in a Surface Pro 4. HDMI audio output will also get the wing TV (select it in Windows playback devices). Compact and versatile design with many outputs.</v>
      </c>
    </row>
    <row r="641">
      <c r="A641" s="1">
        <v>5.0</v>
      </c>
      <c r="B641" s="1" t="s">
        <v>637</v>
      </c>
      <c r="C641" t="str">
        <f>IFERROR(__xludf.DUMMYFUNCTION("GOOGLETRANSLATE(B641, ""es"", ""en"")"),"Her lower spectacular model and I jumped these are also a limited edition dark gray. The sound as always in Audio Technica more than acceptable. I use them for podcast recording and luxury van. Isolate enough of the noise and not too overwhelming, you can"&amp;" have several hours positions that do not get tired. These gray bring, unlike blacks, a rigid box for storage when not in use. Buy recommended.")</f>
        <v>Her lower spectacular model and I jumped these are also a limited edition dark gray. The sound as always in Audio Technica more than acceptable. I use them for podcast recording and luxury van. Isolate enough of the noise and not too overwhelming, you can have several hours positions that do not get tired. These gray bring, unlike blacks, a rigid box for storage when not in use. Buy recommended.</v>
      </c>
    </row>
    <row r="642">
      <c r="A642" s="1">
        <v>5.0</v>
      </c>
      <c r="B642" s="1" t="s">
        <v>638</v>
      </c>
      <c r="C642" t="str">
        <f>IFERROR(__xludf.DUMMYFUNCTION("GOOGLETRANSLATE(B642, ""es"", ""en"")"),"Okey entire house. do not break two days as others.")</f>
        <v>Okey entire house. do not break two days as others.</v>
      </c>
    </row>
    <row r="643">
      <c r="A643" s="1">
        <v>5.0</v>
      </c>
      <c r="B643" s="1" t="s">
        <v>639</v>
      </c>
      <c r="C643" t="str">
        <f>IFERROR(__xludf.DUMMYFUNCTION("GOOGLETRANSLATE(B643, ""es"", ""en"")"),"Product with good quality materials. Great sound quality. He is looking good headphones for running and the need is covered. Easy setup and intuitive operation. It is easy to change songs or pick up a call without mobile hand. Adjusting the headset to you"&amp;"r ear is perfect not move or go out while running and are very comfortable. The sound quality is very good, the bass is impressive. And finally the cargo box is wonderful, charging function while're not using them is perfect. Definitely recommended.")</f>
        <v>Product with good quality materials. Great sound quality. He is looking good headphones for running and the need is covered. Easy setup and intuitive operation. It is easy to change songs or pick up a call without mobile hand. Adjusting the headset to your ear is perfect not move or go out while running and are very comfortable. The sound quality is very good, the bass is impressive. And finally the cargo box is wonderful, charging function while're not using them is perfect. Definitely recommended.</v>
      </c>
    </row>
    <row r="644">
      <c r="A644" s="1">
        <v>2.0</v>
      </c>
      <c r="B644" s="1" t="s">
        <v>640</v>
      </c>
      <c r="C644" t="str">
        <f>IFERROR(__xludf.DUMMYFUNCTION("GOOGLETRANSLATE(B644, ""es"", ""en"")"),"It does not correspond to the images and ads. The product does not correspond to advertised nor with the photograph appearing with inner lining and another color on the strap. In reality not bring liner and the belt is white as the rest of the shoe.")</f>
        <v>It does not correspond to the images and ads. The product does not correspond to advertised nor with the photograph appearing with inner lining and another color on the strap. In reality not bring liner and the belt is white as the rest of the shoe.</v>
      </c>
    </row>
    <row r="645">
      <c r="A645" s="1">
        <v>3.0</v>
      </c>
      <c r="B645" s="1" t="s">
        <v>641</v>
      </c>
      <c r="C645" t="str">
        <f>IFERROR(__xludf.DUMMYFUNCTION("GOOGLETRANSLATE(B645, ""es"", ""en"")"),"Large with good sound are very large and after a few minutes the ear hurts. Sound very good")</f>
        <v>Large with good sound are very large and after a few minutes the ear hurts. Sound very good</v>
      </c>
    </row>
    <row r="646">
      <c r="A646" s="1">
        <v>3.0</v>
      </c>
      <c r="B646" s="1" t="s">
        <v>642</v>
      </c>
      <c r="C646" t="str">
        <f>IFERROR(__xludf.DUMMYFUNCTION("GOOGLETRANSLATE(B646, ""es"", ""en"")"),"Not bad but somewhat plasticky The color is brighter than the picture. That along with the touch it gives me the impression of a plastic strap (although I have not done the test of fire). For the price it is good and does the job for the day to day but I "&amp;"would not put for a more formal occasion.")</f>
        <v>Not bad but somewhat plasticky The color is brighter than the picture. That along with the touch it gives me the impression of a plastic strap (although I have not done the test of fire). For the price it is good and does the job for the day to day but I would not put for a more formal occasion.</v>
      </c>
    </row>
    <row r="647">
      <c r="A647" s="1">
        <v>3.0</v>
      </c>
      <c r="B647" s="1" t="s">
        <v>643</v>
      </c>
      <c r="C647" t="str">
        <f>IFERROR(__xludf.DUMMYFUNCTION("GOOGLETRANSLATE(B647, ""es"", ""en"")"),"Good quality at a great price. It works perfectly, the only downside is the quality that is very sensitive to shock and friction, but for that price is very good and also is very comfortable. quite pleased")</f>
        <v>Good quality at a great price. It works perfectly, the only downside is the quality that is very sensitive to shock and friction, but for that price is very good and also is very comfortable. quite pleased</v>
      </c>
    </row>
    <row r="648">
      <c r="A648" s="1">
        <v>1.0</v>
      </c>
      <c r="B648" s="1" t="s">
        <v>644</v>
      </c>
      <c r="C648" t="str">
        <f>IFERROR(__xludf.DUMMYFUNCTION("GOOGLETRANSLATE(B648, ""es"", ""en"")"),"What it smells .... Smells not look anything like what they advertise, or kills smell of cheap air freshener mosquitoes, compared with natural essence, just smelling chemical. Direct them away. The truth, according worth smell.")</f>
        <v>What it smells .... Smells not look anything like what they advertise, or kills smell of cheap air freshener mosquitoes, compared with natural essence, just smelling chemical. Direct them away. The truth, according worth smell.</v>
      </c>
    </row>
    <row r="649">
      <c r="A649" s="1">
        <v>1.0</v>
      </c>
      <c r="B649" s="1" t="s">
        <v>645</v>
      </c>
      <c r="C649" t="str">
        <f>IFERROR(__xludf.DUMMYFUNCTION("GOOGLETRANSLATE(B649, ""es"", ""en"")"),"They are thought NIKE NIKE Eram, photo deceived me.")</f>
        <v>They are thought NIKE NIKE Eram, photo deceived me.</v>
      </c>
    </row>
    <row r="650">
      <c r="A650" s="1">
        <v>4.0</v>
      </c>
      <c r="B650" s="1" t="s">
        <v>646</v>
      </c>
      <c r="C650" t="str">
        <f>IFERROR(__xludf.DUMMYFUNCTION("GOOGLETRANSLATE(B650, ""es"", ""en"")"),"It's a pretty useful slate blackboard useful for anywhere with a flat surface, like a closet, a door, a wall. I've been looking for a board to put on the wall and to make notes of the goals that I'm proposing and progress of different things. It is useful"&amp;" to have a slate of these different types if projects are done to check off the steps to be getting. It includes all three markers for this slate with their respective drafts, although I recommend a rag or anything else to clear since there remains too cl"&amp;"ean if these drafts are used. So far I have not had any problems.")</f>
        <v>It's a pretty useful slate blackboard useful for anywhere with a flat surface, like a closet, a door, a wall. I've been looking for a board to put on the wall and to make notes of the goals that I'm proposing and progress of different things. It is useful to have a slate of these different types if projects are done to check off the steps to be getting. It includes all three markers for this slate with their respective drafts, although I recommend a rag or anything else to clear since there remains too clean if these drafts are used. So far I have not had any problems.</v>
      </c>
    </row>
    <row r="651">
      <c r="A651" s="1">
        <v>4.0</v>
      </c>
      <c r="B651" s="1" t="s">
        <v>647</v>
      </c>
      <c r="C651" t="str">
        <f>IFERROR(__xludf.DUMMYFUNCTION("GOOGLETRANSLATE(B651, ""es"", ""en"")"),"They are cheap as the description but they should really put that prick. Are uncomfortable to sleep and fingers stuck in the put. Material good and good price.")</f>
        <v>They are cheap as the description but they should really put that prick. Are uncomfortable to sleep and fingers stuck in the put. Material good and good price.</v>
      </c>
    </row>
    <row r="652">
      <c r="A652" s="1">
        <v>4.0</v>
      </c>
      <c r="B652" s="1" t="s">
        <v>648</v>
      </c>
      <c r="C652" t="str">
        <f>IFERROR(__xludf.DUMMYFUNCTION("GOOGLETRANSLATE(B652, ""es"", ""en"")"),"Good Value for money")</f>
        <v>Good Value for money</v>
      </c>
    </row>
    <row r="653">
      <c r="A653" s="1">
        <v>4.0</v>
      </c>
      <c r="B653" s="1" t="s">
        <v>649</v>
      </c>
      <c r="C653" t="str">
        <f>IFERROR(__xludf.DUMMYFUNCTION("GOOGLETRANSLATE(B653, ""es"", ""en"")"),"Good quality is worth. Comfortable and pretty good money")</f>
        <v>Good quality is worth. Comfortable and pretty good money</v>
      </c>
    </row>
    <row r="654">
      <c r="A654" s="1">
        <v>4.0</v>
      </c>
      <c r="B654" s="1" t="s">
        <v>650</v>
      </c>
      <c r="C654" t="str">
        <f>IFERROR(__xludf.DUMMYFUNCTION("GOOGLETRANSLATE(B654, ""es"", ""en"")"),"God has sent me a dead cat! I have sent a dead cat !!! God!!! Jokes aside, not bad as wind filter but if it's windy or cat or dead child is worth.")</f>
        <v>God has sent me a dead cat! I have sent a dead cat !!! God!!! Jokes aside, not bad as wind filter but if it's windy or cat or dead child is worth.</v>
      </c>
    </row>
    <row r="655">
      <c r="A655" s="1">
        <v>5.0</v>
      </c>
      <c r="B655" s="1" t="s">
        <v>651</v>
      </c>
      <c r="C655" t="str">
        <f>IFERROR(__xludf.DUMMYFUNCTION("GOOGLETRANSLATE(B655, ""es"", ""en"")"),"Nostalgia I can tell wearing sneakers small, it brings back memories and I can joint with a variety clothes.")</f>
        <v>Nostalgia I can tell wearing sneakers small, it brings back memories and I can joint with a variety clothes.</v>
      </c>
    </row>
    <row r="656">
      <c r="A656" s="1">
        <v>5.0</v>
      </c>
      <c r="B656" s="1" t="s">
        <v>652</v>
      </c>
      <c r="C656" t="str">
        <f>IFERROR(__xludf.DUMMYFUNCTION("GOOGLETRANSLATE(B656, ""es"", ""en"")"),"Very good for mobile One of the trusted brands in the memories of all kinds, reliable and perfect. I recommend it to expand the capacity of any mobile. This carries an adapter to use it as a normal SD card.")</f>
        <v>Very good for mobile One of the trusted brands in the memories of all kinds, reliable and perfect. I recommend it to expand the capacity of any mobile. This carries an adapter to use it as a normal SD card.</v>
      </c>
    </row>
    <row r="657">
      <c r="A657" s="1">
        <v>5.0</v>
      </c>
      <c r="B657" s="1" t="s">
        <v>653</v>
      </c>
      <c r="C657" t="str">
        <f>IFERROR(__xludf.DUMMYFUNCTION("GOOGLETRANSLATE(B657, ""es"", ""en"")"),"Very good blender !!! Take 1 month with this blender, and now I can only say good things ... I am delighted !!! I use every day and doing great !!!! Totally recommended 100% .Without doubt would buy.")</f>
        <v>Very good blender !!! Take 1 month with this blender, and now I can only say good things ... I am delighted !!! I use every day and doing great !!!! Totally recommended 100% .Without doubt would buy.</v>
      </c>
    </row>
    <row r="658">
      <c r="A658" s="1">
        <v>5.0</v>
      </c>
      <c r="B658" s="1" t="s">
        <v>654</v>
      </c>
      <c r="C658" t="str">
        <f>IFERROR(__xludf.DUMMYFUNCTION("GOOGLETRANSLATE(B658, ""es"", ""en"")"),"This great Very Good")</f>
        <v>This great Very Good</v>
      </c>
    </row>
    <row r="659">
      <c r="A659" s="1">
        <v>5.0</v>
      </c>
      <c r="B659" s="1" t="s">
        <v>655</v>
      </c>
      <c r="C659" t="str">
        <f>IFERROR(__xludf.DUMMYFUNCTION("GOOGLETRANSLATE(B659, ""es"", ""en"")"),"Powerful recommended, the would buy")</f>
        <v>Powerful recommended, the would buy</v>
      </c>
    </row>
    <row r="660">
      <c r="A660" s="1">
        <v>5.0</v>
      </c>
      <c r="B660" s="1" t="s">
        <v>656</v>
      </c>
      <c r="C660" t="str">
        <f>IFERROR(__xludf.DUMMYFUNCTION("GOOGLETRANSLATE(B660, ""es"", ""en"")"),"Perfect I wanted an equal clock he had, funcinal, small and all components not needed. Very good for me")</f>
        <v>Perfect I wanted an equal clock he had, funcinal, small and all components not needed. Very good for me</v>
      </c>
    </row>
    <row r="661">
      <c r="A661" s="1">
        <v>5.0</v>
      </c>
      <c r="B661" s="1" t="s">
        <v>657</v>
      </c>
      <c r="C661" t="str">
        <f>IFERROR(__xludf.DUMMYFUNCTION("GOOGLETRANSLATE(B661, ""es"", ""en"")"),"I love me like one momtom the correct shipping and price more")</f>
        <v>I love me like one momtom the correct shipping and price more</v>
      </c>
    </row>
    <row r="662">
      <c r="A662" s="1">
        <v>5.0</v>
      </c>
      <c r="B662" s="1" t="s">
        <v>658</v>
      </c>
      <c r="C662" t="str">
        <f>IFERROR(__xludf.DUMMYFUNCTION("GOOGLETRANSLATE(B662, ""es"", ""en"")"),"Like the photo does not use batteries, go with the movement. It's very cool and so far has not changed color")</f>
        <v>Like the photo does not use batteries, go with the movement. It's very cool and so far has not changed color</v>
      </c>
    </row>
    <row r="663">
      <c r="A663" s="1">
        <v>5.0</v>
      </c>
      <c r="B663" s="1" t="s">
        <v>659</v>
      </c>
      <c r="C663" t="str">
        <f>IFERROR(__xludf.DUMMYFUNCTION("GOOGLETRANSLATE(B663, ""es"", ""en"")"),"Good good quality as always with this brand")</f>
        <v>Good good quality as always with this brand</v>
      </c>
    </row>
    <row r="664">
      <c r="A664" s="1">
        <v>5.0</v>
      </c>
      <c r="B664" s="1" t="s">
        <v>660</v>
      </c>
      <c r="C664" t="str">
        <f>IFERROR(__xludf.DUMMYFUNCTION("GOOGLETRANSLATE(B664, ""es"", ""en"")"),"Good buy I was impressed how well it works and how firm it is, I stuck to concrete walls both indoors and outdoors would definitely buy it again")</f>
        <v>Good buy I was impressed how well it works and how firm it is, I stuck to concrete walls both indoors and outdoors would definitely buy it again</v>
      </c>
    </row>
    <row r="665">
      <c r="A665" s="1">
        <v>5.0</v>
      </c>
      <c r="B665" s="1" t="s">
        <v>661</v>
      </c>
      <c r="C665" t="str">
        <f>IFERROR(__xludf.DUMMYFUNCTION("GOOGLETRANSLATE(B665, ""es"", ""en"")"),"I love it, I love it. As it is shown in the photo. Feels great. The perfect size for me. Strong fabric. I will repeat this brand definitely. There is a good quality price relation.")</f>
        <v>I love it, I love it. As it is shown in the photo. Feels great. The perfect size for me. Strong fabric. I will repeat this brand definitely. There is a good quality price relation.</v>
      </c>
    </row>
    <row r="666">
      <c r="A666" s="1">
        <v>5.0</v>
      </c>
      <c r="B666" s="1" t="s">
        <v>662</v>
      </c>
      <c r="C666" t="str">
        <f>IFERROR(__xludf.DUMMYFUNCTION("GOOGLETRANSLATE(B666, ""es"", ""en"")"),"Useful and economical velcro flanges are the best way to organize and collect cabling. A carrying different sizes can organize the job in a more efficient for both the employee and the technician. They are easy to open and close, to add or remove cables c"&amp;"losing. Cable ties are often single use and pollute more.")</f>
        <v>Useful and economical velcro flanges are the best way to organize and collect cabling. A carrying different sizes can organize the job in a more efficient for both the employee and the technician. They are easy to open and close, to add or remove cables closing. Cable ties are often single use and pollute more.</v>
      </c>
    </row>
    <row r="667">
      <c r="A667" s="1">
        <v>5.0</v>
      </c>
      <c r="B667" s="1" t="s">
        <v>663</v>
      </c>
      <c r="C667" t="str">
        <f>IFERROR(__xludf.DUMMYFUNCTION("GOOGLETRANSLATE(B667, ""es"", ""en"")"),"Perfect are the most comfortable shoes I've ever had. In addition, they weigh nothing and are very calentitas. Very satisfied with the purchase.")</f>
        <v>Perfect are the most comfortable shoes I've ever had. In addition, they weigh nothing and are very calentitas. Very satisfied with the purchase.</v>
      </c>
    </row>
    <row r="668">
      <c r="A668" s="1">
        <v>5.0</v>
      </c>
      <c r="B668" s="1" t="s">
        <v>664</v>
      </c>
      <c r="C668" t="str">
        <f>IFERROR(__xludf.DUMMYFUNCTION("GOOGLETRANSLATE(B668, ""es"", ""en"")"),"This is perfect and as indicated, are very good and are comfortable")</f>
        <v>This is perfect and as indicated, are very good and are comfortable</v>
      </c>
    </row>
    <row r="669">
      <c r="A669" s="1">
        <v>5.0</v>
      </c>
      <c r="B669" s="1" t="s">
        <v>665</v>
      </c>
      <c r="C669" t="str">
        <f>IFERROR(__xludf.DUMMYFUNCTION("GOOGLETRANSLATE(B669, ""es"", ""en"")"),"Teresa are the best tennis shoes I bought, comfortable and great. At first pedi average number more than my size for the comments but I had to ask my real number.")</f>
        <v>Teresa are the best tennis shoes I bought, comfortable and great. At first pedi average number more than my size for the comments but I had to ask my real number.</v>
      </c>
    </row>
    <row r="670">
      <c r="A670" s="1">
        <v>5.0</v>
      </c>
      <c r="B670" s="1" t="s">
        <v>666</v>
      </c>
      <c r="C670" t="str">
        <f>IFERROR(__xludf.DUMMYFUNCTION("GOOGLETRANSLATE(B670, ""es"", ""en"")"),"Highly recommended item perfect. Great sound quality at a very reasonable price. They are also quite comfortable and looking tough. Diadem squeezes a bit if you have more hours stalls, is the only thing. Delivery, ultrafast. All highly recommended.")</f>
        <v>Highly recommended item perfect. Great sound quality at a very reasonable price. They are also quite comfortable and looking tough. Diadem squeezes a bit if you have more hours stalls, is the only thing. Delivery, ultrafast. All highly recommended.</v>
      </c>
    </row>
    <row r="671">
      <c r="A671" s="1">
        <v>5.0</v>
      </c>
      <c r="B671" s="1" t="s">
        <v>667</v>
      </c>
      <c r="C671" t="str">
        <f>IFERROR(__xludf.DUMMYFUNCTION("GOOGLETRANSLATE(B671, ""es"", ""en"")"),"Marina am super feliz😍 an incredible shoe have the wide instep and are ideal apretan me not on any side super comfortable, great design and grip! They are the second LaSportiva I have and the best shoe I've worn in my life")</f>
        <v>Marina am super feliz😍 an incredible shoe have the wide instep and are ideal apretan me not on any side super comfortable, great design and grip! They are the second LaSportiva I have and the best shoe I've worn in my life</v>
      </c>
    </row>
    <row r="672">
      <c r="A672" s="1">
        <v>5.0</v>
      </c>
      <c r="B672" s="1" t="s">
        <v>668</v>
      </c>
      <c r="C672" t="str">
        <f>IFERROR(__xludf.DUMMYFUNCTION("GOOGLETRANSLATE(B672, ""es"", ""en"")"),"I bought is very nice jacket in black Talla E 38 (European) as it is that I use, however I have some long sleeves and wide. So if you want to stay or just buy one size smaller Fitted; and if you do not mind buying it remains well off the size you normally"&amp;" wear. It is cotton, very comfortable.")</f>
        <v>I bought is very nice jacket in black Talla E 38 (European) as it is that I use, however I have some long sleeves and wide. So if you want to stay or just buy one size smaller Fitted; and if you do not mind buying it remains well off the size you normally wear. It is cotton, very comfortable.</v>
      </c>
    </row>
    <row r="673">
      <c r="A673" s="1">
        <v>5.0</v>
      </c>
      <c r="B673" s="1" t="s">
        <v>669</v>
      </c>
      <c r="C673" t="str">
        <f>IFERROR(__xludf.DUMMYFUNCTION("GOOGLETRANSLATE(B673, ""es"", ""en"")"),"Serious company, product highly recommended and fast money on shipping recommend it 100%. Serious company, product highly recommended and fast money on shipping recommend it 100%.")</f>
        <v>Serious company, product highly recommended and fast money on shipping recommend it 100%. Serious company, product highly recommended and fast money on shipping recommend it 100%.</v>
      </c>
    </row>
    <row r="674">
      <c r="A674" s="1">
        <v>2.0</v>
      </c>
      <c r="B674" s="1" t="s">
        <v>670</v>
      </c>
      <c r="C674" t="str">
        <f>IFERROR(__xludf.DUMMYFUNCTION("GOOGLETRANSLATE(B674, ""es"", ""en"")"),"Carmen Not worth absolutely nothing (better a toothbrush hard). According to advertising, it removes the hard part. Is not true. Never more.")</f>
        <v>Carmen Not worth absolutely nothing (better a toothbrush hard). According to advertising, it removes the hard part. Is not true. Never more.</v>
      </c>
    </row>
    <row r="675">
      <c r="A675" s="1">
        <v>3.0</v>
      </c>
      <c r="B675" s="1" t="s">
        <v>671</v>
      </c>
      <c r="C675" t="str">
        <f>IFERROR(__xludf.DUMMYFUNCTION("GOOGLETRANSLATE(B675, ""es"", ""en"")"),"Worthless is not very noticeable smell of oil so as aroma diffuser is not very efficient and as humudificador excaso stays. I do not recommend purchase")</f>
        <v>Worthless is not very noticeable smell of oil so as aroma diffuser is not very efficient and as humudificador excaso stays. I do not recommend purchase</v>
      </c>
    </row>
    <row r="676">
      <c r="A676" s="1">
        <v>1.0</v>
      </c>
      <c r="B676" s="1" t="s">
        <v>672</v>
      </c>
      <c r="C676" t="str">
        <f>IFERROR(__xludf.DUMMYFUNCTION("GOOGLETRANSLATE(B676, ""es"", ""en"")"),"breaks easily buy it and put it twice and I have already released the links and can not reconnect ... bone bracelet that served me ... and not for what it could and hold better .. .")</f>
        <v>breaks easily buy it and put it twice and I have already released the links and can not reconnect ... bone bracelet that served me ... and not for what it could and hold better .. .</v>
      </c>
    </row>
    <row r="677">
      <c r="A677" s="1">
        <v>1.0</v>
      </c>
      <c r="B677" s="1" t="s">
        <v>673</v>
      </c>
      <c r="C677" t="str">
        <f>IFERROR(__xludf.DUMMYFUNCTION("GOOGLETRANSLATE(B677, ""es"", ""en"")"),"The product was too small as three sizes less than what is contained in the etiqueta.no could not enter standing there")</f>
        <v>The product was too small as three sizes less than what is contained in the etiqueta.no could not enter standing there</v>
      </c>
    </row>
    <row r="678">
      <c r="A678" s="1">
        <v>4.0</v>
      </c>
      <c r="B678" s="1" t="s">
        <v>674</v>
      </c>
      <c r="C678" t="str">
        <f>IFERROR(__xludf.DUMMYFUNCTION("GOOGLETRANSLATE(B678, ""es"", ""en"")"),"New Life for the PC is my first experience with SSDs and the truth is that my PC has improved significantly in 2011. I have it installed for S.O. next to a HDD and especially the beginning is brilliant and overall performance improved as well. I had to up"&amp;"date some things, such as SATA connections, etc. Because 4 * ?, because SRS. SANDISK your application has been updated and now no longer detects the SSD. And neither you can go to a previous version, very bad.")</f>
        <v>New Life for the PC is my first experience with SSDs and the truth is that my PC has improved significantly in 2011. I have it installed for S.O. next to a HDD and especially the beginning is brilliant and overall performance improved as well. I had to update some things, such as SATA connections, etc. Because 4 * ?, because SRS. SANDISK your application has been updated and now no longer detects the SSD. And neither you can go to a previous version, very bad.</v>
      </c>
    </row>
    <row r="679">
      <c r="A679" s="1">
        <v>4.0</v>
      </c>
      <c r="B679" s="1" t="s">
        <v>675</v>
      </c>
      <c r="C679" t="str">
        <f>IFERROR(__xludf.DUMMYFUNCTION("GOOGLETRANSLATE(B679, ""es"", ""en"")"),"All right well, although shoelaces already broken :(")</f>
        <v>All right well, although shoelaces already broken :(</v>
      </c>
    </row>
    <row r="680">
      <c r="A680" s="1">
        <v>4.0</v>
      </c>
      <c r="B680" s="1" t="s">
        <v>676</v>
      </c>
      <c r="C680" t="str">
        <f>IFERROR(__xludf.DUMMYFUNCTION("GOOGLETRANSLATE(B680, ""es"", ""en"")"),"Puts gray looks green but almost green ... it is nice but the failure of the color, you have to be more accurate")</f>
        <v>Puts gray looks green but almost green ... it is nice but the failure of the color, you have to be more accurate</v>
      </c>
    </row>
    <row r="681">
      <c r="A681" s="1">
        <v>4.0</v>
      </c>
      <c r="B681" s="1" t="s">
        <v>677</v>
      </c>
      <c r="C681" t="str">
        <f>IFERROR(__xludf.DUMMYFUNCTION("GOOGLETRANSLATE(B681, ""es"", ""en"")"),"Tools that facilitate work practices and useful tools that allow work with professional quality at a fair price")</f>
        <v>Tools that facilitate work practices and useful tools that allow work with professional quality at a fair price</v>
      </c>
    </row>
    <row r="682">
      <c r="A682" s="1">
        <v>4.0</v>
      </c>
      <c r="B682" s="1" t="s">
        <v>678</v>
      </c>
      <c r="C682" t="str">
        <f>IFERROR(__xludf.DUMMYFUNCTION("GOOGLETRANSLATE(B682, ""es"", ""en"")"),"It was great when I bought it. the main reason I bought it because it was cheaper, now I'm back to look at and a bit more expensive .... rare change the truth. The product itself is good, but I analyzed because I bought it here before.")</f>
        <v>It was great when I bought it. the main reason I bought it because it was cheaper, now I'm back to look at and a bit more expensive .... rare change the truth. The product itself is good, but I analyzed because I bought it here before.</v>
      </c>
    </row>
    <row r="683">
      <c r="A683" s="1">
        <v>5.0</v>
      </c>
      <c r="B683" s="1" t="s">
        <v>679</v>
      </c>
      <c r="C683" t="str">
        <f>IFERROR(__xludf.DUMMYFUNCTION("GOOGLETRANSLATE(B683, ""es"", ""en"")"),"Good watch good watch, was what he described, good quality and very durable, lighting is amazing, looks great at night.")</f>
        <v>Good watch good watch, was what he described, good quality and very durable, lighting is amazing, looks great at night.</v>
      </c>
    </row>
    <row r="684">
      <c r="A684" s="1">
        <v>5.0</v>
      </c>
      <c r="B684" s="1" t="s">
        <v>680</v>
      </c>
      <c r="C684" t="str">
        <f>IFERROR(__xludf.DUMMYFUNCTION("GOOGLETRANSLATE(B684, ""es"", ""en"")"),"Good good")</f>
        <v>Good good</v>
      </c>
    </row>
    <row r="685">
      <c r="A685" s="1">
        <v>5.0</v>
      </c>
      <c r="B685" s="1" t="s">
        <v>681</v>
      </c>
      <c r="C685" t="str">
        <f>IFERROR(__xludf.DUMMYFUNCTION("GOOGLETRANSLATE(B685, ""es"", ""en"")"),"It's perfect I decided, for the smallest model and the truth is going great, good quality and very wide")</f>
        <v>It's perfect I decided, for the smallest model and the truth is going great, good quality and very wide</v>
      </c>
    </row>
    <row r="686">
      <c r="A686" s="1">
        <v>5.0</v>
      </c>
      <c r="B686" s="1" t="s">
        <v>682</v>
      </c>
      <c r="C686" t="str">
        <f>IFERROR(__xludf.DUMMYFUNCTION("GOOGLETRANSLATE(B686, ""es"", ""en"")"),"Everything ok Meets described, compact and comfortable")</f>
        <v>Everything ok Meets described, compact and comfortable</v>
      </c>
    </row>
    <row r="687">
      <c r="A687" s="1">
        <v>5.0</v>
      </c>
      <c r="B687" s="1" t="s">
        <v>683</v>
      </c>
      <c r="C687" t="str">
        <f>IFERROR(__xludf.DUMMYFUNCTION("GOOGLETRANSLATE(B687, ""es"", ""en"")"),"Le perfect number is perfect and are very nice, and had maroon so here was no problem with the numbering.")</f>
        <v>Le perfect number is perfect and are very nice, and had maroon so here was no problem with the numbering.</v>
      </c>
    </row>
    <row r="688">
      <c r="A688" s="1">
        <v>5.0</v>
      </c>
      <c r="B688" s="1" t="s">
        <v>684</v>
      </c>
      <c r="C688" t="str">
        <f>IFERROR(__xludf.DUMMYFUNCTION("GOOGLETRANSLATE(B688, ""es"", ""en"")"),"It takes me a good all day, but is not the usual direction, otherwise everything muybien")</f>
        <v>It takes me a good all day, but is not the usual direction, otherwise everything muybien</v>
      </c>
    </row>
    <row r="689">
      <c r="A689" s="1">
        <v>5.0</v>
      </c>
      <c r="B689" s="1" t="s">
        <v>685</v>
      </c>
      <c r="C689" t="str">
        <f>IFERROR(__xludf.DUMMYFUNCTION("GOOGLETRANSLATE(B689, ""es"", ""en"")"),"Tenenemos perfect home several bottles of Dr. Browns and smoothly. The cryo catches it well, cleaned with faciliad, in short, recommended product.")</f>
        <v>Tenenemos perfect home several bottles of Dr. Browns and smoothly. The cryo catches it well, cleaned with faciliad, in short, recommended product.</v>
      </c>
    </row>
    <row r="690">
      <c r="A690" s="1">
        <v>5.0</v>
      </c>
      <c r="B690" s="1" t="s">
        <v>686</v>
      </c>
      <c r="C690" t="str">
        <f>IFERROR(__xludf.DUMMYFUNCTION("GOOGLETRANSLATE(B690, ""es"", ""en"")"),"Comfortable Comfortable and good to work")</f>
        <v>Comfortable Comfortable and good to work</v>
      </c>
    </row>
    <row r="691">
      <c r="A691" s="1">
        <v>5.0</v>
      </c>
      <c r="B691" s="1" t="s">
        <v>687</v>
      </c>
      <c r="C691" t="str">
        <f>IFERROR(__xludf.DUMMYFUNCTION("GOOGLETRANSLATE(B691, ""es"", ""en"")"),"Perfect for now is perfect, grinds very well and leaves everything super soft, creams, purees, gazpacho, etc. 100% Recommended")</f>
        <v>Perfect for now is perfect, grinds very well and leaves everything super soft, creams, purees, gazpacho, etc. 100% Recommended</v>
      </c>
    </row>
    <row r="692">
      <c r="A692" s="1">
        <v>5.0</v>
      </c>
      <c r="B692" s="1" t="s">
        <v>688</v>
      </c>
      <c r="C692" t="str">
        <f>IFERROR(__xludf.DUMMYFUNCTION("GOOGLETRANSLATE(B692, ""es"", ""en"")"),"It has come highly recommended fast and in perfect condition. I am very satisfied with this purchase. The product looks good quality. You may buy a cable more.")</f>
        <v>It has come highly recommended fast and in perfect condition. I am very satisfied with this purchase. The product looks good quality. You may buy a cable more.</v>
      </c>
    </row>
    <row r="693">
      <c r="A693" s="1">
        <v>5.0</v>
      </c>
      <c r="B693" s="1" t="s">
        <v>689</v>
      </c>
      <c r="C693" t="str">
        <f>IFERROR(__xludf.DUMMYFUNCTION("GOOGLETRANSLATE(B693, ""es"", ""en"")"),"Exceeded expectations Great! It is more beautiful and elegant than the photos! Definitely would buy!")</f>
        <v>Exceeded expectations Great! It is more beautiful and elegant than the photos! Definitely would buy!</v>
      </c>
    </row>
    <row r="694">
      <c r="A694" s="1">
        <v>5.0</v>
      </c>
      <c r="B694" s="1" t="s">
        <v>690</v>
      </c>
      <c r="C694" t="str">
        <f>IFERROR(__xludf.DUMMYFUNCTION("GOOGLETRANSLATE(B694, ""es"", ""en"")"),"Super quality I bought this brand for another of taurus not last me or 8 months (and with little use). very solid and noticeable results at great.")</f>
        <v>Super quality I bought this brand for another of taurus not last me or 8 months (and with little use). very solid and noticeable results at great.</v>
      </c>
    </row>
    <row r="695">
      <c r="A695" s="1">
        <v>5.0</v>
      </c>
      <c r="B695" s="1" t="s">
        <v>691</v>
      </c>
      <c r="C695" t="str">
        <f>IFERROR(__xludf.DUMMYFUNCTION("GOOGLETRANSLATE(B695, ""es"", ""en"")"),"Perfect complies perfectly with the established, the Casio lifelong colors but with very refreshed and sport style.")</f>
        <v>Perfect complies perfectly with the established, the Casio lifelong colors but with very refreshed and sport style.</v>
      </c>
    </row>
    <row r="696">
      <c r="A696" s="1">
        <v>5.0</v>
      </c>
      <c r="B696" s="1" t="s">
        <v>692</v>
      </c>
      <c r="C696" t="str">
        <f>IFERROR(__xludf.DUMMYFUNCTION("GOOGLETRANSLATE(B696, ""es"", ""en"")"),"BEST'll just say two things .... are fantastic .... comfortable, beautiful, great quality ... I work as a waitress and take them every day ... pq not go flat shoes .... the I love ... the only thing that takes about a month ... I recommend full .... every"&amp;"one likes to ask me on the street")</f>
        <v>BEST'll just say two things .... are fantastic .... comfortable, beautiful, great quality ... I work as a waitress and take them every day ... pq not go flat shoes .... the I love ... the only thing that takes about a month ... I recommend full .... everyone likes to ask me on the street</v>
      </c>
    </row>
    <row r="697">
      <c r="A697" s="1">
        <v>5.0</v>
      </c>
      <c r="B697" s="1" t="s">
        <v>693</v>
      </c>
      <c r="C697" t="str">
        <f>IFERROR(__xludf.DUMMYFUNCTION("GOOGLETRANSLATE(B697, ""es"", ""en"")"),"Isolated pretty good, good bass reproduction. I bought a micro of the same make and I was pleasantly surprised to find that this company also has good headphones in value by about 50 € you can access these headphones that isolate fairly sound and have goo"&amp;"d response in bass reproduction, what makes them an essential tool in any recording studio.")</f>
        <v>Isolated pretty good, good bass reproduction. I bought a micro of the same make and I was pleasantly surprised to find that this company also has good headphones in value by about 50 € you can access these headphones that isolate fairly sound and have good response in bass reproduction, what makes them an essential tool in any recording studio.</v>
      </c>
    </row>
    <row r="698">
      <c r="A698" s="1">
        <v>5.0</v>
      </c>
      <c r="B698" s="1" t="s">
        <v>694</v>
      </c>
      <c r="C698" t="str">
        <f>IFERROR(__xludf.DUMMYFUNCTION("GOOGLETRANSLATE(B698, ""es"", ""en"")"),"Comodo is comfortable and sounds good")</f>
        <v>Comodo is comfortable and sounds good</v>
      </c>
    </row>
    <row r="699">
      <c r="A699" s="1">
        <v>5.0</v>
      </c>
      <c r="B699" s="1" t="s">
        <v>695</v>
      </c>
      <c r="C699" t="str">
        <f>IFERROR(__xludf.DUMMYFUNCTION("GOOGLETRANSLATE(B699, ""es"", ""en"")"),"Hard all ok")</f>
        <v>Hard all ok</v>
      </c>
    </row>
    <row r="700">
      <c r="A700" s="1">
        <v>5.0</v>
      </c>
      <c r="B700" s="1" t="s">
        <v>696</v>
      </c>
      <c r="C700" t="str">
        <f>IFERROR(__xludf.DUMMYFUNCTION("GOOGLETRANSLATE(B700, ""es"", ""en"")"),"Very good very good")</f>
        <v>Very good very good</v>
      </c>
    </row>
    <row r="701">
      <c r="A701" s="1">
        <v>2.0</v>
      </c>
      <c r="B701" s="1" t="s">
        <v>697</v>
      </c>
      <c r="C701" t="str">
        <f>IFERROR(__xludf.DUMMYFUNCTION("GOOGLETRANSLATE(B701, ""es"", ""en"")"),"Lucy The truth is that I expected bigger for the positive feedback, giving to understand that es.grande and fits many things, if q possible, but it is to cram as much of a tablet.folios not fit. I mean that's like a normal purse or shoulder bag.")</f>
        <v>Lucy The truth is that I expected bigger for the positive feedback, giving to understand that es.grande and fits many things, if q possible, but it is to cram as much of a tablet.folios not fit. I mean that's like a normal purse or shoulder bag.</v>
      </c>
    </row>
    <row r="702">
      <c r="A702" s="1">
        <v>3.0</v>
      </c>
      <c r="B702" s="1" t="s">
        <v>698</v>
      </c>
      <c r="C702" t="str">
        <f>IFERROR(__xludf.DUMMYFUNCTION("GOOGLETRANSLATE(B702, ""es"", ""en"")"),"Okay, but there are better and more cheap needed a mop more advanced than normal ... and I was torn between the normalitas unbranded and this. I opted for the Vileda brand, although more expensive and truth that disappointed me a little. It goes well, doe"&amp;"s what it promises, worse has nothing to envy to one of the unbranded they are by Amazon. But let that not desrecomiendo, which is good, but me personally, I was slightly disappointed. Remember #HazleCasoAlFriki and come out winning.")</f>
        <v>Okay, but there are better and more cheap needed a mop more advanced than normal ... and I was torn between the normalitas unbranded and this. I opted for the Vileda brand, although more expensive and truth that disappointed me a little. It goes well, does what it promises, worse has nothing to envy to one of the unbranded they are by Amazon. But let that not desrecomiendo, which is good, but me personally, I was slightly disappointed. Remember #HazleCasoAlFriki and come out winning.</v>
      </c>
    </row>
    <row r="703">
      <c r="A703" s="1">
        <v>3.0</v>
      </c>
      <c r="B703" s="1" t="s">
        <v>699</v>
      </c>
      <c r="C703" t="str">
        <f>IFERROR(__xludf.DUMMYFUNCTION("GOOGLETRANSLATE(B703, ""es"", ""en"")"),"Good comfortable")</f>
        <v>Good comfortable</v>
      </c>
    </row>
    <row r="704">
      <c r="A704" s="1">
        <v>1.0</v>
      </c>
      <c r="B704" s="1" t="s">
        <v>700</v>
      </c>
      <c r="C704" t="str">
        <f>IFERROR(__xludf.DUMMYFUNCTION("GOOGLETRANSLATE(B704, ""es"", ""en"")"),"photo deceives the slope weighs so much that it never put into place but falls. Not to buy it because it only applies to throw")</f>
        <v>photo deceives the slope weighs so much that it never put into place but falls. Not to buy it because it only applies to throw</v>
      </c>
    </row>
    <row r="705">
      <c r="A705" s="1">
        <v>1.0</v>
      </c>
      <c r="B705" s="1" t="s">
        <v>701</v>
      </c>
      <c r="C705" t="str">
        <f>IFERROR(__xludf.DUMMYFUNCTION("GOOGLETRANSLATE(B705, ""es"", ""en"")"),"Article faulty and noisy defective, is too noisy to have it in any room, it's like having a refrigerator over the counter, indicating that light has reached the correct temperature never changed to green.")</f>
        <v>Article faulty and noisy defective, is too noisy to have it in any room, it's like having a refrigerator over the counter, indicating that light has reached the correct temperature never changed to green.</v>
      </c>
    </row>
    <row r="706">
      <c r="A706" s="1">
        <v>4.0</v>
      </c>
      <c r="B706" s="1" t="s">
        <v>702</v>
      </c>
      <c r="C706" t="str">
        <f>IFERROR(__xludf.DUMMYFUNCTION("GOOGLETRANSLATE(B706, ""es"", ""en"")"),"Value for money perfect I loved the material and quality. It is perfectly adjusted loosely and keep effect 'hanging'. I use a 40/42 and this size is great")</f>
        <v>Value for money perfect I loved the material and quality. It is perfectly adjusted loosely and keep effect 'hanging'. I use a 40/42 and this size is great</v>
      </c>
    </row>
    <row r="707">
      <c r="A707" s="1">
        <v>4.0</v>
      </c>
      <c r="B707" s="1" t="s">
        <v>703</v>
      </c>
      <c r="C707" t="str">
        <f>IFERROR(__xludf.DUMMYFUNCTION("GOOGLETRANSLATE(B707, ""es"", ""en"")"),"Discreet and elegant well finished, something thinner than expected but still elegant. A successful gift. Design very original.")</f>
        <v>Discreet and elegant well finished, something thinner than expected but still elegant. A successful gift. Design very original.</v>
      </c>
    </row>
    <row r="708">
      <c r="A708" s="1">
        <v>4.0</v>
      </c>
      <c r="B708" s="1" t="s">
        <v>704</v>
      </c>
      <c r="C708" t="str">
        <f>IFERROR(__xludf.DUMMYFUNCTION("GOOGLETRANSLATE(B708, ""es"", ""en"")"),"Revitalize an outdated computer This hard drive SSD is ideal to revitalize an outdated computer, which significantly'll notice more agility both the load the operating system as the move already within the system itself, and file operations on the disc it"&amp;"self and directly will fly in compared to mechanical drives life.")</f>
        <v>Revitalize an outdated computer This hard drive SSD is ideal to revitalize an outdated computer, which significantly'll notice more agility both the load the operating system as the move already within the system itself, and file operations on the disc itself and directly will fly in compared to mechanical drives life.</v>
      </c>
    </row>
    <row r="709">
      <c r="A709" s="1">
        <v>4.0</v>
      </c>
      <c r="B709" s="1" t="s">
        <v>705</v>
      </c>
      <c r="C709" t="str">
        <f>IFERROR(__xludf.DUMMYFUNCTION("GOOGLETRANSLATE(B709, ""es"", ""en"")"),"The bag is recommended I expected. Quality is correct. He arrived in time and hopefully only time that is durable")</f>
        <v>The bag is recommended I expected. Quality is correct. He arrived in time and hopefully only time that is durable</v>
      </c>
    </row>
    <row r="710">
      <c r="A710" s="1">
        <v>5.0</v>
      </c>
      <c r="B710" s="1" t="s">
        <v>706</v>
      </c>
      <c r="C710" t="str">
        <f>IFERROR(__xludf.DUMMYFUNCTION("GOOGLETRANSLATE(B710, ""es"", ""en"")"),"perfect as expected and according to description")</f>
        <v>perfect as expected and according to description</v>
      </c>
    </row>
    <row r="711">
      <c r="A711" s="1">
        <v>5.0</v>
      </c>
      <c r="B711" s="1" t="s">
        <v>707</v>
      </c>
      <c r="C711" t="str">
        <f>IFERROR(__xludf.DUMMYFUNCTION("GOOGLETRANSLATE(B711, ""es"", ""en"")"),"He arrived before lo.esperado The color varies somewhat but it's nice")</f>
        <v>He arrived before lo.esperado The color varies somewhat but it's nice</v>
      </c>
    </row>
    <row r="712">
      <c r="A712" s="1">
        <v>5.0</v>
      </c>
      <c r="B712" s="1" t="s">
        <v>708</v>
      </c>
      <c r="C712" t="str">
        <f>IFERROR(__xludf.DUMMYFUNCTION("GOOGLETRANSLATE(B712, ""es"", ""en"")"),"Fast delivery Fast and very low price, ideal to put all the old computers have k")</f>
        <v>Fast delivery Fast and very low price, ideal to put all the old computers have k</v>
      </c>
    </row>
    <row r="713">
      <c r="A713" s="1">
        <v>5.0</v>
      </c>
      <c r="B713" s="1" t="s">
        <v>709</v>
      </c>
      <c r="C713" t="str">
        <f>IFERROR(__xludf.DUMMYFUNCTION("GOOGLETRANSLATE(B713, ""es"", ""en"")"),"They are very comfortable very comfortable size and asked me the number that corresponded me.")</f>
        <v>They are very comfortable very comfortable size and asked me the number that corresponded me.</v>
      </c>
    </row>
    <row r="714">
      <c r="A714" s="1">
        <v>5.0</v>
      </c>
      <c r="B714" s="1" t="s">
        <v>710</v>
      </c>
      <c r="C714" t="str">
        <f>IFERROR(__xludf.DUMMYFUNCTION("GOOGLETRANSLATE(B714, ""es"", ""en"")"),"I'll buy Super comfortable")</f>
        <v>I'll buy Super comfortable</v>
      </c>
    </row>
    <row r="715">
      <c r="A715" s="1">
        <v>5.0</v>
      </c>
      <c r="B715" s="1" t="s">
        <v>711</v>
      </c>
      <c r="C715" t="str">
        <f>IFERROR(__xludf.DUMMYFUNCTION("GOOGLETRANSLATE(B715, ""es"", ""en"")"),"I loved and boots are super comfortable")</f>
        <v>I loved and boots are super comfortable</v>
      </c>
    </row>
    <row r="716">
      <c r="A716" s="1">
        <v>5.0</v>
      </c>
      <c r="B716" s="1" t="s">
        <v>712</v>
      </c>
      <c r="C716" t="str">
        <f>IFERROR(__xludf.DUMMYFUNCTION("GOOGLETRANSLATE(B716, ""es"", ""en"")"),"Comfy. It is very comfortable, my boyfriend loves.")</f>
        <v>Comfy. It is very comfortable, my boyfriend loves.</v>
      </c>
    </row>
    <row r="717">
      <c r="A717" s="1">
        <v>5.0</v>
      </c>
      <c r="B717" s="1" t="s">
        <v>713</v>
      </c>
      <c r="C717" t="str">
        <f>IFERROR(__xludf.DUMMYFUNCTION("GOOGLETRANSLATE(B717, ""es"", ""en"")"),"Good buy :) I have installed on a Lenovo B590 (in 8GB RAM) and has speeded up tremendously. No longer stays locked minutes retrieving information from the hard disk to run the programs. For example 5 seconds loads the Sketch Up and can handle very complex"&amp;" models without too many problems and booting Windows 10 has passed from several minutes to 20 seconds. I can not comment on durability. Wait a year to appreciate it.")</f>
        <v>Good buy :) I have installed on a Lenovo B590 (in 8GB RAM) and has speeded up tremendously. No longer stays locked minutes retrieving information from the hard disk to run the programs. For example 5 seconds loads the Sketch Up and can handle very complex models without too many problems and booting Windows 10 has passed from several minutes to 20 seconds. I can not comment on durability. Wait a year to appreciate it.</v>
      </c>
    </row>
    <row r="718">
      <c r="A718" s="1">
        <v>5.0</v>
      </c>
      <c r="B718" s="1" t="s">
        <v>714</v>
      </c>
      <c r="C718" t="str">
        <f>IFERROR(__xludf.DUMMYFUNCTION("GOOGLETRANSLATE(B718, ""es"", ""en"")"),"Buenl money very very comfortable and the colors as wanted. Size and I chose the 46 is perfect. Now use and to see how long they last ... But I'm very happy with the purchase. Value very recomanable")</f>
        <v>Buenl money very very comfortable and the colors as wanted. Size and I chose the 46 is perfect. Now use and to see how long they last ... But I'm very happy with the purchase. Value very recomanable</v>
      </c>
    </row>
    <row r="719">
      <c r="A719" s="1">
        <v>5.0</v>
      </c>
      <c r="B719" s="1" t="s">
        <v>715</v>
      </c>
      <c r="C719" t="str">
        <f>IFERROR(__xludf.DUMMYFUNCTION("GOOGLETRANSLATE(B719, ""es"", ""en"")"),"Vans skeight. Perfect. More classic shoes Vams never disappoint. Even still high they remain comfortable. Very recomdablles if you want a shoe with personality.")</f>
        <v>Vans skeight. Perfect. More classic shoes Vams never disappoint. Even still high they remain comfortable. Very recomdablles if you want a shoe with personality.</v>
      </c>
    </row>
    <row r="720">
      <c r="A720" s="1">
        <v>5.0</v>
      </c>
      <c r="B720" s="1" t="s">
        <v>716</v>
      </c>
      <c r="C720" t="str">
        <f>IFERROR(__xludf.DUMMYFUNCTION("GOOGLETRANSLATE(B720, ""es"", ""en"")"),"Great love is super nice.")</f>
        <v>Great love is super nice.</v>
      </c>
    </row>
    <row r="721">
      <c r="A721" s="1">
        <v>5.0</v>
      </c>
      <c r="B721" s="1" t="s">
        <v>717</v>
      </c>
      <c r="C721" t="str">
        <f>IFERROR(__xludf.DUMMYFUNCTION("GOOGLETRANSLATE(B721, ""es"", ""en"")"),"Encantada Buenos arrived prematurely are as advertised and easy to put on and take")</f>
        <v>Encantada Buenos arrived prematurely are as advertised and easy to put on and take</v>
      </c>
    </row>
    <row r="722">
      <c r="A722" s="1">
        <v>5.0</v>
      </c>
      <c r="B722" s="1" t="s">
        <v>718</v>
      </c>
      <c r="C722" t="str">
        <f>IFERROR(__xludf.DUMMYFUNCTION("GOOGLETRANSLATE(B722, ""es"", ""en"")"),"Good thermal paste Perfect fulfills its function perfectly, thermal paste quality, with syringe applied very easily. It has lowered the temperature of the processor a few degrees.")</f>
        <v>Good thermal paste Perfect fulfills its function perfectly, thermal paste quality, with syringe applied very easily. It has lowered the temperature of the processor a few degrees.</v>
      </c>
    </row>
    <row r="723">
      <c r="A723" s="1">
        <v>5.0</v>
      </c>
      <c r="B723" s="1" t="s">
        <v>719</v>
      </c>
      <c r="C723" t="str">
        <f>IFERROR(__xludf.DUMMYFUNCTION("GOOGLETRANSLATE(B723, ""es"", ""en"")"),"Its quality. Perfect. All terrific.")</f>
        <v>Its quality. Perfect. All terrific.</v>
      </c>
    </row>
    <row r="724">
      <c r="A724" s="1">
        <v>5.0</v>
      </c>
      <c r="B724" s="1" t="s">
        <v>720</v>
      </c>
      <c r="C724" t="str">
        <f>IFERROR(__xludf.DUMMYFUNCTION("GOOGLETRANSLATE(B724, ""es"", ""en"")"),"As in the photo well, very practical.")</f>
        <v>As in the photo well, very practical.</v>
      </c>
    </row>
    <row r="725">
      <c r="A725" s="1">
        <v>5.0</v>
      </c>
      <c r="B725" s="1" t="s">
        <v>721</v>
      </c>
      <c r="C725" t="str">
        <f>IFERROR(__xludf.DUMMYFUNCTION("GOOGLETRANSLATE(B725, ""es"", ""en"")"),"Timberland shoes for life. Excellent gift for my husband, he was delighted. The material is great.")</f>
        <v>Timberland shoes for life. Excellent gift for my husband, he was delighted. The material is great.</v>
      </c>
    </row>
    <row r="726">
      <c r="A726" s="1">
        <v>5.0</v>
      </c>
      <c r="B726" s="1" t="s">
        <v>722</v>
      </c>
      <c r="C726" t="str">
        <f>IFERROR(__xludf.DUMMYFUNCTION("GOOGLETRANSLATE(B726, ""es"", ""en"")"),"Operability and easy majejo. The Kingston DataTraveler 32GB've used to save photos stored current family and grandparents. Keep them in one place saves time and space. I am really very satisfied with the purchase. Juan Manuel.")</f>
        <v>Operability and easy majejo. The Kingston DataTraveler 32GB've used to save photos stored current family and grandparents. Keep them in one place saves time and space. I am really very satisfied with the purchase. Juan Manuel.</v>
      </c>
    </row>
    <row r="727">
      <c r="A727" s="1">
        <v>5.0</v>
      </c>
      <c r="B727" s="1" t="s">
        <v>723</v>
      </c>
      <c r="C727" t="str">
        <f>IFERROR(__xludf.DUMMYFUNCTION("GOOGLETRANSLATE(B727, ""es"", ""en"")"),"Meets what is sought in headphones are the perfect size, not easily fall, perfectly fit to your ear, pairing is super easy and fast, the battery lasts a long, comes extremely well presented with its leather case and brings its cable to charge, shipping wa"&amp;"s fast and no problem, we are extremely happy with the product and my son is the one who uses it too, would buy")</f>
        <v>Meets what is sought in headphones are the perfect size, not easily fall, perfectly fit to your ear, pairing is super easy and fast, the battery lasts a long, comes extremely well presented with its leather case and brings its cable to charge, shipping was fast and no problem, we are extremely happy with the product and my son is the one who uses it too, would buy</v>
      </c>
    </row>
    <row r="728">
      <c r="A728" s="1">
        <v>5.0</v>
      </c>
      <c r="B728" s="1" t="s">
        <v>724</v>
      </c>
      <c r="C728" t="str">
        <f>IFERROR(__xludf.DUMMYFUNCTION("GOOGLETRANSLATE(B728, ""es"", ""en"")"),"No I give great professional, but other reviews are responsible for this. For different use music, movies and video games are fantastic, durable and very comfortable. I bought after having problems with over-ear Bose Soundtrue and nothing to do, not only "&amp;"in sound quality, also in manufacturing also remains European.")</f>
        <v>No I give great professional, but other reviews are responsible for this. For different use music, movies and video games are fantastic, durable and very comfortable. I bought after having problems with over-ear Bose Soundtrue and nothing to do, not only in sound quality, also in manufacturing also remains European.</v>
      </c>
    </row>
    <row r="729">
      <c r="A729" s="1">
        <v>2.0</v>
      </c>
      <c r="B729" s="1" t="s">
        <v>725</v>
      </c>
      <c r="C729" t="str">
        <f>IFERROR(__xludf.DUMMYFUNCTION("GOOGLETRANSLATE(B729, ""es"", ""en"")"),"correct product Product is not bad for what it is worth and quality of the audio is pretty good, though occasionally and when the cable moves heard an annoying crackling. By the way, if you take the cable from your mouth, watch this you'll leave a plastic"&amp;" taste of radioactive brutal.")</f>
        <v>correct product Product is not bad for what it is worth and quality of the audio is pretty good, though occasionally and when the cable moves heard an annoying crackling. By the way, if you take the cable from your mouth, watch this you'll leave a plastic taste of radioactive brutal.</v>
      </c>
    </row>
    <row r="730">
      <c r="A730" s="1">
        <v>3.0</v>
      </c>
      <c r="B730" s="1" t="s">
        <v>726</v>
      </c>
      <c r="C730" t="str">
        <f>IFERROR(__xludf.DUMMYFUNCTION("GOOGLETRANSLATE(B730, ""es"", ""en"")"),"Tiena Rates good quality relative to the price although the color varies the photo and not be the same")</f>
        <v>Tiena Rates good quality relative to the price although the color varies the photo and not be the same</v>
      </c>
    </row>
    <row r="731">
      <c r="A731" s="1">
        <v>1.0</v>
      </c>
      <c r="B731" s="1" t="s">
        <v>727</v>
      </c>
      <c r="C731" t="str">
        <f>IFERROR(__xludf.DUMMYFUNCTION("GOOGLETRANSLATE(B731, ""es"", ""en"")"),"Deceit is a deception to the consumer")</f>
        <v>Deceit is a deception to the consumer</v>
      </c>
    </row>
    <row r="732">
      <c r="A732" s="1">
        <v>1.0</v>
      </c>
      <c r="B732" s="1" t="s">
        <v>728</v>
      </c>
      <c r="C732" t="str">
        <f>IFERROR(__xludf.DUMMYFUNCTION("GOOGLETRANSLATE(B732, ""es"", ""en"")"),"I do not recommend anti colic valve is worthless")</f>
        <v>I do not recommend anti colic valve is worthless</v>
      </c>
    </row>
    <row r="733">
      <c r="A733" s="1">
        <v>4.0</v>
      </c>
      <c r="B733" s="1" t="s">
        <v>729</v>
      </c>
      <c r="C733" t="str">
        <f>IFERROR(__xludf.DUMMYFUNCTION("GOOGLETRANSLATE(B733, ""es"", ""en"")"),"perfect nipples. Not much to say philips tortillas are the most recommended, I have always used these and can great.")</f>
        <v>perfect nipples. Not much to say philips tortillas are the most recommended, I have always used these and can great.</v>
      </c>
    </row>
    <row r="734">
      <c r="A734" s="1">
        <v>4.0</v>
      </c>
      <c r="B734" s="1" t="s">
        <v>730</v>
      </c>
      <c r="C734" t="str">
        <f>IFERROR(__xludf.DUMMYFUNCTION("GOOGLETRANSLATE(B734, ""es"", ""en"")"),"The quality is quite useful long you can be more liberdad motion")</f>
        <v>The quality is quite useful long you can be more liberdad motion</v>
      </c>
    </row>
    <row r="735">
      <c r="A735" s="1">
        <v>4.0</v>
      </c>
      <c r="B735" s="1" t="s">
        <v>731</v>
      </c>
      <c r="C735" t="str">
        <f>IFERROR(__xludf.DUMMYFUNCTION("GOOGLETRANSLATE(B735, ""es"", ""en"")"),"Decent sound, materials according to the price is not a product of xiaomi but is fine for the price, sound surprises are not hooves study but for the average mortal van perfentos to people something careless better to break hooves of 11 about 60-200 euros"&amp;" euros")</f>
        <v>Decent sound, materials according to the price is not a product of xiaomi but is fine for the price, sound surprises are not hooves study but for the average mortal van perfentos to people something careless better to break hooves of 11 about 60-200 euros euros</v>
      </c>
    </row>
    <row r="736">
      <c r="A736" s="1">
        <v>4.0</v>
      </c>
      <c r="B736" s="1" t="s">
        <v>732</v>
      </c>
      <c r="C736" t="str">
        <f>IFERROR(__xludf.DUMMYFUNCTION("GOOGLETRANSLATE(B736, ""es"", ""en"")"),"Very good product at a great price in our home has become an article of daily use, maybe something bigger than I expected, but very satisfied.")</f>
        <v>Very good product at a great price in our home has become an article of daily use, maybe something bigger than I expected, but very satisfied.</v>
      </c>
    </row>
    <row r="737">
      <c r="A737" s="1">
        <v>4.0</v>
      </c>
      <c r="B737" s="1" t="s">
        <v>733</v>
      </c>
      <c r="C737" t="str">
        <f>IFERROR(__xludf.DUMMYFUNCTION("GOOGLETRANSLATE(B737, ""es"", ""en"")"),"Very comfortable very light, breathable and are very comfortable.")</f>
        <v>Very comfortable very light, breathable and are very comfortable.</v>
      </c>
    </row>
    <row r="738">
      <c r="A738" s="1">
        <v>5.0</v>
      </c>
      <c r="B738" s="1" t="s">
        <v>734</v>
      </c>
      <c r="C738" t="str">
        <f>IFERROR(__xludf.DUMMYFUNCTION("GOOGLETRANSLATE(B738, ""es"", ""en"")"),"Are super comfortable to me would buy again for your convenience, order the number always buy them a tad bigger because there was no means but still are perfect and especially for those with tired feet or delicate, I recommend 100%")</f>
        <v>Are super comfortable to me would buy again for your convenience, order the number always buy them a tad bigger because there was no means but still are perfect and especially for those with tired feet or delicate, I recommend 100%</v>
      </c>
    </row>
    <row r="739">
      <c r="A739" s="1">
        <v>5.0</v>
      </c>
      <c r="B739" s="1" t="s">
        <v>735</v>
      </c>
      <c r="C739" t="str">
        <f>IFERROR(__xludf.DUMMYFUNCTION("GOOGLETRANSLATE(B739, ""es"", ""en"")"),"Elegant previously bought freshener this two most basic and small fresheners of ""initiation,"" but I saw that I fell short for larger stays as it can be the living room. Aesthetically it seems to me very elegant effect of the wood (although plastic, yes,"&amp;" free from BPA). It is of medium size with a capacity of 250 ml. It allows to use it in two ways as the expulsion of vapor: continuously or intermittently (every 30 seconds). I particularly prefer to use it intermittently. With this freshener, quickly sta"&amp;"y a pleasant and lasting aroma fills (if it is true that this depends more on the essence that you employ the Aromatizer itself). On the other hand, the base has almost 7 color LED to create atmosphere or to give a minimum illumination. This lighting can "&amp;"be left set to one color or alternating seven. To me this honestly plenty and I have always unlit. Finally say that's not 100% quiet, but not noisy. Day or making noise you hear, but if you put it in the room where you go to sleep in the silence of the ni"&amp;"ght if you hear (me come to bother me, but my partner for example considers that relaxing little noise)")</f>
        <v>Elegant previously bought freshener this two most basic and small fresheners of "initiation," but I saw that I fell short for larger stays as it can be the living room. Aesthetically it seems to me very elegant effect of the wood (although plastic, yes, free from BPA). It is of medium size with a capacity of 250 ml. It allows to use it in two ways as the expulsion of vapor: continuously or intermittently (every 30 seconds). I particularly prefer to use it intermittently. With this freshener, quickly stay a pleasant and lasting aroma fills (if it is true that this depends more on the essence that you employ the Aromatizer itself). On the other hand, the base has almost 7 color LED to create atmosphere or to give a minimum illumination. This lighting can be left set to one color or alternating seven. To me this honestly plenty and I have always unlit. Finally say that's not 100% quiet, but not noisy. Day or making noise you hear, but if you put it in the room where you go to sleep in the silence of the night if you hear (me come to bother me, but my partner for example considers that relaxing little noise)</v>
      </c>
    </row>
    <row r="740">
      <c r="A740" s="1">
        <v>5.0</v>
      </c>
      <c r="B740" s="1" t="s">
        <v>736</v>
      </c>
      <c r="C740" t="str">
        <f>IFERROR(__xludf.DUMMYFUNCTION("GOOGLETRANSLATE(B740, ""es"", ""en"")"),"Fast and reliable Since I installed on a laptop I've used recently, but it's impressive as improved speed. I've put in a very old laptop, hp compaq 11 years it took many minutes to boot up and many others in addition to the slow off in opening programs or"&amp;" internet. A laptop that was underused desperate because nobody used it. Now starts fully in about 2`20 ""goes out in less than 1 minute, the programs open at once, the video are fluid and can surf the Internet or YouTube without problems. After unsuccess"&amp;"fully attempting to use other programs to clone data from the old disk to the ssd, I ended up using the software brand recommended and can be downloaded for free. Very happy because the notebook is fully operational.")</f>
        <v>Fast and reliable Since I installed on a laptop I've used recently, but it's impressive as improved speed. I've put in a very old laptop, hp compaq 11 years it took many minutes to boot up and many others in addition to the slow off in opening programs or internet. A laptop that was underused desperate because nobody used it. Now starts fully in about 2`20 "goes out in less than 1 minute, the programs open at once, the video are fluid and can surf the Internet or YouTube without problems. After unsuccessfully attempting to use other programs to clone data from the old disk to the ssd, I ended up using the software brand recommended and can be downloaded for free. Very happy because the notebook is fully operational.</v>
      </c>
    </row>
    <row r="741">
      <c r="A741" s="1">
        <v>5.0</v>
      </c>
      <c r="B741" s="1" t="s">
        <v>737</v>
      </c>
      <c r="C741" t="str">
        <f>IFERROR(__xludf.DUMMYFUNCTION("GOOGLETRANSLATE(B741, ""es"", ""en"")"),"Such a nice and comfortable and as described, I encantasima with them, chock 41 and asked for another number if something girls were coming, but the truth that fit well, but I like to go q is desahogadas me")</f>
        <v>Such a nice and comfortable and as described, I encantasima with them, chock 41 and asked for another number if something girls were coming, but the truth that fit well, but I like to go q is desahogadas me</v>
      </c>
    </row>
    <row r="742">
      <c r="A742" s="1">
        <v>5.0</v>
      </c>
      <c r="B742" s="1" t="s">
        <v>738</v>
      </c>
      <c r="C742" t="str">
        <f>IFERROR(__xludf.DUMMYFUNCTION("GOOGLETRANSLATE(B742, ""es"", ""en"")"),"eva m everything very well I arrived very pretty fast are soft and the perfect back pocket of tissue is rather thin summer sports but very bin")</f>
        <v>eva m everything very well I arrived very pretty fast are soft and the perfect back pocket of tissue is rather thin summer sports but very bin</v>
      </c>
    </row>
    <row r="743">
      <c r="A743" s="1">
        <v>5.0</v>
      </c>
      <c r="B743" s="1" t="s">
        <v>739</v>
      </c>
      <c r="C743" t="str">
        <f>IFERROR(__xludf.DUMMYFUNCTION("GOOGLETRANSLATE(B743, ""es"", ""en"")"),"Good value for money. There is a good quality price relation. Very nice and colorful. well defined pictures.")</f>
        <v>Good value for money. There is a good quality price relation. Very nice and colorful. well defined pictures.</v>
      </c>
    </row>
    <row r="744">
      <c r="A744" s="1">
        <v>5.0</v>
      </c>
      <c r="B744" s="1" t="s">
        <v>740</v>
      </c>
      <c r="C744" t="str">
        <f>IFERROR(__xludf.DUMMYFUNCTION("GOOGLETRANSLATE(B744, ""es"", ""en"")"),"Very good buy. Perfect and super economical. They are authentic.")</f>
        <v>Very good buy. Perfect and super economical. They are authentic.</v>
      </c>
    </row>
    <row r="745">
      <c r="A745" s="1">
        <v>5.0</v>
      </c>
      <c r="B745" s="1" t="s">
        <v>741</v>
      </c>
      <c r="C745" t="str">
        <f>IFERROR(__xludf.DUMMYFUNCTION("GOOGLETRANSLATE(B745, ""es"", ""en"")"),"Duration and smell'm a complete fan of anything that serves to give good odor at home, whether candles, air fresheners traditional, mikados ... so here when I was given the humidifier diffuser scents I went crazy. I gave it away with a pair of essences of"&amp;" different brands for ProBase, and one of them (the orange) I loved it and could not find by any physical store, until I saw this pack here and do not hesitate to buy it. The pack is great for both own use and to give to someone either for the first time "&amp;"so you can try several essences someone how to use and usually sure you'll love. It comes in a box with flowers in shades of purple very cute, and little boats put online in a plastic blister. Bring about 10ml of fluid, which is enough since it is not nec"&amp;"essary to use a lot for us to notice the smell (as with other types of oils that are more liquid and diluted) the amount used is a function of each of the intensity you want to achieve and the ability of our diffuser, I usually put about 10 drops. The can"&amp;"s are tightly sealed, with safety lock, and once famously open close again without any leakage. Also in the cap is notched to fit the mouth of the dropper, so we avoid or yes the leak. The smells are all very good and real, we know that for taste there is"&amp;" nothing written and everyone has their preferences, but really smell all very well, and most lasting and noticeable in the environment. The smells of the pack are: Tea tree (perhaps the least I like), Lavender, lemom grass (very rich), sweet orange (love"&amp;"), Peppermint and Eucalyptus, great these last two when we have a cold or constipated, which helps breathe better and open nostrils. They can be mixed together or with other mixtures and for other odors, aunqie go personally prefer using only each. But th"&amp;"e possibility of mix we have to being 100% pure.")</f>
        <v>Duration and smell'm a complete fan of anything that serves to give good odor at home, whether candles, air fresheners traditional, mikados ... so here when I was given the humidifier diffuser scents I went crazy. I gave it away with a pair of essences of different brands for ProBase, and one of them (the orange) I loved it and could not find by any physical store, until I saw this pack here and do not hesitate to buy it. The pack is great for both own use and to give to someone either for the first time so you can try several essences someone how to use and usually sure you'll love. It comes in a box with flowers in shades of purple very cute, and little boats put online in a plastic blister. Bring about 10ml of fluid, which is enough since it is not necessary to use a lot for us to notice the smell (as with other types of oils that are more liquid and diluted) the amount used is a function of each of the intensity you want to achieve and the ability of our diffuser, I usually put about 10 drops. The cans are tightly sealed, with safety lock, and once famously open close again without any leakage. Also in the cap is notched to fit the mouth of the dropper, so we avoid or yes the leak. The smells are all very good and real, we know that for taste there is nothing written and everyone has their preferences, but really smell all very well, and most lasting and noticeable in the environment. The smells of the pack are: Tea tree (perhaps the least I like), Lavender, lemom grass (very rich), sweet orange (love), Peppermint and Eucalyptus, great these last two when we have a cold or constipated, which helps breathe better and open nostrils. They can be mixed together or with other mixtures and for other odors, aunqie go personally prefer using only each. But the possibility of mix we have to being 100% pure.</v>
      </c>
    </row>
    <row r="746">
      <c r="A746" s="1">
        <v>5.0</v>
      </c>
      <c r="B746" s="1" t="s">
        <v>742</v>
      </c>
      <c r="C746" t="str">
        <f>IFERROR(__xludf.DUMMYFUNCTION("GOOGLETRANSLATE(B746, ""es"", ""en"")"),"Very good very good, no smell in the room.")</f>
        <v>Very good very good, no smell in the room.</v>
      </c>
    </row>
    <row r="747">
      <c r="A747" s="1">
        <v>5.0</v>
      </c>
      <c r="B747" s="1" t="s">
        <v>743</v>
      </c>
      <c r="C747" t="str">
        <f>IFERROR(__xludf.DUMMYFUNCTION("GOOGLETRANSLATE(B747, ""es"", ""en"")"),"Okay sweatshirt emblem is sewn")</f>
        <v>Okay sweatshirt emblem is sewn</v>
      </c>
    </row>
    <row r="748">
      <c r="A748" s="1">
        <v>5.0</v>
      </c>
      <c r="B748" s="1" t="s">
        <v>744</v>
      </c>
      <c r="C748" t="str">
        <f>IFERROR(__xludf.DUMMYFUNCTION("GOOGLETRANSLATE(B748, ""es"", ""en"")"),"Product suitable for business card The cover is hard plastic and protect pretty well to the card, which also fits perfectly. The tape slides very well, much better than others I've had, and very well the ability to hook it to the pants because it has seve"&amp;"ral ways, like the consumer.")</f>
        <v>Product suitable for business card The cover is hard plastic and protect pretty well to the card, which also fits perfectly. The tape slides very well, much better than others I've had, and very well the ability to hook it to the pants because it has several ways, like the consumer.</v>
      </c>
    </row>
    <row r="749">
      <c r="A749" s="1">
        <v>5.0</v>
      </c>
      <c r="B749" s="1" t="s">
        <v>745</v>
      </c>
      <c r="C749" t="str">
        <f>IFERROR(__xludf.DUMMYFUNCTION("GOOGLETRANSLATE(B749, ""es"", ""en"")"),"perfect perfect")</f>
        <v>perfect perfect</v>
      </c>
    </row>
    <row r="750">
      <c r="A750" s="1">
        <v>5.0</v>
      </c>
      <c r="B750" s="1" t="s">
        <v>746</v>
      </c>
      <c r="C750" t="str">
        <f>IFERROR(__xludf.DUMMYFUNCTION("GOOGLETRANSLATE(B750, ""es"", ""en"")"),"Good performance price adapted to the product, 3 temperature modes, and independent controls the right / left side of the bed, it is a big plus, on the other hand, the disadvantage is that does not reach the feet in a bed of 1.50 I could have been a littl"&amp;"e bigger :(")</f>
        <v>Good performance price adapted to the product, 3 temperature modes, and independent controls the right / left side of the bed, it is a big plus, on the other hand, the disadvantage is that does not reach the feet in a bed of 1.50 I could have been a little bigger :(</v>
      </c>
    </row>
    <row r="751">
      <c r="A751" s="1">
        <v>5.0</v>
      </c>
      <c r="B751" s="1" t="s">
        <v>747</v>
      </c>
      <c r="C751" t="str">
        <f>IFERROR(__xludf.DUMMYFUNCTION("GOOGLETRANSLATE(B751, ""es"", ""en"")"),"Slippers economic economical and very comfortable. Initially it seemed that I had something fair in width, but once I put adapted (I have the foot a bit wide). By putting a snag, they are not skin, but are aesthetically very nice.")</f>
        <v>Slippers economic economical and very comfortable. Initially it seemed that I had something fair in width, but once I put adapted (I have the foot a bit wide). By putting a snag, they are not skin, but are aesthetically very nice.</v>
      </c>
    </row>
    <row r="752">
      <c r="A752" s="1">
        <v>5.0</v>
      </c>
      <c r="B752" s="1" t="s">
        <v>748</v>
      </c>
      <c r="C752" t="str">
        <f>IFERROR(__xludf.DUMMYFUNCTION("GOOGLETRANSLATE(B752, ""es"", ""en"")"),"perfect Great")</f>
        <v>perfect Great</v>
      </c>
    </row>
    <row r="753">
      <c r="A753" s="1">
        <v>5.0</v>
      </c>
      <c r="B753" s="1" t="s">
        <v>749</v>
      </c>
      <c r="C753" t="str">
        <f>IFERROR(__xludf.DUMMYFUNCTION("GOOGLETRANSLATE(B753, ""es"", ""en"")"),"Very nice I gave it to my wife and was delighted")</f>
        <v>Very nice I gave it to my wife and was delighted</v>
      </c>
    </row>
    <row r="754">
      <c r="A754" s="1">
        <v>5.0</v>
      </c>
      <c r="B754" s="1" t="s">
        <v>750</v>
      </c>
      <c r="C754" t="str">
        <f>IFERROR(__xludf.DUMMYFUNCTION("GOOGLETRANSLATE(B754, ""es"", ""en"")"),"Regular contour well and large cup")</f>
        <v>Regular contour well and large cup</v>
      </c>
    </row>
    <row r="755">
      <c r="A755" s="1">
        <v>5.0</v>
      </c>
      <c r="B755" s="1" t="s">
        <v>751</v>
      </c>
      <c r="C755" t="str">
        <f>IFERROR(__xludf.DUMMYFUNCTION("GOOGLETRANSLATE(B755, ""es"", ""en"")"),"Perfect is perfect, easy to adjust to wrist it without going to a relojeria, comfortable, practical and easy to put everything in order, very happy with purchase")</f>
        <v>Perfect is perfect, easy to adjust to wrist it without going to a relojeria, comfortable, practical and easy to put everything in order, very happy with purchase</v>
      </c>
    </row>
    <row r="756">
      <c r="A756" s="1">
        <v>5.0</v>
      </c>
      <c r="B756" s="1" t="s">
        <v>752</v>
      </c>
      <c r="C756" t="str">
        <f>IFERROR(__xludf.DUMMYFUNCTION("GOOGLETRANSLATE(B756, ""es"", ""en"")"),"Class 10 SD memory card I bought on the recommendation of the page where I bought a camera for the car which also also said that out of 32 Gb.Es card quality, and especially for devices that a high level of security is required and efficiency. I recommend"&amp;" it 100%. (Remember to format it before inserting it into the device.)")</f>
        <v>Class 10 SD memory card I bought on the recommendation of the page where I bought a camera for the car which also also said that out of 32 Gb.Es card quality, and especially for devices that a high level of security is required and efficiency. I recommend it 100%. (Remember to format it before inserting it into the device.)</v>
      </c>
    </row>
    <row r="757">
      <c r="A757" s="1">
        <v>2.0</v>
      </c>
      <c r="B757" s="1" t="s">
        <v>753</v>
      </c>
      <c r="C757" t="str">
        <f>IFERROR(__xludf.DUMMYFUNCTION("GOOGLETRANSLATE(B757, ""es"", ""en"")"),"Warms bad design super fast. Nothing pracrico because the cable is very short and not removed. To wash it is even worse ... by cable and because it is complicated to clean burnt milk.")</f>
        <v>Warms bad design super fast. Nothing pracrico because the cable is very short and not removed. To wash it is even worse ... by cable and because it is complicated to clean burnt milk.</v>
      </c>
    </row>
    <row r="758">
      <c r="A758" s="1">
        <v>3.0</v>
      </c>
      <c r="B758" s="1" t="s">
        <v>754</v>
      </c>
      <c r="C758" t="str">
        <f>IFERROR(__xludf.DUMMYFUNCTION("GOOGLETRANSLATE(B758, ""es"", ""en"")"),"It's not like Buy this backpack for my boy a gift because a few days ago had acquired the same backpack in gray and on the liked but black. In the receive check that is not equal. Gray has compartments and hooks that it does not have. 😞😞😞")</f>
        <v>It's not like Buy this backpack for my boy a gift because a few days ago had acquired the same backpack in gray and on the liked but black. In the receive check that is not equal. Gray has compartments and hooks that it does not have. 😞😞😞</v>
      </c>
    </row>
    <row r="759">
      <c r="A759" s="1">
        <v>3.0</v>
      </c>
      <c r="B759" s="1" t="s">
        <v>755</v>
      </c>
      <c r="C759" t="str">
        <f>IFERROR(__xludf.DUMMYFUNCTION("GOOGLETRANSLATE(B759, ""es"", ""en"")"),"Slippers almost perfect. It is the second of the same model. The first were perfect. These latter, same number, same model ... and I go just a wee bit of what I would like. Well flat but which forces some en route, the tip shows. A's have used them and I "&amp;"can not change. Failure important to be Salamon and have the money they have.")</f>
        <v>Slippers almost perfect. It is the second of the same model. The first were perfect. These latter, same number, same model ... and I go just a wee bit of what I would like. Well flat but which forces some en route, the tip shows. A's have used them and I can not change. Failure important to be Salamon and have the money they have.</v>
      </c>
    </row>
    <row r="760">
      <c r="A760" s="1">
        <v>1.0</v>
      </c>
      <c r="B760" s="1" t="s">
        <v>756</v>
      </c>
      <c r="C760" t="str">
        <f>IFERROR(__xludf.DUMMYFUNCTION("GOOGLETRANSLATE(B760, ""es"", ""en"")"),"I packed the ingredients does not beat to beat and everyone stood up, there was no way to beat anything. I immediately returned.")</f>
        <v>I packed the ingredients does not beat to beat and everyone stood up, there was no way to beat anything. I immediately returned.</v>
      </c>
    </row>
    <row r="761">
      <c r="A761" s="1">
        <v>1.0</v>
      </c>
      <c r="B761" s="1" t="s">
        <v>757</v>
      </c>
      <c r="C761" t="str">
        <f>IFERROR(__xludf.DUMMYFUNCTION("GOOGLETRANSLATE(B761, ""es"", ""en"")"),"Dissatisfied Not what I expected")</f>
        <v>Dissatisfied Not what I expected</v>
      </c>
    </row>
    <row r="762">
      <c r="A762" s="1">
        <v>1.0</v>
      </c>
      <c r="B762" s="1" t="s">
        <v>758</v>
      </c>
      <c r="C762" t="str">
        <f>IFERROR(__xludf.DUMMYFUNCTION("GOOGLETRANSLATE(B762, ""es"", ""en"")"),"Horrible lasted less than a month and the seller does not process warranty. me and looked pretty bad in terms of transfer rate and program for android. Often the signal is not detected. But to make matters worse now it has stopped working and even let for"&amp;"matting, less than a month of use ...")</f>
        <v>Horrible lasted less than a month and the seller does not process warranty. me and looked pretty bad in terms of transfer rate and program for android. Often the signal is not detected. But to make matters worse now it has stopped working and even let formatting, less than a month of use ...</v>
      </c>
    </row>
    <row r="763">
      <c r="A763" s="1">
        <v>4.0</v>
      </c>
      <c r="B763" s="1" t="s">
        <v>759</v>
      </c>
      <c r="C763" t="str">
        <f>IFERROR(__xludf.DUMMYFUNCTION("GOOGLETRANSLATE(B763, ""es"", ""en"")"),"Good price and quality Very good, good price and quality.")</f>
        <v>Good price and quality Very good, good price and quality.</v>
      </c>
    </row>
    <row r="764">
      <c r="A764" s="1">
        <v>4.0</v>
      </c>
      <c r="B764" s="1" t="s">
        <v>760</v>
      </c>
      <c r="C764" t="str">
        <f>IFERROR(__xludf.DUMMYFUNCTION("GOOGLETRANSLATE(B764, ""es"", ""en"")"),"Good quality ok but did not fit")</f>
        <v>Good quality ok but did not fit</v>
      </c>
    </row>
    <row r="765">
      <c r="A765" s="1">
        <v>4.0</v>
      </c>
      <c r="B765" s="1" t="s">
        <v>761</v>
      </c>
      <c r="C765" t="str">
        <f>IFERROR(__xludf.DUMMYFUNCTION("GOOGLETRANSLATE(B765, ""es"", ""en"")"),"Memory Card Meets to 100% with expectations both in photography with the Nikon D5200, both photography and video footage ... good transfer rate and very good performance and capacity. Nothing objectionable about the product. Recommend purchase without hes"&amp;"itation")</f>
        <v>Memory Card Meets to 100% with expectations both in photography with the Nikon D5200, both photography and video footage ... good transfer rate and very good performance and capacity. Nothing objectionable about the product. Recommend purchase without hesitation</v>
      </c>
    </row>
    <row r="766">
      <c r="A766" s="1">
        <v>4.0</v>
      </c>
      <c r="B766" s="1" t="s">
        <v>762</v>
      </c>
      <c r="C766" t="str">
        <f>IFERROR(__xludf.DUMMYFUNCTION("GOOGLETRANSLATE(B766, ""es"", ""en"")"),"Delighted with the gift He loved my niece, she has come a little late for his birthday but he has nothing view")</f>
        <v>Delighted with the gift He loved my niece, she has come a little late for his birthday but he has nothing view</v>
      </c>
    </row>
    <row r="767">
      <c r="A767" s="1">
        <v>4.0</v>
      </c>
      <c r="B767" s="1" t="s">
        <v>763</v>
      </c>
      <c r="C767" t="str">
        <f>IFERROR(__xludf.DUMMYFUNCTION("GOOGLETRANSLATE(B767, ""es"", ""en"")"),"Very useful Essential for initiates in kitchen. Without much experience, it is very easy to use.")</f>
        <v>Very useful Essential for initiates in kitchen. Without much experience, it is very easy to use.</v>
      </c>
    </row>
    <row r="768">
      <c r="A768" s="1">
        <v>5.0</v>
      </c>
      <c r="B768" s="1" t="s">
        <v>764</v>
      </c>
      <c r="C768" t="str">
        <f>IFERROR(__xludf.DUMMYFUNCTION("GOOGLETRANSLATE(B768, ""es"", ""en"")"),"Very useful is very practical to hold all kinds of books or loose folios, the clamps holding the books to perfection and the support has several positions. The material is of good quality")</f>
        <v>Very useful is very practical to hold all kinds of books or loose folios, the clamps holding the books to perfection and the support has several positions. The material is of good quality</v>
      </c>
    </row>
    <row r="769">
      <c r="A769" s="1">
        <v>5.0</v>
      </c>
      <c r="B769" s="1" t="s">
        <v>765</v>
      </c>
      <c r="C769" t="str">
        <f>IFERROR(__xludf.DUMMYFUNCTION("GOOGLETRANSLATE(B769, ""es"", ""en"")"),"Such as the Masajeador highly accomplished professionals. Compared to using the physios it does not have much to envy, I really did not expect it to be so powerful. It has two modes, one normal and one strong. You also have the option of heated pads, neve"&amp;"r seen this option and is very nice. You includes three sets of pads, normal, a more pointed for stronger massage and others that are better than other heat. To pummeling contractures you put pointy and going great. Comparison with the value used by profe"&amp;"ssionals earn this street. Very good buy.")</f>
        <v>Such as the Masajeador highly accomplished professionals. Compared to using the physios it does not have much to envy, I really did not expect it to be so powerful. It has two modes, one normal and one strong. You also have the option of heated pads, never seen this option and is very nice. You includes three sets of pads, normal, a more pointed for stronger massage and others that are better than other heat. To pummeling contractures you put pointy and going great. Comparison with the value used by professionals earn this street. Very good buy.</v>
      </c>
    </row>
    <row r="770">
      <c r="A770" s="1">
        <v>5.0</v>
      </c>
      <c r="B770" s="1" t="s">
        <v>766</v>
      </c>
      <c r="C770" t="str">
        <f>IFERROR(__xludf.DUMMYFUNCTION("GOOGLETRANSLATE(B770, ""es"", ""en"")"),"Great is a very complete and perfect package to organize your desktop")</f>
        <v>Great is a very complete and perfect package to organize your desktop</v>
      </c>
    </row>
    <row r="771">
      <c r="A771" s="1">
        <v>5.0</v>
      </c>
      <c r="B771" s="1" t="s">
        <v>767</v>
      </c>
      <c r="C771" t="str">
        <f>IFERROR(__xludf.DUMMYFUNCTION("GOOGLETRANSLATE(B771, ""es"", ""en"")"),"Good After buying a few months works very well. Coffee good and fast service. The water tank, generous and collection as well. It is easily cleaned. I am happy.")</f>
        <v>Good After buying a few months works very well. Coffee good and fast service. The water tank, generous and collection as well. It is easily cleaned. I am happy.</v>
      </c>
    </row>
    <row r="772">
      <c r="A772" s="1">
        <v>5.0</v>
      </c>
      <c r="B772" s="1" t="s">
        <v>768</v>
      </c>
      <c r="C772" t="str">
        <f>IFERROR(__xludf.DUMMYFUNCTION("GOOGLETRANSLATE(B772, ""es"", ""en"")"),"Nice and resultón The ""glass"" is plastic but for the price it is nice and worth. Worth.")</f>
        <v>Nice and resultón The "glass" is plastic but for the price it is nice and worth. Worth.</v>
      </c>
    </row>
    <row r="773">
      <c r="A773" s="1">
        <v>5.0</v>
      </c>
      <c r="B773" s="1" t="s">
        <v>769</v>
      </c>
      <c r="C773" t="str">
        <f>IFERROR(__xludf.DUMMYFUNCTION("GOOGLETRANSLATE(B773, ""es"", ""en"")"),"Carve large size strip a little big. I usually use 40 in this sport and have the model 39. Very comfortable and light.")</f>
        <v>Carve large size strip a little big. I usually use 40 in this sport and have the model 39. Very comfortable and light.</v>
      </c>
    </row>
    <row r="774">
      <c r="A774" s="1">
        <v>5.0</v>
      </c>
      <c r="B774" s="1" t="s">
        <v>770</v>
      </c>
      <c r="C774" t="str">
        <f>IFERROR(__xludf.DUMMYFUNCTION("GOOGLETRANSLATE(B774, ""es"", ""en"")"),"He was looking very good buy a watch daily, it was hard and protected and this fulfills this role. Bluetooth function interesting time to adjust, though not decisive, using it only occasionally. The dark screen thought he'd give me a problem, but everythi"&amp;"ng else, sunlight looks perfectly only when there is total darkness to press the lighting or activate the automatic light with the flick of the wrist. I still doubt the battery life, hope it meets indicated in the user manual.")</f>
        <v>He was looking very good buy a watch daily, it was hard and protected and this fulfills this role. Bluetooth function interesting time to adjust, though not decisive, using it only occasionally. The dark screen thought he'd give me a problem, but everything else, sunlight looks perfectly only when there is total darkness to press the lighting or activate the automatic light with the flick of the wrist. I still doubt the battery life, hope it meets indicated in the user manual.</v>
      </c>
    </row>
    <row r="775">
      <c r="A775" s="1">
        <v>5.0</v>
      </c>
      <c r="B775" s="1" t="s">
        <v>771</v>
      </c>
      <c r="C775" t="str">
        <f>IFERROR(__xludf.DUMMYFUNCTION("GOOGLETRANSLATE(B775, ""es"", ""en"")"),"Meets the expectations ... great, as advertised ... Well the truth. The only thing that are very hard when they are new.")</f>
        <v>Meets the expectations ... great, as advertised ... Well the truth. The only thing that are very hard when they are new.</v>
      </c>
    </row>
    <row r="776">
      <c r="A776" s="1">
        <v>5.0</v>
      </c>
      <c r="B776" s="1" t="s">
        <v>772</v>
      </c>
      <c r="C776" t="str">
        <f>IFERROR(__xludf.DUMMYFUNCTION("GOOGLETRANSLATE(B776, ""es"", ""en"")"),"Impressive quality &lt;div id = ""video-block-R1DXVPZTA33AM2"" class = ""a-section a-spacing-small a-spacing-top mini video-block""&gt; &lt;div tabindex = ""0"" class = ""airy airy-svg vmin-unsupported airy-skin-beacon ""style ="" background-color: rgb (0, 0, 0) p"&amp;"osition: relative; width: 100%; height: 100%; font-size: 0px; overflow: hidden; outline : none; ""&gt; &lt;div class ="" airy-renderer-container ""style ="" position: relative; height: 100%; width: 100%; ""&gt; &lt;video id ="" 15 ""preload ="" auto ""src ="" https:/"&amp;"/images-eu.ssl-images-amazon.com/images/I/91XtyCyQpuS.mp4 ""style ="" position: absolute; left: 0px; top: 0px; overflow: hidden; height: 1px; width: 1px ; ""&gt; &lt;/ video&gt; &lt;/ div&gt; &lt;div id ="" airy-slate-preload ""style ="" background-color: rgb (0, 0, 0); ba"&amp;"ckground-image: url (&amp; quot; https: // images-eu.ssl-images-amazon.com/images/I/81wdVIaJC6S.png&amp;quot;); background-size: Contain; background-position: center center; background-repeat: no-repeat; position: absolute; top: 0px ; left: 0px; visibility: visib"&amp;"le; width: 100%; height: 100%; ""&gt; &lt;/ div&gt; &lt;iframe sc rolling = ""no"" frameborder = ""0"" src = ""about: blank"" style = ""display: none;""&gt; &lt;/ iframe&gt; &lt;div tabindex = ""- 1"" class = ""airy-controls-container"" style = "" opacity: 0; visibility: hidden;"&amp;" ""&gt; &lt;div tabindex ="" - 1 ""class ="" airy-screen-size-toggle airy-fullscreen ""&gt; &lt;/ div&gt; &lt;div tabindex ="" - 1 ""class ="" airy-container-bottom "" &gt; &lt;div tabindex = ""- 1"" class = ""airy-track-bar-spacer-left"" style = ""width: 11px;""&gt; &lt;/ div&gt; &lt;div t"&amp;"abindex = ""- 1"" class = ""airy-play- airy toggle-play ""style ="" width: 12px; margin-right: 12px; ""&gt; &lt;/ div&gt; &lt;div tabindex ="" - 1 ""class ="" airy-audio-elements ""style ="" float: right; width: 34px; ""&gt; &lt;div tabindex ="" - 1 ""class ="" airy-audio-"&amp;"toggle airy-on ""&gt; &lt;/ div&gt; &lt;div tabindex ="" - 1 ""class ="" airy-audio-container ""style = ""opacity: 0; visibility: hidden; ""&gt; &lt;div tabindex ="" - 1 ""class ="" airy-audio-track-bar ""style ="" height: 80%; ""&gt; &lt;div tabindex ="" - 1 ""class ="" airy-au"&amp;"dio- Scrubber-bar ""style ="" height: 85%; ""&gt; &lt;/ div&gt; &lt;div tabindex ="" - 1 ""class ="" airy-audio-scrubber ""style ="" height: 12px; bottom: 85% ""&gt; &lt;/ div&gt; &lt;/ div&gt; &lt;/ div&gt; &lt;/ div&gt; &lt;div tabindex ="" - 1 ""class ="" airy-duration-label ""style ="" float:"&amp;" right; width: 26px; margin-right: 4px; text-align: center; ""&gt; 0:11 &lt;/ div&gt; &lt;div tabindex ="" - 1 ""class ="" airy-track-bar-spacer-right ""style ="" float: right; width: 11px; ""&gt; &lt;/ div&gt; &lt;div tabindex ="" - 1 ""class ="" airy-track-bar-container ""styl"&amp;"e ="" margin-left: 35px; margin-right: 75px; ""&gt; &lt;div tabindex ="" - 1 ""class ="" airy-airy-track-bar vertically-centering-table ""&gt; &lt;div tabindex ="" - 1 ""class ="" airy-Vertical-centering- table-cell ""&gt; &lt;div tabindex ="" - 1 ""class ="" airy-track-ba"&amp;"r-elements ""&gt; &lt;div tabindex ="" - 1 ""class ="" airy-progress-bar ""style ="" width: 60.1185%; ""&gt; &lt;/ div&gt; &lt;div tabindex ="" - 1 ""class ="" airy-scrubber-bar ""&gt; &lt;/ div&gt; &lt;div tabindex ="" - 1 ""class ="" airy-scrubber ""&gt; &lt;div tabindex ="" - 1 ""class ="&amp;""" airy-scrubber-icon ""&gt; &lt;/ div&gt; &lt;div tabindex ="" - 1 ""class ="" airy-adjusted-AUI-tooltip ""style ="" opacity: 0; visibility: hidden; ""&gt; &lt;div tabindex ="" - 1 ""class ="" airy-adjusted-aui-tooltip-inner ""&gt; &lt;div tabindex ="" - 1 ""class ="" airy-curr"&amp;"ent-time-label ""&gt; 0: 00 &lt;/ div&gt; &lt;/ div&gt; &lt;div tabindex = ""- 1"" class = ""airy-adjusted-AUI-arrow-border""&gt; &lt;div tabindex = ""- 1"" class = ""airy-adjusted-AUI-arrow"" &gt; &lt;/ div&gt; &lt;/ div&gt; &lt;/ div&gt; &lt;/ div&gt; &lt;/ div&gt; &lt;/ div&gt; &lt;/ div&gt; &lt;/ div&gt; &lt;/ div&gt; &lt;/ div&gt; &lt;div"&amp;" tabindex = ""- 1"" class = ""airy-age-gate airy-stage airy-Vertical-centering-table airy-dialog"" style = ""opacity: 0; visibility: hidden; ""&gt; &lt;div tabindex ="" - 1 ""class ="" airy-age-gate-Vertical-centering-table-cell airy-Vertical-centering-table-ce"&amp;"ll ""&gt; &lt;div tabindex ="" - 1 ""class = ""airy-Vertical-centering-wrapper airy-age-gate-elements-wrapper""&gt; &lt;div tabindex = ""- 1"" class = ""airy-age-gate-elements airy-dialog-elements""&gt; &lt;div tabindex = "" -1 ""class ="" airy-age-gate-prompt ""&gt; This vid"&amp;"eo is not Intended for all audiences What date were you born &lt;/ div&gt; &lt;div tabindex =.?"" - 1 ""class ="" airy-age-gate -inputs airy-dialog-inner-elements ""&gt; &lt;select tabindex ="" - 1 ""class ="" airy-age-gate-month ""&gt; &lt;option value ="" 1 ""&gt; January &lt;/ o"&amp;"ption&gt; &lt;option value ="" 2 ""&gt; February &lt;/ option&gt; &lt;option value ="" 3 ""&gt; March &lt;/ option&gt; &lt;option value ="" 4 ""&gt; April &lt;/ option&gt; &lt;option value ="" 5 ""&gt; May &lt;/ option&gt; &lt;option value = ""6""&gt; June &lt;/ option&gt; &lt;option value = ""7""&gt; July &lt;/ option&gt; &lt;opti"&amp;"on value = ""8""&gt; August &lt;/ option&gt; &lt;option value = ""9""&gt; September &lt;/ option&gt; &lt;option value = ""10""&gt; October &lt;/ option&gt; &lt;option value = ""11""&gt; November &lt;/ option&gt; &lt;option value = ""12""&gt; December &lt;/ option&gt; &lt;/ select&gt; &lt;select tabindex = ""- 1"" class "&amp;"= ""airy-age-gate-day""&gt; &lt;opti on value = ""1""&gt; 1 &lt;/ option&gt; &lt;option value = ""2""&gt; 2 &lt;/ option&gt; &lt;option value = ""3""&gt; 3 &lt;/ option&gt; &lt;option value = ""4""&gt; 4 &lt;/ option &gt; &lt;option value = ""5""&gt; 5 &lt;/ option&gt; &lt;option value = ""6""&gt; 6 &lt;/ option&gt; &lt;option valu"&amp;"e = ""7""&gt; 7 &lt;/ option&gt; &lt;option value = ""8""&gt; 8 &lt; / option&gt; &lt;option value = ""9""&gt; 9 &lt;/ option&gt; &lt;option value = ""10""&gt; 10 &lt;/ option&gt; &lt;option value = ""11""&gt; 11 &lt;/ option&gt; &lt;option value = ""12""&gt; 12 &lt;/ option&gt; &lt;option value = ""13""&gt; 13 &lt;/ option&gt; &lt;optio"&amp;"n value = ""14""&gt; 14 &lt;/ option&gt; &lt;option value = ""15""&gt; 15 &lt;/ option&gt; &lt;option value = ""16 ""&gt; 16 &lt;/ option&gt; &lt;option value ="" 17 ""&gt; 17 &lt;/ option&gt; &lt;option value ="" 18 ""&gt; 18 &lt;/ option&gt; &lt;option value ="" 19 ""&gt; 19 &lt;/ option&gt; &lt;option value = ""20""&gt; 20 &lt;/"&amp;" option&gt; &lt;option value = ""21""&gt; 21 &lt;/ option&gt; &lt;option value = ""22""&gt; 22 &lt;/ option&gt; &lt;option value = ""23""&gt; 23 &lt;/ option&gt; &lt;option value = ""24""&gt; 24 &lt;/ option&gt; &lt;option value = ""25""&gt; 25 &lt;/ option&gt; &lt;option value = ""26""&gt; 26 &lt;/ option&gt; &lt;option value = """&amp;"27""&gt; 27 &lt;/ option&gt; &lt;option value = ""28""&gt; 28 &lt;/ option&gt; &lt;option value = ""29""&gt; 29 &lt;/ option&gt; &lt;option value = ""30""&gt; 30 &lt;/ option&gt; &lt;option value = ""31""&gt; 31 &lt;/ option&gt; &lt;/ select&gt; &lt;select tabindex = ""- 1"" class = ""airy-age-gate-year""&gt; &lt;option value"&amp;" = ""2019""&gt; 2019 &lt;/ option&gt; &lt; option value = ""2018""&gt; 2018 &lt;/ option&gt; &lt;option value = ""2017""&gt; 2017 &lt;/ option&gt; &lt;option value = ""2016""&gt; ​​2016 &lt;/ option&gt; &lt;option value = ""2015""&gt; 2015 &lt;/ option &gt; &lt;option value = ""2014""&gt; 2014 &lt;/ option&gt; &lt;option valu"&amp;"e = ""2013""&gt; 2013 &lt;/ option&gt; &lt;option value = ""2012""&gt; 2012 &lt;/ option&gt; &lt;option value = ""2011""&gt; 2011 &lt; / option&gt; &lt;option value = ""2010""&gt; 2010 &lt;/ option&gt; &lt;option value = ""2009""&gt; 2009 &lt;/ option&gt; &lt;option value = ""2008""&gt; 2008 &lt;/ option&gt; &lt;option value "&amp;"= ""2007""&gt; 2007 &lt;/ option&gt; &lt;option value = ""2006""&gt; 2006 &lt;/ option&gt; &lt;option value = ""2005""&gt; 2005 &lt;/ option&gt; &lt;option value = ""2004""&gt; 2004 &lt;/ option&gt; &lt;option value = ""2003 ""&gt; 2003 &lt;/ option&gt; &lt;option value ="" 2002 ""&gt; 2002 &lt;/ option&gt; &lt;option value ="&amp;""" 2001 ""&gt; 2001 &lt;/ option&gt; &lt;option value ="" 2000 ""&gt; 2000 &lt;/ option&gt; &lt;option value = ""1999""&gt; 1999 &lt;/ option&gt; &lt;option value = ""1998""&gt; 1998 &lt;/ option&gt; &lt;option value = ""1997""&gt; 1997 &lt;/ option&gt; &lt;option value = ""1996""&gt; 1996 &lt;/ option&gt; &lt;option value = "&amp;"""1995""&gt; 1995 &lt;/ option&gt; &lt;option value = ""1994""&gt; 1994 &lt;/ option&gt; &lt;option value = ""1993""&gt; 1993 &lt;/ option&gt; &lt;option value = ""1992""&gt; 1992 &lt;/ option&gt; &lt;option value = ""1991""&gt; 1991 &lt;/ option&gt; &lt;option value = ""1990""&gt; 1990 &lt;/ option&gt; &lt;option value = "" "&amp;"1989 ""&gt; 1989 &lt;/ option&gt; &lt;option value ="" 1988 ""&gt; 1988 &lt;/ option&gt; &lt;option value ="" 1987 ""&gt; 1987 &lt;/ option&gt; &lt;option value ="" 1986 ""&gt; 1986 &lt;/ option&gt; &lt;value option = ""1985""&gt; 1985 &lt;/ option&gt; &lt;option value = ""1984""&gt; 1984 &lt;/ option&gt; &lt;option value = "&amp;"""1983""&gt; 1983 &lt;/ option&gt; &lt;option value = ""1982""&gt; 1982 &lt;/ option&gt; &lt; option value = ""1981""&gt; 1981 &lt;/ option&gt; &lt;option value = ""1980""&gt; 1980 &lt;/ option&gt; &lt;option value = ""1979""&gt; 1979 &lt;/ option&gt; &lt;option value = ""1978""&gt; 1978 &lt;/ option &gt; &lt;option value = "&amp;"""1977""&gt; 1977 &lt;/ option&gt; &lt;option value = ""1976""&gt; 1976 &lt;/ option&gt; &lt;option value = ""1975""&gt; 1975 &lt;/ option&gt; &lt;option value = ""1974""&gt; 1974 &lt; / option&gt; &lt;option value = ""1973""&gt; 1973 &lt;/ option&gt; &lt;option value = ""1972""&gt; 1972 &lt;/ option&gt; &lt;option value = """&amp;"1971""&gt; 1971 &lt;/ option&gt; &lt;option value = ""1970""&gt; 1970 &lt;/ option&gt; &lt;option value = ""1969""&gt; 1969 &lt;/ option&gt; &lt;option value = ""1968""&gt; 1968 &lt;/ option&gt; &lt;option value = ""1967""&gt; 1967 &lt;/ option&gt; &lt;option value = ""1966 ""&gt; 1966 &lt;/ option&gt; &lt;option value ="" 19"&amp;"65 ""&gt; 1965 &lt;/ option&gt; &lt;option value ="" 1964 ""&gt; 1964 &lt;/ option&gt; &lt;option value ="" 1963 ""&gt; 1963 &lt;/ option&gt; &lt;option value = ""1962""&gt; 1962 &lt;/ option&gt; &lt;option value = ""1961""&gt; 1961 &lt;/ option&gt; &lt;option value = ""1960""&gt; 1960 &lt;/ op tion&gt; &lt;option value = ""1"&amp;"959""&gt; 1959 &lt;/ option&gt; &lt;option value = ""1958""&gt; 1958 &lt;/ option&gt; &lt;option value = ""1957""&gt; 1957 &lt;/ option&gt; &lt;option value = ""1956""&gt; 1956 &lt;/ option&gt; &lt;option value = ""1955""&gt; 1955 &lt;/ option&gt; &lt;option value = ""1954""&gt; 1954 &lt;/ option&gt; &lt;option value = ""1953"&amp;"""&gt; 1953 &lt;/ option&gt; &lt;option value = ""1952"" &gt; 1952 &lt;/ option&gt; &lt;option value = ""1951""&gt; 1951 &lt;/ option&gt; &lt;option value = ""1950""&gt; 1950 &lt;/ option&gt; &lt;option value = ""1949""&gt; 1949 &lt;/ option&gt; &lt;option value = "" 1948 ""&gt; 1948 &lt;/ option&gt; &lt;option value ="" 1947"&amp;" ""&gt; 1947 &lt;/ option&gt; &lt;option value ="" 1946 ""&gt; 1946 &lt;/ option&gt; &lt;option value ="" 1945 ""&gt; 1945 &lt;/ option&gt; &lt;value option = ""1944""&gt; 1944 &lt;/ option&gt; &lt;option value = ""1943""&gt; 1943 &lt;/ option&gt; &lt;option value = ""1942""&gt; 1942 &lt;/ option&gt; &lt;option value = ""1941"&amp;"""&gt; 1941 &lt;/ option&gt; &lt; option value = ""1940""&gt; 1940 &lt;/ option&gt; &lt;option value = ""1939""&gt; 1939 &lt;/ option&gt; &lt;option value = ""1938""&gt; 1938 &lt;/ option&gt; &lt;option value = ""1937""&gt; 1937 &lt;/ option &gt; &lt;option value = ""1936""&gt; 1936 &lt;/ option&gt; &lt;option value = ""1935"&amp;"""&gt; 1935 &lt;/ option&gt; &lt;option value = ""1934""&gt; 1934 &lt;/ option&gt; &lt;option value = ""1933""&gt; 1933 &lt; / option&gt; &lt;option value = ""1932""&gt; 1932 &lt;/ option&gt; &lt;option value = ""1931""&gt; 1931 &lt;/ option&gt; &lt;option v alue = ""1930""&gt; 1930 &lt;/ option&gt; &lt;option value = ""1929"&amp;"""&gt; 1929 &lt;/ option&gt; &lt;option value = ""1928""&gt; 1928 &lt;/ option&gt; &lt;option value = ""1927""&gt; 1927 &lt;/ option&gt; &lt;option value = ""1926""&gt; 1926 &lt;/ option&gt; &lt;option value = ""1925""&gt; 1925 &lt;/ option&gt; &lt;option value = ""1924""&gt; 1924 &lt;/ option&gt; &lt;option value = ""1923""&gt;"&amp;" 1923 &lt;/ option&gt; &lt;option value = ""1922""&gt; 1922 &lt;/ option&gt; &lt;option value = ""1921""&gt; 1921 &lt;/ option&gt; &lt;option value = ""1920""&gt; 1920 &lt;/ option&gt; &lt;option value = ""1919""&gt; 1919 &lt;/ option&gt; &lt;option value = ""1918""&gt; 1918 &lt;/ option&gt; &lt;option value = ""1917""&gt; 19"&amp;"17 &lt;/ option&gt; &lt;option value = ""1916""&gt; 1916 &lt;/ option&gt; &lt;option value = ""1915"" &gt; 1915 &lt;/ option&gt; &lt;option value = ""1914""&gt; 1914 &lt;/ option&gt; &lt;option value = ""1913""&gt; 1913 &lt;/ option&gt; &lt;option value = ""1912""&gt; 1912 &lt;/ option&gt; &lt;option value = "" 1911 ""&gt; 19"&amp;"11 &lt;/ option&gt; &lt;option value ="" 1910 ""&gt; 1910 &lt;/ option&gt; &lt;option value ="" 1909 ""&gt; 1909 &lt;/ option&gt; &lt;option value ="" 1908 ""&gt; 1908 &lt;/ option&gt; &lt;value option = ""1907""&gt; 1907 &lt;/ option&gt; &lt;option value = ""1906""&gt; 1906 &lt;/ option&gt; &lt;option value = ""1905""&gt; 19"&amp;"05 &lt;/ option&gt; &lt;option value = ""1904""&gt; 1904 &lt;/ option&gt; &lt; option value = ""1903""&gt; 1903 &lt;/ option&gt; &lt;option value = ""1902""&gt; 1902 &lt;/ option&gt; &lt;option value = ""1901""&gt; 19 01 &lt;/ option&gt; &lt;option value = ""1900""&gt; 1900 &lt;/ option&gt; &lt;/ select&gt; &lt;div tabindex = """&amp;"- 1"" class = ""airy-age-gate-submit airy-submit-button airy airy-submit- disabled ""&gt; Submit &lt;/ div&gt; &lt;/ div&gt; &lt;/ div&gt; &lt;/ div&gt; &lt;/ div&gt; &lt;/ div&gt; &lt;div tabindex ="" - 1 ""class ="" airy-install-flash-dialog airy-stage airy -vertical-centering-table-dialog airy"&amp;" airy-denied ""style ="" opacity: 0; visibility: hidden; ""&gt; &lt;div tabindex ="" - 1 ""class ="" airy-install-flash-Vertical-centering-table-cell airy-Vertical-centering-table-cell ""&gt; &lt;div tabindex ="" - 1 ""class = ""airy-Vertical-centering-wrapper airy-i"&amp;"nstall-flash-elements-wrapper""&gt; &lt;div tabindex = ""- 1"" class = ""airy-install-flash-elements airy-dialog-elements""&gt; &lt;div tabindex = "" -1 ""class ="" airy-install-flash-prompt ""&gt; Adobe Flash Player is required to watch this video &lt;/ div&gt; &lt;div tabindex"&amp;" =."" - 1 ""class ="" airy-install-flash-button-wrapper airy -dialog-inner-elements ""&gt; &lt;div tabindex ="" - 1 ""class ="" airy-install-flash-button airy-button ""&gt; install Flash Player &lt;/ div&gt; &lt;/ div&gt; &lt;/ div&gt; &lt;/ div&gt; &lt;/ div&gt; &lt;/ div&gt; &lt;div tabindex = ""- 1"&amp;""" class = ""airy-video-unsupported-dialog airy-stage airy-Vertical-centering-table airy-dialog airy-denied"" style = ""opacity: 0; visibility: hidden; ""&gt; &lt;div tabindex ="" - 1 ""class ="" airy-video-unsupported-Vertical-centering-table-cell airy-Vertica"&amp;"l-centering-table-cell ""&gt; &lt;div tabindex ="" - 1 ""class = ""airy-Vertical-centering-wrapper airy-video-unsupported-elements-wrapper""&gt; &lt;div tabindex = ""- 1"" class = ""airy-video-unsupported-elements airy-dialog-elements""&gt; &lt;div tabindex = "" -1 ""class"&amp;" ="" airy-video-unsupported-prompt ""&gt; &lt;/ div&gt; &lt;/ div&gt; &lt;/ div&gt; &lt;/ div&gt; &lt;/ div&gt; &lt;div tabindex ="" - 1 ""class ="" airy-loading- spinner-stage airy-stage ""&gt; &lt;div tabindex ="" - 1 ""class ="" airy-loading-spinner-Vertical-centering-table-cell airy-Vertical-"&amp;"centering-table-cell ""&gt; &lt;div tabindex ="" - 1 ""class ="" airy-loading-spinner-container airy-scalable-hint-container ""&gt; &lt;div tabindex ="" - 1 ""class ="" airy-loading-spinner-dummy airy-scalable-dummy ""&gt; &lt;/ div&gt; &lt; div tabindex = ""- 1"" class = ""airy"&amp;"-loading-spinner airy-hint"" style = ""visibility: hidden;""&gt; &lt;/ div&gt; &lt;/ div&gt; &lt;/ div&gt; &lt;/ div&gt; &lt;div tabindex = ""- 1 ""class ="" airy-ads-screen-size-toggle airy-screen-size-toggle-fullscreen airy ""style ="" visibility: hidden; ""&gt; &lt;/ div&gt; &lt;div tabindex ="&amp;" ""-1"" class = ""airy-ad-prompt-container"" style = ""visibility: hidden;""&gt; &lt;div tabindex = ""- 1"" class = ""airy-ad-prompt-Vertical-centering-table-vertically airy centering-table ""&gt; &lt;div tabindex ="" - 1 ""class ="" airy-ad-prompt-Vertical-centering"&amp;"-table-cell airy-Vertical-centering-table-cell ""&gt; &lt;div tabindex ="" - 1 ""class = ""airy-ad-prompt-label""&gt; &lt;/ div&gt; &lt;/ div&gt; &lt;/ div&gt; &lt;/ div&gt; &lt;div tabindex = ""- 1"" class = ""airy-ads-controls-container"" style = ""visibility: hidden; ""&gt; &lt;div tabindex ="&amp;""" - 1 ""class ="" airy-ads-audio-toggle airy-audio-toggle airy-on ""style ="" visibility: hidden; ""&gt; &lt;/ div&gt; &lt;div tabindex ="" - 1 ""class ="" airy-time-remaining-label-container ""&gt; &lt;div tabindex ="" - 1 ""class ="" airy-time-remaining-Vertical-centeri"&amp;"ng-table airy-Vertical-centering-table ""&gt; &lt;div tabindex = ""- 1"" class = ""airy-time-remaining-Vertical-centering-table-cell airy-Vertical-centering-table-cell""&gt; &lt;div tabindex = ""- 1"" class = ""airy-Vertical-centering-wrapper airy-time-remaining-labe"&amp;"l-wrapper ""&gt; &lt;div tabindex ="" - 1 ""class ="" airy-time-remaining-label ""style ="" visibility: hidden; ""&gt; &lt;/ div&gt; &lt;div tabi ndex = ""- 1"" class = ""airy-ad-skip"" style = ""visibility: hidden;""&gt; &lt;/ div&gt; &lt;div tabindex = ""- 1"" class = ""airy-ad-end"&amp;""" style = ""visibility: hidden ""&gt; &lt;/ div&gt; &lt;/ div&gt; &lt;/ div&gt; &lt;/ div&gt; &lt;/ div&gt; &lt;div tabindex ="" - 1 ""class ="" airy-learn-more ""style ="" visibility: hidden; ""&gt; &lt;/ div&gt; &lt;/ div&gt; &lt;div tabindex = ""- 1"" class = ""airy-play-toggle-hint-stage airy-stage airy"&amp;"-cursor""&gt; &lt;div tabindex = ""- 1"" class = ""airy-play -toggle-hint-Vertical-centering-table-cell airy-Vertical-centering-table-cell airy-cursor ""&gt; &lt;div tabindex ="" - 1 ""class ="" airy-play-toggle-hint-container airy-scalable- Hint-container ""&gt; &lt;div t"&amp;"abindex ="" - 1 ""class ="" airy-play-toggle-hint-dummy airy-scalable-dummy ""&gt; &lt;/ div&gt; &lt;div tabindex ="" - 1 ""class ="" airy-play -toggle-hint hint airy-airy-play-hint ""style ="" opacity: 1; visibility: visible; ""&gt; &lt;/ div&gt; &lt;/ div&gt; &lt;/ div&gt; &lt;/ div&gt; &lt;div"&amp;" tabindex ="" - 1 ""class ="" airy-replay-hint-stage airy-stage ""style ="" visibility: hidden ; ""&gt; &lt;div tabindex ="" - 1 ""class ="" airy-replay-hint-Vertical-centering-table-cell airy-Vertical-centering-table-cell airy-cursor ""&gt; &lt;div tabindex ="" - 1 "&amp;"""class = ""airy-replay-hint-container airy-scalable-hint-container""&gt; &lt;div tabindex = ""- 1"" class = ""airy-replay-hint-dummy airy-scalable-dummy""&gt; &lt;/ div&gt; &lt;div tabindex = ""- 1"" class = ""airy-replay-hint airy-hint""&gt; &lt;/ div&gt; &lt;/ div&gt; &lt;/ div&gt; &lt;/ div&gt; "&amp;"&lt;div tabindex = ""- 1"" class = ""airy-autoplay-hint -stage airy-stage ""style ="" visibility: hidden; ""&gt; &lt;div tabindex ="" - 1 ""class ="" airy-autoplay-hint-Vertical-centering-table-cell airy-Vertical-centering-table-cell airy- cursor ""&gt; &lt;div tabindex"&amp;" ="" - 1 ""class ="" autoplay airy-airy-hint-container-scalable-hint-container ""&gt; &lt;div tabindex ="" - 1 ""class ="" airy-autoplay-hint-dummy airy- scalable-dummy ""&gt; &lt;/ div&gt; &lt;/ div&gt; &lt;/ div&gt; &lt;/ div&gt; &lt;/ div&gt; &lt;/ div&gt; &lt;input type ="" hidden ""name ="" ""valu"&amp;"e ="" https: // images-eu .ssl-images-amazon.com / images / I / 91XtyCyQpuS.mp4 ""Class ="" video-url ""&gt; &lt;input type ="" hidden ""name ="" ""value ="" https://images-eu.ssl-images-amazon.com/images/I/81wdVIaJC6S.png ""class ="" video-slate-img-url ""&gt; &amp; "&amp;"nbsp; in my opinion is a micro lot of quality, I use it for video recording and make streams and it shows a lot of quality change of the micro to the helmets, the arm that brings it Note that it is made of very good material, fixing it is for the table is"&amp;" impressive as fixes to perfection and also does not damage the surface of the table. The micro also comes with two antipop you one that is placed in the micro and the other is external, you can also leave collected and does not take anything as seen in t"&amp;"he images. Another advantage is its installation, the micro comes to you with a fairly long USB cable allowing you a lot of play, plus the PC detects the micro to the first. I recommend it")</f>
        <v>Impressive quality &lt;div id = "video-block-R1DXVPZTA33AM2"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15 "preload =" auto "src =" https://images-eu.ssl-images-amazon.com/images/I/91XtyCyQpuS.mp4 "style =" position: absolute; left: 0px; top: 0px; overflow: hidden; height: 1px; width: 1px ; "&gt; &lt;/ video&gt; &lt;/ div&gt; &lt;div id =" airy-slate-preload "style =" background-color: rgb (0, 0, 0); background-image: url (&amp; quot; https: // images-eu.ssl-images-amazon.com/images/I/81wdVIaJC6S.png&amp;quot;); background-size: Contain; background-position: center center; background-repeat: no-repeat; position: absolute; top: 0px ; left: 0px; visibility: visible; width: 100%; height: 100%; "&gt; &lt;/ div&gt; &lt;iframe sc rolling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0:11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60.1185%;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91XtyCyQpuS.mp4 "Class =" video-url "&gt; &lt;input type =" hidden "name =" "value =" https://images-eu.ssl-images-amazon.com/images/I/81wdVIaJC6S.png "class =" video-slate-img-url "&gt; &amp; nbsp; in my opinion is a micro lot of quality, I use it for video recording and make streams and it shows a lot of quality change of the micro to the helmets, the arm that brings it Note that it is made of very good material, fixing it is for the table is impressive as fixes to perfection and also does not damage the surface of the table. The micro also comes with two antipop you one that is placed in the micro and the other is external, you can also leave collected and does not take anything as seen in the images. Another advantage is its installation, the micro comes to you with a fairly long USB cable allowing you a lot of play, plus the PC detects the micro to the first. I recommend it</v>
      </c>
    </row>
    <row r="777">
      <c r="A777" s="1">
        <v>5.0</v>
      </c>
      <c r="B777" s="1" t="s">
        <v>773</v>
      </c>
      <c r="C777" t="str">
        <f>IFERROR(__xludf.DUMMYFUNCTION("GOOGLETRANSLATE(B777, ""es"", ""en"")"),"Awesome Me has arrived safely and without, problem to play all night!")</f>
        <v>Awesome Me has arrived safely and without, problem to play all night!</v>
      </c>
    </row>
    <row r="778">
      <c r="A778" s="1">
        <v>5.0</v>
      </c>
      <c r="B778" s="1" t="s">
        <v>774</v>
      </c>
      <c r="C778" t="str">
        <f>IFERROR(__xludf.DUMMYFUNCTION("GOOGLETRANSLATE(B778, ""es"", ""en"")"),"Exceletente buy Exceletente purchase, plus the Amazon Flash offer me have gone very well priced. It is for almost exclusive use in a Samsung TV. I needed to have Bluetooth connection and occasional use power connect via cable in this section meets handsom"&amp;"ely. I needed the battery will last the maximum hours possible, with a daily average use of 2 to 3 hours, I arrived on October 7, loaded it and I have not reloaded until 19 October, almost two weeks without charging, it has battery lasted 24 to 36 hours, "&amp;"with a low volume. I think is a good battery for use I'll give. The sound, on a TV, it's pretty good, considering that much of the sound is voice, or halftones, when sounds special effects very well, and when listening to music in the series or movie of t"&amp;"he moment, I think it's quite acceptable, throwing good sound. I was a very good buy, if you do not want to sound HIFI headphones with super high quality.")</f>
        <v>Exceletente buy Exceletente purchase, plus the Amazon Flash offer me have gone very well priced. It is for almost exclusive use in a Samsung TV. I needed to have Bluetooth connection and occasional use power connect via cable in this section meets handsomely. I needed the battery will last the maximum hours possible, with a daily average use of 2 to 3 hours, I arrived on October 7, loaded it and I have not reloaded until 19 October, almost two weeks without charging, it has battery lasted 24 to 36 hours, with a low volume. I think is a good battery for use I'll give. The sound, on a TV, it's pretty good, considering that much of the sound is voice, or halftones, when sounds special effects very well, and when listening to music in the series or movie of the moment, I think it's quite acceptable, throwing good sound. I was a very good buy, if you do not want to sound HIFI headphones with super high quality.</v>
      </c>
    </row>
    <row r="779">
      <c r="A779" s="1">
        <v>5.0</v>
      </c>
      <c r="B779" s="1" t="s">
        <v>775</v>
      </c>
      <c r="C779" t="str">
        <f>IFERROR(__xludf.DUMMYFUNCTION("GOOGLETRANSLATE(B779, ""es"", ""en"")"),"Good belt Improves expectations I had this belt, even surpassing original, both the brand Garmin and Polar")</f>
        <v>Good belt Improves expectations I had this belt, even surpassing original, both the brand Garmin and Polar</v>
      </c>
    </row>
    <row r="780">
      <c r="A780" s="1">
        <v>5.0</v>
      </c>
      <c r="B780" s="1" t="s">
        <v>776</v>
      </c>
      <c r="C780" t="str">
        <f>IFERROR(__xludf.DUMMYFUNCTION("GOOGLETRANSLATE(B780, ""es"", ""en"")"),"Recommended The boots are very comfortable .. Light .. .. Apart recommend them last long .. I recommend the brand is quality and good price")</f>
        <v>Recommended The boots are very comfortable .. Light .. .. Apart recommend them last long .. I recommend the brand is quality and good price</v>
      </c>
    </row>
    <row r="781">
      <c r="A781" s="1">
        <v>5.0</v>
      </c>
      <c r="B781" s="1" t="s">
        <v>777</v>
      </c>
      <c r="C781" t="str">
        <f>IFERROR(__xludf.DUMMYFUNCTION("GOOGLETRANSLATE(B781, ""es"", ""en"")"),"Large and very good quality !! ⌚️ The truth is that it is really good for the following reasons: Pros: 😉 ✔️ The material is very good, note that quality is. ✔️ seems robust and has a moderate weight of 132 grams. ✔️ comes in a small box to protect beauti"&amp;"fully presented on shipping. ✔️ is analog and digital at the same time. So we can see the time and information in the way that we like. ✔️ is water resistant, but would not recommend bathing with him, because buttons may be losing effectiveness. ✔️ You ca"&amp;"n perform the following actions: check time and date, LED light on the top left button, alarm and stopwatch. ✔️ The strap is good quality, durable and comfortable. ✔️ is a clock that can be used for sport and to bring in everyday life. Stick with it. ✔️ i"&amp;"s really cheap for a watch of this size and apparent quality. ✔️ has one year warranty and 90 days to return it, so if we are down or whatever, we will not hit. ✔️ A being the big sphere can see everything clearly. ✔️ has a fairly intuitive to use and com"&amp;"es with a small instruction manual. ✔️ Bring a small heart-shaped pendant. Cons: 🤔 ❌ is too big for me, the pictures does not look like much. ❌ to the sport, it is one where there is contact, it can be very cumbersome and difficult enough movement. It is"&amp;" best to go running. Conclusion: 😋 If what you're looking for is a large, colorful, good quality watch and moreover cheap, this is an excellent choice. I personally do not like it so great, but I really can not say anything bad about the materials are of"&amp;" the highest quality. I recommend 100%. ╔════════════════════╗ ║ hope I have been helpful ✌️ ║ ╚═══════════════════ ═╝ &lt;a data-hook = ""product-link-linked"" class = ""link-to-normal"" href = ""/ Clock-Watches-Man-clock analog-digital-fashion-sports-multi"&amp;"function-a-test- de-water-day-of-the-alarm-de-goma-black-clock-de-bracelet / dp / B06Y2BVR2K / ref = cm_cr_arp_d_rvw_txt? ie = UTF8 ""&gt; watch, Men's Watches, analog clock Fashion digital sports multifunction test date water alarm clock black rubber bracel"&amp;"et &lt;/a&gt;")</f>
        <v>Large and very good quality !! ⌚️ The truth is that it is really good for the following reasons: Pros: 😉 ✔️ The material is very good, note that quality is. ✔️ seems robust and has a moderate weight of 132 grams. ✔️ comes in a small box to protect beautifully presented on shipping. ✔️ is analog and digital at the same time. So we can see the time and information in the way that we like. ✔️ is water resistant, but would not recommend bathing with him, because buttons may be losing effectiveness. ✔️ You can perform the following actions: check time and date, LED light on the top left button, alarm and stopwatch. ✔️ The strap is good quality, durable and comfortable. ✔️ is a clock that can be used for sport and to bring in everyday life. Stick with it. ✔️ is really cheap for a watch of this size and apparent quality. ✔️ has one year warranty and 90 days to return it, so if we are down or whatever, we will not hit. ✔️ A being the big sphere can see everything clearly. ✔️ has a fairly intuitive to use and comes with a small instruction manual. ✔️ Bring a small heart-shaped pendant. Cons: 🤔 ❌ is too big for me, the pictures does not look like much. ❌ to the sport, it is one where there is contact, it can be very cumbersome and difficult enough movement. It is best to go running. Conclusion: 😋 If what you're looking for is a large, colorful, good quality watch and moreover cheap, this is an excellent choice. I personally do not like it so great, but I really can not say anything bad about the materials are of the highest quality. I recommend 100%. ╔════════════════════╗ ║ hope I have been helpful ✌️ ║ ╚═══════════════════ ═╝ &lt;a data-hook = "product-link-linked" class = "link-to-normal" href = "/ Clock-Watches-Man-clock analog-digital-fashion-sports-multifunction-a-test- de-water-day-of-the-alarm-de-goma-black-clock-de-bracelet / dp / B06Y2BVR2K / ref = cm_cr_arp_d_rvw_txt? ie = UTF8 "&gt; watch, Men's Watches, analog clock Fashion digital sports multifunction test date water alarm clock black rubber bracelet &lt;/a&gt;</v>
      </c>
    </row>
    <row r="782">
      <c r="A782" s="1">
        <v>5.0</v>
      </c>
      <c r="B782" s="1" t="s">
        <v>778</v>
      </c>
      <c r="C782" t="str">
        <f>IFERROR(__xludf.DUMMYFUNCTION("GOOGLETRANSLATE(B782, ""es"", ""en"")"),"Perfect Product price with below market price, super")</f>
        <v>Perfect Product price with below market price, super</v>
      </c>
    </row>
    <row r="783">
      <c r="A783" s="1">
        <v>5.0</v>
      </c>
      <c r="B783" s="1" t="s">
        <v>779</v>
      </c>
      <c r="C783" t="str">
        <f>IFERROR(__xludf.DUMMYFUNCTION("GOOGLETRANSLATE(B783, ""es"", ""en"")"),"TOP Buy, Casio never disappoints. No objection regarding the clock, correct functioning and functional as expected on a Casio. Aspect is very nice. Sending one day phenomenal. This model does not come boxed, brings a velvet box type turquoise blue is that"&amp;" neither he painted. TOP purchases!")</f>
        <v>TOP Buy, Casio never disappoints. No objection regarding the clock, correct functioning and functional as expected on a Casio. Aspect is very nice. Sending one day phenomenal. This model does not come boxed, brings a velvet box type turquoise blue is that neither he painted. TOP purchases!</v>
      </c>
    </row>
    <row r="784">
      <c r="A784" s="1">
        <v>5.0</v>
      </c>
      <c r="B784" s="1" t="s">
        <v>780</v>
      </c>
      <c r="C784" t="str">
        <f>IFERROR(__xludf.DUMMYFUNCTION("GOOGLETRANSLATE(B784, ""es"", ""en"")"),"Great, what I was looking Exprime with very little effort and fast. Very easy to clean. Compared to my old wringer it is very quiet.")</f>
        <v>Great, what I was looking Exprime with very little effort and fast. Very easy to clean. Compared to my old wringer it is very quiet.</v>
      </c>
    </row>
    <row r="785">
      <c r="A785" s="1">
        <v>5.0</v>
      </c>
      <c r="B785" s="1" t="s">
        <v>781</v>
      </c>
      <c r="C785" t="str">
        <f>IFERROR(__xludf.DUMMYFUNCTION("GOOGLETRANSLATE(B785, ""es"", ""en"")"),"Great great athletes are home alone and saves us from many overloads, it helps us reduce discomfort and just a few minutes. Very easy to use and very comfortable. Definitely a tool you need to be at home to take care of our bodies.")</f>
        <v>Great great athletes are home alone and saves us from many overloads, it helps us reduce discomfort and just a few minutes. Very easy to use and very comfortable. Definitely a tool you need to be at home to take care of our bodies.</v>
      </c>
    </row>
    <row r="786">
      <c r="A786" s="1">
        <v>2.0</v>
      </c>
      <c r="B786" s="1" t="s">
        <v>782</v>
      </c>
      <c r="C786" t="str">
        <f>IFERROR(__xludf.DUMMYFUNCTION("GOOGLETRANSLATE(B786, ""es"", ""en"")"),"Fruit of the Loom sweater The product is not as described. It is a specific weight summer. Delivery Took three weeks as Opposed to 3/4 days of one another at the same time ordered. One came one supplier, this one from a different one.")</f>
        <v>Fruit of the Loom sweater The product is not as described. It is a specific weight summer. Delivery Took three weeks as Opposed to 3/4 days of one another at the same time ordered. One came one supplier, this one from a different one.</v>
      </c>
    </row>
    <row r="787">
      <c r="A787" s="1">
        <v>3.0</v>
      </c>
      <c r="B787" s="1" t="s">
        <v>783</v>
      </c>
      <c r="C787" t="str">
        <f>IFERROR(__xludf.DUMMYFUNCTION("GOOGLETRANSLATE(B787, ""es"", ""en"")"),"Neither good nor evil. The product itself is fine. But enough milk comes out.")</f>
        <v>Neither good nor evil. The product itself is fine. But enough milk comes out.</v>
      </c>
    </row>
    <row r="788">
      <c r="A788" s="1">
        <v>3.0</v>
      </c>
      <c r="B788" s="1" t="s">
        <v>784</v>
      </c>
      <c r="C788" t="str">
        <f>IFERROR(__xludf.DUMMYFUNCTION("GOOGLETRANSLATE(B788, ""es"", ""en"")"),"Boots a bit heavy is a heavy boot, should be more lijera to mountain hiking without ninfunn type of problem")</f>
        <v>Boots a bit heavy is a heavy boot, should be more lijera to mountain hiking without ninfunn type of problem</v>
      </c>
    </row>
    <row r="789">
      <c r="A789" s="1">
        <v>1.0</v>
      </c>
      <c r="B789" s="1" t="s">
        <v>785</v>
      </c>
      <c r="C789" t="str">
        <f>IFERROR(__xludf.DUMMYFUNCTION("GOOGLETRANSLATE(B789, ""es"", ""en"")"),"I ordered a size 39.5 and brought me a 38. Three times. As stated in the title, I ordered a size 39.5 and brought me a 38. But what is really amazing that after return it and ask for a replacement again bring me 38. And after return, replacement replaceme"&amp;"nt was another 38! At the end I had to give up and return the product.")</f>
        <v>I ordered a size 39.5 and brought me a 38. Three times. As stated in the title, I ordered a size 39.5 and brought me a 38. But what is really amazing that after return it and ask for a replacement again bring me 38. And after return, replacement replacement was another 38! At the end I had to give up and return the product.</v>
      </c>
    </row>
    <row r="790">
      <c r="A790" s="1">
        <v>1.0</v>
      </c>
      <c r="B790" s="1" t="s">
        <v>786</v>
      </c>
      <c r="C790" t="str">
        <f>IFERROR(__xludf.DUMMYFUNCTION("GOOGLETRANSLATE(B790, ""es"", ""en"")"),"Know how to use do not use it, not how it works, the instructions are useless.")</f>
        <v>Know how to use do not use it, not how it works, the instructions are useless.</v>
      </c>
    </row>
    <row r="791">
      <c r="A791" s="1">
        <v>4.0</v>
      </c>
      <c r="B791" s="1" t="s">
        <v>787</v>
      </c>
      <c r="C791" t="str">
        <f>IFERROR(__xludf.DUMMYFUNCTION("GOOGLETRANSLATE(B791, ""es"", ""en"")"),"Gift a gift for my daughter and very satisfied")</f>
        <v>Gift a gift for my daughter and very satisfied</v>
      </c>
    </row>
    <row r="792">
      <c r="A792" s="1">
        <v>4.0</v>
      </c>
      <c r="B792" s="1" t="s">
        <v>788</v>
      </c>
      <c r="C792" t="str">
        <f>IFERROR(__xludf.DUMMYFUNCTION("GOOGLETRANSLATE(B792, ""es"", ""en"")"),"Nice and convenient surprising strength with giving massages. In fact, if you do not have a little care, it is even painful depending on how contractures have. But ultimately it is similar to that of a powerful hand and neck massage rests considerably.")</f>
        <v>Nice and convenient surprising strength with giving massages. In fact, if you do not have a little care, it is even painful depending on how contractures have. But ultimately it is similar to that of a powerful hand and neck massage rests considerably.</v>
      </c>
    </row>
    <row r="793">
      <c r="A793" s="1">
        <v>4.0</v>
      </c>
      <c r="B793" s="1" t="s">
        <v>789</v>
      </c>
      <c r="C793" t="str">
        <f>IFERROR(__xludf.DUMMYFUNCTION("GOOGLETRANSLATE(B793, ""es"", ""en"")"),"Pretty good quality was quite surprised that you have and finishes, so if you have an odor that is unpleasant for me and I've taken weeks to remove it.")</f>
        <v>Pretty good quality was quite surprised that you have and finishes, so if you have an odor that is unpleasant for me and I've taken weeks to remove it.</v>
      </c>
    </row>
    <row r="794">
      <c r="A794" s="1">
        <v>4.0</v>
      </c>
      <c r="B794" s="1" t="s">
        <v>790</v>
      </c>
      <c r="C794" t="str">
        <f>IFERROR(__xludf.DUMMYFUNCTION("GOOGLETRANSLATE(B794, ""es"", ""en"")"),"Good managed to watch movies without going through iTunes. I was worth for what q q want is to see movies without itunes. Player omars the app is fairly well below par q copy movies to iPad quickly from the ""spike"" omars and move it to the folder of the"&amp;" vlc and ready.")</f>
        <v>Good managed to watch movies without going through iTunes. I was worth for what q q want is to see movies without itunes. Player omars the app is fairly well below par q copy movies to iPad quickly from the "spike" omars and move it to the folder of the vlc and ready.</v>
      </c>
    </row>
    <row r="795">
      <c r="A795" s="1">
        <v>5.0</v>
      </c>
      <c r="B795" s="1" t="s">
        <v>791</v>
      </c>
      <c r="C795" t="str">
        <f>IFERROR(__xludf.DUMMYFUNCTION("GOOGLETRANSLATE(B795, ""es"", ""en"")"),"good product at the moment. moment and until you spend some time to see their durability the product looks good. Good sound quality; to a high average volume fails a little low, but very acceptable. Battery not exhausted but have never charge lasts over 4"&amp;" hours is the maximum time I have been working. Anyway, happy.")</f>
        <v>good product at the moment. moment and until you spend some time to see their durability the product looks good. Good sound quality; to a high average volume fails a little low, but very acceptable. Battery not exhausted but have never charge lasts over 4 hours is the maximum time I have been working. Anyway, happy.</v>
      </c>
    </row>
    <row r="796">
      <c r="A796" s="1">
        <v>5.0</v>
      </c>
      <c r="B796" s="1" t="s">
        <v>792</v>
      </c>
      <c r="C796" t="str">
        <f>IFERROR(__xludf.DUMMYFUNCTION("GOOGLETRANSLATE(B796, ""es"", ""en"")"),"Nice, comfortable at a great price Very comfortable. I asked for my number and I'll perfection. Tb is true qie I have a finite foot and does not usually give me problems when choosing. I'm happy and the price was great as we were 44'46 €.")</f>
        <v>Nice, comfortable at a great price Very comfortable. I asked for my number and I'll perfection. Tb is true qie I have a finite foot and does not usually give me problems when choosing. I'm happy and the price was great as we were 44'46 €.</v>
      </c>
    </row>
    <row r="797">
      <c r="A797" s="1">
        <v>5.0</v>
      </c>
      <c r="B797" s="1" t="s">
        <v>793</v>
      </c>
      <c r="C797" t="str">
        <f>IFERROR(__xludf.DUMMYFUNCTION("GOOGLETRANSLATE(B797, ""es"", ""en"")"),"My pet hair brush bitch usually throw a lot of hair and normal brushes or half does not go away with this. The truth I am very pleased also that you can remove the skewers to clean more easily.")</f>
        <v>My pet hair brush bitch usually throw a lot of hair and normal brushes or half does not go away with this. The truth I am very pleased also that you can remove the skewers to clean more easily.</v>
      </c>
    </row>
    <row r="798">
      <c r="A798" s="1">
        <v>5.0</v>
      </c>
      <c r="B798" s="1" t="s">
        <v>794</v>
      </c>
      <c r="C798" t="str">
        <f>IFERROR(__xludf.DUMMYFUNCTION("GOOGLETRANSLATE(B798, ""es"", ""en"")"),"Very nice are of good quality and so worth are perfect for a detailed commitment !!")</f>
        <v>Very nice are of good quality and so worth are perfect for a detailed commitment !!</v>
      </c>
    </row>
    <row r="799">
      <c r="A799" s="1">
        <v>5.0</v>
      </c>
      <c r="B799" s="1" t="s">
        <v>795</v>
      </c>
      <c r="C799" t="str">
        <f>IFERROR(__xludf.DUMMYFUNCTION("GOOGLETRANSLATE(B799, ""es"", ""en"")"),"Easy to use practical, arrive on time indicated")</f>
        <v>Easy to use practical, arrive on time indicated</v>
      </c>
    </row>
    <row r="800">
      <c r="A800" s="1">
        <v>5.0</v>
      </c>
      <c r="B800" s="1" t="s">
        <v>524</v>
      </c>
      <c r="C800" t="str">
        <f>IFERROR(__xludf.DUMMYFUNCTION("GOOGLETRANSLATE(B800, ""es"", ""en"")"),"Brilliant brilliant")</f>
        <v>Brilliant brilliant</v>
      </c>
    </row>
    <row r="801">
      <c r="A801" s="1">
        <v>5.0</v>
      </c>
      <c r="B801" s="1" t="s">
        <v>796</v>
      </c>
      <c r="C801" t="str">
        <f>IFERROR(__xludf.DUMMYFUNCTION("GOOGLETRANSLATE(B801, ""es"", ""en"")"),"It is well priced as pictured")</f>
        <v>It is well priced as pictured</v>
      </c>
    </row>
    <row r="802">
      <c r="A802" s="1">
        <v>5.0</v>
      </c>
      <c r="B802" s="1" t="s">
        <v>797</v>
      </c>
      <c r="C802" t="str">
        <f>IFERROR(__xludf.DUMMYFUNCTION("GOOGLETRANSLATE(B802, ""es"", ""en"")"),"Just what I expected Good product")</f>
        <v>Just what I expected Good product</v>
      </c>
    </row>
    <row r="803">
      <c r="A803" s="1">
        <v>5.0</v>
      </c>
      <c r="B803" s="1" t="s">
        <v>798</v>
      </c>
      <c r="C803" t="str">
        <f>IFERROR(__xludf.DUMMYFUNCTION("GOOGLETRANSLATE(B803, ""es"", ""en"")"),"I perfect fit like a glove from day one. So comfortable and waterproof. The best boots I've had so far. Above they are of Spanish manufacture ...")</f>
        <v>I perfect fit like a glove from day one. So comfortable and waterproof. The best boots I've had so far. Above they are of Spanish manufacture ...</v>
      </c>
    </row>
    <row r="804">
      <c r="A804" s="1">
        <v>5.0</v>
      </c>
      <c r="B804" s="1" t="s">
        <v>799</v>
      </c>
      <c r="C804" t="str">
        <f>IFERROR(__xludf.DUMMYFUNCTION("GOOGLETRANSLATE(B804, ""es"", ""en"")"),"Perfect for gift giving perfect for gift giving")</f>
        <v>Perfect for gift giving perfect for gift giving</v>
      </c>
    </row>
    <row r="805">
      <c r="A805" s="1">
        <v>5.0</v>
      </c>
      <c r="B805" s="1" t="s">
        <v>800</v>
      </c>
      <c r="C805" t="str">
        <f>IFERROR(__xludf.DUMMYFUNCTION("GOOGLETRANSLATE(B805, ""es"", ""en"")"),"Perfect is very comfortable and very fresh. Besides this type of lavas tected when there is virtually be ironed")</f>
        <v>Perfect is very comfortable and very fresh. Besides this type of lavas tected when there is virtually be ironed</v>
      </c>
    </row>
    <row r="806">
      <c r="A806" s="1">
        <v>5.0</v>
      </c>
      <c r="B806" s="1" t="s">
        <v>801</v>
      </c>
      <c r="C806" t="str">
        <f>IFERROR(__xludf.DUMMYFUNCTION("GOOGLETRANSLATE(B806, ""es"", ""en"")"),"Customer Amazon Very good works clock to perfection, my mother has one for many years and has never failed so I decided on this and the truth that so far I have no hits, has a very simple operation and it comes to you with two batteries, would definitely "&amp;"recommend")</f>
        <v>Customer Amazon Very good works clock to perfection, my mother has one for many years and has never failed so I decided on this and the truth that so far I have no hits, has a very simple operation and it comes to you with two batteries, would definitely recommend</v>
      </c>
    </row>
    <row r="807">
      <c r="A807" s="1">
        <v>5.0</v>
      </c>
      <c r="B807" s="1" t="s">
        <v>802</v>
      </c>
      <c r="C807" t="str">
        <f>IFERROR(__xludf.DUMMYFUNCTION("GOOGLETRANSLATE(B807, ""es"", ""en"")"),"I did not change very good bottle. Comfortable and right size. I use it since my daughter was born and is perfect")</f>
        <v>I did not change very good bottle. Comfortable and right size. I use it since my daughter was born and is perfect</v>
      </c>
    </row>
    <row r="808">
      <c r="A808" s="1">
        <v>5.0</v>
      </c>
      <c r="B808" s="1" t="s">
        <v>803</v>
      </c>
      <c r="C808" t="str">
        <f>IFERROR(__xludf.DUMMYFUNCTION("GOOGLETRANSLATE(B808, ""es"", ""en"")"),"Perfect, good quality. They are a very good sport for the day-to-day, high quality and perfect for the city. Nice and comfortable, very wearable.")</f>
        <v>Perfect, good quality. They are a very good sport for the day-to-day, high quality and perfect for the city. Nice and comfortable, very wearable.</v>
      </c>
    </row>
    <row r="809">
      <c r="A809" s="1">
        <v>5.0</v>
      </c>
      <c r="B809" s="1" t="s">
        <v>804</v>
      </c>
      <c r="C809" t="str">
        <f>IFERROR(__xludf.DUMMYFUNCTION("GOOGLETRANSLATE(B809, ""es"", ""en"")"),"Alegria I ate two cubs have cable and I thought I would not find the same, and like a glove")</f>
        <v>Alegria I ate two cubs have cable and I thought I would not find the same, and like a glove</v>
      </c>
    </row>
    <row r="810">
      <c r="A810" s="1">
        <v>5.0</v>
      </c>
      <c r="B810" s="1" t="s">
        <v>805</v>
      </c>
      <c r="C810" t="str">
        <f>IFERROR(__xludf.DUMMYFUNCTION("GOOGLETRANSLATE(B810, ""es"", ""en"")"),"As the perfect hoped. Very comfortable to wear non-laces, perfect for summer, very basic and elegant to be completely black.")</f>
        <v>As the perfect hoped. Very comfortable to wear non-laces, perfect for summer, very basic and elegant to be completely black.</v>
      </c>
    </row>
    <row r="811">
      <c r="A811" s="1">
        <v>5.0</v>
      </c>
      <c r="B811" s="1" t="s">
        <v>806</v>
      </c>
      <c r="C811" t="str">
        <f>IFERROR(__xludf.DUMMYFUNCTION("GOOGLETRANSLATE(B811, ""es"", ""en"")"),"wireless headphones I liked a lot, hard drums and heard pretty good quality, bluetooth gives quite a distance. I use to run and I are going well. They also come with charger, and spare parts to keep estuchito")</f>
        <v>wireless headphones I liked a lot, hard drums and heard pretty good quality, bluetooth gives quite a distance. I use to run and I are going well. They also come with charger, and spare parts to keep estuchito</v>
      </c>
    </row>
    <row r="812">
      <c r="A812" s="1">
        <v>5.0</v>
      </c>
      <c r="B812" s="1" t="s">
        <v>807</v>
      </c>
      <c r="C812" t="str">
        <f>IFERROR(__xludf.DUMMYFUNCTION("GOOGLETRANSLATE(B812, ""es"", ""en"")"),"Small size compared to other brands. The've had to return despite being a good deal. This brand small size relative to other brands such as Reebok or Nike. There is a difference of about half a centimeter. The particular model is also narrower than a Reeb"&amp;"ok Classic for example so must be taken into account before launching into buying.")</f>
        <v>Small size compared to other brands. The've had to return despite being a good deal. This brand small size relative to other brands such as Reebok or Nike. There is a difference of about half a centimeter. The particular model is also narrower than a Reebok Classic for example so must be taken into account before launching into buying.</v>
      </c>
    </row>
    <row r="813">
      <c r="A813" s="1">
        <v>5.0</v>
      </c>
      <c r="B813" s="1" t="s">
        <v>808</v>
      </c>
      <c r="C813" t="str">
        <f>IFERROR(__xludf.DUMMYFUNCTION("GOOGLETRANSLATE(B813, ""es"", ""en"")"),"Very, very satisfied it because the heat these days, but the only fault I find is moisture on the pads in contact with the ear after a while of use. The rest, very good sound, excellent noise cancellation (tested on a plane, eliminates hum of the engines)"&amp;" and very good battery life. To understand, it has three modes: With cable and off: work without using battery power, with a sound slightly off and not work any of the touch controls. With cable and lit: spend battery and the expected sound is clear and p"&amp;"recise. Fast listening mode works by plugging the handset but do not touch the controls. It can be used with or without cancellation. Without cable: same as above but with touch controls working. There is no appreciable difference between the latter two o"&amp;"ptions sound level. Also it has three listening modes regarding cancellation: -Cancellation off. As a traditional headphones. -Cancellation on. Eliminates much of the bass constant as engines, buzzes and others, but not sharp, so you can hear the high-pit"&amp;"ched voices. -Mode sound environment. Ambient sound mix with music, simulating a open headphones. In short, very satisfied with the purchase.")</f>
        <v>Very, very satisfied it because the heat these days, but the only fault I find is moisture on the pads in contact with the ear after a while of use. The rest, very good sound, excellent noise cancellation (tested on a plane, eliminates hum of the engines) and very good battery life. To understand, it has three modes: With cable and off: work without using battery power, with a sound slightly off and not work any of the touch controls. With cable and lit: spend battery and the expected sound is clear and precise. Fast listening mode works by plugging the handset but do not touch the controls. It can be used with or without cancellation. Without cable: same as above but with touch controls working. There is no appreciable difference between the latter two options sound level. Also it has three listening modes regarding cancellation: -Cancellation off. As a traditional headphones. -Cancellation on. Eliminates much of the bass constant as engines, buzzes and others, but not sharp, so you can hear the high-pitched voices. -Mode sound environment. Ambient sound mix with music, simulating a open headphones. In short, very satisfied with the purchase.</v>
      </c>
    </row>
    <row r="814">
      <c r="A814" s="1">
        <v>2.0</v>
      </c>
      <c r="B814" s="1" t="s">
        <v>809</v>
      </c>
      <c r="C814" t="str">
        <f>IFERROR(__xludf.DUMMYFUNCTION("GOOGLETRANSLATE(B814, ""es"", ""en"")"),"I do not like money, I do not recommend it. I know it's not an iron face, but it is not comfortable and you have to make enough pressure.")</f>
        <v>I do not like money, I do not recommend it. I know it's not an iron face, but it is not comfortable and you have to make enough pressure.</v>
      </c>
    </row>
    <row r="815">
      <c r="A815" s="1">
        <v>3.0</v>
      </c>
      <c r="B815" s="1" t="s">
        <v>810</v>
      </c>
      <c r="C815" t="str">
        <f>IFERROR(__xludf.DUMMYFUNCTION("GOOGLETRANSLATE(B815, ""es"", ""en"")"),"It's okay to protect breakage if used for l glass bottle is good protection for blows and falls (without this cover, the other bottle to the fall broke me). It does not keep the heat from the food, although the glass bottle holds longer than plastic. Velc"&amp;"ro is easily opened.")</f>
        <v>It's okay to protect breakage if used for l glass bottle is good protection for blows and falls (without this cover, the other bottle to the fall broke me). It does not keep the heat from the food, although the glass bottle holds longer than plastic. Velcro is easily opened.</v>
      </c>
    </row>
    <row r="816">
      <c r="A816" s="1">
        <v>3.0</v>
      </c>
      <c r="B816" s="1" t="s">
        <v>811</v>
      </c>
      <c r="C816" t="str">
        <f>IFERROR(__xludf.DUMMYFUNCTION("GOOGLETRANSLATE(B816, ""es"", ""en"")"),"MATERIAL a little thin The seller excellent but the product is very fine. I have this brand for years but every time you buy it is noted that the low quality. Are garments economic but the last time a few years ago to today, the quality has bajadado much "&amp;"much, very fine garment.")</f>
        <v>MATERIAL a little thin The seller excellent but the product is very fine. I have this brand for years but every time you buy it is noted that the low quality. Are garments economic but the last time a few years ago to today, the quality has bajadado much much, very fine garment.</v>
      </c>
    </row>
    <row r="817">
      <c r="A817" s="1">
        <v>1.0</v>
      </c>
      <c r="B817" s="1" t="s">
        <v>812</v>
      </c>
      <c r="C817" t="str">
        <f>IFERROR(__xludf.DUMMYFUNCTION("GOOGLETRANSLATE(B817, ""es"", ""en"")"),"Stops working year. A year of use has stopped working properly, barely heard over have not given me any solution.")</f>
        <v>Stops working year. A year of use has stopped working properly, barely heard over have not given me any solution.</v>
      </c>
    </row>
    <row r="818">
      <c r="A818" s="1">
        <v>1.0</v>
      </c>
      <c r="B818" s="1" t="s">
        <v>813</v>
      </c>
      <c r="C818" t="str">
        <f>IFERROR(__xludf.DUMMYFUNCTION("GOOGLETRANSLATE(B818, ""es"", ""en"")"),"I bought some shoes BAD QUALITY equal security but the gray and after 2 months were broken by the poor quality of the shoe. Attached image.")</f>
        <v>I bought some shoes BAD QUALITY equal security but the gray and after 2 months were broken by the poor quality of the shoe. Attached image.</v>
      </c>
    </row>
    <row r="819">
      <c r="A819" s="1">
        <v>4.0</v>
      </c>
      <c r="B819" s="1" t="s">
        <v>814</v>
      </c>
      <c r="C819" t="str">
        <f>IFERROR(__xludf.DUMMYFUNCTION("GOOGLETRANSLATE(B819, ""es"", ""en"")"),"I like a little big but very nice")</f>
        <v>I like a little big but very nice</v>
      </c>
    </row>
    <row r="820">
      <c r="A820" s="1">
        <v>4.0</v>
      </c>
      <c r="B820" s="1" t="s">
        <v>815</v>
      </c>
      <c r="C820" t="str">
        <f>IFERROR(__xludf.DUMMYFUNCTION("GOOGLETRANSLATE(B820, ""es"", ""en"")"),"Good looks are heard well, but very thin long cable, I do not think they are very durable, with pillows come in my ear a little tight")</f>
        <v>Good looks are heard well, but very thin long cable, I do not think they are very durable, with pillows come in my ear a little tight</v>
      </c>
    </row>
    <row r="821">
      <c r="A821" s="1">
        <v>4.0</v>
      </c>
      <c r="B821" s="1" t="s">
        <v>816</v>
      </c>
      <c r="C821" t="str">
        <f>IFERROR(__xludf.DUMMYFUNCTION("GOOGLETRANSLATE(B821, ""es"", ""en"")"),"Snow good note good waterproofing keeps feet dry and warm in the snow")</f>
        <v>Snow good note good waterproofing keeps feet dry and warm in the snow</v>
      </c>
    </row>
    <row r="822">
      <c r="A822" s="1">
        <v>4.0</v>
      </c>
      <c r="B822" s="1" t="s">
        <v>817</v>
      </c>
      <c r="C822" t="str">
        <f>IFERROR(__xludf.DUMMYFUNCTION("GOOGLETRANSLATE(B822, ""es"", ""en"")"),"It looks like something big quality cable and bend it costs compared to others who have, therefore gives a sense of robustness.")</f>
        <v>It looks like something big quality cable and bend it costs compared to others who have, therefore gives a sense of robustness.</v>
      </c>
    </row>
    <row r="823">
      <c r="A823" s="1">
        <v>4.0</v>
      </c>
      <c r="B823" s="1" t="s">
        <v>818</v>
      </c>
      <c r="C823" t="str">
        <f>IFERROR(__xludf.DUMMYFUNCTION("GOOGLETRANSLATE(B823, ""es"", ""en"")"),"Good for daily cleaning &lt;div id = ""video-block-R1GCBZ3X1Q62QT"" class = ""a-section a-spacing-small a-spacing-top mini video-block""&gt; &lt;div tabindex = ""0"" class = ""airy airy-svg vmin-unsupported airy-skin-beacon ""style ="" background-color: rgb (0, 0,"&amp;" 0) position: relative; width: 100%; height: 100%; font-size: 0px; overflow: hidden; outline: none; ""&gt; &lt;div class ="" airy-renderer-container ""style ="" position: relative; height: 100%; width: 100%; ""&gt; &lt;video id ="" 7 ""preload ="" auto "" src = ""htt"&amp;"ps://images-eu.ssl-images-amazon.com/images/I/C1t46gYgL3S.mp4"" style = ""position: absolute; left: 0px; top: 0px; overflow: hidden; height: 1px; width: 1px; ""&gt; &lt;/ video&gt; &lt;/ div&gt; &lt;div id ="" airy-slate-preload ""style ="" background-color: rgb (0, 0, 0);"&amp;" background-image: url (&amp; quot; https : //images-eu.ssl-images-amazon.com/images/I/91fz+TWDdBS.png&amp;quot;); background-size: Contain; background-position: center center; background-repeat: no-repeat; position: absolute; top: 0px; left: 0px; visibility: vis"&amp;"ible; width: 100%; height: 100%; ""&gt; &lt;/ div&gt; &lt;ifr love scrolling = ""no"" frameborder = ""0"" src = ""about: blank"" style = ""display: none;""&gt; &lt;/ iframe&gt; &lt;div tabindex = ""- 1"" class = ""airy-controls-container"" style = ""opacity: 0; visibility: hidde"&amp;"n; ""&gt; &lt;div tabindex ="" - 1 ""class ="" airy-screen-size-toggle airy-fullscreen ""&gt; &lt;/ div&gt; &lt;div tabindex ="" - 1 ""class ="" airy-container-bottom "" &gt; &lt;div tabindex = ""- 1"" class = ""airy-track-bar-spacer-left"" style = ""width: 11px;""&gt; &lt;/ div&gt; &lt;div"&amp;" tabindex = ""- 1"" class = ""airy-play- airy toggle-play ""style ="" width: 12px; margin-right: 12px; ""&gt; &lt;/ div&gt; &lt;div tabindex ="" - 1 ""class ="" airy-audio-elements ""style ="" float: right; width: 34px; ""&gt; &lt;div tabindex ="" - 1 ""class ="" airy-audi"&amp;"o-toggle airy-on ""&gt; &lt;/ div&gt; &lt;div tabindex ="" - 1 ""class ="" airy-audio-container ""style = ""opacity: 0; visibility: hidden; ""&gt; &lt;div tabindex ="" - 1 ""class ="" airy-audio-track-bar ""style ="" height: 80%; ""&gt; &lt;div tabindex ="" - 1 ""class ="" airy-"&amp;"audio- Scrubber-bar ""style ="" height: 85%; ""&gt; &lt;/ div&gt; &lt;div tabindex ="" - 1 ""class ="" airy-audio-scrubber ""style ="" height: 12px; bottom: 85% ""&gt; &lt;/ div&gt; &lt;/ div&gt; &lt;/ div&gt; &lt;/ div&gt; &lt;div tabindex ="" - 1 ""class ="" airy-duration-label ""style ="" floa"&amp;"t: right; width: 26px; margin-right: 4px; text-align: center; ""&gt; 1:24 &lt;/ div&gt; &lt;div tabindex ="" - 1 ""class ="" airy-track-bar-spacer-right ""style ="" float: right; width: 11px; ""&gt; &lt;/ div&gt; &lt;div tabindex ="" - 1 ""class ="" airy-track-bar-container ""st"&amp;"yle ="" margin-left: 35px; margin-right: 75px; ""&gt; &lt;div tabindex ="" - 1 ""class ="" airy-airy-track-bar vertically-centering-table ""&gt; &lt;div tabindex ="" - 1 ""class ="" airy-Vertical-centering- table-cell ""&gt; &lt;div tabindex ="" - 1 ""class ="" airy-track-"&amp;"bar-elements ""&gt; &lt;div tabindex ="" - 1 ""class ="" airy-progress-bar ""style ="" width: 25.4032%; ""&gt; &lt;/ div&gt; &lt;div tabindex ="" - 1 ""class ="" airy-scrubber-bar ""&gt; &lt;/ div&gt; &lt;div tabindex ="" - 1 ""class ="" airy-scrubber ""&gt; &lt;div tabindex ="" - 1 ""class"&amp;" ="" airy-scrubber-icon ""&gt; &lt;/ div&gt; &lt;div tabindex ="" - 1 ""class ="" airy-adjusted-AUI-tooltip ""style ="" opacity: 0; visibility: hidden; ""&gt; &lt;div tabindex ="" - 1 ""class ="" airy-adjusted-aui-tooltip-inner ""&gt; &lt;div tabindex ="" - 1 ""class ="" airy-cu"&amp;"rrent-time-label ""&gt; 0: 00 &lt;/ div&gt; &lt;/ div&gt; &lt;div tabindex = ""- 1"" class = ""airy-adjusted-AUI-arrow-border""&gt; &lt;div tabindex = ""- 1"" class = ""airy-adjusted-AUI-arrow"" &gt; &lt;/ div&gt; &lt;/ div&gt; &lt;/ div&gt; &lt;/ div&gt; &lt;/ div&gt; &lt;/ div&gt; &lt;/ div&gt; &lt;/ div&gt; &lt;/ div&gt; &lt;/ div&gt; &lt;d"&amp;"iv tabindex = ""- 1"" class = ""airy-age-gate airy-stage airy-Vertical-centering-table airy-dialog"" style = ""opacity: 0; visibility: hidden; ""&gt; &lt;div tabindex ="" - 1 ""class ="" airy-age-gate-Vertical-centering-table-cell airy-Vertical-centering-table-"&amp;"cell ""&gt; &lt;div tabindex ="" - 1 ""class = ""airy-Vertical-centering-wrapper airy-age-gate-elements-wrapper""&gt; &lt;div tabindex = ""- 1"" class = ""airy-age-gate-elements airy-dialog-elements""&gt; &lt;div tabindex = "" -1 ""class ="" airy-age-gate-prompt ""&gt; This v"&amp;"ideo is not Intended for all audiences What date were you born &lt;/ div&gt; &lt;div tabindex =.?"" - 1 ""class ="" airy-age-gate -inputs airy-dialog-inner-elements ""&gt; &lt;select tabindex ="" - 1 ""class ="" airy-age-gate-month ""&gt; &lt;option value ="" 1 ""&gt; January &lt;/"&amp;" option&gt; &lt;option value ="" 2 ""&gt; February &lt;/ option&gt; &lt;option value ="" 3 ""&gt; March &lt;/ option&gt; &lt;option value ="" 4 ""&gt; April &lt;/ option&gt; &lt;option value ="" 5 ""&gt; May &lt;/ option&gt; &lt;option value = ""6""&gt; June &lt;/ option&gt; &lt;option value = ""7""&gt; July &lt;/ option&gt; &lt;op"&amp;"tion value = ""8""&gt; August &lt;/ option&gt; &lt;option value = ""9""&gt; September &lt;/ option&gt; &lt;option value = ""10""&gt; October &lt;/ option&gt; &lt;option value = ""11""&gt; November &lt;/ option&gt; &lt;option value = ""12""&gt; December &lt;/ option&gt; &lt;/ select&gt; &lt;select tabindex = ""- 1"" clas"&amp;"s = ""airy-age-gate-day""&gt; &lt;opti on value = ""1""&gt; 1 &lt;/ option&gt; &lt;option value = ""2""&gt; 2 &lt;/ option&gt; &lt;option value = ""3""&gt; 3 &lt;/ option&gt; &lt;option value = ""4""&gt; 4 &lt;/ option &gt; &lt;option value = ""5""&gt; 5 &lt;/ option&gt; &lt;option value = ""6""&gt; 6 &lt;/ option&gt; &lt;option va"&amp;"lue = ""7""&gt; 7 &lt;/ option&gt; &lt;option value = ""8""&gt; 8 &lt; / option&gt; &lt;option value = ""9""&gt; 9 &lt;/ option&gt; &lt;option value = ""10""&gt; 10 &lt;/ option&gt; &lt;option value = ""11""&gt; 11 &lt;/ option&gt; &lt;option value = ""12""&gt; 12 &lt;/ option&gt; &lt;option value = ""13""&gt; 13 &lt;/ option&gt; &lt;opt"&amp;"ion value = ""14""&gt; 14 &lt;/ option&gt; &lt;option value = ""15""&gt; 15 &lt;/ option&gt; &lt;option value = ""16 ""&gt; 16 &lt;/ option&gt; &lt;option value ="" 17 ""&gt; 17 &lt;/ option&gt; &lt;option value ="" 18 ""&gt; 18 &lt;/ option&gt; &lt;option value ="" 19 ""&gt; 19 &lt;/ option&gt; &lt;option value = ""20""&gt; 20 "&amp;"&lt;/ option&gt; &lt;option value = ""21""&gt; 21 &lt;/ option&gt; &lt;option value = ""22""&gt; 22 &lt;/ option&gt; &lt;option value = ""23""&gt; 23 &lt;/ option&gt; &lt;option value = ""24""&gt; 24 &lt;/ option&gt; &lt;option value = ""25""&gt; 25 &lt;/ option&gt; &lt;option value = ""26""&gt; 26 &lt;/ option&gt; &lt;option value = "&amp;"""27""&gt; 27 &lt;/ option&gt; &lt;option value = ""28""&gt; 28 &lt;/ option&gt; &lt;option value = ""29""&gt; 29 &lt;/ option&gt; &lt;option value = ""30""&gt; 30 &lt;/ option&gt; &lt;option value = ""31""&gt; 31 &lt;/ option&gt; &lt;/ select&gt; &lt;select tabindex = ""- 1"" class = ""airy-age-gate-year""&gt; &lt;option val"&amp;"ue = ""2019""&gt; 2019 &lt;/ option&gt; &lt; option value = ""2018""&gt; 2018 &lt;/ option&gt; &lt;option value = ""2017""&gt; 2017 &lt;/ option&gt; &lt;option value = ""2016""&gt; ​​2016 &lt;/ option&gt; &lt;option value = ""2015""&gt; 2015 &lt;/ option &gt; &lt;option value = ""2014""&gt; 2014 &lt;/ option&gt; &lt;option va"&amp;"lue = ""2013""&gt; 2013 &lt;/ option&gt; &lt;option value = ""2012""&gt; 2012 &lt;/ option&gt; &lt;option value = ""2011""&gt; 2011 &lt; / option&gt; &lt;option value = ""2010""&gt; 2010 &lt;/ option&gt; &lt;option value = ""2009""&gt; 2009 &lt;/ option&gt; &lt;option value = ""2008""&gt; 2008 &lt;/ option&gt; &lt;option valu"&amp;"e = ""2007""&gt; 2007 &lt;/ option&gt; &lt;option value = ""2006""&gt; 2006 &lt;/ option&gt; &lt;option value = ""2005""&gt; 2005 &lt;/ option&gt; &lt;option value = ""2004""&gt; 2004 &lt;/ option&gt; &lt;option value = ""2003 ""&gt; 2003 &lt;/ option&gt; &lt;option value ="" 2002 ""&gt; 2002 &lt;/ option&gt; &lt;option value"&amp;" ="" 2001 ""&gt; 2001 &lt;/ option&gt; &lt;option value ="" 2000 ""&gt; 2000 &lt;/ option&gt; &lt;option value = ""1999""&gt; 1999 &lt;/ option&gt; &lt;option value = ""1998""&gt; 1998 &lt;/ option&gt; &lt;option value = ""1997""&gt; 1997 &lt;/ option&gt; &lt;option value = ""1996""&gt; 1996 &lt;/ option&gt; &lt;option value "&amp;"= ""1995""&gt; 1995 &lt;/ option&gt; &lt;option value = ""1994""&gt; 1994 &lt;/ option&gt; &lt;option value = ""1993""&gt; 1993 &lt;/ option&gt; &lt;option value = ""1992""&gt; 1992 &lt;/ option&gt; &lt;option value = ""1991""&gt; 1991 &lt;/ option&gt; &lt;option value = ""1990""&gt; 1990 &lt;/ option&gt; &lt;option value = "&amp;""" 1989 ""&gt; 1989 &lt;/ option&gt; &lt;option value ="" 1988 ""&gt; 1988 &lt;/ option&gt; &lt;option value ="" 1987 ""&gt; 1987 &lt;/ option&gt; &lt;option value ="" 1986 ""&gt; 1986 &lt;/ option&gt; &lt;value option = ""1985""&gt; 1985 &lt;/ option&gt; &lt;option value = ""1984""&gt; 1984 &lt;/ option&gt; &lt;option value "&amp;"= ""1983""&gt; 1983 &lt;/ option&gt; &lt;option value = ""1982""&gt; 1982 &lt;/ option&gt; &lt; option value = ""1981""&gt; 1981 &lt;/ option&gt; &lt;option value = ""1980""&gt; 1980 &lt;/ option&gt; &lt;option value = ""1979""&gt; 1979 &lt;/ option&gt; &lt;option value = ""1978""&gt; 1978 &lt;/ option &gt; &lt;option value ="&amp;" ""1977""&gt; 1977 &lt;/ option&gt; &lt;option value = ""1976""&gt; 1976 &lt;/ option&gt; &lt;option value = ""1975""&gt; 1975 &lt;/ option&gt; &lt;option value = ""1974""&gt; 1974 &lt; / option&gt; &lt;option value = ""1973""&gt; 1973 &lt;/ option&gt; &lt;option value = ""1972""&gt; 1972 &lt;/ option&gt; &lt;option value = "&amp;"""1971""&gt; 1971 &lt;/ option&gt; &lt;option value = ""1970""&gt; 1970 &lt;/ option&gt; &lt;option value = ""1969""&gt; 1969 &lt;/ option&gt; &lt;option value = ""1968""&gt; 1968 &lt;/ option&gt; &lt;option value = ""1967""&gt; 1967 &lt;/ option&gt; &lt;option value = ""1966 ""&gt; 1966 &lt;/ option&gt; &lt;option value ="" "&amp;"1965 ""&gt; 1965 &lt;/ option&gt; &lt;option value ="" 1964 ""&gt; 1964 &lt;/ option&gt; &lt;option value ="" 1963 ""&gt; 1963 &lt;/ option&gt; &lt;option value = ""1962""&gt; 1962 &lt;/ option&gt; &lt;option value = ""1961""&gt; 1961 &lt;/ option&gt; &lt;option value = ""1960""&gt; 1960 &lt;/ op tion&gt; &lt;option value = "&amp;"""1959""&gt; 1959 &lt;/ option&gt; &lt;option value = ""1958""&gt; 1958 &lt;/ option&gt; &lt;option value = ""1957""&gt; 1957 &lt;/ option&gt; &lt;option value = ""1956""&gt; 1956 &lt;/ option&gt; &lt;option value = ""1955""&gt; 1955 &lt;/ option&gt; &lt;option value = ""1954""&gt; 1954 &lt;/ option&gt; &lt;option value = ""1"&amp;"953""&gt; 1953 &lt;/ option&gt; &lt;option value = ""1952"" &gt; 1952 &lt;/ option&gt; &lt;option value = ""1951""&gt; 1951 &lt;/ option&gt; &lt;option value = ""1950""&gt; 1950 &lt;/ option&gt; &lt;option value = ""1949""&gt; 1949 &lt;/ option&gt; &lt;option value = "" 1948 ""&gt; 1948 &lt;/ option&gt; &lt;option value ="" 1"&amp;"947 ""&gt; 1947 &lt;/ option&gt; &lt;option value ="" 1946 ""&gt; 1946 &lt;/ option&gt; &lt;option value ="" 1945 ""&gt; 1945 &lt;/ option&gt; &lt;value option = ""1944""&gt; 1944 &lt;/ option&gt; &lt;option value = ""1943""&gt; 1943 &lt;/ option&gt; &lt;option value = ""1942""&gt; 1942 &lt;/ option&gt; &lt;option value = ""1"&amp;"941""&gt; 1941 &lt;/ option&gt; &lt; option value = ""1940""&gt; 1940 &lt;/ option&gt; &lt;option value = ""1939""&gt; 1939 &lt;/ option&gt; &lt;option value = ""1938""&gt; 1938 &lt;/ option&gt; &lt;option value = ""1937""&gt; 1937 &lt;/ option &gt; &lt;option value = ""1936""&gt; 1936 &lt;/ option&gt; &lt;option value = ""19"&amp;"35""&gt; 1935 &lt;/ option&gt; &lt;option value = ""1934""&gt; 1934 &lt;/ option&gt; &lt;option value = ""1933""&gt; 1933 &lt; / option&gt; &lt;option value = ""1932""&gt; 1932 &lt;/ option&gt; &lt;option value = ""1931""&gt; 1931 &lt;/ option&gt; &lt;option v alue = ""1930""&gt; 1930 &lt;/ option&gt; &lt;option value = ""192"&amp;"9""&gt; 1929 &lt;/ option&gt; &lt;option value = ""1928""&gt; 1928 &lt;/ option&gt; &lt;option value = ""1927""&gt; 1927 &lt;/ option&gt; &lt;option value = ""1926""&gt; 1926 &lt;/ option&gt; &lt;option value = ""1925""&gt; 1925 &lt;/ option&gt; &lt;option value = ""1924""&gt; 1924 &lt;/ option&gt; &lt;option value = ""1923"""&amp;"&gt; 1923 &lt;/ option&gt; &lt;option value = ""1922""&gt; 1922 &lt;/ option&gt; &lt;option value = ""1921""&gt; 1921 &lt;/ option&gt; &lt;option value = ""1920""&gt; 1920 &lt;/ option&gt; &lt;option value = ""1919""&gt; 1919 &lt;/ option&gt; &lt;option value = ""1918""&gt; 1918 &lt;/ option&gt; &lt;option value = ""1917""&gt; 1"&amp;"917 &lt;/ option&gt; &lt;option value = ""1916""&gt; 1916 &lt;/ option&gt; &lt;option value = ""1915"" &gt; 1915 &lt;/ option&gt; &lt;option value = ""1914""&gt; 1914 &lt;/ option&gt; &lt;option value = ""1913""&gt; 1913 &lt;/ option&gt; &lt;option value = ""1912""&gt; 1912 &lt;/ option&gt; &lt;option value = "" 1911 ""&gt; 1"&amp;"911 &lt;/ option&gt; &lt;option value ="" 1910 ""&gt; 1910 &lt;/ option&gt; &lt;option value ="" 1909 ""&gt; 1909 &lt;/ option&gt; &lt;option value ="" 1908 ""&gt; 1908 &lt;/ option&gt; &lt;value option = ""1907""&gt; 1907 &lt;/ option&gt; &lt;option value = ""1906""&gt; 1906 &lt;/ option&gt; &lt;option value = ""1905""&gt; 1"&amp;"905 &lt;/ option&gt; &lt;option value = ""1904""&gt; 1904 &lt;/ option&gt; &lt; option value = ""1903""&gt; 1903 &lt;/ option&gt; &lt;option value = ""1902""&gt; 1902 &lt;/ option&gt; &lt;option value = ""1901""&gt; 19 01 &lt;/ option&gt; &lt;option value = ""1900""&gt; 1900 &lt;/ option&gt; &lt;/ select&gt; &lt;div tabindex = "&amp;"""- 1"" class = ""airy-age-gate-submit airy-submit-button airy airy-submit- disabled ""&gt; Submit &lt;/ div&gt; &lt;/ div&gt; &lt;/ div&gt; &lt;/ div&gt; &lt;/ div&gt; &lt;/ div&gt; &lt;div tabindex ="" - 1 ""class ="" airy-install-flash-dialog airy-stage airy -vertical-centering-table-dialog ai"&amp;"ry airy-denied ""style ="" opacity: 0; visibility: hidden; ""&gt; &lt;div tabindex ="" - 1 ""class ="" airy-install-flash-Vertical-centering-table-cell airy-Vertical-centering-table-cell ""&gt; &lt;div tabindex ="" - 1 ""class = ""airy-Vertical-centering-wrapper airy"&amp;"-install-flash-elements-wrapper""&gt; &lt;div tabindex = ""- 1"" class = ""airy-install-flash-elements airy-dialog-elements""&gt; &lt;div tabindex = "" -1 ""class ="" airy-install-flash-prompt ""&gt; Adobe Flash Player is required to watch this video &lt;/ div&gt; &lt;div tabind"&amp;"ex =."" - 1 ""class ="" airy-install-flash-button-wrapper airy -dialog-inner-elements ""&gt; &lt;div tabindex ="" - 1 ""class ="" airy-install-flash-button airy-button ""&gt; install Flash Player &lt;/ div&gt; &lt;/ div&gt; &lt;/ div&gt; &lt;/ div&gt; &lt;/ div&gt; &lt;/ div&gt; &lt;div tabindex = ""- "&amp;"1"" class = ""airy-video-unsupported-dialog airy-stage airy-Vertical-centering-table airy-dialog airy-denied"" style = ""opacity: 0; visibility: hidden; ""&gt; &lt;div tabindex ="" - 1 ""class ="" airy-video-unsupported-Vertical-centering-table-cell airy-Vertic"&amp;"al-centering-table-cell ""&gt; &lt;div tabindex ="" - 1 ""class = ""airy-Vertical-centering-wrapper airy-video-unsupported-elements-wrapper""&gt; &lt;div tabindex = ""- 1"" class = ""airy-video-unsupported-elements airy-dialog-elements""&gt; &lt;div tabindex = "" -1 ""clas"&amp;"s ="" airy-video-unsupported-prompt ""&gt; &lt;/ div&gt; &lt;/ div&gt; &lt;/ div&gt; &lt;/ div&gt; &lt;/ div&gt; &lt;div tabindex ="" - 1 ""class ="" airy-loading- spinner-stage airy-stage ""&gt; &lt;div tabindex ="" - 1 ""class ="" airy-loading-spinner-Vertical-centering-table-cell airy-Vertical"&amp;"-centering-table-cell ""&gt; &lt;div tabindex ="" - 1 ""class ="" airy-loading-spinner-container airy-scalable-hint-container ""&gt; &lt;div tabindex ="" - 1 ""class ="" airy-loading-spinner-dummy airy-scalable-dummy ""&gt; &lt;/ div&gt; &lt; div tabindex = ""- 1"" class = ""air"&amp;"y-loading-spinner airy-hint"" style = ""visibility: hidden;""&gt; &lt;/ div&gt; &lt;/ div&gt; &lt;/ div&gt; &lt;/ div&gt; &lt;div tabindex = ""- 1 ""class ="" airy-ads-screen-size-toggle airy-screen-size-toggle-fullscreen airy ""style ="" visibility: hidden; ""&gt; &lt;/ div&gt; &lt;div tabindex "&amp;"= ""-1"" class = ""airy-ad-prompt-container"" style = ""visibility: hidden;""&gt; &lt;div tabindex = ""- 1"" class = ""airy-ad-prompt-Vertical-centering-table-vertically airy centering-table ""&gt; &lt;div tabindex ="" - 1 ""class ="" airy-ad-prompt-Vertical-centerin"&amp;"g-table-cell airy-Vertical-centering-table-cell ""&gt; &lt;div tabindex ="" - 1 ""class = ""airy-ad-prompt-label""&gt; &lt;/ div&gt; &lt;/ div&gt; &lt;/ div&gt; &lt;/ div&gt; &lt;div tabindex = ""- 1"" class = ""airy-ads-controls-container"" style = ""visibility: hidden; ""&gt; &lt;div tabindex ="&amp;""" - 1 ""class ="" airy-ads-audio-toggle airy-audio-toggle airy-on ""style ="" visibility: hidden; ""&gt; &lt;/ div&gt; &lt;div tabindex ="" - 1 ""class ="" airy-time-remaining-label-container ""&gt; &lt;div tabindex ="" - 1 ""class ="" airy-time-remaining-Vertical-centeri"&amp;"ng-table airy-Vertical-centering-table ""&gt; &lt;div tabindex = ""- 1"" class = ""airy-time-remaining-Vertical-centering-table-cell airy-Vertical-centering-table-cell""&gt; &lt;div tabindex = ""- 1"" class = ""airy-Vertical-centering-wrapper airy-time-remaining-labe"&amp;"l-wrapper ""&gt; &lt;div tabindex ="" - 1 ""class ="" airy-time-remaining-label ""style ="" visibility: hidden; ""&gt; &lt;/ div&gt; &lt;div tabi ndex = ""- 1"" class = ""airy-ad-skip"" style = ""visibility: hidden;""&gt; &lt;/ div&gt; &lt;div tabindex = ""- 1"" class = ""airy-ad-end"&amp;""" style = ""visibility: hidden ""&gt; &lt;/ div&gt; &lt;/ div&gt; &lt;/ div&gt; &lt;/ div&gt; &lt;/ div&gt; &lt;div tabindex ="" - 1 ""class ="" airy-learn-more ""style ="" visibility: hidden; ""&gt; &lt;/ div&gt; &lt;/ div&gt; &lt;div tabindex = ""- 1"" class = ""airy-play-toggle-hint-stage airy-stage airy"&amp;"-cursor""&gt; &lt;div tabindex = ""- 1"" class = ""airy-play -toggle-hint-Vertical-centering-table-cell airy-Vertical-centering-table-cell airy-cursor ""&gt; &lt;div tabindex ="" - 1 ""class ="" airy-play-toggle-hint-container airy-scalable- Hint-container ""&gt; &lt;div t"&amp;"abindex ="" - 1 ""class ="" airy-play-toggle-hint-dummy airy-scalable-dummy ""&gt; &lt;/ div&gt; &lt;div tabindex ="" - 1 ""class ="" airy-play -toggle-hint hint airy-airy-play-hint ""style ="" opacity: 1; visibility: visible; ""&gt; &lt;/ div&gt; &lt;/ div&gt; &lt;/ div&gt; &lt;/ div&gt; &lt;div"&amp;" tabindex ="" - 1 ""class ="" airy-replay-hint-stage airy-stage ""style ="" visibility: hidden ; ""&gt; &lt;div tabindex ="" - 1 ""class ="" airy-replay-hint-Vertical-centering-table-cell airy-Vertical-centering-table-cell airy-cursor ""&gt; &lt;div tabindex ="" - 1 "&amp;"""class = ""airy-replay-hint-container airy-scalable-hint-container""&gt; &lt;div tabindex = ""- 1"" class = ""airy-replay-hint-dummy airy-scalable-dummy""&gt; &lt;/ div&gt; &lt;div tabindex = ""- 1"" class = ""airy-replay-hint airy-hint""&gt; &lt;/ div&gt; &lt;/ div&gt; &lt;/ div&gt; &lt;/ div&gt; "&amp;"&lt;div tabindex = ""- 1"" class = ""airy-autoplay-hint -stage airy-stage ""style ="" visibility: hidden; ""&gt; &lt;div tabindex ="" - 1 ""class ="" airy-autoplay-hint-Vertical-centering-table-cell airy-Vertical-centering-table-cell airy- cursor ""&gt; &lt;div tabindex"&amp;" ="" - 1 ""class ="" autoplay airy-airy-hint-container-scalable-hint-container ""&gt; &lt;div tabindex ="" - 1 ""class ="" airy-autoplay-hint-dummy airy- scalable-dummy ""&gt; &lt;/ div&gt; &lt;/ div&gt; &lt;/ div&gt; &lt;/ div&gt; &lt;/ div&gt; &lt;/ div&gt; &lt;input type ="" hidden ""name ="" ""valu"&amp;"e ="" https: // images-eu .ssl-images-amazon.com / images / I / C1t46gYgL3S.mp4 ""Class ="" video-url ""&gt; &lt;input type ="" hidden ""name ="" ""value ="" https://images-eu.ssl-images-amazon.com/images/I/91fz+TWDdBS.png ""class = ""video-slate-img-url""&gt; &amp; n"&amp;"bsp; we bought it because we have pets and daily cleaning is essential, including mopping the floor. We buy this brand because we have a Roomba, we were pleased with her and her sister chose to complete daily cleaning. The conclusions are that fails the s"&amp;"ame as the Roomba, but has the bucket to ""lead her GPS"" is erratic and find the obataculos with blows. The wheels are coated with a rubber constantly off and only have two options, or hit (cone in our case) or buy new ones, because it goes hopping and c"&amp;"an not scrub. The noise level is minimal. Cleanliness is correct but not in depth. It's very easy to clean. A the end is a cleaning mop. As a conclusion, the same as any other automatic cleaning machine scrubbing corners and crannies must do old-fashioned"&amp;". But this well to keep daily cleaning and all that time to devote to other tasks. Scrub time is long ... For 45 meters need 1 hour. Maybe it has a high price for the services offered.")</f>
        <v>Good for daily cleaning &lt;div id = "video-block-R1GCBZ3X1Q62QT" class = "a-section a-spacing-small a-spacing-top mini video-block"&gt; &lt;div tabindex = "0" class = "airy airy-svg vmin-unsupported airy-skin-beacon "style =" background-color: rgb (0, 0, 0) position: relative; width: 100%; height: 100%; font-size: 0px; overflow: hidden; outline: none; "&gt; &lt;div class =" airy-renderer-container "style =" position: relative; height: 100%; width: 100%; "&gt; &lt;video id =" 7 "preload =" auto " src = "https://images-eu.ssl-images-amazon.com/images/I/C1t46gYgL3S.mp4" style = "position: absolute; left: 0px; top: 0px; overflow: hidden; height: 1px; width: 1px; "&gt; &lt;/ video&gt; &lt;/ div&gt; &lt;div id =" airy-slate-preload "style =" background-color: rgb (0, 0, 0); background-image: url (&amp; quot; https : //images-eu.ssl-images-amazon.com/images/I/91fz+TWDdBS.png&amp;quot;); background-size: Contain; background-position: center center; background-repeat: no-repeat; position: absolute; top: 0px; left: 0px; visibility: visible; width: 100%; height: 100%; "&gt; &lt;/ div&gt; &lt;ifr love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1:24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25.4032%;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C1t46gYgL3S.mp4 "Class =" video-url "&gt; &lt;input type =" hidden "name =" "value =" https://images-eu.ssl-images-amazon.com/images/I/91fz+TWDdBS.png "class = "video-slate-img-url"&gt; &amp; nbsp; we bought it because we have pets and daily cleaning is essential, including mopping the floor. We buy this brand because we have a Roomba, we were pleased with her and her sister chose to complete daily cleaning. The conclusions are that fails the same as the Roomba, but has the bucket to "lead her GPS" is erratic and find the obataculos with blows. The wheels are coated with a rubber constantly off and only have two options, or hit (cone in our case) or buy new ones, because it goes hopping and can not scrub. The noise level is minimal. Cleanliness is correct but not in depth. It's very easy to clean. A the end is a cleaning mop. As a conclusion, the same as any other automatic cleaning machine scrubbing corners and crannies must do old-fashioned. But this well to keep daily cleaning and all that time to devote to other tasks. Scrub time is long ... For 45 meters need 1 hour. Maybe it has a high price for the services offered.</v>
      </c>
    </row>
    <row r="824">
      <c r="A824" s="1">
        <v>5.0</v>
      </c>
      <c r="B824" s="1" t="s">
        <v>819</v>
      </c>
      <c r="C824" t="str">
        <f>IFERROR(__xludf.DUMMYFUNCTION("GOOGLETRANSLATE(B824, ""es"", ""en"")"),"Good product is exactly the memory card I was looking for my Canon 750D. I support more than 5000 photos at full resolution, it is quick with what HD videos and photographs burst function at will and has no limitation. Value very adequate. It has been a f"&amp;"antastic purchase.")</f>
        <v>Good product is exactly the memory card I was looking for my Canon 750D. I support more than 5000 photos at full resolution, it is quick with what HD videos and photographs burst function at will and has no limitation. Value very adequate. It has been a fantastic purchase.</v>
      </c>
    </row>
    <row r="825">
      <c r="A825" s="1">
        <v>5.0</v>
      </c>
      <c r="B825" s="1" t="s">
        <v>820</v>
      </c>
      <c r="C825" t="str">
        <f>IFERROR(__xludf.DUMMYFUNCTION("GOOGLETRANSLATE(B825, ""es"", ""en"")"),"I have it very comfortable for a week, and the result is as expected, the glass is super comfortable to transport heavy and not hermetically closed, allowing transport my fruit smoothies normally. Its use is super simple push of a button. It's super clean"&amp;" just need to scrub the glass that you use, the mixer is isolated and will not stain. I recommend it to everyone who want to take their time to the maximum.")</f>
        <v>I have it very comfortable for a week, and the result is as expected, the glass is super comfortable to transport heavy and not hermetically closed, allowing transport my fruit smoothies normally. Its use is super simple push of a button. It's super clean just need to scrub the glass that you use, the mixer is isolated and will not stain. I recommend it to everyone who want to take their time to the maximum.</v>
      </c>
    </row>
    <row r="826">
      <c r="A826" s="1">
        <v>5.0</v>
      </c>
      <c r="B826" s="1" t="s">
        <v>821</v>
      </c>
      <c r="C826" t="str">
        <f>IFERROR(__xludf.DUMMYFUNCTION("GOOGLETRANSLATE(B826, ""es"", ""en"")"),"As they are announced ... Perfect, are lovely socks, size, good adhesion to the floor (wood) ... delighted with the product fits ...")</f>
        <v>As they are announced ... Perfect, are lovely socks, size, good adhesion to the floor (wood) ... delighted with the product fits ...</v>
      </c>
    </row>
    <row r="827">
      <c r="A827" s="1">
        <v>5.0</v>
      </c>
      <c r="B827" s="1" t="s">
        <v>822</v>
      </c>
      <c r="C827" t="str">
        <f>IFERROR(__xludf.DUMMYFUNCTION("GOOGLETRANSLATE(B827, ""es"", ""en"")"),"After doing their job about using it in my gym shoes weeks, I can say that fulfill their function. Shoes no longer smell")</f>
        <v>After doing their job about using it in my gym shoes weeks, I can say that fulfill their function. Shoes no longer smell</v>
      </c>
    </row>
    <row r="828">
      <c r="A828" s="1">
        <v>5.0</v>
      </c>
      <c r="B828" s="1" t="s">
        <v>823</v>
      </c>
      <c r="C828" t="str">
        <f>IFERROR(__xludf.DUMMYFUNCTION("GOOGLETRANSLATE(B828, ""es"", ""en"")"),"Very comfortable without perfect for long walks in places with asphalt")</f>
        <v>Very comfortable without perfect for long walks in places with asphalt</v>
      </c>
    </row>
    <row r="829">
      <c r="A829" s="1">
        <v>5.0</v>
      </c>
      <c r="B829" s="1" t="s">
        <v>824</v>
      </c>
      <c r="C829" t="str">
        <f>IFERROR(__xludf.DUMMYFUNCTION("GOOGLETRANSLATE(B829, ""es"", ""en"")"),"No cheating, no cardboard transport arrived very quickly with Amazon. Description such and indicated. Weighs little, the contract what I read, the belt is long. Everything seems to work well, it's nice. And the value for money is very good.")</f>
        <v>No cheating, no cardboard transport arrived very quickly with Amazon. Description such and indicated. Weighs little, the contract what I read, the belt is long. Everything seems to work well, it's nice. And the value for money is very good.</v>
      </c>
    </row>
    <row r="830">
      <c r="A830" s="1">
        <v>5.0</v>
      </c>
      <c r="B830" s="1" t="s">
        <v>825</v>
      </c>
      <c r="C830" t="str">
        <f>IFERROR(__xludf.DUMMYFUNCTION("GOOGLETRANSLATE(B830, ""es"", ""en"")"),"It is very durable Perfect Value")</f>
        <v>It is very durable Perfect Value</v>
      </c>
    </row>
    <row r="831">
      <c r="A831" s="1">
        <v>5.0</v>
      </c>
      <c r="B831" s="1" t="s">
        <v>826</v>
      </c>
      <c r="C831" t="str">
        <f>IFERROR(__xludf.DUMMYFUNCTION("GOOGLETRANSLATE(B831, ""es"", ""en"")"),"Capacity, comfort and perfect finishes for what I needed")</f>
        <v>Capacity, comfort and perfect finishes for what I needed</v>
      </c>
    </row>
    <row r="832">
      <c r="A832" s="1">
        <v>5.0</v>
      </c>
      <c r="B832" s="1" t="s">
        <v>827</v>
      </c>
      <c r="C832" t="str">
        <f>IFERROR(__xludf.DUMMYFUNCTION("GOOGLETRANSLATE(B832, ""es"", ""en"")"),"Essential for working with groups of people Easy installation, perfect timing through the jack. Works on any computer, and with great sound quality. It lets you zoom out enough of the amplifier, and the ease of not having to be holding the microphone. We "&amp;"use it with almost 300 people and listened perfectly")</f>
        <v>Essential for working with groups of people Easy installation, perfect timing through the jack. Works on any computer, and with great sound quality. It lets you zoom out enough of the amplifier, and the ease of not having to be holding the microphone. We use it with almost 300 people and listened perfectly</v>
      </c>
    </row>
    <row r="833">
      <c r="A833" s="1">
        <v>5.0</v>
      </c>
      <c r="B833" s="1" t="s">
        <v>828</v>
      </c>
      <c r="C833" t="str">
        <f>IFERROR(__xludf.DUMMYFUNCTION("GOOGLETRANSLATE(B833, ""es"", ""en"")"),"Very happy with the blender. I bought it to replace the common hand blenders and exceeded my expectations. Besides the ease and comfort both to use and to clean, since you can disassemble and remove the blades, has a lot of power, I tried to throw ice one"&amp;" by one by fear and nothing, the enduring perfectly. By putting some sticks, I'd say the smell takes store to go, although less leaves no strange taste. Prepared for cold moment I have no complaints, but for hot food I can not comment because I do not thi"&amp;"nk to use it, but the glass both the main vessel and sconces are very very strong. In short, a good buy pleases my expectations.")</f>
        <v>Very happy with the blender. I bought it to replace the common hand blenders and exceeded my expectations. Besides the ease and comfort both to use and to clean, since you can disassemble and remove the blades, has a lot of power, I tried to throw ice one by one by fear and nothing, the enduring perfectly. By putting some sticks, I'd say the smell takes store to go, although less leaves no strange taste. Prepared for cold moment I have no complaints, but for hot food I can not comment because I do not think to use it, but the glass both the main vessel and sconces are very very strong. In short, a good buy pleases my expectations.</v>
      </c>
    </row>
    <row r="834">
      <c r="A834" s="1">
        <v>5.0</v>
      </c>
      <c r="B834" s="1" t="s">
        <v>829</v>
      </c>
      <c r="C834" t="str">
        <f>IFERROR(__xludf.DUMMYFUNCTION("GOOGLETRANSLATE(B834, ""es"", ""en"")"),"Perfect You order a full size or minimum size and a half, but otherwise perfect very good, good grip, it seems that these flying cushioning A good product")</f>
        <v>Perfect You order a full size or minimum size and a half, but otherwise perfect very good, good grip, it seems that these flying cushioning A good product</v>
      </c>
    </row>
    <row r="835">
      <c r="A835" s="1">
        <v>5.0</v>
      </c>
      <c r="B835" s="1" t="s">
        <v>830</v>
      </c>
      <c r="C835" t="str">
        <f>IFERROR(__xludf.DUMMYFUNCTION("GOOGLETRANSLATE(B835, ""es"", ""en"")"),"Excellent quality I needed a Bluetooth headset, so I decided to have it all in one. Weight is pretty good, the battery is perfect for a couple of loads. fast loading and has a display with battery percentage. it lacks one thing: also brings a case to save"&amp;" and replacement of rubber bands headphones.")</f>
        <v>Excellent quality I needed a Bluetooth headset, so I decided to have it all in one. Weight is pretty good, the battery is perfect for a couple of loads. fast loading and has a display with battery percentage. it lacks one thing: also brings a case to save and replacement of rubber bands headphones.</v>
      </c>
    </row>
    <row r="836">
      <c r="A836" s="1">
        <v>5.0</v>
      </c>
      <c r="B836" s="1" t="s">
        <v>831</v>
      </c>
      <c r="C836" t="str">
        <f>IFERROR(__xludf.DUMMYFUNCTION("GOOGLETRANSLATE(B836, ""es"", ""en"")"),"A renovated classic watch what Hipster For all lovers of classic watches the F91W is an icon of all time. Well, Casio has decided to renew its entire line of watches with retro golden colors. The turn of the F91W has come and has decided to change the bla"&amp;"ck cover almost a golden. A decision that I think gives a different touch. While the clock is still plastic contrast gold with black belt he makes it look very cool to watch. That does not change functionality only in appearance. The only point I see is h"&amp;"im against the package in the coming was a shame and demerits much. An envelope with the manual and some sort of tatty fabric cover.")</f>
        <v>A renovated classic watch what Hipster For all lovers of classic watches the F91W is an icon of all time. Well, Casio has decided to renew its entire line of watches with retro golden colors. The turn of the F91W has come and has decided to change the black cover almost a golden. A decision that I think gives a different touch. While the clock is still plastic contrast gold with black belt he makes it look very cool to watch. That does not change functionality only in appearance. The only point I see is him against the package in the coming was a shame and demerits much. An envelope with the manual and some sort of tatty fabric cover.</v>
      </c>
    </row>
    <row r="837">
      <c r="A837" s="1">
        <v>5.0</v>
      </c>
      <c r="B837" s="1" t="s">
        <v>832</v>
      </c>
      <c r="C837" t="str">
        <f>IFERROR(__xludf.DUMMYFUNCTION("GOOGLETRANSLATE(B837, ""es"", ""en"")"),"Excellent! Excellent for winter! Keep the heat long enough to relieve cold. They are easy to use, super soft and comfortable.")</f>
        <v>Excellent! Excellent for winter! Keep the heat long enough to relieve cold. They are easy to use, super soft and comfortable.</v>
      </c>
    </row>
    <row r="838">
      <c r="A838" s="1">
        <v>5.0</v>
      </c>
      <c r="B838" s="1" t="s">
        <v>833</v>
      </c>
      <c r="C838" t="str">
        <f>IFERROR(__xludf.DUMMYFUNCTION("GOOGLETRANSLATE(B838, ""es"", ""en"")"),"It seems very comfortable gym shoes Io I have you all day ... the foot does not hurt me are perfect")</f>
        <v>It seems very comfortable gym shoes Io I have you all day ... the foot does not hurt me are perfect</v>
      </c>
    </row>
    <row r="839">
      <c r="A839" s="1">
        <v>5.0</v>
      </c>
      <c r="B839" s="1" t="s">
        <v>834</v>
      </c>
      <c r="C839" t="str">
        <f>IFERROR(__xludf.DUMMYFUNCTION("GOOGLETRANSLATE(B839, ""es"", ""en"")"),"Very light and comfortable lightweight performance as weigh nothing, I love your template that fits perfectly in my foot. It comes with a side strips which makes the foot is well supported. They have a very modern and beautiful style.")</f>
        <v>Very light and comfortable lightweight performance as weigh nothing, I love your template that fits perfectly in my foot. It comes with a side strips which makes the foot is well supported. They have a very modern and beautiful style.</v>
      </c>
    </row>
    <row r="840">
      <c r="A840" s="1">
        <v>5.0</v>
      </c>
      <c r="B840" s="1" t="s">
        <v>835</v>
      </c>
      <c r="C840" t="str">
        <f>IFERROR(__xludf.DUMMYFUNCTION("GOOGLETRANSLATE(B840, ""es"", ""en"")"),"Comfortable and lightweight is the second pair that gift to my husband, who, for his work, is many hours standing, and loves.")</f>
        <v>Comfortable and lightweight is the second pair that gift to my husband, who, for his work, is many hours standing, and loves.</v>
      </c>
    </row>
    <row r="841">
      <c r="A841" s="1">
        <v>5.0</v>
      </c>
      <c r="B841" s="1" t="s">
        <v>836</v>
      </c>
      <c r="C841" t="str">
        <f>IFERROR(__xludf.DUMMYFUNCTION("GOOGLETRANSLATE(B841, ""es"", ""en"")"),"Cool Perfect! They are exactly what I expected, comfortable and I have not had any problems with size. I'm very happy.")</f>
        <v>Cool Perfect! They are exactly what I expected, comfortable and I have not had any problems with size. I'm very happy.</v>
      </c>
    </row>
    <row r="842">
      <c r="A842" s="1">
        <v>5.0</v>
      </c>
      <c r="B842" s="1" t="s">
        <v>837</v>
      </c>
      <c r="C842" t="str">
        <f>IFERROR(__xludf.DUMMYFUNCTION("GOOGLETRANSLATE(B842, ""es"", ""en"")"),"Price Perfect quality for cable")</f>
        <v>Price Perfect quality for cable</v>
      </c>
    </row>
    <row r="843">
      <c r="A843" s="1">
        <v>2.0</v>
      </c>
      <c r="B843" s="1" t="s">
        <v>838</v>
      </c>
      <c r="C843" t="str">
        <f>IFERROR(__xludf.DUMMYFUNCTION("GOOGLETRANSLATE(B843, ""es"", ""en"")"),"More or less product as it describes the product very good quality. A pity that Amazon or rebook not be synchronized with orders and llegentarde of and do not comply with Prime.")</f>
        <v>More or less product as it describes the product very good quality. A pity that Amazon or rebook not be synchronized with orders and llegentarde of and do not comply with Prime.</v>
      </c>
    </row>
    <row r="844">
      <c r="A844" s="1">
        <v>3.0</v>
      </c>
      <c r="B844" s="1" t="s">
        <v>839</v>
      </c>
      <c r="C844" t="str">
        <f>IFERROR(__xludf.DUMMYFUNCTION("GOOGLETRANSLATE(B844, ""es"", ""en"")"),"Well it's not quite there lose hair as you put")</f>
        <v>Well it's not quite there lose hair as you put</v>
      </c>
    </row>
    <row r="845">
      <c r="A845" s="1">
        <v>3.0</v>
      </c>
      <c r="B845" s="1" t="s">
        <v>840</v>
      </c>
      <c r="C845" t="str">
        <f>IFERROR(__xludf.DUMMYFUNCTION("GOOGLETRANSLATE(B845, ""es"", ""en"")"),"I HAVE HAD GOOD PRODUCT TO RETURN BY THAT WITH MY TEAM ABROAD FATAL sounded and just what I needed to ESO. I COULD provarlo on another computer LEFT ME AND MUCH BETTER. I guess FAILURE WOULD MY TEAM AS")</f>
        <v>I HAVE HAD GOOD PRODUCT TO RETURN BY THAT WITH MY TEAM ABROAD FATAL sounded and just what I needed to ESO. I COULD provarlo on another computer LEFT ME AND MUCH BETTER. I guess FAILURE WOULD MY TEAM AS</v>
      </c>
    </row>
    <row r="846">
      <c r="A846" s="1">
        <v>1.0</v>
      </c>
      <c r="B846" s="1" t="s">
        <v>841</v>
      </c>
      <c r="C846" t="str">
        <f>IFERROR(__xludf.DUMMYFUNCTION("GOOGLETRANSLATE(B846, ""es"", ""en"")"),"I tried 2 times and not going. It does not work.")</f>
        <v>I tried 2 times and not going. It does not work.</v>
      </c>
    </row>
    <row r="847">
      <c r="A847" s="1">
        <v>1.0</v>
      </c>
      <c r="B847" s="1" t="s">
        <v>842</v>
      </c>
      <c r="C847" t="str">
        <f>IFERROR(__xludf.DUMMYFUNCTION("GOOGLETRANSLATE(B847, ""es"", ""en"")"),"Discontent all. It is to give it back and the pictures of the product comes with a white box. This format is very ugly and looks very tatty")</f>
        <v>Discontent all. It is to give it back and the pictures of the product comes with a white box. This format is very ugly and looks very tatty</v>
      </c>
    </row>
    <row r="848">
      <c r="A848" s="1">
        <v>4.0</v>
      </c>
      <c r="B848" s="1" t="s">
        <v>843</v>
      </c>
      <c r="C848" t="str">
        <f>IFERROR(__xludf.DUMMYFUNCTION("GOOGLETRANSLATE(B848, ""es"", ""en"")"),"Dr. Martins boots arrived earlier than they expected, are as wanted.")</f>
        <v>Dr. Martins boots arrived earlier than they expected, are as wanted.</v>
      </c>
    </row>
    <row r="849">
      <c r="A849" s="1">
        <v>4.0</v>
      </c>
      <c r="B849" s="1" t="s">
        <v>844</v>
      </c>
      <c r="C849" t="str">
        <f>IFERROR(__xludf.DUMMYFUNCTION("GOOGLETRANSLATE(B849, ""es"", ""en"")"),"Works is very small and unobtrusive, and works very well")</f>
        <v>Works is very small and unobtrusive, and works very well</v>
      </c>
    </row>
    <row r="850">
      <c r="A850" s="1">
        <v>4.0</v>
      </c>
      <c r="B850" s="1" t="s">
        <v>845</v>
      </c>
      <c r="C850" t="str">
        <f>IFERROR(__xludf.DUMMYFUNCTION("GOOGLETRANSLATE(B850, ""es"", ""en"")"),"Very comfortable is the second pair of Merrell shoes I buy perfecto.Estoy forward and test them in their habitat which is the campo.Seguro I repeat.")</f>
        <v>Very comfortable is the second pair of Merrell shoes I buy perfecto.Estoy forward and test them in their habitat which is the campo.Seguro I repeat.</v>
      </c>
    </row>
    <row r="851">
      <c r="A851" s="1">
        <v>4.0</v>
      </c>
      <c r="B851" s="1" t="s">
        <v>846</v>
      </c>
      <c r="C851" t="str">
        <f>IFERROR(__xludf.DUMMYFUNCTION("GOOGLETRANSLATE(B851, ""es"", ""en"")"),"Beautiful but delicate. Well a year ago just because I bought for my girl and after one year I have to say are beautiful but pearls are finished taking off. So I hope they change their masters glue, because these opinions do not think that will help.")</f>
        <v>Beautiful but delicate. Well a year ago just because I bought for my girl and after one year I have to say are beautiful but pearls are finished taking off. So I hope they change their masters glue, because these opinions do not think that will help.</v>
      </c>
    </row>
    <row r="852">
      <c r="A852" s="1">
        <v>4.0</v>
      </c>
      <c r="B852" s="1" t="s">
        <v>847</v>
      </c>
      <c r="C852" t="str">
        <f>IFERROR(__xludf.DUMMYFUNCTION("GOOGLETRANSLATE(B852, ""es"", ""en"")"),"A modern classic was walking behind a G Shock that was not huge, and I encotré with this model is a classic, but updated inside (solar, radiocontrolado ...) at an unbeatable price. Defects ... the buttons are difficult to press, barely audible alarm, and "&amp;"timing depends largely on the location. Otherwise it's a great watch.")</f>
        <v>A modern classic was walking behind a G Shock that was not huge, and I encotré with this model is a classic, but updated inside (solar, radiocontrolado ...) at an unbeatable price. Defects ... the buttons are difficult to press, barely audible alarm, and timing depends largely on the location. Otherwise it's a great watch.</v>
      </c>
    </row>
    <row r="853">
      <c r="A853" s="1">
        <v>5.0</v>
      </c>
      <c r="B853" s="1" t="s">
        <v>848</v>
      </c>
      <c r="C853" t="str">
        <f>IFERROR(__xludf.DUMMYFUNCTION("GOOGLETRANSLATE(B853, ""es"", ""en"")"),"The perfect item perfect for organizing your gaming table, the cables are super good and very cheap gathered recommend it.")</f>
        <v>The perfect item perfect for organizing your gaming table, the cables are super good and very cheap gathered recommend it.</v>
      </c>
    </row>
    <row r="854">
      <c r="A854" s="1">
        <v>5.0</v>
      </c>
      <c r="B854" s="1" t="s">
        <v>849</v>
      </c>
      <c r="C854" t="str">
        <f>IFERROR(__xludf.DUMMYFUNCTION("GOOGLETRANSLATE(B854, ""es"", ""en"")"),"Delivery casio watch the indicated date and correct operation of the clock.")</f>
        <v>Delivery casio watch the indicated date and correct operation of the clock.</v>
      </c>
    </row>
    <row r="855">
      <c r="A855" s="1">
        <v>5.0</v>
      </c>
      <c r="B855" s="1" t="s">
        <v>850</v>
      </c>
      <c r="C855" t="str">
        <f>IFERROR(__xludf.DUMMYFUNCTION("GOOGLETRANSLATE(B855, ""es"", ""en"")"),"👍 👍")</f>
        <v>👍 👍</v>
      </c>
    </row>
    <row r="856">
      <c r="A856" s="1">
        <v>5.0</v>
      </c>
      <c r="B856" s="1" t="s">
        <v>851</v>
      </c>
      <c r="C856" t="str">
        <f>IFERROR(__xludf.DUMMYFUNCTION("GOOGLETRANSLATE(B856, ""es"", ""en"")"),"Very useful! perfectly fulfills its function and when you want to change bag you just have to take everything out and then ordered! Perfect quality price!")</f>
        <v>Very useful! perfectly fulfills its function and when you want to change bag you just have to take everything out and then ordered! Perfect quality price!</v>
      </c>
    </row>
    <row r="857">
      <c r="A857" s="1">
        <v>5.0</v>
      </c>
      <c r="B857" s="1" t="s">
        <v>852</v>
      </c>
      <c r="C857" t="str">
        <f>IFERROR(__xludf.DUMMYFUNCTION("GOOGLETRANSLATE(B857, ""es"", ""en"")"),"Very comfortable very comfortable and cool")</f>
        <v>Very comfortable very comfortable and cool</v>
      </c>
    </row>
    <row r="858">
      <c r="A858" s="1">
        <v>5.0</v>
      </c>
      <c r="B858" s="1" t="s">
        <v>853</v>
      </c>
      <c r="C858" t="str">
        <f>IFERROR(__xludf.DUMMYFUNCTION("GOOGLETRANSLATE(B858, ""es"", ""en"")"),"Perfect perfect super nice and well finished, it was for a gift and really liked")</f>
        <v>Perfect perfect super nice and well finished, it was for a gift and really liked</v>
      </c>
    </row>
    <row r="859">
      <c r="A859" s="1">
        <v>5.0</v>
      </c>
      <c r="B859" s="1" t="s">
        <v>854</v>
      </c>
      <c r="C859" t="str">
        <f>IFERROR(__xludf.DUMMYFUNCTION("GOOGLETRANSLATE(B859, ""es"", ""en"")"),"easy to use me especially liked the quality, very good")</f>
        <v>easy to use me especially liked the quality, very good</v>
      </c>
    </row>
    <row r="860">
      <c r="A860" s="1">
        <v>5.0</v>
      </c>
      <c r="B860" s="1" t="s">
        <v>855</v>
      </c>
      <c r="C860" t="str">
        <f>IFERROR(__xludf.DUMMYFUNCTION("GOOGLETRANSLATE(B860, ""es"", ""en"")"),"Very comfortable and easy to use I use these products for some time to help muscles recover from training. It is a supplement that much recommended me the coaches and I finally decided to buy, because until now utiliba which gave me the club. I decided on"&amp;" this electrestimulador for the types of ""massage"" that allows and the number of electrodes that brings (6). I was surprised at the small size having the whole and especially how light is the device, which makes it very comfortable to take him to my pla"&amp;"ce of training. All components are well separated and sorted, so you can not miss it operational. In addition, a part of the instructions is Spanish, something for which I did not expect the truth. I've already used a few days in sessions of 15 minutes (p"&amp;"re-workout) and 30 minutes (post-workout) and I'm really quite happy. What I like best are perhaps the electrodes themselves and the adhesive have, they work really well. The quality of the product is according to the price of the same, it is not obviousl"&amp;"y professional quality, but for user level is the use you give me is more than enough.")</f>
        <v>Very comfortable and easy to use I use these products for some time to help muscles recover from training. It is a supplement that much recommended me the coaches and I finally decided to buy, because until now utiliba which gave me the club. I decided on this electrestimulador for the types of "massage" that allows and the number of electrodes that brings (6). I was surprised at the small size having the whole and especially how light is the device, which makes it very comfortable to take him to my place of training. All components are well separated and sorted, so you can not miss it operational. In addition, a part of the instructions is Spanish, something for which I did not expect the truth. I've already used a few days in sessions of 15 minutes (pre-workout) and 30 minutes (post-workout) and I'm really quite happy. What I like best are perhaps the electrodes themselves and the adhesive have, they work really well. The quality of the product is according to the price of the same, it is not obviously professional quality, but for user level is the use you give me is more than enough.</v>
      </c>
    </row>
    <row r="861">
      <c r="A861" s="1">
        <v>5.0</v>
      </c>
      <c r="B861" s="1" t="s">
        <v>856</v>
      </c>
      <c r="C861" t="str">
        <f>IFERROR(__xludf.DUMMYFUNCTION("GOOGLETRANSLATE(B861, ""es"", ""en"")"),"Better than I expected! Comfortable, but not enough, more durable than I thought. They're a couple of months that uses almost daily without any problems. There are already 5 years zapatods barefoot use. He was in love with the primereros 'Merrell Pace Glo"&amp;"ve' but because with each new model have been worse I chose to try a new and even cheaper brand and I'm so glad we did!")</f>
        <v>Better than I expected! Comfortable, but not enough, more durable than I thought. They're a couple of months that uses almost daily without any problems. There are already 5 years zapatods barefoot use. He was in love with the primereros 'Merrell Pace Glove' but because with each new model have been worse I chose to try a new and even cheaper brand and I'm so glad we did!</v>
      </c>
    </row>
    <row r="862">
      <c r="A862" s="1">
        <v>5.0</v>
      </c>
      <c r="B862" s="1" t="s">
        <v>857</v>
      </c>
      <c r="C862" t="str">
        <f>IFERROR(__xludf.DUMMYFUNCTION("GOOGLETRANSLATE(B862, ""es"", ""en"")"),"Good price | best quality | Name of the wrong product. Eye! The name of the product is wrong. There are two packages of 125 sheets, but a packet of 100 sheets, each sheet having 250 microns and is composed of two plastic sheets 125 microns, which can be s"&amp;"een in the description and photos of the product. Anyone could realize that it is an error of ""2 packs of 125"". I tested the product and the result was satisfactory.")</f>
        <v>Good price | best quality | Name of the wrong product. Eye! The name of the product is wrong. There are two packages of 125 sheets, but a packet of 100 sheets, each sheet having 250 microns and is composed of two plastic sheets 125 microns, which can be seen in the description and photos of the product. Anyone could realize that it is an error of "2 packs of 125". I tested the product and the result was satisfactory.</v>
      </c>
    </row>
    <row r="863">
      <c r="A863" s="1">
        <v>5.0</v>
      </c>
      <c r="B863" s="1" t="s">
        <v>858</v>
      </c>
      <c r="C863" t="str">
        <f>IFERROR(__xludf.DUMMYFUNCTION("GOOGLETRANSLATE(B863, ""es"", ""en"")"),"Magnificent Great design, excellent quality price.")</f>
        <v>Magnificent Great design, excellent quality price.</v>
      </c>
    </row>
    <row r="864">
      <c r="A864" s="1">
        <v>5.0</v>
      </c>
      <c r="B864" s="1" t="s">
        <v>859</v>
      </c>
      <c r="C864" t="str">
        <f>IFERROR(__xludf.DUMMYFUNCTION("GOOGLETRANSLATE(B864, ""es"", ""en"")"),"Perfect came well as I hoped I loved my son Thanks")</f>
        <v>Perfect came well as I hoped I loved my son Thanks</v>
      </c>
    </row>
    <row r="865">
      <c r="A865" s="1">
        <v>5.0</v>
      </c>
      <c r="B865" s="1" t="s">
        <v>860</v>
      </c>
      <c r="C865" t="str">
        <f>IFERROR(__xludf.DUMMYFUNCTION("GOOGLETRANSLATE(B865, ""es"", ""en"")"),"Fran Cabello seems good quality ... and I will tell you this later but looks good money. good quality materials")</f>
        <v>Fran Cabello seems good quality ... and I will tell you this later but looks good money. good quality materials</v>
      </c>
    </row>
    <row r="866">
      <c r="A866" s="1">
        <v>5.0</v>
      </c>
      <c r="B866" s="1" t="s">
        <v>861</v>
      </c>
      <c r="C866" t="str">
        <f>IFERROR(__xludf.DUMMYFUNCTION("GOOGLETRANSLATE(B866, ""es"", ""en"")"),"Just what I was looking he was looking for a watch better than the typical F91W and I decided on this because certain comments, certainly I am delighted with my choice and my big question was the size of the bracelet and is large enough for any wrist, oth"&amp;"erwise it is easy to use and watch as lead")</f>
        <v>Just what I was looking he was looking for a watch better than the typical F91W and I decided on this because certain comments, certainly I am delighted with my choice and my big question was the size of the bracelet and is large enough for any wrist, otherwise it is easy to use and watch as lead</v>
      </c>
    </row>
    <row r="867">
      <c r="A867" s="1">
        <v>5.0</v>
      </c>
      <c r="B867" s="1" t="s">
        <v>862</v>
      </c>
      <c r="C867" t="str">
        <f>IFERROR(__xludf.DUMMYFUNCTION("GOOGLETRANSLATE(B867, ""es"", ""en"")"),"Vac very good performance, good price, highly recommendable. Vacuums with good performance, quality and price, totally recommended, I bought one for a family member who tasted it and loved maneuverability button on and off very comfortable, no need to hol"&amp;"d it down for her performance as other models, spares economic and readily available, very pleased with the brand,")</f>
        <v>Vac very good performance, good price, highly recommendable. Vacuums with good performance, quality and price, totally recommended, I bought one for a family member who tasted it and loved maneuverability button on and off very comfortable, no need to hold it down for her performance as other models, spares economic and readily available, very pleased with the brand,</v>
      </c>
    </row>
    <row r="868">
      <c r="A868" s="1">
        <v>5.0</v>
      </c>
      <c r="B868" s="1" t="s">
        <v>863</v>
      </c>
      <c r="C868" t="str">
        <f>IFERROR(__xludf.DUMMYFUNCTION("GOOGLETRANSLATE(B868, ""es"", ""en"")"),"Perfect fast and good product very well all")</f>
        <v>Perfect fast and good product very well all</v>
      </c>
    </row>
    <row r="869">
      <c r="A869" s="1">
        <v>5.0</v>
      </c>
      <c r="B869" s="1" t="s">
        <v>864</v>
      </c>
      <c r="C869" t="str">
        <f>IFERROR(__xludf.DUMMYFUNCTION("GOOGLETRANSLATE(B869, ""es"", ""en"")"),"👍🏼 money is finite but very comfortable and fairly")</f>
        <v>👍🏼 money is finite but very comfortable and fairly</v>
      </c>
    </row>
    <row r="870">
      <c r="A870" s="1">
        <v>5.0</v>
      </c>
      <c r="B870" s="1" t="s">
        <v>865</v>
      </c>
      <c r="C870" t="str">
        <f>IFERROR(__xludf.DUMMYFUNCTION("GOOGLETRANSLATE(B870, ""es"", ""en"")"),"It is very good option as described. Very small and light. That if, being so small (not like other more bulky hard drives) gives the impression that it is not very durable, so you better protect it with a case or something similar. A Please do not need po"&amp;"wer other than the USB cable.")</f>
        <v>It is very good option as described. Very small and light. That if, being so small (not like other more bulky hard drives) gives the impression that it is not very durable, so you better protect it with a case or something similar. A Please do not need power other than the USB cable.</v>
      </c>
    </row>
    <row r="871">
      <c r="A871" s="1">
        <v>2.0</v>
      </c>
      <c r="B871" s="1" t="s">
        <v>866</v>
      </c>
      <c r="C871" t="str">
        <f>IFERROR(__xludf.DUMMYFUNCTION("GOOGLETRANSLATE(B871, ""es"", ""en"")"),"Regular practice purchase clock, although small sphere, typical for communion gift")</f>
        <v>Regular practice purchase clock, although small sphere, typical for communion gift</v>
      </c>
    </row>
    <row r="872">
      <c r="A872" s="1">
        <v>3.0</v>
      </c>
      <c r="B872" s="1" t="s">
        <v>867</v>
      </c>
      <c r="C872" t="str">
        <f>IFERROR(__xludf.DUMMYFUNCTION("GOOGLETRANSLATE(B872, ""es"", ""en"")"),"It is small, excellent attention to the Lo client I returned because it was very small, good for a teenager at school, but I can confirm that the service to the customer, was very diligent and was always present to solve and deal in record time change . S"&amp;"o I recommend it.")</f>
        <v>It is small, excellent attention to the Lo client I returned because it was very small, good for a teenager at school, but I can confirm that the service to the customer, was very diligent and was always present to solve and deal in record time change . So I recommend it.</v>
      </c>
    </row>
    <row r="873">
      <c r="A873" s="1">
        <v>1.0</v>
      </c>
      <c r="B873" s="1" t="s">
        <v>868</v>
      </c>
      <c r="C873" t="str">
        <f>IFERROR(__xludf.DUMMYFUNCTION("GOOGLETRANSLATE(B873, ""es"", ""en"")"),"AC Excessively expensive. Q I think this product is not worth the price q costs, it is fashionable that the price x")</f>
        <v>AC Excessively expensive. Q I think this product is not worth the price q costs, it is fashionable that the price x</v>
      </c>
    </row>
    <row r="874">
      <c r="A874" s="1">
        <v>1.0</v>
      </c>
      <c r="B874" s="1" t="s">
        <v>869</v>
      </c>
      <c r="C874" t="str">
        <f>IFERROR(__xludf.DUMMYFUNCTION("GOOGLETRANSLATE(B874, ""es"", ""en"")"),"Not recommended and dangerous I bought a early January and I liked it, but a week stopped working. I decided to give a second chance and asked for change. I got a replacement and it worked great so far, he returned to stop working the cable and as a surpr"&amp;"ise, to jump a spark plug of the plug and jumped leads. For lack of time, I passed me the repayment of the first, so I'll tell you in a second opinion as I went to the service to which I refer, which is about 600km from my home, so I guess I'll have to se"&amp;"nd it and bear the costs. I said: not recommended. During the months worked, great, but has not lasted a year, considering that in the summer months I have not used barely. I will tell me how it went with the official service in the second opinion that I "&amp;"am entitled to leave, because they are two identical products which I purchased.")</f>
        <v>Not recommended and dangerous I bought a early January and I liked it, but a week stopped working. I decided to give a second chance and asked for change. I got a replacement and it worked great so far, he returned to stop working the cable and as a surprise, to jump a spark plug of the plug and jumped leads. For lack of time, I passed me the repayment of the first, so I'll tell you in a second opinion as I went to the service to which I refer, which is about 600km from my home, so I guess I'll have to send it and bear the costs. I said: not recommended. During the months worked, great, but has not lasted a year, considering that in the summer months I have not used barely. I will tell me how it went with the official service in the second opinion that I am entitled to leave, because they are two identical products which I purchased.</v>
      </c>
    </row>
    <row r="875">
      <c r="A875" s="1">
        <v>4.0</v>
      </c>
      <c r="B875" s="1" t="s">
        <v>870</v>
      </c>
      <c r="C875" t="str">
        <f>IFERROR(__xludf.DUMMYFUNCTION("GOOGLETRANSLATE(B875, ""es"", ""en"")"),"The best accessories stretcher The stretcher is quite firm and perfectly fulfills its function.For that price can not ask for more. After months of use I am very happy and would buy. The hole to place the face is slightly narrower and the upholstery mater"&amp;"ial has seams very marked in the hollow by placing a soft cloth prevent be marked on the cheeks. For a non-professional use doing great.")</f>
        <v>The best accessories stretcher The stretcher is quite firm and perfectly fulfills its function.For that price can not ask for more. After months of use I am very happy and would buy. The hole to place the face is slightly narrower and the upholstery material has seams very marked in the hollow by placing a soft cloth prevent be marked on the cheeks. For a non-professional use doing great.</v>
      </c>
    </row>
    <row r="876">
      <c r="A876" s="1">
        <v>4.0</v>
      </c>
      <c r="B876" s="1" t="s">
        <v>871</v>
      </c>
      <c r="C876" t="str">
        <f>IFERROR(__xludf.DUMMYFUNCTION("GOOGLETRANSLATE(B876, ""es"", ""en"")"),"Good quality and design quality of the product is very good. The fabric is very soft and warm. Perhaps it's a bit long for my taste but it's a personal opinion. What it is not like me to leave the package to a neighbor without my asking.")</f>
        <v>Good quality and design quality of the product is very good. The fabric is very soft and warm. Perhaps it's a bit long for my taste but it's a personal opinion. What it is not like me to leave the package to a neighbor without my asking.</v>
      </c>
    </row>
    <row r="877">
      <c r="A877" s="1">
        <v>4.0</v>
      </c>
      <c r="B877" s="1" t="s">
        <v>872</v>
      </c>
      <c r="C877" t="str">
        <f>IFERROR(__xludf.DUMMYFUNCTION("GOOGLETRANSLATE(B877, ""es"", ""en"")"),"CASIO Collection MTD-1053D A good quartz watch although somewhat classic, water resist 200m, threaded crown box and stainless steel strap, the strap is 20mm. If I had a little more lumen needles and dial needles and more modern with more contrast type (pl"&amp;"ongeur) still like me. Good buy from my point of view.")</f>
        <v>CASIO Collection MTD-1053D A good quartz watch although somewhat classic, water resist 200m, threaded crown box and stainless steel strap, the strap is 20mm. If I had a little more lumen needles and dial needles and more modern with more contrast type (plongeur) still like me. Good buy from my point of view.</v>
      </c>
    </row>
    <row r="878">
      <c r="A878" s="1">
        <v>4.0</v>
      </c>
      <c r="B878" s="1" t="s">
        <v>873</v>
      </c>
      <c r="C878" t="str">
        <f>IFERROR(__xludf.DUMMYFUNCTION("GOOGLETRANSLATE(B878, ""es"", ""en"")"),"Compact Yes, what I was looking for a while and I will perfect, with good ,, apdactavilidad. Contento.gracias")</f>
        <v>Compact Yes, what I was looking for a while and I will perfect, with good ,, apdactavilidad. Contento.gracias</v>
      </c>
    </row>
    <row r="879">
      <c r="A879" s="1">
        <v>5.0</v>
      </c>
      <c r="B879" s="1" t="s">
        <v>874</v>
      </c>
      <c r="C879" t="str">
        <f>IFERROR(__xludf.DUMMYFUNCTION("GOOGLETRANSLATE(B879, ""es"", ""en"")"),"Very happy after a week of use, I can highlight the following: -Quality very good for its price: battery that has surprised me. I lasted 3-4 days using it about 4-5 hours. -Materials very accomplished. You -connectivity very fast Very comfortable and adap"&amp;"table Perhaps somewhat disappointed with the cancellation of sound. -Microphone is loose Listen In short, if you are looking for a cheap bluetooth helmets only for listening to music or playing games are perfect, but if you're about to communicate or soun"&amp;"d insulation may have to choose another option. In my case, very happy.")</f>
        <v>Very happy after a week of use, I can highlight the following: -Quality very good for its price: battery that has surprised me. I lasted 3-4 days using it about 4-5 hours. -Materials very accomplished. You -connectivity very fast Very comfortable and adaptable Perhaps somewhat disappointed with the cancellation of sound. -Microphone is loose Listen In short, if you are looking for a cheap bluetooth helmets only for listening to music or playing games are perfect, but if you're about to communicate or sound insulation may have to choose another option. In my case, very happy.</v>
      </c>
    </row>
    <row r="880">
      <c r="A880" s="1">
        <v>5.0</v>
      </c>
      <c r="B880" s="1" t="s">
        <v>875</v>
      </c>
      <c r="C880" t="str">
        <f>IFERROR(__xludf.DUMMYFUNCTION("GOOGLETRANSLATE(B880, ""es"", ""en"")"),"Article 5 stars After a long time a bit uncomfortable but perfect battery and sound. An article five star")</f>
        <v>Article 5 stars After a long time a bit uncomfortable but perfect battery and sound. An article five star</v>
      </c>
    </row>
    <row r="881">
      <c r="A881" s="1">
        <v>5.0</v>
      </c>
      <c r="B881" s="1" t="s">
        <v>876</v>
      </c>
      <c r="C881" t="str">
        <f>IFERROR(__xludf.DUMMYFUNCTION("GOOGLETRANSLATE(B881, ""es"", ""en"")"),"Comfortable from the first use original box. Received earlier than expected. The size corresponds perfectly. Super comfortable from the first use ♡")</f>
        <v>Comfortable from the first use original box. Received earlier than expected. The size corresponds perfectly. Super comfortable from the first use ♡</v>
      </c>
    </row>
    <row r="882">
      <c r="A882" s="1">
        <v>5.0</v>
      </c>
      <c r="B882" s="1" t="s">
        <v>877</v>
      </c>
      <c r="C882" t="str">
        <f>IFERROR(__xludf.DUMMYFUNCTION("GOOGLETRANSLATE(B882, ""es"", ""en"")"),"I love good buy and I are very comfortable")</f>
        <v>I love good buy and I are very comfortable</v>
      </c>
    </row>
    <row r="883">
      <c r="A883" s="1">
        <v>5.0</v>
      </c>
      <c r="B883" s="1" t="s">
        <v>878</v>
      </c>
      <c r="C883" t="str">
        <f>IFERROR(__xludf.DUMMYFUNCTION("GOOGLETRANSLATE(B883, ""es"", ""en"")"),"Perfect Savage Sweatshirt")</f>
        <v>Perfect Savage Sweatshirt</v>
      </c>
    </row>
    <row r="884">
      <c r="A884" s="1">
        <v>5.0</v>
      </c>
      <c r="B884" s="1" t="s">
        <v>879</v>
      </c>
      <c r="C884" t="str">
        <f>IFERROR(__xludf.DUMMYFUNCTION("GOOGLETRANSLATE(B884, ""es"", ""en"")"),"Very good Your presentation is mu good, it comes in a box round with tiny zipper cute, good quality and presence, headphones itself the most important thing I should mention is that they have a great sound quality, at least to my ears go excellent, plus I"&amp;" really removes background noise and that my children have always arming noise, I was going very well and fit beautifully with extra pillows they bring, can put the best ase suit your ears. Bluetooth connection is excellent, high quality and plugged in a "&amp;"few second, so it is satisfied, since he had so far took forever to connect and to reuse. Another thing I like their adaptaroes that go behind the ears do not fall, the truth this subject is highly recommended because the others are always dropping like y"&amp;"ou do not fit perfectly. Totally recommended purchase.")</f>
        <v>Very good Your presentation is mu good, it comes in a box round with tiny zipper cute, good quality and presence, headphones itself the most important thing I should mention is that they have a great sound quality, at least to my ears go excellent, plus I really removes background noise and that my children have always arming noise, I was going very well and fit beautifully with extra pillows they bring, can put the best ase suit your ears. Bluetooth connection is excellent, high quality and plugged in a few second, so it is satisfied, since he had so far took forever to connect and to reuse. Another thing I like their adaptaroes that go behind the ears do not fall, the truth this subject is highly recommended because the others are always dropping like you do not fit perfectly. Totally recommended purchase.</v>
      </c>
    </row>
    <row r="885">
      <c r="A885" s="1">
        <v>5.0</v>
      </c>
      <c r="B885" s="1" t="s">
        <v>880</v>
      </c>
      <c r="C885" t="str">
        <f>IFERROR(__xludf.DUMMYFUNCTION("GOOGLETRANSLATE(B885, ""es"", ""en"")"),"All content as described")</f>
        <v>All content as described</v>
      </c>
    </row>
    <row r="886">
      <c r="A886" s="1">
        <v>5.0</v>
      </c>
      <c r="B886" s="1" t="s">
        <v>881</v>
      </c>
      <c r="C886" t="str">
        <f>IFERROR(__xludf.DUMMYFUNCTION("GOOGLETRANSLATE(B886, ""es"", ""en"")"),"Very very good. Are comfortable to touch, not press with excessive ear (others have had if they did and proved annoying after a while). The sound is crisp. The cable is strong and robust. The application for tablet bq edison 3 delivers the digital dolby s"&amp;"ound. It is spectacular and even more, if possible, for less than 11 €. Highly recommended. The Amazon service, as always, great.")</f>
        <v>Very very good. Are comfortable to touch, not press with excessive ear (others have had if they did and proved annoying after a while). The sound is crisp. The cable is strong and robust. The application for tablet bq edison 3 delivers the digital dolby sound. It is spectacular and even more, if possible, for less than 11 €. Highly recommended. The Amazon service, as always, great.</v>
      </c>
    </row>
    <row r="887">
      <c r="A887" s="1">
        <v>5.0</v>
      </c>
      <c r="B887" s="1" t="s">
        <v>882</v>
      </c>
      <c r="C887" t="str">
        <f>IFERROR(__xludf.DUMMYFUNCTION("GOOGLETRANSLATE(B887, ""es"", ""en"")"),"Such perfect which I advertised it has been great.")</f>
        <v>Such perfect which I advertised it has been great.</v>
      </c>
    </row>
    <row r="888">
      <c r="A888" s="1">
        <v>5.0</v>
      </c>
      <c r="B888" s="1" t="s">
        <v>883</v>
      </c>
      <c r="C888" t="str">
        <f>IFERROR(__xludf.DUMMYFUNCTION("GOOGLETRANSLATE(B888, ""es"", ""en"")"),"A great craftsmanship. They are perfect and of high quality.")</f>
        <v>A great craftsmanship. They are perfect and of high quality.</v>
      </c>
    </row>
    <row r="889">
      <c r="A889" s="1">
        <v>5.0</v>
      </c>
      <c r="B889" s="1" t="s">
        <v>884</v>
      </c>
      <c r="C889" t="str">
        <f>IFERROR(__xludf.DUMMYFUNCTION("GOOGLETRANSLATE(B889, ""es"", ""en"")"),"Escelente Very good")</f>
        <v>Escelente Very good</v>
      </c>
    </row>
    <row r="890">
      <c r="A890" s="1">
        <v>5.0</v>
      </c>
      <c r="B890" s="1" t="s">
        <v>885</v>
      </c>
      <c r="C890" t="str">
        <f>IFERROR(__xludf.DUMMYFUNCTION("GOOGLETRANSLATE(B890, ""es"", ""en"")"),"Cheap and easy to plug the IN to the OUT of my EDRUM and USB to the PC. I recognized instantly. Then I got the dtxmania and drumear;)")</f>
        <v>Cheap and easy to plug the IN to the OUT of my EDRUM and USB to the PC. I recognized instantly. Then I got the dtxmania and drumear;)</v>
      </c>
    </row>
    <row r="891">
      <c r="A891" s="1">
        <v>5.0</v>
      </c>
      <c r="B891" s="1" t="s">
        <v>886</v>
      </c>
      <c r="C891" t="str">
        <f>IFERROR(__xludf.DUMMYFUNCTION("GOOGLETRANSLATE(B891, ""es"", ""en"")"),"Very useful and original To motivate children is perfect love")</f>
        <v>Very useful and original To motivate children is perfect love</v>
      </c>
    </row>
    <row r="892">
      <c r="A892" s="1">
        <v>5.0</v>
      </c>
      <c r="B892" s="1" t="s">
        <v>887</v>
      </c>
      <c r="C892" t="str">
        <f>IFERROR(__xludf.DUMMYFUNCTION("GOOGLETRANSLATE(B892, ""es"", ""en"")"),"Best Possibly the best technical shirt that I purchased. Tight to the body meets perfectly with what is expected of her. It does not produce scratches and sweat away completely from the inside of the shirt.")</f>
        <v>Best Possibly the best technical shirt that I purchased. Tight to the body meets perfectly with what is expected of her. It does not produce scratches and sweat away completely from the inside of the shirt.</v>
      </c>
    </row>
    <row r="893">
      <c r="A893" s="1">
        <v>5.0</v>
      </c>
      <c r="B893" s="1" t="s">
        <v>888</v>
      </c>
      <c r="C893" t="str">
        <f>IFERROR(__xludf.DUMMYFUNCTION("GOOGLETRANSLATE(B893, ""es"", ""en"")"),"Buy satisfactorily with the teat on properly, it is perfect, not catch air, not choking, suction-like chest. Microwaveable. excellent quality. The best I've had.")</f>
        <v>Buy satisfactorily with the teat on properly, it is perfect, not catch air, not choking, suction-like chest. Microwaveable. excellent quality. The best I've had.</v>
      </c>
    </row>
    <row r="894">
      <c r="A894" s="1">
        <v>5.0</v>
      </c>
      <c r="B894" s="1" t="s">
        <v>889</v>
      </c>
      <c r="C894" t="str">
        <f>IFERROR(__xludf.DUMMYFUNCTION("GOOGLETRANSLATE(B894, ""es"", ""en"")"),"Perfect! It is perfect and is well insulated from the ground.")</f>
        <v>Perfect! It is perfect and is well insulated from the ground.</v>
      </c>
    </row>
    <row r="895">
      <c r="A895" s="1">
        <v>5.0</v>
      </c>
      <c r="B895" s="1" t="s">
        <v>890</v>
      </c>
      <c r="C895" t="str">
        <f>IFERROR(__xludf.DUMMYFUNCTION("GOOGLETRANSLATE(B895, ""es"", ""en"")"),"GOOD TOSTADORA Tuesta very well, being one long groove is wider and fits all types of bread. Toasting not uniform everything, but I think it is the kind of bread that have been roasting. aesthetics is nice. Fulfills its function correctly")</f>
        <v>GOOD TOSTADORA Tuesta very well, being one long groove is wider and fits all types of bread. Toasting not uniform everything, but I think it is the kind of bread that have been roasting. aesthetics is nice. Fulfills its function correctly</v>
      </c>
    </row>
    <row r="896">
      <c r="A896" s="1">
        <v>5.0</v>
      </c>
      <c r="B896" s="1" t="s">
        <v>891</v>
      </c>
      <c r="C896" t="str">
        <f>IFERROR(__xludf.DUMMYFUNCTION("GOOGLETRANSLATE(B896, ""es"", ""en"")"),"Perfect! It looks smart and works well. After four months of use it still looks like new. I love the magnetic function of it too! Highly recommended! 5/5 stars!")</f>
        <v>Perfect! It looks smart and works well. After four months of use it still looks like new. I love the magnetic function of it too! Highly recommended! 5/5 stars!</v>
      </c>
    </row>
    <row r="897">
      <c r="A897" s="1">
        <v>5.0</v>
      </c>
      <c r="B897" s="1" t="s">
        <v>892</v>
      </c>
      <c r="C897" t="str">
        <f>IFERROR(__xludf.DUMMYFUNCTION("GOOGLETRANSLATE(B897, ""es"", ""en"")"),"everything perfect are ideal for working, comfortable and Práticos. I love.")</f>
        <v>everything perfect are ideal for working, comfortable and Práticos. I love.</v>
      </c>
    </row>
    <row r="898">
      <c r="A898" s="1">
        <v>2.0</v>
      </c>
      <c r="B898" s="1" t="s">
        <v>893</v>
      </c>
      <c r="C898" t="str">
        <f>IFERROR(__xludf.DUMMYFUNCTION("GOOGLETRANSLATE(B898, ""es"", ""en"")"),"Two weeks later arrived I not am expecting much for the price, but really surprised me the bracelet, it's very nice, but has come two weeks later than it was scheduled.")</f>
        <v>Two weeks later arrived I not am expecting much for the price, but really surprised me the bracelet, it's very nice, but has come two weeks later than it was scheduled.</v>
      </c>
    </row>
    <row r="899">
      <c r="A899" s="1">
        <v>3.0</v>
      </c>
      <c r="B899" s="1" t="s">
        <v>894</v>
      </c>
      <c r="C899" t="str">
        <f>IFERROR(__xludf.DUMMYFUNCTION("GOOGLETRANSLATE(B899, ""es"", ""en"")"),"Consumed to the last drop of toothpaste Very useful. Spends the last drop of toothpaste. The only thing against it is that it is very uncomfortable for the way he has, if flat would be much better")</f>
        <v>Consumed to the last drop of toothpaste Very useful. Spends the last drop of toothpaste. The only thing against it is that it is very uncomfortable for the way he has, if flat would be much better</v>
      </c>
    </row>
    <row r="900">
      <c r="A900" s="1">
        <v>3.0</v>
      </c>
      <c r="B900" s="1" t="s">
        <v>895</v>
      </c>
      <c r="C900" t="str">
        <f>IFERROR(__xludf.DUMMYFUNCTION("GOOGLETRANSLATE(B900, ""es"", ""en"")"),"I like In a previous post I explained that I came with a small scratch on the glass and now use, I realize that their performance leaves much to be desired, outrageous is delayed. In short I would say that the results seen in my future purchases I'll thin"&amp;"k twice before making them this way.")</f>
        <v>I like In a previous post I explained that I came with a small scratch on the glass and now use, I realize that their performance leaves much to be desired, outrageous is delayed. In short I would say that the results seen in my future purchases I'll think twice before making them this way.</v>
      </c>
    </row>
    <row r="901">
      <c r="A901" s="1">
        <v>1.0</v>
      </c>
      <c r="B901" s="1" t="s">
        <v>896</v>
      </c>
      <c r="C901" t="str">
        <f>IFERROR(__xludf.DUMMYFUNCTION("GOOGLETRANSLATE(B901, ""es"", ""en"")"),"Specifications and features puts erroneous 60w and 50w have. Washable and put on the label puts not be washed or dry or wet. I have plugged the maximum 30 minutes and heats up very little. I have returned")</f>
        <v>Specifications and features puts erroneous 60w and 50w have. Washable and put on the label puts not be washed or dry or wet. I have plugged the maximum 30 minutes and heats up very little. I have returned</v>
      </c>
    </row>
    <row r="902">
      <c r="A902" s="1">
        <v>1.0</v>
      </c>
      <c r="B902" s="1" t="s">
        <v>897</v>
      </c>
      <c r="C902" t="str">
        <f>IFERROR(__xludf.DUMMYFUNCTION("GOOGLETRANSLATE(B902, ""es"", ""en"")"),"Without its original box without label seemed no original copies ... You have to ask for a number less that are great, they are great! and are very comfortable ... The way I came not guato me anything, I return ... I almost came in a white box, not in its"&amp;" original packaging without labels and without black laces that brings this model. By Amazon really bad ... I think for me the next place an order.")</f>
        <v>Without its original box without label seemed no original copies ... You have to ask for a number less that are great, they are great! and are very comfortable ... The way I came not guato me anything, I return ... I almost came in a white box, not in its original packaging without labels and without black laces that brings this model. By Amazon really bad ... I think for me the next place an order.</v>
      </c>
    </row>
    <row r="903">
      <c r="A903" s="1">
        <v>4.0</v>
      </c>
      <c r="B903" s="1" t="s">
        <v>898</v>
      </c>
      <c r="C903" t="str">
        <f>IFERROR(__xludf.DUMMYFUNCTION("GOOGLETRANSLATE(B903, ""es"", ""en"")"),"Casio Edifice The best thing about this watch for me is the relationship precio.Creo I did a good quality compra.Es better than the picture.")</f>
        <v>Casio Edifice The best thing about this watch for me is the relationship precio.Creo I did a good quality compra.Es better than the picture.</v>
      </c>
    </row>
    <row r="904">
      <c r="A904" s="1">
        <v>4.0</v>
      </c>
      <c r="B904" s="1" t="s">
        <v>899</v>
      </c>
      <c r="C904" t="str">
        <f>IFERROR(__xludf.DUMMYFUNCTION("GOOGLETRANSLATE(B904, ""es"", ""en"")"),"My most honest rewiev already have several microphones virtually the same price range. I saw many other analyzes on the Internet and decided to venture to try this microphone. My main goal is the creation of small projects, models and music-related videos"&amp;". I'm not going to cheat the microphone itself is not professional is the audio quality is not like a high quality production or professional now also say that in relation to money so we are paying for would say if he could 10. Regarding give a comparison"&amp;" with other microphones this Neewer itself is well built that look attractive even for my little taste. Regarding the audio highlight a little more treble having more brightness and sharpness than other mics I have of the same range even prices that this "&amp;"difference would say it is very discreet without highlight for everything even higher if it is true that I've noticed with more quality (nor can we pears ask elm and by that I mean the price and what we buy for that price) on the bass almost absent and if"&amp;" we put more profit that on pass about 45% will begin to distort something sounds other microphones around 35% profit and I began to distort (why I say there is a difference but very discreet concerning other microphones the same price range). On the over"&amp;"all audio quality for music recordings with some improvement program and audio editing you can be made many improvements never even comparable to a professional production yes even sound recordings with something decent. Regarding the other components exc"&amp;"ept simple but meet anti pop think it's better standing with a kind of arm is loose instead of this it brings. My final conclusion is that expected more quality or maybe it was something bigger even than for what it costs remains an option to value for ma"&amp;"ny who do not want to invest too much in hobbies or things that by the time talking directly to us not leave ie money for hobbies and hobbies. If you have other microphones of the same rank you think this has more brightness and sharpness with little or n"&amp;"o response to even notes or record that this difference is very small even it shows. If instead you have no microphone and you planning to have one for hobbies and produce some things without investing too much paste this may be your microphone if you are"&amp;" looking for professionalism otherwise sound you record good response, treble, gain sharpness etc. Then automatically rule out this microphone and probably all that is below 70-80 € (pulling him short) rather begin to look from € 100 onwards for more prof"&amp;"essional microphones. The last thing is that this microphone requires 48V if not I would consider not buying it. Greetings to the community and hope to serve you. I for now I'll stay with this until the day you want to invest in something much bigger.")</f>
        <v>My most honest rewiev already have several microphones virtually the same price range. I saw many other analyzes on the Internet and decided to venture to try this microphone. My main goal is the creation of small projects, models and music-related videos. I'm not going to cheat the microphone itself is not professional is the audio quality is not like a high quality production or professional now also say that in relation to money so we are paying for would say if he could 10. Regarding give a comparison with other microphones this Neewer itself is well built that look attractive even for my little taste. Regarding the audio highlight a little more treble having more brightness and sharpness than other mics I have of the same range even prices that this difference would say it is very discreet without highlight for everything even higher if it is true that I've noticed with more quality (nor can we pears ask elm and by that I mean the price and what we buy for that price) on the bass almost absent and if we put more profit that on pass about 45% will begin to distort something sounds other microphones around 35% profit and I began to distort (why I say there is a difference but very discreet concerning other microphones the same price range). On the overall audio quality for music recordings with some improvement program and audio editing you can be made many improvements never even comparable to a professional production yes even sound recordings with something decent. Regarding the other components except simple but meet anti pop think it's better standing with a kind of arm is loose instead of this it brings. My final conclusion is that expected more quality or maybe it was something bigger even than for what it costs remains an option to value for many who do not want to invest too much in hobbies or things that by the time talking directly to us not leave ie money for hobbies and hobbies. If you have other microphones of the same rank you think this has more brightness and sharpness with little or no response to even notes or record that this difference is very small even it shows. If instead you have no microphone and you planning to have one for hobbies and produce some things without investing too much paste this may be your microphone if you are looking for professionalism otherwise sound you record good response, treble, gain sharpness etc. Then automatically rule out this microphone and probably all that is below 70-80 € (pulling him short) rather begin to look from € 100 onwards for more professional microphones. The last thing is that this microphone requires 48V if not I would consider not buying it. Greetings to the community and hope to serve you. I for now I'll stay with this until the day you want to invest in something much bigger.</v>
      </c>
    </row>
    <row r="905">
      <c r="A905" s="1">
        <v>4.0</v>
      </c>
      <c r="B905" s="1" t="s">
        <v>900</v>
      </c>
      <c r="C905" t="str">
        <f>IFERROR(__xludf.DUMMYFUNCTION("GOOGLETRANSLATE(B905, ""es"", ""en"")"),"Nice print but darker in color photo The print is very nice and well done. The color is darker still stone gray instead of white but Digue liking. The quality than expected and Lycra are hot and quite thick. They were very delayed in delivery and responde"&amp;"d immediately offering me new ones. It was not necessary because they arrived two days later of the claim. Good buy at that price")</f>
        <v>Nice print but darker in color photo The print is very nice and well done. The color is darker still stone gray instead of white but Digue liking. The quality than expected and Lycra are hot and quite thick. They were very delayed in delivery and responded immediately offering me new ones. It was not necessary because they arrived two days later of the claim. Good buy at that price</v>
      </c>
    </row>
    <row r="906">
      <c r="A906" s="1">
        <v>4.0</v>
      </c>
      <c r="B906" s="1" t="s">
        <v>901</v>
      </c>
      <c r="C906" t="str">
        <f>IFERROR(__xludf.DUMMYFUNCTION("GOOGLETRANSLATE(B906, ""es"", ""en"")"),"Chusa cool sneakers for walking and everyday. Very comfortable and very good quality at a bargain price. The only downside is that they come big. I use a 38 and I still have a little big. I'll ask the next couple of one size smaller. For the rest, all ter"&amp;"rific.")</f>
        <v>Chusa cool sneakers for walking and everyday. Very comfortable and very good quality at a bargain price. The only downside is that they come big. I use a 38 and I still have a little big. I'll ask the next couple of one size smaller. For the rest, all terrific.</v>
      </c>
    </row>
    <row r="907">
      <c r="A907" s="1">
        <v>4.0</v>
      </c>
      <c r="B907" s="1" t="s">
        <v>902</v>
      </c>
      <c r="C907" t="str">
        <f>IFERROR(__xludf.DUMMYFUNCTION("GOOGLETRANSLATE(B907, ""es"", ""en"")"),"Extraordinary rigidity. They are larger than usual for a number 47. The adjustable straps are somewhat short on abrocharlas.")</f>
        <v>Extraordinary rigidity. They are larger than usual for a number 47. The adjustable straps are somewhat short on abrocharlas.</v>
      </c>
    </row>
    <row r="908">
      <c r="A908" s="1">
        <v>5.0</v>
      </c>
      <c r="B908" s="1" t="s">
        <v>903</v>
      </c>
      <c r="C908" t="str">
        <f>IFERROR(__xludf.DUMMYFUNCTION("GOOGLETRANSLATE(B908, ""es"", ""en"")"),"Children's right to use This is a school scissors APLI brand. They are tiny, 13 centimeters long. They are made of stainless steel and finger rings are made of plastic in red orange and yellow colors. Ergonomically they shaped, so they are quite comfortab"&amp;"le to use without a lis kids bother fingers. Obviously such as scissors school tips are rounded to avoid or minimize possible accidents. The truth is that for the price they are more than adequate.")</f>
        <v>Children's right to use This is a school scissors APLI brand. They are tiny, 13 centimeters long. They are made of stainless steel and finger rings are made of plastic in red orange and yellow colors. Ergonomically they shaped, so they are quite comfortable to use without a lis kids bother fingers. Obviously such as scissors school tips are rounded to avoid or minimize possible accidents. The truth is that for the price they are more than adequate.</v>
      </c>
    </row>
    <row r="909">
      <c r="A909" s="1">
        <v>5.0</v>
      </c>
      <c r="B909" s="1" t="s">
        <v>904</v>
      </c>
      <c r="C909" t="str">
        <f>IFERROR(__xludf.DUMMYFUNCTION("GOOGLETRANSLATE(B909, ""es"", ""en"")"),"comfortable and with good sound The truth is that me surprised their quality as well as having a great sound well insulated from the outside and so poedes enjoy more of the music are also very comfortable that besides stretching earmuffs can be moved adap"&amp;"ting much better to your head")</f>
        <v>comfortable and with good sound The truth is that me surprised their quality as well as having a great sound well insulated from the outside and so poedes enjoy more of the music are also very comfortable that besides stretching earmuffs can be moved adapting much better to your head</v>
      </c>
    </row>
    <row r="910">
      <c r="A910" s="1">
        <v>5.0</v>
      </c>
      <c r="B910" s="1" t="s">
        <v>905</v>
      </c>
      <c r="C910" t="str">
        <f>IFERROR(__xludf.DUMMYFUNCTION("GOOGLETRANSLATE(B910, ""es"", ""en"")"),"Very thin but looks tough. timely delivery Good value, not easy to find long silver chains. Have delivered on time, it comes in a box with good presentation")</f>
        <v>Very thin but looks tough. timely delivery Good value, not easy to find long silver chains. Have delivered on time, it comes in a box with good presentation</v>
      </c>
    </row>
    <row r="911">
      <c r="A911" s="1">
        <v>5.0</v>
      </c>
      <c r="B911" s="1" t="s">
        <v>906</v>
      </c>
      <c r="C911" t="str">
        <f>IFERROR(__xludf.DUMMYFUNCTION("GOOGLETRANSLATE(B911, ""es"", ""en"")"),"Practice is very practical and do minimal effort with hands")</f>
        <v>Practice is very practical and do minimal effort with hands</v>
      </c>
    </row>
    <row r="912">
      <c r="A912" s="1">
        <v>5.0</v>
      </c>
      <c r="B912" s="1" t="s">
        <v>907</v>
      </c>
      <c r="C912" t="str">
        <f>IFERROR(__xludf.DUMMYFUNCTION("GOOGLETRANSLATE(B912, ""es"", ""en"")"),"Perfect and especially the help of the seller all perfect truth came estopeado hitch 1 microphone, worked perfectly, yet it communicates to the seller and another completely free and fast sent me, stunning really very grateful and recommended to 100% they"&amp;" are not a large microphones but solve the papelete having 2 to 1, and listen good quality / price.")</f>
        <v>Perfect and especially the help of the seller all perfect truth came estopeado hitch 1 microphone, worked perfectly, yet it communicates to the seller and another completely free and fast sent me, stunning really very grateful and recommended to 100% they are not a large microphones but solve the papelete having 2 to 1, and listen good quality / price.</v>
      </c>
    </row>
    <row r="913">
      <c r="A913" s="1">
        <v>5.0</v>
      </c>
      <c r="B913" s="1" t="s">
        <v>908</v>
      </c>
      <c r="C913" t="str">
        <f>IFERROR(__xludf.DUMMYFUNCTION("GOOGLETRANSLATE(B913, ""es"", ""en"")"),"Perfect moment works great and is very easy to clean. I can not ask for more for what I paid. Good buy.")</f>
        <v>Perfect moment works great and is very easy to clean. I can not ask for more for what I paid. Good buy.</v>
      </c>
    </row>
    <row r="914">
      <c r="A914" s="1">
        <v>5.0</v>
      </c>
      <c r="B914" s="1" t="s">
        <v>909</v>
      </c>
      <c r="C914" t="str">
        <f>IFERROR(__xludf.DUMMYFUNCTION("GOOGLETRANSLATE(B914, ""es"", ""en"")"),"Elegant, discreet and economical excellent quality at good price. Casio never disappoints")</f>
        <v>Elegant, discreet and economical excellent quality at good price. Casio never disappoints</v>
      </c>
    </row>
    <row r="915">
      <c r="A915" s="1">
        <v>5.0</v>
      </c>
      <c r="B915" s="1" t="s">
        <v>910</v>
      </c>
      <c r="C915" t="str">
        <f>IFERROR(__xludf.DUMMYFUNCTION("GOOGLETRANSLATE(B915, ""es"", ""en"")"),"A very affordable price for an accessory that I think is worth having at home is a good accessory to have in the kitchen and although I do not use it every day I'm satisfied with the results must say that I am not a professional but given use more homespu"&amp;"n")</f>
        <v>A very affordable price for an accessory that I think is worth having at home is a good accessory to have in the kitchen and although I do not use it every day I'm satisfied with the results must say that I am not a professional but given use more homespun</v>
      </c>
    </row>
    <row r="916">
      <c r="A916" s="1">
        <v>5.0</v>
      </c>
      <c r="B916" s="1" t="s">
        <v>911</v>
      </c>
      <c r="C916" t="str">
        <f>IFERROR(__xludf.DUMMYFUNCTION("GOOGLETRANSLATE(B916, ""es"", ""en"")"),"Hunter Boots Comfort")</f>
        <v>Hunter Boots Comfort</v>
      </c>
    </row>
    <row r="917">
      <c r="A917" s="1">
        <v>5.0</v>
      </c>
      <c r="B917" s="1" t="s">
        <v>912</v>
      </c>
      <c r="C917" t="str">
        <f>IFERROR(__xludf.DUMMYFUNCTION("GOOGLETRANSLATE(B917, ""es"", ""en"")"),"I love'm happy with my reebok, comfortable, and freestyle design noventero reminds me of my adolescence, come to have a Blanas, and wanted to have some black.")</f>
        <v>I love'm happy with my reebok, comfortable, and freestyle design noventero reminds me of my adolescence, come to have a Blanas, and wanted to have some black.</v>
      </c>
    </row>
    <row r="918">
      <c r="A918" s="1">
        <v>5.0</v>
      </c>
      <c r="B918" s="1" t="s">
        <v>913</v>
      </c>
      <c r="C918" t="str">
        <f>IFERROR(__xludf.DUMMYFUNCTION("GOOGLETRANSLATE(B918, ""es"", ""en"")"),"Very practical sound great. What I like most is that the battery lasts long and can use the carrying case as a charger for mobile ...")</f>
        <v>Very practical sound great. What I like most is that the battery lasts long and can use the carrying case as a charger for mobile ...</v>
      </c>
    </row>
    <row r="919">
      <c r="A919" s="1">
        <v>5.0</v>
      </c>
      <c r="B919" s="1" t="s">
        <v>914</v>
      </c>
      <c r="C919" t="str">
        <f>IFERROR(__xludf.DUMMYFUNCTION("GOOGLETRANSLATE(B919, ""es"", ""en"")"),"Comfortable and sound clarity I bought these headphones because I'm tired of that I wrap the cord of the headphones are not wireless. Is very comfortable carry, adapt well to the ear and as I said, the fact that no wires is genial.Se hear quite well. The "&amp;"design is very nice overall I'm happy with everything so totally recommend it for the price they are worth.")</f>
        <v>Comfortable and sound clarity I bought these headphones because I'm tired of that I wrap the cord of the headphones are not wireless. Is very comfortable carry, adapt well to the ear and as I said, the fact that no wires is genial.Se hear quite well. The design is very nice overall I'm happy with everything so totally recommend it for the price they are worth.</v>
      </c>
    </row>
    <row r="920">
      <c r="A920" s="1">
        <v>5.0</v>
      </c>
      <c r="B920" s="1" t="s">
        <v>915</v>
      </c>
      <c r="C920" t="str">
        <f>IFERROR(__xludf.DUMMYFUNCTION("GOOGLETRANSLATE(B920, ""es"", ""en"")"),"Value insuperable relationship. The already he had his eye on other sites and this is definitely the best price, shipping included. The brand itself is already quality assurance.")</f>
        <v>Value insuperable relationship. The already he had his eye on other sites and this is definitely the best price, shipping included. The brand itself is already quality assurance.</v>
      </c>
    </row>
    <row r="921">
      <c r="A921" s="1">
        <v>5.0</v>
      </c>
      <c r="B921" s="1" t="s">
        <v>916</v>
      </c>
      <c r="C921" t="str">
        <f>IFERROR(__xludf.DUMMYFUNCTION("GOOGLETRANSLATE(B921, ""es"", ""en"")"),"Great for small stay This is an ideal product to help us keep the good odor in our rooms by eliminating bad smells. It has a very nice design, made of wood, so in addition to functional we used to give a decorative touch to our home. Once lit, the diffuse"&amp;"r emits lights of different colors, the transition between them calm and relaxed and creating a nice visual effect being. When refilling, we look at the markings inside the diffuser that indicate the amount of fluid that can enter. A filling time (we must"&amp;" never exceed the line maximum) Just take a 4-5 drops of our favorite fragrance so it's ready to run. In operation, it's pretty quiet, listening only at the time the perfume, so we can have it in our rooms without fear that it is too noisy vaporizes. Over"&amp;"all, I think it is an elegant and nice aromatic diffuser, which will be of great help to ward off bad odors at home. Aesthetically, it's very nice because its design could easily pass for a vase.")</f>
        <v>Great for small stay This is an ideal product to help us keep the good odor in our rooms by eliminating bad smells. It has a very nice design, made of wood, so in addition to functional we used to give a decorative touch to our home. Once lit, the diffuser emits lights of different colors, the transition between them calm and relaxed and creating a nice visual effect being. When refilling, we look at the markings inside the diffuser that indicate the amount of fluid that can enter. A filling time (we must never exceed the line maximum) Just take a 4-5 drops of our favorite fragrance so it's ready to run. In operation, it's pretty quiet, listening only at the time the perfume, so we can have it in our rooms without fear that it is too noisy vaporizes. Overall, I think it is an elegant and nice aromatic diffuser, which will be of great help to ward off bad odors at home. Aesthetically, it's very nice because its design could easily pass for a vase.</v>
      </c>
    </row>
    <row r="922">
      <c r="A922" s="1">
        <v>5.0</v>
      </c>
      <c r="B922" s="1" t="s">
        <v>917</v>
      </c>
      <c r="C922" t="str">
        <f>IFERROR(__xludf.DUMMYFUNCTION("GOOGLETRANSLATE(B922, ""es"", ""en"")"),"Good value for money Totally recommended, since that perfectly suited my needs")</f>
        <v>Good value for money Totally recommended, since that perfectly suited my needs</v>
      </c>
    </row>
    <row r="923">
      <c r="A923" s="1">
        <v>5.0</v>
      </c>
      <c r="B923" s="1" t="s">
        <v>918</v>
      </c>
      <c r="C923" t="str">
        <f>IFERROR(__xludf.DUMMYFUNCTION("GOOGLETRANSLATE(B923, ""es"", ""en"")"),"It is adjustable to each size as in the picture. The same colors. I love that you can adjust to the size of my wrist. I thought they were pebbles, I think it is plastic, but still for the price they are super happy.")</f>
        <v>It is adjustable to each size as in the picture. The same colors. I love that you can adjust to the size of my wrist. I thought they were pebbles, I think it is plastic, but still for the price they are super happy.</v>
      </c>
    </row>
    <row r="924">
      <c r="A924" s="1">
        <v>5.0</v>
      </c>
      <c r="B924" s="1" t="s">
        <v>919</v>
      </c>
      <c r="C924" t="str">
        <f>IFERROR(__xludf.DUMMYFUNCTION("GOOGLETRANSLATE(B924, ""es"", ""en"")"),"Very good this cream is amazing when you have the muscles to dust. Ie after having gotten a good beating sport or one of those days to be standing all day, you made this cream and leaves you as new.")</f>
        <v>Very good this cream is amazing when you have the muscles to dust. Ie after having gotten a good beating sport or one of those days to be standing all day, you made this cream and leaves you as new.</v>
      </c>
    </row>
    <row r="925">
      <c r="A925" s="1">
        <v>5.0</v>
      </c>
      <c r="B925" s="1" t="s">
        <v>920</v>
      </c>
      <c r="C925" t="str">
        <f>IFERROR(__xludf.DUMMYFUNCTION("GOOGLETRANSLATE(B925, ""es"", ""en"")"),"Optimal loved us: it is powerful, very good quality, has all the necessary options, washed well, very durable and optimal price.")</f>
        <v>Optimal loved us: it is powerful, very good quality, has all the necessary options, washed well, very durable and optimal price.</v>
      </c>
    </row>
    <row r="926">
      <c r="A926" s="1">
        <v>5.0</v>
      </c>
      <c r="B926" s="1" t="s">
        <v>921</v>
      </c>
      <c r="C926" t="str">
        <f>IFERROR(__xludf.DUMMYFUNCTION("GOOGLETRANSLATE(B926, ""es"", ""en"")"),"Good footwear is a shoe very nice and good quality classic, is a good buy, I like every day and they are very durable, will last many years.")</f>
        <v>Good footwear is a shoe very nice and good quality classic, is a good buy, I like every day and they are very durable, will last many years.</v>
      </c>
    </row>
    <row r="927">
      <c r="A927" s="1">
        <v>2.0</v>
      </c>
      <c r="B927" s="1" t="s">
        <v>922</v>
      </c>
      <c r="C927" t="str">
        <f>IFERROR(__xludf.DUMMYFUNCTION("GOOGLETRANSLATE(B927, ""es"", ""en"")"),"It is original? After a short time of use it is blurring the brand logo (Moulinex). It seems a bit odd and makes me doubt the originality of the product. Is there a certificate guaranteeing the origin of the product? Had I would give 5 stars because the p"&amp;"erformance is acceptable.")</f>
        <v>It is original? After a short time of use it is blurring the brand logo (Moulinex). It seems a bit odd and makes me doubt the originality of the product. Is there a certificate guaranteeing the origin of the product? Had I would give 5 stars because the performance is acceptable.</v>
      </c>
    </row>
    <row r="928">
      <c r="A928" s="1">
        <v>3.0</v>
      </c>
      <c r="B928" s="1" t="s">
        <v>923</v>
      </c>
      <c r="C928" t="str">
        <f>IFERROR(__xludf.DUMMYFUNCTION("GOOGLETRANSLATE(B928, ""es"", ""en"")"),"Mark the time. The same brand makes watches for best price equal")</f>
        <v>Mark the time. The same brand makes watches for best price equal</v>
      </c>
    </row>
    <row r="929">
      <c r="A929" s="1">
        <v>3.0</v>
      </c>
      <c r="B929" s="1" t="s">
        <v>924</v>
      </c>
      <c r="C929" t="str">
        <f>IFERROR(__xludf.DUMMYFUNCTION("GOOGLETRANSLATE(B929, ""es"", ""en"")"),"Peter Well")</f>
        <v>Peter Well</v>
      </c>
    </row>
    <row r="930">
      <c r="A930" s="1">
        <v>1.0</v>
      </c>
      <c r="B930" s="1" t="s">
        <v>925</v>
      </c>
      <c r="C930" t="str">
        <f>IFERROR(__xludf.DUMMYFUNCTION("GOOGLETRANSLATE(B930, ""es"", ""en"")"),"Broken glass in less than 6 months bad product, while the engine itself is still running. The glass is cracked from end to end during normal use of the mixer. I do not recommend at all")</f>
        <v>Broken glass in less than 6 months bad product, while the engine itself is still running. The glass is cracked from end to end during normal use of the mixer. I do not recommend at all</v>
      </c>
    </row>
    <row r="931">
      <c r="A931" s="1">
        <v>1.0</v>
      </c>
      <c r="B931" s="1" t="s">
        <v>926</v>
      </c>
      <c r="C931" t="str">
        <f>IFERROR(__xludf.DUMMYFUNCTION("GOOGLETRANSLATE(B931, ""es"", ""en"")"),"NO DURAN NOT ONE MONTH Duran 1 month at most, initially worked well but a month start to fail, in my case the buttons to control the volume, pause, or skip to the next song, have begun work on their own . I am not touch them but suddenly jumps off track, "&amp;"or pause so repeatedly without stopping, and that just annoying.")</f>
        <v>NO DURAN NOT ONE MONTH Duran 1 month at most, initially worked well but a month start to fail, in my case the buttons to control the volume, pause, or skip to the next song, have begun work on their own . I am not touch them but suddenly jumps off track, or pause so repeatedly without stopping, and that just annoying.</v>
      </c>
    </row>
    <row r="932">
      <c r="A932" s="1">
        <v>1.0</v>
      </c>
      <c r="B932" s="1" t="s">
        <v>927</v>
      </c>
      <c r="C932" t="str">
        <f>IFERROR(__xludf.DUMMYFUNCTION("GOOGLETRANSLATE(B932, ""es"", ""en"")"),"Malfunction The head is rotatable and has a flange that slides to keep a determinda position. This single tab is lowered, and therefore, the spindle is loose when being used vertically up and down (almost always). To fix it, you have to do some hack like "&amp;"putting a wire to the tab sliding. The price is very high for the benefits it gives. I bought it to use with the telescopic handle Leifheit, since the system only serves anchor for products of this brand. But I not recommend it.")</f>
        <v>Malfunction The head is rotatable and has a flange that slides to keep a determinda position. This single tab is lowered, and therefore, the spindle is loose when being used vertically up and down (almost always). To fix it, you have to do some hack like putting a wire to the tab sliding. The price is very high for the benefits it gives. I bought it to use with the telescopic handle Leifheit, since the system only serves anchor for products of this brand. But I not recommend it.</v>
      </c>
    </row>
    <row r="933">
      <c r="A933" s="1">
        <v>4.0</v>
      </c>
      <c r="B933" s="1" t="s">
        <v>928</v>
      </c>
      <c r="C933" t="str">
        <f>IFERROR(__xludf.DUMMYFUNCTION("GOOGLETRANSLATE(B933, ""es"", ""en"")"),"Aspira great totally recommend. Highly recommended for large homes with pets. The downside, for me it is not, it is that it weighs a little more than usual.")</f>
        <v>Aspira great totally recommend. Highly recommended for large homes with pets. The downside, for me it is not, it is that it weighs a little more than usual.</v>
      </c>
    </row>
    <row r="934">
      <c r="A934" s="1">
        <v>4.0</v>
      </c>
      <c r="B934" s="1" t="s">
        <v>929</v>
      </c>
      <c r="C934" t="str">
        <f>IFERROR(__xludf.DUMMYFUNCTION("GOOGLETRANSLATE(B934, ""es"", ""en"")"),"Meets expectations bracelet ,, now adornitos buy these q so q are for my opinion somewhat overpriced for what is q")</f>
        <v>Meets expectations bracelet ,, now adornitos buy these q so q are for my opinion somewhat overpriced for what is q</v>
      </c>
    </row>
    <row r="935">
      <c r="A935" s="1">
        <v>4.0</v>
      </c>
      <c r="B935" s="1" t="s">
        <v>930</v>
      </c>
      <c r="C935" t="str">
        <f>IFERROR(__xludf.DUMMYFUNCTION("GOOGLETRANSLATE(B935, ""es"", ""en"")"),"Complies use")</f>
        <v>Complies use</v>
      </c>
    </row>
    <row r="936">
      <c r="A936" s="1">
        <v>4.0</v>
      </c>
      <c r="B936" s="1" t="s">
        <v>931</v>
      </c>
      <c r="C936" t="str">
        <f>IFERROR(__xludf.DUMMYFUNCTION("GOOGLETRANSLATE(B936, ""es"", ""en"")"),"It is perfect is a quality product; the only downside that I see is that the belt is long, long, and for the fist Hulk. A normal person is the tip above the wrist.")</f>
        <v>It is perfect is a quality product; the only downside that I see is that the belt is long, long, and for the fist Hulk. A normal person is the tip above the wrist.</v>
      </c>
    </row>
    <row r="937">
      <c r="A937" s="1">
        <v>4.0</v>
      </c>
      <c r="B937" s="1" t="s">
        <v>932</v>
      </c>
      <c r="C937" t="str">
        <f>IFERROR(__xludf.DUMMYFUNCTION("GOOGLETRANSLATE(B937, ""es"", ""en"")"),"All right all right")</f>
        <v>All right all right</v>
      </c>
    </row>
    <row r="938">
      <c r="A938" s="1">
        <v>5.0</v>
      </c>
      <c r="B938" s="1" t="s">
        <v>933</v>
      </c>
      <c r="C938" t="str">
        <f>IFERROR(__xludf.DUMMYFUNCTION("GOOGLETRANSLATE(B938, ""es"", ""en"")"),"Very good quality and price Fast delivery and very good quality at a good price")</f>
        <v>Very good quality and price Fast delivery and very good quality at a good price</v>
      </c>
    </row>
    <row r="939">
      <c r="A939" s="1">
        <v>5.0</v>
      </c>
      <c r="B939" s="1" t="s">
        <v>934</v>
      </c>
      <c r="C939" t="str">
        <f>IFERROR(__xludf.DUMMYFUNCTION("GOOGLETRANSLATE(B939, ""es"", ""en"")"),"Perfect to encourage your party includes 2 microphones, amplifier and all necessary cables to connect it to your stereo and a screen. sounds good")</f>
        <v>Perfect to encourage your party includes 2 microphones, amplifier and all necessary cables to connect it to your stereo and a screen. sounds good</v>
      </c>
    </row>
    <row r="940">
      <c r="A940" s="1">
        <v>5.0</v>
      </c>
      <c r="B940" s="1" t="s">
        <v>935</v>
      </c>
      <c r="C940" t="str">
        <f>IFERROR(__xludf.DUMMYFUNCTION("GOOGLETRANSLATE(B940, ""es"", ""en"")"),"Well right from the water I do not know I do not try")</f>
        <v>Well right from the water I do not know I do not try</v>
      </c>
    </row>
    <row r="941">
      <c r="A941" s="1">
        <v>5.0</v>
      </c>
      <c r="B941" s="1" t="s">
        <v>936</v>
      </c>
      <c r="C941" t="str">
        <f>IFERROR(__xludf.DUMMYFUNCTION("GOOGLETRANSLATE(B941, ""es"", ""en"")"),"good buy came fast and more than meets my expectations, very contene and satisfied with this blender, I use several times a day and perfect, so we give you five upmarket.")</f>
        <v>good buy came fast and more than meets my expectations, very contene and satisfied with this blender, I use several times a day and perfect, so we give you five upmarket.</v>
      </c>
    </row>
    <row r="942">
      <c r="A942" s="1">
        <v>5.0</v>
      </c>
      <c r="B942" s="1" t="s">
        <v>937</v>
      </c>
      <c r="C942" t="str">
        <f>IFERROR(__xludf.DUMMYFUNCTION("GOOGLETRANSLATE(B942, ""es"", ""en"")"),"Much perfect power pica very fast and easy to clean, no more. Whipping cream I have not, but I guess it just happened, although I'm itching and even buy encantanda. note of ten, ten.")</f>
        <v>Much perfect power pica very fast and easy to clean, no more. Whipping cream I have not, but I guess it just happened, although I'm itching and even buy encantanda. note of ten, ten.</v>
      </c>
    </row>
    <row r="943">
      <c r="A943" s="1">
        <v>5.0</v>
      </c>
      <c r="B943" s="1" t="s">
        <v>938</v>
      </c>
      <c r="C943" t="str">
        <f>IFERROR(__xludf.DUMMYFUNCTION("GOOGLETRANSLATE(B943, ""es"", ""en"")"),"All perfect. I had them before and liked.")</f>
        <v>All perfect. I had them before and liked.</v>
      </c>
    </row>
    <row r="944">
      <c r="A944" s="1">
        <v>5.0</v>
      </c>
      <c r="B944" s="1" t="s">
        <v>939</v>
      </c>
      <c r="C944" t="str">
        <f>IFERROR(__xludf.DUMMYFUNCTION("GOOGLETRANSLATE(B944, ""es"", ""en"")"),"Super perfect beautiful and practical, ideal and comfy, I was surprised. I bought for my daughter and then I gave my niece others")</f>
        <v>Super perfect beautiful and practical, ideal and comfy, I was surprised. I bought for my daughter and then I gave my niece others</v>
      </c>
    </row>
    <row r="945">
      <c r="A945" s="1">
        <v>5.0</v>
      </c>
      <c r="B945" s="1" t="s">
        <v>940</v>
      </c>
      <c r="C945" t="str">
        <f>IFERROR(__xludf.DUMMYFUNCTION("GOOGLETRANSLATE(B945, ""es"", ""en"")"),"Are original Timberland Do not do not listen to those who say they are false. There is no doubt. They are original and of high quality. Very comfortable and beautiful.")</f>
        <v>Are original Timberland Do not do not listen to those who say they are false. There is no doubt. They are original and of high quality. Very comfortable and beautiful.</v>
      </c>
    </row>
    <row r="946">
      <c r="A946" s="1">
        <v>5.0</v>
      </c>
      <c r="B946" s="1" t="s">
        <v>941</v>
      </c>
      <c r="C946" t="str">
        <f>IFERROR(__xludf.DUMMYFUNCTION("GOOGLETRANSLATE(B946, ""es"", ""en"")"),"This memory card and good brand never disappoints, well packaged, the SD card has a read and write very fast, capacity more than sufficient for use in a compact camera, buy recommended and good price")</f>
        <v>This memory card and good brand never disappoints, well packaged, the SD card has a read and write very fast, capacity more than sufficient for use in a compact camera, buy recommended and good price</v>
      </c>
    </row>
    <row r="947">
      <c r="A947" s="1">
        <v>5.0</v>
      </c>
      <c r="B947" s="1" t="s">
        <v>942</v>
      </c>
      <c r="C947" t="str">
        <f>IFERROR(__xludf.DUMMYFUNCTION("GOOGLETRANSLATE(B947, ""es"", ""en"")"),"Excellent product Shipping and flawless delivery, product highly recommended for beginners in the world of sound / production. Smooth, easy to use / installation and very good quality.")</f>
        <v>Excellent product Shipping and flawless delivery, product highly recommended for beginners in the world of sound / production. Smooth, easy to use / installation and very good quality.</v>
      </c>
    </row>
    <row r="948">
      <c r="A948" s="1">
        <v>5.0</v>
      </c>
      <c r="B948" s="1" t="s">
        <v>943</v>
      </c>
      <c r="C948" t="str">
        <f>IFERROR(__xludf.DUMMYFUNCTION("GOOGLETRANSLATE(B948, ""es"", ""en"")"),"Good quality rolls this time Acerte")</f>
        <v>Good quality rolls this time Acerte</v>
      </c>
    </row>
    <row r="949">
      <c r="A949" s="1">
        <v>5.0</v>
      </c>
      <c r="B949" s="1" t="s">
        <v>944</v>
      </c>
      <c r="C949" t="str">
        <f>IFERROR(__xludf.DUMMYFUNCTION("GOOGLETRANSLATE(B949, ""es"", ""en"")"),"Comfort and design has come as requested. It is super !! You can get an idea knowing that the waist elastic enough support to women with hips but fit, fitness is body molds to the shape and are very comfortable !!! A 1st !!! Quality is not Louis Vuitton b"&amp;"ut money is pretty good.")</f>
        <v>Comfort and design has come as requested. It is super !! You can get an idea knowing that the waist elastic enough support to women with hips but fit, fitness is body molds to the shape and are very comfortable !!! A 1st !!! Quality is not Louis Vuitton but money is pretty good.</v>
      </c>
    </row>
    <row r="950">
      <c r="A950" s="1">
        <v>5.0</v>
      </c>
      <c r="B950" s="1" t="s">
        <v>945</v>
      </c>
      <c r="C950" t="str">
        <f>IFERROR(__xludf.DUMMYFUNCTION("GOOGLETRANSLATE(B950, ""es"", ""en"")"),"Justito number I've returned because I pressed a lot on the instep. I was not going to wear comfortable yet still my number, I was rather long")</f>
        <v>Justito number I've returned because I pressed a lot on the instep. I was not going to wear comfortable yet still my number, I was rather long</v>
      </c>
    </row>
    <row r="951">
      <c r="A951" s="1">
        <v>5.0</v>
      </c>
      <c r="B951" s="1" t="s">
        <v>946</v>
      </c>
      <c r="C951" t="str">
        <f>IFERROR(__xludf.DUMMYFUNCTION("GOOGLETRANSLATE(B951, ""es"", ""en"")"),"nice feeling! &lt;Div id = ""video-block-R13SYKUT7MOSZA"" class = ""section a-a-a-spacing-small spacing-top-video mini-block""&gt; &lt;div tabindex = ""0"" class = ""airy airy-svg vmin- supported airy-skin-beacon ""style ="" background-color: rgb (0, 0, 0) positio"&amp;"n: relative; width: 100%; height: 100%; font-size: 0px; overflow: hidden; outline: none ; ""&gt; &lt;div class ="" airy-renderer-container ""style ="" position: relative; height: 100%; width: 100%; ""&gt; &lt;video id ="" 39 ""preload ="" auto ""src ="" https: //imag"&amp;"es-eu.ssl-images-amazon.com/images/I/A1OruJrv6RS.mp4 ""style ="" position: absolute; left: 0px; top: 0px; overflow: hidden; height: 1px; width: 1px; "" &gt; &lt;/ video&gt; &lt;/ div&gt; &lt;div id = ""airy-slate-preload"" style = ""background-color: rgb (0, 0, 0); backgro"&amp;"und-image: url (&amp; quot; https: // images- eu.ssl-images-amazon.com/images/I/C1ciyiEKJMS.png&amp;quot;); background-size: Contain; background-position: center center; background-repeat: no-repeat; position: absolute; top: 0px; left : 0px; visibility: visible; "&amp;"width: 100%; height: 100%; ""&gt; &lt;/ div&gt; &lt;iframe scrolling ="" no ""frameborder = ""0"" src = ""about: blank"" style = ""display: none;""&gt; &lt;/ iframe&gt; &lt;div tabindex = ""- 1"" class = ""airy-controls-container"" style = ""opacity: 0; visibility: hidden; ""&gt; &lt;"&amp;"div tabindex ="" - 1 ""class ="" airy-screen-size-toggle airy-fullscreen ""&gt; &lt;/ div&gt; &lt;div tabindex ="" - 1 ""class ="" airy-container-bottom "" &gt; &lt;div tabindex = ""- 1"" class = ""airy-track-bar-spacer-left"" style = ""width: 11px;""&gt; &lt;/ div&gt; &lt;div tabinde"&amp;"x = ""- 1"" class = ""airy-play- airy toggle-play ""style ="" width: 12px; margin-right: 12px; ""&gt; &lt;/ div&gt; &lt;div tabindex ="" - 1 ""class ="" airy-audio-elements ""style ="" float: right; width: 34px; ""&gt; &lt;div tabindex ="" - 1 ""class ="" airy-audio-toggle"&amp;" airy-on ""&gt; &lt;/ div&gt; &lt;div tabindex ="" - 1 ""class ="" airy-audio-container ""style = ""opacity: 0; visibility: hidden; ""&gt; &lt;div tabindex ="" - 1 ""class ="" airy-audio-track-bar ""style ="" height: 80%; ""&gt; &lt;div tabindex ="" - 1 ""class ="" airy-audio- S"&amp;"crubber-bar ""style ="" height: 85%; ""&gt; &lt;/ div&gt; &lt;div tabindex ="" - 1 ""class ="" airy-audio-scrubber ""style ="" height: 12px; bottom: 85% ""&gt; &lt;/ div&gt; &lt;/ div&gt; &lt;/ div&gt; &lt;/ div&gt; &lt;div tabindex ="" - 1 ""class ="" airy-duration-label ""style ="" float: right"&amp;"; width: 26px; margin-right: 4px; text-align: center; ""&gt; 0:00 &lt;/ div&gt; &lt;div tabindex ="" - 1 ""class ="" airy-track-bar-spacer-right ""style ="" float: right; width: 11px; ""&gt; &lt;/ div&gt; &lt;div tabindex ="" - 1 ""class ="" airy-track-bar-container ""style ="" "&amp;"margin-left: 35px; margin-right: 75px; ""&gt; &lt;div tabindex ="" - 1 ""class ="" airy-airy-track-bar vertically-centering-table ""&gt; &lt;div tabindex ="" - 1 ""class ="" airy-Vertical-centering- table-cell ""&gt; &lt;div tabindex ="" - 1 ""class ="" airy-track-bar-elem"&amp;"ents ""&gt; &lt;div tabindex ="" - 1 ""class ="" airy-progress-bar ""&gt; &lt;/ div&gt; &lt;div tabindex = ""- 1"" class = ""airy-scrubber-bar""&gt; &lt;/ div&gt; &lt;div tabindex = ""- 1"" class = ""airy-scrubber""&gt; &lt;div tabindex = ""- 1"" class = ""airy-scrubber- icon ""&gt; &lt;/ div&gt; &lt;d"&amp;"iv tabindex ="" - 1 ""class ="" airy-adjusted-AUI-tooltip ""style ="" opacity: 0; visibility: hidden; ""&gt; &lt;div tabindex ="" - 1 ""class ="" airy-adjusted-aui-tooltip-inner ""&gt; &lt;div tabindex ="" - 1 ""class ="" airy-current-time-label ""&gt; 0: 00 &lt;/ div&gt; &lt;/ "&amp;"div&gt; &lt;div tabindex = ""- 1"" class = ""airy-adjusted-AUI-arrow-border""&gt; &lt;div tabindex = ""- 1"" class = ""airy-adjusted-AUI-arrow"" &gt; &lt;/ div&gt; &lt;/ div&gt; &lt;/ div&gt; &lt;/ div&gt; &lt;/ div&gt; &lt;/ div&gt; &lt;/ div&gt; &lt;/ div&gt; &lt;/ div&gt; &lt;/ div&gt; &lt;div tabindex = ""- 1"" class = ""airy-a"&amp;"ge-gate airy-stage airy-Vertical-centering-table airy-dialog"" style = ""opacity: 0; visibility: hidden; ""&gt; &lt;div tabindex ="" - 1 ""class ="" airy-age-gate-Vertical-centering-table-cell airy-Vertical-centering-table-cell ""&gt; &lt;div tabindex ="" - 1 ""class"&amp;" = ""airy-Vertical-centering-wrapper airy-age-gate-elements-wrapper""&gt; &lt;div tabindex = ""- 1"" class = ""airy-age-gate-elements airy-dialog-elements""&gt; &lt;div tabindex = "" -1 ""class ="" airy-age-gate-prompt ""&gt; This video is not Intended for all audiences"&amp;" What date were you born &lt;/ div&gt; &lt;div tabindex =.?"" - 1 ""class ="" airy-age-gate -inputs airy-dialog-inner-elements ""&gt; &lt;select tabindex ="" - 1 ""class ="" airy-age-gate-month ""&gt; &lt;option value ="" 1 ""&gt; January &lt;/ option&gt; &lt;option value ="" 2 ""&gt; Febru"&amp;"ary &lt;/ option&gt; &lt;option value ="" 3 ""&gt; March &lt;/ option&gt; &lt;option value ="" 4 ""&gt; April &lt;/ option&gt; &lt;option value ="" 5 ""&gt; May &lt;/ option&gt; &lt;option value = ""6""&gt; June &lt;/ option&gt; &lt;option value = ""7""&gt; July &lt;/ option&gt; &lt;option value = ""8""&gt; August &lt;/ option&gt; "&amp;"&lt;option value = ""9""&gt; September &lt;/ option&gt; &lt;option value = ""10""&gt; October &lt;/ option&gt; &lt;option value = ""11""&gt; November &lt;/ option&gt; &lt;option value = ""12""&gt; December &lt;/ option&gt; &lt;/ select&gt; &lt;select tabindex = ""- 1"" class = ""airy-age-gate-day""&gt; &lt;opti on va"&amp;"lue = ""1""&gt; 1 &lt;/ option&gt; &lt;option value = ""2""&gt; 2 &lt;/ option&gt; &lt;option value = ""3""&gt; 3 &lt;/ option&gt; &lt;option value = ""4""&gt; 4 &lt;/ option &gt; &lt;option value = ""5""&gt; 5 &lt;/ option&gt; &lt;option value = ""6""&gt; 6 &lt;/ option&gt; &lt;option value = ""7""&gt; 7 &lt;/ option&gt; &lt;option valu"&amp;"e = ""8""&gt; 8 &lt; / option&gt; &lt;option value = ""9""&gt; 9 &lt;/ option&gt; &lt;option value = ""10""&gt; 10 &lt;/ option&gt; &lt;option value = ""11""&gt; 11 &lt;/ option&gt; &lt;option value = ""12""&gt; 12 &lt;/ option&gt; &lt;option value = ""13""&gt; 13 &lt;/ option&gt; &lt;option value = ""14""&gt; 14 &lt;/ option&gt; &lt;opt"&amp;"ion value = ""15""&gt; 15 &lt;/ option&gt; &lt;option value = ""16 ""&gt; 16 &lt;/ option&gt; &lt;option value ="" 17 ""&gt; 17 &lt;/ option&gt; &lt;option value ="" 18 ""&gt; 18 &lt;/ option&gt; &lt;option value ="" 19 ""&gt; 19 &lt;/ option&gt; &lt;option value = ""20""&gt; 20 &lt;/ option&gt; &lt;option value = ""21""&gt; 21 "&amp;"&lt;/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optio"&amp;"n value = ""2018""&gt; 2018 &lt;/ option&gt; &lt;option value = ""2017""&gt; 2017 &lt;/ option&gt; &lt;option value = ""2016""&gt; ​​2016 &lt;/ option&gt; &lt;option value = ""2015""&gt; 2015 &lt;/ option &gt; &lt;option value = ""2014""&gt; 2014 &lt;/ option&gt; &lt;option value = ""2013""&gt; 2013 &lt;/ option&gt; &lt;optio"&amp;"n value = ""2012""&gt; 2012 &lt;/ option&gt; &lt;option value = ""2011""&gt; 2011 &lt; / option&gt; &lt;option value = ""2010""&gt; 2010 &lt;/ option&gt; &lt;option value = ""2009""&gt; 2009 &lt;/ option&gt; &lt;option value = ""2008""&gt; 2008 &lt;/ option&gt; &lt;option value = ""2007""&gt; 2007 &lt;/ option&gt; &lt;option "&amp;"value = ""2006""&gt; 2006 &lt;/ option&gt; &lt;option value = ""2005""&gt; 2005 &lt;/ option&gt; &lt;option value = ""2004""&gt; 2004 &lt;/ option&gt; &lt;option value = ""2003 ""&gt; 2003 &lt;/ option&gt; &lt;option value ="" 2002 ""&gt; 2002 &lt;/ option&gt; &lt;option value ="" 2001 ""&gt; 2001 &lt;/ option&gt; &lt;option "&amp;"value ="" 2000 ""&gt; 2000 &lt;/ option&gt; &lt;option value = ""1999""&gt; 1999 &lt;/ option&gt; &lt;option value = ""1998""&gt; 1998 &lt;/ option&gt; &lt;option value = ""1997""&gt; 1997 &lt;/ option&gt; &lt;option value = ""1996""&gt; 1996 &lt;/ option&gt; &lt;option value = ""1995""&gt; 1995 &lt;/ option&gt; &lt;option va"&amp;"lue = ""1994""&gt; 1994 &lt;/ option&gt; &lt;option value = ""1993""&gt; 1993 &lt;/ option&gt; &lt;option value = ""1992""&gt; 1992 &lt;/ option&gt; &lt;option value = ""1991""&gt; 1991 &lt;/ option&gt; &lt;option value = ""1990""&gt; 1990 &lt;/ option&gt; &lt;option value = "" 1989 ""&gt; 1989 &lt;/ option&gt; &lt;option val"&amp;"ue ="" 1988 ""&gt; 1988 &lt;/ option&gt; &lt;option value ="" 1987 ""&gt; 1987 &lt;/ option&gt; &lt;option value ="" 1986 ""&gt; 1986 &lt;/ option&gt; &lt;value option = ""1985""&gt; 1985 &lt;/ option&gt; &lt;option value = ""1984""&gt; 1984 &lt;/ option&gt; &lt;option value = ""1983""&gt; 1983 &lt;/ option&gt; &lt;option val"&amp;"ue = ""1982""&gt; 1982 &lt;/ option&gt; &lt; option value = ""1981""&gt; 1981 &lt;/ option&gt; &lt;option value = ""1980""&gt; 1980 &lt;/ option&gt; &lt;option value = ""1979""&gt; 1979 &lt;/ option&gt; &lt;option value = ""1978""&gt; 1978 &lt;/ option &gt; &lt;option value = ""1977""&gt; 1977 &lt;/ option&gt; &lt;option valu"&amp;"e = ""1976""&gt; 1976 &lt;/ option&gt; &lt;option value = ""1975""&gt; 1975 &lt;/ option&gt; &lt;option value = ""1974""&gt; 1974 &lt; / option&gt; &lt;option value = ""1973""&gt; 1973 &lt;/ option&gt; &lt;option value = ""1972""&gt; 1972 &lt;/ option&gt; &lt;option value = ""1971""&gt; 1971 &lt;/ option&gt; &lt;option value "&amp;"= ""1970""&gt;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="&amp;" ""1958""&gt; 1958 &lt;/ option&gt; &lt;option value = ""1957""&gt; 1957 &lt;/ option&gt; &lt;option value = ""1956""&gt; 1956 &lt;/ option&gt; &lt;option value = ""1955""&gt; 1955 &lt;/ option&gt; &lt;option value = ""1954""&gt; 1954 &lt;/ option&gt; &lt;option value = ""1953""&gt; 1953 &lt;/ option&gt; &lt;option value = """&amp;"1952""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""1"&amp;"928""&gt;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""1916""&gt;"&amp;" 1916 &lt;/ option&gt; &lt;option value = ""1915"" &gt; 1915 &lt;/ option&gt; &lt;option value = ""1914""&gt; 1914 &lt;/ option&gt; &lt;option value = ""1913""&gt; 1913 &lt;/ option&gt; &lt;option value = ""1912""&gt; 1912 &lt;/ option&gt; &lt;option value = "" 1911 ""&gt; 1911 &lt;/ option&gt; &lt;option value ="" 1910 """&amp;"&gt; 1910 &lt;/ option&gt; &lt;option value ="" 1909 ""&gt; 1909 &lt;/ option&gt; &lt;option value ="" 1908 ""&gt; 1908 &lt;/ option&gt; &lt;value option = ""1907""&gt; 1907 &lt;/ option&gt; &lt;option value = ""1906""&gt; 1906 &lt;/ option&gt; &lt;option value = ""1905""&gt; 1905 &lt;/ option&gt; &lt;option value = ""1904""&gt;"&amp;" 1904 &lt;/ option&gt; &lt; option value = ""1903""&gt; 1903 &lt;/ option&gt; &lt;option value = ""1902""&gt; 1902 &lt;/ option&gt; &lt;option value = ""1901""&gt; 19 01 &lt;/ option&gt; &lt;option value = ""1900""&gt; 1900 &lt;/ option&gt; &lt;/ select&gt; &lt;div tabindex = ""- 1"" class = ""airy-age-gate-submit ai"&amp;"ry-submit-button airy airy-submit- disabled ""&gt; Submit &lt;/ div&gt; &lt;/ div&gt; &lt;/ div&gt; &lt;/ div&gt; &lt;/ div&gt; &lt;/ div&gt; &lt;div tabindex ="" - 1 ""class ="" airy-install-flash-dialog airy-stage airy -vertical-centering-table-dialog airy airy-denied ""style ="" opacity: 0; vi"&amp;"sibility: hidden; ""&gt; &lt;div tabindex ="" - 1 ""class ="" airy-install-flash-Vertical-centering-table-cell airy-Vertical-centering-table-cell ""&gt; &lt;div tabindex ="" - 1 ""class = ""airy-Vertical-centering-wrapper airy-install-flash-elements-wrapper""&gt; &lt;div t"&amp;"abindex = ""- 1"" class = ""airy-install-flash-elements airy-dialog-elements""&gt; &lt;div tabindex = "" -1 ""class ="" airy-install-flash-prompt ""&gt; Adobe Flash Player is required to watch this video &lt;/ div&gt; &lt;div tabindex =."" - 1 ""class ="" airy-install-flas"&amp;"h-button-wrapper airy -dialog-inner-elements ""&gt; &lt;div tabindex ="" - 1 ""class ="" airy-install-flash-button airy-button ""&gt; install Flash Player &lt;/ div&gt; &lt;/ div&gt; &lt;/ div&gt; &lt;/ div&gt; &lt;/ div&gt; &lt;/ div&gt; &lt;div tabindex = ""- 1"" class = ""airy-video-unsupported-dial"&amp;"og airy-stage airy-Vertical-centering-table airy-dialog airy-denied"" style = ""opacity: 0; visibility: hidden; ""&gt; &lt;div tabindex ="" - 1 ""class ="" airy-video-unsupported-Vertical-centering-table-cell airy-Vertical-centering-table-cell ""&gt; &lt;div tabindex"&amp;" ="" - 1 ""class = ""airy-Vertical-centering-wrapper airy-video-unsupported-elements-wrapper""&gt; &lt;div tabindex = ""- 1"" class = ""airy-video-unsupported-elements airy-dialog-elements""&gt; &lt;div tabindex = "" -1 ""class ="" airy-video-unsupported-prompt ""&gt; &lt;"&amp;"/ 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""v"&amp;"isibility: hidden;""&gt; &lt;/ div&gt; &lt;/ div&gt; &lt;/ div&gt; &lt;/ div&gt; &lt;div tabindex = ""- 1 ""class ="" airy-ads-screen-size-toggle airy-screen-size-toggle-fullscreen airy ""style ="" visibility: hidden; ""&gt; &lt;/ div&gt; &lt;div tabindex = ""-1"" class = ""airy-ad-prompt-contain"&amp;"er"" style = ""visibility: hidden;""&gt; &lt;div tabindex = ""- 1"" class = ""airy-ad-prompt-Vertical-centering-table-vertically airy centering-table ""&gt; &lt;div tabindex ="" - 1 ""class ="" airy-ad-prompt-Vertical-centering-table-cell airy-Vertical-centering-tabl"&amp;"e-cell ""&gt; &lt;div tabindex ="" - 1 ""class = ""airy-ad-prompt-label""&gt; &lt;/ div&gt; &lt;/ div&gt; &lt;/ div&gt; &lt;/ div&gt; &lt;div tabindex = ""- 1"" class = ""airy-ads-controls-container"" style = ""visibility: hidden; ""&gt; &lt;div tabindex ="" - 1 ""class ="" airy-ads-audio-toggle "&amp;"airy-audio-toggle airy-on ""style ="" visibility: hidden; ""&gt; &lt;/ div&gt; &lt;div tabindex ="" - 1 ""class ="" airy-time-remaining-label-container ""&gt; &lt;div tabindex ="" - 1 ""class ="" airy-time-remaining-Vertical-centering-table airy-Vertical-centering-table """&amp;"&gt; &lt;div tabindex = ""- 1"" class = ""airy-time-remaining-Vertical-centering-table-cell airy-Vertical-centering-table-cell""&gt; &lt;div tabindex = ""- 1"" class = ""airy-Vertical-centering-wrapper airy-time-remaining-label-wrapper ""&gt; &lt;div tabindex ="" - 1 ""cla"&amp;"ss ="" airy-time-remaining-label ""style ="" visibility: hidden; ""&gt; &lt;/ div&gt; &lt;div tabi ndex = ""- 1"" class = ""airy-ad-skip"" style = ""visibility: hidden;""&gt; &lt;/ div&gt; &lt;div tabindex = ""- 1"" class = ""airy-ad-end"" style = ""visibility: hidden ""&gt; &lt;/ div"&amp;"&gt; &lt;/ div&gt; &lt;/ div&gt; &lt;/ div&gt; &lt;/ div&gt; &lt;div tabindex ="" - 1 ""class ="" airy-learn-more ""style ="" visibility: hidden; ""&gt; &lt;/ div&gt; &lt;/ div&gt; &lt;div tabindex = ""- 1"" class = ""airy-play-toggle-hint-stage airy-stage airy-cursor""&gt; &lt;div tabindex = ""- 1"" class ="&amp;" ""airy-play -toggle-hint-Vertical-centering-table-cell airy-Vertical-centering-table-cell airy-cursor ""&gt; &lt;div tabindex ="" - 1 ""class ="" airy-play-toggle-hint-container airy-scalable- Hint-container ""&gt; &lt;div tabindex ="" - 1 ""class ="" airy-play-togg"&amp;"le-hint-dummy airy-scalable-dummy ""&gt; &lt;/ div&gt; &lt;div tabindex ="" - 1 ""class ="" airy-play -toggle-hint hint airy-airy-play-hint ""style ="" opacity: 1; visibility: visible; ""&gt; &lt;/ div&gt; &lt;/ div&gt; &lt;/ div&gt; &lt;/ div&gt; &lt;div tabindex ="" - 1 ""class ="" airy-replay-"&amp;"hint-stage airy-stage ""style ="" visibility: hidden ; ""&gt; &lt;div tabindex ="" - 1 ""class ="" airy-replay-hint-Vertical-centering-table-cell airy-Vertical-centering-table-cell airy-cursor ""&gt; &lt;div tabindex ="" - 1 ""class = ""airy-replay-hint-container air"&amp;"y-scalable-hint-container""&gt; &lt;div tabindex = ""- 1"" class = ""airy-replay-hint-dummy airy-scalable-dummy""&gt; &lt;/ div&gt; &lt;div tabindex = ""- 1"" class = ""airy-replay-hint airy-hint""&gt; &lt;/ div&gt; &lt;/ div&gt; &lt;/ div&gt; &lt;/ div&gt; &lt;div tabindex = ""- 1"" class = ""airy-aut"&amp;"oplay-hint -stage airy-stage ""style ="" visibility: hidden; ""&gt; &lt;div tabindex ="" - 1 ""class ="" airy-autoplay-hint-Vertical-centering-table-cell airy-Vertical-centering-table-cell airy- cursor ""&gt; &lt;div tabindex ="" - 1 ""class ="" autoplay airy-airy-hi"&amp;"nt-container-scalable-hint-container ""&gt; &lt;div tabindex ="" - 1 ""class ="" airy-autoplay-hint-dummy airy- scalable-dummy ""&gt; &lt;/ div&gt; &lt;/ div&gt; &lt;/ div&gt; &lt;/ div&gt; &lt;/ div&gt; &lt;/ div&gt; &lt;input type ="" hidden ""name ="" ""value ="" https: // images-eu .ssl-images-amaz"&amp;"on.com / images / I / A1OruJrv6RS.mp4 ""Class ="" video-url ""&gt; &lt;input type ="" hidden ""name ="" ""value ="" https://images-eu.ssl-images-amazon.com/images/I/C1ciyiEKJMS.png ""class ="" video-slate-img-url ""&gt; &amp; nbsp; Wear a week using a half hour day be"&amp;"cause not much recommended daily use, but sometimes there are times when I spend time. I bought it for use by the whole family and we will not take turns when sitting on the couch. It's a nice feeling and pleasant, I usually use up to the neck and shoulde"&amp;"rs but also in the lumbar and tingling sensation is nice.")</f>
        <v>nice feeling! &lt;Div id = "video-block-R13SYKUT7MOSZA" class = "section a-a-a-spacing-small spacing-top-video mini-block"&gt; &lt;div tabindex = "0" class = "airy airy-svg vmin- supported airy-skin-beacon "style =" background-color: rgb (0, 0, 0) position: relative; width: 100%; height: 100%; font-size: 0px; overflow: hidden; outline: none ; "&gt; &lt;div class =" airy-renderer-container "style =" position: relative; height: 100%; width: 100%; "&gt; &lt;video id =" 39 "preload =" auto "src =" https: //images-eu.ssl-images-amazon.com/images/I/A1OruJrv6RS.mp4 "style =" position: absolute; left: 0px; top: 0px; overflow: hidden; height: 1px; width: 1px; " &gt; &lt;/ video&gt; &lt;/ div&gt; &lt;div id = "airy-slate-preload" style = "background-color: rgb (0, 0, 0); background-image: url (&amp; quot; https: // images- eu.ssl-images-amazon.com/images/I/C1ciyiEKJMS.png&amp;quot;); background-size: Contain; background-position: center center; background-repeat: no-repeat; position: absolute; top: 0px; left :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A1OruJrv6RS.mp4 "Class =" video-url "&gt; &lt;input type =" hidden "name =" "value =" https://images-eu.ssl-images-amazon.com/images/I/C1ciyiEKJMS.png "class =" video-slate-img-url "&gt; &amp; nbsp; Wear a week using a half hour day because not much recommended daily use, but sometimes there are times when I spend time. I bought it for use by the whole family and we will not take turns when sitting on the couch. It's a nice feeling and pleasant, I usually use up to the neck and shoulders but also in the lumbar and tingling sensation is nice.</v>
      </c>
    </row>
    <row r="952">
      <c r="A952" s="1">
        <v>5.0</v>
      </c>
      <c r="B952" s="1" t="s">
        <v>947</v>
      </c>
      <c r="C952" t="str">
        <f>IFERROR(__xludf.DUMMYFUNCTION("GOOGLETRANSLATE(B952, ""es"", ""en"")"),"What I wanted. Handsome")</f>
        <v>What I wanted. Handsome</v>
      </c>
    </row>
    <row r="953">
      <c r="A953" s="1">
        <v>5.0</v>
      </c>
      <c r="B953" s="1" t="s">
        <v>948</v>
      </c>
      <c r="C953" t="str">
        <f>IFERROR(__xludf.DUMMYFUNCTION("GOOGLETRANSLATE(B953, ""es"", ""en"")"),"Good quality fabric good quality, I love")</f>
        <v>Good quality fabric good quality, I love</v>
      </c>
    </row>
    <row r="954">
      <c r="A954" s="1">
        <v>5.0</v>
      </c>
      <c r="B954" s="1" t="s">
        <v>949</v>
      </c>
      <c r="C954" t="str">
        <f>IFERROR(__xludf.DUMMYFUNCTION("GOOGLETRANSLATE(B954, ""es"", ""en"")"),"Perfect. / Quality ideal price. Met.")</f>
        <v>Perfect. / Quality ideal price. Met.</v>
      </c>
    </row>
    <row r="955">
      <c r="A955" s="1">
        <v>5.0</v>
      </c>
      <c r="B955" s="1" t="s">
        <v>950</v>
      </c>
      <c r="C955" t="str">
        <f>IFERROR(__xludf.DUMMYFUNCTION("GOOGLETRANSLATE(B955, ""es"", ""en"")"),"A right product right")</f>
        <v>A right product right</v>
      </c>
    </row>
    <row r="956">
      <c r="A956" s="1">
        <v>2.0</v>
      </c>
      <c r="B956" s="1" t="s">
        <v>951</v>
      </c>
      <c r="C956" t="str">
        <f>IFERROR(__xludf.DUMMYFUNCTION("GOOGLETRANSLATE(B956, ""es"", ""en"")"),"There are other options on the market, we do not recommend. We buy recommendation and q really regret the avent philips from our experience give many turns to this, wide mouth, tight thread around, much easier when cleaning, and teats than this if q it is"&amp;" very personal likes more our baby. In addition the measurement scale for example has 30 ml or 60 ml which are what we give our newborn, so even silly me takes longer make shots with these bottles.")</f>
        <v>There are other options on the market, we do not recommend. We buy recommendation and q really regret the avent philips from our experience give many turns to this, wide mouth, tight thread around, much easier when cleaning, and teats than this if q it is very personal likes more our baby. In addition the measurement scale for example has 30 ml or 60 ml which are what we give our newborn, so even silly me takes longer make shots with these bottles.</v>
      </c>
    </row>
    <row r="957">
      <c r="A957" s="1">
        <v>3.0</v>
      </c>
      <c r="B957" s="1" t="s">
        <v>952</v>
      </c>
      <c r="C957" t="str">
        <f>IFERROR(__xludf.DUMMYFUNCTION("GOOGLETRANSLATE(B957, ""es"", ""en"")"),"fulfills its function thought to carry two tickets to the miniSD card behave as a double drive, but it is not. Take default which is engaged, and if they are two which is at the bottom. I tried to 64GB in an old PSP and although it takes a few seconds to "&amp;"recognize the card, handled with ease.")</f>
        <v>fulfills its function thought to carry two tickets to the miniSD card behave as a double drive, but it is not. Take default which is engaged, and if they are two which is at the bottom. I tried to 64GB in an old PSP and although it takes a few seconds to recognize the card, handled with ease.</v>
      </c>
    </row>
    <row r="958">
      <c r="A958" s="1">
        <v>3.0</v>
      </c>
      <c r="B958" s="1" t="s">
        <v>953</v>
      </c>
      <c r="C958" t="str">
        <f>IFERROR(__xludf.DUMMYFUNCTION("GOOGLETRANSLATE(B958, ""es"", ""en"")"),"Are very rigid shoes are beautiful. However they are super hard. I hurt the back of the foot, at least the first three times I put them on. I had to use banditas and really was not pleasant even bother with thick socks. He agreed with several people who a"&amp;"re very hard on newly purchased.")</f>
        <v>Are very rigid shoes are beautiful. However they are super hard. I hurt the back of the foot, at least the first three times I put them on. I had to use banditas and really was not pleasant even bother with thick socks. He agreed with several people who are very hard on newly purchased.</v>
      </c>
    </row>
    <row r="959">
      <c r="A959" s="1">
        <v>1.0</v>
      </c>
      <c r="B959" s="1" t="s">
        <v>954</v>
      </c>
      <c r="C959" t="str">
        <f>IFERROR(__xludf.DUMMYFUNCTION("GOOGLETRANSLATE(B959, ""es"", ""en"")"),"Deception does not work the lock ... a hoax full")</f>
        <v>Deception does not work the lock ... a hoax full</v>
      </c>
    </row>
    <row r="960">
      <c r="A960" s="1">
        <v>1.0</v>
      </c>
      <c r="B960" s="1" t="s">
        <v>955</v>
      </c>
      <c r="C960" t="str">
        <f>IFERROR(__xludf.DUMMYFUNCTION("GOOGLETRANSLATE(B960, ""es"", ""en"")"),"Did not work, returned the computer recognized him but could not capture sound")</f>
        <v>Did not work, returned the computer recognized him but could not capture sound</v>
      </c>
    </row>
    <row r="961">
      <c r="A961" s="1">
        <v>4.0</v>
      </c>
      <c r="B961" s="1" t="s">
        <v>956</v>
      </c>
      <c r="C961" t="str">
        <f>IFERROR(__xludf.DUMMYFUNCTION("GOOGLETRANSLATE(B961, ""es"", ""en"")"),"They are very comfortable very comfortable, so if you have to ask for a number less The only downside is that stalls a little water")</f>
        <v>They are very comfortable very comfortable, so if you have to ask for a number less The only downside is that stalls a little water</v>
      </c>
    </row>
    <row r="962">
      <c r="A962" s="1">
        <v>4.0</v>
      </c>
      <c r="B962" s="1" t="s">
        <v>957</v>
      </c>
      <c r="C962" t="str">
        <f>IFERROR(__xludf.DUMMYFUNCTION("GOOGLETRANSLATE(B962, ""es"", ""en"")"),"Good gift good gift and good quality, but for its closure system, the assistance of another person is needed.")</f>
        <v>Good gift good gift and good quality, but for its closure system, the assistance of another person is needed.</v>
      </c>
    </row>
    <row r="963">
      <c r="A963" s="1">
        <v>4.0</v>
      </c>
      <c r="B963" s="1" t="s">
        <v>958</v>
      </c>
      <c r="C963" t="str">
        <f>IFERROR(__xludf.DUMMYFUNCTION("GOOGLETRANSLATE(B963, ""es"", ""en"")"),"Economico and very good Super SSD 240GB Kingston. Great quality and very fast. Fully recommended a purchase and more at this price")</f>
        <v>Economico and very good Super SSD 240GB Kingston. Great quality and very fast. Fully recommended a purchase and more at this price</v>
      </c>
    </row>
    <row r="964">
      <c r="A964" s="1">
        <v>4.0</v>
      </c>
      <c r="B964" s="1" t="s">
        <v>959</v>
      </c>
      <c r="C964" t="str">
        <f>IFERROR(__xludf.DUMMYFUNCTION("GOOGLETRANSLATE(B964, ""es"", ""en"")"),"ideal size if you have little space highlighted the size, occupying very little space in the kitchen, it seems it takes a tad longer to heat the water but the difference is barely noticeable, so great because so save energy.")</f>
        <v>ideal size if you have little space highlighted the size, occupying very little space in the kitchen, it seems it takes a tad longer to heat the water but the difference is barely noticeable, so great because so save energy.</v>
      </c>
    </row>
    <row r="965">
      <c r="A965" s="1">
        <v>4.0</v>
      </c>
      <c r="B965" s="1" t="s">
        <v>960</v>
      </c>
      <c r="C965" t="str">
        <f>IFERROR(__xludf.DUMMYFUNCTION("GOOGLETRANSLATE(B965, ""es"", ""en"")"),"Good buy than expected, good product quality / price I was surprised how good they sound, and that he was used to a sennheiser. The only thing I do not like is the union of the cable with the jack, he looks to break out there. That if, hopefully within a "&amp;"lot.")</f>
        <v>Good buy than expected, good product quality / price I was surprised how good they sound, and that he was used to a sennheiser. The only thing I do not like is the union of the cable with the jack, he looks to break out there. That if, hopefully within a lot.</v>
      </c>
    </row>
    <row r="966">
      <c r="A966" s="1">
        <v>5.0</v>
      </c>
      <c r="B966" s="1" t="s">
        <v>961</v>
      </c>
      <c r="C966" t="str">
        <f>IFERROR(__xludf.DUMMYFUNCTION("GOOGLETRANSLATE(B966, ""es"", ""en"")"),"Casio forever! Watch in perfect condition, as shown in the description. Very comfortable i easy to use, a classic. The metal strap is easily adjusted with a screwdriver, but I had to look at me a tutorial on youtube, fits right away. Multimode alarm has n"&amp;"o use for anything, chronometer and dual time zone. Looks like it will last long, very happy with the purchase.")</f>
        <v>Casio forever! Watch in perfect condition, as shown in the description. Very comfortable i easy to use, a classic. The metal strap is easily adjusted with a screwdriver, but I had to look at me a tutorial on youtube, fits right away. Multimode alarm has no use for anything, chronometer and dual time zone. Looks like it will last long, very happy with the purchase.</v>
      </c>
    </row>
    <row r="967">
      <c r="A967" s="1">
        <v>5.0</v>
      </c>
      <c r="B967" s="1" t="s">
        <v>962</v>
      </c>
      <c r="C967" t="str">
        <f>IFERROR(__xludf.DUMMYFUNCTION("GOOGLETRANSLATE(B967, ""es"", ""en"")"),"Just what I was looking excellent pack of oils with scents that I like. The use in porcelain oil burner because I like to use a humidifier and is scented room for several hours.")</f>
        <v>Just what I was looking excellent pack of oils with scents that I like. The use in porcelain oil burner because I like to use a humidifier and is scented room for several hours.</v>
      </c>
    </row>
    <row r="968">
      <c r="A968" s="1">
        <v>5.0</v>
      </c>
      <c r="B968" s="1" t="s">
        <v>745</v>
      </c>
      <c r="C968" t="str">
        <f>IFERROR(__xludf.DUMMYFUNCTION("GOOGLETRANSLATE(B968, ""es"", ""en"")"),"perfect perfect")</f>
        <v>perfect perfect</v>
      </c>
    </row>
    <row r="969">
      <c r="A969" s="1">
        <v>5.0</v>
      </c>
      <c r="B969" s="1" t="s">
        <v>963</v>
      </c>
      <c r="C969" t="str">
        <f>IFERROR(__xludf.DUMMYFUNCTION("GOOGLETRANSLATE(B969, ""es"", ""en"")"),"Good tissue. Has good fabric, strong and soft cotton at the same time, it is very comfortable, I measure 1.70 and comes rather long but I like it just as well,")</f>
        <v>Good tissue. Has good fabric, strong and soft cotton at the same time, it is very comfortable, I measure 1.70 and comes rather long but I like it just as well,</v>
      </c>
    </row>
    <row r="970">
      <c r="A970" s="1">
        <v>5.0</v>
      </c>
      <c r="B970" s="1" t="s">
        <v>964</v>
      </c>
      <c r="C970" t="str">
        <f>IFERROR(__xludf.DUMMYFUNCTION("GOOGLETRANSLATE(B970, ""es"", ""en"")"),"Quality. Perfect.")</f>
        <v>Quality. Perfect.</v>
      </c>
    </row>
    <row r="971">
      <c r="A971" s="1">
        <v>5.0</v>
      </c>
      <c r="B971" s="1" t="s">
        <v>965</v>
      </c>
      <c r="C971" t="str">
        <f>IFERROR(__xludf.DUMMYFUNCTION("GOOGLETRANSLATE(B971, ""es"", ""en"")"),"Very good Good product")</f>
        <v>Very good Good product</v>
      </c>
    </row>
    <row r="972">
      <c r="A972" s="1">
        <v>5.0</v>
      </c>
      <c r="B972" s="1" t="s">
        <v>966</v>
      </c>
      <c r="C972" t="str">
        <f>IFERROR(__xludf.DUMMYFUNCTION("GOOGLETRANSLATE(B972, ""es"", ""en"")"),"For Super USB bottles in pack order and good price. He came very well packaged and sealed.")</f>
        <v>For Super USB bottles in pack order and good price. He came very well packaged and sealed.</v>
      </c>
    </row>
    <row r="973">
      <c r="A973" s="1">
        <v>5.0</v>
      </c>
      <c r="B973" s="1" t="s">
        <v>967</v>
      </c>
      <c r="C973" t="str">
        <f>IFERROR(__xludf.DUMMYFUNCTION("GOOGLETRANSLATE(B973, ""es"", ""en"")"),"Calgon 75 pills After 6 uses note that smell washer begun to disappear The photograph as described by the manufacturer")</f>
        <v>Calgon 75 pills After 6 uses note that smell washer begun to disappear The photograph as described by the manufacturer</v>
      </c>
    </row>
    <row r="974">
      <c r="A974" s="1">
        <v>5.0</v>
      </c>
      <c r="B974" s="1" t="s">
        <v>968</v>
      </c>
      <c r="C974" t="str">
        <f>IFERROR(__xludf.DUMMYFUNCTION("GOOGLETRANSLATE(B974, ""es"", ""en"")"),"It is well was a gift for my mother and has been very happy.")</f>
        <v>It is well was a gift for my mother and has been very happy.</v>
      </c>
    </row>
    <row r="975">
      <c r="A975" s="1">
        <v>5.0</v>
      </c>
      <c r="B975" s="1" t="s">
        <v>969</v>
      </c>
      <c r="C975" t="str">
        <f>IFERROR(__xludf.DUMMYFUNCTION("GOOGLETRANSLATE(B975, ""es"", ""en"")"),"Optimal for babies who likes this kind of good quality baby bottle nipple. It is not yellow over time and is manufactured with non-hazardous materials for children. Nipples likes to my daughter. It is easily cleaned with a brush.")</f>
        <v>Optimal for babies who likes this kind of good quality baby bottle nipple. It is not yellow over time and is manufactured with non-hazardous materials for children. Nipples likes to my daughter. It is easily cleaned with a brush.</v>
      </c>
    </row>
    <row r="976">
      <c r="A976" s="1">
        <v>5.0</v>
      </c>
      <c r="B976" s="1" t="s">
        <v>970</v>
      </c>
      <c r="C976" t="str">
        <f>IFERROR(__xludf.DUMMYFUNCTION("GOOGLETRANSLATE(B976, ""es"", ""en"")"),"Just what I needed I needed a new card for my new camera. Great moment. It is very fast copying the photos to the computer (RAW) and so I took (21,99) I have not seen one better.")</f>
        <v>Just what I needed I needed a new card for my new camera. Great moment. It is very fast copying the photos to the computer (RAW) and so I took (21,99) I have not seen one better.</v>
      </c>
    </row>
    <row r="977">
      <c r="A977" s="1">
        <v>5.0</v>
      </c>
      <c r="B977" s="1" t="s">
        <v>971</v>
      </c>
      <c r="C977" t="str">
        <f>IFERROR(__xludf.DUMMYFUNCTION("GOOGLETRANSLATE(B977, ""es"", ""en"")"),"Very good very good quality. Do not take off. Exact description")</f>
        <v>Very good very good quality. Do not take off. Exact description</v>
      </c>
    </row>
    <row r="978">
      <c r="A978" s="1">
        <v>5.0</v>
      </c>
      <c r="B978" s="1" t="s">
        <v>972</v>
      </c>
      <c r="C978" t="str">
        <f>IFERROR(__xludf.DUMMYFUNCTION("GOOGLETRANSLATE(B978, ""es"", ""en"")"),"Little to say quality unsurpassed quality timberland, gorgeous, comfortable and high quality in all aspectos.Repetiré purchase this brand.")</f>
        <v>Little to say quality unsurpassed quality timberland, gorgeous, comfortable and high quality in all aspectos.Repetiré purchase this brand.</v>
      </c>
    </row>
    <row r="979">
      <c r="A979" s="1">
        <v>5.0</v>
      </c>
      <c r="B979" s="1" t="s">
        <v>973</v>
      </c>
      <c r="C979" t="str">
        <f>IFERROR(__xludf.DUMMYFUNCTION("GOOGLETRANSLATE(B979, ""es"", ""en"")"),"Great, great audio on this great disne can move and place as you want and you can adjust the level of the voice from the same microphone I love, and with an incredible price.")</f>
        <v>Great, great audio on this great disne can move and place as you want and you can adjust the level of the voice from the same microphone I love, and with an incredible price.</v>
      </c>
    </row>
    <row r="980">
      <c r="A980" s="1">
        <v>5.0</v>
      </c>
      <c r="B980" s="1" t="s">
        <v>974</v>
      </c>
      <c r="C980" t="str">
        <f>IFERROR(__xludf.DUMMYFUNCTION("GOOGLETRANSLATE(B980, ""es"", ""en"")"),"Very useful I bought it, and has come on me today, very fast shipping! And perfecto.Además goes the bowl, turn revolve while rotating rods, and that is perfect since all phenomenal mix")</f>
        <v>Very useful I bought it, and has come on me today, very fast shipping! And perfecto.Además goes the bowl, turn revolve while rotating rods, and that is perfect since all phenomenal mix</v>
      </c>
    </row>
    <row r="981">
      <c r="A981" s="1">
        <v>5.0</v>
      </c>
      <c r="B981" s="1" t="s">
        <v>975</v>
      </c>
      <c r="C981" t="str">
        <f>IFERROR(__xludf.DUMMYFUNCTION("GOOGLETRANSLATE(B981, ""es"", ""en"")"),"Perfect storage and portability faultlessly")</f>
        <v>Perfect storage and portability faultlessly</v>
      </c>
    </row>
    <row r="982">
      <c r="A982" s="1">
        <v>5.0</v>
      </c>
      <c r="B982" s="1" t="s">
        <v>976</v>
      </c>
      <c r="C982" t="str">
        <f>IFERROR(__xludf.DUMMYFUNCTION("GOOGLETRANSLATE(B982, ""es"", ""en"")"),"Perfect!!!! It is identical with the description, well, how ..... downside to being bright housing all traces remain")</f>
        <v>Perfect!!!! It is identical with the description, well, how ..... downside to being bright housing all traces remain</v>
      </c>
    </row>
    <row r="983">
      <c r="A983" s="1">
        <v>5.0</v>
      </c>
      <c r="B983" s="1" t="s">
        <v>977</v>
      </c>
      <c r="C983" t="str">
        <f>IFERROR(__xludf.DUMMYFUNCTION("GOOGLETRANSLATE(B983, ""es"", ""en"")"),"I think the best time to soften ... Because they are very hard .. But yes keep the foot in place ... Very good truth")</f>
        <v>I think the best time to soften ... Because they are very hard .. But yes keep the foot in place ... Very good truth</v>
      </c>
    </row>
    <row r="984">
      <c r="A984" s="1">
        <v>5.0</v>
      </c>
      <c r="B984" s="1" t="s">
        <v>978</v>
      </c>
      <c r="C984" t="str">
        <f>IFERROR(__xludf.DUMMYFUNCTION("GOOGLETRANSLATE(B984, ""es"", ""en"")"),"Design and quality. Very happy with the bracelet ... it looks great ... plata..y is the second that I buy and very satisfied.")</f>
        <v>Design and quality. Very happy with the bracelet ... it looks great ... plata..y is the second that I buy and very satisfied.</v>
      </c>
    </row>
    <row r="985">
      <c r="A985" s="1">
        <v>2.0</v>
      </c>
      <c r="B985" s="1" t="s">
        <v>979</v>
      </c>
      <c r="C985" t="str">
        <f>IFERROR(__xludf.DUMMYFUNCTION("GOOGLETRANSLATE(B985, ""es"", ""en"")"),"It has no power or for a beet !! I bought it because I saw very recommended blogs and such, the brand that gave me confidence and ice pick because he said, indicating sufficient power to chop vegetables ... nope! Or a beet can sting. A shame, really. Espe"&amp;"cially considering the price, come on, a scam.")</f>
        <v>It has no power or for a beet !! I bought it because I saw very recommended blogs and such, the brand that gave me confidence and ice pick because he said, indicating sufficient power to chop vegetables ... nope! Or a beet can sting. A shame, really. Especially considering the price, come on, a scam.</v>
      </c>
    </row>
    <row r="986">
      <c r="A986" s="1">
        <v>3.0</v>
      </c>
      <c r="B986" s="1" t="s">
        <v>980</v>
      </c>
      <c r="C986" t="str">
        <f>IFERROR(__xludf.DUMMYFUNCTION("GOOGLETRANSLATE(B986, ""es"", ""en"")"),"Good finish of the product but falls short in some details bag generally is good, I like its aesthetics and finishes. The material is made which gives the impression (subjectively) and reading some reviews, not being tough enough. Another paste that is pu"&amp;"t the strap length. It is too short for people like me who have a normal height. Otherwise it's fine with enough sections and is comfortable to wear.")</f>
        <v>Good finish of the product but falls short in some details bag generally is good, I like its aesthetics and finishes. The material is made which gives the impression (subjectively) and reading some reviews, not being tough enough. Another paste that is put the strap length. It is too short for people like me who have a normal height. Otherwise it's fine with enough sections and is comfortable to wear.</v>
      </c>
    </row>
    <row r="987">
      <c r="A987" s="1">
        <v>3.0</v>
      </c>
      <c r="B987" s="1" t="s">
        <v>981</v>
      </c>
      <c r="C987" t="str">
        <f>IFERROR(__xludf.DUMMYFUNCTION("GOOGLETRANSLATE(B987, ""es"", ""en"")"),"Top for larger bodies whether the fabric and finish is fine all they are slightly wider and appear more mini shirts tops")</f>
        <v>Top for larger bodies whether the fabric and finish is fine all they are slightly wider and appear more mini shirts tops</v>
      </c>
    </row>
    <row r="988">
      <c r="A988" s="1">
        <v>1.0</v>
      </c>
      <c r="B988" s="1" t="s">
        <v>982</v>
      </c>
      <c r="C988" t="str">
        <f>IFERROR(__xludf.DUMMYFUNCTION("GOOGLETRANSLATE(B988, ""es"", ""en"")"),"Good way to waste time I bought for the office and already gave me some ""fear"". In the out of the box everything was going well, but the lid open and a strange smell out. I tried to warm up a coffee and some of it stuck in the metal base. He stood there"&amp;" since then nothing came out. The board said base is plastic giving it a unique flavor to your coffee. I returned it to the next day and behaved Amazon handing me back the full money for the product.")</f>
        <v>Good way to waste time I bought for the office and already gave me some "fear". In the out of the box everything was going well, but the lid open and a strange smell out. I tried to warm up a coffee and some of it stuck in the metal base. He stood there since then nothing came out. The board said base is plastic giving it a unique flavor to your coffee. I returned it to the next day and behaved Amazon handing me back the full money for the product.</v>
      </c>
    </row>
    <row r="989">
      <c r="A989" s="1">
        <v>1.0</v>
      </c>
      <c r="B989" s="1" t="s">
        <v>983</v>
      </c>
      <c r="C989" t="str">
        <f>IFERROR(__xludf.DUMMYFUNCTION("GOOGLETRANSLATE(B989, ""es"", ""en"")"),"Good watch. Bad link belt. The links of the belt are pressure and are so bad they do not go far enough to get them to shorten the belt")</f>
        <v>Good watch. Bad link belt. The links of the belt are pressure and are so bad they do not go far enough to get them to shorten the belt</v>
      </c>
    </row>
    <row r="990">
      <c r="A990" s="1">
        <v>4.0</v>
      </c>
      <c r="B990" s="1" t="s">
        <v>984</v>
      </c>
      <c r="C990" t="str">
        <f>IFERROR(__xludf.DUMMYFUNCTION("GOOGLETRANSLATE(B990, ""es"", ""en"")"),"I use works to emulsify creams, cosmetic oils, etc ... works great despite its quality (low), q more can you ask for the price q has.")</f>
        <v>I use works to emulsify creams, cosmetic oils, etc ... works great despite its quality (low), q more can you ask for the price q has.</v>
      </c>
    </row>
    <row r="991">
      <c r="A991" s="1">
        <v>4.0</v>
      </c>
      <c r="B991" s="1" t="s">
        <v>985</v>
      </c>
      <c r="C991" t="str">
        <f>IFERROR(__xludf.DUMMYFUNCTION("GOOGLETRANSLATE(B991, ""es"", ""en"")"),"Reading and Writing goes very well both writing as reading any file")</f>
        <v>Reading and Writing goes very well both writing as reading any file</v>
      </c>
    </row>
    <row r="992">
      <c r="A992" s="1">
        <v>4.0</v>
      </c>
      <c r="B992" s="1" t="s">
        <v>986</v>
      </c>
      <c r="C992" t="str">
        <f>IFERROR(__xludf.DUMMYFUNCTION("GOOGLETRANSLATE(B992, ""es"", ""en"")"),"M.2 SSD hard drive perfect for my new laptop and install on OS w10 and programs that use. It has arrived in good condition and the value for money is the best.")</f>
        <v>M.2 SSD hard drive perfect for my new laptop and install on OS w10 and programs that use. It has arrived in good condition and the value for money is the best.</v>
      </c>
    </row>
    <row r="993">
      <c r="A993" s="1">
        <v>4.0</v>
      </c>
      <c r="B993" s="1" t="s">
        <v>987</v>
      </c>
      <c r="C993" t="str">
        <f>IFERROR(__xludf.DUMMYFUNCTION("GOOGLETRANSLATE(B993, ""es"", ""en"")"),"Convenient and comfortable and long-lasting durability")</f>
        <v>Convenient and comfortable and long-lasting durability</v>
      </c>
    </row>
    <row r="994">
      <c r="A994" s="1">
        <v>5.0</v>
      </c>
      <c r="B994" s="1" t="s">
        <v>988</v>
      </c>
      <c r="C994" t="str">
        <f>IFERROR(__xludf.DUMMYFUNCTION("GOOGLETRANSLATE(B994, ""es"", ""en"")"),"Perfect watch arrived perfectly wrapped to not get spoiled. In addition, the watch is of very good quality, time has passed and still like new.")</f>
        <v>Perfect watch arrived perfectly wrapped to not get spoiled. In addition, the watch is of very good quality, time has passed and still like new.</v>
      </c>
    </row>
    <row r="995">
      <c r="A995" s="1">
        <v>5.0</v>
      </c>
      <c r="B995" s="1" t="s">
        <v>989</v>
      </c>
      <c r="C995" t="str">
        <f>IFERROR(__xludf.DUMMYFUNCTION("GOOGLETRANSLATE(B995, ""es"", ""en"")"),"Value for money. Very comfortable, breathable and air chamber. The quality is pretty good, price is not bad. 100% recommended.")</f>
        <v>Value for money. Very comfortable, breathable and air chamber. The quality is pretty good, price is not bad. 100% recommended.</v>
      </c>
    </row>
    <row r="996">
      <c r="A996" s="1">
        <v>5.0</v>
      </c>
      <c r="B996" s="1" t="s">
        <v>990</v>
      </c>
      <c r="C996" t="str">
        <f>IFERROR(__xludf.DUMMYFUNCTION("GOOGLETRANSLATE(B996, ""es"", ""en"")"),"Everything Perfect Perfect")</f>
        <v>Everything Perfect Perfect</v>
      </c>
    </row>
    <row r="997">
      <c r="A997" s="1">
        <v>5.0</v>
      </c>
      <c r="B997" s="1" t="s">
        <v>991</v>
      </c>
      <c r="C997" t="str">
        <f>IFERROR(__xludf.DUMMYFUNCTION("GOOGLETRANSLATE(B997, ""es"", ""en"")"),"Good Value Good Value.")</f>
        <v>Good Value Good Value.</v>
      </c>
    </row>
    <row r="998">
      <c r="A998" s="1">
        <v>5.0</v>
      </c>
      <c r="B998" s="1" t="s">
        <v>992</v>
      </c>
      <c r="C998" t="str">
        <f>IFERROR(__xludf.DUMMYFUNCTION("GOOGLETRANSLATE(B998, ""es"", ""en"")"),"Perfect for brand helmets in the gym, running ok")</f>
        <v>Perfect for brand helmets in the gym, running ok</v>
      </c>
    </row>
    <row r="999">
      <c r="A999" s="1">
        <v>5.0</v>
      </c>
      <c r="B999" s="1" t="s">
        <v>993</v>
      </c>
      <c r="C999" t="str">
        <f>IFERROR(__xludf.DUMMYFUNCTION("GOOGLETRANSLATE(B999, ""es"", ""en"")"),"Very well they priced long in coming but very good. There are of all colors and are quite nice. If you weave often these markers are perfect.")</f>
        <v>Very well they priced long in coming but very good. There are of all colors and are quite nice. If you weave often these markers are perfect.</v>
      </c>
    </row>
    <row r="1000">
      <c r="A1000" s="1">
        <v>5.0</v>
      </c>
      <c r="B1000" s="1" t="s">
        <v>994</v>
      </c>
      <c r="C1000" t="str">
        <f>IFERROR(__xludf.DUMMYFUNCTION("GOOGLETRANSLATE(B1000, ""es"", ""en"")"),"Comfortable comfortable and good price")</f>
        <v>Comfortable comfortable and good price</v>
      </c>
    </row>
    <row r="1001">
      <c r="A1001" s="1">
        <v>5.0</v>
      </c>
      <c r="B1001" s="1" t="s">
        <v>995</v>
      </c>
      <c r="C1001" t="str">
        <f>IFERROR(__xludf.DUMMYFUNCTION("GOOGLETRANSLATE(B1001, ""es"", ""en"")"),"Shipping was perfect as usual Amazon perfect and the product meets the expectations at a reasonable price. A now see if it lasts a few years because we know all appliances are made to last the justito for guarantee. Above the same brand took us about 4 ye"&amp;"ars.")</f>
        <v>Shipping was perfect as usual Amazon perfect and the product meets the expectations at a reasonable price. A now see if it lasts a few years because we know all appliances are made to last the justito for guarantee. Above the same brand took us about 4 years.</v>
      </c>
    </row>
    <row r="1002">
      <c r="A1002" s="1">
        <v>5.0</v>
      </c>
      <c r="B1002" s="1" t="s">
        <v>996</v>
      </c>
      <c r="C1002" t="str">
        <f>IFERROR(__xludf.DUMMYFUNCTION("GOOGLETRANSLATE(B1002, ""es"", ""en"")"),"A good watch must-have of watchmaking. And small was the first model and now I have the update. By putting a snag, maybe the buttons are somewhat hard. Otherwise, super duper")</f>
        <v>A good watch must-have of watchmaking. And small was the first model and now I have the update. By putting a snag, maybe the buttons are somewhat hard. Otherwise, super duper</v>
      </c>
    </row>
    <row r="1003">
      <c r="A1003" s="1">
        <v>5.0</v>
      </c>
      <c r="B1003" s="1" t="s">
        <v>997</v>
      </c>
      <c r="C1003" t="str">
        <f>IFERROR(__xludf.DUMMYFUNCTION("GOOGLETRANSLATE(B1003, ""es"", ""en"")"),"Expected I liked the sound it makes while you acercartelo enough to hear, as should be clear, is not a cowbell. Otherwise everything as in the description of the advert")</f>
        <v>Expected I liked the sound it makes while you acercartelo enough to hear, as should be clear, is not a cowbell. Otherwise everything as in the description of the advert</v>
      </c>
    </row>
    <row r="1004">
      <c r="A1004" s="1">
        <v>5.0</v>
      </c>
      <c r="B1004" s="1" t="s">
        <v>998</v>
      </c>
      <c r="C1004" t="str">
        <f>IFERROR(__xludf.DUMMYFUNCTION("GOOGLETRANSLATE(B1004, ""es"", ""en"")"),"well this mixer is very well ... It is very useful and easy to make dessert ... and only with money so cheap, I really like.")</f>
        <v>well this mixer is very well ... It is very useful and easy to make dessert ... and only with money so cheap, I really like.</v>
      </c>
    </row>
    <row r="1005">
      <c r="A1005" s="1">
        <v>5.0</v>
      </c>
      <c r="B1005" s="1" t="s">
        <v>999</v>
      </c>
      <c r="C1005" t="str">
        <f>IFERROR(__xludf.DUMMYFUNCTION("GOOGLETRANSLATE(B1005, ""es"", ""en"")"),"tállele superior quality and expected superior quality and sizing expected")</f>
        <v>tállele superior quality and expected superior quality and sizing expected</v>
      </c>
    </row>
    <row r="1006">
      <c r="A1006" s="1">
        <v>5.0</v>
      </c>
      <c r="B1006" s="1" t="s">
        <v>1000</v>
      </c>
      <c r="C1006" t="str">
        <f>IFERROR(__xludf.DUMMYFUNCTION("GOOGLETRANSLATE(B1006, ""es"", ""en"")"),"Perfect for large rooms. Good long-distance reception Kit 2 emitters to quales are adaptable microphone, viebe kit with 2 sets of microphones for each transmitter, one headset and one with forceps. Adjustable volume of each channel received.")</f>
        <v>Perfect for large rooms. Good long-distance reception Kit 2 emitters to quales are adaptable microphone, viebe kit with 2 sets of microphones for each transmitter, one headset and one with forceps. Adjustable volume of each channel received.</v>
      </c>
    </row>
    <row r="1007">
      <c r="A1007" s="1">
        <v>5.0</v>
      </c>
      <c r="B1007" s="1" t="s">
        <v>1001</v>
      </c>
      <c r="C1007" t="str">
        <f>IFERROR(__xludf.DUMMYFUNCTION("GOOGLETRANSLATE(B1007, ""es"", ""en"")"),"Exceptional value what I was looking Neither more nor less than cardboard tags. Very good quality!")</f>
        <v>Exceptional value what I was looking Neither more nor less than cardboard tags. Very good quality!</v>
      </c>
    </row>
    <row r="1008">
      <c r="A1008" s="1">
        <v>5.0</v>
      </c>
      <c r="B1008" s="1" t="s">
        <v>1002</v>
      </c>
      <c r="C1008" t="str">
        <f>IFERROR(__xludf.DUMMYFUNCTION("GOOGLETRANSLATE(B1008, ""es"", ""en"")"),"Perfect sound are perfect. Hear great. Would buy them. I recommend")</f>
        <v>Perfect sound are perfect. Hear great. Would buy them. I recommend</v>
      </c>
    </row>
    <row r="1009">
      <c r="A1009" s="1">
        <v>5.0</v>
      </c>
      <c r="B1009" s="1" t="s">
        <v>1003</v>
      </c>
      <c r="C1009" t="str">
        <f>IFERROR(__xludf.DUMMYFUNCTION("GOOGLETRANSLATE(B1009, ""es"", ""en"")"),"Works well without being an expert Anyway, I was looking for a flashgun series Elinchrom 500/600 90s because once I came shopping with one form of this and did not require other apparatus channels , I tried it without the device and did not work with him "&amp;"since the sync cable, yes. The apparatus uses shoe two AAA batteries, not I can talk using flashes charges for neither've tried it and do not think it will, but if you have a camera that does not have to connect a sync cable, such as the Canon EOS 600D or"&amp;" 6D, to cite an example, here you have this aparatejo ridiculous price that works well.")</f>
        <v>Works well without being an expert Anyway, I was looking for a flashgun series Elinchrom 500/600 90s because once I came shopping with one form of this and did not require other apparatus channels , I tried it without the device and did not work with him since the sync cable, yes. The apparatus uses shoe two AAA batteries, not I can talk using flashes charges for neither've tried it and do not think it will, but if you have a camera that does not have to connect a sync cable, such as the Canon EOS 600D or 6D, to cite an example, here you have this aparatejo ridiculous price that works well.</v>
      </c>
    </row>
    <row r="1010">
      <c r="A1010" s="1">
        <v>5.0</v>
      </c>
      <c r="B1010" s="1" t="s">
        <v>1004</v>
      </c>
      <c r="C1010" t="str">
        <f>IFERROR(__xludf.DUMMYFUNCTION("GOOGLETRANSLATE(B1010, ""es"", ""en"")"),"Windbreaker woman is very comfortable even clearer than it looks in the picture")</f>
        <v>Windbreaker woman is very comfortable even clearer than it looks in the picture</v>
      </c>
    </row>
    <row r="1011">
      <c r="A1011" s="1">
        <v>5.0</v>
      </c>
      <c r="B1011" s="1" t="s">
        <v>1005</v>
      </c>
      <c r="C1011" t="str">
        <f>IFERROR(__xludf.DUMMYFUNCTION("GOOGLETRANSLATE(B1011, ""es"", ""en"")"),"Delivery speed and comfort Everything perfect")</f>
        <v>Delivery speed and comfort Everything perfect</v>
      </c>
    </row>
    <row r="1012">
      <c r="A1012" s="1">
        <v>5.0</v>
      </c>
      <c r="B1012" s="1" t="s">
        <v>1006</v>
      </c>
      <c r="C1012" t="str">
        <f>IFERROR(__xludf.DUMMYFUNCTION("GOOGLETRANSLATE(B1012, ""es"", ""en"")"),"Very Happy Very good buy. I love how well you pick up this bottle my baby. And very fast delivery. I recommend it to everyone.")</f>
        <v>Very Happy Very good buy. I love how well you pick up this bottle my baby. And very fast delivery. I recommend it to everyone.</v>
      </c>
    </row>
    <row r="1013">
      <c r="A1013" s="1">
        <v>2.0</v>
      </c>
      <c r="B1013" s="1" t="s">
        <v>1007</v>
      </c>
      <c r="C1013" t="str">
        <f>IFERROR(__xludf.DUMMYFUNCTION("GOOGLETRANSLATE(B1013, ""es"", ""en"")"),"The interior is plastic inside plastic is better if stainless pictured inside is not well displayed, not the type of plastic used detailed if bpa free")</f>
        <v>The interior is plastic inside plastic is better if stainless pictured inside is not well displayed, not the type of plastic used detailed if bpa free</v>
      </c>
    </row>
    <row r="1014">
      <c r="A1014" s="1">
        <v>3.0</v>
      </c>
      <c r="B1014" s="1" t="s">
        <v>1008</v>
      </c>
      <c r="C1014" t="str">
        <f>IFERROR(__xludf.DUMMYFUNCTION("GOOGLETRANSLATE(B1014, ""es"", ""en"")"),"Acceptable results The mixer itself meets promised, not bad, it beats everything pretty well and smoothly. Several important issues must consider before purchasing this product: 1: the blades go up and are very exposed, advise against this type of product"&amp;" if you have any loose Peke at home. a court may take in the process. (Look at the pictures of some of the customers and understand) 2: makes enough noise, so do not make smoothies at night if you have neighbors. 3: a personal experience, the third use it"&amp;" blocked me the knife and I could not get him out, I had to change it and so far takes 6 uses without giving problems. If you engage you to try to not get it out and return it or I shall bear a few cuts on the way (experience)")</f>
        <v>Acceptable results The mixer itself meets promised, not bad, it beats everything pretty well and smoothly. Several important issues must consider before purchasing this product: 1: the blades go up and are very exposed, advise against this type of product if you have any loose Peke at home. a court may take in the process. (Look at the pictures of some of the customers and understand) 2: makes enough noise, so do not make smoothies at night if you have neighbors. 3: a personal experience, the third use it blocked me the knife and I could not get him out, I had to change it and so far takes 6 uses without giving problems. If you engage you to try to not get it out and return it or I shall bear a few cuts on the way (experience)</v>
      </c>
    </row>
    <row r="1015">
      <c r="A1015" s="1">
        <v>1.0</v>
      </c>
      <c r="B1015" s="1" t="s">
        <v>1009</v>
      </c>
      <c r="C1015" t="str">
        <f>IFERROR(__xludf.DUMMYFUNCTION("GOOGLETRANSLATE(B1015, ""es"", ""en"")"),"does not work or a bit late time and test the microphone does not work.")</f>
        <v>does not work or a bit late time and test the microphone does not work.</v>
      </c>
    </row>
    <row r="1016">
      <c r="A1016" s="1">
        <v>1.0</v>
      </c>
      <c r="B1016" s="1" t="s">
        <v>1010</v>
      </c>
      <c r="C1016" t="str">
        <f>IFERROR(__xludf.DUMMYFUNCTION("GOOGLETRANSLATE(B1016, ""es"", ""en"")"),"Izzycasta8 Very bad. a few days ago to buy it and it produces noise and fails. I do not recommend as they sell it as high quality item and anti tangles and my experience is not true. It entangles more than rubber and hard to keep. They sell it as professi"&amp;"onal cable but leaves much to be desired.")</f>
        <v>Izzycasta8 Very bad. a few days ago to buy it and it produces noise and fails. I do not recommend as they sell it as high quality item and anti tangles and my experience is not true. It entangles more than rubber and hard to keep. They sell it as professional cable but leaves much to be desired.</v>
      </c>
    </row>
    <row r="1017">
      <c r="A1017" s="1">
        <v>4.0</v>
      </c>
      <c r="B1017" s="1" t="s">
        <v>1011</v>
      </c>
      <c r="C1017" t="str">
        <f>IFERROR(__xludf.DUMMYFUNCTION("GOOGLETRANSLATE(B1017, ""es"", ""en"")"),"comfortable with buying Quality is important. without problems you can make cakes and cupckake. Excellent. rapudo you can enjoy making cakes and uncomplicated")</f>
        <v>comfortable with buying Quality is important. without problems you can make cakes and cupckake. Excellent. rapudo you can enjoy making cakes and uncomplicated</v>
      </c>
    </row>
    <row r="1018">
      <c r="A1018" s="1">
        <v>4.0</v>
      </c>
      <c r="B1018" s="1" t="s">
        <v>1012</v>
      </c>
      <c r="C1018" t="str">
        <f>IFERROR(__xludf.DUMMYFUNCTION("GOOGLETRANSLATE(B1018, ""es"", ""en"")"),"try to work lack hope not trouble me")</f>
        <v>try to work lack hope not trouble me</v>
      </c>
    </row>
    <row r="1019">
      <c r="A1019" s="1">
        <v>4.0</v>
      </c>
      <c r="B1019" s="1" t="s">
        <v>1013</v>
      </c>
      <c r="C1019" t="str">
        <f>IFERROR(__xludf.DUMMYFUNCTION("GOOGLETRANSLATE(B1019, ""es"", ""en"")"),"Good buy is a known brand, that gives security, use these cards for Raspberry, use other brands such as Samsung and SanDisk. In using this I realized that all is by far the least space has a 62GB as far as trying to move the image of SanDisk, which of the"&amp;" above two is the least has (a little less than Samsung Evo ) she did not let me. The problem is missing 2gb and plenty of room for gitarlo image, for I prefer you use the other. Now, if you go from scratch or want for mobile for example, is a great buy, "&amp;"I snagged 7 € and something very good.")</f>
        <v>Good buy is a known brand, that gives security, use these cards for Raspberry, use other brands such as Samsung and SanDisk. In using this I realized that all is by far the least space has a 62GB as far as trying to move the image of SanDisk, which of the above two is the least has (a little less than Samsung Evo ) she did not let me. The problem is missing 2gb and plenty of room for gitarlo image, for I prefer you use the other. Now, if you go from scratch or want for mobile for example, is a great buy, I snagged 7 € and something very good.</v>
      </c>
    </row>
    <row r="1020">
      <c r="A1020" s="1">
        <v>4.0</v>
      </c>
      <c r="B1020" s="1" t="s">
        <v>1014</v>
      </c>
      <c r="C1020" t="str">
        <f>IFERROR(__xludf.DUMMYFUNCTION("GOOGLETRANSLATE(B1020, ""es"", ""en"")"),"They are like the picture are very beautiful")</f>
        <v>They are like the picture are very beautiful</v>
      </c>
    </row>
    <row r="1021">
      <c r="A1021" s="1">
        <v>4.0</v>
      </c>
      <c r="B1021" s="1" t="s">
        <v>1015</v>
      </c>
      <c r="C1021" t="str">
        <f>IFERROR(__xludf.DUMMYFUNCTION("GOOGLETRANSLATE(B1021, ""es"", ""en"")"),"Nipples number 4 does not put the teats are 4. More than 6 months. Hello I had to buy teats 3. Otherwise, eat very well with them.")</f>
        <v>Nipples number 4 does not put the teats are 4. More than 6 months. Hello I had to buy teats 3. Otherwise, eat very well with them.</v>
      </c>
    </row>
    <row r="1022">
      <c r="A1022" s="1">
        <v>5.0</v>
      </c>
      <c r="B1022" s="1" t="s">
        <v>238</v>
      </c>
      <c r="C1022" t="str">
        <f>IFERROR(__xludf.DUMMYFUNCTION("GOOGLETRANSLATE(B1022, ""es"", ""en"")"),"perfect perfect")</f>
        <v>perfect perfect</v>
      </c>
    </row>
    <row r="1023">
      <c r="A1023" s="1">
        <v>5.0</v>
      </c>
      <c r="B1023" s="1" t="s">
        <v>1016</v>
      </c>
      <c r="C1023" t="str">
        <f>IFERROR(__xludf.DUMMYFUNCTION("GOOGLETRANSLATE(B1023, ""es"", ""en"")"),"Practical and compatible with breastfeeding started giving formula milk reinforcing my son using other bottles and suddenly he stopped to catch his chest. A changing this bottle he has returned to snag the chest smoothly. Furthermore, this pack allows us "&amp;"to store bottles. We have more than 1 month are using it and new as the first day. I think he just come a nipple could be a little cheaper.")</f>
        <v>Practical and compatible with breastfeeding started giving formula milk reinforcing my son using other bottles and suddenly he stopped to catch his chest. A changing this bottle he has returned to snag the chest smoothly. Furthermore, this pack allows us to store bottles. We have more than 1 month are using it and new as the first day. I think he just come a nipple could be a little cheaper.</v>
      </c>
    </row>
    <row r="1024">
      <c r="A1024" s="1">
        <v>5.0</v>
      </c>
      <c r="B1024" s="1" t="s">
        <v>1017</v>
      </c>
      <c r="C1024" t="str">
        <f>IFERROR(__xludf.DUMMYFUNCTION("GOOGLETRANSLATE(B1024, ""es"", ""en"")"),"They are very practical hello, to keep things small value you have at home, rings, watches, money, any document, etc. I recommend your purchase to be very practical")</f>
        <v>They are very practical hello, to keep things small value you have at home, rings, watches, money, any document, etc. I recommend your purchase to be very practical</v>
      </c>
    </row>
    <row r="1025">
      <c r="A1025" s="1">
        <v>5.0</v>
      </c>
      <c r="B1025" s="1" t="s">
        <v>1018</v>
      </c>
      <c r="C1025" t="str">
        <f>IFERROR(__xludf.DUMMYFUNCTION("GOOGLETRANSLATE(B1025, ""es"", ""en"")"),"The best Loctite For me it is the best Loctite within its adhesives and formats, apart from the product itself that sticks around with no problems, the packaging is fast, clean and dry inside as happens in the vast majority of formats. I recommend it.")</f>
        <v>The best Loctite For me it is the best Loctite within its adhesives and formats, apart from the product itself that sticks around with no problems, the packaging is fast, clean and dry inside as happens in the vast majority of formats. I recommend it.</v>
      </c>
    </row>
    <row r="1026">
      <c r="A1026" s="1">
        <v>5.0</v>
      </c>
      <c r="B1026" s="1" t="s">
        <v>1019</v>
      </c>
      <c r="C1026" t="str">
        <f>IFERROR(__xludf.DUMMYFUNCTION("GOOGLETRANSLATE(B1026, ""es"", ""en"")"),"easy cleaning and several bottles already knew these products, but I never decided to buy one until I saw this one that brought two bottles. Powerful moment hya no fruit or vegetable with which it has failed. Fits perfectly with a simple click and within "&amp;"30 seconds you have a shake well what you want creamy and rich. Strawberries with bananas, blueberries and raspberries with yogurt ... airtight seal, for me this is fundamental. You can pack bottles relax in the gym bag or backpack and take it wherever yo"&amp;"u want. The cans are BPA-free so it does not take odor or taste and are not toxic. Very easy to clean as well but they would bring some spare blades, but I understand that perhaps asking too much for the price you have the machine. As for the noise it is "&amp;"more or less like the coffee grinder, but being short is not annoying. It is also perfect for a creamy fruit salad for the kids in the house. I am very satisfied with the purchase. He came home one day and since then I have given all the fruts out of the "&amp;"fridge.")</f>
        <v>easy cleaning and several bottles already knew these products, but I never decided to buy one until I saw this one that brought two bottles. Powerful moment hya no fruit or vegetable with which it has failed. Fits perfectly with a simple click and within 30 seconds you have a shake well what you want creamy and rich. Strawberries with bananas, blueberries and raspberries with yogurt ... airtight seal, for me this is fundamental. You can pack bottles relax in the gym bag or backpack and take it wherever you want. The cans are BPA-free so it does not take odor or taste and are not toxic. Very easy to clean as well but they would bring some spare blades, but I understand that perhaps asking too much for the price you have the machine. As for the noise it is more or less like the coffee grinder, but being short is not annoying. It is also perfect for a creamy fruit salad for the kids in the house. I am very satisfied with the purchase. He came home one day and since then I have given all the fruts out of the fridge.</v>
      </c>
    </row>
    <row r="1027">
      <c r="A1027" s="1">
        <v>5.0</v>
      </c>
      <c r="B1027" s="1" t="s">
        <v>1020</v>
      </c>
      <c r="C1027" t="str">
        <f>IFERROR(__xludf.DUMMYFUNCTION("GOOGLETRANSLATE(B1027, ""es"", ""en"")"),"The perfect comfort all are super comfortable and ligueras I shot 8 hours doing picking and seems to take a highly recommended sport shoes")</f>
        <v>The perfect comfort all are super comfortable and ligueras I shot 8 hours doing picking and seems to take a highly recommended sport shoes</v>
      </c>
    </row>
    <row r="1028">
      <c r="A1028" s="1">
        <v>5.0</v>
      </c>
      <c r="B1028" s="1" t="s">
        <v>1021</v>
      </c>
      <c r="C1028" t="str">
        <f>IFERROR(__xludf.DUMMYFUNCTION("GOOGLETRANSLATE(B1028, ""es"", ""en"")"),"Best for colic, good price Bottles helped us a lot with colic. This version is much better than the newer ""options"", does not leak. I wish I'd bought the kit of 5 from the beginning, I had saved up in the night to wash a bottle.")</f>
        <v>Best for colic, good price Bottles helped us a lot with colic. This version is much better than the newer "options", does not leak. I wish I'd bought the kit of 5 from the beginning, I had saved up in the night to wash a bottle.</v>
      </c>
    </row>
    <row r="1029">
      <c r="A1029" s="1">
        <v>5.0</v>
      </c>
      <c r="B1029" s="1" t="s">
        <v>1022</v>
      </c>
      <c r="C1029" t="str">
        <f>IFERROR(__xludf.DUMMYFUNCTION("GOOGLETRANSLATE(B1029, ""es"", ""en"")"),"Carmen just great and very comfortable. Versatile. Walking very comfortable. Size always more than expected but not me off all summer")</f>
        <v>Carmen just great and very comfortable. Versatile. Walking very comfortable. Size always more than expected but not me off all summer</v>
      </c>
    </row>
    <row r="1030">
      <c r="A1030" s="1">
        <v>5.0</v>
      </c>
      <c r="B1030" s="1" t="s">
        <v>1023</v>
      </c>
      <c r="C1030" t="str">
        <f>IFERROR(__xludf.DUMMYFUNCTION("GOOGLETRANSLATE(B1030, ""es"", ""en"")"),"Julian are fantastic tights with excellent value for money. I use them for running and gym, they are very flexible and wide elastic prevents drain down.")</f>
        <v>Julian are fantastic tights with excellent value for money. I use them for running and gym, they are very flexible and wide elastic prevents drain down.</v>
      </c>
    </row>
    <row r="1031">
      <c r="A1031" s="1">
        <v>5.0</v>
      </c>
      <c r="B1031" s="1" t="s">
        <v>1024</v>
      </c>
      <c r="C1031" t="str">
        <f>IFERROR(__xludf.DUMMYFUNCTION("GOOGLETRANSLATE(B1031, ""es"", ""en"")"),"perfect boots. Carve large boots beautiful and at an unbeatable price. I recommend 100%. These boots are a size change before had bought a 39 which is my usual number and I were very large. so I can say that these boots carved large.")</f>
        <v>perfect boots. Carve large boots beautiful and at an unbeatable price. I recommend 100%. These boots are a size change before had bought a 39 which is my usual number and I were very large. so I can say that these boots carved large.</v>
      </c>
    </row>
    <row r="1032">
      <c r="A1032" s="1">
        <v>5.0</v>
      </c>
      <c r="B1032" s="1" t="s">
        <v>1025</v>
      </c>
      <c r="C1032" t="str">
        <f>IFERROR(__xludf.DUMMYFUNCTION("GOOGLETRANSLATE(B1032, ""es"", ""en"")"),"Perfect what we expected.")</f>
        <v>Perfect what we expected.</v>
      </c>
    </row>
    <row r="1033">
      <c r="A1033" s="1">
        <v>5.0</v>
      </c>
      <c r="B1033" s="1" t="s">
        <v>1026</v>
      </c>
      <c r="C1033" t="str">
        <f>IFERROR(__xludf.DUMMYFUNCTION("GOOGLETRANSLATE(B1033, ""es"", ""en"")"),"Pleased with this purchase Given my penchant for herbal tea while I'm working, I wanted to make me a kettle to the style that you usually find in hotel rooms when traveling to abroad. Given my confidence in the brand Aicok, I ordered this model in additio"&amp;"n to good reviews from buyers was with a very attractive price and good discount. Once tested a few days, can not say good things of this Kettle with temperature control. It has a bestial power 2.200W, significantly higher than other brands I've seen most"&amp;" popular shopping malls. The first thing that stands out is its solid appearance and quality, is that this is a good article, which is quality care. It is stainless steel and weighs in hand, is by no means a flimsy product. In fact, it is made &amp; nbsp; an "&amp;"inner and outer layer modern brushed stainless steel 304. Easy to serve with a plastic handle and comfortable lever mechanism anti-spill. Due to its double wall vacuum insulated with proof lid can also be used as a heater, because it keeps the hot water a"&amp;"bove 60 ℃ for 6 hours without wasting any electricity. It has a double wall construction, so that the outer layer and the plastic handles remain cool to the touch even when water boils within. The operation is very simple. Simply take water above the sign"&amp;"al minimum and below the maximum, the lid is closed, the ON button is pressed in 2 minutes and have up to 1.7 liters of boiling water. With the temperature selector can heat the water at a lower temperature and can be selected 40, 50, 60, 70, 80, 90 and 1"&amp;"00 degrees. For example, 70 ° C is recommended for delicate teas, 80 ° C for green tea and white tea, 90 ° C for tea or coffee current and 100 ° C for black tea and tea. &amp; Nbsp;")</f>
        <v>Pleased with this purchase Given my penchant for herbal tea while I'm working, I wanted to make me a kettle to the style that you usually find in hotel rooms when traveling to abroad. Given my confidence in the brand Aicok, I ordered this model in addition to good reviews from buyers was with a very attractive price and good discount. Once tested a few days, can not say good things of this Kettle with temperature control. It has a bestial power 2.200W, significantly higher than other brands I've seen most popular shopping malls. The first thing that stands out is its solid appearance and quality, is that this is a good article, which is quality care. It is stainless steel and weighs in hand, is by no means a flimsy product. In fact, it is made &amp; nbsp; an inner and outer layer modern brushed stainless steel 304. Easy to serve with a plastic handle and comfortable lever mechanism anti-spill. Due to its double wall vacuum insulated with proof lid can also be used as a heater, because it keeps the hot water above 60 ℃ for 6 hours without wasting any electricity. It has a double wall construction, so that the outer layer and the plastic handles remain cool to the touch even when water boils within. The operation is very simple. Simply take water above the signal minimum and below the maximum, the lid is closed, the ON button is pressed in 2 minutes and have up to 1.7 liters of boiling water. With the temperature selector can heat the water at a lower temperature and can be selected 40, 50, 60, 70, 80, 90 and 100 degrees. For example, 70 ° C is recommended for delicate teas, 80 ° C for green tea and white tea, 90 ° C for tea or coffee current and 100 ° C for black tea and tea. &amp; Nbsp;</v>
      </c>
    </row>
    <row r="1034">
      <c r="A1034" s="1">
        <v>5.0</v>
      </c>
      <c r="B1034" s="1" t="s">
        <v>1027</v>
      </c>
      <c r="C1034" t="str">
        <f>IFERROR(__xludf.DUMMYFUNCTION("GOOGLETRANSLATE(B1034, ""es"", ""en"")"),"As for the expected 8 perfect IPhone")</f>
        <v>As for the expected 8 perfect IPhone</v>
      </c>
    </row>
    <row r="1035">
      <c r="A1035" s="1">
        <v>5.0</v>
      </c>
      <c r="B1035" s="1" t="s">
        <v>1028</v>
      </c>
      <c r="C1035" t="str">
        <f>IFERROR(__xludf.DUMMYFUNCTION("GOOGLETRANSLATE(B1035, ""es"", ""en"")"),"It weighs little money and cherishes good enough.")</f>
        <v>It weighs little money and cherishes good enough.</v>
      </c>
    </row>
    <row r="1036">
      <c r="A1036" s="1">
        <v>5.0</v>
      </c>
      <c r="B1036" s="1" t="s">
        <v>1029</v>
      </c>
      <c r="C1036" t="str">
        <f>IFERROR(__xludf.DUMMYFUNCTION("GOOGLETRANSLATE(B1036, ""es"", ""en"")"),"Great This great, just what I was looking for cheap and good quality.")</f>
        <v>Great This great, just what I was looking for cheap and good quality.</v>
      </c>
    </row>
    <row r="1037">
      <c r="A1037" s="1">
        <v>5.0</v>
      </c>
      <c r="B1037" s="1" t="s">
        <v>1030</v>
      </c>
      <c r="C1037" t="str">
        <f>IFERROR(__xludf.DUMMYFUNCTION("GOOGLETRANSLATE(B1037, ""es"", ""en"")"),"For months I have not dried the same package and unlike other brands are not well dry and clean dirt from hands")</f>
        <v>For months I have not dried the same package and unlike other brands are not well dry and clean dirt from hands</v>
      </c>
    </row>
    <row r="1038">
      <c r="A1038" s="1">
        <v>5.0</v>
      </c>
      <c r="B1038" s="1" t="s">
        <v>1031</v>
      </c>
      <c r="C1038" t="str">
        <f>IFERROR(__xludf.DUMMYFUNCTION("GOOGLETRANSLATE(B1038, ""es"", ""en"")"),"Shoes very warm. They are treated in a type slippers booties to go home ideal for the cold months. They have an inner coating that make them very warm and prevent cold transferred. In my case, I perfectly fit your feet and are very comfortable to use. So "&amp;"far I am very satisfied with them and nothing happened cold.")</f>
        <v>Shoes very warm. They are treated in a type slippers booties to go home ideal for the cold months. They have an inner coating that make them very warm and prevent cold transferred. In my case, I perfectly fit your feet and are very comfortable to use. So far I am very satisfied with them and nothing happened cold.</v>
      </c>
    </row>
    <row r="1039">
      <c r="A1039" s="1">
        <v>5.0</v>
      </c>
      <c r="B1039" s="1" t="s">
        <v>1032</v>
      </c>
      <c r="C1039" t="str">
        <f>IFERROR(__xludf.DUMMYFUNCTION("GOOGLETRANSLATE(B1039, ""es"", ""en"")"),"its light weight. The product is what I expected, very satisfied.")</f>
        <v>its light weight. The product is what I expected, very satisfied.</v>
      </c>
    </row>
    <row r="1040">
      <c r="A1040" s="1">
        <v>2.0</v>
      </c>
      <c r="B1040" s="1" t="s">
        <v>1033</v>
      </c>
      <c r="C1040" t="str">
        <f>IFERROR(__xludf.DUMMYFUNCTION("GOOGLETRANSLATE(B1040, ""es"", ""en"")"),"I have been futile not know if I'm doing something wrong or what, but did not pull no avail. I consider myself a fairly advanced user of technology, and I have not gotten it sound good or a Galaxy S6 with different apps or top spec PC with various program"&amp;"s including Amplitube. The delay is intolerable. Although not much, I wasted my money. Make no mistake, buy an interface with digital output.")</f>
        <v>I have been futile not know if I'm doing something wrong or what, but did not pull no avail. I consider myself a fairly advanced user of technology, and I have not gotten it sound good or a Galaxy S6 with different apps or top spec PC with various programs including Amplitube. The delay is intolerable. Although not much, I wasted my money. Make no mistake, buy an interface with digital output.</v>
      </c>
    </row>
    <row r="1041">
      <c r="A1041" s="1">
        <v>3.0</v>
      </c>
      <c r="B1041" s="1" t="s">
        <v>1034</v>
      </c>
      <c r="C1041" t="str">
        <f>IFERROR(__xludf.DUMMYFUNCTION("GOOGLETRANSLATE(B1041, ""es"", ""en"")"),"Product quality is just average, are padded inside and heat up something a little wider size. Sending a disaster, it took two days longer than established")</f>
        <v>Product quality is just average, are padded inside and heat up something a little wider size. Sending a disaster, it took two days longer than established</v>
      </c>
    </row>
    <row r="1042">
      <c r="A1042" s="1">
        <v>3.0</v>
      </c>
      <c r="B1042" s="1" t="s">
        <v>1035</v>
      </c>
      <c r="C1042" t="str">
        <f>IFERROR(__xludf.DUMMYFUNCTION("GOOGLETRANSLATE(B1042, ""es"", ""en"")"),"noisy hard drive is a USB 3.0 drive, but the maximum reading speed at which it arrives is about 90 mb / sec and 70 in writing. when you unplug (even when they had safely removed) is heard as the disc turns off suddenly, the feeling that is somewhat abrupt"&amp;". So far it has not given me any problems. I would recommend it to anyone who wants to have a hard drive at a good price, but considering that they are not going to get great transfer speeds.")</f>
        <v>noisy hard drive is a USB 3.0 drive, but the maximum reading speed at which it arrives is about 90 mb / sec and 70 in writing. when you unplug (even when they had safely removed) is heard as the disc turns off suddenly, the feeling that is somewhat abrupt. So far it has not given me any problems. I would recommend it to anyone who wants to have a hard drive at a good price, but considering that they are not going to get great transfer speeds.</v>
      </c>
    </row>
    <row r="1043">
      <c r="A1043" s="1">
        <v>1.0</v>
      </c>
      <c r="B1043" s="1" t="s">
        <v>1036</v>
      </c>
      <c r="C1043" t="str">
        <f>IFERROR(__xludf.DUMMYFUNCTION("GOOGLETRANSLATE(B1043, ""es"", ""en"")"),"They are huge bad, bad came over me and I had to return because you do not top the descambiaban by others .... A very amateurish brand")</f>
        <v>They are huge bad, bad came over me and I had to return because you do not top the descambiaban by others .... A very amateurish brand</v>
      </c>
    </row>
    <row r="1044">
      <c r="A1044" s="1">
        <v>1.0</v>
      </c>
      <c r="B1044" s="1" t="s">
        <v>1037</v>
      </c>
      <c r="C1044" t="str">
        <f>IFERROR(__xludf.DUMMYFUNCTION("GOOGLETRANSLATE(B1044, ""es"", ""en"")"),"Disappointing I was expecting something else. They catch a lot of crap and filling, easily crushed and no longer recovered. I have lasted very little and to the end, I bought other than")</f>
        <v>Disappointing I was expecting something else. They catch a lot of crap and filling, easily crushed and no longer recovered. I have lasted very little and to the end, I bought other than</v>
      </c>
    </row>
    <row r="1045">
      <c r="A1045" s="1">
        <v>1.0</v>
      </c>
      <c r="B1045" s="1" t="s">
        <v>1038</v>
      </c>
      <c r="C1045" t="str">
        <f>IFERROR(__xludf.DUMMYFUNCTION("GOOGLETRANSLATE(B1045, ""es"", ""en"")"),"Incompleteness Very nice but I could not prove. Cordless came and I could not be loaded. I have returned even though I liked. Shame. Should check that the orders come complete.")</f>
        <v>Incompleteness Very nice but I could not prove. Cordless came and I could not be loaded. I have returned even though I liked. Shame. Should check that the orders come complete.</v>
      </c>
    </row>
    <row r="1046">
      <c r="A1046" s="1">
        <v>4.0</v>
      </c>
      <c r="B1046" s="1" t="s">
        <v>1039</v>
      </c>
      <c r="C1046" t="str">
        <f>IFERROR(__xludf.DUMMYFUNCTION("GOOGLETRANSLATE(B1046, ""es"", ""en"")"),"Good value for money is necessary to take a size more than the usual size. (Took my usual size and had to return it because I was small) Fair value for money")</f>
        <v>Good value for money is necessary to take a size more than the usual size. (Took my usual size and had to return it because I was small) Fair value for money</v>
      </c>
    </row>
    <row r="1047">
      <c r="A1047" s="1">
        <v>4.0</v>
      </c>
      <c r="B1047" s="1" t="s">
        <v>1040</v>
      </c>
      <c r="C1047" t="str">
        <f>IFERROR(__xludf.DUMMYFUNCTION("GOOGLETRANSLATE(B1047, ""es"", ""en"")"),"While taking a number more secure then they adapt to your foot, I think it is advisable to take a number more")</f>
        <v>While taking a number more secure then they adapt to your foot, I think it is advisable to take a number more</v>
      </c>
    </row>
    <row r="1048">
      <c r="A1048" s="1">
        <v>4.0</v>
      </c>
      <c r="B1048" s="1" t="s">
        <v>1041</v>
      </c>
      <c r="C1048" t="str">
        <f>IFERROR(__xludf.DUMMYFUNCTION("GOOGLETRANSLATE(B1048, ""es"", ""en"")"),"Good choice I chose after reading reviews and was not disappointed at all. It has everything I wanted, big size, nice, light, time looks good, has good alarms and schedule. To take one but I knew I had the other resemblance, no good light for anything and"&amp;" little alarm sounds. He arrived as planned, as always Amazon very well.")</f>
        <v>Good choice I chose after reading reviews and was not disappointed at all. It has everything I wanted, big size, nice, light, time looks good, has good alarms and schedule. To take one but I knew I had the other resemblance, no good light for anything and little alarm sounds. He arrived as planned, as always Amazon very well.</v>
      </c>
    </row>
    <row r="1049">
      <c r="A1049" s="1">
        <v>4.0</v>
      </c>
      <c r="B1049" s="1" t="s">
        <v>1042</v>
      </c>
      <c r="C1049" t="str">
        <f>IFERROR(__xludf.DUMMYFUNCTION("GOOGLETRANSLATE(B1049, ""es"", ""en"")"),"Pretty good and cheap The only bad thing would be that the outside of the shoe comes with some white wrinkles but obviously only when you approach noticeable.")</f>
        <v>Pretty good and cheap The only bad thing would be that the outside of the shoe comes with some white wrinkles but obviously only when you approach noticeable.</v>
      </c>
    </row>
    <row r="1050">
      <c r="A1050" s="1">
        <v>4.0</v>
      </c>
      <c r="B1050" s="1" t="s">
        <v>1043</v>
      </c>
      <c r="C1050" t="str">
        <f>IFERROR(__xludf.DUMMYFUNCTION("GOOGLETRANSLATE(B1050, ""es"", ""en"")"),"Beautiful, light and strong know there are many external hard drives with much more capacity but I wanted one so small and light that perfectly fulfills its function. Yes the cable is not universal, or is it only works with it brings.")</f>
        <v>Beautiful, light and strong know there are many external hard drives with much more capacity but I wanted one so small and light that perfectly fulfills its function. Yes the cable is not universal, or is it only works with it brings.</v>
      </c>
    </row>
    <row r="1051">
      <c r="A1051" s="1">
        <v>5.0</v>
      </c>
      <c r="B1051" s="1" t="s">
        <v>1044</v>
      </c>
      <c r="C1051" t="str">
        <f>IFERROR(__xludf.DUMMYFUNCTION("GOOGLETRANSLATE(B1051, ""es"", ""en"")"),"This well 👍🏼")</f>
        <v>This well 👍🏼</v>
      </c>
    </row>
    <row r="1052">
      <c r="A1052" s="1">
        <v>5.0</v>
      </c>
      <c r="B1052" s="1" t="s">
        <v>1045</v>
      </c>
      <c r="C1052" t="str">
        <f>IFERROR(__xludf.DUMMYFUNCTION("GOOGLETRANSLATE(B1052, ""es"", ""en"")"),"Perfect I loved")</f>
        <v>Perfect I loved</v>
      </c>
    </row>
    <row r="1053">
      <c r="A1053" s="1">
        <v>5.0</v>
      </c>
      <c r="B1053" s="1" t="s">
        <v>1046</v>
      </c>
      <c r="C1053" t="str">
        <f>IFERROR(__xludf.DUMMYFUNCTION("GOOGLETRANSLATE(B1053, ""es"", ""en"")"),"Genial I bought a little small yet is needed q")</f>
        <v>Genial I bought a little small yet is needed q</v>
      </c>
    </row>
    <row r="1054">
      <c r="A1054" s="1">
        <v>5.0</v>
      </c>
      <c r="B1054" s="1" t="s">
        <v>1047</v>
      </c>
      <c r="C1054" t="str">
        <f>IFERROR(__xludf.DUMMYFUNCTION("GOOGLETRANSLATE(B1054, ""es"", ""en"")"),"Wonderful it exceeded my expectations.")</f>
        <v>Wonderful it exceeded my expectations.</v>
      </c>
    </row>
    <row r="1055">
      <c r="A1055" s="1">
        <v>5.0</v>
      </c>
      <c r="B1055" s="1" t="s">
        <v>1048</v>
      </c>
      <c r="C1055" t="str">
        <f>IFERROR(__xludf.DUMMYFUNCTION("GOOGLETRANSLATE(B1055, ""es"", ""en"")"),"Good product fulfills its purpose and acceptable quality")</f>
        <v>Good product fulfills its purpose and acceptable quality</v>
      </c>
    </row>
    <row r="1056">
      <c r="A1056" s="1">
        <v>5.0</v>
      </c>
      <c r="B1056" s="1" t="s">
        <v>1049</v>
      </c>
      <c r="C1056" t="str">
        <f>IFERROR(__xludf.DUMMYFUNCTION("GOOGLETRANSLATE(B1056, ""es"", ""en"")"),"Solid, functional and excellent finishes Versatile, powerful and functional. You can with everything. You just have to respect the maximum you specified in the instructions. Large capacity, power and rotation rate. The final consistency is more homogeneou"&amp;"s conceivable and ground so fine, that in the case of milkshakes with seeds, or a fine sieve can collect the resulting sediment, a cheesecloth or a Chinese cloth being necessary. It is clean in a jiffy and could not be easier to use. Like all, noisy somet"&amp;"hing.")</f>
        <v>Solid, functional and excellent finishes Versatile, powerful and functional. You can with everything. You just have to respect the maximum you specified in the instructions. Large capacity, power and rotation rate. The final consistency is more homogeneous conceivable and ground so fine, that in the case of milkshakes with seeds, or a fine sieve can collect the resulting sediment, a cheesecloth or a Chinese cloth being necessary. It is clean in a jiffy and could not be easier to use. Like all, noisy something.</v>
      </c>
    </row>
    <row r="1057">
      <c r="A1057" s="1">
        <v>5.0</v>
      </c>
      <c r="B1057" s="1" t="s">
        <v>1050</v>
      </c>
      <c r="C1057" t="str">
        <f>IFERROR(__xludf.DUMMYFUNCTION("GOOGLETRANSLATE(B1057, ""es"", ""en"")"),"Super cool and comfortable light !!! !!!")</f>
        <v>Super cool and comfortable light !!! !!!</v>
      </c>
    </row>
    <row r="1058">
      <c r="A1058" s="1">
        <v>5.0</v>
      </c>
      <c r="B1058" s="1" t="s">
        <v>1051</v>
      </c>
      <c r="C1058" t="str">
        <f>IFERROR(__xludf.DUMMYFUNCTION("GOOGLETRANSLATE(B1058, ""es"", ""en"")"),"Magnifica compra¡¡¡ not disappoint. It cleans great, aspires to full power and the battery is more than enough for an apartment of more than 100 meters. Lightweight, versatile, manageable, silent. I recommend, buy a cheaper and was a disappointment. I hav"&amp;"e it since more than six months, I think my opinion has some merit.")</f>
        <v>Magnifica compra¡¡¡ not disappoint. It cleans great, aspires to full power and the battery is more than enough for an apartment of more than 100 meters. Lightweight, versatile, manageable, silent. I recommend, buy a cheaper and was a disappointment. I have it since more than six months, I think my opinion has some merit.</v>
      </c>
    </row>
    <row r="1059">
      <c r="A1059" s="1">
        <v>5.0</v>
      </c>
      <c r="B1059" s="1" t="s">
        <v>1052</v>
      </c>
      <c r="C1059" t="str">
        <f>IFERROR(__xludf.DUMMYFUNCTION("GOOGLETRANSLATE(B1059, ""es"", ""en"")"),"Excellent!! I have an old SLR and wanted a card as possible size ... Just this complies model with my preferences, it is fast in reading and writing, high capacity, comes each with its protective case and above, the price is unbeatable.")</f>
        <v>Excellent!! I have an old SLR and wanted a card as possible size ... Just this complies model with my preferences, it is fast in reading and writing, high capacity, comes each with its protective case and above, the price is unbeatable.</v>
      </c>
    </row>
    <row r="1060">
      <c r="A1060" s="1">
        <v>5.0</v>
      </c>
      <c r="B1060" s="1" t="s">
        <v>1053</v>
      </c>
      <c r="C1060" t="str">
        <f>IFERROR(__xludf.DUMMYFUNCTION("GOOGLETRANSLATE(B1060, ""es"", ""en"")"),"Practical, small and comfortable as a small bag Super comfortable and just right for all, ideal for travel and several compartments Super appropriate to put all sorts of things.")</f>
        <v>Practical, small and comfortable as a small bag Super comfortable and just right for all, ideal for travel and several compartments Super appropriate to put all sorts of things.</v>
      </c>
    </row>
    <row r="1061">
      <c r="A1061" s="1">
        <v>5.0</v>
      </c>
      <c r="B1061" s="1" t="s">
        <v>1054</v>
      </c>
      <c r="C1061" t="str">
        <f>IFERROR(__xludf.DUMMYFUNCTION("GOOGLETRANSLATE(B1061, ""es"", ""en"")"),"Perfect &lt;div id = ""video-block-RGGNL7RJ7BJCU"" class = ""a-section a-spacing-small a-spacing-top mini video-block""&gt; &lt;div tabindex = ""0"" class = ""airy airy-svg vmin -unsupported airy-skin-beacon ""style ="" background-color: rgb (0, 0, 0) position: re"&amp;"lative; width: 100%; height: 100%; font-size: 0px; overflow: hidden; outline: none; ""&gt; &lt;div class ="" airy-renderer-container ""style ="" position: relative; height: 100%; width: 100%; ""&gt; &lt;video id ="" 7 ""preload ="" auto ""src ="" https : //images-eu."&amp;"ssl-images-amazon.com/images/I/A1wgdSQaTxS.mp4 ""style ="" position: absolute; left: 0px; top: 0px; overflow: hidden; height: 1px; width: 1px; ""&gt; &lt;/ video&gt; &lt;/ div&gt; &lt;div id ="" airy-slate-preload ""style ="" background-color: rgb (0, 0, 0); background-ima"&amp;"ge: url (&amp; quot; https: // images -eu.ssl-images-amazon.com/images/I/91YqCFkn43S.png&amp;quot;); background-size: Contain; background-position: center center; background-repeat: no-repeat; position: absolute; top: 0px; left: 0px; visibility: visible; width: 1"&amp;"00%; height: 100%; ""&gt; &lt;/ div&gt; &lt;iframe scrolling ="" no ""fr ameborder = ""0"" src = ""about: blank"" style = ""display: none;""&gt; &lt;/ iframe&gt; &lt;div tabindex = ""- 1"" class = ""airy-controls-container"" style = ""opacity: 0; visibility: hidden; ""&gt; &lt;div tab"&amp;"index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airy-o"&amp;"n ""&gt; &lt;/ div&gt; &lt;div tabindex ="" - 1 ""class ="" airy-audio-container ""style = ""opacity: 0; visibility: hidden; ""&gt; &lt;div tabindex ="" - 1 ""class ="" airy-audio-track-bar ""style ="" height: 80%; ""&gt; &lt;div tabindex ="" - 1 ""class ="" airy-audio- Scrubber"&amp;"-bar ""style ="" height: 85%; ""&gt; &lt;/ div&gt; &lt;div tabindex ="" - 1 ""class ="" airy-audio-scrubber ""style ="" height: 12px; bottom: 85% ""&gt; &lt;/ div&gt; &lt;/ div&gt; &lt;/ div&gt; &lt;/ div&gt; &lt;div tabindex ="" - 1 ""class ="" airy-duration-label ""style ="" float: right; width"&amp;": 26px; margin-right: 4px; text-align: center; ""&gt; 0:00 &lt;/ div&gt; &lt;div tabindex ="" - 1 ""class ="" airy-track-bar-spacer-right ""style ="" float: right; width: 11px; ""&gt; &lt;/ div&gt; &lt;div tabindex ="" - 1 ""class ="" airy-track-bar-container ""style ="" margin-"&amp;"left: 35px; margin-right: 75px; ""&gt; &lt;div tabindex ="" - 1 ""class ="" airy-airy-track-bar vertically-centering-table ""&gt; &lt;div tabindex ="" - 1 ""class ="" airy-Vertical-centering- table-cell ""&gt; &lt;div tabindex ="" - 1 ""class ="" airy-track-bar-elements """&amp;"&gt; &lt;div tabindex ="" - 1 ""class ="" airy-progress-bar ""&gt; &lt;/ div&gt; &lt;div tabindex = ""- 1"" class = ""airy-scrubber-bar""&gt; &lt;/ div&gt; &lt;div tabindex = ""- 1"" class = ""airy-scrubber""&gt; &lt;div tabindex = ""- 1"" class = ""airy-scrubber- icon ""&gt; &lt;/ div&gt; &lt;div tabi"&amp;"ndex ="" - 1 ""class ="" airy-adjusted-AUI-tooltip ""style ="" opacity: 0; visibility: hidden; ""&gt; &lt;div tabindex ="" - 1 ""class ="" airy-adjusted-aui-tooltip-inner ""&gt; &lt;div tabindex ="" - 1 ""class ="" airy-current-time-label ""&gt; 0: 00 &lt;/ div&gt; &lt;/ div&gt; &lt;d"&amp;"iv tabindex = ""- 1"" class = ""airy-adjusted-AUI-arrow-border""&gt; &lt;div tabindex = ""- 1"" class = ""airy-adjusted-AUI-arrow"" &gt; &lt;/ div&gt; &lt;/ div&gt; &lt;/ div&gt; &lt;/ div&gt; &lt;/ div&gt; &lt;/ div&gt; &lt;/ div&gt; &lt;/ div&gt; &lt;/ div&gt; &lt;/ div&gt; &lt;div tabindex = ""- 1"" class = ""airy-age-gate"&amp;" airy-stage airy-Vertical-centering-table airy-dialog"" style = ""opacity: 0; visibility: hidden; ""&gt; &lt;div tabindex ="" - 1 ""class ="" airy-age-gate-Vertical-centering-table-cell airy-Vertical-centering-table-cell ""&gt; &lt;div tabindex ="" - 1 ""class = ""ai"&amp;"ry-Vertical-centering-wrapper airy-age-gate-elements-wrapper""&gt; &lt;div tabindex = ""- 1"" class = ""airy-age-gate-elements airy-dialog-elements""&gt; &lt;div tabindex = "" -1 ""class ="" airy-age-gate-prompt ""&gt; This video is not Intended for all audiences What d"&amp;"ate were you born &lt;/ div&gt; &lt;div tabindex =.?"" - 1 ""class ="" airy-age-gate -inputs airy-dialog-inner-elements ""&gt; &lt;select tabindex ="" - 1 ""class ="" airy-age-gate-month ""&gt; &lt;option value ="" 1 ""&gt; January &lt;/ option&gt; &lt;option value ="" 2 ""&gt; February &lt;/ "&amp;"option&gt; &lt;option value ="" 3 ""&gt; March &lt;/ option&gt; &lt;option value ="" 4 ""&gt; April &lt;/ option&gt; &lt;option value ="" 5 ""&gt; May &lt;/ option&gt; &lt;option value = ""6""&gt; June &lt;/ option&gt; &lt;option value = ""7""&gt; July &lt;/ option&gt; &lt;option value = ""8""&gt; August &lt;/ option&gt; &lt;option"&amp;" value = ""9""&gt; September &lt;/ option&gt; &lt;option value = ""10""&gt; October &lt;/ option&gt; &lt;option value = ""11""&gt; November &lt;/ option&gt; &lt;option value = ""12""&gt; December &lt;/ option&gt; &lt;/ select&gt; &lt;select tabindex = ""- 1"" class = ""airy-age-gate-day""&gt; &lt;opti on value = "&amp;"""1""&gt; 1 &lt;/ option&gt; &lt;option value = ""2""&gt; 2 &lt;/ option&gt; &lt;option value = ""3""&gt; 3 &lt;/ option&gt; &lt;option value = ""4""&gt; 4 &lt;/ option &gt; &lt;option value = ""5""&gt; 5 &lt;/ option&gt; &lt;option value = ""6""&gt; 6 &lt;/ option&gt; &lt;option value = ""7""&gt; 7 &lt;/ option&gt; &lt;option value = """&amp;"8""&gt; 8 &lt; / option&gt; &lt;option value = ""9""&gt; 9 &lt;/ option&gt; &lt;option value = ""10""&gt; 10 &lt;/ option&gt; &lt;option value = ""11""&gt; 11 &lt;/ option&gt; &lt;option value = ""12""&gt; 12 &lt;/ option&gt; &lt;option value = ""13""&gt; 13 &lt;/ option&gt; &lt;option value = ""14""&gt; 14 &lt;/ option&gt; &lt;option va"&amp;"lue = ""15""&gt; 15 &lt;/ option&gt; &lt;option value = ""16 ""&gt; 16 &lt;/ option&gt; &lt;option value ="" 17 ""&gt; 17 &lt;/ option&gt; &lt;option value ="" 18 ""&gt; 18 &lt;/ option&gt; &lt;option value ="" 19 ""&gt; 19 &lt;/ option&gt; &lt;option value = ""20""&gt; 20 &lt;/ option&gt; &lt;option value = ""21""&gt; 21 &lt;/ opt"&amp;"ion&gt; &lt;option value = ""22""&gt; 22 &lt;/ option&gt; &lt;option value = ""23""&gt; 23 &lt;/ option&gt; &lt;option value = ""24""&gt; 24 &lt;/ option&gt; &lt;option value = ""25""&gt; 25 &lt;/ option&gt; &lt;option value = ""26""&gt; 26 &lt;/ option&gt; &lt;option value = ""27""&gt; 27 &lt;/ option&gt; &lt;option value = ""28"""&amp;"&gt; 28 &lt;/ option&gt; &lt;option value = ""29""&gt; 29 &lt;/ option&gt; &lt;option value = ""30""&gt; 30 &lt;/ option&gt; &lt;option value = ""31""&gt; 31 &lt;/ option&gt; &lt;/ select&gt; &lt;select tabindex = ""- 1"" class = ""airy-age-gate-year""&gt; &lt;option value = ""2019""&gt; 2019 &lt;/ option&gt; &lt; option valu"&amp;"e = ""2018""&gt; 2018 &lt;/ option&gt; &lt;option value = ""2017""&gt; 2017 &lt;/ option&gt; &lt;option value = ""2016""&gt; ​​2016 &lt;/ option&gt; &lt;option value = ""2015""&gt; 2015 &lt;/ option &gt; &lt;option value = ""2014""&gt; 2014 &lt;/ option&gt; &lt;option value = ""2013""&gt; 2013 &lt;/ option&gt; &lt;option valu"&amp;"e = ""2012""&gt; 2012 &lt;/ option&gt; &lt;option value = ""2011""&gt; 2011 &lt; / option&gt; &lt;option value = ""2010""&gt; 2010 &lt;/ option&gt; &lt;option value = ""2009""&gt; 2009 &lt;/ option&gt; &lt;option value = ""2008""&gt; 2008 &lt;/ option&gt; &lt;option value = ""2007""&gt; 2007 &lt;/ option&gt; &lt;option value "&amp;"= ""2006""&gt; 2006 &lt;/ option&gt; &lt;option value = ""2005""&gt; 2005 &lt;/ option&gt; &lt;option value = ""2004""&gt; 2004 &lt;/ option&gt; &lt;option value = ""2003 ""&gt; 2003 &lt;/ option&gt; &lt;option value ="" 2002 ""&gt; 2002 &lt;/ option&gt; &lt;option value ="" 2001 ""&gt; 2001 &lt;/ option&gt; &lt;option value "&amp;"="" 2000 ""&gt; 2000 &lt;/ option&gt; &lt;option value = ""1999""&gt; 1999 &lt;/ option&gt; &lt;option value = ""1998""&gt; 1998 &lt;/ option&gt; &lt;option value = ""1997""&gt; 1997 &lt;/ option&gt; &lt;option value = ""1996""&gt; 1996 &lt;/ option&gt; &lt;option value = ""1995""&gt; 1995 &lt;/ option&gt; &lt;option value = "&amp;"""1994""&gt;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 "&amp;"""1982""&gt;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&lt;value option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&lt;value option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visib"&amp;"ility: hidden; ""&gt; &lt;div tabindex ="" - 1 ""class ="" airy-install-flash-Vertical-centering-table-cell airy-Vertical-centering-table-cell ""&gt; &lt;div tabindex ="" - 1 ""class = ""airy-Vertical-centering-wrapper airy-install-flash-elements-wrapper""&gt; &lt;div tabi"&amp;"ndex = ""- 1"" class = ""airy-install-flash-elements airy-dialog-elements""&gt; &lt;div tabindex = "" -1 ""class ="" airy-install-flash-prompt ""&gt; Adobe Flash Player is required to watch this video &lt;/ div&gt; &lt;div tabindex =."" - 1 ""class ="" airy-install-flash-b"&amp;"utton-wrapper airy -dialog-inner-elements ""&gt; &lt;div tabindex ="" - 1 ""class ="" airy-install-flash-button airy-button ""&gt; install Flash Player &lt;/ div&gt; &lt;/ div&gt; &lt;/ div&gt; &lt;/ div&gt; &lt;/ div&gt; &lt;/ div&gt; &lt;div tabindex = ""- 1"" class = ""airy-video-unsupported-dialog "&amp;"airy-stage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A1wgdSQaTxS.mp4 ""Class ="" video-url ""&gt; &lt;input type ="" hidden ""name ="" ""value ="" https://images-eu.ssl-images-amazon.com/images/I/91YqCFkn43S.png ""class ="" video-slate-img-url ""&gt; &amp; nbsp; Llego exactly the day planned and bra"&amp;"celet is amazing, I am delighted with it, superomis pleasantly expectations.")</f>
        <v>Perfect &lt;div id = "video-block-RGGNL7RJ7BJCU" class = "a-section a-spacing-small a-spacing-top mini video-block"&gt; &lt;div tabindex = "0" class = "airy airy-svg vmin -unsupported airy-skin-beacon "style =" background-color: rgb (0, 0, 0) position: relative; width: 100%; height: 100%; font-size: 0px; overflow: hidden; outline: none; "&gt; &lt;div class =" airy-renderer-container "style =" position: relative; height: 100%; width: 100%; "&gt; &lt;video id =" 7 "preload =" auto "src =" https : //images-eu.ssl-images-amazon.com/images/I/A1wgdSQaTxS.mp4 "style =" position: absolute; left: 0px; top: 0px; overflow: hidden; height: 1px; width: 1px; "&gt; &lt;/ video&gt; &lt;/ div&gt; &lt;div id =" airy-slate-preload "style =" background-color: rgb (0, 0, 0); background-image: url (&amp; quot; https: // images -eu.ssl-images-amazon.com/images/I/91YqCFkn43S.png&amp;quot;); background-size: Contain; background-position: center center; background-repeat: no-repeat; position: absolute; top: 0px; left: 0px; visibility: visible; width: 100%; height: 100%; "&gt; &lt;/ div&gt; &lt;iframe scrolling =" no "fr 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A1wgdSQaTxS.mp4 "Class =" video-url "&gt; &lt;input type =" hidden "name =" "value =" https://images-eu.ssl-images-amazon.com/images/I/91YqCFkn43S.png "class =" video-slate-img-url "&gt; &amp; nbsp; Llego exactly the day planned and bracelet is amazing, I am delighted with it, superomis pleasantly expectations.</v>
      </c>
    </row>
    <row r="1062">
      <c r="A1062" s="1">
        <v>5.0</v>
      </c>
      <c r="B1062" s="1" t="s">
        <v>1055</v>
      </c>
      <c r="C1062" t="str">
        <f>IFERROR(__xludf.DUMMYFUNCTION("GOOGLETRANSLATE(B1062, ""es"", ""en"")"),"Comfortable I have been very comfortable these headsets, not expecting much for the price but I liked the design and ordered. I've used them for about 4 hours and have not bothered me having them put this with other pads have been impossible but with thes"&amp;"e I have noticed very comfortable. Connectivity is good and the sound is decent, nothing of the other world, but acceptable. The battery lasts long enough to hear a whole day intermittently.")</f>
        <v>Comfortable I have been very comfortable these headsets, not expecting much for the price but I liked the design and ordered. I've used them for about 4 hours and have not bothered me having them put this with other pads have been impossible but with these I have noticed very comfortable. Connectivity is good and the sound is decent, nothing of the other world, but acceptable. The battery lasts long enough to hear a whole day intermittently.</v>
      </c>
    </row>
    <row r="1063">
      <c r="A1063" s="1">
        <v>5.0</v>
      </c>
      <c r="B1063" s="1" t="s">
        <v>1056</v>
      </c>
      <c r="C1063" t="str">
        <f>IFERROR(__xludf.DUMMYFUNCTION("GOOGLETRANSLATE(B1063, ""es"", ""en"")"),"They smell pretty phenomenal Duran, have to take several drops if you like a little more intense smell. I have used with a humidifier and the smell lasts several hours, even if you turn it off and turn it on to the next day still smells.")</f>
        <v>They smell pretty phenomenal Duran, have to take several drops if you like a little more intense smell. I have used with a humidifier and the smell lasts several hours, even if you turn it off and turn it on to the next day still smells.</v>
      </c>
    </row>
    <row r="1064">
      <c r="A1064" s="1">
        <v>5.0</v>
      </c>
      <c r="B1064" s="1" t="s">
        <v>1057</v>
      </c>
      <c r="C1064" t="str">
        <f>IFERROR(__xludf.DUMMYFUNCTION("GOOGLETRANSLATE(B1064, ""es"", ""en"")"),"Recbot portable voice amplifier Diadema is just what I expected and perfectly fulfills the function helps you hear people who use it. The seller fulfilled delivery time and in perfect condition.")</f>
        <v>Recbot portable voice amplifier Diadema is just what I expected and perfectly fulfills the function helps you hear people who use it. The seller fulfilled delivery time and in perfect condition.</v>
      </c>
    </row>
    <row r="1065">
      <c r="A1065" s="1">
        <v>5.0</v>
      </c>
      <c r="B1065" s="1" t="s">
        <v>1058</v>
      </c>
      <c r="C1065" t="str">
        <f>IFERROR(__xludf.DUMMYFUNCTION("GOOGLETRANSLATE(B1065, ""es"", ""en"")"),"OK ALL GOOD PRODUCT")</f>
        <v>OK ALL GOOD PRODUCT</v>
      </c>
    </row>
    <row r="1066">
      <c r="A1066" s="1">
        <v>5.0</v>
      </c>
      <c r="B1066" s="1" t="s">
        <v>1059</v>
      </c>
      <c r="C1066" t="str">
        <f>IFERROR(__xludf.DUMMYFUNCTION("GOOGLETRANSLATE(B1066, ""es"", ""en"")"),"Pleased with headphones good product, shipping was successful and headphones are comfortable and have a sound quite acceptable")</f>
        <v>Pleased with headphones good product, shipping was successful and headphones are comfortable and have a sound quite acceptable</v>
      </c>
    </row>
    <row r="1067">
      <c r="A1067" s="1">
        <v>5.0</v>
      </c>
      <c r="B1067" s="1" t="s">
        <v>1060</v>
      </c>
      <c r="C1067" t="str">
        <f>IFERROR(__xludf.DUMMYFUNCTION("GOOGLETRANSLATE(B1067, ""es"", ""en"")"),"perfect for ipad can watch movies or documents directly from memory, there is only need to download a free program. The instructions come in the same pen in several languages. Fully recommended.")</f>
        <v>perfect for ipad can watch movies or documents directly from memory, there is only need to download a free program. The instructions come in the same pen in several languages. Fully recommended.</v>
      </c>
    </row>
    <row r="1068">
      <c r="A1068" s="1">
        <v>5.0</v>
      </c>
      <c r="B1068" s="1" t="s">
        <v>1061</v>
      </c>
      <c r="C1068" t="str">
        <f>IFERROR(__xludf.DUMMYFUNCTION("GOOGLETRANSLATE(B1068, ""es"", ""en"")"),"Very good pendrive is a very good pendrive at an affordable price, the brand is well known. In addition I like that you can leave the cap on the back of the stick while you're using.")</f>
        <v>Very good pendrive is a very good pendrive at an affordable price, the brand is well known. In addition I like that you can leave the cap on the back of the stick while you're using.</v>
      </c>
    </row>
    <row r="1069">
      <c r="A1069" s="1">
        <v>5.0</v>
      </c>
      <c r="B1069" s="1" t="s">
        <v>1062</v>
      </c>
      <c r="C1069" t="str">
        <f>IFERROR(__xludf.DUMMYFUNCTION("GOOGLETRANSLATE(B1069, ""es"", ""en"")"),"Very good Good Quality")</f>
        <v>Very good Good Quality</v>
      </c>
    </row>
    <row r="1070">
      <c r="A1070" s="1">
        <v>2.0</v>
      </c>
      <c r="B1070" s="1" t="s">
        <v>1063</v>
      </c>
      <c r="C1070" t="str">
        <f>IFERROR(__xludf.DUMMYFUNCTION("GOOGLETRANSLATE(B1070, ""es"", ""en"")"),"narrow shoe itself is fine. The problem for me is that, having the wide instep, the mold is very narrow and I had to return.")</f>
        <v>narrow shoe itself is fine. The problem for me is that, having the wide instep, the mold is very narrow and I had to return.</v>
      </c>
    </row>
    <row r="1071">
      <c r="A1071" s="1">
        <v>3.0</v>
      </c>
      <c r="B1071" s="1" t="s">
        <v>1064</v>
      </c>
      <c r="C1071" t="str">
        <f>IFERROR(__xludf.DUMMYFUNCTION("GOOGLETRANSLATE(B1071, ""es"", ""en"")"),"Do not leave the Canary Islands the product is good in itself, money, but does not adhere well to the table, rather a cubremesa a pc mouse, also works for 9 euros is not bad.")</f>
        <v>Do not leave the Canary Islands the product is good in itself, money, but does not adhere well to the table, rather a cubremesa a pc mouse, also works for 9 euros is not bad.</v>
      </c>
    </row>
    <row r="1072">
      <c r="A1072" s="1">
        <v>3.0</v>
      </c>
      <c r="B1072" s="1" t="s">
        <v>1065</v>
      </c>
      <c r="C1072" t="str">
        <f>IFERROR(__xludf.DUMMYFUNCTION("GOOGLETRANSLATE(B1072, ""es"", ""en"")"),"Too small Nice but very small")</f>
        <v>Too small Nice but very small</v>
      </c>
    </row>
    <row r="1073">
      <c r="A1073" s="1">
        <v>1.0</v>
      </c>
      <c r="B1073" s="1" t="s">
        <v>1066</v>
      </c>
      <c r="C1073" t="str">
        <f>IFERROR(__xludf.DUMMYFUNCTION("GOOGLETRANSLATE(B1073, ""es"", ""en"")"),"Or paste or subject or anything I bought it to glue a strip led behind the PC monitor. I think with a couple of snot would hold better. exactly does the same as a paper strip, no need to be extra strong, that it had been I would have shaped adhesive.")</f>
        <v>Or paste or subject or anything I bought it to glue a strip led behind the PC monitor. I think with a couple of snot would hold better. exactly does the same as a paper strip, no need to be extra strong, that it had been I would have shaped adhesive.</v>
      </c>
    </row>
    <row r="1074">
      <c r="A1074" s="1">
        <v>1.0</v>
      </c>
      <c r="B1074" s="1" t="s">
        <v>1067</v>
      </c>
      <c r="C1074" t="str">
        <f>IFERROR(__xludf.DUMMYFUNCTION("GOOGLETRANSLATE(B1074, ""es"", ""en"")"),"A shame ... to the back end by failures too ... 😓 Correction: at the end, I thought back ... with updates had arranged everything, but it keeps going like crazy sometimes ... you too .. . and suddenly for no apparent reason (and not for lack of battery) "&amp;"a shame .... but the end I returned and mirare other similarly priced options that there are very good, but it was for giving opportunity to a product Spanish ..... shame .... the truth, surprised by its performance .... the wifi connection without proble"&amp;"ms (it has to be a network q 2.4 GHz) and total control from the phone (though brings a command for nostalgic hehe) the first time, remove everything that does not have to be through (a bag, box, chair, ...) regularly and let the robot do a complete mappi"&amp;"ng the house ( I recommend it in eco mode, hold more battery and most times in a single pass you mapped the entire house) in my case, a house of about 74 m2, has ta As time passes 50 minutes map of 39 m2 (removing furniture, cabinets, appliances, ...) onc"&amp;"e made the map, stores it in memory and from it there, using different modes ..... each pass will save a registration and tells what happened and not on the base map (if there was then a closed door, an object in the middle, ...) does everything in an ord"&amp;"erly manner without passing twice for the same site (except put him one of the options you have x2), without bumping into furniture (the Roomba we had blows was yet) ...... and then we go looking different options you have a few, truth ..... ..... happy m"&amp;"oment for me, one of the most comprehensive in the market ... if it is true that we have not tested it from scrubbing, more than anything because you have to walk collecting carpets (because if It does not go above and wet leaves) .... but otherwise will "&amp;"and what will not stay running around in a place like the Roomba to ......")</f>
        <v>A shame ... to the back end by failures too ... 😓 Correction: at the end, I thought back ... with updates had arranged everything, but it keeps going like crazy sometimes ... you too .. . and suddenly for no apparent reason (and not for lack of battery) a shame .... but the end I returned and mirare other similarly priced options that there are very good, but it was for giving opportunity to a product Spanish ..... shame .... the truth, surprised by its performance .... the wifi connection without problems (it has to be a network q 2.4 GHz) and total control from the phone (though brings a command for nostalgic hehe) the first time, remove everything that does not have to be through (a bag, box, chair, ...) regularly and let the robot do a complete mapping the house ( I recommend it in eco mode, hold more battery and most times in a single pass you mapped the entire house) in my case, a house of about 74 m2, has ta As time passes 50 minutes map of 39 m2 (removing furniture, cabinets, appliances, ...) once made the map, stores it in memory and from it there, using different modes ..... each pass will save a registration and tells what happened and not on the base map (if there was then a closed door, an object in the middle, ...) does everything in an orderly manner without passing twice for the same site (except put him one of the options you have x2), without bumping into furniture (the Roomba we had blows was yet) ...... and then we go looking different options you have a few, truth ..... ..... happy moment for me, one of the most comprehensive in the market ... if it is true that we have not tested it from scrubbing, more than anything because you have to walk collecting carpets (because if It does not go above and wet leaves) .... but otherwise will and what will not stay running around in a place like the Roomba to ......</v>
      </c>
    </row>
    <row r="1075">
      <c r="A1075" s="1">
        <v>4.0</v>
      </c>
      <c r="B1075" s="1" t="s">
        <v>1068</v>
      </c>
      <c r="C1075" t="str">
        <f>IFERROR(__xludf.DUMMYFUNCTION("GOOGLETRANSLATE(B1075, ""es"", ""en"")"),"Very useful is convenient, it comes with its case and mounts in seconds! Certainly a good table for someone who is starting.")</f>
        <v>Very useful is convenient, it comes with its case and mounts in seconds! Certainly a good table for someone who is starting.</v>
      </c>
    </row>
    <row r="1076">
      <c r="A1076" s="1">
        <v>4.0</v>
      </c>
      <c r="B1076" s="1" t="s">
        <v>1069</v>
      </c>
      <c r="C1076" t="str">
        <f>IFERROR(__xludf.DUMMYFUNCTION("GOOGLETRANSLATE(B1076, ""es"", ""en"")"),"Van good product great. By poberle slguna pars oega should have some respite when SNDO the baby suckles the nipple does not retract. K with my baby had to be sacandole the bibe mouth every bit the nipple q to stay the bibe the airless emcogia. For the res"&amp;"t great.")</f>
        <v>Van good product great. By poberle slguna pars oega should have some respite when SNDO the baby suckles the nipple does not retract. K with my baby had to be sacandole the bibe mouth every bit the nipple q to stay the bibe the airless emcogia. For the rest great.</v>
      </c>
    </row>
    <row r="1077">
      <c r="A1077" s="1">
        <v>4.0</v>
      </c>
      <c r="B1077" s="1" t="s">
        <v>1070</v>
      </c>
      <c r="C1077" t="str">
        <f>IFERROR(__xludf.DUMMYFUNCTION("GOOGLETRANSLATE(B1077, ""es"", ""en"")"),"They sound good and do not move anything. Very good sound, rapid response to interaction with the buttons. They do not move anything or jumping, be sideways or anything. Yes, the holding aritos are a little hard and a little bother the beginning. Otherwis"&amp;"e very satisfied with the product.")</f>
        <v>They sound good and do not move anything. Very good sound, rapid response to interaction with the buttons. They do not move anything or jumping, be sideways or anything. Yes, the holding aritos are a little hard and a little bother the beginning. Otherwise very satisfied with the product.</v>
      </c>
    </row>
    <row r="1078">
      <c r="A1078" s="1">
        <v>4.0</v>
      </c>
      <c r="B1078" s="1" t="s">
        <v>1071</v>
      </c>
      <c r="C1078" t="str">
        <f>IFERROR(__xludf.DUMMYFUNCTION("GOOGLETRANSLATE(B1078, ""es"", ""en"")"),"Very handy as expected, he has plenty of pockets to store everything. Its size allows to keep the basic things that men often wear today (wallet, mobile, house keys and car, scarves, ...) comfortably.")</f>
        <v>Very handy as expected, he has plenty of pockets to store everything. Its size allows to keep the basic things that men often wear today (wallet, mobile, house keys and car, scarves, ...) comfortably.</v>
      </c>
    </row>
    <row r="1079">
      <c r="A1079" s="1">
        <v>5.0</v>
      </c>
      <c r="B1079" s="1" t="s">
        <v>1072</v>
      </c>
      <c r="C1079" t="str">
        <f>IFERROR(__xludf.DUMMYFUNCTION("GOOGLETRANSLATE(B1079, ""es"", ""en"")"),"Perfect gift for any ARMY The quality and price of the product are very good quality fabric and the pattern sizes are correct and fit very well. I received the shipment sooner than expected.")</f>
        <v>Perfect gift for any ARMY The quality and price of the product are very good quality fabric and the pattern sizes are correct and fit very well. I received the shipment sooner than expected.</v>
      </c>
    </row>
    <row r="1080">
      <c r="A1080" s="1">
        <v>5.0</v>
      </c>
      <c r="B1080" s="1" t="s">
        <v>1073</v>
      </c>
      <c r="C1080" t="str">
        <f>IFERROR(__xludf.DUMMYFUNCTION("GOOGLETRANSLATE(B1080, ""es"", ""en"")"),"Beautiful love")</f>
        <v>Beautiful love</v>
      </c>
    </row>
    <row r="1081">
      <c r="A1081" s="1">
        <v>5.0</v>
      </c>
      <c r="B1081" s="1" t="s">
        <v>1074</v>
      </c>
      <c r="C1081" t="str">
        <f>IFERROR(__xludf.DUMMYFUNCTION("GOOGLETRANSLATE(B1081, ""es"", ""en"")"),"Several mode and test good feeling I used with my wife and we are very happy with this machine lets you feet very comfortable has several massage mode does not weigh much you can take anywhere.")</f>
        <v>Several mode and test good feeling I used with my wife and we are very happy with this machine lets you feet very comfortable has several massage mode does not weigh much you can take anywhere.</v>
      </c>
    </row>
    <row r="1082">
      <c r="A1082" s="1">
        <v>5.0</v>
      </c>
      <c r="B1082" s="1" t="s">
        <v>1075</v>
      </c>
      <c r="C1082" t="str">
        <f>IFERROR(__xludf.DUMMYFUNCTION("GOOGLETRANSLATE(B1082, ""es"", ""en"")"),"Adidas falcon great fit")</f>
        <v>Adidas falcon great fit</v>
      </c>
    </row>
    <row r="1083">
      <c r="A1083" s="1">
        <v>5.0</v>
      </c>
      <c r="B1083" s="1" t="s">
        <v>1076</v>
      </c>
      <c r="C1083" t="str">
        <f>IFERROR(__xludf.DUMMYFUNCTION("GOOGLETRANSLATE(B1083, ""es"", ""en"")"),"good buy needed a blender and this was express offer. Good price, power has many speeds and seems more than enough power ... A few taps on the turbo speed 12 leave you almost liquid onion. Says important not wash dishwasher parts that make fitting utensil"&amp;"s with the mixer.")</f>
        <v>good buy needed a blender and this was express offer. Good price, power has many speeds and seems more than enough power ... A few taps on the turbo speed 12 leave you almost liquid onion. Says important not wash dishwasher parts that make fitting utensils with the mixer.</v>
      </c>
    </row>
    <row r="1084">
      <c r="A1084" s="1">
        <v>5.0</v>
      </c>
      <c r="B1084" s="1" t="s">
        <v>461</v>
      </c>
      <c r="C1084" t="str">
        <f>IFERROR(__xludf.DUMMYFUNCTION("GOOGLETRANSLATE(B1084, ""es"", ""en"")"),"excellent excellent")</f>
        <v>excellent excellent</v>
      </c>
    </row>
    <row r="1085">
      <c r="A1085" s="1">
        <v>5.0</v>
      </c>
      <c r="B1085" s="1" t="s">
        <v>1077</v>
      </c>
      <c r="C1085" t="str">
        <f>IFERROR(__xludf.DUMMYFUNCTION("GOOGLETRANSLATE(B1085, ""es"", ""en"")"),"Very comfortable Like all Merrell, very comfortable. They weigh little and the sole is quite elastic. As for the number, as expected.")</f>
        <v>Very comfortable Like all Merrell, very comfortable. They weigh little and the sole is quite elastic. As for the number, as expected.</v>
      </c>
    </row>
    <row r="1086">
      <c r="A1086" s="1">
        <v>5.0</v>
      </c>
      <c r="B1086" s="1" t="s">
        <v>1078</v>
      </c>
      <c r="C1086" t="str">
        <f>IFERROR(__xludf.DUMMYFUNCTION("GOOGLETRANSLATE(B1086, ""es"", ""en"")"),"Buy good quality one size smaller for the comments and in my case it needed normal size.")</f>
        <v>Buy good quality one size smaller for the comments and in my case it needed normal size.</v>
      </c>
    </row>
    <row r="1087">
      <c r="A1087" s="1">
        <v>5.0</v>
      </c>
      <c r="B1087" s="1" t="s">
        <v>1079</v>
      </c>
      <c r="C1087" t="str">
        <f>IFERROR(__xludf.DUMMYFUNCTION("GOOGLETRANSLATE(B1087, ""es"", ""en"")"),"Perfect The size is just right, they are very comfortable all day walk with them and great the product was good.")</f>
        <v>Perfect The size is just right, they are very comfortable all day walk with them and great the product was good.</v>
      </c>
    </row>
    <row r="1088">
      <c r="A1088" s="1">
        <v>5.0</v>
      </c>
      <c r="B1088" s="1" t="s">
        <v>1080</v>
      </c>
      <c r="C1088" t="str">
        <f>IFERROR(__xludf.DUMMYFUNCTION("GOOGLETRANSLATE(B1088, ""es"", ""en"")"),"Good sound, crisp and clear. Sound pretty good, comfortable once you acostumbrad q, of the best value for money.")</f>
        <v>Good sound, crisp and clear. Sound pretty good, comfortable once you acostumbrad q, of the best value for money.</v>
      </c>
    </row>
    <row r="1089">
      <c r="A1089" s="1">
        <v>5.0</v>
      </c>
      <c r="B1089" s="1" t="s">
        <v>1081</v>
      </c>
      <c r="C1089" t="str">
        <f>IFERROR(__xludf.DUMMYFUNCTION("GOOGLETRANSLATE(B1089, ""es"", ""en"")"),"Good quality good product. Paste perfectly.")</f>
        <v>Good quality good product. Paste perfectly.</v>
      </c>
    </row>
    <row r="1090">
      <c r="A1090" s="1">
        <v>5.0</v>
      </c>
      <c r="B1090" s="1" t="s">
        <v>1082</v>
      </c>
      <c r="C1090" t="str">
        <f>IFERROR(__xludf.DUMMYFUNCTION("GOOGLETRANSLATE(B1090, ""es"", ""en"")"),"I love nice comfortable and look great even to go to the office with an American. In my work I have already bought two.")</f>
        <v>I love nice comfortable and look great even to go to the office with an American. In my work I have already bought two.</v>
      </c>
    </row>
    <row r="1091">
      <c r="A1091" s="1">
        <v>5.0</v>
      </c>
      <c r="B1091" s="1" t="s">
        <v>1083</v>
      </c>
      <c r="C1091" t="str">
        <f>IFERROR(__xludf.DUMMYFUNCTION("GOOGLETRANSLATE(B1091, ""es"", ""en"")"),"Excellent article! My girls have loved them, had a good time doing karaoke! It's simple and worthwhile for the kids, I took the offer and that helps!")</f>
        <v>Excellent article! My girls have loved them, had a good time doing karaoke! It's simple and worthwhile for the kids, I took the offer and that helps!</v>
      </c>
    </row>
    <row r="1092">
      <c r="A1092" s="1">
        <v>5.0</v>
      </c>
      <c r="B1092" s="1" t="s">
        <v>1084</v>
      </c>
      <c r="C1092" t="str">
        <f>IFERROR(__xludf.DUMMYFUNCTION("GOOGLETRANSLATE(B1092, ""es"", ""en"")"),"The size, light weight and design ... I like it. I had time enough to try and answer certain questions, such as accuracy or water resistance. Overall I was pleasantly surprised, perfect value for money. I would buy.")</f>
        <v>The size, light weight and design ... I like it. I had time enough to try and answer certain questions, such as accuracy or water resistance. Overall I was pleasantly surprised, perfect value for money. I would buy.</v>
      </c>
    </row>
    <row r="1093">
      <c r="A1093" s="1">
        <v>5.0</v>
      </c>
      <c r="B1093" s="1" t="s">
        <v>1085</v>
      </c>
      <c r="C1093" t="str">
        <f>IFERROR(__xludf.DUMMYFUNCTION("GOOGLETRANSLATE(B1093, ""es"", ""en"")"),"Better than I expected I was looking for a small USB, very fast and at the least 32GB. Finally I bought this 64GB. After comparing with other similar, I bought this to see in the comments on the actual speed of writing and reading. After a first test, I c"&amp;"an only confirm how fast it is. The best in value. For get a but, ask you out all metal, including the ring to carry portable ... but for the money you have, you may not ask for more. Thoroughly recommended. I will update only in case it fails me in time.")</f>
        <v>Better than I expected I was looking for a small USB, very fast and at the least 32GB. Finally I bought this 64GB. After comparing with other similar, I bought this to see in the comments on the actual speed of writing and reading. After a first test, I can only confirm how fast it is. The best in value. For get a but, ask you out all metal, including the ring to carry portable ... but for the money you have, you may not ask for more. Thoroughly recommended. I will update only in case it fails me in time.</v>
      </c>
    </row>
    <row r="1094">
      <c r="A1094" s="1">
        <v>5.0</v>
      </c>
      <c r="B1094" s="1" t="s">
        <v>1086</v>
      </c>
      <c r="C1094" t="str">
        <f>IFERROR(__xludf.DUMMYFUNCTION("GOOGLETRANSLATE(B1094, ""es"", ""en"")"),"Thanks nice product ... lady very contenta..calidad very good")</f>
        <v>Thanks nice product ... lady very contenta..calidad very good</v>
      </c>
    </row>
    <row r="1095">
      <c r="A1095" s="1">
        <v>5.0</v>
      </c>
      <c r="B1095" s="1" t="s">
        <v>1087</v>
      </c>
      <c r="C1095" t="str">
        <f>IFERROR(__xludf.DUMMYFUNCTION("GOOGLETRANSLATE(B1095, ""es"", ""en"")"),"I love Perfect! And very nice")</f>
        <v>I love Perfect! And very nice</v>
      </c>
    </row>
    <row r="1096">
      <c r="A1096" s="1">
        <v>5.0</v>
      </c>
      <c r="B1096" s="1" t="s">
        <v>1088</v>
      </c>
      <c r="C1096" t="str">
        <f>IFERROR(__xludf.DUMMYFUNCTION("GOOGLETRANSLATE(B1096, ""es"", ""en"")"),"unbeatable recommend")</f>
        <v>unbeatable recommend</v>
      </c>
    </row>
    <row r="1097">
      <c r="A1097" s="1">
        <v>5.0</v>
      </c>
      <c r="B1097" s="1" t="s">
        <v>1089</v>
      </c>
      <c r="C1097" t="str">
        <f>IFERROR(__xludf.DUMMYFUNCTION("GOOGLETRANSLATE(B1097, ""es"", ""en"")"),"Terrific satisfied")</f>
        <v>Terrific satisfied</v>
      </c>
    </row>
    <row r="1098">
      <c r="A1098" s="1">
        <v>2.0</v>
      </c>
      <c r="B1098" s="1" t="s">
        <v>1090</v>
      </c>
      <c r="C1098" t="str">
        <f>IFERROR(__xludf.DUMMYFUNCTION("GOOGLETRANSLATE(B1098, ""es"", ""en"")"),"the quality of the fabric regularly for the price it can not ask for more the quality of the fabric regularly for the price it can not ask for more")</f>
        <v>the quality of the fabric regularly for the price it can not ask for more the quality of the fabric regularly for the price it can not ask for more</v>
      </c>
    </row>
    <row r="1099">
      <c r="A1099" s="1">
        <v>3.0</v>
      </c>
      <c r="B1099" s="1" t="s">
        <v>1091</v>
      </c>
      <c r="C1099" t="str">
        <f>IFERROR(__xludf.DUMMYFUNCTION("GOOGLETRANSLATE(B1099, ""es"", ""en"")"),"Expected more ... The material in this pant is correct, although I must say it's fine. Is like tights although it does not have elasticity so how are you. Sizes are large so as advice, buy a lower size to which you heap up.")</f>
        <v>Expected more ... The material in this pant is correct, although I must say it's fine. Is like tights although it does not have elasticity so how are you. Sizes are large so as advice, buy a lower size to which you heap up.</v>
      </c>
    </row>
    <row r="1100">
      <c r="A1100" s="1">
        <v>3.0</v>
      </c>
      <c r="B1100" s="1" t="s">
        <v>1092</v>
      </c>
      <c r="C1100" t="str">
        <f>IFERROR(__xludf.DUMMYFUNCTION("GOOGLETRANSLATE(B1100, ""es"", ""en"")"),"Small disappointment. It's nicer in the photos, in reality it does not look much, but it works well and the price is not bad. He expected more.")</f>
        <v>Small disappointment. It's nicer in the photos, in reality it does not look much, but it works well and the price is not bad. He expected more.</v>
      </c>
    </row>
    <row r="1101">
      <c r="A1101" s="1">
        <v>1.0</v>
      </c>
      <c r="B1101" s="1" t="s">
        <v>1093</v>
      </c>
      <c r="C1101" t="str">
        <f>IFERROR(__xludf.DUMMYFUNCTION("GOOGLETRANSLATE(B1101, ""es"", ""en"")"),"You do not buy some poor quality is poor quality. Does not stick well to the desired surface, there is no way to clean it, neither alcohol ... it is a real fraud, a waste of money.")</f>
        <v>You do not buy some poor quality is poor quality. Does not stick well to the desired surface, there is no way to clean it, neither alcohol ... it is a real fraud, a waste of money.</v>
      </c>
    </row>
    <row r="1102">
      <c r="A1102" s="1">
        <v>1.0</v>
      </c>
      <c r="B1102" s="1" t="s">
        <v>1094</v>
      </c>
      <c r="C1102" t="str">
        <f>IFERROR(__xludf.DUMMYFUNCTION("GOOGLETRANSLATE(B1102, ""es"", ""en"")"),"Poor quality Very poor quality. In a unique setting it was full of pellets. Not to buy it. Amazon, as always I accept returns without problems.")</f>
        <v>Poor quality Very poor quality. In a unique setting it was full of pellets. Not to buy it. Amazon, as always I accept returns without problems.</v>
      </c>
    </row>
    <row r="1103">
      <c r="A1103" s="1">
        <v>4.0</v>
      </c>
      <c r="B1103" s="1" t="s">
        <v>1095</v>
      </c>
      <c r="C1103" t="str">
        <f>IFERROR(__xludf.DUMMYFUNCTION("GOOGLETRANSLATE(B1103, ""es"", ""en"")"),"proper functioning properly work time, have not used it much, but the paper guide does not provide much security. I also miss centering mark.")</f>
        <v>proper functioning properly work time, have not used it much, but the paper guide does not provide much security. I also miss centering mark.</v>
      </c>
    </row>
    <row r="1104">
      <c r="A1104" s="1">
        <v>4.0</v>
      </c>
      <c r="B1104" s="1" t="s">
        <v>1096</v>
      </c>
      <c r="C1104" t="str">
        <f>IFERROR(__xludf.DUMMYFUNCTION("GOOGLETRANSLATE(B1104, ""es"", ""en"")"),"Virgi beautiful and elegant as pictured")</f>
        <v>Virgi beautiful and elegant as pictured</v>
      </c>
    </row>
    <row r="1105">
      <c r="A1105" s="1">
        <v>4.0</v>
      </c>
      <c r="B1105" s="1" t="s">
        <v>1097</v>
      </c>
      <c r="C1105" t="str">
        <f>IFERROR(__xludf.DUMMYFUNCTION("GOOGLETRANSLATE(B1105, ""es"", ""en"")"),"Nice looking, the only downside is that I like it to be fixed in the chain, the heart and then turns back to center it costs.")</f>
        <v>Nice looking, the only downside is that I like it to be fixed in the chain, the heart and then turns back to center it costs.</v>
      </c>
    </row>
    <row r="1106">
      <c r="A1106" s="1">
        <v>4.0</v>
      </c>
      <c r="B1106" s="1" t="s">
        <v>1098</v>
      </c>
      <c r="C1106" t="str">
        <f>IFERROR(__xludf.DUMMYFUNCTION("GOOGLETRANSLATE(B1106, ""es"", ""en"")"),"An excuse to stop a little use for back and neck when he arrived from work. Are few minutes to relax, it holds quite well.")</f>
        <v>An excuse to stop a little use for back and neck when he arrived from work. Are few minutes to relax, it holds quite well.</v>
      </c>
    </row>
    <row r="1107">
      <c r="A1107" s="1">
        <v>4.0</v>
      </c>
      <c r="B1107" s="1" t="s">
        <v>1099</v>
      </c>
      <c r="C1107" t="str">
        <f>IFERROR(__xludf.DUMMYFUNCTION("GOOGLETRANSLATE(B1107, ""es"", ""en"")"),"Value for moderate use in my case I have two binders of this style (albeit in different colors) and in my case I'm happy. In my case I do not give a very frequent use so far the lever mechanism has worked for me great, the same as the restraint system to "&amp;"prevent the leaves from moving. On the other hand the materials are good, it looks solid and the use that I give in my case hope it durable. Compared to other files, I find it great so would not use it to carry in a backpack. It also has a couple of thing"&amp;"s that I liked and did not expect: the song below is partially covered with a metal strip, I guess to prevent wear to the place it vertically. On the other hand, the label on its back and you can customize to know what's in it. From my point of view and s"&amp;"o far, I recommend it.")</f>
        <v>Value for moderate use in my case I have two binders of this style (albeit in different colors) and in my case I'm happy. In my case I do not give a very frequent use so far the lever mechanism has worked for me great, the same as the restraint system to prevent the leaves from moving. On the other hand the materials are good, it looks solid and the use that I give in my case hope it durable. Compared to other files, I find it great so would not use it to carry in a backpack. It also has a couple of things that I liked and did not expect: the song below is partially covered with a metal strip, I guess to prevent wear to the place it vertically. On the other hand, the label on its back and you can customize to know what's in it. From my point of view and so far, I recommend it.</v>
      </c>
    </row>
    <row r="1108">
      <c r="A1108" s="1">
        <v>5.0</v>
      </c>
      <c r="B1108" s="1" t="s">
        <v>1100</v>
      </c>
      <c r="C1108" t="str">
        <f>IFERROR(__xludf.DUMMYFUNCTION("GOOGLETRANSLATE(B1108, ""es"", ""en"")"),"A clock terra felix basic benefits but fully meets my needs. I've tried in pool and sea a dozen times and it works perfectly. Very visible and easy to implement. Good quality-price relation.")</f>
        <v>A clock terra felix basic benefits but fully meets my needs. I've tried in pool and sea a dozen times and it works perfectly. Very visible and easy to implement. Good quality-price relation.</v>
      </c>
    </row>
    <row r="1109">
      <c r="A1109" s="1">
        <v>5.0</v>
      </c>
      <c r="B1109" s="1" t="s">
        <v>1101</v>
      </c>
      <c r="C1109" t="str">
        <f>IFERROR(__xludf.DUMMYFUNCTION("GOOGLETRANSLATE(B1109, ""es"", ""en"")"),"Original Color &lt;div id = ""video-block-R1AWFYVYHBU9W2"" class = ""a-section a-spacing-small a-spacing-top mini video-block""&gt; &lt;div tabindex = ""0"" class = ""airy airy-svg vmin-unsupported airy-skin-beacon ""style ="" background-color: rgb (0, 0, 0) posit"&amp;"ion: relative; width: 100%; height: 100%; font-size: 0px; overflow: hidden; outline : none; ""&gt; &lt;div class ="" airy-renderer-container ""style ="" position: relative; height: 100%; width: 100%; ""&gt; &lt;video id ="" 7 ""preload ="" auto ""src ="" https://imag"&amp;"es-eu.ssl-images-amazon.com/images/I/91KG93MV2JS.mp4 ""style ="" position: absolute; left: 0px; top: 0px; overflow: hidden; height: 1px; width: 1px ; ""&gt; &lt;/ video&gt; &lt;/ div&gt; &lt;div id ="" airy-slate-preload ""style ="" background-color: rgb (0, 0, 0); backgro"&amp;"und-image: url (&amp; quot; https: // images-eu.ssl-images-amazon.com/images/I/910XaLS4SAS.png&amp;quot;); background-size: Contain; background-position: center center; background-repeat: no-repeat; position: absolute; top: 0px ; left: 0px; visibility: visible; w"&amp;"idth: 100%; height: 100%; ""&gt; &lt;/ div&gt; &lt;iframe scrolling = ""No"" frameborder = ""0"" src = ""about: blank"" style = ""display: none;""&gt; &lt;/ iframe&gt; &lt;div tabindex = ""- 1"" class = ""airy-controls-container"" style = ""opacity: 0; visibility: hidden; ""&gt; &lt;d"&amp;"iv tabindex ="" - 1 ""class ="" airy-screen-size-toggle airy-fullscreen ""&gt; &lt;/ div&gt; &lt;div tabindex ="" - 1 ""class ="" airy-container-bottom "" &gt; &lt;div tabindex = ""- 1"" class = ""airy-track-bar-spacer-left"" style = ""width: 11px;""&gt; &lt;/ div&gt; &lt;div tabindex"&amp;" = ""- 1"" class = ""airy-play- airy toggle-play ""style ="" width: 12px; margin-right: 12px; ""&gt; &lt;/ div&gt; &lt;div tabindex ="" - 1 ""class ="" airy-audio-elements ""style ="" float: right; width: 34px; ""&gt; &lt;div tabindex ="" - 1 ""class ="" airy-audio-toggle "&amp;"airy-on ""&gt; &lt;/ div&gt; &lt;div tabindex ="" - 1 ""class ="" airy-audio-container ""style = ""opacity: 0; visibility: hidden; ""&gt; &lt;div tabindex ="" - 1 ""class ="" airy-audio-track-bar ""style ="" height: 80%; ""&gt; &lt;div tabindex ="" - 1 ""class ="" airy-audio- Sc"&amp;"rubber-bar ""style ="" height: 85%; ""&gt; &lt;/ div&gt; &lt;div tabindex ="" - 1 ""class ="" airy-audio-scrubber ""style ="" height: 12px; bottom: 85% ""&gt; &lt;/ div&gt; &lt;/ div&gt; &lt;/ div&gt; &lt;/ div&gt; &lt;div tabindex ="" - 1 ""class ="" airy-duration-label ""style ="" float: right;"&amp;" width: 26px; margin-right: 4px; text-align: center; ""&gt; 0:00 &lt;/ div&gt; &lt;div tabindex ="" - 1 ""class ="" airy-track-bar-spacer-right ""style ="" float: right; width: 11px; ""&gt; &lt;/ div&gt; &lt;div tabindex ="" - 1 ""class ="" airy-track-bar-container ""style ="" m"&amp;"argin-left: 35px; margin-right: 75px; ""&gt; &lt;div tabindex ="" - 1 ""class ="" airy-airy-track-bar vertically-centering-table ""&gt; &lt;div tabindex ="" - 1 ""class ="" airy-Vertical-centering- table-cell ""&gt; &lt;div tabindex ="" - 1 ""class ="" airy-track-bar-eleme"&amp;"nts ""&gt; &lt;div tabindex ="" - 1 ""class ="" airy-progress-bar ""&gt; &lt;/ div&gt; &lt;div tabindex = ""- 1"" class = ""airy-scrubber-bar""&gt; &lt;/ div&gt; &lt;div tabindex = ""- 1"" class = ""airy-scrubber""&gt; &lt;div tabindex = ""- 1"" class = ""airy-scrubber- icon ""&gt; &lt;/ div&gt; &lt;di"&amp;"v tabindex ="" - 1 ""class ="" airy-adjusted-AUI-tooltip ""style ="" opacity: 0; visibility: hidden; ""&gt; &lt;div tabindex ="" - 1 ""class ="" airy-adjusted-aui-tooltip-inner ""&gt; &lt;div tabindex ="" - 1 ""class ="" airy-current-time-label ""&gt; 0: 00 &lt;/ div&gt; &lt;/ d"&amp;"iv&gt; &lt;div tabindex = ""- 1"" class = ""airy-adjusted-AUI-arrow-border""&gt; &lt;div tabindex = ""- 1"" class = ""airy-adjusted-AUI-arrow"" &gt; &lt;/ div&gt; &lt;/ div&gt; &lt;/ div&gt; &lt;/ div&gt; &lt;/ div&gt; &lt;/ div&gt; &lt;/ div&gt; &lt;/ div&gt; &lt;/ div&gt; &lt;/ div&gt; &lt;div tabindex = ""- 1"" class = ""airy-ag"&amp;"e-gate airy-stage airy-Vertical-centering-table airy-dialog"" style = ""opacity: 0; visibility: hidden; ""&gt; &lt;div tabindex ="" - 1 ""class ="" airy-age-gate-Vertical-centering-table-cell airy-Vertical-centering-table-cell ""&gt; &lt;div tabindex ="" - 1 ""class "&amp;"= ""airy-Vertical-centering-wrapper airy-age-gate-elements-wrapper""&gt; &lt;div tabindex = ""- 1"" class = ""airy-age-gate-elements airy-dialog-elements""&gt; &lt;div tabindex = "" -1 ""class ="" airy-age-gate-prompt ""&gt; This video is not Intended for all audiences "&amp;"What date were you born &lt;/ div&gt; &lt;div tabindex =.?"" - 1 ""class ="" airy-age-gate -inputs airy-dialog-inner-elements ""&gt; &lt;select tabindex ="" - 1 ""class ="" airy-age-gate-month ""&gt; &lt;option value ="" 1 ""&gt; January &lt;/ option&gt; &lt;option value ="" 2 ""&gt; Februa"&amp;"ry &lt;/ option&gt; &lt;option value ="" 3 ""&gt; March &lt;/ option&gt; &lt;option value ="" 4 ""&gt; April &lt;/ option&gt; &lt;option value ="" 5 ""&gt; May &lt;/ option&gt; &lt;option value = ""6""&gt; June &lt;/ option&gt; &lt;option value = ""7""&gt; July &lt;/ option&gt; &lt;option value = ""8""&gt; August &lt;/ option&gt; &lt;"&amp;"option value = ""9""&gt; September &lt;/ option&gt; &lt;option value = ""10""&gt; October &lt;/ option&gt; &lt;option value = ""11""&gt; November &lt;/ option&gt; &lt;option value = ""12""&gt; December &lt;/ option&gt; &lt;/ select&gt; &lt;select tabindex = ""- 1"" class = ""airy-age-gate-day""&gt; &lt;opti on val"&amp;"ue = ""1""&gt; 1 &lt;/ option&gt; &lt;option value = ""2""&gt; 2 &lt;/ option&gt; &lt;option value = ""3""&gt; 3 &lt;/ option&gt; &lt;option value = ""4""&gt; 4 &lt;/ option &gt; &lt;option value = ""5""&gt; 5 &lt;/ option&gt; &lt;option value = ""6""&gt; 6 &lt;/ option&gt; &lt;option value = ""7""&gt; 7 &lt;/ option&gt; &lt;option value"&amp;" = ""8""&gt; 8 &lt; / option&gt; &lt;option value = ""9""&gt; 9 &lt;/ option&gt; &lt;option value = ""10""&gt; 10 &lt;/ option&gt; &lt;option value = ""11""&gt; 11 &lt;/ option&gt; &lt;option value = ""12""&gt; 12 &lt;/ option&gt; &lt;option value = ""13""&gt; 13 &lt;/ option&gt; &lt;option value = ""14""&gt; 14 &lt;/ option&gt; &lt;opti"&amp;"on value = ""15""&gt; 15 &lt;/ option&gt; &lt;option value = ""16 ""&gt; 16 &lt;/ option&gt; &lt;option value ="" 17 ""&gt; 17 &lt;/ option&gt; &lt;option value ="" 18 ""&gt; 18 &lt;/ option&gt; &lt;option value ="" 19 ""&gt; 19 &lt;/ option&gt; &lt;option value = ""20""&gt; 20 &lt;/ option&gt; &lt;option value = ""21""&gt; 21 &lt;"&amp;"/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optio"&amp;"n value = ""2018""&gt; 2018 &lt;/ option&gt; &lt;option value = ""2017""&gt; 2017 &lt;/ option&gt; &lt;option value = ""2016""&gt; ​​2016 &lt;/ option&gt; &lt;option value = ""2015""&gt; 2015 &lt;/ option &gt; &lt;option value = ""2014""&gt; 2014 &lt;/ option&gt; &lt;option value = ""2013""&gt; 2013 &lt;/ option&gt; &lt;optio"&amp;"n value = ""2012""&gt; 2012 &lt;/ option&gt; &lt;option value = ""2011""&gt; 2011 &lt; / option&gt; &lt;option value = ""2010""&gt; 2010 &lt;/ option&gt; &lt;option value = ""2009""&gt; 2009 &lt;/ option&gt; &lt;option value = ""2008""&gt; 2008 &lt;/ option&gt; &lt;option value = ""2007""&gt; 2007 &lt;/ option&gt; &lt;option "&amp;"value = ""2006""&gt; 2006 &lt;/ option&gt; &lt;option value = ""2005""&gt; 2005 &lt;/ option&gt; &lt;option value = ""2004""&gt; 2004 &lt;/ option&gt; &lt;option value = ""2003 ""&gt; 2003 &lt;/ option&gt; &lt;option value ="" 2002 ""&gt; 2002 &lt;/ option&gt; &lt;option value ="" 2001 ""&gt; 2001 &lt;/ option&gt; &lt;option "&amp;"value ="" 2000 ""&gt; 2000 &lt;/ option&gt; &lt;option value = ""1999""&gt; 1999 &lt;/ option&gt; &lt;option value = ""1998""&gt; 1998 &lt;/ option&gt; &lt;option value = ""1997""&gt; 1997 &lt;/ option&gt; &lt;option value = ""1996""&gt; 1996 &lt;/ option&gt; &lt;option value = ""1995""&gt; 1995 &lt;/ option&gt; &lt;option va"&amp;"lue = ""1994""&gt; 1994 &lt;/ option&gt; &lt;option value = ""1993""&gt; 1993 &lt;/ option&gt; &lt;option value = ""1992""&gt; 1992 &lt;/ option&gt; &lt;option value = ""1991""&gt; 1991 &lt;/ option&gt; &lt;option value = ""1990""&gt; 1990 &lt;/ option&gt; &lt;option value = "" 1989 ""&gt; 1989 &lt;/ option&gt; &lt;option val"&amp;"ue ="" 1988 ""&gt; 1988 &lt;/ option&gt; &lt;option value ="" 1987 ""&gt; 1987 &lt;/ option&gt; &lt;option value ="" 1986 ""&gt; 1986 &lt;/ option&gt; &lt;value option = ""1985""&gt; 1985 &lt;/ option&gt; &lt;option value = ""1984""&gt; 1984 &lt;/ option&gt; &lt;option value = ""1983""&gt; 1983 &lt;/ option&gt; &lt;option val"&amp;"ue = ""1982""&gt; 1982 &lt;/ option&gt; &lt; option value = ""1981""&gt; 1981 &lt;/ option&gt; &lt;option value = ""1980""&gt; 1980 &lt;/ option&gt; &lt;option value = ""1979""&gt; 1979 &lt;/ option&gt; &lt;option value = ""1978""&gt; 1978 &lt;/ option &gt; &lt;option value = ""1977""&gt; 1977 &lt;/ option&gt; &lt;option valu"&amp;"e = ""1976""&gt; 1976 &lt;/ option&gt; &lt;option value = ""1975""&gt; 1975 &lt;/ option&gt; &lt;option value = ""1974""&gt; 1974 &lt; / option&gt; &lt;option value = ""1973""&gt; 1973 &lt;/ option&gt; &lt;option value = ""1972""&gt; 1972 &lt;/ option&gt; &lt;option value = ""1971""&gt; 1971 &lt;/ option&gt; &lt;option value "&amp;"= ""1970""&gt;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="&amp;" ""1958""&gt; 1958 &lt;/ option&gt; &lt;option value = ""1957""&gt; 1957 &lt;/ option&gt; &lt;option value = ""1956""&gt; 1956 &lt;/ option&gt; &lt;option value = ""1955""&gt; 1955 &lt;/ option&gt; &lt;option value = ""1954""&gt; 1954 &lt;/ option&gt; &lt;option value = ""1953""&gt; 1953 &lt;/ option&gt; &lt;option value = """&amp;"1952""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""1"&amp;"928""&gt;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""1916""&gt;"&amp;" 1916 &lt;/ option&gt; &lt;option value = ""1915"" &gt; 1915 &lt;/ option&gt; &lt;option value = ""1914""&gt; 1914 &lt;/ option&gt; &lt;option value = ""1913""&gt; 1913 &lt;/ option&gt; &lt;option value = ""1912""&gt; 1912 &lt;/ option&gt; &lt;option value = "" 1911 ""&gt; 1911 &lt;/ option&gt; &lt;option value ="" 1910 """&amp;"&gt; 1910 &lt;/ option&gt; &lt;option value ="" 1909 ""&gt; 1909 &lt;/ option&gt; &lt;option value ="" 1908 ""&gt; 1908 &lt;/ option&gt; &lt;value option = ""1907""&gt; 1907 &lt;/ option&gt; &lt;option value = ""1906""&gt; 1906 &lt;/ option&gt; &lt;option value = ""1905""&gt; 1905 &lt;/ option&gt; &lt;option value = ""1904""&gt;"&amp;" 1904 &lt;/ option&gt; &lt; option value = ""1903""&gt; 1903 &lt;/ option&gt; &lt;option value = ""1902""&gt; 1902 &lt;/ option&gt; &lt;option value = ""1901""&gt; 19 01 &lt;/ option&gt; &lt;option value = ""1900""&gt; 1900 &lt;/ option&gt; &lt;/ select&gt; &lt;div tabindex = ""- 1"" class = ""airy-age-gate-submit ai"&amp;"ry-submit-button airy airy-submit- disabled ""&gt; Submit &lt;/ div&gt; &lt;/ div&gt; &lt;/ div&gt; &lt;/ div&gt; &lt;/ div&gt; &lt;/ div&gt; &lt;div tabindex ="" - 1 ""class ="" airy-install-flash-dialog airy-stage airy -vertical-centering-table-dialog airy airy-denied ""style ="" opacity: 0; vi"&amp;"sibility: hidden; ""&gt; &lt;div tabindex ="" - 1 ""class ="" airy-install-flash-Vertical-centering-table-cell airy-Vertical-centering-table-cell ""&gt; &lt;div tabindex ="" - 1 ""class = ""airy-Vertical-centering-wrapper airy-install-flash-elements-wrapper""&gt; &lt;div t"&amp;"abindex = ""- 1"" class = ""airy-install-flash-elements airy-dialog-elements""&gt; &lt;div tabindex = "" -1 ""class ="" airy-install-flash-prompt ""&gt; Adobe Flash Player is required to watch this video &lt;/ div&gt; &lt;div tabindex =."" - 1 ""class ="" airy-install-flas"&amp;"h-button-wrapper airy -dialog-inner-elements ""&gt; &lt;div tabindex ="" - 1 ""class ="" airy-install-flash-button airy-button ""&gt; install Flash Player &lt;/ div&gt; &lt;/ div&gt; &lt;/ div&gt; &lt;/ div&gt; &lt;/ div&gt; &lt;/ div&gt; &lt;div tabindex = ""- 1"" class = ""airy-video-unsupported-dial"&amp;"og airy-stage airy-Vertical-centering-table airy-dialog airy-denied"" style = ""opacity: 0; visibility: hidden; ""&gt; &lt;div tabindex ="" - 1 ""class ="" airy-video-unsupported-Vertical-centering-table-cell airy-Vertical-centering-table-cell ""&gt; &lt;div tabindex"&amp;" ="" - 1 ""class = ""airy-Vertical-centering-wrapper airy-video-unsupported-elements-wrapper""&gt; &lt;div tabindex = ""- 1"" class = ""airy-video-unsupported-elements airy-dialog-elements""&gt; &lt;div tabindex = "" -1 ""class ="" airy-video-unsupported-prompt ""&gt; &lt;"&amp;"/ 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""v"&amp;"isibility: hidden;""&gt; &lt;/ div&gt; &lt;/ div&gt; &lt;/ div&gt; &lt;/ div&gt; &lt;div tabindex = ""- 1 ""class ="" airy-ads-screen-size-toggle airy-screen-size-toggle-fullscreen airy ""style ="" visibility: hidden; ""&gt; &lt;/ div&gt; &lt;div tabindex = ""-1"" class = ""airy-ad-prompt-contain"&amp;"er"" style = ""visibility: hidden;""&gt; &lt;div tabindex = ""- 1"" class = ""airy-ad-prompt-Vertical-centering-table-vertically airy centering-table ""&gt; &lt;div tabindex ="" - 1 ""class ="" airy-ad-prompt-Vertical-centering-table-cell airy-Vertical-centering-tabl"&amp;"e-cell ""&gt; &lt;div tabindex ="" - 1 ""class = ""airy-ad-prompt-label""&gt; &lt;/ div&gt; &lt;/ div&gt; &lt;/ div&gt; &lt;/ div&gt; &lt;div tabindex = ""- 1"" class = ""airy-ads-controls-container"" style = ""visibility: hidden; ""&gt; &lt;div tabindex ="" - 1 ""class ="" airy-ads-audio-toggle "&amp;"airy-audio-toggle airy-on ""style ="" visibility: hidden; ""&gt; &lt;/ div&gt; &lt;div tabindex ="" - 1 ""class ="" airy-time-remaining-label-container ""&gt; &lt;div tabindex ="" - 1 ""class ="" airy-time-remaining-Vertical-centering-table airy-Vertical-centering-table """&amp;"&gt; &lt;div tabindex = ""- 1"" class = ""airy-time-remaining-Vertical-centering-table-cell airy-Vertical-centering-table-cell""&gt; &lt;div tabindex = ""- 1"" class = ""airy-Vertical-centering-wrapper airy-time-remaining-label-wrapper ""&gt; &lt;div tabindex ="" - 1 ""cla"&amp;"ss ="" airy-time-remaining-label ""style ="" visibility: hidden; ""&gt; &lt;/ div&gt; &lt;div tabi ndex = ""- 1"" class = ""airy-ad-skip"" style = ""visibility: hidden;""&gt; &lt;/ div&gt; &lt;div tabindex = ""- 1"" class = ""airy-ad-end"" style = ""visibility: hidden ""&gt; &lt;/ div"&amp;"&gt; &lt;/ div&gt; &lt;/ div&gt; &lt;/ div&gt; &lt;/ div&gt; &lt;div tabindex ="" - 1 ""class ="" airy-learn-more ""style ="" visibility: hidden; ""&gt; &lt;/ div&gt; &lt;/ div&gt; &lt;div tabindex = ""- 1"" class = ""airy-play-toggle-hint-stage airy-stage airy-cursor""&gt; &lt;div tabindex = ""- 1"" class ="&amp;" ""airy-play -toggle-hint-Vertical-centering-table-cell airy-Vertical-centering-table-cell airy-cursor ""&gt; &lt;div tabindex ="" - 1 ""class ="" airy-play-toggle-hint-container airy-scalable- Hint-container ""&gt; &lt;div tabindex ="" - 1 ""class ="" airy-play-togg"&amp;"le-hint-dummy airy-scalable-dummy ""&gt; &lt;/ div&gt; &lt;div tabindex ="" - 1 ""class ="" airy-play -toggle-hint hint airy-airy-play-hint ""style ="" opacity: 1; visibility: visible; ""&gt; &lt;/ div&gt; &lt;/ div&gt; &lt;/ div&gt; &lt;/ div&gt; &lt;div tabindex ="" - 1 ""class ="" airy-replay-"&amp;"hint-stage airy-stage ""style ="" visibility: hidden ; ""&gt; &lt;div tabindex ="" - 1 ""class ="" airy-replay-hint-Vertical-centering-table-cell airy-Vertical-centering-table-cell airy-cursor ""&gt; &lt;div tabindex ="" - 1 ""class = ""airy-replay-hint-container air"&amp;"y-scalable-hint-container""&gt; &lt;div tabindex = ""- 1"" class = ""airy-replay-hint-dummy airy-scalable-dummy""&gt; &lt;/ div&gt; &lt;div tabindex = ""- 1"" class = ""airy-replay-hint airy-hint""&gt; &lt;/ div&gt; &lt;/ div&gt; &lt;/ div&gt; &lt;/ div&gt; &lt;div tabindex = ""- 1"" class = ""airy-aut"&amp;"oplay-hint -stage airy-stage ""style ="" visibility: hidden; ""&gt; &lt;div tabindex ="" - 1 ""align ="" airy-autoplay-hint-Vertical-centering-table-cell airy-Vertical-centering-table-cell airy- cursor ""&gt; &lt;div tabindex ="" - 1 ""class ="" autoplay airy-airy-hi"&amp;"nt-container-scalable-hint-container ""&gt; &lt;div tabindex ="" - 1 ""class ="" airy-autoplay-hint-dummy airy- scalable-dummy ""&gt; &lt;/ div&gt; &lt;/ div&gt; &lt;/ div&gt; &lt;/ div&gt; &lt;/ div&gt; &lt;/ div&gt; &lt;input type ="" hidden ""name ="" ""value ="" https: // images-eu .ssl-images-amaz"&amp;"on.com / images / I / 91KG93MV2JS.mp4 ""Class ="" video-url ""&gt; &lt;input type ="" hidden ""name ="" ""value ="" https://images-eu.ssl-images-amazon.com/images/I/910XaLS4SAS.png ""class ="" video-slate-img-url ""&gt; &amp; nbsp; I love the color of this bracelet, t"&amp;"heir functions are very similar to others but it seems more accurate in touching the touch button, through the App mobile can set all the functions of the clock and keep not weigh detailed tracking of your activities so do not bother anything take.")</f>
        <v>Original Color &lt;div id = "video-block-R1AWFYVYHBU9W2"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7 "preload =" auto "src =" https://images-eu.ssl-images-amazon.com/images/I/91KG93MV2JS.mp4 "style =" position: absolute; left: 0px; top: 0px; overflow: hidden; height: 1px; width: 1px ; "&gt; &lt;/ video&gt; &lt;/ div&gt; &lt;div id =" airy-slate-preload "style =" background-color: rgb (0, 0, 0); background-image: url (&amp; quot; https: // images-eu.ssl-images-amazon.com/images/I/910XaLS4SAS.png&amp;quot;); background-size: Contain; background-position: center center; background-repeat: no-repeat; position: absolute; top: 0px ; left: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"align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91KG93MV2JS.mp4 "Class =" video-url "&gt; &lt;input type =" hidden "name =" "value =" https://images-eu.ssl-images-amazon.com/images/I/910XaLS4SAS.png "class =" video-slate-img-url "&gt; &amp; nbsp; I love the color of this bracelet, their functions are very similar to others but it seems more accurate in touching the touch button, through the App mobile can set all the functions of the clock and keep not weigh detailed tracking of your activities so do not bother anything take.</v>
      </c>
    </row>
    <row r="1110">
      <c r="A1110" s="1">
        <v>5.0</v>
      </c>
      <c r="B1110" s="1" t="s">
        <v>1102</v>
      </c>
      <c r="C1110" t="str">
        <f>IFERROR(__xludf.DUMMYFUNCTION("GOOGLETRANSLATE(B1110, ""es"", ""en"")"),"Comodisimos I liked everything, I use it to work, I'm almost standing all day, taking care of an elderly person and I have to make much effort.")</f>
        <v>Comodisimos I liked everything, I use it to work, I'm almost standing all day, taking care of an elderly person and I have to make much effort.</v>
      </c>
    </row>
    <row r="1111">
      <c r="A1111" s="1">
        <v>5.0</v>
      </c>
      <c r="B1111" s="1" t="s">
        <v>1103</v>
      </c>
      <c r="C1111" t="str">
        <f>IFERROR(__xludf.DUMMYFUNCTION("GOOGLETRANSLATE(B1111, ""es"", ""en"")"),"Set of 6 essential oils aromatherapy diffuser good price as heat or ultrasound This is a good set of 6 essential oils aromatherapy 10ml each at a good price. I use them for all diffusers house, including heat sinks and ultrasound, and both types of works "&amp;"equally well. 6 flavors are well suited for these winter dates and truth have a very good intensity, enough to fill my apartment smell 80m2. But what convinced me about this set is that oils are 100% natural, without chemicals, ""I right [s] for vegetaria"&amp;"ns and vegans"". Now, I'm not vegetarian or vegan does not but I have a nutritionist friend told me that oils that I bought in the bazaar of Chinese products neighborhood are full of estrogenic substances which in the opinion, to the blur in the environme"&amp;"nt, one incorporates and in women, it helps to have more appetite and keep liquids and swelling and, in humans, causes fatigue and loss of physical strength. Since he told me that in addition to certain food- almost everything we use at home have this: so"&amp;"aps, shampoos, scented candles and, especially, aromatic oils that are not natural, try to limit the use of these things as much as possible. However, sometimes it's all a budget buy aromatic oils with good smells and, what is worse, there is an orange oi"&amp;"l in the bazaars of Chinese products is very rich! Well, with joy I see that it complies with these requirements in September. First, I was struck by the scent of Sweet Orange. And the truth is that I liked. In general, I noticed that all the aromas inclu"&amp;"ded are kind of Christmas, which I always look around these dates. The Mint and Eucalyptus is very good! The're mixing and the truth that the house is smelling very party this time! The only scent I never really like is to Limoncillo which I am a fan of t"&amp;"he citrus fruit, especially lemon and lemongrass has always seemed to me a lemon bungler! (Just imagine the bitterness when I eat Thai food, where they put in the soup lemongrass ... literally!) But I must say that, despite this, the smell of lemongrass t"&amp;"his does not bother me. I have surprised the smell of tea tree, because I've never given much ball and yet is quite nice; and lavender, which is usually a liquid to clean smell me and yet, this does not smell like that. So he was satisfied with the smells"&amp;" you have this set. Very Christmas, as I say: 6 mixing together a very interesting odor is achieved. Then the fact that costs 15 € is excellent. There are some climbing up and derisory prices, and often even an oil one can afford that! (There is one orang"&amp;"e a foreign brand apparently is no longer does so, that I did bring when someone was traveling, and left me about 30 € for 15ml; that I lasted 6 months using it very sparingly but like the price is very high.) well, in this set almost every bottle of 10ml"&amp;" costs 2.5 €, which is more or less what I pay for a bottle of 50ml in the bazaars of Chinese products, only that must to put more drops to smell strong odor and usually leave soon, while with this set one or two drops in the diffuser filled the whole roo"&amp;"m smell and hard what you expected to last good oils. So it has been a very good investment of 15 €. One tends to think that you are spending more for less quantity but in the end, as these oils super-concentrated one need only use one or two drops, if yo"&amp;"u calculate, you end up coming to mind, because often last even longer than most Cheap. And what's best, one is not breathing any chemical that can estarle harming your system.")</f>
        <v>Set of 6 essential oils aromatherapy diffuser good price as heat or ultrasound This is a good set of 6 essential oils aromatherapy 10ml each at a good price. I use them for all diffusers house, including heat sinks and ultrasound, and both types of works equally well. 6 flavors are well suited for these winter dates and truth have a very good intensity, enough to fill my apartment smell 80m2. But what convinced me about this set is that oils are 100% natural, without chemicals, "I right [s] for vegetarians and vegans". Now, I'm not vegetarian or vegan does not but I have a nutritionist friend told me that oils that I bought in the bazaar of Chinese products neighborhood are full of estrogenic substances which in the opinion, to the blur in the environment, one incorporates and in women, it helps to have more appetite and keep liquids and swelling and, in humans, causes fatigue and loss of physical strength. Since he told me that in addition to certain food- almost everything we use at home have this: soaps, shampoos, scented candles and, especially, aromatic oils that are not natural, try to limit the use of these things as much as possible. However, sometimes it's all a budget buy aromatic oils with good smells and, what is worse, there is an orange oil in the bazaars of Chinese products is very rich! Well, with joy I see that it complies with these requirements in September. First, I was struck by the scent of Sweet Orange. And the truth is that I liked. In general, I noticed that all the aromas included are kind of Christmas, which I always look around these dates. The Mint and Eucalyptus is very good! The're mixing and the truth that the house is smelling very party this time! The only scent I never really like is to Limoncillo which I am a fan of the citrus fruit, especially lemon and lemongrass has always seemed to me a lemon bungler! (Just imagine the bitterness when I eat Thai food, where they put in the soup lemongrass ... literally!) But I must say that, despite this, the smell of lemongrass this does not bother me. I have surprised the smell of tea tree, because I've never given much ball and yet is quite nice; and lavender, which is usually a liquid to clean smell me and yet, this does not smell like that. So he was satisfied with the smells you have this set. Very Christmas, as I say: 6 mixing together a very interesting odor is achieved. Then the fact that costs 15 € is excellent. There are some climbing up and derisory prices, and often even an oil one can afford that! (There is one orange a foreign brand apparently is no longer does so, that I did bring when someone was traveling, and left me about 30 € for 15ml; that I lasted 6 months using it very sparingly but like the price is very high.) well, in this set almost every bottle of 10ml costs 2.5 €, which is more or less what I pay for a bottle of 50ml in the bazaars of Chinese products, only that must to put more drops to smell strong odor and usually leave soon, while with this set one or two drops in the diffuser filled the whole room smell and hard what you expected to last good oils. So it has been a very good investment of 15 €. One tends to think that you are spending more for less quantity but in the end, as these oils super-concentrated one need only use one or two drops, if you calculate, you end up coming to mind, because often last even longer than most Cheap. And what's best, one is not breathing any chemical that can estarle harming your system.</v>
      </c>
    </row>
    <row r="1112">
      <c r="A1112" s="1">
        <v>5.0</v>
      </c>
      <c r="B1112" s="1" t="s">
        <v>1104</v>
      </c>
      <c r="C1112" t="str">
        <f>IFERROR(__xludf.DUMMYFUNCTION("GOOGLETRANSLATE(B1112, ""es"", ""en"")"),"Good very good")</f>
        <v>Good very good</v>
      </c>
    </row>
    <row r="1113">
      <c r="A1113" s="1">
        <v>5.0</v>
      </c>
      <c r="B1113" s="1" t="s">
        <v>1105</v>
      </c>
      <c r="C1113" t="str">
        <f>IFERROR(__xludf.DUMMYFUNCTION("GOOGLETRANSLATE(B1113, ""es"", ""en"")"),"Good trainers are perfect and I are very comfortable, the only downside laces too thin, but well")</f>
        <v>Good trainers are perfect and I are very comfortable, the only downside laces too thin, but well</v>
      </c>
    </row>
    <row r="1114">
      <c r="A1114" s="1">
        <v>5.0</v>
      </c>
      <c r="B1114" s="1" t="s">
        <v>1106</v>
      </c>
      <c r="C1114" t="str">
        <f>IFERROR(__xludf.DUMMYFUNCTION("GOOGLETRANSLATE(B1114, ""es"", ""en"")"),"Perfect going very well and the size is perfect. It is important to read the instructions carefully, and q to set the digital time, it is not easy and only access it correctly, it appears q does not work properly.")</f>
        <v>Perfect going very well and the size is perfect. It is important to read the instructions carefully, and q to set the digital time, it is not easy and only access it correctly, it appears q does not work properly.</v>
      </c>
    </row>
    <row r="1115">
      <c r="A1115" s="1">
        <v>5.0</v>
      </c>
      <c r="B1115" s="1" t="s">
        <v>1107</v>
      </c>
      <c r="C1115" t="str">
        <f>IFERROR(__xludf.DUMMYFUNCTION("GOOGLETRANSLATE(B1115, ""es"", ""en"")"),"Good buy Product of very good quality. It is well off the system at 3 hours to avoid unnecessary consumption of forgetfulness but if you want to leave on time are more forced unplugging and replugging the blanket. Maybe, the duo system in which each regul"&amp;"ates the intensity or only one can use it.")</f>
        <v>Good buy Product of very good quality. It is well off the system at 3 hours to avoid unnecessary consumption of forgetfulness but if you want to leave on time are more forced unplugging and replugging the blanket. Maybe, the duo system in which each regulates the intensity or only one can use it.</v>
      </c>
    </row>
    <row r="1116">
      <c r="A1116" s="1">
        <v>5.0</v>
      </c>
      <c r="B1116" s="1" t="s">
        <v>1108</v>
      </c>
      <c r="C1116" t="str">
        <f>IFERROR(__xludf.DUMMYFUNCTION("GOOGLETRANSLATE(B1116, ""es"", ""en"")"),"Perfect Love")</f>
        <v>Perfect Love</v>
      </c>
    </row>
    <row r="1117">
      <c r="A1117" s="1">
        <v>5.0</v>
      </c>
      <c r="B1117" s="1" t="s">
        <v>1109</v>
      </c>
      <c r="C1117" t="str">
        <f>IFERROR(__xludf.DUMMYFUNCTION("GOOGLETRANSLATE(B1117, ""es"", ""en"")"),"Perfect Va mui well")</f>
        <v>Perfect Va mui well</v>
      </c>
    </row>
    <row r="1118">
      <c r="A1118" s="1">
        <v>5.0</v>
      </c>
      <c r="B1118" s="1" t="s">
        <v>1110</v>
      </c>
      <c r="C1118" t="str">
        <f>IFERROR(__xludf.DUMMYFUNCTION("GOOGLETRANSLATE(B1118, ""es"", ""en"")"),"Comodo 100% were super fast, it is very comfortable and convenient to use both to listen to music and to answer the phone while you're working. recommendable")</f>
        <v>Comodo 100% were super fast, it is very comfortable and convenient to use both to listen to music and to answer the phone while you're working. recommendable</v>
      </c>
    </row>
    <row r="1119">
      <c r="A1119" s="1">
        <v>5.0</v>
      </c>
      <c r="B1119" s="1" t="s">
        <v>1111</v>
      </c>
      <c r="C1119" t="str">
        <f>IFERROR(__xludf.DUMMYFUNCTION("GOOGLETRANSLATE(B1119, ""es"", ""en"")"),"good material is a very good product for its price is very good and are very nice, the truth that have been successful and have asked me to know where to get them.")</f>
        <v>good material is a very good product for its price is very good and are very nice, the truth that have been successful and have asked me to know where to get them.</v>
      </c>
    </row>
    <row r="1120">
      <c r="A1120" s="1">
        <v>5.0</v>
      </c>
      <c r="B1120" s="1" t="s">
        <v>1112</v>
      </c>
      <c r="C1120" t="str">
        <f>IFERROR(__xludf.DUMMYFUNCTION("GOOGLETRANSLATE(B1120, ""es"", ""en"")"),"As seen !! Speed ​​and quality. Q what are seen. Perfect number. Ipsofacta delivery. Warm at a good price. Great! Very very good!! Resist water.")</f>
        <v>As seen !! Speed ​​and quality. Q what are seen. Perfect number. Ipsofacta delivery. Warm at a good price. Great! Very very good!! Resist water.</v>
      </c>
    </row>
    <row r="1121">
      <c r="A1121" s="1">
        <v>5.0</v>
      </c>
      <c r="B1121" s="1" t="s">
        <v>1113</v>
      </c>
      <c r="C1121" t="str">
        <f>IFERROR(__xludf.DUMMYFUNCTION("GOOGLETRANSLATE(B1121, ""es"", ""en"")"),"Very good It was time to find good headphones and good price I do not dierra problem the connection, both the PC and the flattering, you always had to be tucking a POC or sacandolo, I was no sound or olo is ecuchaba one . Ahoa these up without any problem"&amp;", I hit with purchase")</f>
        <v>Very good It was time to find good headphones and good price I do not dierra problem the connection, both the PC and the flattering, you always had to be tucking a POC or sacandolo, I was no sound or olo is ecuchaba one . Ahoa these up without any problem, I hit with purchase</v>
      </c>
    </row>
    <row r="1122">
      <c r="A1122" s="1">
        <v>5.0</v>
      </c>
      <c r="B1122" s="1" t="s">
        <v>1114</v>
      </c>
      <c r="C1122" t="str">
        <f>IFERROR(__xludf.DUMMYFUNCTION("GOOGLETRANSLATE(B1122, ""es"", ""en"")"),"Well what are shown in the ad, perfect for pick up and leave coiled wires")</f>
        <v>Well what are shown in the ad, perfect for pick up and leave coiled wires</v>
      </c>
    </row>
    <row r="1123">
      <c r="A1123" s="1">
        <v>5.0</v>
      </c>
      <c r="B1123" s="1" t="s">
        <v>1115</v>
      </c>
      <c r="C1123" t="str">
        <f>IFERROR(__xludf.DUMMYFUNCTION("GOOGLETRANSLATE(B1123, ""es"", ""en"")"),"I like to sing with my agmigos have to sing at home with my friends the weekend, I bought it, it's fun, you can connect Bluetooth is very easy. This price is very profitable.")</f>
        <v>I like to sing with my agmigos have to sing at home with my friends the weekend, I bought it, it's fun, you can connect Bluetooth is very easy. This price is very profitable.</v>
      </c>
    </row>
    <row r="1124">
      <c r="A1124" s="1">
        <v>5.0</v>
      </c>
      <c r="B1124" s="1" t="s">
        <v>1116</v>
      </c>
      <c r="C1124" t="str">
        <f>IFERROR(__xludf.DUMMYFUNCTION("GOOGLETRANSLATE(B1124, ""es"", ""en"")"),"Nice bag nice bag with many sections and many sections elegante.Tamaño soft and medium. Only time a month that I have'll see what makes tough but strong paracer")</f>
        <v>Nice bag nice bag with many sections and many sections elegante.Tamaño soft and medium. Only time a month that I have'll see what makes tough but strong paracer</v>
      </c>
    </row>
    <row r="1125">
      <c r="A1125" s="1">
        <v>5.0</v>
      </c>
      <c r="B1125" s="1" t="s">
        <v>1117</v>
      </c>
      <c r="C1125" t="str">
        <f>IFERROR(__xludf.DUMMYFUNCTION("GOOGLETRANSLATE(B1125, ""es"", ""en"")"),"I love the material is very good quality, and very clean by the material having very complete truth ... And the price seems cheap for all you have ... I recommend it without hesitation")</f>
        <v>I love the material is very good quality, and very clean by the material having very complete truth ... And the price seems cheap for all you have ... I recommend it without hesitation</v>
      </c>
    </row>
    <row r="1126">
      <c r="A1126" s="1">
        <v>2.0</v>
      </c>
      <c r="B1126" s="1" t="s">
        <v>1118</v>
      </c>
      <c r="C1126" t="str">
        <f>IFERROR(__xludf.DUMMYFUNCTION("GOOGLETRANSLATE(B1126, ""es"", ""en"")"),"Start escrbiendo to 70 MB / s and jams being at 13mg / or less well begins writing about 70 MB / s with a large file, but soon slows to about 13 MB / s minimum, ranging between 30 and 13. I checked this several times with different reading discs. When you"&amp;" have a writing time is jumbled, which does not make other flash drives. In addition it heated when working and this is not good to the end I finished returning the two I bought 128.")</f>
        <v>Start escrbiendo to 70 MB / s and jams being at 13mg / or less well begins writing about 70 MB / s with a large file, but soon slows to about 13 MB / s minimum, ranging between 30 and 13. I checked this several times with different reading discs. When you have a writing time is jumbled, which does not make other flash drives. In addition it heated when working and this is not good to the end I finished returning the two I bought 128.</v>
      </c>
    </row>
    <row r="1127">
      <c r="A1127" s="1">
        <v>3.0</v>
      </c>
      <c r="B1127" s="1" t="s">
        <v>1119</v>
      </c>
      <c r="C1127" t="str">
        <f>IFERROR(__xludf.DUMMYFUNCTION("GOOGLETRANSLATE(B1127, ""es"", ""en"")"),"Need super glu are very comfortable and cool but quickly become unstuck. They do not last anything")</f>
        <v>Need super glu are very comfortable and cool but quickly become unstuck. They do not last anything</v>
      </c>
    </row>
    <row r="1128">
      <c r="A1128" s="1">
        <v>3.0</v>
      </c>
      <c r="B1128" s="1" t="s">
        <v>1120</v>
      </c>
      <c r="C1128" t="str">
        <f>IFERROR(__xludf.DUMMYFUNCTION("GOOGLETRANSLATE(B1128, ""es"", ""en"")"),"They are very comfortable improvable but much slip with wet soil and fabric parts are shredded are very fast")</f>
        <v>They are very comfortable improvable but much slip with wet soil and fabric parts are shredded are very fast</v>
      </c>
    </row>
    <row r="1129">
      <c r="A1129" s="1">
        <v>1.0</v>
      </c>
      <c r="B1129" s="1" t="s">
        <v>1121</v>
      </c>
      <c r="C1129" t="str">
        <f>IFERROR(__xludf.DUMMYFUNCTION("GOOGLETRANSLATE(B1129, ""es"", ""en"")"),"Neither scrap have put me how ugly they are")</f>
        <v>Neither scrap have put me how ugly they are</v>
      </c>
    </row>
    <row r="1130">
      <c r="A1130" s="1">
        <v>1.0</v>
      </c>
      <c r="B1130" s="1" t="s">
        <v>1122</v>
      </c>
      <c r="C1130" t="str">
        <f>IFERROR(__xludf.DUMMYFUNCTION("GOOGLETRANSLATE(B1130, ""es"", ""en"")"),"Worthless The day I received the expected durability was good. The material is not bad, the compartments are correct for HD 2.5 ""but when you try to put two, everything changes, is very fair, so the solution is to get one for a lot of free space remainin"&amp;"g. The cover is semi-rigid , is well padded, but the zipper is regrettable. Perhaps to save a HD for life without opening the cover is a very good choice but in my case, in less than one week of use, the zipper broke and now I have to take the cover close"&amp;"d with a pair of rubber bands. I do not recommend this product. for a little more, there are other better.")</f>
        <v>Worthless The day I received the expected durability was good. The material is not bad, the compartments are correct for HD 2.5 "but when you try to put two, everything changes, is very fair, so the solution is to get one for a lot of free space remaining. The cover is semi-rigid , is well padded, but the zipper is regrettable. Perhaps to save a HD for life without opening the cover is a very good choice but in my case, in less than one week of use, the zipper broke and now I have to take the cover closed with a pair of rubber bands. I do not recommend this product. for a little more, there are other better.</v>
      </c>
    </row>
    <row r="1131">
      <c r="A1131" s="1">
        <v>4.0</v>
      </c>
      <c r="B1131" s="1" t="s">
        <v>1123</v>
      </c>
      <c r="C1131" t="str">
        <f>IFERROR(__xludf.DUMMYFUNCTION("GOOGLETRANSLATE(B1131, ""es"", ""en"")"),"The best choice for winter .. Very cool")</f>
        <v>The best choice for winter .. Very cool</v>
      </c>
    </row>
    <row r="1132">
      <c r="A1132" s="1">
        <v>4.0</v>
      </c>
      <c r="B1132" s="1" t="s">
        <v>1124</v>
      </c>
      <c r="C1132" t="str">
        <f>IFERROR(__xludf.DUMMYFUNCTION("GOOGLETRANSLATE(B1132, ""es"", ""en"")"),"Very good quality / price is great, it sounds good for the price and are very comfortable. The only thing I do not like is that slow load. But everything else is great.")</f>
        <v>Very good quality / price is great, it sounds good for the price and are very comfortable. The only thing I do not like is that slow load. But everything else is great.</v>
      </c>
    </row>
    <row r="1133">
      <c r="A1133" s="1">
        <v>4.0</v>
      </c>
      <c r="B1133" s="1" t="s">
        <v>1125</v>
      </c>
      <c r="C1133" t="str">
        <f>IFERROR(__xludf.DUMMYFUNCTION("GOOGLETRANSLATE(B1133, ""es"", ""en"")"),"just what you expect to buy sports shoes run the risk that your size is not the same as in other similar product of another brand. COUNCIL always Probaos slippers that brand you are going to ask (if you can) to make sure the size, a relative, a friend and"&amp;" even the corner store, which will not oblige the probeis you to buy.")</f>
        <v>just what you expect to buy sports shoes run the risk that your size is not the same as in other similar product of another brand. COUNCIL always Probaos slippers that brand you are going to ask (if you can) to make sure the size, a relative, a friend and even the corner store, which will not oblige the probeis you to buy.</v>
      </c>
    </row>
    <row r="1134">
      <c r="A1134" s="1">
        <v>4.0</v>
      </c>
      <c r="B1134" s="1" t="s">
        <v>1126</v>
      </c>
      <c r="C1134" t="str">
        <f>IFERROR(__xludf.DUMMYFUNCTION("GOOGLETRANSLATE(B1134, ""es"", ""en"")"),"Heats up fast and large capacity, easy to wash. I liked the model, which has great capacity and the jar is glass. Warms quickly and have for almost 2 liters. It has a normal weight for the type of product it is. Glass being typically weigh more. I like th"&amp;"e integration of the connector base also, is very uniform. It is easy to clean but if it is true that the kettles always retain water and lime is a bit tedious. But overall good acquisition.")</f>
        <v>Heats up fast and large capacity, easy to wash. I liked the model, which has great capacity and the jar is glass. Warms quickly and have for almost 2 liters. It has a normal weight for the type of product it is. Glass being typically weigh more. I like the integration of the connector base also, is very uniform. It is easy to clean but if it is true that the kettles always retain water and lime is a bit tedious. But overall good acquisition.</v>
      </c>
    </row>
    <row r="1135">
      <c r="A1135" s="1">
        <v>4.0</v>
      </c>
      <c r="B1135" s="1" t="s">
        <v>1127</v>
      </c>
      <c r="C1135" t="str">
        <f>IFERROR(__xludf.DUMMYFUNCTION("GOOGLETRANSLATE(B1135, ""es"", ""en"")"),"Worth the money Very good microphone for the price you obviously is not professional, for that we must spend more pasta, but very good results are achieved. I wanted to record a vocal demos and some acoustic guitar and meets to spare, plus your USB system"&amp;" greatly facilitates direct connection to the PC. The presentation is great, it comes with a case where everything is saved and becomes very comfortable carry from one side to another or simply storage when not in use.")</f>
        <v>Worth the money Very good microphone for the price you obviously is not professional, for that we must spend more pasta, but very good results are achieved. I wanted to record a vocal demos and some acoustic guitar and meets to spare, plus your USB system greatly facilitates direct connection to the PC. The presentation is great, it comes with a case where everything is saved and becomes very comfortable carry from one side to another or simply storage when not in use.</v>
      </c>
    </row>
    <row r="1136">
      <c r="A1136" s="1">
        <v>5.0</v>
      </c>
      <c r="B1136" s="1" t="s">
        <v>1128</v>
      </c>
      <c r="C1136" t="str">
        <f>IFERROR(__xludf.DUMMYFUNCTION("GOOGLETRANSLATE(B1136, ""es"", ""en"")"),"It is ok perfect")</f>
        <v>It is ok perfect</v>
      </c>
    </row>
    <row r="1137">
      <c r="A1137" s="1">
        <v>5.0</v>
      </c>
      <c r="B1137" s="1" t="s">
        <v>1129</v>
      </c>
      <c r="C1137" t="str">
        <f>IFERROR(__xludf.DUMMYFUNCTION("GOOGLETRANSLATE(B1137, ""es"", ""en"")"),"It makes you sweat even if you are sitting watching TV !!! I have little more than a week using it and it is too early to see results but I notice what makes you sweat like never I have never done before any leggings .. at the beginning started to wear it"&amp;" to go to the gym .. and ended up put the dough until at home because it is comfortable and makes you sweat .. hopefully with help of a diet and fitness these leggings can lose Michelín haha ​​.. what if I tell you that makes you sweat even if you are sit"&amp;"ting watching TV is great !!!")</f>
        <v>It makes you sweat even if you are sitting watching TV !!! I have little more than a week using it and it is too early to see results but I notice what makes you sweat like never I have never done before any leggings .. at the beginning started to wear it to go to the gym .. and ended up put the dough until at home because it is comfortable and makes you sweat .. hopefully with help of a diet and fitness these leggings can lose Michelín haha ​​.. what if I tell you that makes you sweat even if you are sitting watching TV is great !!!</v>
      </c>
    </row>
    <row r="1138">
      <c r="A1138" s="1">
        <v>5.0</v>
      </c>
      <c r="B1138" s="1" t="s">
        <v>1130</v>
      </c>
      <c r="C1138" t="str">
        <f>IFERROR(__xludf.DUMMYFUNCTION("GOOGLETRANSLATE(B1138, ""es"", ""en"")"),"Very good quality Excellent choice for electric instruments that we play as guitar or bass. The cable is covered in fabric which gives extra protection that prevents breakage to the stepped on stage, the jack of 6.3mm are of very good quality are hard and"&amp;" resistant metal. I use the cable with several guitars and at no time has noise parasite. recommendable")</f>
        <v>Very good quality Excellent choice for electric instruments that we play as guitar or bass. The cable is covered in fabric which gives extra protection that prevents breakage to the stepped on stage, the jack of 6.3mm are of very good quality are hard and resistant metal. I use the cable with several guitars and at no time has noise parasite. recommendable</v>
      </c>
    </row>
    <row r="1139">
      <c r="A1139" s="1">
        <v>5.0</v>
      </c>
      <c r="B1139" s="1" t="s">
        <v>1131</v>
      </c>
      <c r="C1139" t="str">
        <f>IFERROR(__xludf.DUMMYFUNCTION("GOOGLETRANSLATE(B1139, ""es"", ""en"")"),"😍😍 Super delighted I love 😍😍😍")</f>
        <v>😍😍 Super delighted I love 😍😍😍</v>
      </c>
    </row>
    <row r="1140">
      <c r="A1140" s="1">
        <v>5.0</v>
      </c>
      <c r="B1140" s="1" t="s">
        <v>1132</v>
      </c>
      <c r="C1140" t="str">
        <f>IFERROR(__xludf.DUMMYFUNCTION("GOOGLETRANSLATE(B1140, ""es"", ""en"")"),"I love Precious and as is seen in the photo. It has its hardcover. I bought the first one and then went back to ask for another to give to a friend")</f>
        <v>I love Precious and as is seen in the photo. It has its hardcover. I bought the first one and then went back to ask for another to give to a friend</v>
      </c>
    </row>
    <row r="1141">
      <c r="A1141" s="1">
        <v>5.0</v>
      </c>
      <c r="B1141" s="1" t="s">
        <v>1133</v>
      </c>
      <c r="C1141" t="str">
        <f>IFERROR(__xludf.DUMMYFUNCTION("GOOGLETRANSLATE(B1141, ""es"", ""en"")"),"How well this price and power that has the blender comes nicely packaged meter brings a rod to beat based its adapter, chopping blade and based snacks. Everything is perfectly removable and easy to clean the only downside is that I pray blender Bosc and i"&amp;"s not compatible with this.")</f>
        <v>How well this price and power that has the blender comes nicely packaged meter brings a rod to beat based its adapter, chopping blade and based snacks. Everything is perfectly removable and easy to clean the only downside is that I pray blender Bosc and is not compatible with this.</v>
      </c>
    </row>
    <row r="1142">
      <c r="A1142" s="1">
        <v>5.0</v>
      </c>
      <c r="B1142" s="1" t="s">
        <v>1134</v>
      </c>
      <c r="C1142" t="str">
        <f>IFERROR(__xludf.DUMMYFUNCTION("GOOGLETRANSLATE(B1142, ""es"", ""en"")"),"Just as I expected are very very very good! The advise !! They have enough suction")</f>
        <v>Just as I expected are very very very good! The advise !! They have enough suction</v>
      </c>
    </row>
    <row r="1143">
      <c r="A1143" s="1">
        <v>5.0</v>
      </c>
      <c r="B1143" s="1" t="s">
        <v>1135</v>
      </c>
      <c r="C1143" t="str">
        <f>IFERROR(__xludf.DUMMYFUNCTION("GOOGLETRANSLATE(B1143, ""es"", ""en"")"),"Perfect. Good money in a month or advances or delays.")</f>
        <v>Perfect. Good money in a month or advances or delays.</v>
      </c>
    </row>
    <row r="1144">
      <c r="A1144" s="1">
        <v>5.0</v>
      </c>
      <c r="B1144" s="1" t="s">
        <v>1136</v>
      </c>
      <c r="C1144" t="str">
        <f>IFERROR(__xludf.DUMMYFUNCTION("GOOGLETRANSLATE(B1144, ""es"", ""en"")"),"For the kids love it and it's great for the holidays. Very funny")</f>
        <v>For the kids love it and it's great for the holidays. Very funny</v>
      </c>
    </row>
    <row r="1145">
      <c r="A1145" s="1">
        <v>5.0</v>
      </c>
      <c r="B1145" s="1" t="s">
        <v>1137</v>
      </c>
      <c r="C1145" t="str">
        <f>IFERROR(__xludf.DUMMYFUNCTION("GOOGLETRANSLATE(B1145, ""es"", ""en"")"),"Good quality and comfortable plus a versatile shoe very comfortable and warm in the winter. The size is expected. The borreguito is removed and placed so that it can easily be washed.")</f>
        <v>Good quality and comfortable plus a versatile shoe very comfortable and warm in the winter. The size is expected. The borreguito is removed and placed so that it can easily be washed.</v>
      </c>
    </row>
    <row r="1146">
      <c r="A1146" s="1">
        <v>5.0</v>
      </c>
      <c r="B1146" s="1" t="s">
        <v>1138</v>
      </c>
      <c r="C1146" t="str">
        <f>IFERROR(__xludf.DUMMYFUNCTION("GOOGLETRANSLATE(B1146, ""es"", ""en"")"),"They were delighted to give away. Great buy")</f>
        <v>They were delighted to give away. Great buy</v>
      </c>
    </row>
    <row r="1147">
      <c r="A1147" s="1">
        <v>5.0</v>
      </c>
      <c r="B1147" s="1" t="s">
        <v>1139</v>
      </c>
      <c r="C1147" t="str">
        <f>IFERROR(__xludf.DUMMYFUNCTION("GOOGLETRANSLATE(B1147, ""es"", ""en"")"),"Intense smell Lavender I recently bought an aroma diffuser and was behind a lavender essential oil, which is one of my favorite scents. I decided on this for the price and size. And it was a pleasant surprise, because it smells amazing. Lavender pure. In "&amp;"fact, in the only ingredients puts Lavender oil 100% natural. And I believe it. Thank you.")</f>
        <v>Intense smell Lavender I recently bought an aroma diffuser and was behind a lavender essential oil, which is one of my favorite scents. I decided on this for the price and size. And it was a pleasant surprise, because it smells amazing. Lavender pure. In fact, in the only ingredients puts Lavender oil 100% natural. And I believe it. Thank you.</v>
      </c>
    </row>
    <row r="1148">
      <c r="A1148" s="1">
        <v>5.0</v>
      </c>
      <c r="B1148" s="1" t="s">
        <v>1140</v>
      </c>
      <c r="C1148" t="str">
        <f>IFERROR(__xludf.DUMMYFUNCTION("GOOGLETRANSLATE(B1148, ""es"", ""en"")"),"Normal product that fits their duties")</f>
        <v>Normal product that fits their duties</v>
      </c>
    </row>
    <row r="1149">
      <c r="A1149" s="1">
        <v>5.0</v>
      </c>
      <c r="B1149" s="1" t="s">
        <v>1141</v>
      </c>
      <c r="C1149" t="str">
        <f>IFERROR(__xludf.DUMMYFUNCTION("GOOGLETRANSLATE(B1149, ""es"", ""en"")"),"Support very suitable for gaming Wow, it is the first that I have and the truth is that I find it super comfortable and I along perfectly suited for use when recording or playing online when I'm playing. Overall very comfortable, very versatile and econom"&amp;"ical. Things to note: Easy installation, wide movilida.")</f>
        <v>Support very suitable for gaming Wow, it is the first that I have and the truth is that I find it super comfortable and I along perfectly suited for use when recording or playing online when I'm playing. Overall very comfortable, very versatile and economical. Things to note: Easy installation, wide movilida.</v>
      </c>
    </row>
    <row r="1150">
      <c r="A1150" s="1">
        <v>5.0</v>
      </c>
      <c r="B1150" s="1" t="s">
        <v>1142</v>
      </c>
      <c r="C1150" t="str">
        <f>IFERROR(__xludf.DUMMYFUNCTION("GOOGLETRANSLATE(B1150, ""es"", ""en"")"),"BBB Very good finish and quality")</f>
        <v>BBB Very good finish and quality</v>
      </c>
    </row>
    <row r="1151">
      <c r="A1151" s="1">
        <v>5.0</v>
      </c>
      <c r="B1151" s="1" t="s">
        <v>1143</v>
      </c>
      <c r="C1151" t="str">
        <f>IFERROR(__xludf.DUMMYFUNCTION("GOOGLETRANSLATE(B1151, ""es"", ""en"")"),"Comfortable. I love, I use to work, they are very comfortable.")</f>
        <v>Comfortable. I love, I use to work, they are very comfortable.</v>
      </c>
    </row>
    <row r="1152">
      <c r="A1152" s="1">
        <v>5.0</v>
      </c>
      <c r="B1152" s="1" t="s">
        <v>1144</v>
      </c>
      <c r="C1152" t="str">
        <f>IFERROR(__xludf.DUMMYFUNCTION("GOOGLETRANSLATE(B1152, ""es"", ""en"")"),"Useful Me has served to perfection")</f>
        <v>Useful Me has served to perfection</v>
      </c>
    </row>
    <row r="1153">
      <c r="A1153" s="1">
        <v>5.0</v>
      </c>
      <c r="B1153" s="1" t="s">
        <v>1145</v>
      </c>
      <c r="C1153" t="str">
        <f>IFERROR(__xludf.DUMMYFUNCTION("GOOGLETRANSLATE(B1153, ""es"", ""en"")"),"Entretiempo sweater good size right for me. Looks good job and everything is where it should. It's halftime and the colors and patterns are very cool. Would buy in other colors.")</f>
        <v>Entretiempo sweater good size right for me. Looks good job and everything is where it should. It's halftime and the colors and patterns are very cool. Would buy in other colors.</v>
      </c>
    </row>
    <row r="1154">
      <c r="A1154" s="1">
        <v>5.0</v>
      </c>
      <c r="B1154" s="1" t="s">
        <v>1146</v>
      </c>
      <c r="C1154" t="str">
        <f>IFERROR(__xludf.DUMMYFUNCTION("GOOGLETRANSLATE(B1154, ""es"", ""en"")"),"Nice and makes good coffee. Analog clock that gives you an incredible touch Good coffee, retro design, with mixed metal finishes, plastics and chrome, as well as painted metal, which make it very attractive visually in kitchen. The system of this coffee, "&amp;"takes a coffee pretty good and kept for 40 minutes, and all this shows the process in an analog needle that will be the envy of whom see it. It's really nice. I think it's the biggest attraction of the coffee. The brand has incorporated analog reloges in "&amp;"several of its products to measure the time it takes each in their functions (or degrees centigrade, depending), and it seems precious, particularly to me and my family. Everyone who sees it, it flips out a little. The rest of the coffee, as a glass drip "&amp;"made 1.2 liter glass with enough capacity to handle cold touch, which is held in the tray to warm 35-40 minutes. I think an excellent coffee if you are looking for something out of digital standards we have today, focused primarily on design, with functio"&amp;"nality and quality of products Hobbs.")</f>
        <v>Nice and makes good coffee. Analog clock that gives you an incredible touch Good coffee, retro design, with mixed metal finishes, plastics and chrome, as well as painted metal, which make it very attractive visually in kitchen. The system of this coffee, takes a coffee pretty good and kept for 40 minutes, and all this shows the process in an analog needle that will be the envy of whom see it. It's really nice. I think it's the biggest attraction of the coffee. The brand has incorporated analog reloges in several of its products to measure the time it takes each in their functions (or degrees centigrade, depending), and it seems precious, particularly to me and my family. Everyone who sees it, it flips out a little. The rest of the coffee, as a glass drip made 1.2 liter glass with enough capacity to handle cold touch, which is held in the tray to warm 35-40 minutes. I think an excellent coffee if you are looking for something out of digital standards we have today, focused primarily on design, with functionality and quality of products Hobbs.</v>
      </c>
    </row>
    <row r="1155">
      <c r="A1155" s="1">
        <v>2.0</v>
      </c>
      <c r="B1155" s="1" t="s">
        <v>1147</v>
      </c>
      <c r="C1155" t="str">
        <f>IFERROR(__xludf.DUMMYFUNCTION("GOOGLETRANSLATE(B1155, ""es"", ""en"")"),"Very disappointing as I could not explain heat reaches, but for me this would be the average level of an ideal calientapiés, so always I have to have it to the maximum ... and we're only in October !. The case where you put your feet and you can remove fo"&amp;"r washing is not subject to absolutely nothing, so he constantly moves, twists and turns very uncomfortable. I am not at all satisfied and I regret not having released a lot when I bought it because had returned. Learn from my mistakes 😉")</f>
        <v>Very disappointing as I could not explain heat reaches, but for me this would be the average level of an ideal calientapiés, so always I have to have it to the maximum ... and we're only in October !. The case where you put your feet and you can remove for washing is not subject to absolutely nothing, so he constantly moves, twists and turns very uncomfortable. I am not at all satisfied and I regret not having released a lot when I bought it because had returned. Learn from my mistakes 😉</v>
      </c>
    </row>
    <row r="1156">
      <c r="A1156" s="1">
        <v>3.0</v>
      </c>
      <c r="B1156" s="1" t="s">
        <v>1148</v>
      </c>
      <c r="C1156" t="str">
        <f>IFERROR(__xludf.DUMMYFUNCTION("GOOGLETRANSLATE(B1156, ""es"", ""en"")"),"Well good, I like .. While it might be lighter")</f>
        <v>Well good, I like .. While it might be lighter</v>
      </c>
    </row>
    <row r="1157">
      <c r="A1157" s="1">
        <v>1.0</v>
      </c>
      <c r="B1157" s="1" t="s">
        <v>1149</v>
      </c>
      <c r="C1157" t="str">
        <f>IFERROR(__xludf.DUMMYFUNCTION("GOOGLETRANSLATE(B1157, ""es"", ""en"")"),"Too many failures. Completely agree with the complaints of some users: Verbatim these terrines made in China are of lower quality and reliability manufactured in Taiwan or Singapore, and usually contain a greater number of defective discs that cause probl"&amp;"ems recording and reading.")</f>
        <v>Too many failures. Completely agree with the complaints of some users: Verbatim these terrines made in China are of lower quality and reliability manufactured in Taiwan or Singapore, and usually contain a greater number of defective discs that cause problems recording and reading.</v>
      </c>
    </row>
    <row r="1158">
      <c r="A1158" s="1">
        <v>1.0</v>
      </c>
      <c r="B1158" s="1" t="s">
        <v>1150</v>
      </c>
      <c r="C1158" t="str">
        <f>IFERROR(__xludf.DUMMYFUNCTION("GOOGLETRANSLATE(B1158, ""es"", ""en"")"),"Sommelier Pésima quality disintegrates alone with only touch seems plasticine and had to claim back. I do not recommend")</f>
        <v>Sommelier Pésima quality disintegrates alone with only touch seems plasticine and had to claim back. I do not recommend</v>
      </c>
    </row>
    <row r="1159">
      <c r="A1159" s="1">
        <v>1.0</v>
      </c>
      <c r="B1159" s="1" t="s">
        <v>1151</v>
      </c>
      <c r="C1159" t="str">
        <f>IFERROR(__xludf.DUMMYFUNCTION("GOOGLETRANSLATE(B1159, ""es"", ""en"")"),"Filth. It broke within 1 month in less than a month have stopped working two individual switches therefore turn off power utility does not serve only a few connectors. It is crap. Do not buy it.")</f>
        <v>Filth. It broke within 1 month in less than a month have stopped working two individual switches therefore turn off power utility does not serve only a few connectors. It is crap. Do not buy it.</v>
      </c>
    </row>
    <row r="1160">
      <c r="A1160" s="1">
        <v>4.0</v>
      </c>
      <c r="B1160" s="1" t="s">
        <v>1152</v>
      </c>
      <c r="C1160" t="str">
        <f>IFERROR(__xludf.DUMMYFUNCTION("GOOGLETRANSLATE(B1160, ""es"", ""en"")"),"🙂 For men the size is right for women is great but .... For the price you can not ask for much")</f>
        <v>🙂 For men the size is right for women is great but .... For the price you can not ask for much</v>
      </c>
    </row>
    <row r="1161">
      <c r="A1161" s="1">
        <v>4.0</v>
      </c>
      <c r="B1161" s="1" t="s">
        <v>1153</v>
      </c>
      <c r="C1161" t="str">
        <f>IFERROR(__xludf.DUMMYFUNCTION("GOOGLETRANSLATE(B1161, ""es"", ""en"")"),"Such good buy and as I expected, they are as shown in the photo.")</f>
        <v>Such good buy and as I expected, they are as shown in the photo.</v>
      </c>
    </row>
    <row r="1162">
      <c r="A1162" s="1">
        <v>4.0</v>
      </c>
      <c r="B1162" s="1" t="s">
        <v>1154</v>
      </c>
      <c r="C1162" t="str">
        <f>IFERROR(__xludf.DUMMYFUNCTION("GOOGLETRANSLATE(B1162, ""es"", ""en"")"),"Cheap I liked the design and material, aluminum. The base is not very stable but happy")</f>
        <v>Cheap I liked the design and material, aluminum. The base is not very stable but happy</v>
      </c>
    </row>
    <row r="1163">
      <c r="A1163" s="1">
        <v>4.0</v>
      </c>
      <c r="B1163" s="1" t="s">
        <v>1155</v>
      </c>
      <c r="C1163" t="str">
        <f>IFERROR(__xludf.DUMMYFUNCTION("GOOGLETRANSLATE(B1163, ""es"", ""en"")"),"Are super comfortable are very comfortable")</f>
        <v>Are super comfortable are very comfortable</v>
      </c>
    </row>
    <row r="1164">
      <c r="A1164" s="1">
        <v>4.0</v>
      </c>
      <c r="B1164" s="1" t="s">
        <v>1156</v>
      </c>
      <c r="C1164" t="str">
        <f>IFERROR(__xludf.DUMMYFUNCTION("GOOGLETRANSLATE(B1164, ""es"", ""en"")"),"Good product. It is fast for the 250GB version and easy to install software from the house. But for a little more, buy 500GB.")</f>
        <v>Good product. It is fast for the 250GB version and easy to install software from the house. But for a little more, buy 500GB.</v>
      </c>
    </row>
    <row r="1165">
      <c r="A1165" s="1">
        <v>5.0</v>
      </c>
      <c r="B1165" s="1" t="s">
        <v>1157</v>
      </c>
      <c r="C1165" t="str">
        <f>IFERROR(__xludf.DUMMYFUNCTION("GOOGLETRANSLATE(B1165, ""es"", ""en"")"),"Good, nice and cheap perfect sharpness very comfortable to hold and handle.")</f>
        <v>Good, nice and cheap perfect sharpness very comfortable to hold and handle.</v>
      </c>
    </row>
    <row r="1166">
      <c r="A1166" s="1">
        <v>5.0</v>
      </c>
      <c r="B1166" s="1" t="s">
        <v>1158</v>
      </c>
      <c r="C1166" t="str">
        <f>IFERROR(__xludf.DUMMYFUNCTION("GOOGLETRANSLATE(B1166, ""es"", ""en"")"),"return to see. With these lenses back to repair watches, when you buy something I thought I would but it's much more than I imagined so I do not have to say if I recommend it. OF COURSE.")</f>
        <v>return to see. With these lenses back to repair watches, when you buy something I thought I would but it's much more than I imagined so I do not have to say if I recommend it. OF COURSE.</v>
      </c>
    </row>
    <row r="1167">
      <c r="A1167" s="1">
        <v>5.0</v>
      </c>
      <c r="B1167" s="1" t="s">
        <v>1159</v>
      </c>
      <c r="C1167" t="str">
        <f>IFERROR(__xludf.DUMMYFUNCTION("GOOGLETRANSLATE(B1167, ""es"", ""en"")"),"Cool. Best quality and price. Super comfortable socks. Quality is very good and the price is very good too. I use them to train and are very resistant.")</f>
        <v>Cool. Best quality and price. Super comfortable socks. Quality is very good and the price is very good too. I use them to train and are very resistant.</v>
      </c>
    </row>
    <row r="1168">
      <c r="A1168" s="1">
        <v>5.0</v>
      </c>
      <c r="B1168" s="1" t="s">
        <v>1160</v>
      </c>
      <c r="C1168" t="str">
        <f>IFERROR(__xludf.DUMMYFUNCTION("GOOGLETRANSLATE(B1168, ""es"", ""en"")"),"Only good I have given me once but super clean and soft skin is. It comes well packaged and in a format like the picture. Aver when such take some time using it.")</f>
        <v>Only good I have given me once but super clean and soft skin is. It comes well packaged and in a format like the picture. Aver when such take some time using it.</v>
      </c>
    </row>
    <row r="1169">
      <c r="A1169" s="1">
        <v>5.0</v>
      </c>
      <c r="B1169" s="1" t="s">
        <v>1161</v>
      </c>
      <c r="C1169" t="str">
        <f>IFERROR(__xludf.DUMMYFUNCTION("GOOGLETRANSLATE(B1169, ""es"", ""en"")"),"Piano music is very well meets the ideal espectatibas works great for the kids with plenty of familiar songs and fun")</f>
        <v>Piano music is very well meets the ideal espectatibas works great for the kids with plenty of familiar songs and fun</v>
      </c>
    </row>
    <row r="1170">
      <c r="A1170" s="1">
        <v>5.0</v>
      </c>
      <c r="B1170" s="1" t="s">
        <v>1162</v>
      </c>
      <c r="C1170" t="str">
        <f>IFERROR(__xludf.DUMMYFUNCTION("GOOGLETRANSLATE(B1170, ""es"", ""en"")"),"Great. They are super-lightweight and fit well. When you do not carry plegadis are in a very small space. The Bluetooth works perfectly with my mobile android. I loaded butt from 0 and took about 2 hours.")</f>
        <v>Great. They are super-lightweight and fit well. When you do not carry plegadis are in a very small space. The Bluetooth works perfectly with my mobile android. I loaded butt from 0 and took about 2 hours.</v>
      </c>
    </row>
    <row r="1171">
      <c r="A1171" s="1">
        <v>5.0</v>
      </c>
      <c r="B1171" s="1" t="s">
        <v>1163</v>
      </c>
      <c r="C1171" t="str">
        <f>IFERROR(__xludf.DUMMYFUNCTION("GOOGLETRANSLATE(B1171, ""es"", ""en"")"),"Very good buy. Excellent boot for trekking and hiking. extreme quality materials like Vibram sole and GoreTex membrane. Fully recommended with exceptional value.")</f>
        <v>Very good buy. Excellent boot for trekking and hiking. extreme quality materials like Vibram sole and GoreTex membrane. Fully recommended with exceptional value.</v>
      </c>
    </row>
    <row r="1172">
      <c r="A1172" s="1">
        <v>5.0</v>
      </c>
      <c r="B1172" s="1" t="s">
        <v>1164</v>
      </c>
      <c r="C1172" t="str">
        <f>IFERROR(__xludf.DUMMYFUNCTION("GOOGLETRANSLATE(B1172, ""es"", ""en"")"),"I highly recommend it. I've used it for over a week, which is the perfect size for me. When not using the humidifier, I will light the lights for a beautiful sunset. Only use distilled water in the humidifier, which is good for improving the humidity in t"&amp;"he room where it is. The button works well The dome full of light, and it is a single color or a cycle of all colors, it will issue a wide room and see more beautiful when wet. I highly recommend it.")</f>
        <v>I highly recommend it. I've used it for over a week, which is the perfect size for me. When not using the humidifier, I will light the lights for a beautiful sunset. Only use distilled water in the humidifier, which is good for improving the humidity in the room where it is. The button works well The dome full of light, and it is a single color or a cycle of all colors, it will issue a wide room and see more beautiful when wet. I highly recommend it.</v>
      </c>
    </row>
    <row r="1173">
      <c r="A1173" s="1">
        <v>5.0</v>
      </c>
      <c r="B1173" s="1" t="s">
        <v>1165</v>
      </c>
      <c r="C1173" t="str">
        <f>IFERROR(__xludf.DUMMYFUNCTION("GOOGLETRANSLATE(B1173, ""es"", ""en"")"),"Besides comfortable memória fast (15 hours) delivery checking elsewhere is almost as economical. It works great on my Xiaomi A1, and saved anywhere. Extremely comfortable course")</f>
        <v>Besides comfortable memória fast (15 hours) delivery checking elsewhere is almost as economical. It works great on my Xiaomi A1, and saved anywhere. Extremely comfortable course</v>
      </c>
    </row>
    <row r="1174">
      <c r="A1174" s="1">
        <v>5.0</v>
      </c>
      <c r="B1174" s="1" t="s">
        <v>1166</v>
      </c>
      <c r="C1174" t="str">
        <f>IFERROR(__xludf.DUMMYFUNCTION("GOOGLETRANSLATE(B1174, ""es"", ""en"")"),"Supersilencioso fast and I buy the product as a gift for relatives and was a complete success. It is comfortable and easy to use. Supersilencioso. In addition, as it is stainless steel, combines very well with the rest of the kitchen.")</f>
        <v>Supersilencioso fast and I buy the product as a gift for relatives and was a complete success. It is comfortable and easy to use. Supersilencioso. In addition, as it is stainless steel, combines very well with the rest of the kitchen.</v>
      </c>
    </row>
    <row r="1175">
      <c r="A1175" s="1">
        <v>5.0</v>
      </c>
      <c r="B1175" s="1" t="s">
        <v>1167</v>
      </c>
      <c r="C1175" t="str">
        <f>IFERROR(__xludf.DUMMYFUNCTION("GOOGLETRANSLATE(B1175, ""es"", ""en"")"),"Vans Sk8-hi u SNEAKERS !!!! with capital letters! Is the expected size, are the perfect shoe, very comfortable, it has been a wise purchase.")</f>
        <v>Vans Sk8-hi u SNEAKERS !!!! with capital letters! Is the expected size, are the perfect shoe, very comfortable, it has been a wise purchase.</v>
      </c>
    </row>
    <row r="1176">
      <c r="A1176" s="1">
        <v>5.0</v>
      </c>
      <c r="B1176" s="1" t="s">
        <v>1168</v>
      </c>
      <c r="C1176" t="str">
        <f>IFERROR(__xludf.DUMMYFUNCTION("GOOGLETRANSLATE(B1176, ""es"", ""en"")"),"Good coffee at a good price The truth is that the shipping was very fast, the coffee has very good quality water tank is very easy to fill and design is beautiful (photo attached). Coffee making is fast and has good vapor pressure. We are glad! The bad th"&amp;"ing I can put it that makes some noise at the beginning but then it's fine. For the price it is a wonder, really")</f>
        <v>Good coffee at a good price The truth is that the shipping was very fast, the coffee has very good quality water tank is very easy to fill and design is beautiful (photo attached). Coffee making is fast and has good vapor pressure. We are glad! The bad thing I can put it that makes some noise at the beginning but then it's fine. For the price it is a wonder, really</v>
      </c>
    </row>
    <row r="1177">
      <c r="A1177" s="1">
        <v>5.0</v>
      </c>
      <c r="B1177" s="1" t="s">
        <v>1169</v>
      </c>
      <c r="C1177" t="str">
        <f>IFERROR(__xludf.DUMMYFUNCTION("GOOGLETRANSLATE(B1177, ""es"", ""en"")"),"Good Product that fits the description given, easy to use, indicated storage as opposed to others that what you see, are a scam regarding storage. Finally, a good product with a quality / price very good.")</f>
        <v>Good Product that fits the description given, easy to use, indicated storage as opposed to others that what you see, are a scam regarding storage. Finally, a good product with a quality / price very good.</v>
      </c>
    </row>
    <row r="1178">
      <c r="A1178" s="1">
        <v>5.0</v>
      </c>
      <c r="B1178" s="1" t="s">
        <v>1170</v>
      </c>
      <c r="C1178" t="str">
        <f>IFERROR(__xludf.DUMMYFUNCTION("GOOGLETRANSLATE(B1178, ""es"", ""en"")"),"I love!!!! Very good product! Excellent product value. I followed the sizing chart me like a glove. Comodisimos are very nice. Dancing and have released 4 hours straight ajajaja am very happy and I actually like to see more shoes the same seller. I love!!"&amp;"!!")</f>
        <v>I love!!!! Very good product! Excellent product value. I followed the sizing chart me like a glove. Comodisimos are very nice. Dancing and have released 4 hours straight ajajaja am very happy and I actually like to see more shoes the same seller. I love!!!!</v>
      </c>
    </row>
    <row r="1179">
      <c r="A1179" s="1">
        <v>5.0</v>
      </c>
      <c r="B1179" s="1" t="s">
        <v>1171</v>
      </c>
      <c r="C1179" t="str">
        <f>IFERROR(__xludf.DUMMYFUNCTION("GOOGLETRANSLATE(B1179, ""es"", ""en"")"),"MCarmen buy them for gifts and have quedado.genial, are nicer than in the picture, comfortable and original, grabbed 45.5 size for a foot size 44 and are superbly")</f>
        <v>MCarmen buy them for gifts and have quedado.genial, are nicer than in the picture, comfortable and original, grabbed 45.5 size for a foot size 44 and are superbly</v>
      </c>
    </row>
    <row r="1180">
      <c r="A1180" s="1">
        <v>5.0</v>
      </c>
      <c r="B1180" s="1" t="s">
        <v>1172</v>
      </c>
      <c r="C1180" t="str">
        <f>IFERROR(__xludf.DUMMYFUNCTION("GOOGLETRANSLATE(B1180, ""es"", ""en"")"),"Nacho is a product quite robust and even though some, it's great to have on hand the coins and tidy. The coins come out perfectly each in their correct places. To give customers rapid change is highly recommended and practical.")</f>
        <v>Nacho is a product quite robust and even though some, it's great to have on hand the coins and tidy. The coins come out perfectly each in their correct places. To give customers rapid change is highly recommended and practical.</v>
      </c>
    </row>
    <row r="1181">
      <c r="A1181" s="1">
        <v>5.0</v>
      </c>
      <c r="B1181" s="1" t="s">
        <v>1173</v>
      </c>
      <c r="C1181" t="str">
        <f>IFERROR(__xludf.DUMMYFUNCTION("GOOGLETRANSLATE(B1181, ""es"", ""en"")"),"I would have liked to give me the option to change size Very light but you have to ask na size bigger you are, and I do not like that I was not given the option to change size, only the return")</f>
        <v>I would have liked to give me the option to change size Very light but you have to ask na size bigger you are, and I do not like that I was not given the option to change size, only the return</v>
      </c>
    </row>
    <row r="1182">
      <c r="A1182" s="1">
        <v>5.0</v>
      </c>
      <c r="B1182" s="1" t="s">
        <v>1174</v>
      </c>
      <c r="C1182" t="str">
        <f>IFERROR(__xludf.DUMMYFUNCTION("GOOGLETRANSLATE(B1182, ""es"", ""en"")"),"Speed ​​and perfect condition when arrived I use every day, because I have the fatal back and giving you autonomy movements")</f>
        <v>Speed ​​and perfect condition when arrived I use every day, because I have the fatal back and giving you autonomy movements</v>
      </c>
    </row>
    <row r="1183">
      <c r="A1183" s="1">
        <v>5.0</v>
      </c>
      <c r="B1183" s="1" t="s">
        <v>1175</v>
      </c>
      <c r="C1183" t="str">
        <f>IFERROR(__xludf.DUMMYFUNCTION("GOOGLETRANSLATE(B1183, ""es"", ""en"")"),". It is missing some things like more filters hear very well, but.")</f>
        <v>. It is missing some things like more filters hear very well, but.</v>
      </c>
    </row>
    <row r="1184">
      <c r="A1184" s="1">
        <v>2.0</v>
      </c>
      <c r="B1184" s="1" t="s">
        <v>1176</v>
      </c>
      <c r="C1184" t="str">
        <f>IFERROR(__xludf.DUMMYFUNCTION("GOOGLETRANSLATE(B1184, ""es"", ""en"")"),"Not stable seems useful, but maintains stability with microphone rhode we have.")</f>
        <v>Not stable seems useful, but maintains stability with microphone rhode we have.</v>
      </c>
    </row>
    <row r="1185">
      <c r="A1185" s="1">
        <v>3.0</v>
      </c>
      <c r="B1185" s="1" t="s">
        <v>1177</v>
      </c>
      <c r="C1185" t="str">
        <f>IFERROR(__xludf.DUMMYFUNCTION("GOOGLETRANSLATE(B1185, ""es"", ""en"")"),"THE SMELL IS IMPROVABLE ODOR IS NOT TOO NICE BUT CLEAN WELL")</f>
        <v>THE SMELL IS IMPROVABLE ODOR IS NOT TOO NICE BUT CLEAN WELL</v>
      </c>
    </row>
    <row r="1186">
      <c r="A1186" s="1">
        <v>3.0</v>
      </c>
      <c r="B1186" s="1" t="s">
        <v>1178</v>
      </c>
      <c r="C1186" t="str">
        <f>IFERROR(__xludf.DUMMYFUNCTION("GOOGLETRANSLATE(B1186, ""es"", ""en"")"),"He makes many ""balls"" The pants is fine, but the fabric that is made is leaving clumps around the house. Just one day left to do ...")</f>
        <v>He makes many "balls" The pants is fine, but the fabric that is made is leaving clumps around the house. Just one day left to do ...</v>
      </c>
    </row>
    <row r="1187">
      <c r="A1187" s="1">
        <v>3.0</v>
      </c>
      <c r="B1187" s="1" t="s">
        <v>1179</v>
      </c>
      <c r="C1187" t="str">
        <f>IFERROR(__xludf.DUMMYFUNCTION("GOOGLETRANSLATE(B1187, ""es"", ""en"")"),"Very, very nice they are sooo cool but I had to return them because I remained small. I took a 38 but my size is 37; I like to wear loose (or two pairs of socks) foot. My daughter is 38 and had shrunk fingers to wear them. But hey, this has been my experi"&amp;"ence.")</f>
        <v>Very, very nice they are sooo cool but I had to return them because I remained small. I took a 38 but my size is 37; I like to wear loose (or two pairs of socks) foot. My daughter is 38 and had shrunk fingers to wear them. But hey, this has been my experience.</v>
      </c>
    </row>
    <row r="1188">
      <c r="A1188" s="1">
        <v>1.0</v>
      </c>
      <c r="B1188" s="1" t="s">
        <v>1180</v>
      </c>
      <c r="C1188" t="str">
        <f>IFERROR(__xludf.DUMMYFUNCTION("GOOGLETRANSLATE(B1188, ""es"", ""en"")"),"Little suction power and low quality Disappointing suction power, and after reading other reviews. Vacuum cleaner at first glance it seems that might be fine, but once you put it up missing suction power, very fair quality finishes and accessories as well"&amp;", ""imitation"" of Dyson. Depend on the price, the purchase is more or less pleasant, certainly to me for 300 euros seems expensive, because if you have no strength, I prefer a vacuum cleaner cord and money in your pocket. To me I have not liked anything."&amp;" I've replaced by Dyson and nothing to do, like day and night. Dyson has more power than the old one that had cable, and Roidmi only had more power if the Put them to the maximum, that seemed to take off a plane and lasted over 5 minutes. Bluetooth connec"&amp;"tion did not use, so I can not comment on their performance. The only positive point is the front Roidmi light brush vacuum cleaner. Of course, in my opinion not worth changing a vacuum cleaner that already have at home (albeit cable) to buy this, because"&amp;" you spend money and on top lose effectiveness, little suction power and a battery very Justito")</f>
        <v>Little suction power and low quality Disappointing suction power, and after reading other reviews. Vacuum cleaner at first glance it seems that might be fine, but once you put it up missing suction power, very fair quality finishes and accessories as well, "imitation" of Dyson. Depend on the price, the purchase is more or less pleasant, certainly to me for 300 euros seems expensive, because if you have no strength, I prefer a vacuum cleaner cord and money in your pocket. To me I have not liked anything. I've replaced by Dyson and nothing to do, like day and night. Dyson has more power than the old one that had cable, and Roidmi only had more power if the Put them to the maximum, that seemed to take off a plane and lasted over 5 minutes. Bluetooth connection did not use, so I can not comment on their performance. The only positive point is the front Roidmi light brush vacuum cleaner. Of course, in my opinion not worth changing a vacuum cleaner that already have at home (albeit cable) to buy this, because you spend money and on top lose effectiveness, little suction power and a battery very Justito</v>
      </c>
    </row>
    <row r="1189">
      <c r="A1189" s="1">
        <v>1.0</v>
      </c>
      <c r="B1189" s="1" t="s">
        <v>1181</v>
      </c>
      <c r="C1189" t="str">
        <f>IFERROR(__xludf.DUMMYFUNCTION("GOOGLETRANSLATE(B1189, ""es"", ""en"")"),"Disappointment. Slippers excessively narrow up to the birth of his fingers. Watch out. If purchased recommend trying them thoroughly and return them when in doubt, because if they are very fair, will cause pain.")</f>
        <v>Disappointment. Slippers excessively narrow up to the birth of his fingers. Watch out. If purchased recommend trying them thoroughly and return them when in doubt, because if they are very fair, will cause pain.</v>
      </c>
    </row>
    <row r="1190">
      <c r="A1190" s="1">
        <v>4.0</v>
      </c>
      <c r="B1190" s="1" t="s">
        <v>1182</v>
      </c>
      <c r="C1190" t="str">
        <f>IFERROR(__xludf.DUMMYFUNCTION("GOOGLETRANSLATE(B1190, ""es"", ""en"")"),"Simple, fast and nice We are facing a kettle, retro style and cream color brand Russell Hobbs I'll tell you my impressions and opinions about this product: ►Qué I like Θ Very quick to boil a cup in less than a minute, if we fill the kettle does not reach "&amp;"4 minutes. Good Θ Θ 1.7-liter capacity Easy to use and simple, will not take a minute to know how to use it. Meter water, plug and wait. Θ has a window, level gauges, we can know the level of water in the kettle Θ incorporates a temperature gauge, very us"&amp;"eful if we want to ensure serve the liquid within certain temperature ranges Θ The cream with retro style looks great in any kitchen Θ handle with good grip Θ the nozzle does not drip to serving Θ Very quick to boil a cup in less than a minute, if we fill"&amp;" the kettle does not reach 5 minutes. ►Neutro Θ The kettle is metallic, this means that we must be careful to putting hand on any part other than the handle, as it could take us a scare by heat ►Qué I do not like Θ He cleanliness is not something trivial,"&amp;" since the indicators hinder cleaning Cable Θ short end ►Opinión A simple kettle with retro style and good performance")</f>
        <v>Simple, fast and nice We are facing a kettle, retro style and cream color brand Russell Hobbs I'll tell you my impressions and opinions about this product: ►Qué I like Θ Very quick to boil a cup in less than a minute, if we fill the kettle does not reach 4 minutes. Good Θ Θ 1.7-liter capacity Easy to use and simple, will not take a minute to know how to use it. Meter water, plug and wait. Θ has a window, level gauges, we can know the level of water in the kettle Θ incorporates a temperature gauge, very useful if we want to ensure serve the liquid within certain temperature ranges Θ The cream with retro style looks great in any kitchen Θ handle with good grip Θ the nozzle does not drip to serving Θ Very quick to boil a cup in less than a minute, if we fill the kettle does not reach 5 minutes. ►Neutro Θ The kettle is metallic, this means that we must be careful to putting hand on any part other than the handle, as it could take us a scare by heat ►Qué I do not like Θ He cleanliness is not something trivial, since the indicators hinder cleaning Cable Θ short end ►Opinión A simple kettle with retro style and good performance</v>
      </c>
    </row>
    <row r="1191">
      <c r="A1191" s="1">
        <v>4.0</v>
      </c>
      <c r="B1191" s="1" t="s">
        <v>1183</v>
      </c>
      <c r="C1191" t="str">
        <f>IFERROR(__xludf.DUMMYFUNCTION("GOOGLETRANSLATE(B1191, ""es"", ""en"")"),"Large sizing The sizing is great. The shoes are nice and cómodas.relación quality right price. The next will buy one size smaller.")</f>
        <v>Large sizing The sizing is great. The shoes are nice and cómodas.relación quality right price. The next will buy one size smaller.</v>
      </c>
    </row>
    <row r="1192">
      <c r="A1192" s="1">
        <v>4.0</v>
      </c>
      <c r="B1192" s="1" t="s">
        <v>1184</v>
      </c>
      <c r="C1192" t="str">
        <f>IFERROR(__xludf.DUMMYFUNCTION("GOOGLETRANSLATE(B1192, ""es"", ""en"")"),"Comfortable. Poorly manufactured. They are very comfortable. Hairlines of the design is lifted off the first day.")</f>
        <v>Comfortable. Poorly manufactured. They are very comfortable. Hairlines of the design is lifted off the first day.</v>
      </c>
    </row>
    <row r="1193">
      <c r="A1193" s="1">
        <v>4.0</v>
      </c>
      <c r="B1193" s="1" t="s">
        <v>1185</v>
      </c>
      <c r="C1193" t="str">
        <f>IFERROR(__xludf.DUMMYFUNCTION("GOOGLETRANSLATE(B1193, ""es"", ""en"")"),". It is very nice if and ideal for cold. I had read that was small but it's not true. My boyfriend has 1.83 and 85 large fits a little kilos and L but that's to everyone's taste, he likes more apertado.")</f>
        <v>. It is very nice if and ideal for cold. I had read that was small but it's not true. My boyfriend has 1.83 and 85 large fits a little kilos and L but that's to everyone's taste, he likes more apertado.</v>
      </c>
    </row>
    <row r="1194">
      <c r="A1194" s="1">
        <v>5.0</v>
      </c>
      <c r="B1194" s="1" t="s">
        <v>1186</v>
      </c>
      <c r="C1194" t="str">
        <f>IFERROR(__xludf.DUMMYFUNCTION("GOOGLETRANSLATE(B1194, ""es"", ""en"")"),"Easy to clean at home are some who love smoothies and often ka lazy to clean the Thermomix we did not enjoy them as often as we wanted. We bought a blender with the idea of ​​making 1 to 2 shakes and not have as much to clean junk and the result has nothi"&amp;"ng to send to the thx. In the glass fit 2-3 pieces of fruit, just close the lid and press the glass blade so that the blade does its function. It is strong enough to make it very thin and do not leave pieces. Cleaning is very simple because only two piece"&amp;"s are (cup and lid blade) and as the mouth is large is cleaned very easily with brush bottles. We love because even kids can use them without any risk to cut or pull the glass.")</f>
        <v>Easy to clean at home are some who love smoothies and often ka lazy to clean the Thermomix we did not enjoy them as often as we wanted. We bought a blender with the idea of ​​making 1 to 2 shakes and not have as much to clean junk and the result has nothing to send to the thx. In the glass fit 2-3 pieces of fruit, just close the lid and press the glass blade so that the blade does its function. It is strong enough to make it very thin and do not leave pieces. Cleaning is very simple because only two pieces are (cup and lid blade) and as the mouth is large is cleaned very easily with brush bottles. We love because even kids can use them without any risk to cut or pull the glass.</v>
      </c>
    </row>
    <row r="1195">
      <c r="A1195" s="1">
        <v>5.0</v>
      </c>
      <c r="B1195" s="1" t="s">
        <v>1187</v>
      </c>
      <c r="C1195" t="str">
        <f>IFERROR(__xludf.DUMMYFUNCTION("GOOGLETRANSLATE(B1195, ""es"", ""en"")"),"Good headphones Very good presentation of the product. The box is where headphones are great showing at all times the battery level of each handset. The sound is very good and are comfortable to wear.")</f>
        <v>Good headphones Very good presentation of the product. The box is where headphones are great showing at all times the battery level of each handset. The sound is very good and are comfortable to wear.</v>
      </c>
    </row>
    <row r="1196">
      <c r="A1196" s="1">
        <v>5.0</v>
      </c>
      <c r="B1196" s="1" t="s">
        <v>1188</v>
      </c>
      <c r="C1196" t="str">
        <f>IFERROR(__xludf.DUMMYFUNCTION("GOOGLETRANSLATE(B1196, ""es"", ""en"")"),"Perfect Excellent, excellent quality, quality-adjusted price, packaging and delivery perfect as it always does Amazon")</f>
        <v>Perfect Excellent, excellent quality, quality-adjusted price, packaging and delivery perfect as it always does Amazon</v>
      </c>
    </row>
    <row r="1197">
      <c r="A1197" s="1">
        <v>5.0</v>
      </c>
      <c r="B1197" s="1" t="s">
        <v>1189</v>
      </c>
      <c r="C1197" t="str">
        <f>IFERROR(__xludf.DUMMYFUNCTION("GOOGLETRANSLATE(B1197, ""es"", ""en"")"),"Very elegant, very elegant comes beautifully presented in a box. Ideal for budget detail.")</f>
        <v>Very elegant, very elegant comes beautifully presented in a box. Ideal for budget detail.</v>
      </c>
    </row>
    <row r="1198">
      <c r="A1198" s="1">
        <v>5.0</v>
      </c>
      <c r="B1198" s="1" t="s">
        <v>1190</v>
      </c>
      <c r="C1198" t="str">
        <f>IFERROR(__xludf.DUMMYFUNCTION("GOOGLETRANSLATE(B1198, ""es"", ""en"")"),"Comfortable and calentitas The truth is that they are very comfortable and the best is calentitas they are. If you are cold feet, these are your shoes. Very happy with them.")</f>
        <v>Comfortable and calentitas The truth is that they are very comfortable and the best is calentitas they are. If you are cold feet, these are your shoes. Very happy with them.</v>
      </c>
    </row>
    <row r="1199">
      <c r="A1199" s="1">
        <v>5.0</v>
      </c>
      <c r="B1199" s="1" t="s">
        <v>1191</v>
      </c>
      <c r="C1199" t="str">
        <f>IFERROR(__xludf.DUMMYFUNCTION("GOOGLETRANSLATE(B1199, ""es"", ""en"")"),"Very satisfied with helmets and attention from the seller had my doubts with these helmets (comparisons are odious), but I'm pleasantly surprised. Since you open the box until the treatment received by the store are exceptional. The sound is fairly good, "&amp;"although the issue has serious room for improvement, but there are things you hold them taking into account the price. Comfort and ease of pairing is perfect. Come perfectly packaged with the cargo box, a cable for charging, some cases if you want to give"&amp;" you an colgartelos cord of the neck and an instruction book in several languages ​​(including Spanish). also they bring a card if you have any problems you can get in touch with the seller. Very satisfied with the purchase.")</f>
        <v>Very satisfied with helmets and attention from the seller had my doubts with these helmets (comparisons are odious), but I'm pleasantly surprised. Since you open the box until the treatment received by the store are exceptional. The sound is fairly good, although the issue has serious room for improvement, but there are things you hold them taking into account the price. Comfort and ease of pairing is perfect. Come perfectly packaged with the cargo box, a cable for charging, some cases if you want to give you an colgartelos cord of the neck and an instruction book in several languages ​​(including Spanish). also they bring a card if you have any problems you can get in touch with the seller. Very satisfied with the purchase.</v>
      </c>
    </row>
    <row r="1200">
      <c r="A1200" s="1">
        <v>5.0</v>
      </c>
      <c r="B1200" s="1" t="s">
        <v>1192</v>
      </c>
      <c r="C1200" t="str">
        <f>IFERROR(__xludf.DUMMYFUNCTION("GOOGLETRANSLATE(B1200, ""es"", ""en"")"),"Leopard row beautiful and original Son, took my usual size and I are perfect")</f>
        <v>Leopard row beautiful and original Son, took my usual size and I are perfect</v>
      </c>
    </row>
    <row r="1201">
      <c r="A1201" s="1">
        <v>5.0</v>
      </c>
      <c r="B1201" s="1" t="s">
        <v>1193</v>
      </c>
      <c r="C1201" t="str">
        <f>IFERROR(__xludf.DUMMYFUNCTION("GOOGLETRANSLATE(B1201, ""es"", ""en"")"),"Light, quality and very comfortable sweatpants with which I particularly paddle game. Comfortable, lightweight and good quality finishes.")</f>
        <v>Light, quality and very comfortable sweatpants with which I particularly paddle game. Comfortable, lightweight and good quality finishes.</v>
      </c>
    </row>
    <row r="1202">
      <c r="A1202" s="1">
        <v>5.0</v>
      </c>
      <c r="B1202" s="1" t="s">
        <v>1194</v>
      </c>
      <c r="C1202" t="str">
        <f>IFERROR(__xludf.DUMMYFUNCTION("GOOGLETRANSLATE(B1202, ""es"", ""en"")"),"Drivers hard to find on the internet my pc card does not read cd")</f>
        <v>Drivers hard to find on the internet my pc card does not read cd</v>
      </c>
    </row>
    <row r="1203">
      <c r="A1203" s="1">
        <v>5.0</v>
      </c>
      <c r="B1203" s="1" t="s">
        <v>1195</v>
      </c>
      <c r="C1203" t="str">
        <f>IFERROR(__xludf.DUMMYFUNCTION("GOOGLETRANSLATE(B1203, ""es"", ""en"")"),"XX fits the description.")</f>
        <v>XX fits the description.</v>
      </c>
    </row>
    <row r="1204">
      <c r="A1204" s="1">
        <v>5.0</v>
      </c>
      <c r="B1204" s="1" t="s">
        <v>1196</v>
      </c>
      <c r="C1204" t="str">
        <f>IFERROR(__xludf.DUMMYFUNCTION("GOOGLETRANSLATE(B1204, ""es"", ""en"")"),"Good price and good quality Quality I expected or thicker but no matter being hot to me I'm doing well up for winter")</f>
        <v>Good price and good quality Quality I expected or thicker but no matter being hot to me I'm doing well up for winter</v>
      </c>
    </row>
    <row r="1205">
      <c r="A1205" s="1">
        <v>5.0</v>
      </c>
      <c r="B1205" s="1" t="s">
        <v>1197</v>
      </c>
      <c r="C1205" t="str">
        <f>IFERROR(__xludf.DUMMYFUNCTION("GOOGLETRANSLATE(B1205, ""es"", ""en"")"),"29 GB OTG convenient 29 gb real, perfect size to always wear it on the keys or the like. The only downside is that it is not protected very well, since the protective housing is hollow and can get land, fuzz, water, etc. Also say that when you go to enter"&amp;" into the devices have to put up the housing with the other hand, because it is not fixed and tends to recede. For everything else, it is great.")</f>
        <v>29 GB OTG convenient 29 gb real, perfect size to always wear it on the keys or the like. The only downside is that it is not protected very well, since the protective housing is hollow and can get land, fuzz, water, etc. Also say that when you go to enter into the devices have to put up the housing with the other hand, because it is not fixed and tends to recede. For everything else, it is great.</v>
      </c>
    </row>
    <row r="1206">
      <c r="A1206" s="1">
        <v>5.0</v>
      </c>
      <c r="B1206" s="1" t="s">
        <v>1198</v>
      </c>
      <c r="C1206" t="str">
        <f>IFERROR(__xludf.DUMMYFUNCTION("GOOGLETRANSLATE(B1206, ""es"", ""en"")"),"Oils I'm giving my husband with an aromatic diffuser for the car, what I like most is the natural smell with oils, I tried them all and I love them. With a few drops you at least for a week and left my car with a natural and super nice smell.")</f>
        <v>Oils I'm giving my husband with an aromatic diffuser for the car, what I like most is the natural smell with oils, I tried them all and I love them. With a few drops you at least for a week and left my car with a natural and super nice smell.</v>
      </c>
    </row>
    <row r="1207">
      <c r="A1207" s="1">
        <v>5.0</v>
      </c>
      <c r="B1207" s="1" t="s">
        <v>1199</v>
      </c>
      <c r="C1207" t="str">
        <f>IFERROR(__xludf.DUMMYFUNCTION("GOOGLETRANSLATE(B1207, ""es"", ""en"")"),"Using Bluetooth headsets took all morning and go to perfection, are Comodisimos and attach well to the ear. Tambiéb used them haciebdo sport and not fall as others. They come with several refills pads, USB and case to keep handy.")</f>
        <v>Using Bluetooth headsets took all morning and go to perfection, are Comodisimos and attach well to the ear. Tambiéb used them haciebdo sport and not fall as others. They come with several refills pads, USB and case to keep handy.</v>
      </c>
    </row>
    <row r="1208">
      <c r="A1208" s="1">
        <v>5.0</v>
      </c>
      <c r="B1208" s="1" t="s">
        <v>1200</v>
      </c>
      <c r="C1208" t="str">
        <f>IFERROR(__xludf.DUMMYFUNCTION("GOOGLETRANSLATE(B1208, ""es"", ""en"")"),"I bought the original bezel with a little trepidation since I have an iPhone. And really the best purchase I have ever made regarding Smartwatches. I come from a first generation Apple Watch battery which lasted no longer anything and not actualizaban abo"&amp;"ve. And the perfect q truth. I love the roll that gives the bezel and the clock menu. I managed to answer calls from the watch with Bluetooth and pairing it with the only downside to answer the question of the WhatsApp but everything else I give it a 10 s"&amp;"peaker.")</f>
        <v>I bought the original bezel with a little trepidation since I have an iPhone. And really the best purchase I have ever made regarding Smartwatches. I come from a first generation Apple Watch battery which lasted no longer anything and not actualizaban above. And the perfect q truth. I love the roll that gives the bezel and the clock menu. I managed to answer calls from the watch with Bluetooth and pairing it with the only downside to answer the question of the WhatsApp but everything else I give it a 10 speaker.</v>
      </c>
    </row>
    <row r="1209">
      <c r="A1209" s="1">
        <v>5.0</v>
      </c>
      <c r="B1209" s="1" t="s">
        <v>1201</v>
      </c>
      <c r="C1209" t="str">
        <f>IFERROR(__xludf.DUMMYFUNCTION("GOOGLETRANSLATE(B1209, ""es"", ""en"")"),"good socks socks adidas good and authentic as I expected are comfortable, and good quality Repetire undoubtedly great product")</f>
        <v>good socks socks adidas good and authentic as I expected are comfortable, and good quality Repetire undoubtedly great product</v>
      </c>
    </row>
    <row r="1210">
      <c r="A1210" s="1">
        <v>5.0</v>
      </c>
      <c r="B1210" s="1" t="s">
        <v>1202</v>
      </c>
      <c r="C1210" t="str">
        <f>IFERROR(__xludf.DUMMYFUNCTION("GOOGLETRANSLATE(B1210, ""es"", ""en"")"),"well buy these staples Stapler and perfect staples at a great price")</f>
        <v>well buy these staples Stapler and perfect staples at a great price</v>
      </c>
    </row>
    <row r="1211">
      <c r="A1211" s="1">
        <v>5.0</v>
      </c>
      <c r="B1211" s="1" t="s">
        <v>1203</v>
      </c>
      <c r="C1211" t="str">
        <f>IFERROR(__xludf.DUMMYFUNCTION("GOOGLETRANSLATE(B1211, ""es"", ""en"")"),"I love working 8 hours walking unable to sit. A home arriving just think massages that relieve pain me legs and feet without taking pills")</f>
        <v>I love working 8 hours walking unable to sit. A home arriving just think massages that relieve pain me legs and feet without taking pills</v>
      </c>
    </row>
    <row r="1212">
      <c r="A1212" s="1">
        <v>2.0</v>
      </c>
      <c r="B1212" s="1" t="s">
        <v>1204</v>
      </c>
      <c r="C1212" t="str">
        <f>IFERROR(__xludf.DUMMYFUNCTION("GOOGLETRANSLATE(B1212, ""es"", ""en"")"),"Hanging seem to me very very small nothing to do as the photos are a gift for a little girl is fine but not for a woman")</f>
        <v>Hanging seem to me very very small nothing to do as the photos are a gift for a little girl is fine but not for a woman</v>
      </c>
    </row>
    <row r="1213">
      <c r="A1213" s="1">
        <v>3.0</v>
      </c>
      <c r="B1213" s="1" t="s">
        <v>1205</v>
      </c>
      <c r="C1213" t="str">
        <f>IFERROR(__xludf.DUMMYFUNCTION("GOOGLETRANSLATE(B1213, ""es"", ""en"")"),"PROFICOOK SM 1094 is correct. For my taste, it is too heavy and vibrates enough, imagine for its power. I just tried to beat fruit and orange has been somewhat stuck in the holes of the nozzle have gone to the wash. According to my partner, weighs because"&amp;" it is semi-professional and last a lifetime. We will have to see it.")</f>
        <v>PROFICOOK SM 1094 is correct. For my taste, it is too heavy and vibrates enough, imagine for its power. I just tried to beat fruit and orange has been somewhat stuck in the holes of the nozzle have gone to the wash. According to my partner, weighs because it is semi-professional and last a lifetime. We will have to see it.</v>
      </c>
    </row>
    <row r="1214">
      <c r="A1214" s="1">
        <v>1.0</v>
      </c>
      <c r="B1214" s="1" t="s">
        <v>1206</v>
      </c>
      <c r="C1214" t="str">
        <f>IFERROR(__xludf.DUMMYFUNCTION("GOOGLETRANSLATE(B1214, ""es"", ""en"")"),"The sound of music with distortion and noise. When the music plays the voice of the microphones is heard. This works very bad karaoke. I do not know if it's fault or it's that bad. the Do not advise anyone. Of course you have not met my expectations sligh"&amp;"test.")</f>
        <v>The sound of music with distortion and noise. When the music plays the voice of the microphones is heard. This works very bad karaoke. I do not know if it's fault or it's that bad. the Do not advise anyone. Of course you have not met my expectations slightest.</v>
      </c>
    </row>
    <row r="1215">
      <c r="A1215" s="1">
        <v>1.0</v>
      </c>
      <c r="B1215" s="1" t="s">
        <v>1207</v>
      </c>
      <c r="C1215" t="str">
        <f>IFERROR(__xludf.DUMMYFUNCTION("GOOGLETRANSLATE(B1215, ""es"", ""en"")"),"Can not stand not engage well")</f>
        <v>Can not stand not engage well</v>
      </c>
    </row>
    <row r="1216">
      <c r="A1216" s="1">
        <v>4.0</v>
      </c>
      <c r="B1216" s="1" t="s">
        <v>1208</v>
      </c>
      <c r="C1216" t="str">
        <f>IFERROR(__xludf.DUMMYFUNCTION("GOOGLETRANSLATE(B1216, ""es"", ""en"")"),"Discreet pendant heart is very small and rotated several times.")</f>
        <v>Discreet pendant heart is very small and rotated several times.</v>
      </c>
    </row>
    <row r="1217">
      <c r="A1217" s="1">
        <v>4.0</v>
      </c>
      <c r="B1217" s="1" t="s">
        <v>1209</v>
      </c>
      <c r="C1217" t="str">
        <f>IFERROR(__xludf.DUMMYFUNCTION("GOOGLETRANSLATE(B1217, ""es"", ""en"")"),"Bottles are well pleased, follow the line of the MAM we use with small when it was smaller. For you bring them a but, they do not dismantle the bottom and are more complicated to clean.")</f>
        <v>Bottles are well pleased, follow the line of the MAM we use with small when it was smaller. For you bring them a but, they do not dismantle the bottom and are more complicated to clean.</v>
      </c>
    </row>
    <row r="1218">
      <c r="A1218" s="1">
        <v>4.0</v>
      </c>
      <c r="B1218" s="1" t="s">
        <v>1210</v>
      </c>
      <c r="C1218" t="str">
        <f>IFERROR(__xludf.DUMMYFUNCTION("GOOGLETRANSLATE(B1218, ""es"", ""en"")"),"Good performance Good quality price")</f>
        <v>Good performance Good quality price</v>
      </c>
    </row>
    <row r="1219">
      <c r="A1219" s="1">
        <v>4.0</v>
      </c>
      <c r="B1219" s="1" t="s">
        <v>1211</v>
      </c>
      <c r="C1219" t="str">
        <f>IFERROR(__xludf.DUMMYFUNCTION("GOOGLETRANSLATE(B1219, ""es"", ""en"")"),"Good jacket, not too cold. The parka is very nice, feel good and good materials are noticed. Defects would indicate the absence of any Zipper closure in more pockets and I think could use some more padding in the jacket itself, it does not seem to be appr"&amp;"opriate for really low temperatures.")</f>
        <v>Good jacket, not too cold. The parka is very nice, feel good and good materials are noticed. Defects would indicate the absence of any Zipper closure in more pockets and I think could use some more padding in the jacket itself, it does not seem to be appropriate for really low temperatures.</v>
      </c>
    </row>
    <row r="1220">
      <c r="A1220" s="1">
        <v>4.0</v>
      </c>
      <c r="B1220" s="1" t="s">
        <v>1212</v>
      </c>
      <c r="C1220" t="str">
        <f>IFERROR(__xludf.DUMMYFUNCTION("GOOGLETRANSLATE(B1220, ""es"", ""en"")"),"All right least one plant One thing is somewhat harder than the other. Yeah, it's weird. But hey, they are comfortable and in good condition.")</f>
        <v>All right least one plant One thing is somewhat harder than the other. Yeah, it's weird. But hey, they are comfortable and in good condition.</v>
      </c>
    </row>
    <row r="1221">
      <c r="A1221" s="1">
        <v>5.0</v>
      </c>
      <c r="B1221" s="1" t="s">
        <v>1213</v>
      </c>
      <c r="C1221" t="str">
        <f>IFERROR(__xludf.DUMMYFUNCTION("GOOGLETRANSLATE(B1221, ""es"", ""en"")"),"Very very good I love, is ideal")</f>
        <v>Very very good I love, is ideal</v>
      </c>
    </row>
    <row r="1222">
      <c r="A1222" s="1">
        <v>5.0</v>
      </c>
      <c r="B1222" s="1" t="s">
        <v>1214</v>
      </c>
      <c r="C1222" t="str">
        <f>IFERROR(__xludf.DUMMYFUNCTION("GOOGLETRANSLATE(B1222, ""es"", ""en"")"),"As simple as helpful a simple idea and inexpensive but extremely effective to have well collected cables when not in use. Very useful.")</f>
        <v>As simple as helpful a simple idea and inexpensive but extremely effective to have well collected cables when not in use. Very useful.</v>
      </c>
    </row>
    <row r="1223">
      <c r="A1223" s="1">
        <v>5.0</v>
      </c>
      <c r="B1223" s="1" t="s">
        <v>1215</v>
      </c>
      <c r="C1223" t="str">
        <f>IFERROR(__xludf.DUMMYFUNCTION("GOOGLETRANSLATE(B1223, ""es"", ""en"")"),"Best for colic With these bottles drank a lot less air. A water valve center clean well. When used cereal and better not to use this")</f>
        <v>Best for colic With these bottles drank a lot less air. A water valve center clean well. When used cereal and better not to use this</v>
      </c>
    </row>
    <row r="1224">
      <c r="A1224" s="1">
        <v>5.0</v>
      </c>
      <c r="B1224" s="1" t="s">
        <v>1216</v>
      </c>
      <c r="C1224" t="str">
        <f>IFERROR(__xludf.DUMMYFUNCTION("GOOGLETRANSLATE(B1224, ""es"", ""en"")"),"Very good buy The quality of the finish and look very good resistance. It is simple and useful the same time. Very good size with two lenses and LED lights. It comes with everything you need for cleaning and storage it can be without being damaged. Buy it"&amp;" to read the tiny print of the rules for using DIY products. Nice to have bought.")</f>
        <v>Very good buy The quality of the finish and look very good resistance. It is simple and useful the same time. Very good size with two lenses and LED lights. It comes with everything you need for cleaning and storage it can be without being damaged. Buy it to read the tiny print of the rules for using DIY products. Nice to have bought.</v>
      </c>
    </row>
    <row r="1225">
      <c r="A1225" s="1">
        <v>5.0</v>
      </c>
      <c r="B1225" s="1" t="s">
        <v>1217</v>
      </c>
      <c r="C1225" t="str">
        <f>IFERROR(__xludf.DUMMYFUNCTION("GOOGLETRANSLATE(B1225, ""es"", ""en"")"),"Perfect for price Watch is perfect for the price we bought it. It fits perfectly to the wrist of whoever without having to take it to the shop. Perfect")</f>
        <v>Perfect for price Watch is perfect for the price we bought it. It fits perfectly to the wrist of whoever without having to take it to the shop. Perfect</v>
      </c>
    </row>
    <row r="1226">
      <c r="A1226" s="1">
        <v>5.0</v>
      </c>
      <c r="B1226" s="1" t="s">
        <v>1218</v>
      </c>
      <c r="C1226" t="str">
        <f>IFERROR(__xludf.DUMMYFUNCTION("GOOGLETRANSLATE(B1226, ""es"", ""en"")"),"Very good quality very comfortable, ligueras .... the only downside that are not waterproof and if you work with abrasive fluids can run risk of reaching the skin")</f>
        <v>Very good quality very comfortable, ligueras .... the only downside that are not waterproof and if you work with abrasive fluids can run risk of reaching the skin</v>
      </c>
    </row>
    <row r="1227">
      <c r="A1227" s="1">
        <v>5.0</v>
      </c>
      <c r="B1227" s="1" t="s">
        <v>1219</v>
      </c>
      <c r="C1227" t="str">
        <f>IFERROR(__xludf.DUMMYFUNCTION("GOOGLETRANSLATE(B1227, ""es"", ""en"")"),"Perfect delivers what it promises, a subfolder of sturdy cardboard, just what I was looking for.")</f>
        <v>Perfect delivers what it promises, a subfolder of sturdy cardboard, just what I was looking for.</v>
      </c>
    </row>
    <row r="1228">
      <c r="A1228" s="1">
        <v>5.0</v>
      </c>
      <c r="B1228" s="1" t="s">
        <v>1220</v>
      </c>
      <c r="C1228" t="str">
        <f>IFERROR(__xludf.DUMMYFUNCTION("GOOGLETRANSLATE(B1228, ""es"", ""en"")"),"Comfortable enough for my use")</f>
        <v>Comfortable enough for my use</v>
      </c>
    </row>
    <row r="1229">
      <c r="A1229" s="1">
        <v>5.0</v>
      </c>
      <c r="B1229" s="1" t="s">
        <v>1221</v>
      </c>
      <c r="C1229" t="str">
        <f>IFERROR(__xludf.DUMMYFUNCTION("GOOGLETRANSLATE(B1229, ""es"", ""en"")"),"Great headphones for children My children use the iPad at school daily and these are the headphones I bought them. Van's backpack schoolbag, and display them umpteen times and there still fold. When spoil those who have, I bought another same !!")</f>
        <v>Great headphones for children My children use the iPad at school daily and these are the headphones I bought them. Van's backpack schoolbag, and display them umpteen times and there still fold. When spoil those who have, I bought another same !!</v>
      </c>
    </row>
    <row r="1230">
      <c r="A1230" s="1">
        <v>5.0</v>
      </c>
      <c r="B1230" s="1" t="s">
        <v>1222</v>
      </c>
      <c r="C1230" t="str">
        <f>IFERROR(__xludf.DUMMYFUNCTION("GOOGLETRANSLATE(B1230, ""es"", ""en"")"),"100% recommended are super good, comfortable, harbor a lot to having the pelito inside, do not slip, they arrived super fast, well packaged. They are easy to clean, and came perfect size, all perfect !! Recommended 100% without any doubt.")</f>
        <v>100% recommended are super good, comfortable, harbor a lot to having the pelito inside, do not slip, they arrived super fast, well packaged. They are easy to clean, and came perfect size, all perfect !! Recommended 100% without any doubt.</v>
      </c>
    </row>
    <row r="1231">
      <c r="A1231" s="1">
        <v>5.0</v>
      </c>
      <c r="B1231" s="1" t="s">
        <v>1223</v>
      </c>
      <c r="C1231" t="str">
        <f>IFERROR(__xludf.DUMMYFUNCTION("GOOGLETRANSLATE(B1231, ""es"", ""en"")"),"They have met expectations. They were to give them to my husband and he loved it. They are very comfortable and the size corresponds to its usual size.")</f>
        <v>They have met expectations. They were to give them to my husband and he loved it. They are very comfortable and the size corresponds to its usual size.</v>
      </c>
    </row>
    <row r="1232">
      <c r="A1232" s="1">
        <v>5.0</v>
      </c>
      <c r="B1232" s="1" t="s">
        <v>1224</v>
      </c>
      <c r="C1232" t="str">
        <f>IFERROR(__xludf.DUMMYFUNCTION("GOOGLETRANSLATE(B1232, ""es"", ""en"")"),"I recommend it! It was a gift for my daughter and fulfilled all expectations. Good quality and original. It is giving much use and is height.")</f>
        <v>I recommend it! It was a gift for my daughter and fulfilled all expectations. Good quality and original. It is giving much use and is height.</v>
      </c>
    </row>
    <row r="1233">
      <c r="A1233" s="1">
        <v>5.0</v>
      </c>
      <c r="B1233" s="1" t="s">
        <v>1225</v>
      </c>
      <c r="C1233" t="str">
        <f>IFERROR(__xludf.DUMMYFUNCTION("GOOGLETRANSLATE(B1233, ""es"", ""en"")"),"Quick to use I bought because I love smoothies for breakfast and I find it super-practical and easy to use-clean. Resistant materials are noticed and good quality, I used both natural and frozen fruit juices, to prepare a sauce.")</f>
        <v>Quick to use I bought because I love smoothies for breakfast and I find it super-practical and easy to use-clean. Resistant materials are noticed and good quality, I used both natural and frozen fruit juices, to prepare a sauce.</v>
      </c>
    </row>
    <row r="1234">
      <c r="A1234" s="1">
        <v>5.0</v>
      </c>
      <c r="B1234" s="1" t="s">
        <v>1226</v>
      </c>
      <c r="C1234" t="str">
        <f>IFERROR(__xludf.DUMMYFUNCTION("GOOGLETRANSLATE(B1234, ""es"", ""en"")"),"Very comfortable sweatpants for sports because they adapt perfectly to the movement, has two pockets that come in handy for keeping keys or phone The fabric is high quality")</f>
        <v>Very comfortable sweatpants for sports because they adapt perfectly to the movement, has two pockets that come in handy for keeping keys or phone The fabric is high quality</v>
      </c>
    </row>
    <row r="1235">
      <c r="A1235" s="1">
        <v>5.0</v>
      </c>
      <c r="B1235" s="1" t="s">
        <v>1227</v>
      </c>
      <c r="C1235" t="str">
        <f>IFERROR(__xludf.DUMMYFUNCTION("GOOGLETRANSLATE(B1235, ""es"", ""en"")"),"Buneas Good price, I think there q.pedir a number .I did so.")</f>
        <v>Buneas Good price, I think there q.pedir a number .I did so.</v>
      </c>
    </row>
    <row r="1236">
      <c r="A1236" s="1">
        <v>5.0</v>
      </c>
      <c r="B1236" s="1" t="s">
        <v>1228</v>
      </c>
      <c r="C1236" t="str">
        <f>IFERROR(__xludf.DUMMYFUNCTION("GOOGLETRANSLATE(B1236, ""es"", ""en"")"),"Good quality and price I like their quality and aesthetically. The small tray for roasting is that you can put up a good idea to reheat or defrost pan. Overall a good buy")</f>
        <v>Good quality and price I like their quality and aesthetically. The small tray for roasting is that you can put up a good idea to reheat or defrost pan. Overall a good buy</v>
      </c>
    </row>
    <row r="1237">
      <c r="A1237" s="1">
        <v>5.0</v>
      </c>
      <c r="B1237" s="1" t="s">
        <v>1229</v>
      </c>
      <c r="C1237" t="str">
        <f>IFERROR(__xludf.DUMMYFUNCTION("GOOGLETRANSLATE(B1237, ""es"", ""en"")"),"Very good buy I give it 5 stars without any hesitation, I bought because it was the best valuation had and I must say it did not disappoint me. I'm using to make gazpacho and leaves skin completely crushed tomatoes, not noticeable, so I save enough time n"&amp;"ot having to peel tomatoes. It is also great for making vegetable creams, as the leaves very finite, and my children are great and I have also made them fruit smoothies and are happy. In addition, the carrying accessory to take your shakes also going very"&amp;" well and I'm giving a lot of use. Ninguan recommend the purchase without doubt.")</f>
        <v>Very good buy I give it 5 stars without any hesitation, I bought because it was the best valuation had and I must say it did not disappoint me. I'm using to make gazpacho and leaves skin completely crushed tomatoes, not noticeable, so I save enough time not having to peel tomatoes. It is also great for making vegetable creams, as the leaves very finite, and my children are great and I have also made them fruit smoothies and are happy. In addition, the carrying accessory to take your shakes also going very well and I'm giving a lot of use. Ninguan recommend the purchase without doubt.</v>
      </c>
    </row>
    <row r="1238">
      <c r="A1238" s="1">
        <v>5.0</v>
      </c>
      <c r="B1238" s="1" t="s">
        <v>1230</v>
      </c>
      <c r="C1238" t="str">
        <f>IFERROR(__xludf.DUMMYFUNCTION("GOOGLETRANSLATE(B1238, ""es"", ""en"")"),"A classic at an unbeatable price there is little to say about these shoes, a classic that never gets old! In addition to a great price for the offer ... very happy!")</f>
        <v>A classic at an unbeatable price there is little to say about these shoes, a classic that never gets old! In addition to a great price for the offer ... very happy!</v>
      </c>
    </row>
    <row r="1239">
      <c r="A1239" s="1">
        <v>5.0</v>
      </c>
      <c r="B1239" s="1" t="s">
        <v>1231</v>
      </c>
      <c r="C1239" t="str">
        <f>IFERROR(__xludf.DUMMYFUNCTION("GOOGLETRANSLATE(B1239, ""es"", ""en"")"),"Ideal Product like the picture, the material is resistant")</f>
        <v>Ideal Product like the picture, the material is resistant</v>
      </c>
    </row>
    <row r="1240">
      <c r="A1240" s="1">
        <v>2.0</v>
      </c>
      <c r="B1240" s="1" t="s">
        <v>1232</v>
      </c>
      <c r="C1240" t="str">
        <f>IFERROR(__xludf.DUMMYFUNCTION("GOOGLETRANSLATE(B1240, ""es"", ""en"")"),"I would not buy to hang things tactically weighing not working properly but nothing great pictures to put a penalty not a disappointment.")</f>
        <v>I would not buy to hang things tactically weighing not working properly but nothing great pictures to put a penalty not a disappointment.</v>
      </c>
    </row>
    <row r="1241">
      <c r="A1241" s="1">
        <v>3.0</v>
      </c>
      <c r="B1241" s="1" t="s">
        <v>1233</v>
      </c>
      <c r="C1241" t="str">
        <f>IFERROR(__xludf.DUMMYFUNCTION("GOOGLETRANSLATE(B1241, ""es"", ""en"")"),"very cool but broke the next day have loved my daughter and her crumb. but he broke in 1 day")</f>
        <v>very cool but broke the next day have loved my daughter and her crumb. but he broke in 1 day</v>
      </c>
    </row>
    <row r="1242">
      <c r="A1242" s="1">
        <v>3.0</v>
      </c>
      <c r="B1242" s="1" t="s">
        <v>1234</v>
      </c>
      <c r="C1242" t="str">
        <f>IFERROR(__xludf.DUMMYFUNCTION("GOOGLETRANSLATE(B1242, ""es"", ""en"")"),"Bambas not as comfortable as I expected to be a clarks")</f>
        <v>Bambas not as comfortable as I expected to be a clarks</v>
      </c>
    </row>
    <row r="1243">
      <c r="A1243" s="1">
        <v>1.0</v>
      </c>
      <c r="B1243" s="1" t="s">
        <v>1235</v>
      </c>
      <c r="C1243" t="str">
        <f>IFERROR(__xludf.DUMMYFUNCTION("GOOGLETRANSLATE(B1243, ""es"", ""en"")"),"I bought shoddy being the only one found compatible with the Ballerina stick. Fits great but is very bad quality and loofah lasted less than a month, the green part is lifted in a few weeks.")</f>
        <v>I bought shoddy being the only one found compatible with the Ballerina stick. Fits great but is very bad quality and loofah lasted less than a month, the green part is lifted in a few weeks.</v>
      </c>
    </row>
    <row r="1244">
      <c r="A1244" s="1">
        <v>1.0</v>
      </c>
      <c r="B1244" s="1" t="s">
        <v>1236</v>
      </c>
      <c r="C1244" t="str">
        <f>IFERROR(__xludf.DUMMYFUNCTION("GOOGLETRANSLATE(B1244, ""es"", ""en"")"),"Poor quality is not very good")</f>
        <v>Poor quality is not very good</v>
      </c>
    </row>
    <row r="1245">
      <c r="A1245" s="1">
        <v>4.0</v>
      </c>
      <c r="B1245" s="1" t="s">
        <v>1237</v>
      </c>
      <c r="C1245" t="str">
        <f>IFERROR(__xludf.DUMMYFUNCTION("GOOGLETRANSLATE(B1245, ""es"", ""en"")"),"Good buy The truth is they are very comfortable. I'm happy with the purchase. I recommend them. The sizing is a little confusing ....")</f>
        <v>Good buy The truth is they are very comfortable. I'm happy with the purchase. I recommend them. The sizing is a little confusing ....</v>
      </c>
    </row>
    <row r="1246">
      <c r="A1246" s="1">
        <v>4.0</v>
      </c>
      <c r="B1246" s="1" t="s">
        <v>1238</v>
      </c>
      <c r="C1246" t="str">
        <f>IFERROR(__xludf.DUMMYFUNCTION("GOOGLETRANSLATE(B1246, ""es"", ""en"")"),"But for me it broke a blender and I caught it. Has 20 speeds and a button that gives all the power, I thought I would always use that instead soil but putting it at low levels and ever hit the ""turbo"" button. For me a purchase 10 also brings the typical"&amp;" glass blender and grinder.")</f>
        <v>But for me it broke a blender and I caught it. Has 20 speeds and a button that gives all the power, I thought I would always use that instead soil but putting it at low levels and ever hit the "turbo" button. For me a purchase 10 also brings the typical glass blender and grinder.</v>
      </c>
    </row>
    <row r="1247">
      <c r="A1247" s="1">
        <v>4.0</v>
      </c>
      <c r="B1247" s="1" t="s">
        <v>1239</v>
      </c>
      <c r="C1247" t="str">
        <f>IFERROR(__xludf.DUMMYFUNCTION("GOOGLETRANSLATE(B1247, ""es"", ""en"")"),"Good price and comfortable to use with projectors is very comfortable to use and hold in hand while doing presentations. What I liked is not the pointer does not work on digital screens; I see by Amazon and a user assured me yes and so I decided on this m"&amp;"odel, but it is not true. I would not work with Google presentations with Power Point only. The USB is very small, which I not comfortable when put on the digital display attached to a wall. When I have used with a projector it has been much more comforta"&amp;"ble.")</f>
        <v>Good price and comfortable to use with projectors is very comfortable to use and hold in hand while doing presentations. What I liked is not the pointer does not work on digital screens; I see by Amazon and a user assured me yes and so I decided on this model, but it is not true. I would not work with Google presentations with Power Point only. The USB is very small, which I not comfortable when put on the digital display attached to a wall. When I have used with a projector it has been much more comfortable.</v>
      </c>
    </row>
    <row r="1248">
      <c r="A1248" s="1">
        <v>4.0</v>
      </c>
      <c r="B1248" s="1" t="s">
        <v>1240</v>
      </c>
      <c r="C1248" t="str">
        <f>IFERROR(__xludf.DUMMYFUNCTION("GOOGLETRANSLATE(B1248, ""es"", ""en"")"),"I tested only works properly VGA and HDMI on a MacBookPro and works well. I can not say the resolution that always works because I plug in a small monitor not much resolution")</f>
        <v>I tested only works properly VGA and HDMI on a MacBookPro and works well. I can not say the resolution that always works because I plug in a small monitor not much resolution</v>
      </c>
    </row>
    <row r="1249">
      <c r="A1249" s="1">
        <v>4.0</v>
      </c>
      <c r="B1249" s="1" t="s">
        <v>1241</v>
      </c>
      <c r="C1249" t="str">
        <f>IFERROR(__xludf.DUMMYFUNCTION("GOOGLETRANSLATE(B1249, ""es"", ""en"")"),"very good value for money are heard very good and pairing with mobile super fast, I do not get it 5 stars because running out of my ears. but very good for static or walk")</f>
        <v>very good value for money are heard very good and pairing with mobile super fast, I do not get it 5 stars because running out of my ears. but very good for static or walk</v>
      </c>
    </row>
    <row r="1250">
      <c r="A1250" s="1">
        <v>5.0</v>
      </c>
      <c r="B1250" s="1" t="s">
        <v>1242</v>
      </c>
      <c r="C1250" t="str">
        <f>IFERROR(__xludf.DUMMYFUNCTION("GOOGLETRANSLATE(B1250, ""es"", ""en"")"),"You are perfect! I love!! As Picture")</f>
        <v>You are perfect! I love!! As Picture</v>
      </c>
    </row>
    <row r="1251">
      <c r="A1251" s="1">
        <v>5.0</v>
      </c>
      <c r="B1251" s="1" t="s">
        <v>1243</v>
      </c>
      <c r="C1251" t="str">
        <f>IFERROR(__xludf.DUMMYFUNCTION("GOOGLETRANSLATE(B1251, ""es"", ""en"")"),"I love my cost 8 euros (size 38). I do not think I will find them at that price. I wish I'd been at that price the 36")</f>
        <v>I love my cost 8 euros (size 38). I do not think I will find them at that price. I wish I'd been at that price the 36</v>
      </c>
    </row>
    <row r="1252">
      <c r="A1252" s="1">
        <v>5.0</v>
      </c>
      <c r="B1252" s="1" t="s">
        <v>1244</v>
      </c>
      <c r="C1252" t="str">
        <f>IFERROR(__xludf.DUMMYFUNCTION("GOOGLETRANSLATE(B1252, ""es"", ""en"")"),"I love! I definitely think it was the best mic I've ever had, better than jeti even blue. I recomendadísimo!")</f>
        <v>I love! I definitely think it was the best mic I've ever had, better than jeti even blue. I recomendadísimo!</v>
      </c>
    </row>
    <row r="1253">
      <c r="A1253" s="1">
        <v>5.0</v>
      </c>
      <c r="B1253" s="1" t="s">
        <v>1245</v>
      </c>
      <c r="C1253" t="str">
        <f>IFERROR(__xludf.DUMMYFUNCTION("GOOGLETRANSLATE(B1253, ""es"", ""en"")"),"Excellent Excellent watch, is very comfortable and gives the feeling that not wearing, is lightweight and does not bother.")</f>
        <v>Excellent Excellent watch, is very comfortable and gives the feeling that not wearing, is lightweight and does not bother.</v>
      </c>
    </row>
    <row r="1254">
      <c r="A1254" s="1">
        <v>5.0</v>
      </c>
      <c r="B1254" s="1" t="s">
        <v>1246</v>
      </c>
      <c r="C1254" t="str">
        <f>IFERROR(__xludf.DUMMYFUNCTION("GOOGLETRANSLATE(B1254, ""es"", ""en"")"),"I like I like the design and quality")</f>
        <v>I like I like the design and quality</v>
      </c>
    </row>
    <row r="1255">
      <c r="A1255" s="1">
        <v>5.0</v>
      </c>
      <c r="B1255" s="1" t="s">
        <v>1247</v>
      </c>
      <c r="C1255" t="str">
        <f>IFERROR(__xludf.DUMMYFUNCTION("GOOGLETRANSLATE(B1255, ""es"", ""en"")"),"They are big and comfy something had to change the number. Are comfy, it is like walking on a cloud.")</f>
        <v>They are big and comfy something had to change the number. Are comfy, it is like walking on a cloud.</v>
      </c>
    </row>
    <row r="1256">
      <c r="A1256" s="1">
        <v>5.0</v>
      </c>
      <c r="B1256" s="1" t="s">
        <v>1248</v>
      </c>
      <c r="C1256" t="str">
        <f>IFERROR(__xludf.DUMMYFUNCTION("GOOGLETRANSLATE(B1256, ""es"", ""en"")"),"I have given great was my boyfriend and we love you !! Very nice watch !!")</f>
        <v>I have given great was my boyfriend and we love you !! Very nice watch !!</v>
      </c>
    </row>
    <row r="1257">
      <c r="A1257" s="1">
        <v>5.0</v>
      </c>
      <c r="B1257" s="1" t="s">
        <v>1249</v>
      </c>
      <c r="C1257" t="str">
        <f>IFERROR(__xludf.DUMMYFUNCTION("GOOGLETRANSLATE(B1257, ""es"", ""en"")"),"Very comfortable, happy with the product. Are super comfortable, well fastened to the foot, with silicone heel .The brings recommend.")</f>
        <v>Very comfortable, happy with the product. Are super comfortable, well fastened to the foot, with silicone heel .The brings recommend.</v>
      </c>
    </row>
    <row r="1258">
      <c r="A1258" s="1">
        <v>5.0</v>
      </c>
      <c r="B1258" s="1" t="s">
        <v>1250</v>
      </c>
      <c r="C1258" t="str">
        <f>IFERROR(__xludf.DUMMYFUNCTION("GOOGLETRANSLATE(B1258, ""es"", ""en"")"),"The very comfortable bought for my mother I needed to walk out health issues and can not be happier, says it's like walking on a cloud.")</f>
        <v>The very comfortable bought for my mother I needed to walk out health issues and can not be happier, says it's like walking on a cloud.</v>
      </c>
    </row>
    <row r="1259">
      <c r="A1259" s="1">
        <v>5.0</v>
      </c>
      <c r="B1259" s="1" t="s">
        <v>1251</v>
      </c>
      <c r="C1259" t="str">
        <f>IFERROR(__xludf.DUMMYFUNCTION("GOOGLETRANSLATE(B1259, ""es"", ""en"")"),"Good buy Compared to our previous blender is great, no problem comminuted and somewhat surprising, not splashes when whipping. For now I can not find any fault.")</f>
        <v>Good buy Compared to our previous blender is great, no problem comminuted and somewhat surprising, not splashes when whipping. For now I can not find any fault.</v>
      </c>
    </row>
    <row r="1260">
      <c r="A1260" s="1">
        <v>5.0</v>
      </c>
      <c r="B1260" s="1" t="s">
        <v>1252</v>
      </c>
      <c r="C1260" t="str">
        <f>IFERROR(__xludf.DUMMYFUNCTION("GOOGLETRANSLATE(B1260, ""es"", ""en"")"),"It serves perfectly well for DYMO economic machine, very good choice, good result and price")</f>
        <v>It serves perfectly well for DYMO economic machine, very good choice, good result and price</v>
      </c>
    </row>
    <row r="1261">
      <c r="A1261" s="1">
        <v>5.0</v>
      </c>
      <c r="B1261" s="1" t="s">
        <v>1253</v>
      </c>
      <c r="C1261" t="str">
        <f>IFERROR(__xludf.DUMMYFUNCTION("GOOGLETRANSLATE(B1261, ""es"", ""en"")"),"perfect. Slippers for daily use, very comfortable")</f>
        <v>perfect. Slippers for daily use, very comfortable</v>
      </c>
    </row>
    <row r="1262">
      <c r="A1262" s="1">
        <v>5.0</v>
      </c>
      <c r="B1262" s="1" t="s">
        <v>1254</v>
      </c>
      <c r="C1262" t="str">
        <f>IFERROR(__xludf.DUMMYFUNCTION("GOOGLETRANSLATE(B1262, ""es"", ""en"")"),"Super comfortable !!! I've loved, I recommend them. As in the photo and very comfortable !!")</f>
        <v>Super comfortable !!! I've loved, I recommend them. As in the photo and very comfortable !!</v>
      </c>
    </row>
    <row r="1263">
      <c r="A1263" s="1">
        <v>5.0</v>
      </c>
      <c r="B1263" s="1" t="s">
        <v>1255</v>
      </c>
      <c r="C1263" t="str">
        <f>IFERROR(__xludf.DUMMYFUNCTION("GOOGLETRANSLATE(B1263, ""es"", ""en"")"),"Soled sneakers are very comfortable Good note are branded recommend this product, the soles seem to be very comfortable gel me are perfect")</f>
        <v>Soled sneakers are very comfortable Good note are branded recommend this product, the soles seem to be very comfortable gel me are perfect</v>
      </c>
    </row>
    <row r="1264">
      <c r="A1264" s="1">
        <v>5.0</v>
      </c>
      <c r="B1264" s="1" t="s">
        <v>1256</v>
      </c>
      <c r="C1264" t="str">
        <f>IFERROR(__xludf.DUMMYFUNCTION("GOOGLETRANSLATE(B1264, ""es"", ""en"")"),"Ideal for guitars I started playing electric minguitarra again and was tired of carrying the power amplifier always picking on guitar. I decided this for good reviews and I'm glad I bought it. It has a super low latency and listens very well. In addition,"&amp;" the range is more than enough for any scenario, unless you play in a super escenariobwue is not my case. And besides, the price is great. I recommend it.")</f>
        <v>Ideal for guitars I started playing electric minguitarra again and was tired of carrying the power amplifier always picking on guitar. I decided this for good reviews and I'm glad I bought it. It has a super low latency and listens very well. In addition, the range is more than enough for any scenario, unless you play in a super escenariobwue is not my case. And besides, the price is great. I recommend it.</v>
      </c>
    </row>
    <row r="1265">
      <c r="A1265" s="1">
        <v>5.0</v>
      </c>
      <c r="B1265" s="1" t="s">
        <v>1257</v>
      </c>
      <c r="C1265" t="str">
        <f>IFERROR(__xludf.DUMMYFUNCTION("GOOGLETRANSLATE(B1265, ""es"", ""en"")"),"Ideal for gifts Much better than the pictures. Recommended as a gift")</f>
        <v>Ideal for gifts Much better than the pictures. Recommended as a gift</v>
      </c>
    </row>
    <row r="1266">
      <c r="A1266" s="1">
        <v>5.0</v>
      </c>
      <c r="B1266" s="1" t="s">
        <v>1258</v>
      </c>
      <c r="C1266" t="str">
        <f>IFERROR(__xludf.DUMMYFUNCTION("GOOGLETRANSLATE(B1266, ""es"", ""en"")"),"Perfect and recommended. It's just what I expected. Knots resilient and adaptable. I received the bracelet long time in advance and that surprised me. Would buy it without hesitation gift.")</f>
        <v>Perfect and recommended. It's just what I expected. Knots resilient and adaptable. I received the bracelet long time in advance and that surprised me. Would buy it without hesitation gift.</v>
      </c>
    </row>
    <row r="1267">
      <c r="A1267" s="1">
        <v>5.0</v>
      </c>
      <c r="B1267" s="1" t="s">
        <v>1259</v>
      </c>
      <c r="C1267" t="str">
        <f>IFERROR(__xludf.DUMMYFUNCTION("GOOGLETRANSLATE(B1267, ""es"", ""en"")"),"Everything perfect everything perfect super comfortable and not slip at work I feel superbien a commendable wonder to one hundred percent")</f>
        <v>Everything perfect everything perfect super comfortable and not slip at work I feel superbien a commendable wonder to one hundred percent</v>
      </c>
    </row>
    <row r="1268">
      <c r="A1268" s="1">
        <v>5.0</v>
      </c>
      <c r="B1268" s="1" t="s">
        <v>1260</v>
      </c>
      <c r="C1268" t="str">
        <f>IFERROR(__xludf.DUMMYFUNCTION("GOOGLETRANSLATE(B1268, ""es"", ""en"")"),"Converse all star arrived before the delivery date. Carve large, medium number more. They are classic and will never go out of style. Perfect and at a good price.")</f>
        <v>Converse all star arrived before the delivery date. Carve large, medium number more. They are classic and will never go out of style. Perfect and at a good price.</v>
      </c>
    </row>
    <row r="1269">
      <c r="A1269" s="1">
        <v>2.0</v>
      </c>
      <c r="B1269" s="1" t="s">
        <v>1261</v>
      </c>
      <c r="C1269" t="str">
        <f>IFERROR(__xludf.DUMMYFUNCTION("GOOGLETRANSLATE(B1269, ""es"", ""en"")"),"Jug with short duration. It has broken the glass jug with very little use. Disappointed.")</f>
        <v>Jug with short duration. It has broken the glass jug with very little use. Disappointed.</v>
      </c>
    </row>
    <row r="1270">
      <c r="A1270" s="1">
        <v>3.0</v>
      </c>
      <c r="B1270" s="1" t="s">
        <v>1262</v>
      </c>
      <c r="C1270" t="str">
        <f>IFERROR(__xludf.DUMMYFUNCTION("GOOGLETRANSLATE(B1270, ""es"", ""en"")"),"The only downside: the price, otherwise great! I would give it 5 stars if it were not for the high price that has put Apple, which have risen 50 € compared to 1st Generation costing 179 € and all for not taking the case universal wireless charging Qi as a"&amp;" new and logical evolution to the same price as the previous model. Yes the product is very good and has the following improvements 4 with respect to the previous generation: 1- Case universal wireless charging Qi. 2- Bluetooth 5 in which emphasize that y"&amp;"ou will have more working distance, for example if you leave the transmitting device (iPhone for example) in a separate room that you are and you you move around the house with AirPods will not be cut sound as happened with the 1st Generation to carrying "&amp;"Bluetooth 4.0 where just outside the hall and connection ... 3- Hey Siri voice ragged without tap the headset. 4- Chip H1 faster connecting to Apple devices, especially if you change iPhone to Watch and vice versa ... Of course, for those who already have"&amp;" the 1st Generation AirPods not recommend your purchase, you would be a fool spending since in essence are the same headset and will not bring anything but make richer current account Apple and prices keep rising ... I would only recommend purchase for th"&amp;"ose who do not yet have AirPods, and stalls to buy some better buy 2nd Generation.")</f>
        <v>The only downside: the price, otherwise great! I would give it 5 stars if it were not for the high price that has put Apple, which have risen 50 € compared to 1st Generation costing 179 € and all for not taking the case universal wireless charging Qi as a new and logical evolution to the same price as the previous model. Yes the product is very good and has the following improvements 4 with respect to the previous generation: 1- Case universal wireless charging Qi. 2- Bluetooth 5 in which emphasize that you will have more working distance, for example if you leave the transmitting device (iPhone for example) in a separate room that you are and you you move around the house with AirPods will not be cut sound as happened with the 1st Generation to carrying Bluetooth 4.0 where just outside the hall and connection ... 3- Hey Siri voice ragged without tap the headset. 4- Chip H1 faster connecting to Apple devices, especially if you change iPhone to Watch and vice versa ... Of course, for those who already have the 1st Generation AirPods not recommend your purchase, you would be a fool spending since in essence are the same headset and will not bring anything but make richer current account Apple and prices keep rising ... I would only recommend purchase for those who do not yet have AirPods, and stalls to buy some better buy 2nd Generation.</v>
      </c>
    </row>
    <row r="1271">
      <c r="A1271" s="1">
        <v>3.0</v>
      </c>
      <c r="B1271" s="1" t="s">
        <v>1263</v>
      </c>
      <c r="C1271" t="str">
        <f>IFERROR(__xludf.DUMMYFUNCTION("GOOGLETRANSLATE(B1271, ""es"", ""en"")"),"It works perfectly, all cable screws too easily works perfectly, all cable screws too easily, and it's annoying when working")</f>
        <v>It works perfectly, all cable screws too easily works perfectly, all cable screws too easily, and it's annoying when working</v>
      </c>
    </row>
    <row r="1272">
      <c r="A1272" s="1">
        <v>1.0</v>
      </c>
      <c r="B1272" s="1" t="s">
        <v>1264</v>
      </c>
      <c r="C1272" t="str">
        <f>IFERROR(__xludf.DUMMYFUNCTION("GOOGLETRANSLATE(B1272, ""es"", ""en"")"),"Care is not the photo. Care is not the same clock photo ""No Ariba tour"" and that part is not black, disappointed.")</f>
        <v>Care is not the photo. Care is not the same clock photo "No Ariba tour" and that part is not black, disappointed.</v>
      </c>
    </row>
    <row r="1273">
      <c r="A1273" s="1">
        <v>1.0</v>
      </c>
      <c r="B1273" s="1" t="s">
        <v>1265</v>
      </c>
      <c r="C1273" t="str">
        <f>IFERROR(__xludf.DUMMYFUNCTION("GOOGLETRANSLATE(B1273, ""es"", ""en"")"),"Even a year or a year has lasted me. I asked on July 28 and was perfect and arrived one day about a month ago that no longer read or mobile, or sports camera, not even the pc. Terrible.")</f>
        <v>Even a year or a year has lasted me. I asked on July 28 and was perfect and arrived one day about a month ago that no longer read or mobile, or sports camera, not even the pc. Terrible.</v>
      </c>
    </row>
    <row r="1274">
      <c r="A1274" s="1">
        <v>1.0</v>
      </c>
      <c r="B1274" s="1" t="s">
        <v>1266</v>
      </c>
      <c r="C1274" t="str">
        <f>IFERROR(__xludf.DUMMYFUNCTION("GOOGLETRANSLATE(B1274, ""es"", ""en"")"),"Carolina I have received a different model to the one I ordered, but I need them now and I can not change them. The 36/37 is a little big.")</f>
        <v>Carolina I have received a different model to the one I ordered, but I need them now and I can not change them. The 36/37 is a little big.</v>
      </c>
    </row>
    <row r="1275">
      <c r="A1275" s="1">
        <v>4.0</v>
      </c>
      <c r="B1275" s="1" t="s">
        <v>1267</v>
      </c>
      <c r="C1275" t="str">
        <f>IFERROR(__xludf.DUMMYFUNCTION("GOOGLETRANSLATE(B1275, ""es"", ""en"")"),"Comfortable good buy, easy to clean and use, powerful, recommended 100%")</f>
        <v>Comfortable good buy, easy to clean and use, powerful, recommended 100%</v>
      </c>
    </row>
    <row r="1276">
      <c r="A1276" s="1">
        <v>4.0</v>
      </c>
      <c r="B1276" s="1" t="s">
        <v>1268</v>
      </c>
      <c r="C1276" t="str">
        <f>IFERROR(__xludf.DUMMYFUNCTION("GOOGLETRANSLATE(B1276, ""es"", ""en"")"),"Look Cruz. Vitoria - Gasteiz. Aesthetically is photography is beautiful and true to the color. Comfortable and worn. Good value for money. Calza small.")</f>
        <v>Look Cruz. Vitoria - Gasteiz. Aesthetically is photography is beautiful and true to the color. Comfortable and worn. Good value for money. Calza small.</v>
      </c>
    </row>
    <row r="1277">
      <c r="A1277" s="1">
        <v>4.0</v>
      </c>
      <c r="B1277" s="1" t="s">
        <v>1269</v>
      </c>
      <c r="C1277" t="str">
        <f>IFERROR(__xludf.DUMMYFUNCTION("GOOGLETRANSLATE(B1277, ""es"", ""en"")"),"Too much shine big and bright. To be discreet, as they are not worth")</f>
        <v>Too much shine big and bright. To be discreet, as they are not worth</v>
      </c>
    </row>
    <row r="1278">
      <c r="A1278" s="1">
        <v>4.0</v>
      </c>
      <c r="B1278" s="1" t="s">
        <v>1270</v>
      </c>
      <c r="C1278" t="str">
        <f>IFERROR(__xludf.DUMMYFUNCTION("GOOGLETRANSLATE(B1278, ""es"", ""en"")"),"Good but ... Very complete range of accessories that is included. It is fairly quiet and effective but for my taste has a downside: the coupling system of the mast and rods is of dubious quality, built in plastic and not metal ... I have serious doubts th"&amp;"at adequately resist everyday use. I have it for a few weeks and now good. To see Aguata !!!")</f>
        <v>Good but ... Very complete range of accessories that is included. It is fairly quiet and effective but for my taste has a downside: the coupling system of the mast and rods is of dubious quality, built in plastic and not metal ... I have serious doubts that adequately resist everyday use. I have it for a few weeks and now good. To see Aguata !!!</v>
      </c>
    </row>
    <row r="1279">
      <c r="A1279" s="1">
        <v>5.0</v>
      </c>
      <c r="B1279" s="1" t="s">
        <v>1271</v>
      </c>
      <c r="C1279" t="str">
        <f>IFERROR(__xludf.DUMMYFUNCTION("GOOGLETRANSLATE(B1279, ""es"", ""en"")"),"Perfect is a watch very comfortable with good quality. It has to set two different times in digital format, alarm and stopwatch. Very comfortable and fits perfectly to the wrist, not a bulky watch like out there.")</f>
        <v>Perfect is a watch very comfortable with good quality. It has to set two different times in digital format, alarm and stopwatch. Very comfortable and fits perfectly to the wrist, not a bulky watch like out there.</v>
      </c>
    </row>
    <row r="1280">
      <c r="A1280" s="1">
        <v>5.0</v>
      </c>
      <c r="B1280" s="1" t="s">
        <v>1272</v>
      </c>
      <c r="C1280" t="str">
        <f>IFERROR(__xludf.DUMMYFUNCTION("GOOGLETRANSLATE(B1280, ""es"", ""en"")"),"👏👏👏👏👏 It's been 2 years of my purchase and have changed but x daily use but very good indeed!")</f>
        <v>👏👏👏👏👏 It's been 2 years of my purchase and have changed but x daily use but very good indeed!</v>
      </c>
    </row>
    <row r="1281">
      <c r="A1281" s="1">
        <v>5.0</v>
      </c>
      <c r="B1281" s="1" t="s">
        <v>1273</v>
      </c>
      <c r="C1281" t="str">
        <f>IFERROR(__xludf.DUMMYFUNCTION("GOOGLETRANSLATE(B1281, ""es"", ""en"")"),"Very nice quality and bracelets are very nice and quality, though perhaps too large and measuring 24 cm. They arrived three days earlier than planned and well packaged. I'll tell you when used continuously. Moment very satisfied with the purchase.")</f>
        <v>Very nice quality and bracelets are very nice and quality, though perhaps too large and measuring 24 cm. They arrived three days earlier than planned and well packaged. I'll tell you when used continuously. Moment very satisfied with the purchase.</v>
      </c>
    </row>
    <row r="1282">
      <c r="A1282" s="1">
        <v>5.0</v>
      </c>
      <c r="B1282" s="1" t="s">
        <v>1274</v>
      </c>
      <c r="C1282" t="str">
        <f>IFERROR(__xludf.DUMMYFUNCTION("GOOGLETRANSLATE(B1282, ""es"", ""en"")"),"Esther Maravillosos perez comfortable and extraordinary excellent and good color quality and speed achieved buy price much safer")</f>
        <v>Esther Maravillosos perez comfortable and extraordinary excellent and good color quality and speed achieved buy price much safer</v>
      </c>
    </row>
    <row r="1283">
      <c r="A1283" s="1">
        <v>5.0</v>
      </c>
      <c r="B1283" s="1" t="s">
        <v>1275</v>
      </c>
      <c r="C1283" t="str">
        <f>IFERROR(__xludf.DUMMYFUNCTION("GOOGLETRANSLATE(B1283, ""es"", ""en"")"),"As if they were made on my foot. I is perfect and is very stable, was a little scared to come very wide at the instep as others I've bought from Amazon but not so, collects fine heel shoes other thing that I do not much more expensive. Its price is not ex"&amp;"pected to be skin but are well finished and comfy.")</f>
        <v>As if they were made on my foot. I is perfect and is very stable, was a little scared to come very wide at the instep as others I've bought from Amazon but not so, collects fine heel shoes other thing that I do not much more expensive. Its price is not expected to be skin but are well finished and comfy.</v>
      </c>
    </row>
    <row r="1284">
      <c r="A1284" s="1">
        <v>5.0</v>
      </c>
      <c r="B1284" s="1" t="s">
        <v>1276</v>
      </c>
      <c r="C1284" t="str">
        <f>IFERROR(__xludf.DUMMYFUNCTION("GOOGLETRANSLATE(B1284, ""es"", ""en"")"),"Very good Good bambas and buy prime day, ie on July 15 about 23 € or so, great!")</f>
        <v>Very good Good bambas and buy prime day, ie on July 15 about 23 € or so, great!</v>
      </c>
    </row>
    <row r="1285">
      <c r="A1285" s="1">
        <v>5.0</v>
      </c>
      <c r="B1285" s="1" t="s">
        <v>1277</v>
      </c>
      <c r="C1285" t="str">
        <f>IFERROR(__xludf.DUMMYFUNCTION("GOOGLETRANSLATE(B1285, ""es"", ""en"")"),"Highly recommended Great, I had two massagers, no comparison with this, I asked for another gift in princio works perfectly and is most like there is a real massage.")</f>
        <v>Highly recommended Great, I had two massagers, no comparison with this, I asked for another gift in princio works perfectly and is most like there is a real massage.</v>
      </c>
    </row>
    <row r="1286">
      <c r="A1286" s="1">
        <v>5.0</v>
      </c>
      <c r="B1286" s="1" t="s">
        <v>1278</v>
      </c>
      <c r="C1286" t="str">
        <f>IFERROR(__xludf.DUMMYFUNCTION("GOOGLETRANSLATE(B1286, ""es"", ""en"")"),"It seems not but when you see the article seems incredible that you collect or organize cables, but if what he does and does it well, with that yes, a little patience. You can either three or four cables, with more ...")</f>
        <v>It seems not but when you see the article seems incredible that you collect or organize cables, but if what he does and does it well, with that yes, a little patience. You can either three or four cables, with more ...</v>
      </c>
    </row>
    <row r="1287">
      <c r="A1287" s="1">
        <v>5.0</v>
      </c>
      <c r="B1287" s="1" t="s">
        <v>1279</v>
      </c>
      <c r="C1287" t="str">
        <f>IFERROR(__xludf.DUMMYFUNCTION("GOOGLETRANSLATE(B1287, ""es"", ""en"")"),"An icon charming but somewhat dated I've been following this watch for months at Amazon hoping fall below 300 euros, without success. I have finally bought second-hand at a reasonable price. Actually the price has fluctuated widely (see figure since 2014)"&amp;" although it has become shooting since he is rumored to have stopped making the model. This has not been confirmed and serious sellers have disproved but does not prevent the price is above the 250 € which is what had been customary. EDIT: confirmed, is a"&amp;"llowed to manufacture since July 2019. During this time I've been reading a lot about the model so I would like to share my opinion once I have it in my hands. + Classic design of the Seiko Diver. The SKX007 are manufactured since 1996 and have earned a p"&amp;"lace in any collection that boasts. If you are reading this is the model you like ... + Auto, Seiko 7S26 movement. You can not be wound and stop the second hand. On the other hand it is very reliable and is reputed to need little maintenance (10 years?). "&amp;"My unit is quite accurate and does not advance or delayed more than 5 seconds day. + Resistant to 200M ISO. So it meets rigorous standards to ensure these values ​​+ Dimensions is big (42 mm from 9h to 3h) and heavy, normal for a diving watch. However the"&amp;" design of the box, the distance between the ends (44 mm 12h at 6) and the curvature that is not very large dolls is very good. + Bracelet: for me the weakest point of the clock. I do not like. Very flexible links are very loose giving cheap feeling. I've"&amp;" also caught a smidge ... It will be the first thing to change. + Materials: - Glass hardlex: my watch is from 2015 and has a little scratch, like other watches that have mineral crystal with similar age. So I see no added value. It can be changed by sapp"&amp;"hire crystal. - Aluminum Bezel: mine is pristine but are reputed to be scratched just by looking at them. Although you can also find scratchproof ceramics. - Lumen: Painting owns Seiko LumiBrite applied to the dial needles and a small dot on the chamfer. "&amp;"It's awesome intensity (by loading a little sun or UV light) and duration you have. I have not seen anything like it. In short, it is a classic that has become obsolete in performance, but it has a charm that makes it very attractive. 300 € ?, but if you "&amp;"think coolly there are more modern options such as Orient Ray II with better performance movement for 170 €.")</f>
        <v>An icon charming but somewhat dated I've been following this watch for months at Amazon hoping fall below 300 euros, without success. I have finally bought second-hand at a reasonable price. Actually the price has fluctuated widely (see figure since 2014) although it has become shooting since he is rumored to have stopped making the model. This has not been confirmed and serious sellers have disproved but does not prevent the price is above the 250 € which is what had been customary. EDIT: confirmed, is allowed to manufacture since July 2019. During this time I've been reading a lot about the model so I would like to share my opinion once I have it in my hands. + Classic design of the Seiko Diver. The SKX007 are manufactured since 1996 and have earned a place in any collection that boasts. If you are reading this is the model you like ... + Auto, Seiko 7S26 movement. You can not be wound and stop the second hand. On the other hand it is very reliable and is reputed to need little maintenance (10 years?). My unit is quite accurate and does not advance or delayed more than 5 seconds day. + Resistant to 200M ISO. So it meets rigorous standards to ensure these values ​​+ Dimensions is big (42 mm from 9h to 3h) and heavy, normal for a diving watch. However the design of the box, the distance between the ends (44 mm 12h at 6) and the curvature that is not very large dolls is very good. + Bracelet: for me the weakest point of the clock. I do not like. Very flexible links are very loose giving cheap feeling. I've also caught a smidge ... It will be the first thing to change. + Materials: - Glass hardlex: my watch is from 2015 and has a little scratch, like other watches that have mineral crystal with similar age. So I see no added value. It can be changed by sapphire crystal. - Aluminum Bezel: mine is pristine but are reputed to be scratched just by looking at them. Although you can also find scratchproof ceramics. - Lumen: Painting owns Seiko LumiBrite applied to the dial needles and a small dot on the chamfer. It's awesome intensity (by loading a little sun or UV light) and duration you have. I have not seen anything like it. In short, it is a classic that has become obsolete in performance, but it has a charm that makes it very attractive. 300 € ?, but if you think coolly there are more modern options such as Orient Ray II with better performance movement for 170 €.</v>
      </c>
    </row>
    <row r="1288">
      <c r="A1288" s="1">
        <v>5.0</v>
      </c>
      <c r="B1288" s="1" t="s">
        <v>1280</v>
      </c>
      <c r="C1288" t="str">
        <f>IFERROR(__xludf.DUMMYFUNCTION("GOOGLETRANSLATE(B1288, ""es"", ""en"")"),"Perfect Perfect, as seen. Would buy, fabric quality and came in just one day.")</f>
        <v>Perfect Perfect, as seen. Would buy, fabric quality and came in just one day.</v>
      </c>
    </row>
    <row r="1289">
      <c r="A1289" s="1">
        <v>5.0</v>
      </c>
      <c r="B1289" s="1" t="s">
        <v>1281</v>
      </c>
      <c r="C1289" t="str">
        <f>IFERROR(__xludf.DUMMYFUNCTION("GOOGLETRANSLATE(B1289, ""es"", ""en"")"),"Small and very fast recommended BUYING Very compact and pleasant to use and fast: reaches speeds of USB3 on GIGABIT / s or what is the same about 100 megabytes / S for large files. If equally reliable than my other two units usb3 toshiba I have for some y"&amp;"ears ... it is a round purchase. Toshiba fine for not having rushed to launch this unit to the market to provide accurate and reliable unit. Other manufacturers like MAXTOR / SEAGATE already have market their units 4tb a while ... Eventually we'll see if "&amp;"we can say that this unit is worthy of reliability that has always represented toshiba computer or have waste-to -see-si-guanta-to-findegarantía as so abhorrent brands like MAXTOR / SEAGATE on this type of external devices. Note. Maxtor is a brand that in"&amp;" the past was synonymous with good quality. After being bought by some seagate seagate years ago it sells shoddy trash under this brand ... and if you look at the comments in 2.5 external drives 4TB of Maxtor brand in this own amazon.es. .. the only negat"&amp;"ive about this device is that the manufacturer has not put some rubber feet to support the unit and carry all previous external drives toshiba Do not explain it to me! I had to buy some sticky jelly beans to put them under the unit ¿What have you done tos"&amp;"hiba ??? Final Note .: Never move a mechanical hard drive after having conenctado to the computer / tv / apparatus which is the cause of most failures and breaks in these units.")</f>
        <v>Small and very fast recommended BUYING Very compact and pleasant to use and fast: reaches speeds of USB3 on GIGABIT / s or what is the same about 100 megabytes / S for large files. If equally reliable than my other two units usb3 toshiba I have for some years ... it is a round purchase. Toshiba fine for not having rushed to launch this unit to the market to provide accurate and reliable unit. Other manufacturers like MAXTOR / SEAGATE already have market their units 4tb a while ... Eventually we'll see if we can say that this unit is worthy of reliability that has always represented toshiba computer or have waste-to -see-si-guanta-to-findegarantía as so abhorrent brands like MAXTOR / SEAGATE on this type of external devices. Note. Maxtor is a brand that in the past was synonymous with good quality. After being bought by some seagate seagate years ago it sells shoddy trash under this brand ... and if you look at the comments in 2.5 external drives 4TB of Maxtor brand in this own amazon.es. .. the only negative about this device is that the manufacturer has not put some rubber feet to support the unit and carry all previous external drives toshiba Do not explain it to me! I had to buy some sticky jelly beans to put them under the unit ¿What have you done toshiba ??? Final Note .: Never move a mechanical hard drive after having conenctado to the computer / tv / apparatus which is the cause of most failures and breaks in these units.</v>
      </c>
    </row>
    <row r="1290">
      <c r="A1290" s="1">
        <v>5.0</v>
      </c>
      <c r="B1290" s="1" t="s">
        <v>1282</v>
      </c>
      <c r="C1290" t="str">
        <f>IFERROR(__xludf.DUMMYFUNCTION("GOOGLETRANSLATE(B1290, ""es"", ""en"")"),"They are very comfortable very comfortable shoes are perhaps the most comfortable shoes I've ever had. Size is correct. Very light just weigh. They can be machine washed and dried quickly and as good as new. Of course, if you're prone to static electricit"&amp;"y cramps and give you things to the touch with these shoes go sparks giving everyone !!!")</f>
        <v>They are very comfortable very comfortable shoes are perhaps the most comfortable shoes I've ever had. Size is correct. Very light just weigh. They can be machine washed and dried quickly and as good as new. Of course, if you're prone to static electricity cramps and give you things to the touch with these shoes go sparks giving everyone !!!</v>
      </c>
    </row>
    <row r="1291">
      <c r="A1291" s="1">
        <v>5.0</v>
      </c>
      <c r="B1291" s="1" t="s">
        <v>1283</v>
      </c>
      <c r="C1291" t="str">
        <f>IFERROR(__xludf.DUMMYFUNCTION("GOOGLETRANSLATE(B1291, ""es"", ""en"")"),"Resistant good quality.")</f>
        <v>Resistant good quality.</v>
      </c>
    </row>
    <row r="1292">
      <c r="A1292" s="1">
        <v>5.0</v>
      </c>
      <c r="B1292" s="1" t="s">
        <v>1284</v>
      </c>
      <c r="C1292" t="str">
        <f>IFERROR(__xludf.DUMMYFUNCTION("GOOGLETRANSLATE(B1292, ""es"", ""en"")"),"Leftovers meets the expectations for just under 20 € you have a dive watch, with numbers very clear, day and time, and not being very large is discreet. Highly recommended.")</f>
        <v>Leftovers meets the expectations for just under 20 € you have a dive watch, with numbers very clear, day and time, and not being very large is discreet. Highly recommended.</v>
      </c>
    </row>
    <row r="1293">
      <c r="A1293" s="1">
        <v>5.0</v>
      </c>
      <c r="B1293" s="1" t="s">
        <v>1285</v>
      </c>
      <c r="C1293" t="str">
        <f>IFERROR(__xludf.DUMMYFUNCTION("GOOGLETRANSLATE(B1293, ""es"", ""en"")"),"Heart is very nice and comoda.Megusta lot.")</f>
        <v>Heart is very nice and comoda.Megusta lot.</v>
      </c>
    </row>
    <row r="1294">
      <c r="A1294" s="1">
        <v>5.0</v>
      </c>
      <c r="B1294" s="1" t="s">
        <v>1286</v>
      </c>
      <c r="C1294" t="str">
        <f>IFERROR(__xludf.DUMMYFUNCTION("GOOGLETRANSLATE(B1294, ""es"", ""en"")"),"Perfeto robust performance Very good performance, quiet, powerful and so effective. Reception with complete punctuality. What is surprising, it is compatible with other accessories Boch.")</f>
        <v>Perfeto robust performance Very good performance, quiet, powerful and so effective. Reception with complete punctuality. What is surprising, it is compatible with other accessories Boch.</v>
      </c>
    </row>
    <row r="1295">
      <c r="A1295" s="1">
        <v>5.0</v>
      </c>
      <c r="B1295" s="1" t="s">
        <v>1287</v>
      </c>
      <c r="C1295" t="str">
        <f>IFERROR(__xludf.DUMMYFUNCTION("GOOGLETRANSLATE(B1295, ""es"", ""en"")"),"Terrible service I have spent almost a year with him and started him in love with efficient and quiet it was but a couple of months ago he noticed that autonomy is not what it was, and not stay clean as before. I decided to send him to repair because it i"&amp;"s turned off at the start and after reviewing it with a whole month, I return it with the wheels changed. Intrigued I prove if it really was that and started off as ... I've been sent to repair again, this time with clear cost, but it's not normal operati"&amp;"on or service representative.")</f>
        <v>Terrible service I have spent almost a year with him and started him in love with efficient and quiet it was but a couple of months ago he noticed that autonomy is not what it was, and not stay clean as before. I decided to send him to repair because it is turned off at the start and after reviewing it with a whole month, I return it with the wheels changed. Intrigued I prove if it really was that and started off as ... I've been sent to repair again, this time with clear cost, but it's not normal operation or service representative.</v>
      </c>
    </row>
    <row r="1296">
      <c r="A1296" s="1">
        <v>5.0</v>
      </c>
      <c r="B1296" s="1" t="s">
        <v>1288</v>
      </c>
      <c r="C1296" t="str">
        <f>IFERROR(__xludf.DUMMYFUNCTION("GOOGLETRANSLATE(B1296, ""es"", ""en"")"),"GOOD PRODUCT are very nice and comfortable. 100% recommend purchase. They are prettier than in the photo.")</f>
        <v>GOOD PRODUCT are very nice and comfortable. 100% recommend purchase. They are prettier than in the photo.</v>
      </c>
    </row>
    <row r="1297">
      <c r="A1297" s="1">
        <v>5.0</v>
      </c>
      <c r="B1297" s="1" t="s">
        <v>1289</v>
      </c>
      <c r="C1297" t="str">
        <f>IFERROR(__xludf.DUMMYFUNCTION("GOOGLETRANSLATE(B1297, ""es"", ""en"")"),"Simple is just what I expected and it works perfectly, makes no noise, and easy to use")</f>
        <v>Simple is just what I expected and it works perfectly, makes no noise, and easy to use</v>
      </c>
    </row>
    <row r="1298">
      <c r="A1298" s="1">
        <v>2.0</v>
      </c>
      <c r="B1298" s="1" t="s">
        <v>1290</v>
      </c>
      <c r="C1298" t="str">
        <f>IFERROR(__xludf.DUMMYFUNCTION("GOOGLETRANSLATE(B1298, ""es"", ""en"")"),"Regular Na again came the premiere and the brush is a good estropeao jajajajaj, there will be d price")</f>
        <v>Regular Na again came the premiere and the brush is a good estropeao jajajajaj, there will be d price</v>
      </c>
    </row>
    <row r="1299">
      <c r="A1299" s="1">
        <v>3.0</v>
      </c>
      <c r="B1299" s="1" t="s">
        <v>1291</v>
      </c>
      <c r="C1299" t="str">
        <f>IFERROR(__xludf.DUMMYFUNCTION("GOOGLETRANSLATE(B1299, ""es"", ""en"")"),"Not color photo The pants are a normal sweatpants, comfortable and breathable. The problem is that in the photos the black color is seen as a black matte and enrealidad is a brilliant black color.")</f>
        <v>Not color photo The pants are a normal sweatpants, comfortable and breathable. The problem is that in the photos the black color is seen as a black matte and enrealidad is a brilliant black color.</v>
      </c>
    </row>
    <row r="1300">
      <c r="A1300" s="1">
        <v>3.0</v>
      </c>
      <c r="B1300" s="1" t="s">
        <v>1292</v>
      </c>
      <c r="C1300" t="str">
        <f>IFERROR(__xludf.DUMMYFUNCTION("GOOGLETRANSLATE(B1300, ""es"", ""en"")"),"I chose the exact size exact size of my foot so I left well. I really like the color white for the shoes but the truth is that super fast and get dirty if they are fabric. No doubt they recommend because they are comfortable and combined with any clothing"&amp;" .... but be careful with them.")</f>
        <v>I chose the exact size exact size of my foot so I left well. I really like the color white for the shoes but the truth is that super fast and get dirty if they are fabric. No doubt they recommend because they are comfortable and combined with any clothing .... but be careful with them.</v>
      </c>
    </row>
    <row r="1301">
      <c r="A1301" s="1">
        <v>1.0</v>
      </c>
      <c r="B1301" s="1" t="s">
        <v>1293</v>
      </c>
      <c r="C1301" t="str">
        <f>IFERROR(__xludf.DUMMYFUNCTION("GOOGLETRANSLATE(B1301, ""es"", ""en"")"),"It has broken a rod. The skimmer is fine, it looks powerful and robust. The metal rods are good too, but brings with plastic propeller used to mix matcha tea ... until it has broken with less than a month of use. No longer I serve me for what I bought. A "&amp;"shame.")</f>
        <v>It has broken a rod. The skimmer is fine, it looks powerful and robust. The metal rods are good too, but brings with plastic propeller used to mix matcha tea ... until it has broken with less than a month of use. No longer I serve me for what I bought. A shame.</v>
      </c>
    </row>
    <row r="1302">
      <c r="A1302" s="1">
        <v>4.0</v>
      </c>
      <c r="B1302" s="1" t="s">
        <v>1294</v>
      </c>
      <c r="C1302" t="str">
        <f>IFERROR(__xludf.DUMMYFUNCTION("GOOGLETRANSLATE(B1302, ""es"", ""en"")"),"Sound and comfort Headphones are great, comfortable and very good sound, I have not had time to assess the durability, I hope it's good ..")</f>
        <v>Sound and comfort Headphones are great, comfortable and very good sound, I have not had time to assess the durability, I hope it's good ..</v>
      </c>
    </row>
    <row r="1303">
      <c r="A1303" s="1">
        <v>4.0</v>
      </c>
      <c r="B1303" s="1" t="s">
        <v>1295</v>
      </c>
      <c r="C1303" t="str">
        <f>IFERROR(__xludf.DUMMYFUNCTION("GOOGLETRANSLATE(B1303, ""es"", ""en"")"),"Very good buy practic and easy to use, with good power and sound quality.")</f>
        <v>Very good buy practic and easy to use, with good power and sound quality.</v>
      </c>
    </row>
    <row r="1304">
      <c r="A1304" s="1">
        <v>4.0</v>
      </c>
      <c r="B1304" s="1" t="s">
        <v>1296</v>
      </c>
      <c r="C1304" t="str">
        <f>IFERROR(__xludf.DUMMYFUNCTION("GOOGLETRANSLATE(B1304, ""es"", ""en"")"),"A formidable product high vacuum")</f>
        <v>A formidable product high vacuum</v>
      </c>
    </row>
    <row r="1305">
      <c r="A1305" s="1">
        <v>4.0</v>
      </c>
      <c r="B1305" s="1" t="s">
        <v>1297</v>
      </c>
      <c r="C1305" t="str">
        <f>IFERROR(__xludf.DUMMYFUNCTION("GOOGLETRANSLATE(B1305, ""es"", ""en"")"),"Very good micro to podcast I was very hesitant among several cheaper models of other brands, I finally decided on the Rode, much more expensive than it would invest, and I'm delighted. Podcast a very good sharpness is obtained, although it is true that th"&amp;"e foot can be quite unstable, is not much thinking to adjust the angle. It is also true that sometimes many sounds are obtained from the environment and you have to filter it with software or adapting the room.")</f>
        <v>Very good micro to podcast I was very hesitant among several cheaper models of other brands, I finally decided on the Rode, much more expensive than it would invest, and I'm delighted. Podcast a very good sharpness is obtained, although it is true that the foot can be quite unstable, is not much thinking to adjust the angle. It is also true that sometimes many sounds are obtained from the environment and you have to filter it with software or adapting the room.</v>
      </c>
    </row>
    <row r="1306">
      <c r="A1306" s="1">
        <v>4.0</v>
      </c>
      <c r="B1306" s="1" t="s">
        <v>1298</v>
      </c>
      <c r="C1306" t="str">
        <f>IFERROR(__xludf.DUMMYFUNCTION("GOOGLETRANSLATE(B1306, ""es"", ""en"")"),"the lights quite nice awakening, light emits a gradual chipping alarm or radio as you've programmed, very satisfied.")</f>
        <v>the lights quite nice awakening, light emits a gradual chipping alarm or radio as you've programmed, very satisfied.</v>
      </c>
    </row>
    <row r="1307">
      <c r="A1307" s="1">
        <v>5.0</v>
      </c>
      <c r="B1307" s="1" t="s">
        <v>1299</v>
      </c>
      <c r="C1307" t="str">
        <f>IFERROR(__xludf.DUMMYFUNCTION("GOOGLETRANSLATE(B1307, ""es"", ""en"")"),"Ideal full, complete and versatile.")</f>
        <v>Ideal full, complete and versatile.</v>
      </c>
    </row>
    <row r="1308">
      <c r="A1308" s="1">
        <v>5.0</v>
      </c>
      <c r="B1308" s="1" t="s">
        <v>1300</v>
      </c>
      <c r="C1308" t="str">
        <f>IFERROR(__xludf.DUMMYFUNCTION("GOOGLETRANSLATE(B1308, ""es"", ""en"")"),"100% recommended, capacity, speed and guarantee. Just perfect, very high speed in both writing and reading and reliability of Sandisk with warranty great. Applications requiring both save a significant flow of data (eg recording 4k) and in continuous read"&amp;"ings yields undeterred. perfect for action cameras, drones, etc. and enough on smartphones.")</f>
        <v>100% recommended, capacity, speed and guarantee. Just perfect, very high speed in both writing and reading and reliability of Sandisk with warranty great. Applications requiring both save a significant flow of data (eg recording 4k) and in continuous readings yields undeterred. perfect for action cameras, drones, etc. and enough on smartphones.</v>
      </c>
    </row>
    <row r="1309">
      <c r="A1309" s="1">
        <v>5.0</v>
      </c>
      <c r="B1309" s="1" t="s">
        <v>1301</v>
      </c>
      <c r="C1309" t="str">
        <f>IFERROR(__xludf.DUMMYFUNCTION("GOOGLETRANSLATE(B1309, ""es"", ""en"")"),"Very comfortable and beautiful! Very useful as ""wear slippers"" when, above all, looking for comfort without sacrificing style. Yes it is true that large size. If you use a 38, buy 39/40.")</f>
        <v>Very comfortable and beautiful! Very useful as "wear slippers" when, above all, looking for comfort without sacrificing style. Yes it is true that large size. If you use a 38, buy 39/40.</v>
      </c>
    </row>
    <row r="1310">
      <c r="A1310" s="1">
        <v>5.0</v>
      </c>
      <c r="B1310" s="1" t="s">
        <v>1302</v>
      </c>
      <c r="C1310" t="str">
        <f>IFERROR(__xludf.DUMMYFUNCTION("GOOGLETRANSLATE(B1310, ""es"", ""en"")"),"Good buy Excellent value. Bag and magnets to prevent tangling, very practical. repeat purchase")</f>
        <v>Good buy Excellent value. Bag and magnets to prevent tangling, very practical. repeat purchase</v>
      </c>
    </row>
    <row r="1311">
      <c r="A1311" s="1">
        <v>5.0</v>
      </c>
      <c r="B1311" s="1" t="s">
        <v>1303</v>
      </c>
      <c r="C1311" t="str">
        <f>IFERROR(__xludf.DUMMYFUNCTION("GOOGLETRANSLATE(B1311, ""es"", ""en"")"),"Good buy is the second tenemos.El first was from another well-known brand, but I can assure you nothing to do with Bosch He functioning of this is spectacular, great suction power and autonomy. recommended product.")</f>
        <v>Good buy is the second tenemos.El first was from another well-known brand, but I can assure you nothing to do with Bosch He functioning of this is spectacular, great suction power and autonomy. recommended product.</v>
      </c>
    </row>
    <row r="1312">
      <c r="A1312" s="1">
        <v>5.0</v>
      </c>
      <c r="B1312" s="1" t="s">
        <v>1304</v>
      </c>
      <c r="C1312" t="str">
        <f>IFERROR(__xludf.DUMMYFUNCTION("GOOGLETRANSLATE(B1312, ""es"", ""en"")"),"Good quality. Very good quality at a good price. I've never had problems with samsung cards are very fast and always work perfectly.")</f>
        <v>Good quality. Very good quality at a good price. I've never had problems with samsung cards are very fast and always work perfectly.</v>
      </c>
    </row>
    <row r="1313">
      <c r="A1313" s="1">
        <v>5.0</v>
      </c>
      <c r="B1313" s="1" t="s">
        <v>1305</v>
      </c>
      <c r="C1313" t="str">
        <f>IFERROR(__xludf.DUMMYFUNCTION("GOOGLETRANSLATE(B1313, ""es"", ""en"")"),"A very good they coupled to the mobile fast and beautifully hear")</f>
        <v>A very good they coupled to the mobile fast and beautifully hear</v>
      </c>
    </row>
    <row r="1314">
      <c r="A1314" s="1">
        <v>5.0</v>
      </c>
      <c r="B1314" s="1" t="s">
        <v>1306</v>
      </c>
      <c r="C1314" t="str">
        <f>IFERROR(__xludf.DUMMYFUNCTION("GOOGLETRANSLATE(B1314, ""es"", ""en"")"),"Good product'm glad the paste is quite unique esq Anchita and my son very thin otherwise everything is great wash and store anything and does not wrinkle and repeated purchase in another color")</f>
        <v>Good product'm glad the paste is quite unique esq Anchita and my son very thin otherwise everything is great wash and store anything and does not wrinkle and repeated purchase in another color</v>
      </c>
    </row>
    <row r="1315">
      <c r="A1315" s="1">
        <v>5.0</v>
      </c>
      <c r="B1315" s="1" t="s">
        <v>1307</v>
      </c>
      <c r="C1315" t="str">
        <f>IFERROR(__xludf.DUMMYFUNCTION("GOOGLETRANSLATE(B1315, ""es"", ""en"")"),"Great Belt !!! We would have bought my father and looks good and smart !!!")</f>
        <v>Great Belt !!! We would have bought my father and looks good and smart !!!</v>
      </c>
    </row>
    <row r="1316">
      <c r="A1316" s="1">
        <v>5.0</v>
      </c>
      <c r="B1316" s="1" t="s">
        <v>1308</v>
      </c>
      <c r="C1316" t="str">
        <f>IFERROR(__xludf.DUMMYFUNCTION("GOOGLETRANSLATE(B1316, ""es"", ""en"")"),"Very nice looking design, appears to be wood. It is compact, so it looks good anywhere. Bring a few cans of aromatic oils, great detail and you do not have to spend extra money to buy them. It has several time to choose. A success purchase.")</f>
        <v>Very nice looking design, appears to be wood. It is compact, so it looks good anywhere. Bring a few cans of aromatic oils, great detail and you do not have to spend extra money to buy them. It has several time to choose. A success purchase.</v>
      </c>
    </row>
    <row r="1317">
      <c r="A1317" s="1">
        <v>5.0</v>
      </c>
      <c r="B1317" s="1" t="s">
        <v>1309</v>
      </c>
      <c r="C1317" t="str">
        <f>IFERROR(__xludf.DUMMYFUNCTION("GOOGLETRANSLATE(B1317, ""es"", ""en"")"),"The setting and the machine adjusts perfect. And the machine to remove the pins of the links is great. Otherwise, perfect as always Amazon")</f>
        <v>The setting and the machine adjusts perfect. And the machine to remove the pins of the links is great. Otherwise, perfect as always Amazon</v>
      </c>
    </row>
    <row r="1318">
      <c r="A1318" s="1">
        <v>5.0</v>
      </c>
      <c r="B1318" s="1" t="s">
        <v>1310</v>
      </c>
      <c r="C1318" t="str">
        <f>IFERROR(__xludf.DUMMYFUNCTION("GOOGLETRANSLATE(B1318, ""es"", ""en"")"),"Pretty nice and light and light")</f>
        <v>Pretty nice and light and light</v>
      </c>
    </row>
    <row r="1319">
      <c r="A1319" s="1">
        <v>5.0</v>
      </c>
      <c r="B1319" s="1" t="s">
        <v>1311</v>
      </c>
      <c r="C1319" t="str">
        <f>IFERROR(__xludf.DUMMYFUNCTION("GOOGLETRANSLATE(B1319, ""es"", ""en"")"),"The most I can say about casio ?? !! is Quen is the one who sells if casio and original've got to part of life, arrive on time super-packaged with all booklets, as anedota the other day entando in the garage not one broken so I had, and I say this watch i"&amp;"s for life")</f>
        <v>The most I can say about casio ?? !! is Quen is the one who sells if casio and original've got to part of life, arrive on time super-packaged with all booklets, as anedota the other day entando in the garage not one broken so I had, and I say this watch is for life</v>
      </c>
    </row>
    <row r="1320">
      <c r="A1320" s="1">
        <v>5.0</v>
      </c>
      <c r="B1320" s="1" t="s">
        <v>1312</v>
      </c>
      <c r="C1320" t="str">
        <f>IFERROR(__xludf.DUMMYFUNCTION("GOOGLETRANSLATE(B1320, ""es"", ""en"")"),"Compardos for durability always been good, I record at 16x and check 'and perfect. Some have much use and usually last enough. I opted for these by scratch resistant surface.")</f>
        <v>Compardos for durability always been good, I record at 16x and check 'and perfect. Some have much use and usually last enough. I opted for these by scratch resistant surface.</v>
      </c>
    </row>
    <row r="1321">
      <c r="A1321" s="1">
        <v>5.0</v>
      </c>
      <c r="B1321" s="1" t="s">
        <v>1313</v>
      </c>
      <c r="C1321" t="str">
        <f>IFERROR(__xludf.DUMMYFUNCTION("GOOGLETRANSLATE(B1321, ""es"", ""en"")"),"small enough to listen to music devices is enough ........... do not expect great sound. It is practical")</f>
        <v>small enough to listen to music devices is enough ........... do not expect great sound. It is practical</v>
      </c>
    </row>
    <row r="1322">
      <c r="A1322" s="1">
        <v>5.0</v>
      </c>
      <c r="B1322" s="1" t="s">
        <v>1314</v>
      </c>
      <c r="C1322" t="str">
        <f>IFERROR(__xludf.DUMMYFUNCTION("GOOGLETRANSLATE(B1322, ""es"", ""en"")"),"Very satisfied with the usefulness and so far the quality / price is excellent. I've bought for my mother who suddenly lost a lot of view and, of course, watches to ""look"" do not help anything. And in the months that has inches is delighted and even he "&amp;"makes you smile every time tells the time. Every hour if you set it and, of course, whenever you ask.")</f>
        <v>Very satisfied with the usefulness and so far the quality / price is excellent. I've bought for my mother who suddenly lost a lot of view and, of course, watches to "look" do not help anything. And in the months that has inches is delighted and even he makes you smile every time tells the time. Every hour if you set it and, of course, whenever you ask.</v>
      </c>
    </row>
    <row r="1323">
      <c r="A1323" s="1">
        <v>5.0</v>
      </c>
      <c r="B1323" s="1" t="s">
        <v>1315</v>
      </c>
      <c r="C1323" t="str">
        <f>IFERROR(__xludf.DUMMYFUNCTION("GOOGLETRANSLATE(B1323, ""es"", ""en"")"),"Ergonomic Mouse I arrived in a timely manner. It was what I was looking for. Although the first day I hurt the wrist of the change in position over the week I got used and I hope it is useful. It conforms to the description of the product.")</f>
        <v>Ergonomic Mouse I arrived in a timely manner. It was what I was looking for. Although the first day I hurt the wrist of the change in position over the week I got used and I hope it is useful. It conforms to the description of the product.</v>
      </c>
    </row>
    <row r="1324">
      <c r="A1324" s="1">
        <v>5.0</v>
      </c>
      <c r="B1324" s="1" t="s">
        <v>1316</v>
      </c>
      <c r="C1324" t="str">
        <f>IFERROR(__xludf.DUMMYFUNCTION("GOOGLETRANSLATE(B1324, ""es"", ""en"")"),"Good bag bag is well built, good materials and good workmanship. Size is what I wanted ... But I gave it back because the front pocket, the flap has an opening too small for my hand, I do not get well at the bottom. Amazon perfect return.")</f>
        <v>Good bag bag is well built, good materials and good workmanship. Size is what I wanted ... But I gave it back because the front pocket, the flap has an opening too small for my hand, I do not get well at the bottom. Amazon perfect return.</v>
      </c>
    </row>
    <row r="1325">
      <c r="A1325" s="1">
        <v>2.0</v>
      </c>
      <c r="B1325" s="1" t="s">
        <v>1317</v>
      </c>
      <c r="C1325" t="str">
        <f>IFERROR(__xludf.DUMMYFUNCTION("GOOGLETRANSLATE(B1325, ""es"", ""en"")"),"DHL took delivery .TE TI.AVISANPERO NOT BRING WHAT YOU SAY NO TIME OR DAY The product is very fragile, poor and weak.")</f>
        <v>DHL took delivery .TE TI.AVISANPERO NOT BRING WHAT YOU SAY NO TIME OR DAY The product is very fragile, poor and weak.</v>
      </c>
    </row>
    <row r="1326">
      <c r="A1326" s="1">
        <v>3.0</v>
      </c>
      <c r="B1326" s="1" t="s">
        <v>1318</v>
      </c>
      <c r="C1326" t="str">
        <f>IFERROR(__xludf.DUMMYFUNCTION("GOOGLETRANSLATE(B1326, ""es"", ""en"")"),"Okay Okay")</f>
        <v>Okay Okay</v>
      </c>
    </row>
    <row r="1327">
      <c r="A1327" s="1">
        <v>1.0</v>
      </c>
      <c r="B1327" s="1" t="s">
        <v>1319</v>
      </c>
      <c r="C1327" t="str">
        <f>IFERROR(__xludf.DUMMYFUNCTION("GOOGLETRANSLATE(B1327, ""es"", ""en"")"),"Cable toy. If you are looking for a good cable, professional quality, I do not lose sound without background noise, this is not your friend cable.")</f>
        <v>Cable toy. If you are looking for a good cable, professional quality, I do not lose sound without background noise, this is not your friend cable.</v>
      </c>
    </row>
    <row r="1328">
      <c r="A1328" s="1">
        <v>1.0</v>
      </c>
      <c r="B1328" s="1" t="s">
        <v>1320</v>
      </c>
      <c r="C1328" t="str">
        <f>IFERROR(__xludf.DUMMYFUNCTION("GOOGLETRANSLATE(B1328, ""es"", ""en"")"),"Good sound but poor quality of finishes. I was happy because, for the price they have, the sound is very good, but the year has broken my cable and is no longer heard from one side. Cheapness, to the end, is expensive.")</f>
        <v>Good sound but poor quality of finishes. I was happy because, for the price they have, the sound is very good, but the year has broken my cable and is no longer heard from one side. Cheapness, to the end, is expensive.</v>
      </c>
    </row>
    <row r="1329">
      <c r="A1329" s="1">
        <v>1.0</v>
      </c>
      <c r="B1329" s="1" t="s">
        <v>1321</v>
      </c>
      <c r="C1329" t="str">
        <f>IFERROR(__xludf.DUMMYFUNCTION("GOOGLETRANSLATE(B1329, ""es"", ""en"")"),"Does not fulfill its function I bought the anti-colic system that offers this bottle and my child the truth remains the same, the bottle does not have done anything better. So not worth the hassle involved cleaning.")</f>
        <v>Does not fulfill its function I bought the anti-colic system that offers this bottle and my child the truth remains the same, the bottle does not have done anything better. So not worth the hassle involved cleaning.</v>
      </c>
    </row>
    <row r="1330">
      <c r="A1330" s="1">
        <v>4.0</v>
      </c>
      <c r="B1330" s="1" t="s">
        <v>1322</v>
      </c>
      <c r="C1330" t="str">
        <f>IFERROR(__xludf.DUMMYFUNCTION("GOOGLETRANSLATE(B1330, ""es"", ""en"")"),"A good choice in its price range. Hooves are not bad for everyday use and if you're not fussy or going to listen to music from your mobile. Sound much exaggerated makeup pretty low and sometimes causing a slight noise as fog with what kind of music. They "&amp;"thus even in the range of 20 to 40 € are an option to consider.")</f>
        <v>A good choice in its price range. Hooves are not bad for everyday use and if you're not fussy or going to listen to music from your mobile. Sound much exaggerated makeup pretty low and sometimes causing a slight noise as fog with what kind of music. They thus even in the range of 20 to 40 € are an option to consider.</v>
      </c>
    </row>
    <row r="1331">
      <c r="A1331" s="1">
        <v>4.0</v>
      </c>
      <c r="B1331" s="1" t="s">
        <v>1323</v>
      </c>
      <c r="C1331" t="str">
        <f>IFERROR(__xludf.DUMMYFUNCTION("GOOGLETRANSLATE(B1331, ""es"", ""en"")"),"Recommended more than good price for the quality of the disc bearing in mind the implementation of the new SSD. high speeds and noise negligible. Robust materials compared to other brands. Notably and thank as received. Very well protected from impact and"&amp;" moisture. Giving much more confident about other brands and experiences.")</f>
        <v>Recommended more than good price for the quality of the disc bearing in mind the implementation of the new SSD. high speeds and noise negligible. Robust materials compared to other brands. Notably and thank as received. Very well protected from impact and moisture. Giving much more confident about other brands and experiences.</v>
      </c>
    </row>
    <row r="1332">
      <c r="A1332" s="1">
        <v>4.0</v>
      </c>
      <c r="B1332" s="1" t="s">
        <v>1324</v>
      </c>
      <c r="C1332" t="str">
        <f>IFERROR(__xludf.DUMMYFUNCTION("GOOGLETRANSLATE(B1332, ""es"", ""en"")"),"SMOOTH use it to cook for a hundred people and gave no problem. It warmed up a little but within normal")</f>
        <v>SMOOTH use it to cook for a hundred people and gave no problem. It warmed up a little but within normal</v>
      </c>
    </row>
    <row r="1333">
      <c r="A1333" s="1">
        <v>4.0</v>
      </c>
      <c r="B1333" s="1" t="s">
        <v>1325</v>
      </c>
      <c r="C1333" t="str">
        <f>IFERROR(__xludf.DUMMYFUNCTION("GOOGLETRANSLATE(B1333, ""es"", ""en"")"),"Just for photos it is what it is. Nothing else. And as such, it is fine. It is true that costs something to the principle because it will not know how to make it all easier")</f>
        <v>Just for photos it is what it is. Nothing else. And as such, it is fine. It is true that costs something to the principle because it will not know how to make it all easier</v>
      </c>
    </row>
    <row r="1334">
      <c r="A1334" s="1">
        <v>4.0</v>
      </c>
      <c r="B1334" s="1" t="s">
        <v>1326</v>
      </c>
      <c r="C1334" t="str">
        <f>IFERROR(__xludf.DUMMYFUNCTION("GOOGLETRANSLATE(B1334, ""es"", ""en"")"),"Very good sound, but ... great sound quality. Sony application lets you customize them to your liking. The only but I found them is they do not have resistance to water and sweat, is clearly not a headset for sports, but with that price, rainy days wear t"&amp;"hem fear ...")</f>
        <v>Very good sound, but ... great sound quality. Sony application lets you customize them to your liking. The only but I found them is they do not have resistance to water and sweat, is clearly not a headset for sports, but with that price, rainy days wear them fear ...</v>
      </c>
    </row>
    <row r="1335">
      <c r="A1335" s="1">
        <v>5.0</v>
      </c>
      <c r="B1335" s="1" t="s">
        <v>1327</v>
      </c>
      <c r="C1335" t="str">
        <f>IFERROR(__xludf.DUMMYFUNCTION("GOOGLETRANSLATE(B1335, ""es"", ""en"")"),"Just like that photo Very beautiful and very well delivered, with the box of the bell, the stock market and even a tape zeal with teddy bears to close the bag.")</f>
        <v>Just like that photo Very beautiful and very well delivered, with the box of the bell, the stock market and even a tape zeal with teddy bears to close the bag.</v>
      </c>
    </row>
    <row r="1336">
      <c r="A1336" s="1">
        <v>5.0</v>
      </c>
      <c r="B1336" s="1" t="s">
        <v>1328</v>
      </c>
      <c r="C1336" t="str">
        <f>IFERROR(__xludf.DUMMYFUNCTION("GOOGLETRANSLATE(B1336, ""es"", ""en"")"),"Good Very cool")</f>
        <v>Good Very cool</v>
      </c>
    </row>
    <row r="1337">
      <c r="A1337" s="1">
        <v>5.0</v>
      </c>
      <c r="B1337" s="1" t="s">
        <v>1329</v>
      </c>
      <c r="C1337" t="str">
        <f>IFERROR(__xludf.DUMMYFUNCTION("GOOGLETRANSLATE(B1337, ""es"", ""en"")"),"Very well made 100% leather, recommended to 100% can be adjusted very carefully.")</f>
        <v>Very well made 100% leather, recommended to 100% can be adjusted very carefully.</v>
      </c>
    </row>
    <row r="1338">
      <c r="A1338" s="1">
        <v>5.0</v>
      </c>
      <c r="B1338" s="1" t="s">
        <v>1330</v>
      </c>
      <c r="C1338" t="str">
        <f>IFERROR(__xludf.DUMMYFUNCTION("GOOGLETRANSLATE(B1338, ""es"", ""en"")"),"George is very good indeed just that size is a bit long but I was not looking good measures mistake of mine, phenomenal product")</f>
        <v>George is very good indeed just that size is a bit long but I was not looking good measures mistake of mine, phenomenal product</v>
      </c>
    </row>
    <row r="1339">
      <c r="A1339" s="1">
        <v>5.0</v>
      </c>
      <c r="B1339" s="1" t="s">
        <v>1331</v>
      </c>
      <c r="C1339" t="str">
        <f>IFERROR(__xludf.DUMMYFUNCTION("GOOGLETRANSLATE(B1339, ""es"", ""en"")"),"Versatility is the first time I taste this type of headphones, the truth that surprised me. Although it lacks some serious, it is quite useful especially considering they are loaded while they are stored on your box.")</f>
        <v>Versatility is the first time I taste this type of headphones, the truth that surprised me. Although it lacks some serious, it is quite useful especially considering they are loaded while they are stored on your box.</v>
      </c>
    </row>
    <row r="1340">
      <c r="A1340" s="1">
        <v>5.0</v>
      </c>
      <c r="B1340" s="1" t="s">
        <v>1332</v>
      </c>
      <c r="C1340" t="str">
        <f>IFERROR(__xludf.DUMMYFUNCTION("GOOGLETRANSLATE(B1340, ""es"", ""en"")"),"I love. Super quality price. A super come soon. Just open the package and saw it was great strong zippers all good quality, very happy.")</f>
        <v>I love. Super quality price. A super come soon. Just open the package and saw it was great strong zippers all good quality, very happy.</v>
      </c>
    </row>
    <row r="1341">
      <c r="A1341" s="1">
        <v>5.0</v>
      </c>
      <c r="B1341" s="1" t="s">
        <v>1333</v>
      </c>
      <c r="C1341" t="str">
        <f>IFERROR(__xludf.DUMMYFUNCTION("GOOGLETRANSLATE(B1341, ""es"", ""en"")"),"RECOMENDABLE It helps especially circulation. It does not hurt and if it is true that the early days leaves you bruised. Recommended for people who want to improve venous return circulation and relieve the legs.")</f>
        <v>RECOMENDABLE It helps especially circulation. It does not hurt and if it is true that the early days leaves you bruised. Recommended for people who want to improve venous return circulation and relieve the legs.</v>
      </c>
    </row>
    <row r="1342">
      <c r="A1342" s="1">
        <v>5.0</v>
      </c>
      <c r="B1342" s="1" t="s">
        <v>1334</v>
      </c>
      <c r="C1342" t="str">
        <f>IFERROR(__xludf.DUMMYFUNCTION("GOOGLETRANSLATE(B1342, ""es"", ""en"")"),"Cool headphones Very good wireless headphones, have a great autonomy, retaining excellent ear for any sport. It has an excellent quality. Not being as expensive as headphones of the same range. I recommend purchase because it perfectly fits the descriptio"&amp;"n provided by the manufacturer.")</f>
        <v>Cool headphones Very good wireless headphones, have a great autonomy, retaining excellent ear for any sport. It has an excellent quality. Not being as expensive as headphones of the same range. I recommend purchase because it perfectly fits the description provided by the manufacturer.</v>
      </c>
    </row>
    <row r="1343">
      <c r="A1343" s="1">
        <v>5.0</v>
      </c>
      <c r="B1343" s="1" t="s">
        <v>1335</v>
      </c>
      <c r="C1343" t="str">
        <f>IFERROR(__xludf.DUMMYFUNCTION("GOOGLETRANSLATE(B1343, ""es"", ""en"")"),"I love exactly what I wanted, was to make a gift to my daughter and has delighted and also has very little wrist and can be adjusted perfectly")</f>
        <v>I love exactly what I wanted, was to make a gift to my daughter and has delighted and also has very little wrist and can be adjusted perfectly</v>
      </c>
    </row>
    <row r="1344">
      <c r="A1344" s="1">
        <v>5.0</v>
      </c>
      <c r="B1344" s="1" t="s">
        <v>1336</v>
      </c>
      <c r="C1344" t="str">
        <f>IFERROR(__xludf.DUMMYFUNCTION("GOOGLETRANSLATE(B1344, ""es"", ""en"")"),"Super quality I bought several of these cables, and use for balanced mono signal. Fantastic for this use.")</f>
        <v>Super quality I bought several of these cables, and use for balanced mono signal. Fantastic for this use.</v>
      </c>
    </row>
    <row r="1345">
      <c r="A1345" s="1">
        <v>5.0</v>
      </c>
      <c r="B1345" s="1" t="s">
        <v>1337</v>
      </c>
      <c r="C1345" t="str">
        <f>IFERROR(__xludf.DUMMYFUNCTION("GOOGLETRANSLATE(B1345, ""es"", ""en"")"),"They are very comfortable and overjoyed ..... estupendas.Ha been a good recommended buying the recomiendo.Estamos very ContentosEl model is great, comfortable and ligero.Aún have not used it, but the product is as is shown in the photo.")</f>
        <v>They are very comfortable and overjoyed ..... estupendas.Ha been a good recommended buying the recomiendo.Estamos very ContentosEl model is great, comfortable and ligero.Aún have not used it, but the product is as is shown in the photo.</v>
      </c>
    </row>
    <row r="1346">
      <c r="A1346" s="1">
        <v>5.0</v>
      </c>
      <c r="B1346" s="1" t="s">
        <v>1338</v>
      </c>
      <c r="C1346" t="str">
        <f>IFERROR(__xludf.DUMMYFUNCTION("GOOGLETRANSLATE(B1346, ""es"", ""en"")"),"Bluetooth headset Product convenient for your daily life. These headphones have them at work because I may use them without being seen since my hair covers my very small and comfortable. recommended price for quality")</f>
        <v>Bluetooth headset Product convenient for your daily life. These headphones have them at work because I may use them without being seen since my hair covers my very small and comfortable. recommended price for quality</v>
      </c>
    </row>
    <row r="1347">
      <c r="A1347" s="1">
        <v>5.0</v>
      </c>
      <c r="B1347" s="1" t="s">
        <v>1339</v>
      </c>
      <c r="C1347" t="str">
        <f>IFERROR(__xludf.DUMMYFUNCTION("GOOGLETRANSLATE(B1347, ""es"", ""en"")"),"They are practical and comfortable as they are in the picture, the fabric very comfortable and I think the price and quality they offer is great. I wanted them to the beach and are highly recommended both to avoid the sand hot enough to get them into the "&amp;"water.")</f>
        <v>They are practical and comfortable as they are in the picture, the fabric very comfortable and I think the price and quality they offer is great. I wanted them to the beach and are highly recommended both to avoid the sand hot enough to get them into the water.</v>
      </c>
    </row>
    <row r="1348">
      <c r="A1348" s="1">
        <v>5.0</v>
      </c>
      <c r="B1348" s="1" t="s">
        <v>1340</v>
      </c>
      <c r="C1348" t="str">
        <f>IFERROR(__xludf.DUMMYFUNCTION("GOOGLETRANSLATE(B1348, ""es"", ""en"")"),"I liked the wonderful product. The shipping was fast. Good quality and the announcement ACCORDING TO. all great. I recommend thank you very much")</f>
        <v>I liked the wonderful product. The shipping was fast. Good quality and the announcement ACCORDING TO. all great. I recommend thank you very much</v>
      </c>
    </row>
    <row r="1349">
      <c r="A1349" s="1">
        <v>5.0</v>
      </c>
      <c r="B1349" s="1" t="s">
        <v>1341</v>
      </c>
      <c r="C1349" t="str">
        <f>IFERROR(__xludf.DUMMYFUNCTION("GOOGLETRANSLATE(B1349, ""es"", ""en"")"),"Very good buy fine and elegant, and more comfortable than I expected")</f>
        <v>Very good buy fine and elegant, and more comfortable than I expected</v>
      </c>
    </row>
    <row r="1350">
      <c r="A1350" s="1">
        <v>5.0</v>
      </c>
      <c r="B1350" s="1" t="s">
        <v>1342</v>
      </c>
      <c r="C1350" t="str">
        <f>IFERROR(__xludf.DUMMYFUNCTION("GOOGLETRANSLATE(B1350, ""es"", ""en"")"),"Good quality. I've used for my YouTube videos. The truth that is fine using certain programs to improve the recording is very professional. I miss him miss an arm for comfort, because if you use the pad or filter, to have him something away from the face "&amp;"does not sound very high (you must raise your voice). So it is annoying to have to bring the microphone and watch that metal contraption (the base, which is great) planted in front of the keyboard and mouse, consuming all the space on the table, affecting"&amp;" my comfort. I use to tell, so I remove an arm of this ruling only that I find.")</f>
        <v>Good quality. I've used for my YouTube videos. The truth that is fine using certain programs to improve the recording is very professional. I miss him miss an arm for comfort, because if you use the pad or filter, to have him something away from the face does not sound very high (you must raise your voice). So it is annoying to have to bring the microphone and watch that metal contraption (the base, which is great) planted in front of the keyboard and mouse, consuming all the space on the table, affecting my comfort. I use to tell, so I remove an arm of this ruling only that I find.</v>
      </c>
    </row>
    <row r="1351">
      <c r="A1351" s="1">
        <v>5.0</v>
      </c>
      <c r="B1351" s="1" t="s">
        <v>1343</v>
      </c>
      <c r="C1351" t="str">
        <f>IFERROR(__xludf.DUMMYFUNCTION("GOOGLETRANSLATE(B1351, ""es"", ""en"")"),"CORRECT PRODUCT ALL PERFECT")</f>
        <v>CORRECT PRODUCT ALL PERFECT</v>
      </c>
    </row>
    <row r="1352">
      <c r="A1352" s="1">
        <v>5.0</v>
      </c>
      <c r="B1352" s="1" t="s">
        <v>1344</v>
      </c>
      <c r="C1352" t="str">
        <f>IFERROR(__xludf.DUMMYFUNCTION("GOOGLETRANSLATE(B1352, ""es"", ""en"")"),"😁 😁😁")</f>
        <v>😁 😁😁</v>
      </c>
    </row>
    <row r="1353">
      <c r="A1353" s="1">
        <v>5.0</v>
      </c>
      <c r="B1353" s="1" t="s">
        <v>1345</v>
      </c>
      <c r="C1353" t="str">
        <f>IFERROR(__xludf.DUMMYFUNCTION("GOOGLETRANSLATE(B1353, ""es"", ""en"")"),"High-quality headphones and very practical This is a headset of good quality, very practical and very comfortable for everyday use. In the photos you will appreciate the good finishes presenting. They are very light and easy to transport as it can be easi"&amp;"ly folded. The sound is crisp and pleasant. It has a soft tissue level headband to fit well and gently to the head and the pinna. Can be connected via bluetooth to the audio source station, it has USB port for charging the headphones and they can be used "&amp;"wirelessly and has a fairly long half-life of autonomy. They can also be connected via cable to the audio emitting device. I know I bought my partner because I needed a headset to study long hours and watch classes at home and is very happy with how comfo"&amp;"rtable they are. Certainly I recommend the product.")</f>
        <v>High-quality headphones and very practical This is a headset of good quality, very practical and very comfortable for everyday use. In the photos you will appreciate the good finishes presenting. They are very light and easy to transport as it can be easily folded. The sound is crisp and pleasant. It has a soft tissue level headband to fit well and gently to the head and the pinna. Can be connected via bluetooth to the audio source station, it has USB port for charging the headphones and they can be used wirelessly and has a fairly long half-life of autonomy. They can also be connected via cable to the audio emitting device. I know I bought my partner because I needed a headset to study long hours and watch classes at home and is very happy with how comfortable they are. Certainly I recommend the product.</v>
      </c>
    </row>
    <row r="1354">
      <c r="A1354" s="1">
        <v>2.0</v>
      </c>
      <c r="B1354" s="1" t="s">
        <v>1346</v>
      </c>
      <c r="C1354" t="str">
        <f>IFERROR(__xludf.DUMMYFUNCTION("GOOGLETRANSLATE(B1354, ""es"", ""en"")"),"A minute suspicious quality to be charging the LED light broke. I do not know if you return it or keep her, because then it worked very well and light do not think it important. Touch is very nice.")</f>
        <v>A minute suspicious quality to be charging the LED light broke. I do not know if you return it or keep her, because then it worked very well and light do not think it important. Touch is very nice.</v>
      </c>
    </row>
    <row r="1355">
      <c r="A1355" s="1">
        <v>3.0</v>
      </c>
      <c r="B1355" s="1" t="s">
        <v>1347</v>
      </c>
      <c r="C1355" t="str">
        <f>IFERROR(__xludf.DUMMYFUNCTION("GOOGLETRANSLATE(B1355, ""es"", ""en"")"),"Improvable works perfectly. To catch the Blast is correct, but to resave is more expensive; and the entry is this a laughing the plastic with only 1 month of use")</f>
        <v>Improvable works perfectly. To catch the Blast is correct, but to resave is more expensive; and the entry is this a laughing the plastic with only 1 month of use</v>
      </c>
    </row>
    <row r="1356">
      <c r="A1356" s="1">
        <v>3.0</v>
      </c>
      <c r="B1356" s="1" t="s">
        <v>1348</v>
      </c>
      <c r="C1356" t="str">
        <f>IFERROR(__xludf.DUMMYFUNCTION("GOOGLETRANSLATE(B1356, ""es"", ""en"")"),"Corresponds very nice photo. It is very nice")</f>
        <v>Corresponds very nice photo. It is very nice</v>
      </c>
    </row>
    <row r="1357">
      <c r="A1357" s="1">
        <v>1.0</v>
      </c>
      <c r="B1357" s="1" t="s">
        <v>1349</v>
      </c>
      <c r="C1357" t="str">
        <f>IFERROR(__xludf.DUMMYFUNCTION("GOOGLETRANSLATE(B1357, ""es"", ""en"")"),"do not buy them 2.5mm and 2.5mm arrived I are not of that caliber, if I put in the package were 2.5mm but comparing it with wires that have thick are quite finest not recommend purchase")</f>
        <v>do not buy them 2.5mm and 2.5mm arrived I are not of that caliber, if I put in the package were 2.5mm but comparing it with wires that have thick are quite finest not recommend purchase</v>
      </c>
    </row>
    <row r="1358">
      <c r="A1358" s="1">
        <v>1.0</v>
      </c>
      <c r="B1358" s="1" t="s">
        <v>1350</v>
      </c>
      <c r="C1358" t="str">
        <f>IFERROR(__xludf.DUMMYFUNCTION("GOOGLETRANSLATE(B1358, ""es"", ""en"")"),"DEFECTIVE glass tumbler, SE RAJA TO THE wash it by washing glass is glass of warm water has been cracked, purchased last July, I called Technical Support Amazon and do not answer, under warranty. I use very little, it is the second unit happens to me. Att"&amp;"ached photos of the two units, the first unit purchased in foreign trade, such as warranty claim not find tiquet purchase. Both are used rarely and periodically")</f>
        <v>DEFECTIVE glass tumbler, SE RAJA TO THE wash it by washing glass is glass of warm water has been cracked, purchased last July, I called Technical Support Amazon and do not answer, under warranty. I use very little, it is the second unit happens to me. Attached photos of the two units, the first unit purchased in foreign trade, such as warranty claim not find tiquet purchase. Both are used rarely and periodically</v>
      </c>
    </row>
    <row r="1359">
      <c r="A1359" s="1">
        <v>4.0</v>
      </c>
      <c r="B1359" s="1" t="s">
        <v>1351</v>
      </c>
      <c r="C1359" t="str">
        <f>IFERROR(__xludf.DUMMYFUNCTION("GOOGLETRANSLATE(B1359, ""es"", ""en"")"),"Very good headphones comfortable, cable very long. It can be used with 3'5mm jack mic and stereo headset or USB which get surround sound. USB does not work with Nintendo or Xbox 360. Switch can not talk about other consoles.")</f>
        <v>Very good headphones comfortable, cable very long. It can be used with 3'5mm jack mic and stereo headset or USB which get surround sound. USB does not work with Nintendo or Xbox 360. Switch can not talk about other consoles.</v>
      </c>
    </row>
    <row r="1360">
      <c r="A1360" s="1">
        <v>4.0</v>
      </c>
      <c r="B1360" s="1" t="s">
        <v>1352</v>
      </c>
      <c r="C1360" t="str">
        <f>IFERROR(__xludf.DUMMYFUNCTION("GOOGLETRANSLATE(B1360, ""es"", ""en"")"),"I could not very pretty still check the quality of the product because only me I put it once, but I find it beautiful. I put 4 stars because the chain was released, but could fix again.")</f>
        <v>I could not very pretty still check the quality of the product because only me I put it once, but I find it beautiful. I put 4 stars because the chain was released, but could fix again.</v>
      </c>
    </row>
    <row r="1361">
      <c r="A1361" s="1">
        <v>4.0</v>
      </c>
      <c r="B1361" s="1" t="s">
        <v>1353</v>
      </c>
      <c r="C1361" t="str">
        <f>IFERROR(__xludf.DUMMYFUNCTION("GOOGLETRANSLATE(B1361, ""es"", ""en"")"),"It is very good buy for a high school student, it is a canvas bag with a cloth slightly tough and coffee manchadizo for its color. It has several pockets to put everything and separation with a quilted fabric to protect a laptop.")</f>
        <v>It is very good buy for a high school student, it is a canvas bag with a cloth slightly tough and coffee manchadizo for its color. It has several pockets to put everything and separation with a quilted fabric to protect a laptop.</v>
      </c>
    </row>
    <row r="1362">
      <c r="A1362" s="1">
        <v>4.0</v>
      </c>
      <c r="B1362" s="1" t="s">
        <v>1354</v>
      </c>
      <c r="C1362" t="str">
        <f>IFERROR(__xludf.DUMMYFUNCTION("GOOGLETRANSLATE(B1362, ""es"", ""en"")"),"Excellent watch for everyday use. Is a watch that works very well, it meets the expectations of a clock that does not have to envy the most expensive with the same features. Perhaps the only drawback is that having an iPhone, in the morning, after having "&amp;"it in charge, I have to open the application again for the link occurs. But otherwise very good, almost weightless, and very good price.")</f>
        <v>Excellent watch for everyday use. Is a watch that works very well, it meets the expectations of a clock that does not have to envy the most expensive with the same features. Perhaps the only drawback is that having an iPhone, in the morning, after having it in charge, I have to open the application again for the link occurs. But otherwise very good, almost weightless, and very good price.</v>
      </c>
    </row>
    <row r="1363">
      <c r="A1363" s="1">
        <v>4.0</v>
      </c>
      <c r="B1363" s="1" t="s">
        <v>1355</v>
      </c>
      <c r="C1363" t="str">
        <f>IFERROR(__xludf.DUMMYFUNCTION("GOOGLETRANSLATE(B1363, ""es"", ""en"")"),"Good shirt good shirt but I bought big, for 183cm 85kg M size is perfect")</f>
        <v>Good shirt good shirt but I bought big, for 183cm 85kg M size is perfect</v>
      </c>
    </row>
    <row r="1364">
      <c r="A1364" s="1">
        <v>5.0</v>
      </c>
      <c r="B1364" s="1" t="s">
        <v>1356</v>
      </c>
      <c r="C1364" t="str">
        <f>IFERROR(__xludf.DUMMYFUNCTION("GOOGLETRANSLATE(B1364, ""es"", ""en"")"),"Good value for money. Large pen drive, pretty fast, quality feel and a very good price")</f>
        <v>Good value for money. Large pen drive, pretty fast, quality feel and a very good price</v>
      </c>
    </row>
    <row r="1365">
      <c r="A1365" s="1">
        <v>5.0</v>
      </c>
      <c r="B1365" s="1" t="s">
        <v>1357</v>
      </c>
      <c r="C1365" t="str">
        <f>IFERROR(__xludf.DUMMYFUNCTION("GOOGLETRANSLATE(B1365, ""es"", ""en"")"),"Great buy Lovely, large and robust. Super Pita high when the water is hot.")</f>
        <v>Great buy Lovely, large and robust. Super Pita high when the water is hot.</v>
      </c>
    </row>
    <row r="1366">
      <c r="A1366" s="1">
        <v>5.0</v>
      </c>
      <c r="B1366" s="1" t="s">
        <v>1358</v>
      </c>
      <c r="C1366" t="str">
        <f>IFERROR(__xludf.DUMMYFUNCTION("GOOGLETRANSLATE(B1366, ""es"", ""en"")"),"Perfect buy Lovely product That Got here on time and it was in great conditions. I would definitely buy here again, and it was a great offer.")</f>
        <v>Perfect buy Lovely product That Got here on time and it was in great conditions. I would definitely buy here again, and it was a great offer.</v>
      </c>
    </row>
    <row r="1367">
      <c r="A1367" s="1">
        <v>5.0</v>
      </c>
      <c r="B1367" s="1" t="s">
        <v>1359</v>
      </c>
      <c r="C1367" t="str">
        <f>IFERROR(__xludf.DUMMYFUNCTION("GOOGLETRANSLATE(B1367, ""es"", ""en"")"),"Correct test is performed only speed opening the package. For the price it is correct (96 MB / s in reading when they say 95 MB / s).")</f>
        <v>Correct test is performed only speed opening the package. For the price it is correct (96 MB / s in reading when they say 95 MB / s).</v>
      </c>
    </row>
    <row r="1368">
      <c r="A1368" s="1">
        <v>5.0</v>
      </c>
      <c r="B1368" s="1" t="s">
        <v>1360</v>
      </c>
      <c r="C1368" t="str">
        <f>IFERROR(__xludf.DUMMYFUNCTION("GOOGLETRANSLATE(B1368, ""es"", ""en"")"),"Salomon is eapectacular So comfortable. I am delighted. precious")</f>
        <v>Salomon is eapectacular So comfortable. I am delighted. precious</v>
      </c>
    </row>
    <row r="1369">
      <c r="A1369" s="1">
        <v>5.0</v>
      </c>
      <c r="B1369" s="1" t="s">
        <v>1361</v>
      </c>
      <c r="C1369" t="str">
        <f>IFERROR(__xludf.DUMMYFUNCTION("GOOGLETRANSLATE(B1369, ""es"", ""en"")"),"Good quality very happy")</f>
        <v>Good quality very happy</v>
      </c>
    </row>
    <row r="1370">
      <c r="A1370" s="1">
        <v>5.0</v>
      </c>
      <c r="B1370" s="1" t="s">
        <v>1362</v>
      </c>
      <c r="C1370" t="str">
        <f>IFERROR(__xludf.DUMMYFUNCTION("GOOGLETRANSLATE(B1370, ""es"", ""en"")"),"Geniuses excellent sport earphones headphones, listening with a much higher quality audio of my expectations. They have a very professional finish, along with a plastic wrap that make them waterproof. It also has buttons in the ears that although they cou"&amp;"ld be in another besieged that facilitates pressed, you have option to move back or forward songs, play and mute and volume up and down. They fit very well and which makes while doing sport not move anything. 👌🏻 also has magnetized the charging station "&amp;"and is very convenient and practical 🙌🏻")</f>
        <v>Geniuses excellent sport earphones headphones, listening with a much higher quality audio of my expectations. They have a very professional finish, along with a plastic wrap that make them waterproof. It also has buttons in the ears that although they could be in another besieged that facilitates pressed, you have option to move back or forward songs, play and mute and volume up and down. They fit very well and which makes while doing sport not move anything. 👌🏻 also has magnetized the charging station and is very convenient and practical 🙌🏻</v>
      </c>
    </row>
    <row r="1371">
      <c r="A1371" s="1">
        <v>5.0</v>
      </c>
      <c r="B1371" s="1" t="s">
        <v>1363</v>
      </c>
      <c r="C1371" t="str">
        <f>IFERROR(__xludf.DUMMYFUNCTION("GOOGLETRANSLATE(B1371, ""es"", ""en"")"),"Well None of the other world, a cable replaces another already called for the retirement, the same as me, but instead the cable, I must to wait a little longer.")</f>
        <v>Well None of the other world, a cable replaces another already called for the retirement, the same as me, but instead the cable, I must to wait a little longer.</v>
      </c>
    </row>
    <row r="1372">
      <c r="A1372" s="1">
        <v>5.0</v>
      </c>
      <c r="B1372" s="1" t="s">
        <v>1364</v>
      </c>
      <c r="C1372" t="str">
        <f>IFERROR(__xludf.DUMMYFUNCTION("GOOGLETRANSLATE(B1372, ""es"", ""en"")"),"Cleaning quickly and safely not scratch, slides easily over the vinyl record, and also with the auxiliary brush needle is the perfect complement to keep clean your vinyl. It takes up very little space and is very functional. Very satisfied with the purcha"&amp;"se.")</f>
        <v>Cleaning quickly and safely not scratch, slides easily over the vinyl record, and also with the auxiliary brush needle is the perfect complement to keep clean your vinyl. It takes up very little space and is very functional. Very satisfied with the purchase.</v>
      </c>
    </row>
    <row r="1373">
      <c r="A1373" s="1">
        <v>5.0</v>
      </c>
      <c r="B1373" s="1" t="s">
        <v>1365</v>
      </c>
      <c r="C1373" t="str">
        <f>IFERROR(__xludf.DUMMYFUNCTION("GOOGLETRANSLATE(B1373, ""es"", ""en"")"),"Quality / price GENIAL I liked, speed of service, quality / price can not ask for more, it is very clean and great Molon! Surely I'll buy some more.")</f>
        <v>Quality / price GENIAL I liked, speed of service, quality / price can not ask for more, it is very clean and great Molon! Surely I'll buy some more.</v>
      </c>
    </row>
    <row r="1374">
      <c r="A1374" s="1">
        <v>5.0</v>
      </c>
      <c r="B1374" s="1" t="s">
        <v>1366</v>
      </c>
      <c r="C1374" t="str">
        <f>IFERROR(__xludf.DUMMYFUNCTION("GOOGLETRANSLATE(B1374, ""es"", ""en"")"),"PENDING We liked AROS are in perfect condition")</f>
        <v>PENDING We liked AROS are in perfect condition</v>
      </c>
    </row>
    <row r="1375">
      <c r="A1375" s="1">
        <v>5.0</v>
      </c>
      <c r="B1375" s="1" t="s">
        <v>1367</v>
      </c>
      <c r="C1375" t="str">
        <f>IFERROR(__xludf.DUMMYFUNCTION("GOOGLETRANSLATE(B1375, ""es"", ""en"")"),"Perfect Perfect Everything works perfectly, meets all expectations, fast shipping.")</f>
        <v>Perfect Perfect Everything works perfectly, meets all expectations, fast shipping.</v>
      </c>
    </row>
    <row r="1376">
      <c r="A1376" s="1">
        <v>5.0</v>
      </c>
      <c r="B1376" s="1" t="s">
        <v>1368</v>
      </c>
      <c r="C1376" t="str">
        <f>IFERROR(__xludf.DUMMYFUNCTION("GOOGLETRANSLATE(B1376, ""es"", ""en"")"),"Very fluid I got put into a computer for multimedia, it only takes charge of the operating system, so I opted for the 60GB, since I have a NAS with movies and so on, the drive is SSD so it is not mechanical and goes very fluid")</f>
        <v>Very fluid I got put into a computer for multimedia, it only takes charge of the operating system, so I opted for the 60GB, since I have a NAS with movies and so on, the drive is SSD so it is not mechanical and goes very fluid</v>
      </c>
    </row>
    <row r="1377">
      <c r="A1377" s="1">
        <v>5.0</v>
      </c>
      <c r="B1377" s="1" t="s">
        <v>1369</v>
      </c>
      <c r="C1377" t="str">
        <f>IFERROR(__xludf.DUMMYFUNCTION("GOOGLETRANSLATE(B1377, ""es"", ""en"")"),"Phenomenal recommended")</f>
        <v>Phenomenal recommended</v>
      </c>
    </row>
    <row r="1378">
      <c r="A1378" s="1">
        <v>5.0</v>
      </c>
      <c r="B1378" s="1" t="s">
        <v>1370</v>
      </c>
      <c r="C1378" t="str">
        <f>IFERROR(__xludf.DUMMYFUNCTION("GOOGLETRANSLATE(B1378, ""es"", ""en"")"),"RFID - ANTI-FRAUD Delivery time is very good. The product is what it claims to be. The cover is flexible and seems durable. I have wide edges, I imagine that will not break easily. In billfolds you narrow probably fit very fair")</f>
        <v>RFID - ANTI-FRAUD Delivery time is very good. The product is what it claims to be. The cover is flexible and seems durable. I have wide edges, I imagine that will not break easily. In billfolds you narrow probably fit very fair</v>
      </c>
    </row>
    <row r="1379">
      <c r="A1379" s="1">
        <v>5.0</v>
      </c>
      <c r="B1379" s="1" t="s">
        <v>1371</v>
      </c>
      <c r="C1379" t="str">
        <f>IFERROR(__xludf.DUMMYFUNCTION("GOOGLETRANSLATE(B1379, ""es"", ""en"")"),"Quality / Price The day I bought (September 4th. 2017), was undoubtedly the best SSD for quality / price. Not only by the speed of reading and writing, but also by the ability. It works great and gives a great speed boost to any computer that is installed"&amp;". Pros: speed, easy installation and capacity Cons: None Recommended to anyone who wants to give a speed change to your computer or laptop")</f>
        <v>Quality / Price The day I bought (September 4th. 2017), was undoubtedly the best SSD for quality / price. Not only by the speed of reading and writing, but also by the ability. It works great and gives a great speed boost to any computer that is installed. Pros: speed, easy installation and capacity Cons: None Recommended to anyone who wants to give a speed change to your computer or laptop</v>
      </c>
    </row>
    <row r="1380">
      <c r="A1380" s="1">
        <v>5.0</v>
      </c>
      <c r="B1380" s="1" t="s">
        <v>1372</v>
      </c>
      <c r="C1380" t="str">
        <f>IFERROR(__xludf.DUMMYFUNCTION("GOOGLETRANSLATE(B1380, ""es"", ""en"")"),"Good finish and very comfortable. For now very well, it meets specified in the sale of the item. Well finished working properly and very comfortable straps. you can not ask for 15 €.")</f>
        <v>Good finish and very comfortable. For now very well, it meets specified in the sale of the item. Well finished working properly and very comfortable straps. you can not ask for 15 €.</v>
      </c>
    </row>
    <row r="1381">
      <c r="A1381" s="1">
        <v>5.0</v>
      </c>
      <c r="B1381" s="1" t="s">
        <v>1373</v>
      </c>
      <c r="C1381" t="str">
        <f>IFERROR(__xludf.DUMMYFUNCTION("GOOGLETRANSLATE(B1381, ""es"", ""en"")"),"Worth buying, even 2 units !! It's just great! The mechanism is super basic, but really useful. Does the job! We bought it to clean the radiators inside wet and it's a blast !! Impeccable have stayed in a few minutes! The only thing that the radiator has "&amp;"segments with the grooves estrechitas costs more. Pure bliss !! normally aspire and at this time we usually clean the rollers with plastic hairs typical of the Chinese ... and just to pull .... NOTHING TO DO !!! It is immaculate. the washer and the next. "&amp;"3 year warranty as well!")</f>
        <v>Worth buying, even 2 units !! It's just great! The mechanism is super basic, but really useful. Does the job! We bought it to clean the radiators inside wet and it's a blast !! Impeccable have stayed in a few minutes! The only thing that the radiator has segments with the grooves estrechitas costs more. Pure bliss !! normally aspire and at this time we usually clean the rollers with plastic hairs typical of the Chinese ... and just to pull .... NOTHING TO DO !!! It is immaculate. the washer and the next. 3 year warranty as well!</v>
      </c>
    </row>
    <row r="1382">
      <c r="A1382" s="1">
        <v>5.0</v>
      </c>
      <c r="B1382" s="1" t="s">
        <v>1374</v>
      </c>
      <c r="C1382" t="str">
        <f>IFERROR(__xludf.DUMMYFUNCTION("GOOGLETRANSLATE(B1382, ""es"", ""en"")"),"BEAUTIFUL AND COMFORTABLE is prettier in the hand that you see in the photos and pictures and pretty looks, to me is the perfect size to carry the most necessary things in minimum space and very comfortable as it adapts perfectly to the body. The fabric i"&amp;"s really good quality, the truth is that is very elegant and has many details and compartments that make it perfect. I like very much")</f>
        <v>BEAUTIFUL AND COMFORTABLE is prettier in the hand that you see in the photos and pictures and pretty looks, to me is the perfect size to carry the most necessary things in minimum space and very comfortable as it adapts perfectly to the body. The fabric is really good quality, the truth is that is very elegant and has many details and compartments that make it perfect. I like very much</v>
      </c>
    </row>
    <row r="1383">
      <c r="A1383" s="1">
        <v>2.0</v>
      </c>
      <c r="B1383" s="1" t="s">
        <v>1375</v>
      </c>
      <c r="C1383" t="str">
        <f>IFERROR(__xludf.DUMMYFUNCTION("GOOGLETRANSLATE(B1383, ""es"", ""en"")"),"They give much yield a lot. You buy your size and the final will worth your boyfriend.")</f>
        <v>They give much yield a lot. You buy your size and the final will worth your boyfriend.</v>
      </c>
    </row>
    <row r="1384">
      <c r="A1384" s="1">
        <v>3.0</v>
      </c>
      <c r="B1384" s="1" t="s">
        <v>1376</v>
      </c>
      <c r="C1384" t="str">
        <f>IFERROR(__xludf.DUMMYFUNCTION("GOOGLETRANSLATE(B1384, ""es"", ""en"")"),"Wide variety hotmelt covers and sizes discharge their responsibilities, no objections")</f>
        <v>Wide variety hotmelt covers and sizes discharge their responsibilities, no objections</v>
      </c>
    </row>
    <row r="1385">
      <c r="A1385" s="1">
        <v>3.0</v>
      </c>
      <c r="B1385" s="1" t="s">
        <v>1377</v>
      </c>
      <c r="C1385" t="str">
        <f>IFERROR(__xludf.DUMMYFUNCTION("GOOGLETRANSLATE(B1385, ""es"", ""en"")"),"Acceptable passable, but it not used to crush ice, which is what he wanted her ... so little else to say ...")</f>
        <v>Acceptable passable, but it not used to crush ice, which is what he wanted her ... so little else to say ...</v>
      </c>
    </row>
    <row r="1386">
      <c r="A1386" s="1">
        <v>1.0</v>
      </c>
      <c r="B1386" s="1" t="s">
        <v>1378</v>
      </c>
      <c r="C1386" t="str">
        <f>IFERROR(__xludf.DUMMYFUNCTION("GOOGLETRANSLATE(B1386, ""es"", ""en"")"),"does not collect dust rather comfortable to use, it's nothing effective")</f>
        <v>does not collect dust rather comfortable to use, it's nothing effective</v>
      </c>
    </row>
    <row r="1387">
      <c r="A1387" s="1">
        <v>1.0</v>
      </c>
      <c r="B1387" s="1" t="s">
        <v>1379</v>
      </c>
      <c r="C1387" t="str">
        <f>IFERROR(__xludf.DUMMYFUNCTION("GOOGLETRANSLATE(B1387, ""es"", ""en"")"),"Poor quality poor quality. defective came, the temperature control did not work.")</f>
        <v>Poor quality poor quality. defective came, the temperature control did not work.</v>
      </c>
    </row>
    <row r="1388">
      <c r="A1388" s="1">
        <v>1.0</v>
      </c>
      <c r="B1388" s="1" t="s">
        <v>1380</v>
      </c>
      <c r="C1388" t="str">
        <f>IFERROR(__xludf.DUMMYFUNCTION("GOOGLETRANSLATE(B1388, ""es"", ""en"")"),"Discontent comes in a bag, without its original box I bought this product after the return of another Casio was clearly imitation without instructions and with scratched glass ... look for another option in which were certain that came with your Casio box"&amp;" and instructions and saw original photos from users that this brought them. To my surprise again, I received the item in the same way (with instructions, protective glasses and looks original, of course). Discontent receive again so why is for a gift, an"&amp;"d deliver a 12 year old girl a product seems very sad ...")</f>
        <v>Discontent comes in a bag, without its original box I bought this product after the return of another Casio was clearly imitation without instructions and with scratched glass ... look for another option in which were certain that came with your Casio box and instructions and saw original photos from users that this brought them. To my surprise again, I received the item in the same way (with instructions, protective glasses and looks original, of course). Discontent receive again so why is for a gift, and deliver a 12 year old girl a product seems very sad ...</v>
      </c>
    </row>
    <row r="1389">
      <c r="A1389" s="1">
        <v>4.0</v>
      </c>
      <c r="B1389" s="1" t="s">
        <v>1381</v>
      </c>
      <c r="C1389" t="str">
        <f>IFERROR(__xludf.DUMMYFUNCTION("GOOGLETRANSLATE(B1389, ""es"", ""en"")"),"Very useful Just what I wanted, harbors wide colossus but not overwhelmed when the weather is cool in summer. The major drawback .. large eyelets or buttons peqeños")</f>
        <v>Very useful Just what I wanted, harbors wide colossus but not overwhelmed when the weather is cool in summer. The major drawback .. large eyelets or buttons peqeños</v>
      </c>
    </row>
    <row r="1390">
      <c r="A1390" s="1">
        <v>4.0</v>
      </c>
      <c r="B1390" s="1" t="s">
        <v>1382</v>
      </c>
      <c r="C1390" t="str">
        <f>IFERROR(__xludf.DUMMYFUNCTION("GOOGLETRANSLATE(B1390, ""es"", ""en"")"),"Good reliability memory card, the brand is a guarantee of safety and reliability. Good typing speed, very good reading. Perfect for Full HD video. unbeatable price, recommended purchase 100%")</f>
        <v>Good reliability memory card, the brand is a guarantee of safety and reliability. Good typing speed, very good reading. Perfect for Full HD video. unbeatable price, recommended purchase 100%</v>
      </c>
    </row>
    <row r="1391">
      <c r="A1391" s="1">
        <v>4.0</v>
      </c>
      <c r="B1391" s="1" t="s">
        <v>1383</v>
      </c>
      <c r="C1391" t="str">
        <f>IFERROR(__xludf.DUMMYFUNCTION("GOOGLETRANSLATE(B1391, ""es"", ""en"")"),"Normal Well, I rather like jealousy coming out with more ease, not how to explain it. Those of APLI, are more thick and when the strips does not go as q but stumbled out fnoise. These are to be finite d scotch")</f>
        <v>Normal Well, I rather like jealousy coming out with more ease, not how to explain it. Those of APLI, are more thick and when the strips does not go as q but stumbled out fnoise. These are to be finite d scotch</v>
      </c>
    </row>
    <row r="1392">
      <c r="A1392" s="1">
        <v>4.0</v>
      </c>
      <c r="B1392" s="1" t="s">
        <v>1384</v>
      </c>
      <c r="C1392" t="str">
        <f>IFERROR(__xludf.DUMMYFUNCTION("GOOGLETRANSLATE(B1392, ""es"", ""en"")"),"Handsome, comfortable and good quality. They are very handsome, comfortable and good quality expected of a brand like Vans. The pille to buy reconditioned because new seem very expensive for a simple model like this.")</f>
        <v>Handsome, comfortable and good quality. They are very handsome, comfortable and good quality expected of a brand like Vans. The pille to buy reconditioned because new seem very expensive for a simple model like this.</v>
      </c>
    </row>
    <row r="1393">
      <c r="A1393" s="1">
        <v>5.0</v>
      </c>
      <c r="B1393" s="1" t="s">
        <v>1385</v>
      </c>
      <c r="C1393" t="str">
        <f>IFERROR(__xludf.DUMMYFUNCTION("GOOGLETRANSLATE(B1393, ""es"", ""en"")"),"The best ointment within its category. Sending and receiving product within the established times. I practice sport wear joints (knees etc.) and all brands and types of cream I've tasted this is the best. the heat effect is noted. Ideal for applying half "&amp;"an hour before the game.")</f>
        <v>The best ointment within its category. Sending and receiving product within the established times. I practice sport wear joints (knees etc.) and all brands and types of cream I've tasted this is the best. the heat effect is noted. Ideal for applying half an hour before the game.</v>
      </c>
    </row>
    <row r="1394">
      <c r="A1394" s="1">
        <v>5.0</v>
      </c>
      <c r="B1394" s="1" t="s">
        <v>1386</v>
      </c>
      <c r="C1394" t="str">
        <f>IFERROR(__xludf.DUMMYFUNCTION("GOOGLETRANSLATE(B1394, ""es"", ""en"")"),"New Balance just perfect")</f>
        <v>New Balance just perfect</v>
      </c>
    </row>
    <row r="1395">
      <c r="A1395" s="1">
        <v>5.0</v>
      </c>
      <c r="B1395" s="1" t="s">
        <v>1387</v>
      </c>
      <c r="C1395" t="str">
        <f>IFERROR(__xludf.DUMMYFUNCTION("GOOGLETRANSLATE(B1395, ""es"", ""en"")"),"Good design perfect quality. It is very comfortable, the perfect size (I have a 42) and size L is nailed. I have already washed and dried ultrasound. Strongly recommended for its price and quality. Repetire")</f>
        <v>Good design perfect quality. It is very comfortable, the perfect size (I have a 42) and size L is nailed. I have already washed and dried ultrasound. Strongly recommended for its price and quality. Repetire</v>
      </c>
    </row>
    <row r="1396">
      <c r="A1396" s="1">
        <v>5.0</v>
      </c>
      <c r="B1396" s="1" t="s">
        <v>1388</v>
      </c>
      <c r="C1396" t="str">
        <f>IFERROR(__xludf.DUMMYFUNCTION("GOOGLETRANSLATE(B1396, ""es"", ""en"")"),"Excellent quality / price This product is really good at a great price, various brands have used before and liked this much or even more than its competitors")</f>
        <v>Excellent quality / price This product is really good at a great price, various brands have used before and liked this much or even more than its competitors</v>
      </c>
    </row>
    <row r="1397">
      <c r="A1397" s="1">
        <v>5.0</v>
      </c>
      <c r="B1397" s="1" t="s">
        <v>1389</v>
      </c>
      <c r="C1397" t="str">
        <f>IFERROR(__xludf.DUMMYFUNCTION("GOOGLETRANSLATE(B1397, ""es"", ""en"")"),"intensive massage the product has a great advantage is that weighs very little, for any standing height can hereby approved and model 5 massage are very very comfortable, when they are massage can increase longer if you like and different power mode.")</f>
        <v>intensive massage the product has a great advantage is that weighs very little, for any standing height can hereby approved and model 5 massage are very very comfortable, when they are massage can increase longer if you like and different power mode.</v>
      </c>
    </row>
    <row r="1398">
      <c r="A1398" s="1">
        <v>5.0</v>
      </c>
      <c r="B1398" s="1" t="s">
        <v>1390</v>
      </c>
      <c r="C1398" t="str">
        <f>IFERROR(__xludf.DUMMYFUNCTION("GOOGLETRANSLATE(B1398, ""es"", ""en"")"),"As well he expected")</f>
        <v>As well he expected</v>
      </c>
    </row>
    <row r="1399">
      <c r="A1399" s="1">
        <v>5.0</v>
      </c>
      <c r="B1399" s="1" t="s">
        <v>1391</v>
      </c>
      <c r="C1399" t="str">
        <f>IFERROR(__xludf.DUMMYFUNCTION("GOOGLETRANSLATE(B1399, ""es"", ""en"")"),"10 I love quality, as they are seen in the images and I arrived early. Would buy again !! 😊")</f>
        <v>10 I love quality, as they are seen in the images and I arrived early. Would buy again !! 😊</v>
      </c>
    </row>
    <row r="1400">
      <c r="A1400" s="1">
        <v>5.0</v>
      </c>
      <c r="B1400" s="1" t="s">
        <v>1392</v>
      </c>
      <c r="C1400" t="str">
        <f>IFERROR(__xludf.DUMMYFUNCTION("GOOGLETRANSLATE(B1400, ""es"", ""en"")"),"New life for old equipment! Here was an old computer and boot it cost and do anything, but just because we want it for basic tasks (surfing the internet, watch a movie, listen to music and some office tasks) ... we did not want to invest too much in expan"&amp;"d or replace it with a more powerful one. So I decided to put an SSD .. and what a change! For € about 23 and we have a team that has nothing to do with before. Starts in a few seconds ... 20-30! and now everything is much more fluid ... If you want to re"&amp;"live some old computer (desktop or laptop) these discs are an excellent choice and this manufacturer have a quality / price FANTASTIC! Have no doubt! to one of them. Cheers!")</f>
        <v>New life for old equipment! Here was an old computer and boot it cost and do anything, but just because we want it for basic tasks (surfing the internet, watch a movie, listen to music and some office tasks) ... we did not want to invest too much in expand or replace it with a more powerful one. So I decided to put an SSD .. and what a change! For € about 23 and we have a team that has nothing to do with before. Starts in a few seconds ... 20-30! and now everything is much more fluid ... If you want to relive some old computer (desktop or laptop) these discs are an excellent choice and this manufacturer have a quality / price FANTASTIC! Have no doubt! to one of them. Cheers!</v>
      </c>
    </row>
    <row r="1401">
      <c r="A1401" s="1">
        <v>5.0</v>
      </c>
      <c r="B1401" s="1" t="s">
        <v>1393</v>
      </c>
      <c r="C1401" t="str">
        <f>IFERROR(__xludf.DUMMYFUNCTION("GOOGLETRANSLATE(B1401, ""es"", ""en"")"),"Spectacular. Needless to say that a quality product at a price that gives laughter. Shipping on time. Perfect, in a classic shoe.")</f>
        <v>Spectacular. Needless to say that a quality product at a price that gives laughter. Shipping on time. Perfect, in a classic shoe.</v>
      </c>
    </row>
    <row r="1402">
      <c r="A1402" s="1">
        <v>5.0</v>
      </c>
      <c r="B1402" s="1" t="s">
        <v>1394</v>
      </c>
      <c r="C1402" t="str">
        <f>IFERROR(__xludf.DUMMYFUNCTION("GOOGLETRANSLATE(B1402, ""es"", ""en"")"),"To my pleasant surprise firm are good sturdy and the sole is firm")</f>
        <v>To my pleasant surprise firm are good sturdy and the sole is firm</v>
      </c>
    </row>
    <row r="1403">
      <c r="A1403" s="1">
        <v>5.0</v>
      </c>
      <c r="B1403" s="1" t="s">
        <v>1395</v>
      </c>
      <c r="C1403" t="str">
        <f>IFERROR(__xludf.DUMMYFUNCTION("GOOGLETRANSLATE(B1403, ""es"", ""en"")"),"Sturdy, comfortable I have used some like these for about 6 years of constantly running and until a month ago not stopped working one of the two. I bought other peers without hesitation, 6 years of these headphones at this price seems very good investment"&amp;". They are comfortable and hear well.")</f>
        <v>Sturdy, comfortable I have used some like these for about 6 years of constantly running and until a month ago not stopped working one of the two. I bought other peers without hesitation, 6 years of these headphones at this price seems very good investment. They are comfortable and hear well.</v>
      </c>
    </row>
    <row r="1404">
      <c r="A1404" s="1">
        <v>5.0</v>
      </c>
      <c r="B1404" s="1" t="s">
        <v>1396</v>
      </c>
      <c r="C1404" t="str">
        <f>IFERROR(__xludf.DUMMYFUNCTION("GOOGLETRANSLATE(B1404, ""es"", ""en"")"),"Correct size Very good")</f>
        <v>Correct size Very good</v>
      </c>
    </row>
    <row r="1405">
      <c r="A1405" s="1">
        <v>5.0</v>
      </c>
      <c r="B1405" s="1" t="s">
        <v>1397</v>
      </c>
      <c r="C1405" t="str">
        <f>IFERROR(__xludf.DUMMYFUNCTION("GOOGLETRANSLATE(B1405, ""es"", ""en"")"),"Very comfortable The quality is in line with other brand products. They are very comfortable once set. The only thing more uncomfortable is when putting them on and taking them off, because the cords are very widespread.")</f>
        <v>Very comfortable The quality is in line with other brand products. They are very comfortable once set. The only thing more uncomfortable is when putting them on and taking them off, because the cords are very widespread.</v>
      </c>
    </row>
    <row r="1406">
      <c r="A1406" s="1">
        <v>5.0</v>
      </c>
      <c r="B1406" s="1" t="s">
        <v>1398</v>
      </c>
      <c r="C1406" t="str">
        <f>IFERROR(__xludf.DUMMYFUNCTION("GOOGLETRANSLATE(B1406, ""es"", ""en"")"),"A success The product is perfect, as is indicated in the delivery without any trouble or failure. 100% Recommended")</f>
        <v>A success The product is perfect, as is indicated in the delivery without any trouble or failure. 100% Recommended</v>
      </c>
    </row>
    <row r="1407">
      <c r="A1407" s="1">
        <v>5.0</v>
      </c>
      <c r="B1407" s="1" t="s">
        <v>1399</v>
      </c>
      <c r="C1407" t="str">
        <f>IFERROR(__xludf.DUMMYFUNCTION("GOOGLETRANSLATE(B1407, ""es"", ""en"")"),"Pretty good product I liked")</f>
        <v>Pretty good product I liked</v>
      </c>
    </row>
    <row r="1408">
      <c r="A1408" s="1">
        <v>5.0</v>
      </c>
      <c r="B1408" s="1" t="s">
        <v>1400</v>
      </c>
      <c r="C1408" t="str">
        <f>IFERROR(__xludf.DUMMYFUNCTION("GOOGLETRANSLATE(B1408, ""es"", ""en"")"),"very good is very good for ali oli mayonnaise sauces me grind my doing very well. i is very easy to use")</f>
        <v>very good is very good for ali oli mayonnaise sauces me grind my doing very well. i is very easy to use</v>
      </c>
    </row>
    <row r="1409">
      <c r="A1409" s="1">
        <v>5.0</v>
      </c>
      <c r="B1409" s="1" t="s">
        <v>1401</v>
      </c>
      <c r="C1409" t="str">
        <f>IFERROR(__xludf.DUMMYFUNCTION("GOOGLETRANSLATE(B1409, ""es"", ""en"")"),"Mopa good works well considering what it is: a mop. Collects lint and dust. Does not detect stairs, it falls for them. Each cloth can be used twice cleaning it.")</f>
        <v>Mopa good works well considering what it is: a mop. Collects lint and dust. Does not detect stairs, it falls for them. Each cloth can be used twice cleaning it.</v>
      </c>
    </row>
    <row r="1410">
      <c r="A1410" s="1">
        <v>5.0</v>
      </c>
      <c r="B1410" s="1" t="s">
        <v>1402</v>
      </c>
      <c r="C1410" t="str">
        <f>IFERROR(__xludf.DUMMYFUNCTION("GOOGLETRANSLATE(B1410, ""es"", ""en"")"),"Perfect shipping")</f>
        <v>Perfect shipping</v>
      </c>
    </row>
    <row r="1411">
      <c r="A1411" s="1">
        <v>2.0</v>
      </c>
      <c r="B1411" s="1" t="s">
        <v>1403</v>
      </c>
      <c r="C1411" t="str">
        <f>IFERROR(__xludf.DUMMYFUNCTION("GOOGLETRANSLATE(B1411, ""es"", ""en"")"),"Paper are not recommended. nothing resistant")</f>
        <v>Paper are not recommended. nothing resistant</v>
      </c>
    </row>
    <row r="1412">
      <c r="A1412" s="1">
        <v>3.0</v>
      </c>
      <c r="B1412" s="1" t="s">
        <v>1404</v>
      </c>
      <c r="C1412" t="str">
        <f>IFERROR(__xludf.DUMMYFUNCTION("GOOGLETRANSLATE(B1412, ""es"", ""en"")"),"Watch nice but not perfect This is a very nice watch, the only fault is that it comes with display, so the battery will not last 10 years the clock, both the dial and bracelet is very easily scratched and finally is made in China, nothing to do with the q"&amp;"uality of made in Japan. It is a watch that given its price is fine. I would have a special coating the sphere.")</f>
        <v>Watch nice but not perfect This is a very nice watch, the only fault is that it comes with display, so the battery will not last 10 years the clock, both the dial and bracelet is very easily scratched and finally is made in China, nothing to do with the quality of made in Japan. It is a watch that given its price is fine. I would have a special coating the sphere.</v>
      </c>
    </row>
    <row r="1413">
      <c r="A1413" s="1">
        <v>3.0</v>
      </c>
      <c r="B1413" s="1" t="s">
        <v>1405</v>
      </c>
      <c r="C1413" t="str">
        <f>IFERROR(__xludf.DUMMYFUNCTION("GOOGLETRANSLATE(B1413, ""es"", ""en"")"),"It is very effective decidedly average but fine for DIY")</f>
        <v>It is very effective decidedly average but fine for DIY</v>
      </c>
    </row>
    <row r="1414">
      <c r="A1414" s="1">
        <v>1.0</v>
      </c>
      <c r="B1414" s="1" t="s">
        <v>1406</v>
      </c>
      <c r="C1414" t="str">
        <f>IFERROR(__xludf.DUMMYFUNCTION("GOOGLETRANSLATE(B1414, ""es"", ""en"")"),"No I do not advise buying these headphones because the month I use a headset and does not work anywhere ara guarantee you answer 😠😠😠")</f>
        <v>No I do not advise buying these headphones because the month I use a headset and does not work anywhere ara guarantee you answer 😠😠😠</v>
      </c>
    </row>
    <row r="1415">
      <c r="A1415" s="1">
        <v>4.0</v>
      </c>
      <c r="B1415" s="1" t="s">
        <v>1407</v>
      </c>
      <c r="C1415" t="str">
        <f>IFERROR(__xludf.DUMMYFUNCTION("GOOGLETRANSLATE(B1415, ""es"", ""en"")"),"Adidas Good quality and I are stuck with some reservations. After many applications are still in very good quality, in short, I recommend")</f>
        <v>Adidas Good quality and I are stuck with some reservations. After many applications are still in very good quality, in short, I recommend</v>
      </c>
    </row>
    <row r="1416">
      <c r="A1416" s="1">
        <v>4.0</v>
      </c>
      <c r="B1416" s="1" t="s">
        <v>1408</v>
      </c>
      <c r="C1416" t="str">
        <f>IFERROR(__xludf.DUMMYFUNCTION("GOOGLETRANSLATE(B1416, ""es"", ""en"")"),"Perfect Bought on Friday and today picked up early Monday morning, so glad zippers work perfectly, looked at other reviews that gave problems Perfect to wear on the bike but no bulges comes not necessary")</f>
        <v>Perfect Bought on Friday and today picked up early Monday morning, so glad zippers work perfectly, looked at other reviews that gave problems Perfect to wear on the bike but no bulges comes not necessary</v>
      </c>
    </row>
    <row r="1417">
      <c r="A1417" s="1">
        <v>4.0</v>
      </c>
      <c r="B1417" s="1" t="s">
        <v>1409</v>
      </c>
      <c r="C1417" t="str">
        <f>IFERROR(__xludf.DUMMYFUNCTION("GOOGLETRANSLATE(B1417, ""es"", ""en"")"),"Good . Perfect . Watch a little cramped for my taste. Photography, seemed wider. discrete size for digital clock. Resistant. Original. Like good casio: good, nice (a few at the least), cheap. Very attentive seller who answered questions. Thank you .")</f>
        <v>Good . Perfect . Watch a little cramped for my taste. Photography, seemed wider. discrete size for digital clock. Resistant. Original. Like good casio: good, nice (a few at the least), cheap. Very attentive seller who answered questions. Thank you .</v>
      </c>
    </row>
    <row r="1418">
      <c r="A1418" s="1">
        <v>4.0</v>
      </c>
      <c r="B1418" s="1" t="s">
        <v>1410</v>
      </c>
      <c r="C1418" t="str">
        <f>IFERROR(__xludf.DUMMYFUNCTION("GOOGLETRANSLATE(B1418, ""es"", ""en"")"),"recommended Perfect")</f>
        <v>recommended Perfect</v>
      </c>
    </row>
    <row r="1419">
      <c r="A1419" s="1">
        <v>4.0</v>
      </c>
      <c r="B1419" s="1" t="s">
        <v>1411</v>
      </c>
      <c r="C1419" t="str">
        <f>IFERROR(__xludf.DUMMYFUNCTION("GOOGLETRANSLATE(B1419, ""es"", ""en"")"),"It does not correspond to the sizes. I ordered a 39, which is my size, but the sizes of Converse are misleading, since a 39 Converse equivalent to 41 European, much as in the flap of the shoe put 39 Euro.")</f>
        <v>It does not correspond to the sizes. I ordered a 39, which is my size, but the sizes of Converse are misleading, since a 39 Converse equivalent to 41 European, much as in the flap of the shoe put 39 Euro.</v>
      </c>
    </row>
    <row r="1420">
      <c r="A1420" s="1">
        <v>5.0</v>
      </c>
      <c r="B1420" s="1" t="s">
        <v>1412</v>
      </c>
      <c r="C1420" t="str">
        <f>IFERROR(__xludf.DUMMYFUNCTION("GOOGLETRANSLATE(B1420, ""es"", ""en"")"),"Cash hair mix 6 drops with aloe vera gel and leave it on the scalp to act all night. Of course does not make miracles but reversed microhair me I had a normal hairs in a few months. The secret is that much encourages circulation.")</f>
        <v>Cash hair mix 6 drops with aloe vera gel and leave it on the scalp to act all night. Of course does not make miracles but reversed microhair me I had a normal hairs in a few months. The secret is that much encourages circulation.</v>
      </c>
    </row>
    <row r="1421">
      <c r="A1421" s="1">
        <v>5.0</v>
      </c>
      <c r="B1421" s="1" t="s">
        <v>1413</v>
      </c>
      <c r="C1421" t="str">
        <f>IFERROR(__xludf.DUMMYFUNCTION("GOOGLETRANSLATE(B1421, ""es"", ""en"")"),"Good solution to combine breast and bottle already had used this bottle with my eldest son, and it was a great solution to leave it as it did take some exclusive breast-feeding. With my second child did not work as I pulled milk with the breast pump and I"&amp;" was easier other nipple. So if you buy to reconcile with his chest it is perfect. Good packaging, bottle and easy to clean and assemble and disassemble once you get the hang")</f>
        <v>Good solution to combine breast and bottle already had used this bottle with my eldest son, and it was a great solution to leave it as it did take some exclusive breast-feeding. With my second child did not work as I pulled milk with the breast pump and I was easier other nipple. So if you buy to reconcile with his chest it is perfect. Good packaging, bottle and easy to clean and assemble and disassemble once you get the hang</v>
      </c>
    </row>
    <row r="1422">
      <c r="A1422" s="1">
        <v>5.0</v>
      </c>
      <c r="B1422" s="1" t="s">
        <v>1414</v>
      </c>
      <c r="C1422" t="str">
        <f>IFERROR(__xludf.DUMMYFUNCTION("GOOGLETRANSLATE(B1422, ""es"", ""en"")"),"A good product very nice watch was a gift to the child and loved it, perfect size for a child in this case was 9 years.")</f>
        <v>A good product very nice watch was a gift to the child and loved it, perfect size for a child in this case was 9 years.</v>
      </c>
    </row>
    <row r="1423">
      <c r="A1423" s="1">
        <v>5.0</v>
      </c>
      <c r="B1423" s="1" t="s">
        <v>1415</v>
      </c>
      <c r="C1423" t="str">
        <f>IFERROR(__xludf.DUMMYFUNCTION("GOOGLETRANSLATE(B1423, ""es"", ""en"")"),"Perfect !! Good quality, suitable size and finish in good condition. All he got a new rope because it is small and too thick. But the labels are perfect !!")</f>
        <v>Perfect !! Good quality, suitable size and finish in good condition. All he got a new rope because it is small and too thick. But the labels are perfect !!</v>
      </c>
    </row>
    <row r="1424">
      <c r="A1424" s="1">
        <v>5.0</v>
      </c>
      <c r="B1424" s="1" t="s">
        <v>1416</v>
      </c>
      <c r="C1424" t="str">
        <f>IFERROR(__xludf.DUMMYFUNCTION("GOOGLETRANSLATE(B1424, ""es"", ""en"")"),"Very comfortable shape has a very good size and is very comfortable. Perfectly fits the calculator at the bottom and the rest of boligrafos ....")</f>
        <v>Very comfortable shape has a very good size and is very comfortable. Perfectly fits the calculator at the bottom and the rest of boligrafos ....</v>
      </c>
    </row>
    <row r="1425">
      <c r="A1425" s="1">
        <v>5.0</v>
      </c>
      <c r="B1425" s="1" t="s">
        <v>1417</v>
      </c>
      <c r="C1425" t="str">
        <f>IFERROR(__xludf.DUMMYFUNCTION("GOOGLETRANSLATE(B1425, ""es"", ""en"")"),"Good mixer is able to chop ice quickly fat, juicy make creams and leaving any smooth batter. the safety mechanism is very easy to clean and if you've embedded it is not magnificent")</f>
        <v>Good mixer is able to chop ice quickly fat, juicy make creams and leaving any smooth batter. the safety mechanism is very easy to clean and if you've embedded it is not magnificent</v>
      </c>
    </row>
    <row r="1426">
      <c r="A1426" s="1">
        <v>5.0</v>
      </c>
      <c r="B1426" s="1" t="s">
        <v>1418</v>
      </c>
      <c r="C1426" t="str">
        <f>IFERROR(__xludf.DUMMYFUNCTION("GOOGLETRANSLATE(B1426, ""es"", ""en"")"),"Okay fine, something big number, we know that this mark at least one number in this type less and better 2. Long ago that I, well put up the washing machine. Lost none of color.")</f>
        <v>Okay fine, something big number, we know that this mark at least one number in this type less and better 2. Long ago that I, well put up the washing machine. Lost none of color.</v>
      </c>
    </row>
    <row r="1427">
      <c r="A1427" s="1">
        <v>5.0</v>
      </c>
      <c r="B1427" s="1" t="s">
        <v>1419</v>
      </c>
      <c r="C1427" t="str">
        <f>IFERROR(__xludf.DUMMYFUNCTION("GOOGLETRANSLATE(B1427, ""es"", ""en"")"),"I bought beautiful and elegant gift and is happy. It works well. The belt is brown, not garnet as seen in the image. And the sphere is dark blue, not electric blue as in the image. It really is more beautiful in the hand image. I recommend it one hundred "&amp;"percent.")</f>
        <v>I bought beautiful and elegant gift and is happy. It works well. The belt is brown, not garnet as seen in the image. And the sphere is dark blue, not electric blue as in the image. It really is more beautiful in the hand image. I recommend it one hundred percent.</v>
      </c>
    </row>
    <row r="1428">
      <c r="A1428" s="1">
        <v>5.0</v>
      </c>
      <c r="B1428" s="1" t="s">
        <v>1420</v>
      </c>
      <c r="C1428" t="str">
        <f>IFERROR(__xludf.DUMMYFUNCTION("GOOGLETRANSLATE(B1428, ""es"", ""en"")"),"10 product is great product fulfills all my expectations was what I wanted and it works great at the beginning seems uncomfortable but as you're using is that it works comes in handy for gift. I recommend it :)")</f>
        <v>10 product is great product fulfills all my expectations was what I wanted and it works great at the beginning seems uncomfortable but as you're using is that it works comes in handy for gift. I recommend it :)</v>
      </c>
    </row>
    <row r="1429">
      <c r="A1429" s="1">
        <v>5.0</v>
      </c>
      <c r="B1429" s="1" t="s">
        <v>1421</v>
      </c>
      <c r="C1429" t="str">
        <f>IFERROR(__xludf.DUMMYFUNCTION("GOOGLETRANSLATE(B1429, ""es"", ""en"")"),"Very pretty perfect")</f>
        <v>Very pretty perfect</v>
      </c>
    </row>
    <row r="1430">
      <c r="A1430" s="1">
        <v>5.0</v>
      </c>
      <c r="B1430" s="1" t="s">
        <v>1422</v>
      </c>
      <c r="C1430" t="str">
        <f>IFERROR(__xludf.DUMMYFUNCTION("GOOGLETRANSLATE(B1430, ""es"", ""en"")"),"It looks fantastic! Feared that the cheap be out small or poor quality. But it is very good. Fits a water de1,5litros a notebook ... and it looks pretty reinforced and casual but elegant. I recommend purchase.")</f>
        <v>It looks fantastic! Feared that the cheap be out small or poor quality. But it is very good. Fits a water de1,5litros a notebook ... and it looks pretty reinforced and casual but elegant. I recommend purchase.</v>
      </c>
    </row>
    <row r="1431">
      <c r="A1431" s="1">
        <v>5.0</v>
      </c>
      <c r="B1431" s="1" t="s">
        <v>1423</v>
      </c>
      <c r="C1431" t="str">
        <f>IFERROR(__xludf.DUMMYFUNCTION("GOOGLETRANSLATE(B1431, ""es"", ""en"")"),"Fantastic value've blown away by just 2 € a mat with plastic base to prevent slipping. Comfortable and functional with the right size for the mouse and more. 100% Recommended")</f>
        <v>Fantastic value've blown away by just 2 € a mat with plastic base to prevent slipping. Comfortable and functional with the right size for the mouse and more. 100% Recommended</v>
      </c>
    </row>
    <row r="1432">
      <c r="A1432" s="1">
        <v>5.0</v>
      </c>
      <c r="B1432" s="1" t="s">
        <v>1424</v>
      </c>
      <c r="C1432" t="str">
        <f>IFERROR(__xludf.DUMMYFUNCTION("GOOGLETRANSLATE(B1432, ""es"", ""en"")"),"Comfortable and good sound I've been using various headphones days and especially the use to connect to mobile, but also use the MP4 to go jogging. They are quite comfortable and not out of the ears to the exercise. In addition listening to the music and "&amp;"sound quality fairly high.")</f>
        <v>Comfortable and good sound I've been using various headphones days and especially the use to connect to mobile, but also use the MP4 to go jogging. They are quite comfortable and not out of the ears to the exercise. In addition listening to the music and sound quality fairly high.</v>
      </c>
    </row>
    <row r="1433">
      <c r="A1433" s="1">
        <v>5.0</v>
      </c>
      <c r="B1433" s="1" t="s">
        <v>1425</v>
      </c>
      <c r="C1433" t="str">
        <f>IFERROR(__xludf.DUMMYFUNCTION("GOOGLETRANSLATE(B1433, ""es"", ""en"")"),"perfect perfect")</f>
        <v>perfect perfect</v>
      </c>
    </row>
    <row r="1434">
      <c r="A1434" s="1">
        <v>5.0</v>
      </c>
      <c r="B1434" s="1" t="s">
        <v>1426</v>
      </c>
      <c r="C1434" t="str">
        <f>IFERROR(__xludf.DUMMYFUNCTION("GOOGLETRANSLATE(B1434, ""es"", ""en"")"),"The product quality and delivery time. Perfect.")</f>
        <v>The product quality and delivery time. Perfect.</v>
      </c>
    </row>
    <row r="1435">
      <c r="A1435" s="1">
        <v>5.0</v>
      </c>
      <c r="B1435" s="1" t="s">
        <v>1427</v>
      </c>
      <c r="C1435" t="str">
        <f>IFERROR(__xludf.DUMMYFUNCTION("GOOGLETRANSLATE(B1435, ""es"", ""en"")"),"Perfectas quickly. All logos originals. Rapid")</f>
        <v>Perfectas quickly. All logos originals. Rapid</v>
      </c>
    </row>
    <row r="1436">
      <c r="A1436" s="1">
        <v>5.0</v>
      </c>
      <c r="B1436" s="1" t="s">
        <v>1428</v>
      </c>
      <c r="C1436" t="str">
        <f>IFERROR(__xludf.DUMMYFUNCTION("GOOGLETRANSLATE(B1436, ""es"", ""en"")"),"Best Converse of the market a perfect model aesthetic and comfortable, if you're a fan of Converse shoes, this model is perhaps the most discreet because you can not read the brand anywhere, you have to fix a lot to do and perhaps it is this detail that h"&amp;"ave so much charm. Not to mention the color black so great they have created. Buy VERY VERY RECOMMENDED")</f>
        <v>Best Converse of the market a perfect model aesthetic and comfortable, if you're a fan of Converse shoes, this model is perhaps the most discreet because you can not read the brand anywhere, you have to fix a lot to do and perhaps it is this detail that have so much charm. Not to mention the color black so great they have created. Buy VERY VERY RECOMMENDED</v>
      </c>
    </row>
    <row r="1437">
      <c r="A1437" s="1">
        <v>5.0</v>
      </c>
      <c r="B1437" s="1" t="s">
        <v>1429</v>
      </c>
      <c r="C1437" t="str">
        <f>IFERROR(__xludf.DUMMYFUNCTION("GOOGLETRANSLATE(B1437, ""es"", ""en"")"),"Ideal Love")</f>
        <v>Ideal Love</v>
      </c>
    </row>
    <row r="1438">
      <c r="A1438" s="1">
        <v>5.0</v>
      </c>
      <c r="B1438" s="1" t="s">
        <v>1430</v>
      </c>
      <c r="C1438" t="str">
        <f>IFERROR(__xludf.DUMMYFUNCTION("GOOGLETRANSLATE(B1438, ""es"", ""en"")"),"Boot it back. I dont like him.")</f>
        <v>Boot it back. I dont like him.</v>
      </c>
    </row>
    <row r="1439">
      <c r="A1439" s="1">
        <v>2.0</v>
      </c>
      <c r="B1439" s="1" t="s">
        <v>1431</v>
      </c>
      <c r="C1439" t="str">
        <f>IFERROR(__xludf.DUMMYFUNCTION("GOOGLETRANSLATE(B1439, ""es"", ""en"")"),"I spy recorder only records voice notes 6, each of 2 hours is not activated by voice recording has followed the pairs")</f>
        <v>I spy recorder only records voice notes 6, each of 2 hours is not activated by voice recording has followed the pairs</v>
      </c>
    </row>
    <row r="1440">
      <c r="A1440" s="1">
        <v>3.0</v>
      </c>
      <c r="B1440" s="1" t="s">
        <v>1432</v>
      </c>
      <c r="C1440" t="str">
        <f>IFERROR(__xludf.DUMMYFUNCTION("GOOGLETRANSLATE(B1440, ""es"", ""en"")"),"Seriousness met if function, but for my taste it is too weak. Nothing super shipping point came late.")</f>
        <v>Seriousness met if function, but for my taste it is too weak. Nothing super shipping point came late.</v>
      </c>
    </row>
    <row r="1441">
      <c r="A1441" s="1">
        <v>1.0</v>
      </c>
      <c r="B1441" s="1" t="s">
        <v>1433</v>
      </c>
      <c r="C1441" t="str">
        <f>IFERROR(__xludf.DUMMYFUNCTION("GOOGLETRANSLATE(B1441, ""es"", ""en"")"),"False! It seems false. I've tried and I've never worked. It is surely something original, not recommended and say're products should not be here.")</f>
        <v>False! It seems false. I've tried and I've never worked. It is surely something original, not recommended and say're products should not be here.</v>
      </c>
    </row>
    <row r="1442">
      <c r="A1442" s="1">
        <v>1.0</v>
      </c>
      <c r="B1442" s="1" t="s">
        <v>1434</v>
      </c>
      <c r="C1442" t="str">
        <f>IFERROR(__xludf.DUMMYFUNCTION("GOOGLETRANSLATE(B1442, ""es"", ""en"")"),"Product does not meet expectations somewhat different product photo The hood is very loose and all the material is very fine")</f>
        <v>Product does not meet expectations somewhat different product photo The hood is very loose and all the material is very fine</v>
      </c>
    </row>
    <row r="1443">
      <c r="A1443" s="1">
        <v>1.0</v>
      </c>
      <c r="B1443" s="1" t="s">
        <v>1435</v>
      </c>
      <c r="C1443" t="str">
        <f>IFERROR(__xludf.DUMMYFUNCTION("GOOGLETRANSLATE(B1443, ""es"", ""en"")"),"It is more a Pen Drive a Hard Disk is more a Pen Drive a Hard Disk SSD. Because of my profession I have other SSDs and I can say this, despite the brand, which was originally supposed good, is a very bad quality. When you have it in hand it seems to be ra"&amp;"ther a toy, or something bought at these stores ""All at 1 €"". The exterior is a bad material and inside also leaves much to be desired. It is already known that the greatest enemy of these, and other, computing devices, is heat; Well, this particular no"&amp;"thing warms see the computer. If you have to move large files or backups with time, be careful, because it heats quickly, and much, and consequently deteriorates and shortens its life. It is actually rather a USB, a pen drive, memory capacity and more wir"&amp;"ed, yes, but nothing HDD. Conclusion: do not recommend it, unless you whatever you want to use as Pen Drive and sporadic uses; but that this brand has other much cheaper and good quality Pen Drive devices, although with less capacity, yes. However, as har"&amp;"d drive, much better, than just heat up, with better performance and can also be found on Amazon comes formatted exFAT file, which makes it compatible with Mac and PC, but also reduces the ability storage: the SanDisk 1 Tb, on a Mac, about 100 Gigas less "&amp;"about whether what we format to the system files Apple itself. Also it brings (for Windows) application if we want to encrypt files in and keep them safe. For Mac need to download it to your web. It is quite old and poor performance, with an interface rem"&amp;"iniscent of the first computers in the 90 or so, but it does the job of keeping relatively safe files. It gives us the option (payment) to increase the level of encryption and security. Meanwhile, as always, Amazon 10 on shipping, delivery and deadlines.")</f>
        <v>It is more a Pen Drive a Hard Disk is more a Pen Drive a Hard Disk SSD. Because of my profession I have other SSDs and I can say this, despite the brand, which was originally supposed good, is a very bad quality. When you have it in hand it seems to be rather a toy, or something bought at these stores "All at 1 €". The exterior is a bad material and inside also leaves much to be desired. It is already known that the greatest enemy of these, and other, computing devices, is heat; Well, this particular nothing warms see the computer. If you have to move large files or backups with time, be careful, because it heats quickly, and much, and consequently deteriorates and shortens its life. It is actually rather a USB, a pen drive, memory capacity and more wired, yes, but nothing HDD. Conclusion: do not recommend it, unless you whatever you want to use as Pen Drive and sporadic uses; but that this brand has other much cheaper and good quality Pen Drive devices, although with less capacity, yes. However, as hard drive, much better, than just heat up, with better performance and can also be found on Amazon comes formatted exFAT file, which makes it compatible with Mac and PC, but also reduces the ability storage: the SanDisk 1 Tb, on a Mac, about 100 Gigas less about whether what we format to the system files Apple itself. Also it brings (for Windows) application if we want to encrypt files in and keep them safe. For Mac need to download it to your web. It is quite old and poor performance, with an interface reminiscent of the first computers in the 90 or so, but it does the job of keeping relatively safe files. It gives us the option (payment) to increase the level of encryption and security. Meanwhile, as always, Amazon 10 on shipping, delivery and deadlines.</v>
      </c>
    </row>
    <row r="1444">
      <c r="A1444" s="1">
        <v>4.0</v>
      </c>
      <c r="B1444" s="1" t="s">
        <v>1436</v>
      </c>
      <c r="C1444" t="str">
        <f>IFERROR(__xludf.DUMMYFUNCTION("GOOGLETRANSLATE(B1444, ""es"", ""en"")"),"Suitable appropriate. I looked at the picture smaller but still are pretty good")</f>
        <v>Suitable appropriate. I looked at the picture smaller but still are pretty good</v>
      </c>
    </row>
    <row r="1445">
      <c r="A1445" s="1">
        <v>4.0</v>
      </c>
      <c r="B1445" s="1" t="s">
        <v>1437</v>
      </c>
      <c r="C1445" t="str">
        <f>IFERROR(__xludf.DUMMYFUNCTION("GOOGLETRANSLATE(B1445, ""es"", ""en"")"),"Mila recommend more spending 2 sizes 38 and I ordered a 39 were small after-sales service well .... Acceptable")</f>
        <v>Mila recommend more spending 2 sizes 38 and I ordered a 39 were small after-sales service well .... Acceptable</v>
      </c>
    </row>
    <row r="1446">
      <c r="A1446" s="1">
        <v>4.0</v>
      </c>
      <c r="B1446" s="1" t="s">
        <v>1438</v>
      </c>
      <c r="C1446" t="str">
        <f>IFERROR(__xludf.DUMMYFUNCTION("GOOGLETRANSLATE(B1446, ""es"", ""en"")"),"great article I'm happy with this product I was doing very well")</f>
        <v>great article I'm happy with this product I was doing very well</v>
      </c>
    </row>
    <row r="1447">
      <c r="A1447" s="1">
        <v>4.0</v>
      </c>
      <c r="B1447" s="1" t="s">
        <v>1439</v>
      </c>
      <c r="C1447" t="str">
        <f>IFERROR(__xludf.DUMMYFUNCTION("GOOGLETRANSLATE(B1447, ""es"", ""en"")"),"opinion has not liked how quickly the filter is dirty., but everything else meets your expectations. Versatile and lightweight. recommended for all types of cleaning.")</f>
        <v>opinion has not liked how quickly the filter is dirty., but everything else meets your expectations. Versatile and lightweight. recommended for all types of cleaning.</v>
      </c>
    </row>
    <row r="1448">
      <c r="A1448" s="1">
        <v>4.0</v>
      </c>
      <c r="B1448" s="1" t="s">
        <v>1440</v>
      </c>
      <c r="C1448" t="str">
        <f>IFERROR(__xludf.DUMMYFUNCTION("GOOGLETRANSLATE(B1448, ""es"", ""en"")"),"Polyvalent balanced. Comfortable but not from day one. They need to shoot. I choose another number and technical socks medium thickness left me somewhat loose. Thick have not yet tried but imagine remain good but already with the sack means the wetback fo"&amp;"ot condensation temperatures of 5-10 ° C which becomes the temperature standard use, and do not usually perspire by feet. Average use for that number would be enough for me. On hard asphalt. In path they are much better. I hope not to have problems with d"&amp;"etachments sole or water leaks. Well at the moment but without exhaustive testing.")</f>
        <v>Polyvalent balanced. Comfortable but not from day one. They need to shoot. I choose another number and technical socks medium thickness left me somewhat loose. Thick have not yet tried but imagine remain good but already with the sack means the wetback foot condensation temperatures of 5-10 ° C which becomes the temperature standard use, and do not usually perspire by feet. Average use for that number would be enough for me. On hard asphalt. In path they are much better. I hope not to have problems with detachments sole or water leaks. Well at the moment but without exhaustive testing.</v>
      </c>
    </row>
    <row r="1449">
      <c r="A1449" s="1">
        <v>5.0</v>
      </c>
      <c r="B1449" s="1" t="s">
        <v>1441</v>
      </c>
      <c r="C1449" t="str">
        <f>IFERROR(__xludf.DUMMYFUNCTION("GOOGLETRANSLATE(B1449, ""es"", ""en"")"),"Seriousness Super good quality, and value.")</f>
        <v>Seriousness Super good quality, and value.</v>
      </c>
    </row>
    <row r="1450">
      <c r="A1450" s="1">
        <v>5.0</v>
      </c>
      <c r="B1450" s="1" t="s">
        <v>1442</v>
      </c>
      <c r="C1450" t="str">
        <f>IFERROR(__xludf.DUMMYFUNCTION("GOOGLETRANSLATE(B1450, ""es"", ""en"")"),"Very nice very cool, earrings are really nice, discreet with perfect size and perfect to come if prastificada box. Very pleased with pearl earrings.")</f>
        <v>Very nice very cool, earrings are really nice, discreet with perfect size and perfect to come if prastificada box. Very pleased with pearl earrings.</v>
      </c>
    </row>
    <row r="1451">
      <c r="A1451" s="1">
        <v>5.0</v>
      </c>
      <c r="B1451" s="1" t="s">
        <v>1443</v>
      </c>
      <c r="C1451" t="str">
        <f>IFERROR(__xludf.DUMMYFUNCTION("GOOGLETRANSLATE(B1451, ""es"", ""en"")"),"An incredible shoe is an incredible sport is perfect, and the truth q the tops of the shoe and finished are fine finishes such as anteaño, I use the perfect size 38 and ordered a 38 and I still luxury. Fortunately q did not listen to comments to ask avera"&amp;"ge number or another number xq would have been great. Buy 100% recommended. Thank you")</f>
        <v>An incredible shoe is an incredible sport is perfect, and the truth q the tops of the shoe and finished are fine finishes such as anteaño, I use the perfect size 38 and ordered a 38 and I still luxury. Fortunately q did not listen to comments to ask average number or another number xq would have been great. Buy 100% recommended. Thank you</v>
      </c>
    </row>
    <row r="1452">
      <c r="A1452" s="1">
        <v>5.0</v>
      </c>
      <c r="B1452" s="1" t="s">
        <v>1444</v>
      </c>
      <c r="C1452" t="str">
        <f>IFERROR(__xludf.DUMMYFUNCTION("GOOGLETRANSLATE(B1452, ""es"", ""en"")"),"Perfect are beautiful, very squishy pillow and work perfectly. My 2 year old son is a big deal in the tightest version but it was already expected")</f>
        <v>Perfect are beautiful, very squishy pillow and work perfectly. My 2 year old son is a big deal in the tightest version but it was already expected</v>
      </c>
    </row>
    <row r="1453">
      <c r="A1453" s="1">
        <v>5.0</v>
      </c>
      <c r="B1453" s="1" t="s">
        <v>1445</v>
      </c>
      <c r="C1453" t="str">
        <f>IFERROR(__xludf.DUMMYFUNCTION("GOOGLETRANSLATE(B1453, ""es"", ""en"")"),"Great value highly recommended are wonderful, I bought several essential oils and have very faint smell or just smell in the humidifier but they have an intense aroma without being disagreeable or too strong and leave a pleasant and lasting scent. Six sma"&amp;"ll boats come and smell great all")</f>
        <v>Great value highly recommended are wonderful, I bought several essential oils and have very faint smell or just smell in the humidifier but they have an intense aroma without being disagreeable or too strong and leave a pleasant and lasting scent. Six small boats come and smell great all</v>
      </c>
    </row>
    <row r="1454">
      <c r="A1454" s="1">
        <v>5.0</v>
      </c>
      <c r="B1454" s="1" t="s">
        <v>1446</v>
      </c>
      <c r="C1454" t="str">
        <f>IFERROR(__xludf.DUMMYFUNCTION("GOOGLETRANSLATE(B1454, ""es"", ""en"")"),"Product quality and price have good patience I could not use it we'll see with using the result and quality")</f>
        <v>Product quality and price have good patience I could not use it we'll see with using the result and quality</v>
      </c>
    </row>
    <row r="1455">
      <c r="A1455" s="1">
        <v>5.0</v>
      </c>
      <c r="B1455" s="1" t="s">
        <v>1447</v>
      </c>
      <c r="C1455" t="str">
        <f>IFERROR(__xludf.DUMMYFUNCTION("GOOGLETRANSLATE(B1455, ""es"", ""en"")"),"Cable ok all good and meets the description of the announcement of quality materials for at least 100x100 recommended selling price the first shipment was lost on the way but the seller quickly solved the problem by sending another")</f>
        <v>Cable ok all good and meets the description of the announcement of quality materials for at least 100x100 recommended selling price the first shipment was lost on the way but the seller quickly solved the problem by sending another</v>
      </c>
    </row>
    <row r="1456">
      <c r="A1456" s="1">
        <v>5.0</v>
      </c>
      <c r="B1456" s="1" t="s">
        <v>1448</v>
      </c>
      <c r="C1456" t="str">
        <f>IFERROR(__xludf.DUMMYFUNCTION("GOOGLETRANSLATE(B1456, ""es"", ""en"")"),"Increasingly obsolete but good brand and product is one of the best known brands in the market and does not disappoint, the problem is that mobiles do not allow to pass all apps to the microSD")</f>
        <v>Increasingly obsolete but good brand and product is one of the best known brands in the market and does not disappoint, the problem is that mobiles do not allow to pass all apps to the microSD</v>
      </c>
    </row>
    <row r="1457">
      <c r="A1457" s="1">
        <v>5.0</v>
      </c>
      <c r="B1457" s="1" t="s">
        <v>1449</v>
      </c>
      <c r="C1457" t="str">
        <f>IFERROR(__xludf.DUMMYFUNCTION("GOOGLETRANSLATE(B1457, ""es"", ""en"")"),"Massager neck, shoulder, back. Very good product, I recommend you use the whole family, you can attach to any chair to the height you want.")</f>
        <v>Massager neck, shoulder, back. Very good product, I recommend you use the whole family, you can attach to any chair to the height you want.</v>
      </c>
    </row>
    <row r="1458">
      <c r="A1458" s="1">
        <v>5.0</v>
      </c>
      <c r="B1458" s="1" t="s">
        <v>1450</v>
      </c>
      <c r="C1458" t="str">
        <f>IFERROR(__xludf.DUMMYFUNCTION("GOOGLETRANSLATE(B1458, ""es"", ""en"")"),"Very nice very nice, like the description, ideal size and is very thin. It comes beautifully presented in a jewelry box and suede. Both for yourself and for gift is perfect!")</f>
        <v>Very nice very nice, like the description, ideal size and is very thin. It comes beautifully presented in a jewelry box and suede. Both for yourself and for gift is perfect!</v>
      </c>
    </row>
    <row r="1459">
      <c r="A1459" s="1">
        <v>5.0</v>
      </c>
      <c r="B1459" s="1" t="s">
        <v>1451</v>
      </c>
      <c r="C1459" t="str">
        <f>IFERROR(__xludf.DUMMYFUNCTION("GOOGLETRANSLATE(B1459, ""es"", ""en"")"),"everything is fine")</f>
        <v>everything is fine</v>
      </c>
    </row>
    <row r="1460">
      <c r="A1460" s="1">
        <v>5.0</v>
      </c>
      <c r="B1460" s="1" t="s">
        <v>1452</v>
      </c>
      <c r="C1460" t="str">
        <f>IFERROR(__xludf.DUMMYFUNCTION("GOOGLETRANSLATE(B1460, ""es"", ""en"")"),"It came very fast, and smooth Bluetooth connection and battery life came very fast, and smooth Bluetooth connection and now complaints about the battery life. To see if you have a good life. I say poque had another brand before I worked very well until it"&amp;" broke one of the audio cables weakness, in my opinion, the structural aurculares that the end was indeed final.")</f>
        <v>It came very fast, and smooth Bluetooth connection and battery life came very fast, and smooth Bluetooth connection and now complaints about the battery life. To see if you have a good life. I say poque had another brand before I worked very well until it broke one of the audio cables weakness, in my opinion, the structural aurculares that the end was indeed final.</v>
      </c>
    </row>
    <row r="1461">
      <c r="A1461" s="1">
        <v>5.0</v>
      </c>
      <c r="B1461" s="1" t="s">
        <v>1453</v>
      </c>
      <c r="C1461" t="str">
        <f>IFERROR(__xludf.DUMMYFUNCTION("GOOGLETRANSLATE(B1461, ""es"", ""en"")"),"Good quality purchase. big enough for what I needed without being ostentatious. Very good quality")</f>
        <v>Good quality purchase. big enough for what I needed without being ostentatious. Very good quality</v>
      </c>
    </row>
    <row r="1462">
      <c r="A1462" s="1">
        <v>5.0</v>
      </c>
      <c r="B1462" s="1" t="s">
        <v>1454</v>
      </c>
      <c r="C1462" t="str">
        <f>IFERROR(__xludf.DUMMYFUNCTION("GOOGLETRANSLATE(B1462, ""es"", ""en"")"),"and 2 years and 2 years and are perfect even thinking that you put two girls and are delighted, thank you very much,")</f>
        <v>and 2 years and 2 years and are perfect even thinking that you put two girls and are delighted, thank you very much,</v>
      </c>
    </row>
    <row r="1463">
      <c r="A1463" s="1">
        <v>5.0</v>
      </c>
      <c r="B1463" s="1" t="s">
        <v>1455</v>
      </c>
      <c r="C1463" t="str">
        <f>IFERROR(__xludf.DUMMYFUNCTION("GOOGLETRANSLATE(B1463, ""es"", ""en"")"),"I have several spectacular glass bottles ... where do I put milk vegetable gazpacho and other beverages. With limpiaplatos and bleach is what I used to clean and not fit. Now I put a drop of friegaplatos ... a tad of water and balls ... remuevo few second"&amp;"s and the glass is bright and undefiled.")</f>
        <v>I have several spectacular glass bottles ... where do I put milk vegetable gazpacho and other beverages. With limpiaplatos and bleach is what I used to clean and not fit. Now I put a drop of friegaplatos ... a tad of water and balls ... remuevo few seconds and the glass is bright and undefiled.</v>
      </c>
    </row>
    <row r="1464">
      <c r="A1464" s="1">
        <v>5.0</v>
      </c>
      <c r="B1464" s="1" t="s">
        <v>1456</v>
      </c>
      <c r="C1464" t="str">
        <f>IFERROR(__xludf.DUMMYFUNCTION("GOOGLETRANSLATE(B1464, ""es"", ""en"")"),"Very comfortable is fine entretiempo I bought for my daughter and loves very comfortable and good genre")</f>
        <v>Very comfortable is fine entretiempo I bought for my daughter and loves very comfortable and good genre</v>
      </c>
    </row>
    <row r="1465">
      <c r="A1465" s="1">
        <v>5.0</v>
      </c>
      <c r="B1465" s="1" t="s">
        <v>1457</v>
      </c>
      <c r="C1465" t="str">
        <f>IFERROR(__xludf.DUMMYFUNCTION("GOOGLETRANSLATE(B1465, ""es"", ""en"")"),"Fantastico hello I bought these Skechers wonderful and I are great comfortable and easy to use as recomando, size is exactly what it says .... greetings")</f>
        <v>Fantastico hello I bought these Skechers wonderful and I are great comfortable and easy to use as recomando, size is exactly what it says .... greetings</v>
      </c>
    </row>
    <row r="1466">
      <c r="A1466" s="1">
        <v>5.0</v>
      </c>
      <c r="B1466" s="1" t="s">
        <v>1458</v>
      </c>
      <c r="C1466" t="str">
        <f>IFERROR(__xludf.DUMMYFUNCTION("GOOGLETRANSLATE(B1466, ""es"", ""en"")"),"Impeccable. I arrived two days earlier. Perfect. I no longer remove the I can. It is quite spacious although it seems not. The truth impossible to ask for more money.")</f>
        <v>Impeccable. I arrived two days earlier. Perfect. I no longer remove the I can. It is quite spacious although it seems not. The truth impossible to ask for more money.</v>
      </c>
    </row>
    <row r="1467">
      <c r="A1467" s="1">
        <v>5.0</v>
      </c>
      <c r="B1467" s="1" t="s">
        <v>1459</v>
      </c>
      <c r="C1467" t="str">
        <f>IFERROR(__xludf.DUMMYFUNCTION("GOOGLETRANSLATE(B1467, ""es"", ""en"")"),"Sizing great, good product The sizing is something big, I had to change them and ask least one number. They are very comfortable, are already my favorite.")</f>
        <v>Sizing great, good product The sizing is something big, I had to change them and ask least one number. They are very comfortable, are already my favorite.</v>
      </c>
    </row>
    <row r="1468">
      <c r="A1468" s="1">
        <v>2.0</v>
      </c>
      <c r="B1468" s="1" t="s">
        <v>1460</v>
      </c>
      <c r="C1468" t="str">
        <f>IFERROR(__xludf.DUMMYFUNCTION("GOOGLETRANSLATE(B1468, ""es"", ""en"")"),"Normal tracksuit pants. Trousers tracksuit ordinary, average thickness, does not harbor much, perfect for spring. The color is identical to the photo, but gives a lot of size, I ordered an S and I have very great. I use a 36/38 pant normally.")</f>
        <v>Normal tracksuit pants. Trousers tracksuit ordinary, average thickness, does not harbor much, perfect for spring. The color is identical to the photo, but gives a lot of size, I ordered an S and I have very great. I use a 36/38 pant normally.</v>
      </c>
    </row>
    <row r="1469">
      <c r="A1469" s="1">
        <v>3.0</v>
      </c>
      <c r="B1469" s="1" t="s">
        <v>1461</v>
      </c>
      <c r="C1469" t="str">
        <f>IFERROR(__xludf.DUMMYFUNCTION("GOOGLETRANSLATE(B1469, ""es"", ""en"")"),"They are practical problems I encounter mechanical noise. Demasiadl button is pressed too apparent and easily. For example when you put the head on the pillow.")</f>
        <v>They are practical problems I encounter mechanical noise. Demasiadl button is pressed too apparent and easily. For example when you put the head on the pillow.</v>
      </c>
    </row>
    <row r="1470">
      <c r="A1470" s="1">
        <v>3.0</v>
      </c>
      <c r="B1470" s="1" t="s">
        <v>1462</v>
      </c>
      <c r="C1470" t="str">
        <f>IFERROR(__xludf.DUMMYFUNCTION("GOOGLETRANSLATE(B1470, ""es"", ""en"")"),"I wrinkled templates in a week of use very comfortable, but one week of use are crumpling the templates on the part of the heel, I do not know if they will crumpling or stays so use that I give is a totally normal or rather little use ... hopefully not co"&amp;"ntinue to deteriorate ...")</f>
        <v>I wrinkled templates in a week of use very comfortable, but one week of use are crumpling the templates on the part of the heel, I do not know if they will crumpling or stays so use that I give is a totally normal or rather little use ... hopefully not continue to deteriorate ...</v>
      </c>
    </row>
    <row r="1471">
      <c r="A1471" s="1">
        <v>3.0</v>
      </c>
      <c r="B1471" s="1" t="s">
        <v>1463</v>
      </c>
      <c r="C1471" t="str">
        <f>IFERROR(__xludf.DUMMYFUNCTION("GOOGLETRANSLATE(B1471, ""es"", ""en"")"),"Laura sneakers are fine, carved right but the laces broke a week after the release, tube to buy others.")</f>
        <v>Laura sneakers are fine, carved right but the laces broke a week after the release, tube to buy others.</v>
      </c>
    </row>
    <row r="1472">
      <c r="A1472" s="1">
        <v>1.0</v>
      </c>
      <c r="B1472" s="1" t="s">
        <v>1464</v>
      </c>
      <c r="C1472" t="str">
        <f>IFERROR(__xludf.DUMMYFUNCTION("GOOGLETRANSLATE(B1472, ""es"", ""en"")"),"if you move the jack stops working microphone adapter the work product correctly as long as you find the position of the jack male metes, if not, does not detect the microphone, usually buy ugreen for quality but this seems to be a bad unit, back and wait"&amp;"ing for a new unit")</f>
        <v>if you move the jack stops working microphone adapter the work product correctly as long as you find the position of the jack male metes, if not, does not detect the microphone, usually buy ugreen for quality but this seems to be a bad unit, back and waiting for a new unit</v>
      </c>
    </row>
    <row r="1473">
      <c r="A1473" s="1">
        <v>1.0</v>
      </c>
      <c r="B1473" s="1" t="s">
        <v>1465</v>
      </c>
      <c r="C1473" t="str">
        <f>IFERROR(__xludf.DUMMYFUNCTION("GOOGLETRANSLATE(B1473, ""es"", ""en"")"),"I'm not happy with the purchase I'm a repeat buyer Adidas, I have about 10 pairs of shoes of the brand and these have been the only ones that hurt me in heels. I have the same model in another color and the same size and has never hurt me. But I've been w"&amp;"ith these 3 weeks and still do the same damage as the first day ........... me makes me think if they really are true or the product is faulty. In addition, it has already been taken off a little rubber heel when attached to the skin of the back, come bac"&amp;"k to me what to think.")</f>
        <v>I'm not happy with the purchase I'm a repeat buyer Adidas, I have about 10 pairs of shoes of the brand and these have been the only ones that hurt me in heels. I have the same model in another color and the same size and has never hurt me. But I've been with these 3 weeks and still do the same damage as the first day ........... me makes me think if they really are true or the product is faulty. In addition, it has already been taken off a little rubber heel when attached to the skin of the back, come back to me what to think.</v>
      </c>
    </row>
    <row r="1474">
      <c r="A1474" s="1">
        <v>4.0</v>
      </c>
      <c r="B1474" s="1" t="s">
        <v>1466</v>
      </c>
      <c r="C1474" t="str">
        <f>IFERROR(__xludf.DUMMYFUNCTION("GOOGLETRANSLATE(B1474, ""es"", ""en"")"),"Use old work best brand in my previous child as anti-colic system is great. But the new valve system goes wrong. often milk leaves the mouthpiece of the thread. Old worked better")</f>
        <v>Use old work best brand in my previous child as anti-colic system is great. But the new valve system goes wrong. often milk leaves the mouthpiece of the thread. Old worked better</v>
      </c>
    </row>
    <row r="1475">
      <c r="A1475" s="1">
        <v>4.0</v>
      </c>
      <c r="B1475" s="1" t="s">
        <v>1467</v>
      </c>
      <c r="C1475" t="str">
        <f>IFERROR(__xludf.DUMMYFUNCTION("GOOGLETRANSLATE(B1475, ""es"", ""en"")"),"Well, nice and cheap I bought it for storing documents of an association and that's what hace.No is a Ferrari fast, but it is very slow.")</f>
        <v>Well, nice and cheap I bought it for storing documents of an association and that's what hace.No is a Ferrari fast, but it is very slow.</v>
      </c>
    </row>
    <row r="1476">
      <c r="A1476" s="1">
        <v>4.0</v>
      </c>
      <c r="B1476" s="1" t="s">
        <v>1468</v>
      </c>
      <c r="C1476" t="str">
        <f>IFERROR(__xludf.DUMMYFUNCTION("GOOGLETRANSLATE(B1476, ""es"", ""en"")"),"Practical solution for my kitchen I chose this product so I found a balance between quality and price and I think I was right: - It hangs easily on the wall (in my case with cuelgafácil) - The rolls are installed without complication. - The cut of the fil"&amp;"m paper is perfect but in my case the foil have to press a little or not cut and that is why not give it 5 stars (not big hassle). - The design is discreet and looks good in the kitchen")</f>
        <v>Practical solution for my kitchen I chose this product so I found a balance between quality and price and I think I was right: - It hangs easily on the wall (in my case with cuelgafácil) - The rolls are installed without complication. - The cut of the film paper is perfect but in my case the foil have to press a little or not cut and that is why not give it 5 stars (not big hassle). - The design is discreet and looks good in the kitchen</v>
      </c>
    </row>
    <row r="1477">
      <c r="A1477" s="1">
        <v>4.0</v>
      </c>
      <c r="B1477" s="1" t="s">
        <v>1469</v>
      </c>
      <c r="C1477" t="str">
        <f>IFERROR(__xludf.DUMMYFUNCTION("GOOGLETRANSLATE(B1477, ""es"", ""en"")"),"Good Fast Delivery. The clock is nice, the belt has two-tone glossy and matte. The only but is that receiving the watch, it was already running. Otherwise good buy")</f>
        <v>Good Fast Delivery. The clock is nice, the belt has two-tone glossy and matte. The only but is that receiving the watch, it was already running. Otherwise good buy</v>
      </c>
    </row>
    <row r="1478">
      <c r="A1478" s="1">
        <v>4.0</v>
      </c>
      <c r="B1478" s="1" t="s">
        <v>1470</v>
      </c>
      <c r="C1478" t="str">
        <f>IFERROR(__xludf.DUMMYFUNCTION("GOOGLETRANSLATE(B1478, ""es"", ""en"")"),"Good choice good choice if you take the bike occasionally and want to enjoy the advantages of clipless pedals")</f>
        <v>Good choice good choice if you take the bike occasionally and want to enjoy the advantages of clipless pedals</v>
      </c>
    </row>
    <row r="1479">
      <c r="A1479" s="1">
        <v>5.0</v>
      </c>
      <c r="B1479" s="1" t="s">
        <v>1471</v>
      </c>
      <c r="C1479" t="str">
        <f>IFERROR(__xludf.DUMMYFUNCTION("GOOGLETRANSLATE(B1479, ""es"", ""en"")"),"The perfect purchase first G-Shock to buy and not be the last. PROS: - It's big, strong and not heavy. It fits perfectly to my wrist. - Functions: just what I needed. Alarms (4 normal and 1 alarm clock) with sound and light or vibration warning hour, coun"&amp;"tdown (the best of this is that you can start it with time display without having to go to the menu) and timer. World time also. - The negative screen makes it original. - The second hands above and indicator functions radar plan give a touch. CONS: - The"&amp;" only ""catch"" is that I put to him that gives me the feeling that the alarm is a bit low.")</f>
        <v>The perfect purchase first G-Shock to buy and not be the last. PROS: - It's big, strong and not heavy. It fits perfectly to my wrist. - Functions: just what I needed. Alarms (4 normal and 1 alarm clock) with sound and light or vibration warning hour, countdown (the best of this is that you can start it with time display without having to go to the menu) and timer. World time also. - The negative screen makes it original. - The second hands above and indicator functions radar plan give a touch. CONS: - The only "catch" is that I put to him that gives me the feeling that the alarm is a bit low.</v>
      </c>
    </row>
    <row r="1480">
      <c r="A1480" s="1">
        <v>5.0</v>
      </c>
      <c r="B1480" s="1" t="s">
        <v>1472</v>
      </c>
      <c r="C1480" t="str">
        <f>IFERROR(__xludf.DUMMYFUNCTION("GOOGLETRANSLATE(B1480, ""es"", ""en"")"),"Great just what was sought")</f>
        <v>Great just what was sought</v>
      </c>
    </row>
    <row r="1481">
      <c r="A1481" s="1">
        <v>5.0</v>
      </c>
      <c r="B1481" s="1" t="s">
        <v>1473</v>
      </c>
      <c r="C1481" t="str">
        <f>IFERROR(__xludf.DUMMYFUNCTION("GOOGLETRANSLATE(B1481, ""es"", ""en"")"),"Incredible came early, is built in metal, with an unthinkable quality to be a product of such an amazingly low price. Quite surprised with the quality of the product and can record the sound. Highly recommended!")</f>
        <v>Incredible came early, is built in metal, with an unthinkable quality to be a product of such an amazingly low price. Quite surprised with the quality of the product and can record the sound. Highly recommended!</v>
      </c>
    </row>
    <row r="1482">
      <c r="A1482" s="1">
        <v>5.0</v>
      </c>
      <c r="B1482" s="1" t="s">
        <v>1474</v>
      </c>
      <c r="C1482" t="str">
        <f>IFERROR(__xludf.DUMMYFUNCTION("GOOGLETRANSLATE(B1482, ""es"", ""en"")"),"It works well Very good quality could improve volume controller. It has little tour")</f>
        <v>It works well Very good quality could improve volume controller. It has little tour</v>
      </c>
    </row>
    <row r="1483">
      <c r="A1483" s="1">
        <v>5.0</v>
      </c>
      <c r="B1483" s="1" t="s">
        <v>1475</v>
      </c>
      <c r="C1483" t="str">
        <f>IFERROR(__xludf.DUMMYFUNCTION("GOOGLETRANSLATE(B1483, ""es"", ""en"")"),"Good buy, perfect gift is a gift that I bought my niece and would not never takes ,, is 13 years old is delighted with him adjust brightness and has very pretty colors, the chain is not silver but neither loses brightness and takes stains or darken or any"&amp;"thing like that")</f>
        <v>Good buy, perfect gift is a gift that I bought my niece and would not never takes ,, is 13 years old is delighted with him adjust brightness and has very pretty colors, the chain is not silver but neither loses brightness and takes stains or darken or anything like that</v>
      </c>
    </row>
    <row r="1484">
      <c r="A1484" s="1">
        <v>5.0</v>
      </c>
      <c r="B1484" s="1" t="s">
        <v>1476</v>
      </c>
      <c r="C1484" t="str">
        <f>IFERROR(__xludf.DUMMYFUNCTION("GOOGLETRANSLATE(B1484, ""es"", ""en"")"),"As such appears as shown in the description. Works correctly. It seems strong.")</f>
        <v>As such appears as shown in the description. Works correctly. It seems strong.</v>
      </c>
    </row>
    <row r="1485">
      <c r="A1485" s="1">
        <v>5.0</v>
      </c>
      <c r="B1485" s="1" t="s">
        <v>1477</v>
      </c>
      <c r="C1485" t="str">
        <f>IFERROR(__xludf.DUMMYFUNCTION("GOOGLETRANSLATE(B1485, ""es"", ""en"")"),"Super Eco Good for all cleaning")</f>
        <v>Super Eco Good for all cleaning</v>
      </c>
    </row>
    <row r="1486">
      <c r="A1486" s="1">
        <v>5.0</v>
      </c>
      <c r="B1486" s="1" t="s">
        <v>990</v>
      </c>
      <c r="C1486" t="str">
        <f>IFERROR(__xludf.DUMMYFUNCTION("GOOGLETRANSLATE(B1486, ""es"", ""en"")"),"Everything Perfect Perfect")</f>
        <v>Everything Perfect Perfect</v>
      </c>
    </row>
    <row r="1487">
      <c r="A1487" s="1">
        <v>5.0</v>
      </c>
      <c r="B1487" s="1" t="s">
        <v>1478</v>
      </c>
      <c r="C1487" t="str">
        <f>IFERROR(__xludf.DUMMYFUNCTION("GOOGLETRANSLATE(B1487, ""es"", ""en"")"),"Fast and as expected I ordered the shoes I use often but half size too. I became great and changed. At the next day I had new home. The shoes are classic Vans lifetime you comfortable once the have worked. For summer, perfect.")</f>
        <v>Fast and as expected I ordered the shoes I use often but half size too. I became great and changed. At the next day I had new home. The shoes are classic Vans lifetime you comfortable once the have worked. For summer, perfect.</v>
      </c>
    </row>
    <row r="1488">
      <c r="A1488" s="1">
        <v>5.0</v>
      </c>
      <c r="B1488" s="1" t="s">
        <v>1479</v>
      </c>
      <c r="C1488" t="str">
        <f>IFERROR(__xludf.DUMMYFUNCTION("GOOGLETRANSLATE(B1488, ""es"", ""en"")"),"I hooked on the labeling is one of the tapes he'll stay and encganchada and had to finish MUHC pulling it with force. This has not happened with the original. For the rest are tapes that do their job and they deserve it. In addition to communication with "&amp;"the supplier it has been good and even wanted me to return the amount of the order or send me back the tapes")</f>
        <v>I hooked on the labeling is one of the tapes he'll stay and encganchada and had to finish MUHC pulling it with force. This has not happened with the original. For the rest are tapes that do their job and they deserve it. In addition to communication with the supplier it has been good and even wanted me to return the amount of the order or send me back the tapes</v>
      </c>
    </row>
    <row r="1489">
      <c r="A1489" s="1">
        <v>5.0</v>
      </c>
      <c r="B1489" s="1" t="s">
        <v>1480</v>
      </c>
      <c r="C1489" t="str">
        <f>IFERROR(__xludf.DUMMYFUNCTION("GOOGLETRANSLATE(B1489, ""es"", ""en"")"),"This very well priced The truth is that I got an elephant instead of the cat, but just as nice.")</f>
        <v>This very well priced The truth is that I got an elephant instead of the cat, but just as nice.</v>
      </c>
    </row>
    <row r="1490">
      <c r="A1490" s="1">
        <v>5.0</v>
      </c>
      <c r="B1490" s="1" t="s">
        <v>1481</v>
      </c>
      <c r="C1490" t="str">
        <f>IFERROR(__xludf.DUMMYFUNCTION("GOOGLETRANSLATE(B1490, ""es"", ""en"")"),"Look like hands &lt;div id = ""video-block-R1WUQVMA1HOQOX"" class = ""a-section a-spacing-small a-spacing-top mini video-block""&gt; &lt;div tabindex = ""0"" class = ""airy airy-svg vmin-supported airy-skin-beacon ""style ="" background-color: rgb (0, 0, 0) positi"&amp;"on: relative; width: 100%; height: 100%; font-size: 0px; overflow: hidden; outline : none; ""&gt; &lt;div class ="" airy-renderer-container ""style ="" position: relative; height: 100%; width: 100%; ""&gt; &lt;video id ="" 47 ""preload ="" auto ""src ="" https://imag"&amp;"es-eu.ssl-images-amazon.com/images/I/91uK+SdTrKS.mp4 ""style ="" position: absolute; left: 0px; top: 0px; overflow: hidden; height: 1px; width : 1px; ""&gt; &lt;/ video&gt; &lt;/ div&gt; &lt;div id ="" airy-slate-preload ""style ="" background-color: rgb (0, 0, 0); backgro"&amp;"und-image: url (&amp; quot; https: //images-eu.ssl-images-amazon.com/images/I/91fNxMTGbUS.png&amp;quot;); background-size: Contain; background-position: center center; background-repeat: no-repeat; position: absolute; top : 0px; left: 0px; visibility: visible; wi"&amp;"dth: 100%; height: 100%; ""&gt; &lt;/ div&gt; &lt;iframe scrolling ="" n or ""frameborder ="" 0 ""src ="" about: blank ""style ="" display: none; ""&gt; &lt;/ iframe&gt; &lt;div tabindex ="" - 1 ""class ="" airy-controls-container ""style ="" opacity: 0 ; visibility: hidden; ""&gt;"&amp;" &lt;div tabindex ="" - 1 ""class ="" airy-screen-size-toggle airy-fullscreen ""&gt; &lt;/ div&gt; &lt;div tabindex ="" - 1 ""class ="" airy-container-bottom "" &gt; &lt;div tabindex = ""- 1"" class = ""airy-track-bar-spacer-left"" style = ""width: 11px;""&gt; &lt;/ div&gt; &lt;div tabin"&amp;"dex = ""- 1"" class = ""airy-play- airy toggle-play ""style ="" width: 12px; margin-right: 12px; ""&gt; &lt;/ div&gt; &lt;div tabindex ="" - 1 ""class ="" airy-audio-elements ""style ="" float: right; width: 34px; ""&gt; &lt;div tabindex ="" - 1 ""class ="" airy-audio-togg"&amp;"le airy-on ""&gt; &lt;/ div&gt; &lt;div tabindex ="" - 1 ""class ="" airy-audio-container ""style = ""opacity: 0; visibility: hidden; ""&gt; &lt;div tabindex ="" - 1 ""class ="" airy-audio-track-bar ""style ="" height: 80%; ""&gt; &lt;div tabindex ="" - 1 ""class ="" airy-audio-"&amp;" Scrubber-bar ""style ="" height: 85%; ""&gt; &lt;/ div&gt; &lt;div tabindex ="" - 1 ""class ="" airy-audio-scrubber ""style ="" height: 12px; bottom: 85% ""&gt; &lt;/ div&gt; &lt;/ div&gt; &lt;/ div&gt; &lt;/ div&gt; &lt;div tabindex ="" - 1 ""class ="" airy-duration-label ""style ="" float: rig"&amp;"ht; width: 26px; margin-right: 4px; text-align: center; ""&gt; 0:00 &lt;/ div&gt; &lt;div tabindex ="" - 1 ""class ="" airy-track-bar-spacer-right ""style ="" float: right; width: 11px; ""&gt; &lt;/ div&gt; &lt;div tabindex ="" - 1 ""class ="" airy-track-bar-container ""style ="&amp;""" margin-left: 35px; margin-right: 75px; ""&gt; &lt;div tabindex ="" - 1 ""class ="" airy-airy-track-bar vertically-centering-table ""&gt; &lt;div tabindex ="" - 1 ""class ="" airy-Vertical-centering- table-cell ""&gt; &lt;div tabindex ="" - 1 ""class ="" airy-track-bar-e"&amp;"lements ""&gt; &lt;div tabindex ="" - 1 ""class ="" airy-progress-bar ""&gt; &lt;/ div&gt; &lt;div tabindex = ""- 1"" class = ""airy-scrubber-bar""&gt; &lt;/ div&gt; &lt;div tabindex = ""- 1"" class = ""airy-scrubber""&gt; &lt;div tabindex = ""- 1"" class = ""airy-scrubber- icon ""&gt; &lt;/ div&gt;"&amp;" &lt;div tabindex ="" - 1 ""class ="" airy-adjusted-AUI-tooltip ""style ="" opacity: 0; visibility: hidden; ""&gt; &lt;div tabindex ="" - 1 ""class ="" airy-adjusted-aui-tooltip-inner ""&gt; &lt;div tabindex ="" - 1 ""class ="" airy-current-time-label ""&gt; 0: 00 &lt;/ div&gt; "&amp;"&lt;/ div&gt; &lt;div tabindex = ""- 1"" class = ""airy-adjusted-AUI-arrow-border""&gt; &lt;div tabindex = ""- 1"" class = ""airy-adjusted-AUI-arrow"" &gt; &lt;/ div&gt; &lt;/ div&gt; &lt;/ div&gt; &lt;/ div&gt; &lt;/ div&gt; &lt;/ div&gt; &lt;/ div&gt; &lt;/ div&gt; &lt;/ div&gt; &lt;/ div&gt; &lt;div tabindex = ""- 1"" class = ""air"&amp;"y-age-gate airy-stage airy-Vertical-centering-table airy-dialog"" style = ""opacity: 0; visibility: hidden; ""&gt; &lt;div tabindex ="" - 1 ""class ="" airy-age-gate-Vertical-centering-table-cell airy-Vertical-centering-table-cell ""&gt; &lt;div tabindex ="" - 1 ""cl"&amp;"ass = ""airy-Vertical-centering-wrapper airy-age-gate-elements-wrapper""&gt; &lt;div tabindex = ""- 1"" class = ""airy-age-gate-elements airy-dialog-elements""&gt; &lt;div tabindex = "" -1 ""class ="" airy-age-gate-prompt ""&gt; This video is not Intended for all audien"&amp;"ces What date were you born &lt;/ div&gt; &lt;div tabindex =.?"" - 1 ""class ="" airy-age-gate -inputs airy-dialog-inner-elements ""&gt; &lt;select tabindex ="" - 1 ""class ="" airy-age-gate-month ""&gt; &lt;option value ="" 1 ""&gt; January &lt;/ option&gt; &lt;option value ="" 2 ""&gt; Fe"&amp;"bruary &lt;/ option&gt; &lt;option value ="" 3 ""&gt; March &lt;/ option&gt; &lt;option value ="" 4 ""&gt; April &lt;/ option&gt; &lt;option value ="" 5 ""&gt; May &lt;/ option&gt; &lt;option value = ""6""&gt; June &lt;/ option&gt; &lt;option value = ""7""&gt; July &lt;/ option&gt; &lt;option value = ""8""&gt; August &lt;/ optio"&amp;"n&gt; &lt;option value = ""9""&gt; September &lt;/ option&gt; &lt;option value = ""10""&gt; October &lt;/ option&gt; &lt;option value = ""11""&gt; November &lt;/ option&gt; &lt;option value = ""12""&gt; December &lt;/ option&gt; &lt;/ select&gt; &lt;select tabindex = ""- 1"" class = ""airy-age-gate-day""&gt; &lt;opti on"&amp;" value = ""1""&gt; 1 &lt;/ option&gt; &lt;option value = ""2""&gt; 2 &lt;/ option&gt; &lt;option value = ""3""&gt; 3 &lt;/ option&gt; &lt;option value = ""4""&gt; 4 &lt;/ option &gt; &lt;option value = ""5""&gt; 5 &lt;/ option&gt; &lt;option value = ""6""&gt; 6 &lt;/ option&gt; &lt;option value = ""7""&gt; 7 &lt;/ option&gt; &lt;option v"&amp;"alue = ""8""&gt; 8 &lt; / option&gt; &lt;option value = ""9""&gt; 9 &lt;/ option&gt; &lt;option value = ""10""&gt; 10 &lt;/ option&gt; &lt;option value = ""11""&gt; 11 &lt;/ option&gt; &lt;option value = ""12""&gt; 12 &lt;/ option&gt; &lt;option value = ""13""&gt; 13 &lt;/ option&gt; &lt;option value = ""14""&gt; 14 &lt;/ option&gt; &lt;"&amp;"option value = ""15""&gt; 15 &lt;/ option&gt; &lt;option value = ""16 ""&gt; 16 &lt;/ option&gt; &lt;option value ="" 17 ""&gt; 17 &lt;/ option&gt; &lt;option value ="" 18 ""&gt; 18 &lt;/ option&gt; &lt;option value ="" 19 ""&gt; 19 &lt;/ option&gt; &lt;option value = ""20""&gt; 20 &lt;/ option&gt; &lt;option value = ""21""&gt; "&amp;"21 &lt;/ option&gt; &lt;option value = ""22""&gt; 22 &lt;/ option&gt; &lt;option value = ""23""&gt; 23 &lt;/ option&gt; &lt;option value = ""24""&gt; 24 &lt;/ option&gt; &lt;option value = ""25""&gt; 25 &lt;/ option&gt; &lt;option value = ""26""&gt; 26 &lt;/ option&gt; &lt;option value = ""27""&gt; 27 &lt;/ option&gt; &lt;option value"&amp;" = ""28""&gt; 28 &lt;/ option&gt; &lt;option value = ""29""&gt; 29 &lt;/ option&gt; &lt;option value = ""30""&gt; 30 &lt;/ option&gt; &lt;option value = ""31""&gt; 31 &lt;/ option&gt; &lt;/ select&gt; &lt;select tabindex = ""- 1"" class = ""airy-age-gate-year""&gt; &lt;option value = ""2019""&gt; 2019 &lt;/ option&gt; &lt; op"&amp;"tion value = ""2018""&gt; 2018 &lt;/ option&gt; &lt;option value = ""2017""&gt; 2017 &lt;/ option&gt; &lt;option value = ""2016""&gt; ​​2016 &lt;/ option&gt; &lt;option value = ""2015""&gt; 2015 &lt;/ option &gt; &lt;option value = ""2014""&gt; 2014 &lt;/ option&gt; &lt;option value = ""2013""&gt; 2013 &lt;/ option&gt; &lt;op"&amp;"tion value = ""2012""&gt; 2012 &lt;/ option&gt; &lt;option value = ""2011""&gt; 2011 &lt; / option&gt; &lt;option value = ""2010""&gt; 2010 &lt;/ option&gt; &lt;option value = ""2009""&gt; 2009 &lt;/ option&gt; &lt;option value = ""2008""&gt; 2008 &lt;/ option&gt; &lt;option value = ""2007""&gt; 2007 &lt;/ option&gt; &lt;opti"&amp;"on value = ""2006""&gt; 2006 &lt;/ option&gt; &lt;option value = ""2005""&gt; 2005 &lt;/ option&gt; &lt;option value = ""2004""&gt; 2004 &lt;/ option&gt; &lt;option value = ""2003 ""&gt; 2003 &lt;/ option&gt; &lt;option value ="" 2002 ""&gt; 2002 &lt;/ option&gt; &lt;option value ="" 2001 ""&gt; 2001 &lt;/ option&gt; &lt;opti"&amp;"on value ="" 2000 ""&gt; 2000 &lt;/ option&gt; &lt;option value = ""1999""&gt; 1999 &lt;/ option&gt; &lt;option value = ""1998""&gt; 1998 &lt;/ option&gt; &lt;option value = ""1997""&gt; 1997 &lt;/ option&gt; &lt;option value = ""1996""&gt; 1996 &lt;/ option&gt; &lt;option value = ""1995""&gt; 1995 &lt;/ option&gt; &lt;option"&amp;" value = ""1994""&gt; 1994 &lt;/ option&gt; &lt;option value = ""1993""&gt; 1993 &lt;/ option&gt; &lt;option value = ""1992""&gt; 1992 &lt;/ option&gt; &lt;option value = ""1991""&gt; 1991 &lt;/ option&gt; &lt;option value = ""1990""&gt; 1990 &lt;/ option&gt; &lt;option value = "" 1989 ""&gt; 1989 &lt;/ option&gt; &lt;option "&amp;"value ="" 1988 ""&gt; 1988 &lt;/ option&gt; &lt;option value ="" 1987 ""&gt; 1987 &lt;/ option&gt; &lt;option value ="" 1986 ""&gt; 1986 &lt;/ option&gt; &lt;value option = ""1985""&gt; 1985 &lt;/ option&gt; &lt;option value = ""1984""&gt; 1984 &lt;/ option&gt; &lt;option value = ""1983""&gt; 1983 &lt;/ option&gt; &lt;option "&amp;"value = ""1982""&gt; 1982 &lt;/ option&gt; &lt; option value = ""1981""&gt; 1981 &lt;/ option&gt; &lt;option value = ""1980""&gt; 1980 &lt;/ option&gt; &lt;option value = ""1979""&gt; 1979 &lt;/ option&gt; &lt;option value = ""1978""&gt; 1978 &lt;/ option &gt; &lt;option value = ""1977""&gt; 1977 &lt;/ option&gt; &lt;option v"&amp;"alue = ""1976""&gt; 1976 &lt;/ option&gt; &lt;option value = ""1975""&gt; 1975 &lt;/ option&gt; &lt;option value = ""1974""&gt; 1974 &lt; / option&gt; &lt;option value = ""1973""&gt; 1973 &lt;/ option&gt; &lt;option value = ""1972""&gt; 1972 &lt;/ option&gt; &lt;option value = ""1971""&gt; 1971 &lt;/ option&gt; &lt;option val"&amp;"ue = ""1970""&gt; 1970 &lt;/ option&gt; &lt;option value = ""1969""&gt; 1969 &lt;/ option&gt; &lt;option value = ""1968""&gt; 1968 &lt;/ option&gt; &lt;option value = ""1967""&gt; 1967 &lt;/ option&gt; &lt;option value = ""1966 ""&gt; 1966 &lt;/ option&gt; &lt;option value ="" 1965 ""&gt; 1965 &lt;/ option&gt; &lt;option valu"&amp;"e ="" 1964 ""&gt; 1964 &lt;/ option&gt; &lt;option value ="" 1963 ""&gt; 1963 &lt;/ option&gt; &lt;option value = ""1962""&gt; 1962 &lt;/ option&gt; &lt;option value = ""1961""&gt; 1961 &lt;/ option&gt; &lt;option value = ""1960""&gt; 1960 &lt;/ op tion&gt; &lt;option value = ""1959""&gt; 1959 &lt;/ option&gt; &lt;option valu"&amp;"e = ""1958""&gt; 1958 &lt;/ option&gt; &lt;option value = ""1957""&gt; 1957 &lt;/ option&gt; &lt;option value = ""1956""&gt; 1956 &lt;/ option&gt; &lt;option value = ""1955""&gt; 1955 &lt;/ option&gt; &lt;option value = ""1954""&gt; 1954 &lt;/ option&gt; &lt;option value = ""1953""&gt; 1953 &lt;/ option&gt; &lt;option value ="&amp;" ""1952""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"&amp;"= ""1940""&gt;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&lt;value option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airy-stage airy -vertical-centering-table-dialog airy airy-denied ""style ="" opacity: 0;"&amp;" visibility: hidden; ""&gt; &lt;div tabindex ="" - 1 ""class ="" airy-install-flash-Vertical-centering-table-cell airy-Vertical-centering-table-cell ""&gt; &lt;div tabindex ="" - 1 ""class = ""airy-Vertical-centering-wrapper airy-install-flash-elements-wrapper""&gt; &lt;di"&amp;"v tabindex = ""- 1"" class = ""airy-install-flash-elements airy-dialog-elements""&gt; &lt;div tabindex = "" -1 ""class ="" airy-install-flash-prompt ""&gt; Adobe Flash Player is required to watch this video &lt;/ div&gt; &lt;div tabindex =."" - 1 ""class ="" airy-install-f"&amp;"lash-button-wrapper airy -dialog-inner-elements ""&gt; &lt;div tabindex ="" - 1 ""class ="" airy-install-flash-button airy-button ""&gt; install Flash Player &lt;/ div&gt; &lt;/ div&gt; &lt;/ div&gt; &lt;/ div&gt; &lt;/ div&gt; &lt;/ div&gt; &lt;div tabindex = ""- 1"" class = ""airy-video-unsupported-d"&amp;"ialog airy-stage airy-Vertical-centering-table airy-dialog airy-denied"" style = ""opacity: 0; visibility: hidden; ""&gt; &lt;div tabindex ="" - 1 ""class ="" airy-video-unsupported-Vertical-centering-table-cell airy-Vertical-centering-table-cell ""&gt; &lt;div tabin"&amp;"dex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tabinde"&amp;"x ="" - 1 ""class ="" airy-loading-spinner-container airy-scalable-hint-container ""&gt; &lt;div tabindex ="" - 1 ""class ="" airy-loading-spinner-dummy airy-scalable-dummy ""&gt; &lt;/ div&gt; &lt; div tabindex = ""- 1"" class = ""airy-loading-spinner airy-hint"" style = "&amp;"""visibility: hidden;""&gt; &lt;/ div&gt; &lt;/ div&gt; &lt;/ div&gt; &lt;/ div&gt; &lt;div tabindex = ""- 1 ""class ="" airy-ads-screen-size-toggle airy-screen-size-toggle-fullscreen airy ""style ="" visibility: hidden; ""&gt; &lt;/ div&gt; &lt;div tabindex = ""-1"" class = ""airy-ad-prompt-cont"&amp;"ainer"" style = ""visibility: hidden;""&gt; &lt;div tabindex = ""- 1"" class = ""airy-ad-prompt-Vertical-centering-table-vertically airy centering-table ""&gt; &lt;div tabindex ="" - 1 ""class ="" airy-ad-prompt-Vertical-centering-table-cell airy-Vertical-centering-t"&amp;"able-cell ""&gt; &lt;div tabindex ="" - 1 ""class = ""airy-ad-prompt-label""&gt; &lt;/ div&gt; &lt;/ div&gt; &lt;/ div&gt; &lt;/ div&gt; &lt;div tabindex = ""- 1"" class = ""airy-ads-controls-container"" style = ""visibility: hidden; ""&gt; &lt;div tabindex ="" - 1 ""class ="" airy-ads-audio-togg"&amp;"le airy-audio-toggle airy-on ""style ="" visibility: hidden; ""&gt; &lt;/ div&gt; &lt;div tabindex ="" - 1 ""class ="" airy-time-remaining-label-container ""&gt; &lt;div tabindex ="" - 1 ""class ="" airy-time-remaining-Vertical-centering-table airy-Vertical-centering-table"&amp;"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&lt;/ "&amp;"div&gt; &lt;/ div&gt; &lt;/ div&gt; &lt;/ div&gt; &lt;/ div&gt; &lt;div tabindex ="" - 1 ""class ="" airy-learn-more ""style ="" visibility: hidden; ""&gt; &lt;/ div&gt; &lt;/ div&gt; &lt;div tabindex = ""- 1"" class = ""airy-play-toggle-hint-stage airy-stage airy-cursor""&gt; &lt;div tabindex = ""- 1"" clas"&amp;"s = ""airy-play -toggle-hint-Vertical-centering-table-cell airy-Vertical-centering-table-cell airy-cursor ""&gt; &lt;div tabindex ="" - 1 ""class ="" airy-play-toggle-hint-container airy-scalable- Hint-container ""&gt; &lt;div tabindex ="" - 1 ""class ="" airy-play-t"&amp;"oggle-hint-dummy airy-scalable-dummy ""&gt; &lt;/ div&gt; &lt;div tabindex ="" - 1 ""class ="" airy-play -toggle-hint hint airy-airy-play-hint ""style ="" opacity: 1; visibility: visible; ""&gt; &lt;/ div&gt; &lt;/ div&gt; &lt;/ div&gt; &lt;/ div&gt; &lt;div tabindex ="" - 1 ""class ="" airy-repl"&amp;"ay-hint-stage airy-stage ""style ="" visibility: hidden ; ""&gt; &lt;div tabindex ="" - 1 ""class ="" airy-replay-hint-Vertical-centering-table-cell airy-Vertical-centering-table-cell airy-cursor ""&gt; &lt;div tabindex ="" - 1 ""class = ""airy-replay-hint-container "&amp;"airy-scalable-hint-container""&gt; &lt;div tabindex = ""- 1"" class = ""airy-replay-hint-dummy airy-scalable-dummy""&gt; &lt;/ div&gt; &lt;div tabindex = ""- 1"" class = ""airy-replay-hint airy-hint""&gt; &lt;/ div&gt; &lt;/ div&gt; &lt;/ div&gt; &lt;/ div&gt; &lt;div tabindex = ""- 1"" class = ""airy-"&amp;"autoplay-hint -stage airy-stage ""style ="" visibility: hidden; ""&gt; &lt;div tabindex ="" - 1 ""class ="" airy-autoplay-hint-Vertical-centering-table-cell airy-Vertical-centering-table-cell airy- cursor ""&gt; &lt;div tabindex ="" - 1 ""class ="" autoplay airy-airy"&amp;"-hint-container-scalable-hint-container ""&gt; &lt;div tabindex ="" - 1 ""class ="" airy-autoplay-hint-dummy airy- scalable-dummy ""&gt; &lt;/ div&gt; &lt;/ div&gt; &lt;/ div&gt; &lt;/ div&gt; &lt;/ div&gt; &lt;/ div&gt; &lt;input type ="" hidden ""name ="" ""value ="" https: // images-eu .ssl-images-a"&amp;"mazon.com / images / I / 91uK + SdTrKS.mp4 ""Class ="" video-url ""&gt; &lt;input type ="" hidden ""name ="" ""value ="" https://images-eu.ssl-images-amazon.com/images/I/91fNxMTGbUS.png ""class ="" video-slate-img-url ""&gt; &amp; nbsp; Hello, this massager cushion ha"&amp;"s been a good buy, so good that it is always busy, or has my wife or children have, the truth is that it is fine, they seem a hands that make you massage, if you press twice heat activates the function, I recommend")</f>
        <v>Look like hands &lt;div id = "video-block-R1WUQVMA1HOQOX" class = "a-section a-spacing-small a-spacing-top mini video-block"&gt; &lt;div tabindex = "0" class = "airy airy-svg vmin-supported airy-skin-beacon "style =" background-color: rgb (0, 0, 0) position: relative; width: 100%; height: 100%; font-size: 0px; overflow: hidden; outline : none; "&gt; &lt;div class =" airy-renderer-container "style =" position: relative; height: 100%; width: 100%; "&gt; &lt;video id =" 47 "preload =" auto "src =" https://images-eu.ssl-images-amazon.com/images/I/91uK+SdTrKS.mp4 "style =" position: absolute; left: 0px; top: 0px; overflow: hidden; height: 1px; width : 1px; "&gt; &lt;/ video&gt; &lt;/ div&gt; &lt;div id =" airy-slate-preload "style =" background-color: rgb (0, 0, 0); background-image: url (&amp; quot; https: //images-eu.ssl-images-amazon.com/images/I/91fNxMTGbUS.png&amp;quot;); background-size: Contain; background-position: center center; background-repeat: no-repeat; position: absolute; top : 0px; left: 0px; visibility: visible; width: 100%; height: 100%; "&gt; &lt;/ div&gt; &lt;iframe scrolling =" n or "frameborder =" 0 "src =" about: blank "style =" display: none; "&gt; &lt;/ iframe&gt; &lt;div tabindex =" - 1 "class =" airy-controls-container "style =" opacity: 0 ;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91uK + SdTrKS.mp4 "Class =" video-url "&gt; &lt;input type =" hidden "name =" "value =" https://images-eu.ssl-images-amazon.com/images/I/91fNxMTGbUS.png "class =" video-slate-img-url "&gt; &amp; nbsp; Hello, this massager cushion has been a good buy, so good that it is always busy, or has my wife or children have, the truth is that it is fine, they seem a hands that make you massage, if you press twice heat activates the function, I recommend</v>
      </c>
    </row>
    <row r="1491">
      <c r="A1491" s="1">
        <v>5.0</v>
      </c>
      <c r="B1491" s="1" t="s">
        <v>1482</v>
      </c>
      <c r="C1491" t="str">
        <f>IFERROR(__xludf.DUMMYFUNCTION("GOOGLETRANSLATE(B1491, ""es"", ""en"")"),"A large microphone. Certainly a great microphone at a great price (I must also say that I bought it during the Black Friday to 99.99 €). He planned to buy the snowball (you can put omnidirectional as it is a pattern I need) when I found this a little more"&amp;" so I decided to buy it and do not regret. But I have to say to the normal price (between 150 € and € 160) if you do not need different recording modes and you used only with cardioid, the snowball is a much cheaper option to consider, that if a quality a"&amp;"udio slightly lower (very bottom).")</f>
        <v>A large microphone. Certainly a great microphone at a great price (I must also say that I bought it during the Black Friday to 99.99 €). He planned to buy the snowball (you can put omnidirectional as it is a pattern I need) when I found this a little more so I decided to buy it and do not regret. But I have to say to the normal price (between 150 € and € 160) if you do not need different recording modes and you used only with cardioid, the snowball is a much cheaper option to consider, that if a quality audio slightly lower (very bottom).</v>
      </c>
    </row>
    <row r="1492">
      <c r="A1492" s="1">
        <v>5.0</v>
      </c>
      <c r="B1492" s="1" t="s">
        <v>1483</v>
      </c>
      <c r="C1492" t="str">
        <f>IFERROR(__xludf.DUMMYFUNCTION("GOOGLETRANSLATE(B1492, ""es"", ""en"")"),"excellent Buenisimos")</f>
        <v>excellent Buenisimos</v>
      </c>
    </row>
    <row r="1493">
      <c r="A1493" s="1">
        <v>5.0</v>
      </c>
      <c r="B1493" s="1" t="s">
        <v>1484</v>
      </c>
      <c r="C1493" t="str">
        <f>IFERROR(__xludf.DUMMYFUNCTION("GOOGLETRANSLATE(B1493, ""es"", ""en"")"),"Good sound. Have a nice design, they are small, comfy and fit great ears. The sound is very good quality and sharpness. The battery is long-lasting, indicating what remains of battery in the charging case through a screen. The connector for charging the c"&amp;"assette is type C cable. They are matched quickly and easily with the device. Respond to touch, with a soft touch, allowing you to control music and calls. In manual biene including Spanish.")</f>
        <v>Good sound. Have a nice design, they are small, comfy and fit great ears. The sound is very good quality and sharpness. The battery is long-lasting, indicating what remains of battery in the charging case through a screen. The connector for charging the cassette is type C cable. They are matched quickly and easily with the device. Respond to touch, with a soft touch, allowing you to control music and calls. In manual biene including Spanish.</v>
      </c>
    </row>
    <row r="1494">
      <c r="A1494" s="1">
        <v>5.0</v>
      </c>
      <c r="B1494" s="1" t="s">
        <v>1485</v>
      </c>
      <c r="C1494" t="str">
        <f>IFERROR(__xludf.DUMMYFUNCTION("GOOGLETRANSLATE(B1494, ""es"", ""en"")"),"Ideal for winter Great product, easy to use, and add warm water inside. Very soft, lovely design. I lay in bed and sleep 1h before me is great.")</f>
        <v>Ideal for winter Great product, easy to use, and add warm water inside. Very soft, lovely design. I lay in bed and sleep 1h before me is great.</v>
      </c>
    </row>
    <row r="1495">
      <c r="A1495" s="1">
        <v>5.0</v>
      </c>
      <c r="B1495" s="1" t="s">
        <v>1486</v>
      </c>
      <c r="C1495" t="str">
        <f>IFERROR(__xludf.DUMMYFUNCTION("GOOGLETRANSLATE(B1495, ""es"", ""en"")"),"Bons per a MBF MBF Fem i ens work to Perfection")</f>
        <v>Bons per a MBF MBF Fem i ens work to Perfection</v>
      </c>
    </row>
    <row r="1496">
      <c r="A1496" s="1">
        <v>5.0</v>
      </c>
      <c r="B1496" s="1" t="s">
        <v>1487</v>
      </c>
      <c r="C1496" t="str">
        <f>IFERROR(__xludf.DUMMYFUNCTION("GOOGLETRANSLATE(B1496, ""es"", ""en"")"),"Perfect measures confined spaces perfect for tight spaces")</f>
        <v>Perfect measures confined spaces perfect for tight spaces</v>
      </c>
    </row>
    <row r="1497">
      <c r="A1497" s="1">
        <v>2.0</v>
      </c>
      <c r="B1497" s="1" t="s">
        <v>1488</v>
      </c>
      <c r="C1497" t="str">
        <f>IFERROR(__xludf.DUMMYFUNCTION("GOOGLETRANSLATE(B1497, ""es"", ""en"")"),"Low quality were broken by the tip a few months. Puma is lowering the quality of its products.")</f>
        <v>Low quality were broken by the tip a few months. Puma is lowering the quality of its products.</v>
      </c>
    </row>
    <row r="1498">
      <c r="A1498" s="1">
        <v>3.0</v>
      </c>
      <c r="B1498" s="1" t="s">
        <v>1489</v>
      </c>
      <c r="C1498" t="str">
        <f>IFERROR(__xludf.DUMMYFUNCTION("GOOGLETRANSLATE(B1498, ""es"", ""en"")"),"I bought a small size 43 and my son uses a 41, and are very fair, so I recommend you buy two sizes larger than normal. They are good quality and are soft, but they are not anything special, I have washed and have already gone some little balls, but retain"&amp;" the kind .....")</f>
        <v>I bought a small size 43 and my son uses a 41, and are very fair, so I recommend you buy two sizes larger than normal. They are good quality and are soft, but they are not anything special, I have washed and have already gone some little balls, but retain the kind .....</v>
      </c>
    </row>
    <row r="1499">
      <c r="A1499" s="1">
        <v>1.0</v>
      </c>
      <c r="B1499" s="1" t="s">
        <v>1490</v>
      </c>
      <c r="C1499" t="str">
        <f>IFERROR(__xludf.DUMMYFUNCTION("GOOGLETRANSLATE(B1499, ""es"", ""en"")"),"Not what I expected I've returned because it comes without battery sealed without warranty.")</f>
        <v>Not what I expected I've returned because it comes without battery sealed without warranty.</v>
      </c>
    </row>
    <row r="1500">
      <c r="A1500" s="1">
        <v>1.0</v>
      </c>
      <c r="B1500" s="1" t="s">
        <v>1491</v>
      </c>
      <c r="C1500" t="str">
        <f>IFERROR(__xludf.DUMMYFUNCTION("GOOGLETRANSLATE(B1500, ""es"", ""en"")"),"Half and half fabric leaves much to be desired.")</f>
        <v>Half and half fabric leaves much to be desired.</v>
      </c>
    </row>
    <row r="1501">
      <c r="A1501" s="1">
        <v>1.0</v>
      </c>
      <c r="B1501" s="1" t="s">
        <v>1492</v>
      </c>
      <c r="C1501" t="str">
        <f>IFERROR(__xludf.DUMMYFUNCTION("GOOGLETRANSLATE(B1501, ""es"", ""en"")"),"Michelangelo did not serve because they do not fit well in the ear. They will not fall off the ear, but he did not fit well in the ear, let too much noise outside, so it is up the volume to listen too (tested in the gym). They are also uncomfortable on th"&amp;"e ear because they have pads. I wanted to try these because I have some in-ear headphones cheap that I release to the run. Solution: buy other in-ear better quality and pads of different sizes.")</f>
        <v>Michelangelo did not serve because they do not fit well in the ear. They will not fall off the ear, but he did not fit well in the ear, let too much noise outside, so it is up the volume to listen too (tested in the gym). They are also uncomfortable on the ear because they have pads. I wanted to try these because I have some in-ear headphones cheap that I release to the run. Solution: buy other in-ear better quality and pads of different sizes.</v>
      </c>
    </row>
    <row r="1502">
      <c r="A1502" s="1">
        <v>4.0</v>
      </c>
      <c r="B1502" s="1" t="s">
        <v>1493</v>
      </c>
      <c r="C1502" t="str">
        <f>IFERROR(__xludf.DUMMYFUNCTION("GOOGLETRANSLATE(B1502, ""es"", ""en"")"),"As expected money's worth average, if you want hardback have to spend more money")</f>
        <v>As expected money's worth average, if you want hardback have to spend more money</v>
      </c>
    </row>
    <row r="1503">
      <c r="A1503" s="1">
        <v>4.0</v>
      </c>
      <c r="B1503" s="1" t="s">
        <v>1494</v>
      </c>
      <c r="C1503" t="str">
        <f>IFERROR(__xludf.DUMMYFUNCTION("GOOGLETRANSLATE(B1503, ""es"", ""en"")"),"Quality Excellent quality, allows you to place an organized all cables from home. Very satisfied")</f>
        <v>Quality Excellent quality, allows you to place an organized all cables from home. Very satisfied</v>
      </c>
    </row>
    <row r="1504">
      <c r="A1504" s="1">
        <v>4.0</v>
      </c>
      <c r="B1504" s="1" t="s">
        <v>1495</v>
      </c>
      <c r="C1504" t="str">
        <f>IFERROR(__xludf.DUMMYFUNCTION("GOOGLETRANSLATE(B1504, ""es"", ""en"")"),"For off-road microphone after almost a year to say that it is indestructible, and although it is not a Shure SM58, also costs 5 times less, fulfills its role perfectly in place.")</f>
        <v>For off-road microphone after almost a year to say that it is indestructible, and although it is not a Shure SM58, also costs 5 times less, fulfills its role perfectly in place.</v>
      </c>
    </row>
    <row r="1505">
      <c r="A1505" s="1">
        <v>4.0</v>
      </c>
      <c r="B1505" s="1" t="s">
        <v>1496</v>
      </c>
      <c r="C1505" t="str">
        <f>IFERROR(__xludf.DUMMYFUNCTION("GOOGLETRANSLATE(B1505, ""es"", ""en"")"),"Man shoulder bag with zipper care are somewhat fragile. But otherwise meets")</f>
        <v>Man shoulder bag with zipper care are somewhat fragile. But otherwise meets</v>
      </c>
    </row>
    <row r="1506">
      <c r="A1506" s="1">
        <v>5.0</v>
      </c>
      <c r="B1506" s="1" t="s">
        <v>1497</v>
      </c>
      <c r="C1506" t="str">
        <f>IFERROR(__xludf.DUMMYFUNCTION("GOOGLETRANSLATE(B1506, ""es"", ""en"")"),"recommended ring. Phenomenal for the original.Recomendable.Llegó precio.Igual before the estimated time, arrived in very good condition, well protected and is of very good quality.")</f>
        <v>recommended ring. Phenomenal for the original.Recomendable.Llegó precio.Igual before the estimated time, arrived in very good condition, well protected and is of very good quality.</v>
      </c>
    </row>
    <row r="1507">
      <c r="A1507" s="1">
        <v>5.0</v>
      </c>
      <c r="B1507" s="1" t="s">
        <v>1498</v>
      </c>
      <c r="C1507" t="str">
        <f>IFERROR(__xludf.DUMMYFUNCTION("GOOGLETRANSLATE(B1507, ""es"", ""en"")"),"Great! We have tried several bottles of different brands and losTommee Tippee are by far the ones we like to us and our baby.")</f>
        <v>Great! We have tried several bottles of different brands and losTommee Tippee are by far the ones we like to us and our baby.</v>
      </c>
    </row>
    <row r="1508">
      <c r="A1508" s="1">
        <v>5.0</v>
      </c>
      <c r="B1508" s="1" t="s">
        <v>1499</v>
      </c>
      <c r="C1508" t="str">
        <f>IFERROR(__xludf.DUMMYFUNCTION("GOOGLETRANSLATE(B1508, ""es"", ""en"")"),"Very good article for the winter season. Very comfortable. original product that met my expectations 100%")</f>
        <v>Very good article for the winter season. Very comfortable. original product that met my expectations 100%</v>
      </c>
    </row>
    <row r="1509">
      <c r="A1509" s="1">
        <v>5.0</v>
      </c>
      <c r="B1509" s="1" t="s">
        <v>1500</v>
      </c>
      <c r="C1509" t="str">
        <f>IFERROR(__xludf.DUMMYFUNCTION("GOOGLETRANSLATE(B1509, ""es"", ""en"")"),"Just as I imagined. Great buy. Nice, hard and big without being exaggerated even in narrow wrists. I was surprised how light it is. The combination of colors I love. Casio quality, everything is said. Recommended.")</f>
        <v>Just as I imagined. Great buy. Nice, hard and big without being exaggerated even in narrow wrists. I was surprised how light it is. The combination of colors I love. Casio quality, everything is said. Recommended.</v>
      </c>
    </row>
    <row r="1510">
      <c r="A1510" s="1">
        <v>5.0</v>
      </c>
      <c r="B1510" s="1" t="s">
        <v>1501</v>
      </c>
      <c r="C1510" t="str">
        <f>IFERROR(__xludf.DUMMYFUNCTION("GOOGLETRANSLATE(B1510, ""es"", ""en"")"),"No complaints Very nice black mouse pad. You can wash it if it gets dirty and does not break or anything.")</f>
        <v>No complaints Very nice black mouse pad. You can wash it if it gets dirty and does not break or anything.</v>
      </c>
    </row>
    <row r="1511">
      <c r="A1511" s="1">
        <v>5.0</v>
      </c>
      <c r="B1511" s="1" t="s">
        <v>1502</v>
      </c>
      <c r="C1511" t="str">
        <f>IFERROR(__xludf.DUMMYFUNCTION("GOOGLETRANSLATE(B1511, ""es"", ""en"")"),"Japanese tea ceremony kit with very good price.")</f>
        <v>Japanese tea ceremony kit with very good price.</v>
      </c>
    </row>
    <row r="1512">
      <c r="A1512" s="1">
        <v>5.0</v>
      </c>
      <c r="B1512" s="1" t="s">
        <v>1503</v>
      </c>
      <c r="C1512" t="str">
        <f>IFERROR(__xludf.DUMMYFUNCTION("GOOGLETRANSLATE(B1512, ""es"", ""en"")"),"It lacks a good micro LED to indicate battery status")</f>
        <v>It lacks a good micro LED to indicate battery status</v>
      </c>
    </row>
    <row r="1513">
      <c r="A1513" s="1">
        <v>5.0</v>
      </c>
      <c r="B1513" s="1" t="s">
        <v>1504</v>
      </c>
      <c r="C1513" t="str">
        <f>IFERROR(__xludf.DUMMYFUNCTION("GOOGLETRANSLATE(B1513, ""es"", ""en"")"),"Super Memory Card reputable manufacturer. Super Memory Card reputable manufacturer. With it you can expand the capacity of your mobile device or tablet and not worry about how many photos or music you go poking into 32 gb go far. In addition it is categor"&amp;"y 10 and that gives rates of read and write very good card and of course much higher than those of the same cards in capacity but of category 4. In my view worth buying the category 10 vs. the category 4. the manufacturer is a renowned supplier of devices"&amp;" RAM, SSDs, memory cards, etc. For me a very wise choice.")</f>
        <v>Super Memory Card reputable manufacturer. Super Memory Card reputable manufacturer. With it you can expand the capacity of your mobile device or tablet and not worry about how many photos or music you go poking into 32 gb go far. In addition it is category 10 and that gives rates of read and write very good card and of course much higher than those of the same cards in capacity but of category 4. In my view worth buying the category 10 vs. the category 4. the manufacturer is a renowned supplier of devices RAM, SSDs, memory cards, etc. For me a very wise choice.</v>
      </c>
    </row>
    <row r="1514">
      <c r="A1514" s="1">
        <v>5.0</v>
      </c>
      <c r="B1514" s="1" t="s">
        <v>1505</v>
      </c>
      <c r="C1514" t="str">
        <f>IFERROR(__xludf.DUMMYFUNCTION("GOOGLETRANSLATE(B1514, ""es"", ""en"")"),"They genial have arrived earlier than expected. Very happy because it was for a gift. They are very original and the quality is pretty good for the money you have.")</f>
        <v>They genial have arrived earlier than expected. Very happy because it was for a gift. They are very original and the quality is pretty good for the money you have.</v>
      </c>
    </row>
    <row r="1515">
      <c r="A1515" s="1">
        <v>5.0</v>
      </c>
      <c r="B1515" s="1" t="s">
        <v>1506</v>
      </c>
      <c r="C1515" t="str">
        <f>IFERROR(__xludf.DUMMYFUNCTION("GOOGLETRANSLATE(B1515, ""es"", ""en"")"),"Good product All good")</f>
        <v>Good product All good</v>
      </c>
    </row>
    <row r="1516">
      <c r="A1516" s="1">
        <v>5.0</v>
      </c>
      <c r="B1516" s="1" t="s">
        <v>1507</v>
      </c>
      <c r="C1516" t="str">
        <f>IFERROR(__xludf.DUMMYFUNCTION("GOOGLETRANSLATE(B1516, ""es"", ""en"")"),"They are genuine fur. authentic sports. Are the originals. Skin. My daughter used 37, 37.5 and asked are perfect. She has the narrow foot so that means more number will suffice. Calzan something small so you have to ask means or another number. Delighted "&amp;"with purchase. He arrived earlier than expected.")</f>
        <v>They are genuine fur. authentic sports. Are the originals. Skin. My daughter used 37, 37.5 and asked are perfect. She has the narrow foot so that means more number will suffice. Calzan something small so you have to ask means or another number. Delighted with purchase. He arrived earlier than expected.</v>
      </c>
    </row>
    <row r="1517">
      <c r="A1517" s="1">
        <v>5.0</v>
      </c>
      <c r="B1517" s="1" t="s">
        <v>1508</v>
      </c>
      <c r="C1517" t="str">
        <f>IFERROR(__xludf.DUMMYFUNCTION("GOOGLETRANSLATE(B1517, ""es"", ""en"")"),"It fits the description Good quality product.")</f>
        <v>It fits the description Good quality product.</v>
      </c>
    </row>
    <row r="1518">
      <c r="A1518" s="1">
        <v>5.0</v>
      </c>
      <c r="B1518" s="1" t="s">
        <v>1509</v>
      </c>
      <c r="C1518" t="str">
        <f>IFERROR(__xludf.DUMMYFUNCTION("GOOGLETRANSLATE(B1518, ""es"", ""en"")"),"Precious gift I loved both me and my wife. It has a good size, not too big or small. The finishes are good and beautiful, when light reflects crystals, very cool shines. Everything seems good quality I am very happy to buy it and my wife for the gift.")</f>
        <v>Precious gift I loved both me and my wife. It has a good size, not too big or small. The finishes are good and beautiful, when light reflects crystals, very cool shines. Everything seems good quality I am very happy to buy it and my wife for the gift.</v>
      </c>
    </row>
    <row r="1519">
      <c r="A1519" s="1">
        <v>5.0</v>
      </c>
      <c r="B1519" s="1" t="s">
        <v>1510</v>
      </c>
      <c r="C1519" t="str">
        <f>IFERROR(__xludf.DUMMYFUNCTION("GOOGLETRANSLATE(B1519, ""es"", ""en"")"),"All perfect! Super nice. Slightly thicker fabric that classic converse. I took my number and I had to change one less. He arrived earlier than expected. Very happy!")</f>
        <v>All perfect! Super nice. Slightly thicker fabric that classic converse. I took my number and I had to change one less. He arrived earlier than expected. Very happy!</v>
      </c>
    </row>
    <row r="1520">
      <c r="A1520" s="1">
        <v>5.0</v>
      </c>
      <c r="B1520" s="1" t="s">
        <v>1511</v>
      </c>
      <c r="C1520" t="str">
        <f>IFERROR(__xludf.DUMMYFUNCTION("GOOGLETRANSLATE(B1520, ""es"", ""en"")"),"Very good quality, great adhesiveness")</f>
        <v>Very good quality, great adhesiveness</v>
      </c>
    </row>
    <row r="1521">
      <c r="A1521" s="1">
        <v>5.0</v>
      </c>
      <c r="B1521" s="1" t="s">
        <v>1512</v>
      </c>
      <c r="C1521" t="str">
        <f>IFERROR(__xludf.DUMMYFUNCTION("GOOGLETRANSLATE(B1521, ""es"", ""en"")"),"Very good. Good product displays clean me well and leaves a good smell. Immediately dried quickly and efficiently. The only downside is that something came open and the bag came a little wet.")</f>
        <v>Very good. Good product displays clean me well and leaves a good smell. Immediately dried quickly and efficiently. The only downside is that something came open and the bag came a little wet.</v>
      </c>
    </row>
    <row r="1522">
      <c r="A1522" s="1">
        <v>5.0</v>
      </c>
      <c r="B1522" s="1" t="s">
        <v>1513</v>
      </c>
      <c r="C1522" t="str">
        <f>IFERROR(__xludf.DUMMYFUNCTION("GOOGLETRANSLATE(B1522, ""es"", ""en"")"),"Perfect A great and very quality product at a good price.")</f>
        <v>Perfect A great and very quality product at a good price.</v>
      </c>
    </row>
    <row r="1523">
      <c r="A1523" s="1">
        <v>5.0</v>
      </c>
      <c r="B1523" s="1" t="s">
        <v>1514</v>
      </c>
      <c r="C1523" t="str">
        <f>IFERROR(__xludf.DUMMYFUNCTION("GOOGLETRANSLATE(B1523, ""es"", ""en"")"),"VERY VERY NICE BONITTOS SUGGEST ask one size smaller to make them JUST AND NOT COME OUT IN THE WATER.")</f>
        <v>VERY VERY NICE BONITTOS SUGGEST ask one size smaller to make them JUST AND NOT COME OUT IN THE WATER.</v>
      </c>
    </row>
    <row r="1524">
      <c r="A1524" s="1">
        <v>5.0</v>
      </c>
      <c r="B1524" s="1" t="s">
        <v>1515</v>
      </c>
      <c r="C1524" t="str">
        <f>IFERROR(__xludf.DUMMYFUNCTION("GOOGLETRANSLATE(B1524, ""es"", ""en"")"),"Right size for what I needed is fine. Size large or small Mu. just enough")</f>
        <v>Right size for what I needed is fine. Size large or small Mu. just enough</v>
      </c>
    </row>
    <row r="1525">
      <c r="A1525" s="1">
        <v>2.0</v>
      </c>
      <c r="B1525" s="1" t="s">
        <v>1516</v>
      </c>
      <c r="C1525" t="str">
        <f>IFERROR(__xludf.DUMMYFUNCTION("GOOGLETRANSLATE(B1525, ""es"", ""en"")"),"He leaves much to be desired return the device because the battery begins to fail in its second week. Just clean a room and you clean the following costs so the meters cleaning promised in my case have not been met. Regarding scrubbing itself leaves much "&amp;"to be desired the same as other devices that have much cheaper Chinese origin because they both lack intensity scrubbing is not enough to pass a damp cloth to descale dirt I fear that still needed to to have a good automatic floor cleaner for residential.")</f>
        <v>He leaves much to be desired return the device because the battery begins to fail in its second week. Just clean a room and you clean the following costs so the meters cleaning promised in my case have not been met. Regarding scrubbing itself leaves much to be desired the same as other devices that have much cheaper Chinese origin because they both lack intensity scrubbing is not enough to pass a damp cloth to descale dirt I fear that still needed to to have a good automatic floor cleaner for residential.</v>
      </c>
    </row>
    <row r="1526">
      <c r="A1526" s="1">
        <v>3.0</v>
      </c>
      <c r="B1526" s="1" t="s">
        <v>1517</v>
      </c>
      <c r="C1526" t="str">
        <f>IFERROR(__xludf.DUMMYFUNCTION("GOOGLETRANSLATE(B1526, ""es"", ""en"")"),"Practical, without being exceptional good value for money")</f>
        <v>Practical, without being exceptional good value for money</v>
      </c>
    </row>
    <row r="1527">
      <c r="A1527" s="1">
        <v>3.0</v>
      </c>
      <c r="B1527" s="1" t="s">
        <v>1518</v>
      </c>
      <c r="C1527" t="str">
        <f>IFERROR(__xludf.DUMMYFUNCTION("GOOGLETRANSLATE(B1527, ""es"", ""en"")"),"Comodo Very warm")</f>
        <v>Comodo Very warm</v>
      </c>
    </row>
    <row r="1528">
      <c r="A1528" s="1">
        <v>3.0</v>
      </c>
      <c r="B1528" s="1" t="s">
        <v>1519</v>
      </c>
      <c r="C1528" t="str">
        <f>IFERROR(__xludf.DUMMYFUNCTION("GOOGLETRANSLATE(B1528, ""es"", ""en"")"),"I notice no improvement expected over the product, I took a week and I have not noticed much improvement, I used flogoprofen and felt more relief from neck pain")</f>
        <v>I notice no improvement expected over the product, I took a week and I have not noticed much improvement, I used flogoprofen and felt more relief from neck pain</v>
      </c>
    </row>
    <row r="1529">
      <c r="A1529" s="1">
        <v>1.0</v>
      </c>
      <c r="B1529" s="1" t="s">
        <v>1520</v>
      </c>
      <c r="C1529" t="str">
        <f>IFERROR(__xludf.DUMMYFUNCTION("GOOGLETRANSLATE(B1529, ""es"", ""en"")"),"I drive failure has lasted eight months has begun to disk errors or formatting it again and again has to be fixed. Let disaster.")</f>
        <v>I drive failure has lasted eight months has begun to disk errors or formatting it again and again has to be fixed. Let disaster.</v>
      </c>
    </row>
    <row r="1530">
      <c r="A1530" s="1">
        <v>4.0</v>
      </c>
      <c r="B1530" s="1" t="s">
        <v>1521</v>
      </c>
      <c r="C1530" t="str">
        <f>IFERROR(__xludf.DUMMYFUNCTION("GOOGLETRANSLATE(B1530, ""es"", ""en"")"),"Good hard drive. I have quite liked this hard drive is my mother and works well, she uses it to store photos, documents, etc. for professional use is not very good data transfer could be better but overall pretty good.")</f>
        <v>Good hard drive. I have quite liked this hard drive is my mother and works well, she uses it to store photos, documents, etc. for professional use is not very good data transfer could be better but overall pretty good.</v>
      </c>
    </row>
    <row r="1531">
      <c r="A1531" s="1">
        <v>4.0</v>
      </c>
      <c r="B1531" s="1" t="s">
        <v>1522</v>
      </c>
      <c r="C1531" t="str">
        <f>IFERROR(__xludf.DUMMYFUNCTION("GOOGLETRANSLATE(B1531, ""es"", ""en"")"),"I liked the requested sweatshirt as expected and better than has gone before")</f>
        <v>I liked the requested sweatshirt as expected and better than has gone before</v>
      </c>
    </row>
    <row r="1532">
      <c r="A1532" s="1">
        <v>4.0</v>
      </c>
      <c r="B1532" s="1" t="s">
        <v>1523</v>
      </c>
      <c r="C1532" t="str">
        <f>IFERROR(__xludf.DUMMYFUNCTION("GOOGLETRANSLATE(B1532, ""es"", ""en"")"),"Nice watch must admit that the picture looks better. Yet the clock is very nice, good quality shows. I recommend it.")</f>
        <v>Nice watch must admit that the picture looks better. Yet the clock is very nice, good quality shows. I recommend it.</v>
      </c>
    </row>
    <row r="1533">
      <c r="A1533" s="1">
        <v>4.0</v>
      </c>
      <c r="B1533" s="1" t="s">
        <v>1524</v>
      </c>
      <c r="C1533" t="str">
        <f>IFERROR(__xludf.DUMMYFUNCTION("GOOGLETRANSLATE(B1533, ""es"", ""en"")"),"Very easy to assemble practical")</f>
        <v>Very easy to assemble practical</v>
      </c>
    </row>
    <row r="1534">
      <c r="A1534" s="1">
        <v>4.0</v>
      </c>
      <c r="B1534" s="1" t="s">
        <v>1525</v>
      </c>
      <c r="C1534" t="str">
        <f>IFERROR(__xludf.DUMMYFUNCTION("GOOGLETRANSLATE(B1534, ""es"", ""en"")"),"We see very well Bibis was for a gift")</f>
        <v>We see very well Bibis was for a gift</v>
      </c>
    </row>
    <row r="1535">
      <c r="A1535" s="1">
        <v>5.0</v>
      </c>
      <c r="B1535" s="1" t="s">
        <v>1526</v>
      </c>
      <c r="C1535" t="str">
        <f>IFERROR(__xludf.DUMMYFUNCTION("GOOGLETRANSLATE(B1535, ""es"", ""en"")"),"Supercomoda comfort, I am delighted")</f>
        <v>Supercomoda comfort, I am delighted</v>
      </c>
    </row>
    <row r="1536">
      <c r="A1536" s="1">
        <v>5.0</v>
      </c>
      <c r="B1536" s="1" t="s">
        <v>1527</v>
      </c>
      <c r="C1536" t="str">
        <f>IFERROR(__xludf.DUMMYFUNCTION("GOOGLETRANSLATE(B1536, ""es"", ""en"")"),"Highly recommended. For comments, I had no doubt buy it. I bought my girlfriend exporadico to make it a gift, and I loved it. Having seen the box perfectly know that it is a very good product.")</f>
        <v>Highly recommended. For comments, I had no doubt buy it. I bought my girlfriend exporadico to make it a gift, and I loved it. Having seen the box perfectly know that it is a very good product.</v>
      </c>
    </row>
    <row r="1537">
      <c r="A1537" s="1">
        <v>5.0</v>
      </c>
      <c r="B1537" s="1" t="s">
        <v>1528</v>
      </c>
      <c r="C1537" t="str">
        <f>IFERROR(__xludf.DUMMYFUNCTION("GOOGLETRANSLATE(B1537, ""es"", ""en"")"),"Fantastica Meets my expectations. Hot on different levels and hot well. the size is right and touch is super nice, also carries a cover. I recommend it")</f>
        <v>Fantastica Meets my expectations. Hot on different levels and hot well. the size is right and touch is super nice, also carries a cover. I recommend it</v>
      </c>
    </row>
    <row r="1538">
      <c r="A1538" s="1">
        <v>5.0</v>
      </c>
      <c r="B1538" s="1" t="s">
        <v>1529</v>
      </c>
      <c r="C1538" t="str">
        <f>IFERROR(__xludf.DUMMYFUNCTION("GOOGLETRANSLATE(B1538, ""es"", ""en"")"),"GREAT!!! SOUND is spectacular and is very complete. I LOVE!!")</f>
        <v>GREAT!!! SOUND is spectacular and is very complete. I LOVE!!</v>
      </c>
    </row>
    <row r="1539">
      <c r="A1539" s="1">
        <v>5.0</v>
      </c>
      <c r="B1539" s="1" t="s">
        <v>1530</v>
      </c>
      <c r="C1539" t="str">
        <f>IFERROR(__xludf.DUMMYFUNCTION("GOOGLETRANSLATE(B1539, ""es"", ""en"")"),"For this price unbeatable price can not ask for more. Sony basic headphones highly recommended a price. Well what already folded so do not take up hardly any space. Pillows not fully occupy the ears, but for a while it's what I use, I suffice.")</f>
        <v>For this price unbeatable price can not ask for more. Sony basic headphones highly recommended a price. Well what already folded so do not take up hardly any space. Pillows not fully occupy the ears, but for a while it's what I use, I suffice.</v>
      </c>
    </row>
    <row r="1540">
      <c r="A1540" s="1">
        <v>5.0</v>
      </c>
      <c r="B1540" s="1" t="s">
        <v>1531</v>
      </c>
      <c r="C1540" t="str">
        <f>IFERROR(__xludf.DUMMYFUNCTION("GOOGLETRANSLATE(B1540, ""es"", ""en"")"),"Simple, comfortable and durable are the second to buy because the former were simply perfect, in a few years buy a third pair. Perfect")</f>
        <v>Simple, comfortable and durable are the second to buy because the former were simply perfect, in a few years buy a third pair. Perfect</v>
      </c>
    </row>
    <row r="1541">
      <c r="A1541" s="1">
        <v>5.0</v>
      </c>
      <c r="B1541" s="1" t="s">
        <v>1532</v>
      </c>
      <c r="C1541" t="str">
        <f>IFERROR(__xludf.DUMMYFUNCTION("GOOGLETRANSLATE(B1541, ""es"", ""en"")"),"It is very well was a gift, I was right full. It's very good product")</f>
        <v>It is very well was a gift, I was right full. It's very good product</v>
      </c>
    </row>
    <row r="1542">
      <c r="A1542" s="1">
        <v>5.0</v>
      </c>
      <c r="B1542" s="1" t="s">
        <v>1533</v>
      </c>
      <c r="C1542" t="str">
        <f>IFERROR(__xludf.DUMMYFUNCTION("GOOGLETRANSLATE(B1542, ""es"", ""en"")"),"Perfect Such a find! My son did not want any Bibi and if it takes ... this is 5 months")</f>
        <v>Perfect Such a find! My son did not want any Bibi and if it takes ... this is 5 months</v>
      </c>
    </row>
    <row r="1543">
      <c r="A1543" s="1">
        <v>5.0</v>
      </c>
      <c r="B1543" s="1" t="s">
        <v>1534</v>
      </c>
      <c r="C1543" t="str">
        <f>IFERROR(__xludf.DUMMYFUNCTION("GOOGLETRANSLATE(B1543, ""es"", ""en"")"),"My daughter is delighted Original product, delivery sooner than expected, number chosen correctly (advise view the size charts and guided by the length of the foot in centimeters: it is the only reliable way to know equivalences between different brands o"&amp;"f shoes). Very nice.")</f>
        <v>My daughter is delighted Original product, delivery sooner than expected, number chosen correctly (advise view the size charts and guided by the length of the foot in centimeters: it is the only reliable way to know equivalences between different brands of shoes). Very nice.</v>
      </c>
    </row>
    <row r="1544">
      <c r="A1544" s="1">
        <v>5.0</v>
      </c>
      <c r="B1544" s="1" t="s">
        <v>1535</v>
      </c>
      <c r="C1544" t="str">
        <f>IFERROR(__xludf.DUMMYFUNCTION("GOOGLETRANSLATE(B1544, ""es"", ""en"")"),"Great hospitality, a 10! Terrific. Quality, treatment of the seller, the detail of the box with Barbs also adding a nice touch aesthetic 1UE never hurts. 10!")</f>
        <v>Great hospitality, a 10! Terrific. Quality, treatment of the seller, the detail of the box with Barbs also adding a nice touch aesthetic 1UE never hurts. 10!</v>
      </c>
    </row>
    <row r="1545">
      <c r="A1545" s="1">
        <v>5.0</v>
      </c>
      <c r="B1545" s="1" t="s">
        <v>1536</v>
      </c>
      <c r="C1545" t="str">
        <f>IFERROR(__xludf.DUMMYFUNCTION("GOOGLETRANSLATE(B1545, ""es"", ""en"")"),"fine jersey for fine cotton jersey entretiempo for summer or halftime, very happy time with your purchase")</f>
        <v>fine jersey for fine cotton jersey entretiempo for summer or halftime, very happy time with your purchase</v>
      </c>
    </row>
    <row r="1546">
      <c r="A1546" s="1">
        <v>5.0</v>
      </c>
      <c r="B1546" s="1" t="s">
        <v>1537</v>
      </c>
      <c r="C1546" t="str">
        <f>IFERROR(__xludf.DUMMYFUNCTION("GOOGLETRANSLATE(B1546, ""es"", ""en"")"),"The comfort I liked .. It is as expected good quality and super comfortable")</f>
        <v>The comfort I liked .. It is as expected good quality and super comfortable</v>
      </c>
    </row>
    <row r="1547">
      <c r="A1547" s="1">
        <v>5.0</v>
      </c>
      <c r="B1547" s="1" t="s">
        <v>1538</v>
      </c>
      <c r="C1547" t="str">
        <f>IFERROR(__xludf.DUMMYFUNCTION("GOOGLETRANSLATE(B1547, ""es"", ""en"")"),"Pepe Jeans black colored shoulder bag Elegant and comfortable for men. Management has many pockets. Highly recommended to carry everything organized.")</f>
        <v>Pepe Jeans black colored shoulder bag Elegant and comfortable for men. Management has many pockets. Highly recommended to carry everything organized.</v>
      </c>
    </row>
    <row r="1548">
      <c r="A1548" s="1">
        <v>5.0</v>
      </c>
      <c r="B1548" s="1" t="s">
        <v>1539</v>
      </c>
      <c r="C1548" t="str">
        <f>IFERROR(__xludf.DUMMYFUNCTION("GOOGLETRANSLATE(B1548, ""es"", ""en"")"),"Vanessa Very good quality and very good size. Personally the product is better than the picture and the colors very nice")</f>
        <v>Vanessa Very good quality and very good size. Personally the product is better than the picture and the colors very nice</v>
      </c>
    </row>
    <row r="1549">
      <c r="A1549" s="1">
        <v>5.0</v>
      </c>
      <c r="B1549" s="1" t="s">
        <v>1540</v>
      </c>
      <c r="C1549" t="str">
        <f>IFERROR(__xludf.DUMMYFUNCTION("GOOGLETRANSLATE(B1549, ""es"", ""en"")"),"The value for money the only thing more problematic with respect to the original is the greatest difficulty in removing the protective paper from the adhesive rubber, but the price is worth that little effort and quality of the plastic is good and very go"&amp;"od white , adhesiveness is perfect. Just need to check that no darkening over time. I hope not and I have no reason to think so.")</f>
        <v>The value for money the only thing more problematic with respect to the original is the greatest difficulty in removing the protective paper from the adhesive rubber, but the price is worth that little effort and quality of the plastic is good and very good white , adhesiveness is perfect. Just need to check that no darkening over time. I hope not and I have no reason to think so.</v>
      </c>
    </row>
    <row r="1550">
      <c r="A1550" s="1">
        <v>5.0</v>
      </c>
      <c r="B1550" s="1" t="s">
        <v>1541</v>
      </c>
      <c r="C1550" t="str">
        <f>IFERROR(__xludf.DUMMYFUNCTION("GOOGLETRANSLATE(B1550, ""es"", ""en"")"),"The money Everything perfect")</f>
        <v>The money Everything perfect</v>
      </c>
    </row>
    <row r="1551">
      <c r="A1551" s="1">
        <v>5.0</v>
      </c>
      <c r="B1551" s="1" t="s">
        <v>1542</v>
      </c>
      <c r="C1551" t="str">
        <f>IFERROR(__xludf.DUMMYFUNCTION("GOOGLETRANSLATE(B1551, ""es"", ""en"")"),"Rings Item accurate, very nice")</f>
        <v>Rings Item accurate, very nice</v>
      </c>
    </row>
    <row r="1552">
      <c r="A1552" s="1">
        <v>5.0</v>
      </c>
      <c r="B1552" s="1" t="s">
        <v>1543</v>
      </c>
      <c r="C1552" t="str">
        <f>IFERROR(__xludf.DUMMYFUNCTION("GOOGLETRANSLATE(B1552, ""es"", ""en"")"),"Super comfortable, and surprisingly light Super comfortable, and surprisingly light")</f>
        <v>Super comfortable, and surprisingly light Super comfortable, and surprisingly light</v>
      </c>
    </row>
    <row r="1553">
      <c r="A1553" s="1">
        <v>5.0</v>
      </c>
      <c r="B1553" s="1" t="s">
        <v>1544</v>
      </c>
      <c r="C1553" t="str">
        <f>IFERROR(__xludf.DUMMYFUNCTION("GOOGLETRANSLATE(B1553, ""es"", ""en"")"),"It works very well expected no problems")</f>
        <v>It works very well expected no problems</v>
      </c>
    </row>
    <row r="1554">
      <c r="A1554" s="1">
        <v>2.0</v>
      </c>
      <c r="B1554" s="1" t="s">
        <v>1545</v>
      </c>
      <c r="C1554" t="str">
        <f>IFERROR(__xludf.DUMMYFUNCTION("GOOGLETRANSLATE(B1554, ""es"", ""en"")"),"Missing parts. Thought being managed by Amazon and several people that were missing pending on the set having already complained, would have been more careful and have looked not missing anything, but I lacked a pair of earrings. Shame. I have returned wi"&amp;"th no problem.")</f>
        <v>Missing parts. Thought being managed by Amazon and several people that were missing pending on the set having already complained, would have been more careful and have looked not missing anything, but I lacked a pair of earrings. Shame. I have returned with no problem.</v>
      </c>
    </row>
    <row r="1555">
      <c r="A1555" s="1">
        <v>3.0</v>
      </c>
      <c r="B1555" s="1" t="s">
        <v>1546</v>
      </c>
      <c r="C1555" t="str">
        <f>IFERROR(__xludf.DUMMYFUNCTION("GOOGLETRANSLATE(B1555, ""es"", ""en"")"),"Not worth the money seem jewelry are very small and close your remain loose me that if I do not stay without Christmas present but are expensive for what they are.")</f>
        <v>Not worth the money seem jewelry are very small and close your remain loose me that if I do not stay without Christmas present but are expensive for what they are.</v>
      </c>
    </row>
    <row r="1556">
      <c r="A1556" s="1">
        <v>1.0</v>
      </c>
      <c r="B1556" s="1" t="s">
        <v>1547</v>
      </c>
      <c r="C1556" t="str">
        <f>IFERROR(__xludf.DUMMYFUNCTION("GOOGLETRANSLATE(B1556, ""es"", ""en"")"),"No defective product or the computer detected the camera and that probe on multiple computers, the operator told me that Amazon is certainly more was defective")</f>
        <v>No defective product or the computer detected the camera and that probe on multiple computers, the operator told me that Amazon is certainly more was defective</v>
      </c>
    </row>
    <row r="1557">
      <c r="A1557" s="1">
        <v>1.0</v>
      </c>
      <c r="B1557" s="1" t="s">
        <v>1548</v>
      </c>
      <c r="C1557" t="str">
        <f>IFERROR(__xludf.DUMMYFUNCTION("GOOGLETRANSLATE(B1557, ""es"", ""en"")"),"Good afternoon password does not work, we have been trying to close it and open it with the password that comes in manual and does not work, I need to know if there is any chance to fix it or ask for the return of the product. I look forward.")</f>
        <v>Good afternoon password does not work, we have been trying to close it and open it with the password that comes in manual and does not work, I need to know if there is any chance to fix it or ask for the return of the product. I look forward.</v>
      </c>
    </row>
    <row r="1558">
      <c r="A1558" s="1">
        <v>1.0</v>
      </c>
      <c r="B1558" s="1" t="s">
        <v>1549</v>
      </c>
      <c r="C1558" t="str">
        <f>IFERROR(__xludf.DUMMYFUNCTION("GOOGLETRANSLATE(B1558, ""es"", ""en"")"),"After 8 months has stopped working The truth was going well, but was a month that was heard worse, and has already stopped working, just I hear a continuous buzz. Amazon but I do not see how I fix it.")</f>
        <v>After 8 months has stopped working The truth was going well, but was a month that was heard worse, and has already stopped working, just I hear a continuous buzz. Amazon but I do not see how I fix it.</v>
      </c>
    </row>
    <row r="1559">
      <c r="A1559" s="1">
        <v>4.0</v>
      </c>
      <c r="B1559" s="1" t="s">
        <v>1550</v>
      </c>
      <c r="C1559" t="str">
        <f>IFERROR(__xludf.DUMMYFUNCTION("GOOGLETRANSLATE(B1559, ""es"", ""en"")"),"Very good price An essential oil is convenient to numerous conditions, size is quite large 120 ml, keep it in mind that it is the cheapest you can find. It also has a practical dispenser drops.")</f>
        <v>Very good price An essential oil is convenient to numerous conditions, size is quite large 120 ml, keep it in mind that it is the cheapest you can find. It also has a practical dispenser drops.</v>
      </c>
    </row>
    <row r="1560">
      <c r="A1560" s="1">
        <v>4.0</v>
      </c>
      <c r="B1560" s="1" t="s">
        <v>1551</v>
      </c>
      <c r="C1560" t="str">
        <f>IFERROR(__xludf.DUMMYFUNCTION("GOOGLETRANSLATE(B1560, ""es"", ""en"")"),"Nice very nice, I love them. But despite taking a larger than usual, at the beginning, size until they are done to your foot, they push a little. Then already pretty good with staff very comfortable.")</f>
        <v>Nice very nice, I love them. But despite taking a larger than usual, at the beginning, size until they are done to your foot, they push a little. Then already pretty good with staff very comfortable.</v>
      </c>
    </row>
    <row r="1561">
      <c r="A1561" s="1">
        <v>4.0</v>
      </c>
      <c r="B1561" s="1" t="s">
        <v>1552</v>
      </c>
      <c r="C1561" t="str">
        <f>IFERROR(__xludf.DUMMYFUNCTION("GOOGLETRANSLATE(B1561, ""es"", ""en"")"),"Good sleep aid Very pleased with the product, I help me at times I wake up in the middle of the night when going to bed. The focus on breathing and prevents follow his pace put yourself mulling over his head ... at the moment I'm using more times cycles 8"&amp;" minutes than 20, but once I took more account in sleep and I had to extend the time. Makes no noise, small footprint and light is suitable as not to disturb your partner")</f>
        <v>Good sleep aid Very pleased with the product, I help me at times I wake up in the middle of the night when going to bed. The focus on breathing and prevents follow his pace put yourself mulling over his head ... at the moment I'm using more times cycles 8 minutes than 20, but once I took more account in sleep and I had to extend the time. Makes no noise, small footprint and light is suitable as not to disturb your partner</v>
      </c>
    </row>
    <row r="1562">
      <c r="A1562" s="1">
        <v>4.0</v>
      </c>
      <c r="B1562" s="1" t="s">
        <v>1553</v>
      </c>
      <c r="C1562" t="str">
        <f>IFERROR(__xludf.DUMMYFUNCTION("GOOGLETRANSLATE(B1562, ""es"", ""en"")"),"Good gift for women The product came fast and well, it's nice. Good gift for couples or family.")</f>
        <v>Good gift for women The product came fast and well, it's nice. Good gift for couples or family.</v>
      </c>
    </row>
    <row r="1563">
      <c r="A1563" s="1">
        <v>4.0</v>
      </c>
      <c r="B1563" s="1" t="s">
        <v>1554</v>
      </c>
      <c r="C1563" t="str">
        <f>IFERROR(__xludf.DUMMYFUNCTION("GOOGLETRANSLATE(B1563, ""es"", ""en"")"),"Watch good value Good value for money. As always Casio does not disappoint. Watch diver type demure size, robust appearance. The belt looks good too. The numbers have lumen enough to see in the dark. The indicator of the day of the day of the birthday mon"&amp;"th. As a negative maybe I see a little tad, lack of light to the Timex style and not having indicator of the day.")</f>
        <v>Watch good value Good value for money. As always Casio does not disappoint. Watch diver type demure size, robust appearance. The belt looks good too. The numbers have lumen enough to see in the dark. The indicator of the day of the day of the birthday month. As a negative maybe I see a little tad, lack of light to the Timex style and not having indicator of the day.</v>
      </c>
    </row>
    <row r="1564">
      <c r="A1564" s="1">
        <v>5.0</v>
      </c>
      <c r="B1564" s="1" t="s">
        <v>1555</v>
      </c>
      <c r="C1564" t="str">
        <f>IFERROR(__xludf.DUMMYFUNCTION("GOOGLETRANSLATE(B1564, ""es"", ""en"")"),"Very comfortable and good quality materials are of very good quality, I really guatan colors. Although just they left me a little are very comfortable.")</f>
        <v>Very comfortable and good quality materials are of very good quality, I really guatan colors. Although just they left me a little are very comfortable.</v>
      </c>
    </row>
    <row r="1565">
      <c r="A1565" s="1">
        <v>5.0</v>
      </c>
      <c r="B1565" s="1" t="s">
        <v>1556</v>
      </c>
      <c r="C1565" t="str">
        <f>IFERROR(__xludf.DUMMYFUNCTION("GOOGLETRANSLATE(B1565, ""es"", ""en"")"),"Z Top tudo perfeito")</f>
        <v>Z Top tudo perfeito</v>
      </c>
    </row>
    <row r="1566">
      <c r="A1566" s="1">
        <v>5.0</v>
      </c>
      <c r="B1566" s="1" t="s">
        <v>1557</v>
      </c>
      <c r="C1566" t="str">
        <f>IFERROR(__xludf.DUMMYFUNCTION("GOOGLETRANSLATE(B1566, ""es"", ""en"")"),"Fast I bought to replace the HDD of a notebook with 10 years (celeron processor) and the truth is much improved, looks like another. Obviously it not becomes a i7, but for office and internet gives a very acceptable result.")</f>
        <v>Fast I bought to replace the HDD of a notebook with 10 years (celeron processor) and the truth is much improved, looks like another. Obviously it not becomes a i7, but for office and internet gives a very acceptable result.</v>
      </c>
    </row>
    <row r="1567">
      <c r="A1567" s="1">
        <v>5.0</v>
      </c>
      <c r="B1567" s="1" t="s">
        <v>1558</v>
      </c>
      <c r="C1567" t="str">
        <f>IFERROR(__xludf.DUMMYFUNCTION("GOOGLETRANSLATE(B1567, ""es"", ""en"")"),"Compas best I've had I usually used the Standler of life but by God to change the east use. First tip when clavas is not going to move or with an earthquake of magnitude 9 and second the system to make the largest circle is very accurate")</f>
        <v>Compas best I've had I usually used the Standler of life but by God to change the east use. First tip when clavas is not going to move or with an earthquake of magnitude 9 and second the system to make the largest circle is very accurate</v>
      </c>
    </row>
    <row r="1568">
      <c r="A1568" s="1">
        <v>5.0</v>
      </c>
      <c r="B1568" s="1" t="s">
        <v>1559</v>
      </c>
      <c r="C1568" t="str">
        <f>IFERROR(__xludf.DUMMYFUNCTION("GOOGLETRANSLATE(B1568, ""es"", ""en"")"),"Good product I liked ... helps me clear my iPhone and is not always full .... tb as a portable hard drive for documents etc .....")</f>
        <v>Good product I liked ... helps me clear my iPhone and is not always full .... tb as a portable hard drive for documents etc .....</v>
      </c>
    </row>
    <row r="1569">
      <c r="A1569" s="1">
        <v>5.0</v>
      </c>
      <c r="B1569" s="1" t="s">
        <v>1560</v>
      </c>
      <c r="C1569" t="str">
        <f>IFERROR(__xludf.DUMMYFUNCTION("GOOGLETRANSLATE(B1569, ""es"", ""en"")"),"cheap Comodas")</f>
        <v>cheap Comodas</v>
      </c>
    </row>
    <row r="1570">
      <c r="A1570" s="1">
        <v>5.0</v>
      </c>
      <c r="B1570" s="1" t="s">
        <v>1561</v>
      </c>
      <c r="C1570" t="str">
        <f>IFERROR(__xludf.DUMMYFUNCTION("GOOGLETRANSLATE(B1570, ""es"", ""en"")"),"Pasa very accomplished perfectly by an original one not notice the difference from the others.")</f>
        <v>Pasa very accomplished perfectly by an original one not notice the difference from the others.</v>
      </c>
    </row>
    <row r="1571">
      <c r="A1571" s="1">
        <v>5.0</v>
      </c>
      <c r="B1571" s="1" t="s">
        <v>1562</v>
      </c>
      <c r="C1571" t="str">
        <f>IFERROR(__xludf.DUMMYFUNCTION("GOOGLETRANSLATE(B1571, ""es"", ""en"")"),"Great bag'm happy with the purchase, the bag is very soft genuine leather and with many very profitable departments. I recommend purchase.")</f>
        <v>Great bag'm happy with the purchase, the bag is very soft genuine leather and with many very profitable departments. I recommend purchase.</v>
      </c>
    </row>
    <row r="1572">
      <c r="A1572" s="1">
        <v>5.0</v>
      </c>
      <c r="B1572" s="1" t="s">
        <v>1563</v>
      </c>
      <c r="C1572" t="str">
        <f>IFERROR(__xludf.DUMMYFUNCTION("GOOGLETRANSLATE(B1572, ""es"", ""en"")"),"excellent lightweight boot with good grip, very warm, has a very good quality and does not look very mountain so for a rainy day and walk around the city looks good, is quite thin and light which at first impression I gave a bad impression accustomed to h"&amp;"eavy and thick boots, now I've bought since the testing them constantly in the autumn English and Polish and so far resisted perfectly.")</f>
        <v>excellent lightweight boot with good grip, very warm, has a very good quality and does not look very mountain so for a rainy day and walk around the city looks good, is quite thin and light which at first impression I gave a bad impression accustomed to heavy and thick boots, now I've bought since the testing them constantly in the autumn English and Polish and so far resisted perfectly.</v>
      </c>
    </row>
    <row r="1573">
      <c r="A1573" s="1">
        <v>5.0</v>
      </c>
      <c r="B1573" s="1" t="s">
        <v>1564</v>
      </c>
      <c r="C1573" t="str">
        <f>IFERROR(__xludf.DUMMYFUNCTION("GOOGLETRANSLATE(B1573, ""es"", ""en"")"),"Do not disappoint I have been using it almost daily for months at work and I can not recommend them more. They are comfortable, not slippery, perfectly fit the foot and are almost like the first day. A perfect shopping")</f>
        <v>Do not disappoint I have been using it almost daily for months at work and I can not recommend them more. They are comfortable, not slippery, perfectly fit the foot and are almost like the first day. A perfect shopping</v>
      </c>
    </row>
    <row r="1574">
      <c r="A1574" s="1">
        <v>5.0</v>
      </c>
      <c r="B1574" s="1" t="s">
        <v>1565</v>
      </c>
      <c r="C1574" t="str">
        <f>IFERROR(__xludf.DUMMYFUNCTION("GOOGLETRANSLATE(B1574, ""es"", ""en"")"),"As he expected. For my taste value is a great buy. A versatile, beautiful and with many functions clock. The only fault we can find is the light (the digital display is not backlit), which does not bother me personally.")</f>
        <v>As he expected. For my taste value is a great buy. A versatile, beautiful and with many functions clock. The only fault we can find is the light (the digital display is not backlit), which does not bother me personally.</v>
      </c>
    </row>
    <row r="1575">
      <c r="A1575" s="1">
        <v>5.0</v>
      </c>
      <c r="B1575" s="1" t="s">
        <v>1566</v>
      </c>
      <c r="C1575" t="str">
        <f>IFERROR(__xludf.DUMMYFUNCTION("GOOGLETRANSLATE(B1575, ""es"", ""en"")"),"Good connection and transmission speed. Memòria versatile, ideal for files between the phone and the computer. Both the mobile and the PC without problem and recognize it at first. The transmission speed is good. I personally use it to download YouTube vi"&amp;"deos for my son and watch them on TV smoothly.")</f>
        <v>Good connection and transmission speed. Memòria versatile, ideal for files between the phone and the computer. Both the mobile and the PC without problem and recognize it at first. The transmission speed is good. I personally use it to download YouTube videos for my son and watch them on TV smoothly.</v>
      </c>
    </row>
    <row r="1576">
      <c r="A1576" s="1">
        <v>5.0</v>
      </c>
      <c r="B1576" s="1" t="s">
        <v>1567</v>
      </c>
      <c r="C1576" t="str">
        <f>IFERROR(__xludf.DUMMYFUNCTION("GOOGLETRANSLATE(B1576, ""es"", ""en"")"),"Easy installation as easy installation was put the batteries, giving the power button and perfectly hear the TV without connecting any kind. It also has enough quality audución")</f>
        <v>Easy installation as easy installation was put the batteries, giving the power button and perfectly hear the TV without connecting any kind. It also has enough quality audución</v>
      </c>
    </row>
    <row r="1577">
      <c r="A1577" s="1">
        <v>5.0</v>
      </c>
      <c r="B1577" s="1" t="s">
        <v>1568</v>
      </c>
      <c r="C1577" t="str">
        <f>IFERROR(__xludf.DUMMYFUNCTION("GOOGLETRANSLATE(B1577, ""es"", ""en"")"),"Good bottle and nice Very nice and durable, the truth that we like, we always used glass bottles and plastic, but that we like, my little loves, the size is fine although would improve with various sizes would be perfect, the bottle is 180ml, does not lea"&amp;"ve a drop of liquid on him down, would definitely buy.")</f>
        <v>Good bottle and nice Very nice and durable, the truth that we like, we always used glass bottles and plastic, but that we like, my little loves, the size is fine although would improve with various sizes would be perfect, the bottle is 180ml, does not leave a drop of liquid on him down, would definitely buy.</v>
      </c>
    </row>
    <row r="1578">
      <c r="A1578" s="1">
        <v>5.0</v>
      </c>
      <c r="B1578" s="1" t="s">
        <v>1569</v>
      </c>
      <c r="C1578" t="str">
        <f>IFERROR(__xludf.DUMMYFUNCTION("GOOGLETRANSLATE(B1578, ""es"", ""en"")"),"Boiling water in just a few minutes &lt;div id = ""video-block-R3NL85M06KDYKI"" class = ""a-section a-spacing-small a-spacing-top mini video-block""&gt; &lt;/ div&gt; &lt;input type = "" hidden ""name ="" ""value ="" https://images-eu.ssl-images-amazon.com/images/I/B1oJ"&amp;"Qy2+e0S.mp4 ""class ="" video-url ""&gt; &lt;input type ="" hidden "" name = """" value = ""https://images-eu.ssl-images-amazon.com/images/I/716m71steWS.png"" class = ""video-slate-img-url""&gt; &amp; nbsp; I bought this kettle mainly to heat water to make mate. It ha"&amp;"s a large capacity (just over 1 liter and a half), and is made of stainless steel. It can be seen clearly that it is very good quality. I use it daily for water mate, you do not have to reach the boiling point. But I have also prepared infusions and the g"&amp;"ood news is that water boils in just a few minutes. It is easy to maintain and also can extend your warranty to three years.")</f>
        <v>Boiling water in just a few minutes &lt;div id = "video-block-R3NL85M06KDYKI" class = "a-section a-spacing-small a-spacing-top mini video-block"&gt; &lt;/ div&gt; &lt;input type = " hidden "name =" "value =" https://images-eu.ssl-images-amazon.com/images/I/B1oJQy2+e0S.mp4 "class =" video-url "&gt; &lt;input type =" hidden " name = "" value = "https://images-eu.ssl-images-amazon.com/images/I/716m71steWS.png" class = "video-slate-img-url"&gt; &amp; nbsp; I bought this kettle mainly to heat water to make mate. It has a large capacity (just over 1 liter and a half), and is made of stainless steel. It can be seen clearly that it is very good quality. I use it daily for water mate, you do not have to reach the boiling point. But I have also prepared infusions and the good news is that water boils in just a few minutes. It is easy to maintain and also can extend your warranty to three years.</v>
      </c>
    </row>
    <row r="1579">
      <c r="A1579" s="1">
        <v>5.0</v>
      </c>
      <c r="B1579" s="1" t="s">
        <v>1570</v>
      </c>
      <c r="C1579" t="str">
        <f>IFERROR(__xludf.DUMMYFUNCTION("GOOGLETRANSLATE(B1579, ""es"", ""en"")"),"David perfect works and different heat levels are well staggered. To wash the inner sleeve is a plus hygiene. Perhaps the only downside (to seek something) is that the cable is a little short for my taste considering that at the foot of the chair usually "&amp;"does not have an outlet nearby.")</f>
        <v>David perfect works and different heat levels are well staggered. To wash the inner sleeve is a plus hygiene. Perhaps the only downside (to seek something) is that the cable is a little short for my taste considering that at the foot of the chair usually does not have an outlet nearby.</v>
      </c>
    </row>
    <row r="1580">
      <c r="A1580" s="1">
        <v>5.0</v>
      </c>
      <c r="B1580" s="1" t="s">
        <v>1571</v>
      </c>
      <c r="C1580" t="str">
        <f>IFERROR(__xludf.DUMMYFUNCTION("GOOGLETRANSLATE(B1580, ""es"", ""en"")"),"Precious watch. Aesthetically beautiful, looks great with sportswear and even some shirts, a watch is quite striking. Following the instructions is not difficult to set the time. I totally recommend and I'm already looking for another G-Schock in white.")</f>
        <v>Precious watch. Aesthetically beautiful, looks great with sportswear and even some shirts, a watch is quite striking. Following the instructions is not difficult to set the time. I totally recommend and I'm already looking for another G-Schock in white.</v>
      </c>
    </row>
    <row r="1581">
      <c r="A1581" s="1">
        <v>5.0</v>
      </c>
      <c r="B1581" s="1" t="s">
        <v>1572</v>
      </c>
      <c r="C1581" t="str">
        <f>IFERROR(__xludf.DUMMYFUNCTION("GOOGLETRANSLATE(B1581, ""es"", ""en"")"),"good product I asked for cleaning windows and shower door, the truth is I'm happy with but I do not think it makes much difference to other cheaper, mentioning that I found it cheaper in a neighborhood store the same brand, although only one we cents so I"&amp;" was not worth making return or refund request.")</f>
        <v>good product I asked for cleaning windows and shower door, the truth is I'm happy with but I do not think it makes much difference to other cheaper, mentioning that I found it cheaper in a neighborhood store the same brand, although only one we cents so I was not worth making return or refund request.</v>
      </c>
    </row>
    <row r="1582">
      <c r="A1582" s="1">
        <v>2.0</v>
      </c>
      <c r="B1582" s="1" t="s">
        <v>1573</v>
      </c>
      <c r="C1582" t="str">
        <f>IFERROR(__xludf.DUMMYFUNCTION("GOOGLETRANSLATE(B1582, ""es"", ""en"")"),"While hard little hard without breaking, perfect and comfortable. As all of this style, good performance but lousy material, which lasts one month. the plastic ring is broken by the boards with headphones and who no longer use. More of the same.")</f>
        <v>While hard little hard without breaking, perfect and comfortable. As all of this style, good performance but lousy material, which lasts one month. the plastic ring is broken by the boards with headphones and who no longer use. More of the same.</v>
      </c>
    </row>
    <row r="1583">
      <c r="A1583" s="1">
        <v>3.0</v>
      </c>
      <c r="B1583" s="1" t="s">
        <v>1574</v>
      </c>
      <c r="C1583" t="str">
        <f>IFERROR(__xludf.DUMMYFUNCTION("GOOGLETRANSLATE(B1583, ""es"", ""en"")"),"Too big I had to return, not tune any problem with the seller")</f>
        <v>Too big I had to return, not tune any problem with the seller</v>
      </c>
    </row>
    <row r="1584">
      <c r="A1584" s="1">
        <v>3.0</v>
      </c>
      <c r="B1584" s="1" t="s">
        <v>1575</v>
      </c>
      <c r="C1584" t="str">
        <f>IFERROR(__xludf.DUMMYFUNCTION("GOOGLETRANSLATE(B1584, ""es"", ""en"")"),"Little to add the truth and knew what he bought for all your opinions, USB OTG all that I tried the same thing happens, read well and write fatal .. therefore gives the format used fat32, nFSt, both exfat .. the PC and the smartphone to the poor does not "&amp;"like to write. In the CrystalDiskMark does not get bad numbers but when the truth ..")</f>
        <v>Little to add the truth and knew what he bought for all your opinions, USB OTG all that I tried the same thing happens, read well and write fatal .. therefore gives the format used fat32, nFSt, both exfat .. the PC and the smartphone to the poor does not like to write. In the CrystalDiskMark does not get bad numbers but when the truth ..</v>
      </c>
    </row>
    <row r="1585">
      <c r="A1585" s="1">
        <v>1.0</v>
      </c>
      <c r="B1585" s="1" t="s">
        <v>1576</v>
      </c>
      <c r="C1585" t="str">
        <f>IFERROR(__xludf.DUMMYFUNCTION("GOOGLETRANSLATE(B1585, ""es"", ""en"")"),"Very upset with buying After one year of use strangely clock stopped working")</f>
        <v>Very upset with buying After one year of use strangely clock stopped working</v>
      </c>
    </row>
    <row r="1586">
      <c r="A1586" s="1">
        <v>1.0</v>
      </c>
      <c r="B1586" s="1" t="s">
        <v>1577</v>
      </c>
      <c r="C1586" t="str">
        <f>IFERROR(__xludf.DUMMYFUNCTION("GOOGLETRANSLATE(B1586, ""es"", ""en"")"),"Small Too Small")</f>
        <v>Small Too Small</v>
      </c>
    </row>
    <row r="1587">
      <c r="A1587" s="1">
        <v>4.0</v>
      </c>
      <c r="B1587" s="1" t="s">
        <v>1578</v>
      </c>
      <c r="C1587" t="str">
        <f>IFERROR(__xludf.DUMMYFUNCTION("GOOGLETRANSLATE(B1587, ""es"", ""en"")"),"Value very good shipping fast and cleaner does its function, pleased with purchase.")</f>
        <v>Value very good shipping fast and cleaner does its function, pleased with purchase.</v>
      </c>
    </row>
    <row r="1588">
      <c r="A1588" s="1">
        <v>4.0</v>
      </c>
      <c r="B1588" s="1" t="s">
        <v>1579</v>
      </c>
      <c r="C1588" t="str">
        <f>IFERROR(__xludf.DUMMYFUNCTION("GOOGLETRANSLATE(B1588, ""es"", ""en"")"),"opnion money, perfect")</f>
        <v>opnion money, perfect</v>
      </c>
    </row>
    <row r="1589">
      <c r="A1589" s="1">
        <v>4.0</v>
      </c>
      <c r="B1589" s="1" t="s">
        <v>1580</v>
      </c>
      <c r="C1589" t="str">
        <f>IFERROR(__xludf.DUMMYFUNCTION("GOOGLETRANSLATE(B1589, ""es"", ""en"")"),"I liked quiet operation that seems to be off so quiet. At the moment I am copying my old records in the new and I can not assess its normal operation. It seems that he will respond well. Its warming is not excessive and I say After nearly 72 hours on cont"&amp;"inuously, while I cloning. Everything makes me think it will work well and I'll be happy with the purchase. A being a premature comment is therefore not give 5 stars. The seller sent him 10 very rapidly and Amazon as always.")</f>
        <v>I liked quiet operation that seems to be off so quiet. At the moment I am copying my old records in the new and I can not assess its normal operation. It seems that he will respond well. Its warming is not excessive and I say After nearly 72 hours on continuously, while I cloning. Everything makes me think it will work well and I'll be happy with the purchase. A being a premature comment is therefore not give 5 stars. The seller sent him 10 very rapidly and Amazon as always.</v>
      </c>
    </row>
    <row r="1590">
      <c r="A1590" s="1">
        <v>4.0</v>
      </c>
      <c r="B1590" s="1" t="s">
        <v>1581</v>
      </c>
      <c r="C1590" t="str">
        <f>IFERROR(__xludf.DUMMYFUNCTION("GOOGLETRANSLATE(B1590, ""es"", ""en"")"),"This lovely necklace came very well presented but although very nice I expected a little bigger. My friend loved")</f>
        <v>This lovely necklace came very well presented but although very nice I expected a little bigger. My friend loved</v>
      </c>
    </row>
    <row r="1591">
      <c r="A1591" s="1">
        <v>5.0</v>
      </c>
      <c r="B1591" s="1" t="s">
        <v>1582</v>
      </c>
      <c r="C1591" t="str">
        <f>IFERROR(__xludf.DUMMYFUNCTION("GOOGLETRANSLATE(B1591, ""es"", ""en"")"),"Very good buy for students. 20hojas maximum capacity A4 90g / m². Good quality and good price, unbeatable value and a very useful device. The only downside is the space it occupies. In about 3 packages 500 folios is an amortized tool, if used as a substit"&amp;"ute to spare filer, which are expensive.")</f>
        <v>Very good buy for students. 20hojas maximum capacity A4 90g / m². Good quality and good price, unbeatable value and a very useful device. The only downside is the space it occupies. In about 3 packages 500 folios is an amortized tool, if used as a substitute to spare filer, which are expensive.</v>
      </c>
    </row>
    <row r="1592">
      <c r="A1592" s="1">
        <v>5.0</v>
      </c>
      <c r="B1592" s="1" t="s">
        <v>1583</v>
      </c>
      <c r="C1592" t="str">
        <f>IFERROR(__xludf.DUMMYFUNCTION("GOOGLETRANSLATE(B1592, ""es"", ""en"")"),"PRACTICAL AND PLEASANT The size is ideal for use and that fits anywhere in the body. Very important: the fabric is nice and comfortable. It also incorporates a handy case to keep. I'm happy with the purchase, it is a good quality product. I recommend it.")</f>
        <v>PRACTICAL AND PLEASANT The size is ideal for use and that fits anywhere in the body. Very important: the fabric is nice and comfortable. It also incorporates a handy case to keep. I'm happy with the purchase, it is a good quality product. I recommend it.</v>
      </c>
    </row>
    <row r="1593">
      <c r="A1593" s="1">
        <v>5.0</v>
      </c>
      <c r="B1593" s="1" t="s">
        <v>1584</v>
      </c>
      <c r="C1593" t="str">
        <f>IFERROR(__xludf.DUMMYFUNCTION("GOOGLETRANSLATE(B1593, ""es"", ""en"")"),"Match the offer The perfect shoe and delivery time as well. Must be careful and take a size more than usual")</f>
        <v>Match the offer The perfect shoe and delivery time as well. Must be careful and take a size more than usual</v>
      </c>
    </row>
    <row r="1594">
      <c r="A1594" s="1">
        <v>5.0</v>
      </c>
      <c r="B1594" s="1" t="s">
        <v>1585</v>
      </c>
      <c r="C1594" t="str">
        <f>IFERROR(__xludf.DUMMYFUNCTION("GOOGLETRANSLATE(B1594, ""es"", ""en"")"),"Vans Old Skool black Vans shoes. One of the most sturdy shoes and I know a rough sole. Highly recommended for people who like to ride him with Skate by the grip of the sole. Amazon and sending care as usual 10.")</f>
        <v>Vans Old Skool black Vans shoes. One of the most sturdy shoes and I know a rough sole. Highly recommended for people who like to ride him with Skate by the grip of the sole. Amazon and sending care as usual 10.</v>
      </c>
    </row>
    <row r="1595">
      <c r="A1595" s="1">
        <v>5.0</v>
      </c>
      <c r="B1595" s="1" t="s">
        <v>1586</v>
      </c>
      <c r="C1595" t="str">
        <f>IFERROR(__xludf.DUMMYFUNCTION("GOOGLETRANSLATE(B1595, ""es"", ""en"")"),"Elix pi great value for money! perfect size. It is clear that one can not demand that do not burn after boiling outside but otherwise great")</f>
        <v>Elix pi great value for money! perfect size. It is clear that one can not demand that do not burn after boiling outside but otherwise great</v>
      </c>
    </row>
    <row r="1596">
      <c r="A1596" s="1">
        <v>5.0</v>
      </c>
      <c r="B1596" s="1" t="s">
        <v>1587</v>
      </c>
      <c r="C1596" t="str">
        <f>IFERROR(__xludf.DUMMYFUNCTION("GOOGLETRANSLATE(B1596, ""es"", ""en"")"),"Good price and quality ok mountain shoes. Harbor, comfortable and good quality. As always in mountain shoes a size is requested more than normally used.")</f>
        <v>Good price and quality ok mountain shoes. Harbor, comfortable and good quality. As always in mountain shoes a size is requested more than normally used.</v>
      </c>
    </row>
    <row r="1597">
      <c r="A1597" s="1">
        <v>5.0</v>
      </c>
      <c r="B1597" s="1" t="s">
        <v>1588</v>
      </c>
      <c r="C1597" t="str">
        <f>IFERROR(__xludf.DUMMYFUNCTION("GOOGLETRANSLATE(B1597, ""es"", ""en"")"),"in-ear headphones good quality These in-ear headphones have good sound quality, come with pads of different sizes to adapt perfectly tailored to each ear. The cable is of good quality, and also have their bag to carry or store. To my opinion good headphon"&amp;"es at a very good price, nothing to envy to other much more expensive")</f>
        <v>in-ear headphones good quality These in-ear headphones have good sound quality, come with pads of different sizes to adapt perfectly tailored to each ear. The cable is of good quality, and also have their bag to carry or store. To my opinion good headphones at a very good price, nothing to envy to other much more expensive</v>
      </c>
    </row>
    <row r="1598">
      <c r="A1598" s="1">
        <v>5.0</v>
      </c>
      <c r="B1598" s="1" t="s">
        <v>1589</v>
      </c>
      <c r="C1598" t="str">
        <f>IFERROR(__xludf.DUMMYFUNCTION("GOOGLETRANSLATE(B1598, ""es"", ""en"")"),"The fast I like everything: it is powerful, fast and absolutely crushes all")</f>
        <v>The fast I like everything: it is powerful, fast and absolutely crushes all</v>
      </c>
    </row>
    <row r="1599">
      <c r="A1599" s="1">
        <v>5.0</v>
      </c>
      <c r="B1599" s="1" t="s">
        <v>1590</v>
      </c>
      <c r="C1599" t="str">
        <f>IFERROR(__xludf.DUMMYFUNCTION("GOOGLETRANSLATE(B1599, ""es"", ""en"")"),"Very good value / price'm camera operator and director, micro recommend this interview, I have micros other brands and ranges far superior and was impressed by the audio quality generated by its price. I recommend buying the app Rode Rec and you can set m"&amp;"any options and optimize the sound of this microphone, I just used by a AKG almost 200 € in an interview and I really have no complaints, clear voice with good profit, with little noise.")</f>
        <v>Very good value / price'm camera operator and director, micro recommend this interview, I have micros other brands and ranges far superior and was impressed by the audio quality generated by its price. I recommend buying the app Rode Rec and you can set many options and optimize the sound of this microphone, I just used by a AKG almost 200 € in an interview and I really have no complaints, clear voice with good profit, with little noise.</v>
      </c>
    </row>
    <row r="1600">
      <c r="A1600" s="1">
        <v>5.0</v>
      </c>
      <c r="B1600" s="1" t="s">
        <v>1591</v>
      </c>
      <c r="C1600" t="str">
        <f>IFERROR(__xludf.DUMMYFUNCTION("GOOGLETRANSLATE(B1600, ""es"", ""en"")"),"Lavender Buenísimo house and lot number above! Pure lavender smells! Nothing to envy to the herbalists and lavender eye ... I addict! ;)")</f>
        <v>Lavender Buenísimo house and lot number above! Pure lavender smells! Nothing to envy to the herbalists and lavender eye ... I addict! ;)</v>
      </c>
    </row>
    <row r="1601">
      <c r="A1601" s="1">
        <v>5.0</v>
      </c>
      <c r="B1601" s="1" t="s">
        <v>1592</v>
      </c>
      <c r="C1601" t="str">
        <f>IFERROR(__xludf.DUMMYFUNCTION("GOOGLETRANSLATE(B1601, ""es"", ""en"")"),"Very effective function perfectly ago")</f>
        <v>Very effective function perfectly ago</v>
      </c>
    </row>
    <row r="1602">
      <c r="A1602" s="1">
        <v>5.0</v>
      </c>
      <c r="B1602" s="1" t="s">
        <v>1593</v>
      </c>
      <c r="C1602" t="str">
        <f>IFERROR(__xludf.DUMMYFUNCTION("GOOGLETRANSLATE(B1602, ""es"", ""en"")"),"Quality at low price Very satisfied. Excellent quality price ratio. Fast delivery and very good sound.")</f>
        <v>Quality at low price Very satisfied. Excellent quality price ratio. Fast delivery and very good sound.</v>
      </c>
    </row>
    <row r="1603">
      <c r="A1603" s="1">
        <v>5.0</v>
      </c>
      <c r="B1603" s="1" t="s">
        <v>1594</v>
      </c>
      <c r="C1603" t="str">
        <f>IFERROR(__xludf.DUMMYFUNCTION("GOOGLETRANSLATE(B1603, ""es"", ""en"")"),"Everything as expected as expected. Well and finite string.")</f>
        <v>Everything as expected as expected. Well and finite string.</v>
      </c>
    </row>
    <row r="1604">
      <c r="A1604" s="1">
        <v>5.0</v>
      </c>
      <c r="B1604" s="1" t="s">
        <v>1595</v>
      </c>
      <c r="C1604" t="str">
        <f>IFERROR(__xludf.DUMMYFUNCTION("GOOGLETRANSLATE(B1604, ""es"", ""en"")"),"Excellent value I bought it as a gift for my father to ride. He is very happy because it is light and durable. simple but beautiful design.")</f>
        <v>Excellent value I bought it as a gift for my father to ride. He is very happy because it is light and durable. simple but beautiful design.</v>
      </c>
    </row>
    <row r="1605">
      <c r="A1605" s="1">
        <v>5.0</v>
      </c>
      <c r="B1605" s="1" t="s">
        <v>1596</v>
      </c>
      <c r="C1605" t="str">
        <f>IFERROR(__xludf.DUMMYFUNCTION("GOOGLETRANSLATE(B1605, ""es"", ""en"")"),"Quality long in coming")</f>
        <v>Quality long in coming</v>
      </c>
    </row>
    <row r="1606">
      <c r="A1606" s="1">
        <v>5.0</v>
      </c>
      <c r="B1606" s="1" t="s">
        <v>1597</v>
      </c>
      <c r="C1606" t="str">
        <f>IFERROR(__xludf.DUMMYFUNCTION("GOOGLETRANSLATE(B1606, ""es"", ""en"")"),"Value OK I've taken to make a homemade album and is perfect. It's like a double-sided adhesive, but it is cut, so it is very convenient to use. It makes the work a lot. 100% Recommended")</f>
        <v>Value OK I've taken to make a homemade album and is perfect. It's like a double-sided adhesive, but it is cut, so it is very convenient to use. It makes the work a lot. 100% Recommended</v>
      </c>
    </row>
    <row r="1607">
      <c r="A1607" s="1">
        <v>5.0</v>
      </c>
      <c r="B1607" s="1" t="s">
        <v>1598</v>
      </c>
      <c r="C1607" t="str">
        <f>IFERROR(__xludf.DUMMYFUNCTION("GOOGLETRANSLATE(B1607, ""es"", ""en"")"),"The practical and very comfortable bought my wife to go out to skate and has been a great success. Is better than expected, it has two compartments where the keys perfectly mobile and enter a space for a small bottle of water and a hole to pass headphones"&amp;" go mobile, a great detail. It is very nice, super comfortable and looks good quality fabric so largely met expectations.")</f>
        <v>The practical and very comfortable bought my wife to go out to skate and has been a great success. Is better than expected, it has two compartments where the keys perfectly mobile and enter a space for a small bottle of water and a hole to pass headphones go mobile, a great detail. It is very nice, super comfortable and looks good quality fabric so largely met expectations.</v>
      </c>
    </row>
    <row r="1608">
      <c r="A1608" s="1">
        <v>5.0</v>
      </c>
      <c r="B1608" s="1" t="s">
        <v>1599</v>
      </c>
      <c r="C1608" t="str">
        <f>IFERROR(__xludf.DUMMYFUNCTION("GOOGLETRANSLATE(B1608, ""es"", ""en"")"),"Nice and thin choker is very elegant. Perhaps a little bit longer than desired. You have left over 1 cm.")</f>
        <v>Nice and thin choker is very elegant. Perhaps a little bit longer than desired. You have left over 1 cm.</v>
      </c>
    </row>
    <row r="1609">
      <c r="A1609" s="1">
        <v>5.0</v>
      </c>
      <c r="B1609" s="1" t="s">
        <v>1600</v>
      </c>
      <c r="C1609" t="str">
        <f>IFERROR(__xludf.DUMMYFUNCTION("GOOGLETRANSLATE(B1609, ""es"", ""en"")"),"Nice and warm nice and warm. If you are looking for a different model to the typical shoe is your shoe. Horma are rather narrow.")</f>
        <v>Nice and warm nice and warm. If you are looking for a different model to the typical shoe is your shoe. Horma are rather narrow.</v>
      </c>
    </row>
    <row r="1610">
      <c r="A1610" s="1">
        <v>2.0</v>
      </c>
      <c r="B1610" s="1" t="s">
        <v>1601</v>
      </c>
      <c r="C1610" t="str">
        <f>IFERROR(__xludf.DUMMYFUNCTION("GOOGLETRANSLATE(B1610, ""es"", ""en"")"),"javi and proven and what not and left mui happy with the result removes rallitas, but if you have scratches deeper does nothing at least ami.")</f>
        <v>javi and proven and what not and left mui happy with the result removes rallitas, but if you have scratches deeper does nothing at least ami.</v>
      </c>
    </row>
    <row r="1611">
      <c r="A1611" s="1">
        <v>3.0</v>
      </c>
      <c r="B1611" s="1" t="s">
        <v>1602</v>
      </c>
      <c r="C1611" t="str">
        <f>IFERROR(__xludf.DUMMYFUNCTION("GOOGLETRANSLATE(B1611, ""es"", ""en"")"),"Something expensive for what it is expensive to be a plastic box but gets the job and conceals cables")</f>
        <v>Something expensive for what it is expensive to be a plastic box but gets the job and conceals cables</v>
      </c>
    </row>
    <row r="1612">
      <c r="A1612" s="1">
        <v>3.0</v>
      </c>
      <c r="B1612" s="1" t="s">
        <v>1603</v>
      </c>
      <c r="C1612" t="str">
        <f>IFERROR(__xludf.DUMMYFUNCTION("GOOGLETRANSLATE(B1612, ""es"", ""en"")"),"Labels come with little rope, but well, good size ...")</f>
        <v>Labels come with little rope, but well, good size ...</v>
      </c>
    </row>
    <row r="1613">
      <c r="A1613" s="1">
        <v>1.0</v>
      </c>
      <c r="B1613" s="1" t="s">
        <v>1604</v>
      </c>
      <c r="C1613" t="str">
        <f>IFERROR(__xludf.DUMMYFUNCTION("GOOGLETRANSLATE(B1613, ""es"", ""en"")"),"They hurt and can not be returned. Shoes hurt me, they came in a box that pull broken when received, not me leave and return them to the box that sent me (it was broken) did not. They hurt, they are hard, and seem to be not true, and are imitation. Money "&amp;"thrown away because I can not put me.")</f>
        <v>They hurt and can not be returned. Shoes hurt me, they came in a box that pull broken when received, not me leave and return them to the box that sent me (it was broken) did not. They hurt, they are hard, and seem to be not true, and are imitation. Money thrown away because I can not put me.</v>
      </c>
    </row>
    <row r="1614">
      <c r="A1614" s="1">
        <v>1.0</v>
      </c>
      <c r="B1614" s="1" t="s">
        <v>1605</v>
      </c>
      <c r="C1614" t="str">
        <f>IFERROR(__xludf.DUMMYFUNCTION("GOOGLETRANSLATE(B1614, ""es"", ""en"")"),"He has not convinced me! He has not convinced me !!")</f>
        <v>He has not convinced me! He has not convinced me !!</v>
      </c>
    </row>
    <row r="1615">
      <c r="A1615" s="1">
        <v>4.0</v>
      </c>
      <c r="B1615" s="1" t="s">
        <v>1606</v>
      </c>
      <c r="C1615" t="str">
        <f>IFERROR(__xludf.DUMMYFUNCTION("GOOGLETRANSLATE(B1615, ""es"", ""en"")"),"Cocky is well priced, to the washing has not been perfect, but price is worth it.")</f>
        <v>Cocky is well priced, to the washing has not been perfect, but price is worth it.</v>
      </c>
    </row>
    <row r="1616">
      <c r="A1616" s="1">
        <v>4.0</v>
      </c>
      <c r="B1616" s="1" t="s">
        <v>1607</v>
      </c>
      <c r="C1616" t="str">
        <f>IFERROR(__xludf.DUMMYFUNCTION("GOOGLETRANSLATE(B1616, ""es"", ""en"")"),"Say goodbye to the sounds of your neighbors bought these headphones especially to get rid of the torture of music that puts my neighbor at all hours and the shrieks sticking, and in this sense, comply perfectly, I can finally live in peace in my home. The"&amp;" Bose noise cancellation works like a charm, much better than other cheap headphones noise canceling he had tasted. On the other hand, the quality of materials seems very good, but not just me comfortable be all, especially the upper pad, which is a bit r"&amp;"igid, much more comfortable of the Sennheiser HDR 110 I have. As for the sound quality is good, but I expected better for the price they have, since the Sennheiser HDR 110, which had cost me years ago about 70 €, it is much better for my taste, especially"&amp;" Low volume. What I like least is the range of bluetooth, more than 3 meters and the signal is lost, and sometimes even to the bringing down the street with the phone in his pocket, enough cut. I would not expect something like that for this price, the tr"&amp;"uth, I have other bluetooth headsets cheap who have more reach and with them no sound is never short under normal conditions. Luckily for my use, I do not bother me too much. It's a shame not manufactured noise canceling headphones and Bluetooth radio ins"&amp;"tead, it would be the perfect solution, but anyway, is what you get. In short, they have several relatively important problems, but anyway I'm quite happy with them, noise cancellation is very good quality.")</f>
        <v>Say goodbye to the sounds of your neighbors bought these headphones especially to get rid of the torture of music that puts my neighbor at all hours and the shrieks sticking, and in this sense, comply perfectly, I can finally live in peace in my home. The Bose noise cancellation works like a charm, much better than other cheap headphones noise canceling he had tasted. On the other hand, the quality of materials seems very good, but not just me comfortable be all, especially the upper pad, which is a bit rigid, much more comfortable of the Sennheiser HDR 110 I have. As for the sound quality is good, but I expected better for the price they have, since the Sennheiser HDR 110, which had cost me years ago about 70 €, it is much better for my taste, especially Low volume. What I like least is the range of bluetooth, more than 3 meters and the signal is lost, and sometimes even to the bringing down the street with the phone in his pocket, enough cut. I would not expect something like that for this price, the truth, I have other bluetooth headsets cheap who have more reach and with them no sound is never short under normal conditions. Luckily for my use, I do not bother me too much. It's a shame not manufactured noise canceling headphones and Bluetooth radio instead, it would be the perfect solution, but anyway, is what you get. In short, they have several relatively important problems, but anyway I'm quite happy with them, noise cancellation is very good quality.</v>
      </c>
    </row>
    <row r="1617">
      <c r="A1617" s="1">
        <v>4.0</v>
      </c>
      <c r="B1617" s="1" t="s">
        <v>1608</v>
      </c>
      <c r="C1617" t="str">
        <f>IFERROR(__xludf.DUMMYFUNCTION("GOOGLETRANSLATE(B1617, ""es"", ""en"")"),"only one The drawback foams are good, the size and cutting are perfect, the only problem see is that caused me '' allergic '' to the manipulate because they have particles fiberglass, if not all them pass the same but I also notice just in case, but remov"&amp;"ing that I have no complaints: D")</f>
        <v>only one The drawback foams are good, the size and cutting are perfect, the only problem see is that caused me '' allergic '' to the manipulate because they have particles fiberglass, if not all them pass the same but I also notice just in case, but removing that I have no complaints: D</v>
      </c>
    </row>
    <row r="1618">
      <c r="A1618" s="1">
        <v>4.0</v>
      </c>
      <c r="B1618" s="1" t="s">
        <v>1609</v>
      </c>
      <c r="C1618" t="str">
        <f>IFERROR(__xludf.DUMMYFUNCTION("GOOGLETRANSLATE(B1618, ""es"", ""en"")"),"small size. Good product, but size small and there is much difference one size to another. I change the size and very fast and without problem")</f>
        <v>small size. Good product, but size small and there is much difference one size to another. I change the size and very fast and without problem</v>
      </c>
    </row>
    <row r="1619">
      <c r="A1619" s="1">
        <v>4.0</v>
      </c>
      <c r="B1619" s="1" t="s">
        <v>1610</v>
      </c>
      <c r="C1619" t="str">
        <f>IFERROR(__xludf.DUMMYFUNCTION("GOOGLETRANSLATE(B1619, ""es"", ""en"")"),"Comfortable and functional but beware the size Very comfortable and practical to wear or casual valid. Of the two shoe trees are available for Clarks these last close (G) and this model especially have to ask average size or a size more than you usually u"&amp;"se in Clarks. Other models that has not happened.")</f>
        <v>Comfortable and functional but beware the size Very comfortable and practical to wear or casual valid. Of the two shoe trees are available for Clarks these last close (G) and this model especially have to ask average size or a size more than you usually use in Clarks. Other models that has not happened.</v>
      </c>
    </row>
    <row r="1620">
      <c r="A1620" s="1">
        <v>5.0</v>
      </c>
      <c r="B1620" s="1" t="s">
        <v>1611</v>
      </c>
      <c r="C1620" t="str">
        <f>IFERROR(__xludf.DUMMYFUNCTION("GOOGLETRANSLATE(B1620, ""es"", ""en"")"),"Comorarlas'll Very cool, I love at a great price. I could not tell whether or not they are imitation, they are very comfortable.")</f>
        <v>Comorarlas'll Very cool, I love at a great price. I could not tell whether or not they are imitation, they are very comfortable.</v>
      </c>
    </row>
    <row r="1621">
      <c r="A1621" s="1">
        <v>5.0</v>
      </c>
      <c r="B1621" s="1" t="s">
        <v>1612</v>
      </c>
      <c r="C1621" t="str">
        <f>IFERROR(__xludf.DUMMYFUNCTION("GOOGLETRANSLATE(B1621, ""es"", ""en"")"),"I bought these headphones for my mother because for their work helmets cable is tangled followed and were a nuisance heard great with these is super happy because he does not care that he tangling or anything, just that he they may fall. Has lasted more t"&amp;"han a week and is very happy using them at the beginning he proved a little uncomfortable as he fell all the time, but now that took them truqillo is haunted. I also have tried and well, sound great and have a lot of power. Is super easy to load, put them"&amp;" in the box that brings and ready. My mother does the battery last between 2 and 3 days, but of course, I do not know how long you use them or anything, so it is not very indicative ... The box where they come is like a magnet, so that helmets if the guar"&amp;"ds always there will not never lose. Bring the cable for charging and also two parts of the pads you use.")</f>
        <v>I bought these headphones for my mother because for their work helmets cable is tangled followed and were a nuisance heard great with these is super happy because he does not care that he tangling or anything, just that he they may fall. Has lasted more than a week and is very happy using them at the beginning he proved a little uncomfortable as he fell all the time, but now that took them truqillo is haunted. I also have tried and well, sound great and have a lot of power. Is super easy to load, put them in the box that brings and ready. My mother does the battery last between 2 and 3 days, but of course, I do not know how long you use them or anything, so it is not very indicative ... The box where they come is like a magnet, so that helmets if the guards always there will not never lose. Bring the cable for charging and also two parts of the pads you use.</v>
      </c>
    </row>
    <row r="1622">
      <c r="A1622" s="1">
        <v>5.0</v>
      </c>
      <c r="B1622" s="1" t="s">
        <v>1613</v>
      </c>
      <c r="C1622" t="str">
        <f>IFERROR(__xludf.DUMMYFUNCTION("GOOGLETRANSLATE(B1622, ""es"", ""en"")"),"Good quality and functional Corresponds to the description and photos. Good quality and practical")</f>
        <v>Good quality and functional Corresponds to the description and photos. Good quality and practical</v>
      </c>
    </row>
    <row r="1623">
      <c r="A1623" s="1">
        <v>5.0</v>
      </c>
      <c r="B1623" s="1" t="s">
        <v>1614</v>
      </c>
      <c r="C1623" t="str">
        <f>IFERROR(__xludf.DUMMYFUNCTION("GOOGLETRANSLATE(B1623, ""es"", ""en"")"),"It goes very well and very convenient to use the brush is better because with this format only spend one hand and with the other format both hands.")</f>
        <v>It goes very well and very convenient to use the brush is better because with this format only spend one hand and with the other format both hands.</v>
      </c>
    </row>
    <row r="1624">
      <c r="A1624" s="1">
        <v>5.0</v>
      </c>
      <c r="B1624" s="1" t="s">
        <v>1615</v>
      </c>
      <c r="C1624" t="str">
        <f>IFERROR(__xludf.DUMMYFUNCTION("GOOGLETRANSLATE(B1624, ""es"", ""en"")"),"Well Note that the microphone is also supplied from the battery of the camera, and so lasts less. I recommend having extra camera batteries. The reason why I bought this and not the Videomic Pro is for the price, I'd rather stop worrying besides having to"&amp;" also load the microphone or using batteries. It's fine if your camera has manual adjustments of the microphone, this is how really good quality is achieved.")</f>
        <v>Well Note that the microphone is also supplied from the battery of the camera, and so lasts less. I recommend having extra camera batteries. The reason why I bought this and not the Videomic Pro is for the price, I'd rather stop worrying besides having to also load the microphone or using batteries. It's fine if your camera has manual adjustments of the microphone, this is how really good quality is achieved.</v>
      </c>
    </row>
    <row r="1625">
      <c r="A1625" s="1">
        <v>5.0</v>
      </c>
      <c r="B1625" s="1" t="s">
        <v>1616</v>
      </c>
      <c r="C1625" t="str">
        <f>IFERROR(__xludf.DUMMYFUNCTION("GOOGLETRANSLATE(B1625, ""es"", ""en"")"),"Perfect for macbook Pro is perfect for macbook pro, can engage any external display. ! 00% recommended for the price you have regarding the Apple product. On the downside, you can not attach an iMac as an external display laptop")</f>
        <v>Perfect for macbook Pro is perfect for macbook pro, can engage any external display. ! 00% recommended for the price you have regarding the Apple product. On the downside, you can not attach an iMac as an external display laptop</v>
      </c>
    </row>
    <row r="1626">
      <c r="A1626" s="1">
        <v>5.0</v>
      </c>
      <c r="B1626" s="1" t="s">
        <v>1617</v>
      </c>
      <c r="C1626" t="str">
        <f>IFERROR(__xludf.DUMMYFUNCTION("GOOGLETRANSLATE(B1626, ""es"", ""en"")"),"Great Va perfect. It seems that if you stick costs 10 sheets but with 4 or 5 great even if you have a lot to be bound, once pillas the roll just once (I Bind a lot of notes, laws ...).")</f>
        <v>Great Va perfect. It seems that if you stick costs 10 sheets but with 4 or 5 great even if you have a lot to be bound, once pillas the roll just once (I Bind a lot of notes, laws ...).</v>
      </c>
    </row>
    <row r="1627">
      <c r="A1627" s="1">
        <v>5.0</v>
      </c>
      <c r="B1627" s="1" t="s">
        <v>1618</v>
      </c>
      <c r="C1627" t="str">
        <f>IFERROR(__xludf.DUMMYFUNCTION("GOOGLETRANSLATE(B1627, ""es"", ""en"")"),"Excellent, I can not find a better one! It is the fifth album since we bought recently got married, and for both photos, unofficial or the honeymoon of open bar, we have chosen to present them Hama album. It is a very complete album, leaves glide very wel"&amp;"l and has white protective sheetlet for some photos do not stick with each other and deteriorate. And as the background is black, you can sign, decorate, write or do whatever you want on the bottom, because with fine metallic markers and color, is a very "&amp;"original and fun album. We have also used the same brand your stickers so that photos are properly stuck in their leaves. Highly recommended.")</f>
        <v>Excellent, I can not find a better one! It is the fifth album since we bought recently got married, and for both photos, unofficial or the honeymoon of open bar, we have chosen to present them Hama album. It is a very complete album, leaves glide very well and has white protective sheetlet for some photos do not stick with each other and deteriorate. And as the background is black, you can sign, decorate, write or do whatever you want on the bottom, because with fine metallic markers and color, is a very original and fun album. We have also used the same brand your stickers so that photos are properly stuck in their leaves. Highly recommended.</v>
      </c>
    </row>
    <row r="1628">
      <c r="A1628" s="1">
        <v>5.0</v>
      </c>
      <c r="B1628" s="1" t="s">
        <v>1619</v>
      </c>
      <c r="C1628" t="str">
        <f>IFERROR(__xludf.DUMMYFUNCTION("GOOGLETRANSLATE(B1628, ""es"", ""en"")"),"Le pacifier use bottle water. Also glass bottles. I like milk glass for plastic")</f>
        <v>Le pacifier use bottle water. Also glass bottles. I like milk glass for plastic</v>
      </c>
    </row>
    <row r="1629">
      <c r="A1629" s="1">
        <v>5.0</v>
      </c>
      <c r="B1629" s="1" t="s">
        <v>1620</v>
      </c>
      <c r="C1629" t="str">
        <f>IFERROR(__xludf.DUMMYFUNCTION("GOOGLETRANSLATE(B1629, ""es"", ""en"")"),"VERY GOOD identifies specific attributes (for example, comfort or fit tee, or battery of a camera) and indicates whether you have met your expectations. Do not describe to the seller or the experience of shipping (can do that")</f>
        <v>VERY GOOD identifies specific attributes (for example, comfort or fit tee, or battery of a camera) and indicates whether you have met your expectations. Do not describe to the seller or the experience of shipping (can do that</v>
      </c>
    </row>
    <row r="1630">
      <c r="A1630" s="1">
        <v>5.0</v>
      </c>
      <c r="B1630" s="1" t="s">
        <v>1621</v>
      </c>
      <c r="C1630" t="str">
        <f>IFERROR(__xludf.DUMMYFUNCTION("GOOGLETRANSLATE(B1630, ""es"", ""en"")"),"SIZING good product perfect. 175 and 80 kg. Talla M. seems good material and very hot. Although it not as cheap as it seems, is good brand Joma. And Spanish. I repeat")</f>
        <v>SIZING good product perfect. 175 and 80 kg. Talla M. seems good material and very hot. Although it not as cheap as it seems, is good brand Joma. And Spanish. I repeat</v>
      </c>
    </row>
    <row r="1631">
      <c r="A1631" s="1">
        <v>5.0</v>
      </c>
      <c r="B1631" s="1" t="s">
        <v>1622</v>
      </c>
      <c r="C1631" t="str">
        <f>IFERROR(__xludf.DUMMYFUNCTION("GOOGLETRANSLATE(B1631, ""es"", ""en"")"),"Perfect speed record")</f>
        <v>Perfect speed record</v>
      </c>
    </row>
    <row r="1632">
      <c r="A1632" s="1">
        <v>5.0</v>
      </c>
      <c r="B1632" s="1" t="s">
        <v>1623</v>
      </c>
      <c r="C1632" t="str">
        <f>IFERROR(__xludf.DUMMYFUNCTION("GOOGLETRANSLATE(B1632, ""es"", ""en"")"),"Just what I was looking was looking for supports that were durable, aesthetically beautiful and economical for use in courses and workshops. We have already premiered and are just what I wanted.")</f>
        <v>Just what I was looking was looking for supports that were durable, aesthetically beautiful and economical for use in courses and workshops. We have already premiered and are just what I wanted.</v>
      </c>
    </row>
    <row r="1633">
      <c r="A1633" s="1">
        <v>5.0</v>
      </c>
      <c r="B1633" s="1" t="s">
        <v>1624</v>
      </c>
      <c r="C1633" t="str">
        <f>IFERROR(__xludf.DUMMYFUNCTION("GOOGLETRANSLATE(B1633, ""es"", ""en"")"),"perfect perfect get eh say it is a condenser microphone best for its super happy with the price and recommend it to 100")</f>
        <v>perfect perfect get eh say it is a condenser microphone best for its super happy with the price and recommend it to 100</v>
      </c>
    </row>
    <row r="1634">
      <c r="A1634" s="1">
        <v>5.0</v>
      </c>
      <c r="B1634" s="1" t="s">
        <v>1625</v>
      </c>
      <c r="C1634" t="str">
        <f>IFERROR(__xludf.DUMMYFUNCTION("GOOGLETRANSLATE(B1634, ""es"", ""en"")"),"Headphone very good quality headphones very good quality perfectly hear both calls and music and has plenty of length is ideal for running is compatible for my two phones that are iPhone 7 and huawei p20 pro will also mark the battery level that is very g"&amp;"ood advantage to not run out of battery, they are very comfortable and just notes that since porq have perfectly fit the oreja.lo recommend going very well'm delighted")</f>
        <v>Headphone very good quality headphones very good quality perfectly hear both calls and music and has plenty of length is ideal for running is compatible for my two phones that are iPhone 7 and huawei p20 pro will also mark the battery level that is very good advantage to not run out of battery, they are very comfortable and just notes that since porq have perfectly fit the oreja.lo recommend going very well'm delighted</v>
      </c>
    </row>
    <row r="1635">
      <c r="A1635" s="1">
        <v>5.0</v>
      </c>
      <c r="B1635" s="1" t="s">
        <v>1626</v>
      </c>
      <c r="C1635" t="str">
        <f>IFERROR(__xludf.DUMMYFUNCTION("GOOGLETRANSLATE(B1635, ""es"", ""en"")"),"Very nice looking clock for an event that was not very expensive, and the truth that for the money is very good. I am not a connoisseur of watches, but the material looks sturdy and is not fragile at all, so I recommend")</f>
        <v>Very nice looking clock for an event that was not very expensive, and the truth that for the money is very good. I am not a connoisseur of watches, but the material looks sturdy and is not fragile at all, so I recommend</v>
      </c>
    </row>
    <row r="1636">
      <c r="A1636" s="1">
        <v>5.0</v>
      </c>
      <c r="B1636" s="1" t="s">
        <v>1627</v>
      </c>
      <c r="C1636" t="str">
        <f>IFERROR(__xludf.DUMMYFUNCTION("GOOGLETRANSLATE(B1636, ""es"", ""en"")"),"The fabric is comfortable very good and very comfortable shirt")</f>
        <v>The fabric is comfortable very good and very comfortable shirt</v>
      </c>
    </row>
    <row r="1637">
      <c r="A1637" s="1">
        <v>5.0</v>
      </c>
      <c r="B1637" s="1" t="s">
        <v>1628</v>
      </c>
      <c r="C1637" t="str">
        <f>IFERROR(__xludf.DUMMYFUNCTION("GOOGLETRANSLATE(B1637, ""es"", ""en"")"),"I never had tried very comfortable compression stockings, and I have been great. They fit perfectly and above are very cheap now")</f>
        <v>I never had tried very comfortable compression stockings, and I have been great. They fit perfectly and above are very cheap now</v>
      </c>
    </row>
    <row r="1638">
      <c r="A1638" s="1">
        <v>5.0</v>
      </c>
      <c r="B1638" s="1" t="s">
        <v>1629</v>
      </c>
      <c r="C1638" t="str">
        <f>IFERROR(__xludf.DUMMYFUNCTION("GOOGLETRANSLATE(B1638, ""es"", ""en"")"),"He arrived early and in good condition is very good as is in the photo recommended")</f>
        <v>He arrived early and in good condition is very good as is in the photo recommended</v>
      </c>
    </row>
    <row r="1639">
      <c r="A1639" s="1">
        <v>2.0</v>
      </c>
      <c r="B1639" s="1" t="s">
        <v>1630</v>
      </c>
      <c r="C1639" t="str">
        <f>IFERROR(__xludf.DUMMYFUNCTION("GOOGLETRANSLATE(B1639, ""es"", ""en"")"),"Sleazy guide me good ratings that had this product and decided to catch it, I must say that the article is cheap and of course that is quite noticeable on quality, have wanted to imitate a famous brand on tatami mats, but remained in attempt, it is a very"&amp;" fine foam with a plastic spiked circles, obviously pricked, I used only once and the experience has not been good.")</f>
        <v>Sleazy guide me good ratings that had this product and decided to catch it, I must say that the article is cheap and of course that is quite noticeable on quality, have wanted to imitate a famous brand on tatami mats, but remained in attempt, it is a very fine foam with a plastic spiked circles, obviously pricked, I used only once and the experience has not been good.</v>
      </c>
    </row>
    <row r="1640">
      <c r="A1640" s="1">
        <v>3.0</v>
      </c>
      <c r="B1640" s="1" t="s">
        <v>1631</v>
      </c>
      <c r="C1640" t="str">
        <f>IFERROR(__xludf.DUMMYFUNCTION("GOOGLETRANSLATE(B1640, ""es"", ""en"")"),"It looked more GREAT AND NOT GOOD I asked why he thought he was bigger and like the other I HAVE IS BIGGER IS NOT IT THE TRUTH THAT WAS GOING TO RETURN AND WHAT HE PRESENTED TO MY SON AND TO THE FINAL ME WHAT HAS RETURNED FOR WHY IS VERY LARGE AND NOW I H"&amp;"AVE BEEN ME ME TO THE END IS WELL NOT SEE ME LIKE THAT SO SMALL NUMBERS THERE IS SO OTHERS")</f>
        <v>It looked more GREAT AND NOT GOOD I asked why he thought he was bigger and like the other I HAVE IS BIGGER IS NOT IT THE TRUTH THAT WAS GOING TO RETURN AND WHAT HE PRESENTED TO MY SON AND TO THE FINAL ME WHAT HAS RETURNED FOR WHY IS VERY LARGE AND NOW I HAVE BEEN ME ME TO THE END IS WELL NOT SEE ME LIKE THAT SO SMALL NUMBERS THERE IS SO OTHERS</v>
      </c>
    </row>
    <row r="1641">
      <c r="A1641" s="1">
        <v>1.0</v>
      </c>
      <c r="B1641" s="1" t="s">
        <v>1632</v>
      </c>
      <c r="C1641" t="str">
        <f>IFERROR(__xludf.DUMMYFUNCTION("GOOGLETRANSLATE(B1641, ""es"", ""en"")"),"No power shoe sole Amazon took off to the second use")</f>
        <v>No power shoe sole Amazon took off to the second use</v>
      </c>
    </row>
    <row r="1642">
      <c r="A1642" s="1">
        <v>1.0</v>
      </c>
      <c r="B1642" s="1" t="s">
        <v>1633</v>
      </c>
      <c r="C1642" t="str">
        <f>IFERROR(__xludf.DUMMYFUNCTION("GOOGLETRANSLATE(B1642, ""es"", ""en"")"),"Mala Mala cloth and small")</f>
        <v>Mala Mala cloth and small</v>
      </c>
    </row>
    <row r="1643">
      <c r="A1643" s="1">
        <v>4.0</v>
      </c>
      <c r="B1643" s="1" t="s">
        <v>1634</v>
      </c>
      <c r="C1643" t="str">
        <f>IFERROR(__xludf.DUMMYFUNCTION("GOOGLETRANSLATE(B1643, ""es"", ""en"")"),"Such good product which specifies the seller is very soft and easy to put on. Warms quickly.")</f>
        <v>Such good product which specifies the seller is very soft and easy to put on. Warms quickly.</v>
      </c>
    </row>
    <row r="1644">
      <c r="A1644" s="1">
        <v>4.0</v>
      </c>
      <c r="B1644" s="1" t="s">
        <v>1635</v>
      </c>
      <c r="C1644" t="str">
        <f>IFERROR(__xludf.DUMMYFUNCTION("GOOGLETRANSLATE(B1644, ""es"", ""en"")"),"It was as expected as it was waiting for my wife and if she is happy (the case) because eso¡ everyone happy.")</f>
        <v>It was as expected as it was waiting for my wife and if she is happy (the case) because eso¡ everyone happy.</v>
      </c>
    </row>
    <row r="1645">
      <c r="A1645" s="1">
        <v>4.0</v>
      </c>
      <c r="B1645" s="1" t="s">
        <v>1636</v>
      </c>
      <c r="C1645" t="str">
        <f>IFERROR(__xludf.DUMMYFUNCTION("GOOGLETRANSLATE(B1645, ""es"", ""en"")"),"Happy with purchase. After 6 years, my previous barracuda 2TB passed away, I was also with him that I repeat, I hope me so good result as above. I have as a slave, as a teacher I have an SSD Kingston. Quiet and good performance. Packed in its antistatic b"&amp;"ag and wrapped in bubbles, snugly inside the carton. Moment very happy with the purchase.")</f>
        <v>Happy with purchase. After 6 years, my previous barracuda 2TB passed away, I was also with him that I repeat, I hope me so good result as above. I have as a slave, as a teacher I have an SSD Kingston. Quiet and good performance. Packed in its antistatic bag and wrapped in bubbles, snugly inside the carton. Moment very happy with the purchase.</v>
      </c>
    </row>
    <row r="1646">
      <c r="A1646" s="1">
        <v>4.0</v>
      </c>
      <c r="B1646" s="1" t="s">
        <v>1637</v>
      </c>
      <c r="C1646" t="str">
        <f>IFERROR(__xludf.DUMMYFUNCTION("GOOGLETRANSLATE(B1646, ""es"", ""en"")"),"excellent price quality. Trinket that he really liked my mother.")</f>
        <v>excellent price quality. Trinket that he really liked my mother.</v>
      </c>
    </row>
    <row r="1647">
      <c r="A1647" s="1">
        <v>4.0</v>
      </c>
      <c r="B1647" s="1" t="s">
        <v>1638</v>
      </c>
      <c r="C1647" t="str">
        <f>IFERROR(__xludf.DUMMYFUNCTION("GOOGLETRANSLATE(B1647, ""es"", ""en"")"),"Good value I have used it to glue several things in my house that had not achieved with other types of adhesives either by the weight of what I wanted paste or moisture in the area and finally are securely fixed and fixed. It's pretty easy to put on and i"&amp;"n case you lose the grip the recovered washing. I did not expect so thick but the important thing is serves as its description.")</f>
        <v>Good value I have used it to glue several things in my house that had not achieved with other types of adhesives either by the weight of what I wanted paste or moisture in the area and finally are securely fixed and fixed. It's pretty easy to put on and in case you lose the grip the recovered washing. I did not expect so thick but the important thing is serves as its description.</v>
      </c>
    </row>
    <row r="1648">
      <c r="A1648" s="1">
        <v>5.0</v>
      </c>
      <c r="B1648" s="1" t="s">
        <v>1639</v>
      </c>
      <c r="C1648" t="str">
        <f>IFERROR(__xludf.DUMMYFUNCTION("GOOGLETRANSLATE(B1648, ""es"", ""en"")"),"Good product I liked it seems lighter and more comfortable than traditional ones.")</f>
        <v>Good product I liked it seems lighter and more comfortable than traditional ones.</v>
      </c>
    </row>
    <row r="1649">
      <c r="A1649" s="1">
        <v>5.0</v>
      </c>
      <c r="B1649" s="1" t="s">
        <v>1640</v>
      </c>
      <c r="C1649" t="str">
        <f>IFERROR(__xludf.DUMMYFUNCTION("GOOGLETRANSLATE(B1649, ""es"", ""en"")"),"serves its purpose for the price that has more than enough fulfills its mission. The only bad thing is that it is a little small for my wrist ... but hey, that does not mean it's small ... is that my hand is 25 cm, so I guess it's normal ... If you have a"&amp;" current anatomy and a pocket at par, this is your watch.")</f>
        <v>serves its purpose for the price that has more than enough fulfills its mission. The only bad thing is that it is a little small for my wrist ... but hey, that does not mean it's small ... is that my hand is 25 cm, so I guess it's normal ... If you have a current anatomy and a pocket at par, this is your watch.</v>
      </c>
    </row>
    <row r="1650">
      <c r="A1650" s="1">
        <v>5.0</v>
      </c>
      <c r="B1650" s="1" t="s">
        <v>1641</v>
      </c>
      <c r="C1650" t="str">
        <f>IFERROR(__xludf.DUMMYFUNCTION("GOOGLETRANSLATE(B1650, ""es"", ""en"")"),"All right 10/10, the expected delivery day, this is the second pair of Classic Leather I buy and are very highly recommended.")</f>
        <v>All right 10/10, the expected delivery day, this is the second pair of Classic Leather I buy and are very highly recommended.</v>
      </c>
    </row>
    <row r="1651">
      <c r="A1651" s="1">
        <v>5.0</v>
      </c>
      <c r="B1651" s="1" t="s">
        <v>1642</v>
      </c>
      <c r="C1651" t="str">
        <f>IFERROR(__xludf.DUMMYFUNCTION("GOOGLETRANSLATE(B1651, ""es"", ""en"")"),"Aesthetics and works well A friend has a similar aromatherapy diffuser and liked it, so I decided to buy a similar one. It's really nice to feel aesthetic and makes the house smell good if you add some essential oils. Of course, it is also possible to use"&amp;" water without any odor. It works by evaporation of the water by sonication. It works quietly, does not bother me. There is a remote control, but do not use it much, just turn on or turn off it, that's enough for me.")</f>
        <v>Aesthetics and works well A friend has a similar aromatherapy diffuser and liked it, so I decided to buy a similar one. It's really nice to feel aesthetic and makes the house smell good if you add some essential oils. Of course, it is also possible to use water without any odor. It works by evaporation of the water by sonication. It works quietly, does not bother me. There is a remote control, but do not use it much, just turn on or turn off it, that's enough for me.</v>
      </c>
    </row>
    <row r="1652">
      <c r="A1652" s="1">
        <v>5.0</v>
      </c>
      <c r="B1652" s="1" t="s">
        <v>1643</v>
      </c>
      <c r="C1652" t="str">
        <f>IFERROR(__xludf.DUMMYFUNCTION("GOOGLETRANSLATE(B1652, ""es"", ""en"")"),"Excellent Excellent, very comfortable and warm.")</f>
        <v>Excellent Excellent, very comfortable and warm.</v>
      </c>
    </row>
    <row r="1653">
      <c r="A1653" s="1">
        <v>5.0</v>
      </c>
      <c r="B1653" s="1" t="s">
        <v>1644</v>
      </c>
      <c r="C1653" t="str">
        <f>IFERROR(__xludf.DUMMYFUNCTION("GOOGLETRANSLATE(B1653, ""es"", ""en"")"),"well Normalito")</f>
        <v>well Normalito</v>
      </c>
    </row>
    <row r="1654">
      <c r="A1654" s="1">
        <v>5.0</v>
      </c>
      <c r="B1654" s="1" t="s">
        <v>1645</v>
      </c>
      <c r="C1654" t="str">
        <f>IFERROR(__xludf.DUMMYFUNCTION("GOOGLETRANSLATE(B1654, ""es"", ""en"")"),"😁 😁")</f>
        <v>😁 😁</v>
      </c>
    </row>
    <row r="1655">
      <c r="A1655" s="1">
        <v>5.0</v>
      </c>
      <c r="B1655" s="1" t="s">
        <v>1646</v>
      </c>
      <c r="C1655" t="str">
        <f>IFERROR(__xludf.DUMMYFUNCTION("GOOGLETRANSLATE(B1655, ""es"", ""en"")"),"Utilities are perfect for small precision work")</f>
        <v>Utilities are perfect for small precision work</v>
      </c>
    </row>
    <row r="1656">
      <c r="A1656" s="1">
        <v>5.0</v>
      </c>
      <c r="B1656" s="1" t="s">
        <v>1647</v>
      </c>
      <c r="C1656" t="str">
        <f>IFERROR(__xludf.DUMMYFUNCTION("GOOGLETRANSLATE(B1656, ""es"", ""en"")"),"Precious! Go past the mouse mat. Color identical to that of my computer. Material: aluminum. The mouse glides so great and gentle, and detects the precise movement. Circular perfect size. I recommend !!!")</f>
        <v>Precious! Go past the mouse mat. Color identical to that of my computer. Material: aluminum. The mouse glides so great and gentle, and detects the precise movement. Circular perfect size. I recommend !!!</v>
      </c>
    </row>
    <row r="1657">
      <c r="A1657" s="1">
        <v>5.0</v>
      </c>
      <c r="B1657" s="1" t="s">
        <v>1648</v>
      </c>
      <c r="C1657" t="str">
        <f>IFERROR(__xludf.DUMMYFUNCTION("GOOGLETRANSLATE(B1657, ""es"", ""en"")"),"Economic Good.")</f>
        <v>Economic Good.</v>
      </c>
    </row>
    <row r="1658">
      <c r="A1658" s="1">
        <v>5.0</v>
      </c>
      <c r="B1658" s="1" t="s">
        <v>1649</v>
      </c>
      <c r="C1658" t="str">
        <f>IFERROR(__xludf.DUMMYFUNCTION("GOOGLETRANSLATE(B1658, ""es"", ""en"")"),"Just what I needed If you look for a medium-sized album, this will come in handy. Cardstock pages are black and one is tissue paper. There are two photos per page of standard size (10x15)")</f>
        <v>Just what I needed If you look for a medium-sized album, this will come in handy. Cardstock pages are black and one is tissue paper. There are two photos per page of standard size (10x15)</v>
      </c>
    </row>
    <row r="1659">
      <c r="A1659" s="1">
        <v>5.0</v>
      </c>
      <c r="B1659" s="1" t="s">
        <v>1650</v>
      </c>
      <c r="C1659" t="str">
        <f>IFERROR(__xludf.DUMMYFUNCTION("GOOGLETRANSLATE(B1659, ""es"", ""en"")"),"Very good very comfortable to walk and light demenos miss a leguetas harder and with more reinforcement eyelets for trencillas")</f>
        <v>Very good very comfortable to walk and light demenos miss a leguetas harder and with more reinforcement eyelets for trencillas</v>
      </c>
    </row>
    <row r="1660">
      <c r="A1660" s="1">
        <v>5.0</v>
      </c>
      <c r="B1660" s="1" t="s">
        <v>1651</v>
      </c>
      <c r="C1660" t="str">
        <f>IFERROR(__xludf.DUMMYFUNCTION("GOOGLETRANSLATE(B1660, ""es"", ""en"")"),"Beautiful I liked is ideal because it is really cute")</f>
        <v>Beautiful I liked is ideal because it is really cute</v>
      </c>
    </row>
    <row r="1661">
      <c r="A1661" s="1">
        <v>5.0</v>
      </c>
      <c r="B1661" s="1" t="s">
        <v>1652</v>
      </c>
      <c r="C1661" t="str">
        <f>IFERROR(__xludf.DUMMYFUNCTION("GOOGLETRANSLATE(B1661, ""es"", ""en"")"),"Very nice white design is listen very well. The battery lasts a long time use in four hours has not given me any problems. The white model is very nice. They are paired with ease and listen well even remote mobile phone.")</f>
        <v>Very nice white design is listen very well. The battery lasts a long time use in four hours has not given me any problems. The white model is very nice. They are paired with ease and listen well even remote mobile phone.</v>
      </c>
    </row>
    <row r="1662">
      <c r="A1662" s="1">
        <v>5.0</v>
      </c>
      <c r="B1662" s="1" t="s">
        <v>1653</v>
      </c>
      <c r="C1662" t="str">
        <f>IFERROR(__xludf.DUMMYFUNCTION("GOOGLETRANSLATE(B1662, ""es"", ""en"")"),"the best and cheapest is the best water heater I've had and the cheapest. What I like most is that it has a part semitransparent so you can see how much water you have.")</f>
        <v>the best and cheapest is the best water heater I've had and the cheapest. What I like most is that it has a part semitransparent so you can see how much water you have.</v>
      </c>
    </row>
    <row r="1663">
      <c r="A1663" s="1">
        <v>5.0</v>
      </c>
      <c r="B1663" s="1" t="s">
        <v>1654</v>
      </c>
      <c r="C1663" t="str">
        <f>IFERROR(__xludf.DUMMYFUNCTION("GOOGLETRANSLATE(B1663, ""es"", ""en"")"),"Ideal to wear on the sofa and gave my grandmother is delighted. It is somewhat small but is intended to bring it under clothing. It is soft and does not burn. It turns itself off after 90 minutes, if you get fried on the couch.")</f>
        <v>Ideal to wear on the sofa and gave my grandmother is delighted. It is somewhat small but is intended to bring it under clothing. It is soft and does not burn. It turns itself off after 90 minutes, if you get fried on the couch.</v>
      </c>
    </row>
    <row r="1664">
      <c r="A1664" s="1">
        <v>5.0</v>
      </c>
      <c r="B1664" s="1" t="s">
        <v>1655</v>
      </c>
      <c r="C1664" t="str">
        <f>IFERROR(__xludf.DUMMYFUNCTION("GOOGLETRANSLATE(B1664, ""es"", ""en"")"),"Phenomenal The product is very good, very fast and linpio heated. and this Genta Amazón work very well. Care should raise them all salary.")</f>
        <v>Phenomenal The product is very good, very fast and linpio heated. and this Genta Amazón work very well. Care should raise them all salary.</v>
      </c>
    </row>
    <row r="1665">
      <c r="A1665" s="1">
        <v>5.0</v>
      </c>
      <c r="B1665" s="1" t="s">
        <v>1656</v>
      </c>
      <c r="C1665" t="str">
        <f>IFERROR(__xludf.DUMMYFUNCTION("GOOGLETRANSLATE(B1665, ""es"", ""en"")"),"Well done to the case is good, things also come in that are of good quality")</f>
        <v>Well done to the case is good, things also come in that are of good quality</v>
      </c>
    </row>
    <row r="1666">
      <c r="A1666" s="1">
        <v>2.0</v>
      </c>
      <c r="B1666" s="1" t="s">
        <v>1657</v>
      </c>
      <c r="C1666" t="str">
        <f>IFERROR(__xludf.DUMMYFUNCTION("GOOGLETRANSLATE(B1666, ""es"", ""en"")"),"Well until he stood almost three years either, but it has been stopped. And what little she was to have loosened the screw of the counterweight cranks. I had to paste. He was pleased with the clock so far.")</f>
        <v>Well until he stood almost three years either, but it has been stopped. And what little she was to have loosened the screw of the counterweight cranks. I had to paste. He was pleased with the clock so far.</v>
      </c>
    </row>
    <row r="1667">
      <c r="A1667" s="1">
        <v>3.0</v>
      </c>
      <c r="B1667" s="1" t="s">
        <v>1658</v>
      </c>
      <c r="C1667" t="str">
        <f>IFERROR(__xludf.DUMMYFUNCTION("GOOGLETRANSLATE(B1667, ""es"", ""en"")"),"The problem with right atrial product has reached a good box and well sealed to prevent strokes. The problem I've had is that the headset right to occasionally stop and listen. It is very uncomfortable and I proceeded to return. Hear quite well but I've t"&amp;"ried the Xiaomi and I think it works best in addition to the case is smaller to carry it. The battery charge I could not prove their duration for the short time that I had but I have not had any problems for 2 hours")</f>
        <v>The problem with right atrial product has reached a good box and well sealed to prevent strokes. The problem I've had is that the headset right to occasionally stop and listen. It is very uncomfortable and I proceeded to return. Hear quite well but I've tried the Xiaomi and I think it works best in addition to the case is smaller to carry it. The battery charge I could not prove their duration for the short time that I had but I have not had any problems for 2 hours</v>
      </c>
    </row>
    <row r="1668">
      <c r="A1668" s="1">
        <v>3.0</v>
      </c>
      <c r="B1668" s="1" t="s">
        <v>1659</v>
      </c>
      <c r="C1668" t="str">
        <f>IFERROR(__xludf.DUMMYFUNCTION("GOOGLETRANSLATE(B1668, ""es"", ""en"")"),"Value / average price. - While these products usually come without the ability to advertise, buy one 64GB of which only 55 were real, I think losing 9GB down the road is abusive. - Regarding the speed does not reach the announced, but it shows the change "&amp;"from the 2.0 - I bought the product for an offer, so for what I paid'm satisfied. I recommend it if you find another offer some € recess.")</f>
        <v>Value / average price. - While these products usually come without the ability to advertise, buy one 64GB of which only 55 were real, I think losing 9GB down the road is abusive. - Regarding the speed does not reach the announced, but it shows the change from the 2.0 - I bought the product for an offer, so for what I paid'm satisfied. I recommend it if you find another offer some € recess.</v>
      </c>
    </row>
    <row r="1669">
      <c r="A1669" s="1">
        <v>1.0</v>
      </c>
      <c r="B1669" s="1" t="s">
        <v>1660</v>
      </c>
      <c r="C1669" t="str">
        <f>IFERROR(__xludf.DUMMYFUNCTION("GOOGLETRANSLATE(B1669, ""es"", ""en"")"),"POOR QUALITY The slippers have put me twice and have gone pellets inside, which cost 54 euros for the poor quality of the product. Outrageous.")</f>
        <v>POOR QUALITY The slippers have put me twice and have gone pellets inside, which cost 54 euros for the poor quality of the product. Outrageous.</v>
      </c>
    </row>
    <row r="1670">
      <c r="A1670" s="1">
        <v>1.0</v>
      </c>
      <c r="B1670" s="1" t="s">
        <v>1661</v>
      </c>
      <c r="C1670" t="str">
        <f>IFERROR(__xludf.DUMMYFUNCTION("GOOGLETRANSLATE(B1670, ""es"", ""en"")"),"Nefarious buy !!! A chestnut !!! I bought 2 cards and 2 have been broken and I lost everything I had recorded. I do not recommend the product at all. I do not understand how a brand like Samsung can make things so bad.")</f>
        <v>Nefarious buy !!! A chestnut !!! I bought 2 cards and 2 have been broken and I lost everything I had recorded. I do not recommend the product at all. I do not understand how a brand like Samsung can make things so bad.</v>
      </c>
    </row>
    <row r="1671">
      <c r="A1671" s="1">
        <v>1.0</v>
      </c>
      <c r="B1671" s="1" t="s">
        <v>1662</v>
      </c>
      <c r="C1671" t="str">
        <f>IFERROR(__xludf.DUMMYFUNCTION("GOOGLETRANSLATE(B1671, ""es"", ""en"")"),"Much Ado noisily even lowering the entry level, I use very little and will finish putting it in a drawer, or selling")</f>
        <v>Much Ado noisily even lowering the entry level, I use very little and will finish putting it in a drawer, or selling</v>
      </c>
    </row>
    <row r="1672">
      <c r="A1672" s="1">
        <v>4.0</v>
      </c>
      <c r="B1672" s="1" t="s">
        <v>1663</v>
      </c>
      <c r="C1672" t="str">
        <f>IFERROR(__xludf.DUMMYFUNCTION("GOOGLETRANSLATE(B1672, ""es"", ""en"")"),"I broke the good sound that brought my note 8 to buy again, we hear quite well")</f>
        <v>I broke the good sound that brought my note 8 to buy again, we hear quite well</v>
      </c>
    </row>
    <row r="1673">
      <c r="A1673" s="1">
        <v>4.0</v>
      </c>
      <c r="B1673" s="1" t="s">
        <v>1664</v>
      </c>
      <c r="C1673" t="str">
        <f>IFERROR(__xludf.DUMMYFUNCTION("GOOGLETRANSLATE(B1673, ""es"", ""en"")"),"Good quality and price In principle, the material is good, wiring is also reinforced it has. The sound is good and quality. I've also been fortunate to chance of q I will send 6 pairs of viscoescolásticas pads. Q I hope is true")</f>
        <v>Good quality and price In principle, the material is good, wiring is also reinforced it has. The sound is good and quality. I've also been fortunate to chance of q I will send 6 pairs of viscoescolásticas pads. Q I hope is true</v>
      </c>
    </row>
    <row r="1674">
      <c r="A1674" s="1">
        <v>4.0</v>
      </c>
      <c r="B1674" s="1" t="s">
        <v>1665</v>
      </c>
      <c r="C1674" t="str">
        <f>IFERROR(__xludf.DUMMYFUNCTION("GOOGLETRANSLATE(B1674, ""es"", ""en"")"),"Very comfortable and last long battery Hi, about three weeks ago to buy it and so far very happy with it. They are comfortable, not invasive. They hear very well and the battery lasts long. In fact I have not yet loaded with cargo that came with helmets h"&amp;"ave seen since an entire season of a series and the occasional movie and as I said I have not yet had to bear. also they bring a case to have it picked up. Against that turn on or turn off the voice that speaks to you it does in English. I recommend it.")</f>
        <v>Very comfortable and last long battery Hi, about three weeks ago to buy it and so far very happy with it. They are comfortable, not invasive. They hear very well and the battery lasts long. In fact I have not yet loaded with cargo that came with helmets have seen since an entire season of a series and the occasional movie and as I said I have not yet had to bear. also they bring a case to have it picked up. Against that turn on or turn off the voice that speaks to you it does in English. I recommend it.</v>
      </c>
    </row>
    <row r="1675">
      <c r="A1675" s="1">
        <v>4.0</v>
      </c>
      <c r="B1675" s="1" t="s">
        <v>1666</v>
      </c>
      <c r="C1675" t="str">
        <f>IFERROR(__xludf.DUMMYFUNCTION("GOOGLETRANSLATE(B1675, ""es"", ""en"")"),"They serve right jogging paths. If you're starting with runingen track it. To pádel I have not tried. They adapt well to foot.")</f>
        <v>They serve right jogging paths. If you're starting with runingen track it. To pádel I have not tried. They adapt well to foot.</v>
      </c>
    </row>
    <row r="1676">
      <c r="A1676" s="1">
        <v>5.0</v>
      </c>
      <c r="B1676" s="1" t="s">
        <v>1667</v>
      </c>
      <c r="C1676" t="str">
        <f>IFERROR(__xludf.DUMMYFUNCTION("GOOGLETRANSLATE(B1676, ""es"", ""en"")"),"Best magnifying glasses to work at a great price I had 3 different models elmenos magnifying glasses to work and these are definitely the best. They're very comfortable, used to paint miniatures and I can be with them you put more than one uninterrupted h"&amp;"our. They come with five lenses, the difference is very noticeable increase between each other and use virtually every function of the detail you want to perform, the lenses are placed and removed easily, you could change with one hand lenses come -The in"&amp;" a practical transparent plastic box and bag included for transporting glasses (too small for my taste) 2 adjustable front leds they've got angled regardless of the angle of the lens -aesthetically they are the most beautiful of all that I have had")</f>
        <v>Best magnifying glasses to work at a great price I had 3 different models elmenos magnifying glasses to work and these are definitely the best. They're very comfortable, used to paint miniatures and I can be with them you put more than one uninterrupted hour. They come with five lenses, the difference is very noticeable increase between each other and use virtually every function of the detail you want to perform, the lenses are placed and removed easily, you could change with one hand lenses come -The in a practical transparent plastic box and bag included for transporting glasses (too small for my taste) 2 adjustable front leds they've got angled regardless of the angle of the lens -aesthetically they are the most beautiful of all that I have had</v>
      </c>
    </row>
    <row r="1677">
      <c r="A1677" s="1">
        <v>5.0</v>
      </c>
      <c r="B1677" s="1" t="s">
        <v>1668</v>
      </c>
      <c r="C1677" t="str">
        <f>IFERROR(__xludf.DUMMYFUNCTION("GOOGLETRANSLATE(B1677, ""es"", ""en"")"),"The best is all perfect !! is quite large and lots of cream comes every perfect")</f>
        <v>The best is all perfect !! is quite large and lots of cream comes every perfect</v>
      </c>
    </row>
    <row r="1678">
      <c r="A1678" s="1">
        <v>5.0</v>
      </c>
      <c r="B1678" s="1" t="s">
        <v>1669</v>
      </c>
      <c r="C1678" t="str">
        <f>IFERROR(__xludf.DUMMYFUNCTION("GOOGLETRANSLATE(B1678, ""es"", ""en"")"),"Perfect and original. Perfect. They are the originals. Very comfortable. They arrived correctly and on time, and that was my holiday address.")</f>
        <v>Perfect and original. Perfect. They are the originals. Very comfortable. They arrived correctly and on time, and that was my holiday address.</v>
      </c>
    </row>
    <row r="1679">
      <c r="A1679" s="1">
        <v>5.0</v>
      </c>
      <c r="B1679" s="1" t="s">
        <v>1670</v>
      </c>
      <c r="C1679" t="str">
        <f>IFERROR(__xludf.DUMMYFUNCTION("GOOGLETRANSLATE(B1679, ""es"", ""en"")"),"Ideal definitely repeat very quickly in warm, very original vintage design style.")</f>
        <v>Ideal definitely repeat very quickly in warm, very original vintage design style.</v>
      </c>
    </row>
    <row r="1680">
      <c r="A1680" s="1">
        <v>5.0</v>
      </c>
      <c r="B1680" s="1" t="s">
        <v>1671</v>
      </c>
      <c r="C1680" t="str">
        <f>IFERROR(__xludf.DUMMYFUNCTION("GOOGLETRANSLATE(B1680, ""es"", ""en"")"),"Good quality Great")</f>
        <v>Good quality Great</v>
      </c>
    </row>
    <row r="1681">
      <c r="A1681" s="1">
        <v>5.0</v>
      </c>
      <c r="B1681" s="1" t="s">
        <v>1672</v>
      </c>
      <c r="C1681" t="str">
        <f>IFERROR(__xludf.DUMMYFUNCTION("GOOGLETRANSLATE(B1681, ""es"", ""en"")"),"Buy excellent product excellent, classic and good quality.")</f>
        <v>Buy excellent product excellent, classic and good quality.</v>
      </c>
    </row>
    <row r="1682">
      <c r="A1682" s="1">
        <v>5.0</v>
      </c>
      <c r="B1682" s="1" t="s">
        <v>1673</v>
      </c>
      <c r="C1682" t="str">
        <f>IFERROR(__xludf.DUMMYFUNCTION("GOOGLETRANSLATE(B1682, ""es"", ""en"")"),"Zapas The sizes are small, eye. I ordered a 8-1 / 2 but actually is more a 8")</f>
        <v>Zapas The sizes are small, eye. I ordered a 8-1 / 2 but actually is more a 8</v>
      </c>
    </row>
    <row r="1683">
      <c r="A1683" s="1">
        <v>5.0</v>
      </c>
      <c r="B1683" s="1" t="s">
        <v>1674</v>
      </c>
      <c r="C1683" t="str">
        <f>IFERROR(__xludf.DUMMYFUNCTION("GOOGLETRANSLATE(B1683, ""es"", ""en"")"),"Very good. This humidifier is great, big boy and is plastic but has a very very good look. Functions more or less steam is very good and light options too. Odors depends on the oils you use, some smell and last longer than others, but the humidifier works"&amp;" great. For me it is better not spot or splashes anything or leave marks on furniture like other humidifiers. I was very surprised for good, therefore, that the next week I bought another. I would definitely recommend.")</f>
        <v>Very good. This humidifier is great, big boy and is plastic but has a very very good look. Functions more or less steam is very good and light options too. Odors depends on the oils you use, some smell and last longer than others, but the humidifier works great. For me it is better not spot or splashes anything or leave marks on furniture like other humidifiers. I was very surprised for good, therefore, that the next week I bought another. I would definitely recommend.</v>
      </c>
    </row>
    <row r="1684">
      <c r="A1684" s="1">
        <v>5.0</v>
      </c>
      <c r="B1684" s="1" t="s">
        <v>1675</v>
      </c>
      <c r="C1684" t="str">
        <f>IFERROR(__xludf.DUMMYFUNCTION("GOOGLETRANSLATE(B1684, ""es"", ""en"")"),"I lijeros they are and sound quality and durability of the I battery have loved headphones since they relate virtually alone have very good sound quality and can use both the two together as one single ideal for music listening or answer calls that is wha"&amp;"t I use and are great because you can hang up and pick from one headset even raise or lower the sound or move songs by touching them. Besides the base that came with your FUNDIT transport and only charge once the base for various loads have headphones, we"&amp;" think soon buy another for my wife")</f>
        <v>I lijeros they are and sound quality and durability of the I battery have loved headphones since they relate virtually alone have very good sound quality and can use both the two together as one single ideal for music listening or answer calls that is what I use and are great because you can hang up and pick from one headset even raise or lower the sound or move songs by touching them. Besides the base that came with your FUNDIT transport and only charge once the base for various loads have headphones, we think soon buy another for my wife</v>
      </c>
    </row>
    <row r="1685">
      <c r="A1685" s="1">
        <v>5.0</v>
      </c>
      <c r="B1685" s="1" t="s">
        <v>1676</v>
      </c>
      <c r="C1685" t="str">
        <f>IFERROR(__xludf.DUMMYFUNCTION("GOOGLETRANSLATE(B1685, ""es"", ""en"")"),"Very good quality great after many users still clean, easy-clean fabric")</f>
        <v>Very good quality great after many users still clean, easy-clean fabric</v>
      </c>
    </row>
    <row r="1686">
      <c r="A1686" s="1">
        <v>5.0</v>
      </c>
      <c r="B1686" s="1" t="s">
        <v>1677</v>
      </c>
      <c r="C1686" t="str">
        <f>IFERROR(__xludf.DUMMYFUNCTION("GOOGLETRANSLATE(B1686, ""es"", ""en"")"),"Very nice Perfect")</f>
        <v>Very nice Perfect</v>
      </c>
    </row>
    <row r="1687">
      <c r="A1687" s="1">
        <v>5.0</v>
      </c>
      <c r="B1687" s="1" t="s">
        <v>1678</v>
      </c>
      <c r="C1687" t="str">
        <f>IFERROR(__xludf.DUMMYFUNCTION("GOOGLETRANSLATE(B1687, ""es"", ""en"")"),"This would have loved white liked him and is perfect size, very comfortable. I bought another black of the same size but is somewhat smaller.")</f>
        <v>This would have loved white liked him and is perfect size, very comfortable. I bought another black of the same size but is somewhat smaller.</v>
      </c>
    </row>
    <row r="1688">
      <c r="A1688" s="1">
        <v>5.0</v>
      </c>
      <c r="B1688" s="1" t="s">
        <v>1679</v>
      </c>
      <c r="C1688" t="str">
        <f>IFERROR(__xludf.DUMMYFUNCTION("GOOGLETRANSLATE(B1688, ""es"", ""en"")"),"Great Very nice I've caught a girl of 10 years old and very happy. I will ask for 2 more one for me. He arrived early.")</f>
        <v>Great Very nice I've caught a girl of 10 years old and very happy. I will ask for 2 more one for me. He arrived early.</v>
      </c>
    </row>
    <row r="1689">
      <c r="A1689" s="1">
        <v>5.0</v>
      </c>
      <c r="B1689" s="1" t="s">
        <v>1680</v>
      </c>
      <c r="C1689" t="str">
        <f>IFERROR(__xludf.DUMMYFUNCTION("GOOGLETRANSLATE(B1689, ""es"", ""en"")"),"Perfect passes PSP Buy this disc to expand domestic PSP, works perfectly in small, 100 x 100 compatible.Calidad very good price.")</f>
        <v>Perfect passes PSP Buy this disc to expand domestic PSP, works perfectly in small, 100 x 100 compatible.Calidad very good price.</v>
      </c>
    </row>
    <row r="1690">
      <c r="A1690" s="1">
        <v>5.0</v>
      </c>
      <c r="B1690" s="1" t="s">
        <v>1681</v>
      </c>
      <c r="C1690" t="str">
        <f>IFERROR(__xludf.DUMMYFUNCTION("GOOGLETRANSLATE(B1690, ""es"", ""en"")"),"Comfortable Super comfortable, a little small.")</f>
        <v>Comfortable Super comfortable, a little small.</v>
      </c>
    </row>
    <row r="1691">
      <c r="A1691" s="1">
        <v>5.0</v>
      </c>
      <c r="B1691" s="1" t="s">
        <v>1682</v>
      </c>
      <c r="C1691" t="str">
        <f>IFERROR(__xludf.DUMMYFUNCTION("GOOGLETRANSLATE(B1691, ""es"", ""en"")"),"Good buy is a very stylish watch. An ideal gift.")</f>
        <v>Good buy is a very stylish watch. An ideal gift.</v>
      </c>
    </row>
    <row r="1692">
      <c r="A1692" s="1">
        <v>5.0</v>
      </c>
      <c r="B1692" s="1" t="s">
        <v>1683</v>
      </c>
      <c r="C1692" t="str">
        <f>IFERROR(__xludf.DUMMYFUNCTION("GOOGLETRANSLATE(B1692, ""es"", ""en"")"),"The expected product came slippers expected color, it is the converse true and it shows in the quality and in the shaping that matches that can prove at any store, but are at best price.")</f>
        <v>The expected product came slippers expected color, it is the converse true and it shows in the quality and in the shaping that matches that can prove at any store, but are at best price.</v>
      </c>
    </row>
    <row r="1693">
      <c r="A1693" s="1">
        <v>5.0</v>
      </c>
      <c r="B1693" s="1" t="s">
        <v>1684</v>
      </c>
      <c r="C1693" t="str">
        <f>IFERROR(__xludf.DUMMYFUNCTION("GOOGLETRANSLATE(B1693, ""es"", ""en"")"),"Perfect perfect fit with my micro Rode and filters out pretty well for the price it has. Recommended if you do not want to overspend")</f>
        <v>Perfect perfect fit with my micro Rode and filters out pretty well for the price it has. Recommended if you do not want to overspend</v>
      </c>
    </row>
    <row r="1694">
      <c r="A1694" s="1">
        <v>5.0</v>
      </c>
      <c r="B1694" s="1" t="s">
        <v>1685</v>
      </c>
      <c r="C1694" t="str">
        <f>IFERROR(__xludf.DUMMYFUNCTION("GOOGLETRANSLATE(B1694, ""es"", ""en"")"),"Great headphones are by far the best wireless headphones I've tested plus plus charger using them every few days 3 hours and has not even reached 50% base")</f>
        <v>Great headphones are by far the best wireless headphones I've tested plus plus charger using them every few days 3 hours and has not even reached 50% base</v>
      </c>
    </row>
    <row r="1695">
      <c r="A1695" s="1">
        <v>2.0</v>
      </c>
      <c r="B1695" s="1" t="s">
        <v>1686</v>
      </c>
      <c r="C1695" t="str">
        <f>IFERROR(__xludf.DUMMYFUNCTION("GOOGLETRANSLATE(B1695, ""es"", ""en"")"),"To us it was not good we returned the product. Expected aromatherapy apparatus but the fact is that aromatizaba very, very little despite checking enough droplets essence. In addition, the water leaked out of the container and wet the furniture where it w"&amp;"as located.")</f>
        <v>To us it was not good we returned the product. Expected aromatherapy apparatus but the fact is that aromatizaba very, very little despite checking enough droplets essence. In addition, the water leaked out of the container and wet the furniture where it was located.</v>
      </c>
    </row>
    <row r="1696">
      <c r="A1696" s="1">
        <v>3.0</v>
      </c>
      <c r="B1696" s="1" t="s">
        <v>1687</v>
      </c>
      <c r="C1696" t="str">
        <f>IFERROR(__xludf.DUMMYFUNCTION("GOOGLETRANSLATE(B1696, ""es"", ""en"")"),"Long and comfortable with pocket")</f>
        <v>Long and comfortable with pocket</v>
      </c>
    </row>
    <row r="1697">
      <c r="A1697" s="1">
        <v>3.0</v>
      </c>
      <c r="B1697" s="1" t="s">
        <v>1688</v>
      </c>
      <c r="C1697" t="str">
        <f>IFERROR(__xludf.DUMMYFUNCTION("GOOGLETRANSLATE(B1697, ""es"", ""en"")"),"Scant information I asked you if the product were gloss or matte, matte told me today to perform work for the restaurant, which is open the package and are ..... SHINE ... it would be good to questioning or in it is well detailed specifications as it is a"&amp;"n important part besides the micron number, etc ...")</f>
        <v>Scant information I asked you if the product were gloss or matte, matte told me today to perform work for the restaurant, which is open the package and are ..... SHINE ... it would be good to questioning or in it is well detailed specifications as it is an important part besides the micron number, etc ...</v>
      </c>
    </row>
    <row r="1698">
      <c r="A1698" s="1">
        <v>1.0</v>
      </c>
      <c r="B1698" s="1" t="s">
        <v>1689</v>
      </c>
      <c r="C1698" t="str">
        <f>IFERROR(__xludf.DUMMYFUNCTION("GOOGLETRANSLATE(B1698, ""es"", ""en"")"),"not worth No aseguararlo pin for the suitcase")</f>
        <v>not worth No aseguararlo pin for the suitcase</v>
      </c>
    </row>
    <row r="1699">
      <c r="A1699" s="1">
        <v>1.0</v>
      </c>
      <c r="B1699" s="1" t="s">
        <v>1690</v>
      </c>
      <c r="C1699" t="str">
        <f>IFERROR(__xludf.DUMMYFUNCTION("GOOGLETRANSLATE(B1699, ""es"", ""en"")"),"Material weak low quality It feels sturdy and durable, but buy it in June 2015 and today 22 March 2016 has finally died, yet had already been causing problems extractable arm for three months, I think it's pretty loose because giving it a barely noticeabl"&amp;"e use has not reached last even a year.")</f>
        <v>Material weak low quality It feels sturdy and durable, but buy it in June 2015 and today 22 March 2016 has finally died, yet had already been causing problems extractable arm for three months, I think it's pretty loose because giving it a barely noticeable use has not reached last even a year.</v>
      </c>
    </row>
    <row r="1700">
      <c r="A1700" s="1">
        <v>4.0</v>
      </c>
      <c r="B1700" s="1" t="s">
        <v>1691</v>
      </c>
      <c r="C1700" t="str">
        <f>IFERROR(__xludf.DUMMYFUNCTION("GOOGLETRANSLATE(B1700, ""es"", ""en"")"),"It corresponds to the picture good buy casio watches have always the lasted me many years, and this with the golden sphere has a twist at a great price. That if the package came wrapped in a very bad way.")</f>
        <v>It corresponds to the picture good buy casio watches have always the lasted me many years, and this with the golden sphere has a twist at a great price. That if the package came wrapped in a very bad way.</v>
      </c>
    </row>
    <row r="1701">
      <c r="A1701" s="1">
        <v>4.0</v>
      </c>
      <c r="B1701" s="1" t="s">
        <v>1692</v>
      </c>
      <c r="C1701" t="str">
        <f>IFERROR(__xludf.DUMMYFUNCTION("GOOGLETRANSLATE(B1701, ""es"", ""en"")"),"I like practical plastic filing separate documentation such plastic cabinets. The colors help me remember the content but also usually let the first sheet that tells me is the content. With these it is more difficult because they are somewhat less translu"&amp;"cent.")</f>
        <v>I like practical plastic filing separate documentation such plastic cabinets. The colors help me remember the content but also usually let the first sheet that tells me is the content. With these it is more difficult because they are somewhat less translucent.</v>
      </c>
    </row>
    <row r="1702">
      <c r="A1702" s="1">
        <v>4.0</v>
      </c>
      <c r="B1702" s="1" t="s">
        <v>1693</v>
      </c>
      <c r="C1702" t="str">
        <f>IFERROR(__xludf.DUMMYFUNCTION("GOOGLETRANSLATE(B1702, ""es"", ""en"")"),"Great value for money I bought it to take a trip to the hotel pq q we were going was just breakfast and did not know if they had a kettle for tea or to heat water for soup at night. I was delighted, has met growing my expectativad, but consider q q is onl"&amp;"y for heating water and not very large quantities. I used to heat two cups of water. Also no space in the suitcase, I only had hand luggage, so I needed something small q. As a drawback, it has no on-off switch and no q q be careful where you leave it aft"&amp;"er use because it has no support and remains hot a few minutes. For the rest, great. Without a doubt recommend it for short trips.")</f>
        <v>Great value for money I bought it to take a trip to the hotel pq q we were going was just breakfast and did not know if they had a kettle for tea or to heat water for soup at night. I was delighted, has met growing my expectativad, but consider q q is only for heating water and not very large quantities. I used to heat two cups of water. Also no space in the suitcase, I only had hand luggage, so I needed something small q. As a drawback, it has no on-off switch and no q q be careful where you leave it after use because it has no support and remains hot a few minutes. For the rest, great. Without a doubt recommend it for short trips.</v>
      </c>
    </row>
    <row r="1703">
      <c r="A1703" s="1">
        <v>4.0</v>
      </c>
      <c r="B1703" s="1" t="s">
        <v>1694</v>
      </c>
      <c r="C1703" t="str">
        <f>IFERROR(__xludf.DUMMYFUNCTION("GOOGLETRANSLATE(B1703, ""es"", ""en"")"),"Good, nice, cheap price For k has is great")</f>
        <v>Good, nice, cheap price For k has is great</v>
      </c>
    </row>
    <row r="1704">
      <c r="A1704" s="1">
        <v>4.0</v>
      </c>
      <c r="B1704" s="1" t="s">
        <v>1695</v>
      </c>
      <c r="C1704" t="str">
        <f>IFERROR(__xludf.DUMMYFUNCTION("GOOGLETRANSLATE(B1704, ""es"", ""en"")"),"Meets ... was more or less what I expected based on other reviews, value very, very interesting, and meets more than enough for what I need ...")</f>
        <v>Meets ... was more or less what I expected based on other reviews, value very, very interesting, and meets more than enough for what I need ...</v>
      </c>
    </row>
    <row r="1705">
      <c r="A1705" s="1">
        <v>5.0</v>
      </c>
      <c r="B1705" s="1" t="s">
        <v>1696</v>
      </c>
      <c r="C1705" t="str">
        <f>IFERROR(__xludf.DUMMYFUNCTION("GOOGLETRANSLATE(B1705, ""es"", ""en"")"),"good value A good product as it appears in the photograph and have sent very quickly and in good condition. All perfect.")</f>
        <v>good value A good product as it appears in the photograph and have sent very quickly and in good condition. All perfect.</v>
      </c>
    </row>
    <row r="1706">
      <c r="A1706" s="1">
        <v>5.0</v>
      </c>
      <c r="B1706" s="1" t="s">
        <v>1697</v>
      </c>
      <c r="C1706" t="str">
        <f>IFERROR(__xludf.DUMMYFUNCTION("GOOGLETRANSLATE(B1706, ""es"", ""en"")"),"My old laptop turned 2011 into a fast computer current Lately, my old laptop was asking a relay. When driving multiple PDF's very heavy at the same time, it took to charge me the views of the pages. And the start took 2 minutes spent. I I cloned the drive"&amp;" directly, without plantearme reinstall the entire operating system and programs at enfarragoso of the subject, and to check whether the speed gain was real or simply derived from a clean operating system. Now the same computer starts up in 40 seconds and"&amp;" use the same files at full speed. I've even lost the habit of leaving your computer without shutting down laziness that led me to have it start every time. I'm so happy with the result and now I wont change the computer. At the time, I expanded RAM to 4G"&amp;"b 2Gb, and change I noticed was minimal. This has been abysmal, I would recommend to everyone.")</f>
        <v>My old laptop turned 2011 into a fast computer current Lately, my old laptop was asking a relay. When driving multiple PDF's very heavy at the same time, it took to charge me the views of the pages. And the start took 2 minutes spent. I I cloned the drive directly, without plantearme reinstall the entire operating system and programs at enfarragoso of the subject, and to check whether the speed gain was real or simply derived from a clean operating system. Now the same computer starts up in 40 seconds and use the same files at full speed. I've even lost the habit of leaving your computer without shutting down laziness that led me to have it start every time. I'm so happy with the result and now I wont change the computer. At the time, I expanded RAM to 4Gb 2Gb, and change I noticed was minimal. This has been abysmal, I would recommend to everyone.</v>
      </c>
    </row>
    <row r="1707">
      <c r="A1707" s="1">
        <v>5.0</v>
      </c>
      <c r="B1707" s="1" t="s">
        <v>1698</v>
      </c>
      <c r="C1707" t="str">
        <f>IFERROR(__xludf.DUMMYFUNCTION("GOOGLETRANSLATE(B1707, ""es"", ""en"")"),"Great value for money are very comfortable, look great with everything and are very similar to skoool old but being from a lower range. I recommend them completely.")</f>
        <v>Great value for money are very comfortable, look great with everything and are very similar to skoool old but being from a lower range. I recommend them completely.</v>
      </c>
    </row>
    <row r="1708">
      <c r="A1708" s="1">
        <v>5.0</v>
      </c>
      <c r="B1708" s="1" t="s">
        <v>1699</v>
      </c>
      <c r="C1708" t="str">
        <f>IFERROR(__xludf.DUMMYFUNCTION("GOOGLETRANSLATE(B1708, ""es"", ""en"")"),"Value is pretty good, very cool")</f>
        <v>Value is pretty good, very cool</v>
      </c>
    </row>
    <row r="1709">
      <c r="A1709" s="1">
        <v>5.0</v>
      </c>
      <c r="B1709" s="1" t="s">
        <v>1700</v>
      </c>
      <c r="C1709" t="str">
        <f>IFERROR(__xludf.DUMMYFUNCTION("GOOGLETRANSLATE(B1709, ""es"", ""en"")"),"Good product arrived within the time indicated Meets perfectly for my needs")</f>
        <v>Good product arrived within the time indicated Meets perfectly for my needs</v>
      </c>
    </row>
    <row r="1710">
      <c r="A1710" s="1">
        <v>5.0</v>
      </c>
      <c r="B1710" s="1" t="s">
        <v>1701</v>
      </c>
      <c r="C1710" t="str">
        <f>IFERROR(__xludf.DUMMYFUNCTION("GOOGLETRANSLATE(B1710, ""es"", ""en"")"),"Good price and good delivery time meets all my expectativas.Buena purchase.")</f>
        <v>Good price and good delivery time meets all my expectativas.Buena purchase.</v>
      </c>
    </row>
    <row r="1711">
      <c r="A1711" s="1">
        <v>5.0</v>
      </c>
      <c r="B1711" s="1" t="s">
        <v>1702</v>
      </c>
      <c r="C1711" t="str">
        <f>IFERROR(__xludf.DUMMYFUNCTION("GOOGLETRANSLATE(B1711, ""es"", ""en"")"),"They are fur. The classic design.")</f>
        <v>They are fur. The classic design.</v>
      </c>
    </row>
    <row r="1712">
      <c r="A1712" s="1">
        <v>5.0</v>
      </c>
      <c r="B1712" s="1" t="s">
        <v>1703</v>
      </c>
      <c r="C1712" t="str">
        <f>IFERROR(__xludf.DUMMYFUNCTION("GOOGLETRANSLATE(B1712, ""es"", ""en"")"),"Carlos J. Lovely Friar. It does not do justice photograph of the clock to reality, much nicer., Excellent gift. Treatment received and quickly equally excellent.")</f>
        <v>Carlos J. Lovely Friar. It does not do justice photograph of the clock to reality, much nicer., Excellent gift. Treatment received and quickly equally excellent.</v>
      </c>
    </row>
    <row r="1713">
      <c r="A1713" s="1">
        <v>5.0</v>
      </c>
      <c r="B1713" s="1" t="s">
        <v>1704</v>
      </c>
      <c r="C1713" t="str">
        <f>IFERROR(__xludf.DUMMYFUNCTION("GOOGLETRANSLATE(B1713, ""es"", ""en"")"),"Right very comfortable and light to be at home.")</f>
        <v>Right very comfortable and light to be at home.</v>
      </c>
    </row>
    <row r="1714">
      <c r="A1714" s="1">
        <v>5.0</v>
      </c>
      <c r="B1714" s="1" t="s">
        <v>1705</v>
      </c>
      <c r="C1714" t="str">
        <f>IFERROR(__xludf.DUMMYFUNCTION("GOOGLETRANSLATE(B1714, ""es"", ""en"")"),"Not bad looks good and it works as it should, at this price ZERO freckles.")</f>
        <v>Not bad looks good and it works as it should, at this price ZERO freckles.</v>
      </c>
    </row>
    <row r="1715">
      <c r="A1715" s="1">
        <v>5.0</v>
      </c>
      <c r="B1715" s="1" t="s">
        <v>1706</v>
      </c>
      <c r="C1715" t="str">
        <f>IFERROR(__xludf.DUMMYFUNCTION("GOOGLETRANSLATE(B1715, ""es"", ""en"")"),"Are chulas was a gift for my guy, you caught plus a number of commonly used pq which has fairly wide foot and did bien.asinque if ye walk anchote not go wrong another number")</f>
        <v>Are chulas was a gift for my guy, you caught plus a number of commonly used pq which has fairly wide foot and did bien.asinque if ye walk anchote not go wrong another number</v>
      </c>
    </row>
    <row r="1716">
      <c r="A1716" s="1">
        <v>5.0</v>
      </c>
      <c r="B1716" s="1" t="s">
        <v>1707</v>
      </c>
      <c r="C1716" t="str">
        <f>IFERROR(__xludf.DUMMYFUNCTION("GOOGLETRANSLATE(B1716, ""es"", ""en"")"),"Soft corresponds exactly to normal size, and very warm")</f>
        <v>Soft corresponds exactly to normal size, and very warm</v>
      </c>
    </row>
    <row r="1717">
      <c r="A1717" s="1">
        <v>5.0</v>
      </c>
      <c r="B1717" s="1" t="s">
        <v>1708</v>
      </c>
      <c r="C1717" t="str">
        <f>IFERROR(__xludf.DUMMYFUNCTION("GOOGLETRANSLATE(B1717, ""es"", ""en"")"),"Warm blanket is a practical and easy folding electric blanket or put in difficult positions. You have several options for heating power. Regarding the size is medium to lumbar area that serves my case perfectly. Happy moment.")</f>
        <v>Warm blanket is a practical and easy folding electric blanket or put in difficult positions. You have several options for heating power. Regarding the size is medium to lumbar area that serves my case perfectly. Happy moment.</v>
      </c>
    </row>
    <row r="1718">
      <c r="A1718" s="1">
        <v>5.0</v>
      </c>
      <c r="B1718" s="1" t="s">
        <v>1709</v>
      </c>
      <c r="C1718" t="str">
        <f>IFERROR(__xludf.DUMMYFUNCTION("GOOGLETRANSLATE(B1718, ""es"", ""en"")"),"Perfect size Just what I expected and needed")</f>
        <v>Perfect size Just what I expected and needed</v>
      </c>
    </row>
    <row r="1719">
      <c r="A1719" s="1">
        <v>5.0</v>
      </c>
      <c r="B1719" s="1" t="s">
        <v>1710</v>
      </c>
      <c r="C1719" t="str">
        <f>IFERROR(__xludf.DUMMYFUNCTION("GOOGLETRANSLATE(B1719, ""es"", ""en"")"),"Comfortable race'm preparing a half marathon and long distances often disturbing sweatshirts somewhere, I particularly bother me at the nipples. I tried the compression shirts and do not bother anything, they adapt so well to the torso that carry no notes"&amp;". Specifically buy this brand because he knew see her Amazon and the truth is it has been a total success. It is simple, inexpensive and adapts well to the body. I asked for size L, Mido 1.85kg and me is perfect. In addition, the red and black colors I lo"&amp;"ve, give me career aerodynamics recommend this shirt lol")</f>
        <v>Comfortable race'm preparing a half marathon and long distances often disturbing sweatshirts somewhere, I particularly bother me at the nipples. I tried the compression shirts and do not bother anything, they adapt so well to the torso that carry no notes. Specifically buy this brand because he knew see her Amazon and the truth is it has been a total success. It is simple, inexpensive and adapts well to the body. I asked for size L, Mido 1.85kg and me is perfect. In addition, the red and black colors I love, give me career aerodynamics recommend this shirt lol</v>
      </c>
    </row>
    <row r="1720">
      <c r="A1720" s="1">
        <v>5.0</v>
      </c>
      <c r="B1720" s="1" t="s">
        <v>1711</v>
      </c>
      <c r="C1720" t="str">
        <f>IFERROR(__xludf.DUMMYFUNCTION("GOOGLETRANSLATE(B1720, ""es"", ""en"")"),"Very good Good color and length as all this brand")</f>
        <v>Very good Good color and length as all this brand</v>
      </c>
    </row>
    <row r="1721">
      <c r="A1721" s="1">
        <v>5.0</v>
      </c>
      <c r="B1721" s="1" t="s">
        <v>1712</v>
      </c>
      <c r="C1721" t="str">
        <f>IFERROR(__xludf.DUMMYFUNCTION("GOOGLETRANSLATE(B1721, ""es"", ""en"")"),"As I waited. Nice sweatshirt and a great quality at a great price, the brand does not disappoint, is the second that I buy.")</f>
        <v>As I waited. Nice sweatshirt and a great quality at a great price, the brand does not disappoint, is the second that I buy.</v>
      </c>
    </row>
    <row r="1722">
      <c r="A1722" s="1">
        <v>5.0</v>
      </c>
      <c r="B1722" s="1" t="s">
        <v>1713</v>
      </c>
      <c r="C1722" t="str">
        <f>IFERROR(__xludf.DUMMYFUNCTION("GOOGLETRANSLATE(B1722, ""es"", ""en"")"),"Dan Salomon expected in little size, but as we knew were right. super grip")</f>
        <v>Dan Salomon expected in little size, but as we knew were right. super grip</v>
      </c>
    </row>
    <row r="1723">
      <c r="A1723" s="1">
        <v>5.0</v>
      </c>
      <c r="B1723" s="1" t="s">
        <v>1714</v>
      </c>
      <c r="C1723" t="str">
        <f>IFERROR(__xludf.DUMMYFUNCTION("GOOGLETRANSLATE(B1723, ""es"", ""en"")"),"Good product came quickly but it works very well.")</f>
        <v>Good product came quickly but it works very well.</v>
      </c>
    </row>
    <row r="1724">
      <c r="A1724" s="1">
        <v>2.0</v>
      </c>
      <c r="B1724" s="1" t="s">
        <v>1715</v>
      </c>
      <c r="C1724" t="str">
        <f>IFERROR(__xludf.DUMMYFUNCTION("GOOGLETRANSLATE(B1724, ""es"", ""en"")"),"It was earrings gift Mother's Day, but are a bit small would have to have put the size because they are a bit small, but very nice")</f>
        <v>It was earrings gift Mother's Day, but are a bit small would have to have put the size because they are a bit small, but very nice</v>
      </c>
    </row>
    <row r="1725">
      <c r="A1725" s="1">
        <v>3.0</v>
      </c>
      <c r="B1725" s="1" t="s">
        <v>1716</v>
      </c>
      <c r="C1725" t="str">
        <f>IFERROR(__xludf.DUMMYFUNCTION("GOOGLETRANSLATE(B1725, ""es"", ""en"")"),"Does not eliminate imperfections Dry beans")</f>
        <v>Does not eliminate imperfections Dry beans</v>
      </c>
    </row>
    <row r="1726">
      <c r="A1726" s="1">
        <v>3.0</v>
      </c>
      <c r="B1726" s="1" t="s">
        <v>1717</v>
      </c>
      <c r="C1726" t="str">
        <f>IFERROR(__xludf.DUMMYFUNCTION("GOOGLETRANSLATE(B1726, ""es"", ""en"")"),"Very cool but it fails slip very cool. The downside is that not wearing slip, only 4 small sponges of hits that put the mouse depends on how it is paticoja makes the mat .. Should I bring something better")</f>
        <v>Very cool but it fails slip very cool. The downside is that not wearing slip, only 4 small sponges of hits that put the mouse depends on how it is paticoja makes the mat .. Should I bring something better</v>
      </c>
    </row>
    <row r="1727">
      <c r="A1727" s="1">
        <v>1.0</v>
      </c>
      <c r="B1727" s="1" t="s">
        <v>1718</v>
      </c>
      <c r="C1727" t="str">
        <f>IFERROR(__xludf.DUMMYFUNCTION("GOOGLETRANSLATE(B1727, ""es"", ""en"")"),"Sketchy not get full I miss a stopper")</f>
        <v>Sketchy not get full I miss a stopper</v>
      </c>
    </row>
    <row r="1728">
      <c r="A1728" s="1">
        <v>1.0</v>
      </c>
      <c r="B1728" s="1" t="s">
        <v>1719</v>
      </c>
      <c r="C1728" t="str">
        <f>IFERROR(__xludf.DUMMYFUNCTION("GOOGLETRANSLATE(B1728, ""es"", ""en"")"),"Sizing fatal, Fatal impossible, size has nothing to do, it's like 4 or 5 smaller numbers. I had to nag because I missed the deadline to return, but painful. Not recommended at all, carvings are a hoax")</f>
        <v>Sizing fatal, Fatal impossible, size has nothing to do, it's like 4 or 5 smaller numbers. I had to nag because I missed the deadline to return, but painful. Not recommended at all, carvings are a hoax</v>
      </c>
    </row>
    <row r="1729">
      <c r="A1729" s="1">
        <v>4.0</v>
      </c>
      <c r="B1729" s="1" t="s">
        <v>1720</v>
      </c>
      <c r="C1729" t="str">
        <f>IFERROR(__xludf.DUMMYFUNCTION("GOOGLETRANSLATE(B1729, ""es"", ""en"")"),"Very practical and easy to clean is very easy to clean, q is appreciated, super silent and not to do virtually no strength to take advantage of the maximum oranges. It is a little big but quickly we have found a place. I recommend it.")</f>
        <v>Very practical and easy to clean is very easy to clean, q is appreciated, super silent and not to do virtually no strength to take advantage of the maximum oranges. It is a little big but quickly we have found a place. I recommend it.</v>
      </c>
    </row>
    <row r="1730">
      <c r="A1730" s="1">
        <v>4.0</v>
      </c>
      <c r="B1730" s="1" t="s">
        <v>1721</v>
      </c>
      <c r="C1730" t="str">
        <f>IFERROR(__xludf.DUMMYFUNCTION("GOOGLETRANSLATE(B1730, ""es"", ""en"")"),"Meets and nothing else should have a more adequate dosing with water marks. Otherwise it fulfills the function entrusted and nothing more")</f>
        <v>Meets and nothing else should have a more adequate dosing with water marks. Otherwise it fulfills the function entrusted and nothing more</v>
      </c>
    </row>
    <row r="1731">
      <c r="A1731" s="1">
        <v>4.0</v>
      </c>
      <c r="B1731" s="1" t="s">
        <v>1722</v>
      </c>
      <c r="C1731" t="str">
        <f>IFERROR(__xludf.DUMMYFUNCTION("GOOGLETRANSLATE(B1731, ""es"", ""en"")"),"Quality but somewhat uncomfortable Very good quality materials and workmanship. 1 star is missing because it is not as comfortable that I would like.")</f>
        <v>Quality but somewhat uncomfortable Very good quality materials and workmanship. 1 star is missing because it is not as comfortable that I would like.</v>
      </c>
    </row>
    <row r="1732">
      <c r="A1732" s="1">
        <v>4.0</v>
      </c>
      <c r="B1732" s="1" t="s">
        <v>1723</v>
      </c>
      <c r="C1732" t="str">
        <f>IFERROR(__xludf.DUMMYFUNCTION("GOOGLETRANSLATE(B1732, ""es"", ""en"")"),"I like convenience and comfort are second")</f>
        <v>I like convenience and comfort are second</v>
      </c>
    </row>
    <row r="1733">
      <c r="A1733" s="1">
        <v>4.0</v>
      </c>
      <c r="B1733" s="1" t="s">
        <v>1724</v>
      </c>
      <c r="C1733" t="str">
        <f>IFERROR(__xludf.DUMMYFUNCTION("GOOGLETRANSLATE(B1733, ""es"", ""en"")"),"Meets expectations Good value for money")</f>
        <v>Meets expectations Good value for money</v>
      </c>
    </row>
    <row r="1734">
      <c r="A1734" s="1">
        <v>5.0</v>
      </c>
      <c r="B1734" s="1" t="s">
        <v>1725</v>
      </c>
      <c r="C1734" t="str">
        <f>IFERROR(__xludf.DUMMYFUNCTION("GOOGLETRANSLATE(B1734, ""es"", ""en"")"),"Very good sound in proportion to the price. Recomendables arrived on the date indicated. The sound is fantastic. If you like music you hear only completely isolated from the noise of the street. comfortable and long cable to get him under clothing or shel"&amp;"ter. I returned because a wireless weighed heavily and fell down the street. I'm delighted. I took three days and hope to use them to last me a long time. Brings three sizes of ear cushions to fit your ears well.")</f>
        <v>Very good sound in proportion to the price. Recomendables arrived on the date indicated. The sound is fantastic. If you like music you hear only completely isolated from the noise of the street. comfortable and long cable to get him under clothing or shelter. I returned because a wireless weighed heavily and fell down the street. I'm delighted. I took three days and hope to use them to last me a long time. Brings three sizes of ear cushions to fit your ears well.</v>
      </c>
    </row>
    <row r="1735">
      <c r="A1735" s="1">
        <v>5.0</v>
      </c>
      <c r="B1735" s="1" t="s">
        <v>1726</v>
      </c>
      <c r="C1735" t="str">
        <f>IFERROR(__xludf.DUMMYFUNCTION("GOOGLETRANSLATE(B1735, ""es"", ""en"")"),"satisfied meets expectations, perfect size and very comfortable From past experience the performance is good, for now, no problems and easy adaptation")</f>
        <v>satisfied meets expectations, perfect size and very comfortable From past experience the performance is good, for now, no problems and easy adaptation</v>
      </c>
    </row>
    <row r="1736">
      <c r="A1736" s="1">
        <v>5.0</v>
      </c>
      <c r="B1736" s="1" t="s">
        <v>1727</v>
      </c>
      <c r="C1736" t="str">
        <f>IFERROR(__xludf.DUMMYFUNCTION("GOOGLETRANSLATE(B1736, ""es"", ""en"")"),"Bureau Bureau")</f>
        <v>Bureau Bureau</v>
      </c>
    </row>
    <row r="1737">
      <c r="A1737" s="1">
        <v>5.0</v>
      </c>
      <c r="B1737" s="1" t="s">
        <v>1728</v>
      </c>
      <c r="C1737" t="str">
        <f>IFERROR(__xludf.DUMMYFUNCTION("GOOGLETRANSLATE(B1737, ""es"", ""en"")"),"Light calculator watch is a very complete watch that does what it says. In addition to the usual functions, it has calculator, making it very functional and comfortable.")</f>
        <v>Light calculator watch is a very complete watch that does what it says. In addition to the usual functions, it has calculator, making it very functional and comfortable.</v>
      </c>
    </row>
    <row r="1738">
      <c r="A1738" s="1">
        <v>5.0</v>
      </c>
      <c r="B1738" s="1" t="s">
        <v>1729</v>
      </c>
      <c r="C1738" t="str">
        <f>IFERROR(__xludf.DUMMYFUNCTION("GOOGLETRANSLATE(B1738, ""es"", ""en"")"),"Well it fulfills its objective Does the job but if you put heavy fruit like banana costs you grind")</f>
        <v>Well it fulfills its objective Does the job but if you put heavy fruit like banana costs you grind</v>
      </c>
    </row>
    <row r="1739">
      <c r="A1739" s="1">
        <v>5.0</v>
      </c>
      <c r="B1739" s="1" t="s">
        <v>1730</v>
      </c>
      <c r="C1739" t="str">
        <f>IFERROR(__xludf.DUMMYFUNCTION("GOOGLETRANSLATE(B1739, ""es"", ""en"")"),"Precious and I have really enjoyed quality, delivery was within a few days. The. They are pending. Very fine and elegant, they shine a lot and have very goog quality. Buy them because I was hanging, and I imagined a few the biggest, but although small is "&amp;"beautiful")</f>
        <v>Precious and I have really enjoyed quality, delivery was within a few days. The. They are pending. Very fine and elegant, they shine a lot and have very goog quality. Buy them because I was hanging, and I imagined a few the biggest, but although small is beautiful</v>
      </c>
    </row>
    <row r="1740">
      <c r="A1740" s="1">
        <v>5.0</v>
      </c>
      <c r="B1740" s="1" t="s">
        <v>1731</v>
      </c>
      <c r="C1740" t="str">
        <f>IFERROR(__xludf.DUMMYFUNCTION("GOOGLETRANSLATE(B1740, ""es"", ""en"")"),"Very good. Both packaging and product quality is very good. Samsung Galaxy placed in a J3 smoothly. Very good buy.")</f>
        <v>Very good. Both packaging and product quality is very good. Samsung Galaxy placed in a J3 smoothly. Very good buy.</v>
      </c>
    </row>
    <row r="1741">
      <c r="A1741" s="1">
        <v>5.0</v>
      </c>
      <c r="B1741" s="1" t="s">
        <v>1732</v>
      </c>
      <c r="C1741" t="str">
        <f>IFERROR(__xludf.DUMMYFUNCTION("GOOGLETRANSLATE(B1741, ""es"", ""en"")"),"This fine is tiny but bully. it's very good")</f>
        <v>This fine is tiny but bully. it's very good</v>
      </c>
    </row>
    <row r="1742">
      <c r="A1742" s="1">
        <v>5.0</v>
      </c>
      <c r="B1742" s="1" t="s">
        <v>1733</v>
      </c>
      <c r="C1742" t="str">
        <f>IFERROR(__xludf.DUMMYFUNCTION("GOOGLETRANSLATE(B1742, ""es"", ""en"")"),"Excellent quality sound and well protected Great sound fits perfectly ergonomic and turn the material is of sufficient quality. I was surprised I had quality packaging and how well-protected arrived. I use it daily and the truth is 10.")</f>
        <v>Excellent quality sound and well protected Great sound fits perfectly ergonomic and turn the material is of sufficient quality. I was surprised I had quality packaging and how well-protected arrived. I use it daily and the truth is 10.</v>
      </c>
    </row>
    <row r="1743">
      <c r="A1743" s="1">
        <v>5.0</v>
      </c>
      <c r="B1743" s="1" t="s">
        <v>1734</v>
      </c>
      <c r="C1743" t="str">
        <f>IFERROR(__xludf.DUMMYFUNCTION("GOOGLETRANSLATE(B1743, ""es"", ""en"")"),"Aesthetically Value insuperable relationship is practically a carbon copy of the Orient Mako 1, the difference is that this is worth 50 euros and 200 ORIENT (without addressing one is stack and the other automatic). Casio detracts from the respect to the "&amp;"Orient ?. absolutely. I have two that I can assure you the impression that it gives you the casio on sight is amazing quality for the price you have. The armys could improve a bit but not be blamed anything for the price it has. The luminova is typical of"&amp;" many more expensive watches (the Orient has not so bright for example), and both the housing and the bezel or screw down crown has a great quality. And I have to re-do stress upon the price because it is the most surprising of all, because the look, feel"&amp;", weight, color of the dial and bezel or the second hand in red, are details of watches more than 200 euros. 10 for Casio.")</f>
        <v>Aesthetically Value insuperable relationship is practically a carbon copy of the Orient Mako 1, the difference is that this is worth 50 euros and 200 ORIENT (without addressing one is stack and the other automatic). Casio detracts from the respect to the Orient ?. absolutely. I have two that I can assure you the impression that it gives you the casio on sight is amazing quality for the price you have. The armys could improve a bit but not be blamed anything for the price it has. The luminova is typical of many more expensive watches (the Orient has not so bright for example), and both the housing and the bezel or screw down crown has a great quality. And I have to re-do stress upon the price because it is the most surprising of all, because the look, feel, weight, color of the dial and bezel or the second hand in red, are details of watches more than 200 euros. 10 for Casio.</v>
      </c>
    </row>
    <row r="1744">
      <c r="A1744" s="1">
        <v>5.0</v>
      </c>
      <c r="B1744" s="1" t="s">
        <v>1735</v>
      </c>
      <c r="C1744" t="str">
        <f>IFERROR(__xludf.DUMMYFUNCTION("GOOGLETRANSLATE(B1744, ""es"", ""en"")"),"It arrived on time arrived on time and was for a gift and I was not disappointed already knew the product but not the provider we were delighted")</f>
        <v>It arrived on time arrived on time and was for a gift and I was not disappointed already knew the product but not the provider we were delighted</v>
      </c>
    </row>
    <row r="1745">
      <c r="A1745" s="1">
        <v>5.0</v>
      </c>
      <c r="B1745" s="1" t="s">
        <v>1736</v>
      </c>
      <c r="C1745" t="str">
        <f>IFERROR(__xludf.DUMMYFUNCTION("GOOGLETRANSLATE(B1745, ""es"", ""en"")"),"Very cool Not wrong at all. It comes with its box, your warranty and everything like that I bought a few years ago in the English court. It is true that is lighter but that for my taste is better")</f>
        <v>Very cool Not wrong at all. It comes with its box, your warranty and everything like that I bought a few years ago in the English court. It is true that is lighter but that for my taste is better</v>
      </c>
    </row>
    <row r="1746">
      <c r="A1746" s="1">
        <v>5.0</v>
      </c>
      <c r="B1746" s="1" t="s">
        <v>1737</v>
      </c>
      <c r="C1746" t="str">
        <f>IFERROR(__xludf.DUMMYFUNCTION("GOOGLETRANSLATE(B1746, ""es"", ""en"")"),"Anti colic really Certainly the best bottles of the market")</f>
        <v>Anti colic really Certainly the best bottles of the market</v>
      </c>
    </row>
    <row r="1747">
      <c r="A1747" s="1">
        <v>5.0</v>
      </c>
      <c r="B1747" s="1" t="s">
        <v>1738</v>
      </c>
      <c r="C1747" t="str">
        <f>IFERROR(__xludf.DUMMYFUNCTION("GOOGLETRANSLATE(B1747, ""es"", ""en"")"),"perfect Cool")</f>
        <v>perfect Cool</v>
      </c>
    </row>
    <row r="1748">
      <c r="A1748" s="1">
        <v>5.0</v>
      </c>
      <c r="B1748" s="1" t="s">
        <v>1739</v>
      </c>
      <c r="C1748" t="str">
        <f>IFERROR(__xludf.DUMMYFUNCTION("GOOGLETRANSLATE(B1748, ""es"", ""en"")"),"Wear TOP already purchased 6 glasses !!! my mother asked me the first time on the recommendation and how well they work are succeeding, use them for crafts and sewing and flipan with them. Excellent buy 👍👌")</f>
        <v>Wear TOP already purchased 6 glasses !!! my mother asked me the first time on the recommendation and how well they work are succeeding, use them for crafts and sewing and flipan with them. Excellent buy 👍👌</v>
      </c>
    </row>
    <row r="1749">
      <c r="A1749" s="1">
        <v>5.0</v>
      </c>
      <c r="B1749" s="1" t="s">
        <v>1740</v>
      </c>
      <c r="C1749" t="str">
        <f>IFERROR(__xludf.DUMMYFUNCTION("GOOGLETRANSLATE(B1749, ""es"", ""en"")"),"Recommended 100% after 8 months of daily use, is like the first day, I'd say that money is the best thing on Amazon, I recommend 100%")</f>
        <v>Recommended 100% after 8 months of daily use, is like the first day, I'd say that money is the best thing on Amazon, I recommend 100%</v>
      </c>
    </row>
    <row r="1750">
      <c r="A1750" s="1">
        <v>5.0</v>
      </c>
      <c r="B1750" s="1" t="s">
        <v>1741</v>
      </c>
      <c r="C1750" t="str">
        <f>IFERROR(__xludf.DUMMYFUNCTION("GOOGLETRANSLATE(B1750, ""es"", ""en"")"),"I use it on my Youtube Channel Very pleased with the results of this lavalier. I use it for two years on my Youtube channel ""Pro edit it"" can see the result in the video below. https://youtu.be/YDngd18dg_o. The only downside is that I took off the paddi"&amp;"ng that brings the micro, probably because of the great use I'm giving you. I would buy. Important: This microphone is ready to use the phone as a recorder because it brings the TRRS connection for smartphones, however if you want to use directly into the"&amp;" camera video / photo or a recorder you will need to buy this adapter TRRS to TRS http://amzn.to/2E98ldb")</f>
        <v>I use it on my Youtube Channel Very pleased with the results of this lavalier. I use it for two years on my Youtube channel "Pro edit it" can see the result in the video below. https://youtu.be/YDngd18dg_o. The only downside is that I took off the padding that brings the micro, probably because of the great use I'm giving you. I would buy. Important: This microphone is ready to use the phone as a recorder because it brings the TRRS connection for smartphones, however if you want to use directly into the camera video / photo or a recorder you will need to buy this adapter TRRS to TRS http://amzn.to/2E98ldb</v>
      </c>
    </row>
    <row r="1751">
      <c r="A1751" s="1">
        <v>5.0</v>
      </c>
      <c r="B1751" s="1" t="s">
        <v>1742</v>
      </c>
      <c r="C1751" t="str">
        <f>IFERROR(__xludf.DUMMYFUNCTION("GOOGLETRANSLATE(B1751, ""es"", ""en"")"),"Perfect for the price I think you get the price you can not ask for much more. Spacious with good interior layout (You can also adjust the size of the compartments coin to your liking wide) mode and closing, opening by manual opening and printer.")</f>
        <v>Perfect for the price I think you get the price you can not ask for much more. Spacious with good interior layout (You can also adjust the size of the compartments coin to your liking wide) mode and closing, opening by manual opening and printer.</v>
      </c>
    </row>
    <row r="1752">
      <c r="A1752" s="1">
        <v>2.0</v>
      </c>
      <c r="B1752" s="1" t="s">
        <v>1743</v>
      </c>
      <c r="C1752" t="str">
        <f>IFERROR(__xludf.DUMMYFUNCTION("GOOGLETRANSLATE(B1752, ""es"", ""en"")"),"Plastic connector does not fit well as USB memory proper operation. The problem is that the connector is not metal is plastic, and a little thicker than normal, so do not go well, have to force (much) to engage and disengage the flash drive. Valid for a v"&amp;"ery specific use. Best other model with the metal connector.")</f>
        <v>Plastic connector does not fit well as USB memory proper operation. The problem is that the connector is not metal is plastic, and a little thicker than normal, so do not go well, have to force (much) to engage and disengage the flash drive. Valid for a very specific use. Best other model with the metal connector.</v>
      </c>
    </row>
    <row r="1753">
      <c r="A1753" s="1">
        <v>3.0</v>
      </c>
      <c r="B1753" s="1" t="s">
        <v>1744</v>
      </c>
      <c r="C1753" t="str">
        <f>IFERROR(__xludf.DUMMYFUNCTION("GOOGLETRANSLATE(B1753, ""es"", ""en"")"),"Meh I can not complain too much because I've bought something less than 6 €, but the speed of reading and writing are unsatisfactory, considering it is a USB 3.0 Kingston brand. Moreover, it shows of good stuff and I like USBs that can hook on my key chai"&amp;"n.")</f>
        <v>Meh I can not complain too much because I've bought something less than 6 €, but the speed of reading and writing are unsatisfactory, considering it is a USB 3.0 Kingston brand. Moreover, it shows of good stuff and I like USBs that can hook on my key chain.</v>
      </c>
    </row>
    <row r="1754">
      <c r="A1754" s="1">
        <v>1.0</v>
      </c>
      <c r="B1754" s="1" t="s">
        <v>1745</v>
      </c>
      <c r="C1754" t="str">
        <f>IFERROR(__xludf.DUMMYFUNCTION("GOOGLETRANSLATE(B1754, ""es"", ""en"")"),"Horrible horrible Fatal is marked all and is transparent")</f>
        <v>Horrible horrible Fatal is marked all and is transparent</v>
      </c>
    </row>
    <row r="1755">
      <c r="A1755" s="1">
        <v>1.0</v>
      </c>
      <c r="B1755" s="1" t="s">
        <v>1746</v>
      </c>
      <c r="C1755" t="str">
        <f>IFERROR(__xludf.DUMMYFUNCTION("GOOGLETRANSLATE(B1755, ""es"", ""en"")"),"We do not know how to use do not know how to use")</f>
        <v>We do not know how to use do not know how to use</v>
      </c>
    </row>
    <row r="1756">
      <c r="A1756" s="1">
        <v>4.0</v>
      </c>
      <c r="B1756" s="1" t="s">
        <v>1747</v>
      </c>
      <c r="C1756" t="str">
        <f>IFERROR(__xludf.DUMMYFUNCTION("GOOGLETRANSLATE(B1756, ""es"", ""en"")"),"Does the job The product is good if you are going to do massage at home, does the job, accessories are very basic, especially the arms that are fastened with two thin rods that do not hold anything except that everything it is ok , I recommend it.")</f>
        <v>Does the job The product is good if you are going to do massage at home, does the job, accessories are very basic, especially the arms that are fastened with two thin rods that do not hold anything except that everything it is ok , I recommend it.</v>
      </c>
    </row>
    <row r="1757">
      <c r="A1757" s="1">
        <v>4.0</v>
      </c>
      <c r="B1757" s="1" t="s">
        <v>1748</v>
      </c>
      <c r="C1757" t="str">
        <f>IFERROR(__xludf.DUMMYFUNCTION("GOOGLETRANSLATE(B1757, ""es"", ""en"")"),"Manageable Quite useful is small but with great capacity.")</f>
        <v>Manageable Quite useful is small but with great capacity.</v>
      </c>
    </row>
    <row r="1758">
      <c r="A1758" s="1">
        <v>4.0</v>
      </c>
      <c r="B1758" s="1" t="s">
        <v>1749</v>
      </c>
      <c r="C1758" t="str">
        <f>IFERROR(__xludf.DUMMYFUNCTION("GOOGLETRANSLATE(B1758, ""es"", ""en"")"),"Good Very good product, not the sock slips less than ideal for yoga and q in certain positions I slipped on the mat but these socks will not slide anything")</f>
        <v>Good Very good product, not the sock slips less than ideal for yoga and q in certain positions I slipped on the mat but these socks will not slide anything</v>
      </c>
    </row>
    <row r="1759">
      <c r="A1759" s="1">
        <v>4.0</v>
      </c>
      <c r="B1759" s="1" t="s">
        <v>1750</v>
      </c>
      <c r="C1759" t="str">
        <f>IFERROR(__xludf.DUMMYFUNCTION("GOOGLETRANSLATE(B1759, ""es"", ""en"")"),"Good value for money, sound softly. Pretty smart, very good value for money. The little sound, I understand that is to last the battery. Configuration rather tedious.")</f>
        <v>Good value for money, sound softly. Pretty smart, very good value for money. The little sound, I understand that is to last the battery. Configuration rather tedious.</v>
      </c>
    </row>
    <row r="1760">
      <c r="A1760" s="1">
        <v>5.0</v>
      </c>
      <c r="B1760" s="1" t="s">
        <v>1751</v>
      </c>
      <c r="C1760" t="str">
        <f>IFERROR(__xludf.DUMMYFUNCTION("GOOGLETRANSLATE(B1760, ""es"", ""en"")"),"Good product I like so much are very well recommended 100%")</f>
        <v>Good product I like so much are very well recommended 100%</v>
      </c>
    </row>
    <row r="1761">
      <c r="A1761" s="1">
        <v>5.0</v>
      </c>
      <c r="B1761" s="1" t="s">
        <v>1752</v>
      </c>
      <c r="C1761" t="str">
        <f>IFERROR(__xludf.DUMMYFUNCTION("GOOGLETRANSLATE(B1761, ""es"", ""en"")"),"very convenient and comfortable bag is a very practical and comfortable. The quality is very good. back no longer hurts me as with other bags")</f>
        <v>very convenient and comfortable bag is a very practical and comfortable. The quality is very good. back no longer hurts me as with other bags</v>
      </c>
    </row>
    <row r="1762">
      <c r="A1762" s="1">
        <v>5.0</v>
      </c>
      <c r="B1762" s="1" t="s">
        <v>1753</v>
      </c>
      <c r="C1762" t="str">
        <f>IFERROR(__xludf.DUMMYFUNCTION("GOOGLETRANSLATE(B1762, ""es"", ""en"")"),"Bonita, complete and the coffee is delicious We tried all kinds of coffee and we were already used to the Italian lifetime until we have had the chance to try it. The advantage that we find is that you can make more coffee at once and that is very useful,"&amp;" because the clean end of each longer and you will not spend so fast. The operation is expected, but yes, he brings filters and needs of those paper number 4. That may seem like a can, but I have said that in the long run it is better because the permanen"&amp;"t end up worse and do not usually change. In addition those paper filters are so cheap that does not notice your economy. The system is simple: put the filter, you fill the tank, miss coffee (one scoop per cup) and ready, turn it on and wait. It will not "&amp;"take just anything to start falling coffee in the jug. Its capacity is 1.25L. One ends once, if not turn off, coffee is kept warm for 40 minutes. You'll see reflected in an analog display that will rise. The design is beautiful and elegant, with a classic"&amp;" touch of metal. Red needle also evokes the past. We liked the coffee making.")</f>
        <v>Bonita, complete and the coffee is delicious We tried all kinds of coffee and we were already used to the Italian lifetime until we have had the chance to try it. The advantage that we find is that you can make more coffee at once and that is very useful, because the clean end of each longer and you will not spend so fast. The operation is expected, but yes, he brings filters and needs of those paper number 4. That may seem like a can, but I have said that in the long run it is better because the permanent end up worse and do not usually change. In addition those paper filters are so cheap that does not notice your economy. The system is simple: put the filter, you fill the tank, miss coffee (one scoop per cup) and ready, turn it on and wait. It will not take just anything to start falling coffee in the jug. Its capacity is 1.25L. One ends once, if not turn off, coffee is kept warm for 40 minutes. You'll see reflected in an analog display that will rise. The design is beautiful and elegant, with a classic touch of metal. Red needle also evokes the past. We liked the coffee making.</v>
      </c>
    </row>
    <row r="1763">
      <c r="A1763" s="1">
        <v>5.0</v>
      </c>
      <c r="B1763" s="1" t="s">
        <v>1754</v>
      </c>
      <c r="C1763" t="str">
        <f>IFERROR(__xludf.DUMMYFUNCTION("GOOGLETRANSLATE(B1763, ""es"", ""en"")"),"Nike Benassi JDI Precious slippers. Talla well. Seller good. Everything is great")</f>
        <v>Nike Benassi JDI Precious slippers. Talla well. Seller good. Everything is great</v>
      </c>
    </row>
    <row r="1764">
      <c r="A1764" s="1">
        <v>5.0</v>
      </c>
      <c r="B1764" s="1" t="s">
        <v>1755</v>
      </c>
      <c r="C1764" t="str">
        <f>IFERROR(__xludf.DUMMYFUNCTION("GOOGLETRANSLATE(B1764, ""es"", ""en"")"),"The watch has excellent compliment all my expectations, color very beautiful, it fits perfect, easy to setup and super fast shipping.")</f>
        <v>The watch has excellent compliment all my expectations, color very beautiful, it fits perfect, easy to setup and super fast shipping.</v>
      </c>
    </row>
    <row r="1765">
      <c r="A1765" s="1">
        <v>5.0</v>
      </c>
      <c r="B1765" s="1" t="s">
        <v>1756</v>
      </c>
      <c r="C1765" t="str">
        <f>IFERROR(__xludf.DUMMYFUNCTION("GOOGLETRANSLATE(B1765, ""es"", ""en"")"),"Outstanding quality 100% recommended price. Delighted with purchase, while repeat whenever we need them.")</f>
        <v>Outstanding quality 100% recommended price. Delighted with purchase, while repeat whenever we need them.</v>
      </c>
    </row>
    <row r="1766">
      <c r="A1766" s="1">
        <v>5.0</v>
      </c>
      <c r="B1766" s="1" t="s">
        <v>1757</v>
      </c>
      <c r="C1766" t="str">
        <f>IFERROR(__xludf.DUMMYFUNCTION("GOOGLETRANSLATE(B1766, ""es"", ""en"")"),"Raincoats are very comfortable, also had many years without finding a shoe with which I can not sleep feet.")</f>
        <v>Raincoats are very comfortable, also had many years without finding a shoe with which I can not sleep feet.</v>
      </c>
    </row>
    <row r="1767">
      <c r="A1767" s="1">
        <v>5.0</v>
      </c>
      <c r="B1767" s="1" t="s">
        <v>1758</v>
      </c>
      <c r="C1767" t="str">
        <f>IFERROR(__xludf.DUMMYFUNCTION("GOOGLETRANSLATE(B1767, ""es"", ""en"")"),"Firm skin serves to tighten skin. It has a lot of power")</f>
        <v>Firm skin serves to tighten skin. It has a lot of power</v>
      </c>
    </row>
    <row r="1768">
      <c r="A1768" s="1">
        <v>5.0</v>
      </c>
      <c r="B1768" s="1" t="s">
        <v>1759</v>
      </c>
      <c r="C1768" t="str">
        <f>IFERROR(__xludf.DUMMYFUNCTION("GOOGLETRANSLATE(B1768, ""es"", ""en"")"),"Good quality / price Very good buy, good shoes at very low prices.")</f>
        <v>Good quality / price Very good buy, good shoes at very low prices.</v>
      </c>
    </row>
    <row r="1769">
      <c r="A1769" s="1">
        <v>5.0</v>
      </c>
      <c r="B1769" s="1" t="s">
        <v>1760</v>
      </c>
      <c r="C1769" t="str">
        <f>IFERROR(__xludf.DUMMYFUNCTION("GOOGLETRANSLATE(B1769, ""es"", ""en"")"),"perfect beautiful, comfortable, durable")</f>
        <v>perfect beautiful, comfortable, durable</v>
      </c>
    </row>
    <row r="1770">
      <c r="A1770" s="1">
        <v>5.0</v>
      </c>
      <c r="B1770" s="1" t="s">
        <v>1761</v>
      </c>
      <c r="C1770" t="str">
        <f>IFERROR(__xludf.DUMMYFUNCTION("GOOGLETRANSLATE(B1770, ""es"", ""en"")"),"all ok silver clip as sought. everything ok")</f>
        <v>all ok silver clip as sought. everything ok</v>
      </c>
    </row>
    <row r="1771">
      <c r="A1771" s="1">
        <v>5.0</v>
      </c>
      <c r="B1771" s="1" t="s">
        <v>1762</v>
      </c>
      <c r="C1771" t="str">
        <f>IFERROR(__xludf.DUMMYFUNCTION("GOOGLETRANSLATE(B1771, ""es"", ""en"")"),"They are very comfortable elastic scrims. High quality. I have been sweating a lot by plastic carrying inside. I bought a S because I usually wear a size 36 and I are perfect.")</f>
        <v>They are very comfortable elastic scrims. High quality. I have been sweating a lot by plastic carrying inside. I bought a S because I usually wear a size 36 and I are perfect.</v>
      </c>
    </row>
    <row r="1772">
      <c r="A1772" s="1">
        <v>5.0</v>
      </c>
      <c r="B1772" s="1" t="s">
        <v>1763</v>
      </c>
      <c r="C1772" t="str">
        <f>IFERROR(__xludf.DUMMYFUNCTION("GOOGLETRANSLATE(B1772, ""es"", ""en"")"),"Perfect! I use to go running and go perfect. It is true that if you squeeze the much inward can bother a little bit, but out are adapting and did you find out you're wearing. To view videos, sometimes it has a lag / delay in milliseconds, but nothing seri"&amp;"ous. At the moment I am very happy with them!")</f>
        <v>Perfect! I use to go running and go perfect. It is true that if you squeeze the much inward can bother a little bit, but out are adapting and did you find out you're wearing. To view videos, sometimes it has a lag / delay in milliseconds, but nothing serious. At the moment I am very happy with them!</v>
      </c>
    </row>
    <row r="1773">
      <c r="A1773" s="1">
        <v>5.0</v>
      </c>
      <c r="B1773" s="1" t="s">
        <v>1764</v>
      </c>
      <c r="C1773" t="str">
        <f>IFERROR(__xludf.DUMMYFUNCTION("GOOGLETRANSLATE(B1773, ""es"", ""en"")"),"Sonido.a good good price sound quality is spectacular, perfectly fits the ear. Furthermore, eliminating external noise, thereby the sharpness of the sound is perfecto.100% Recommended")</f>
        <v>Sonido.a good good price sound quality is spectacular, perfectly fits the ear. Furthermore, eliminating external noise, thereby the sharpness of the sound is perfecto.100% Recommended</v>
      </c>
    </row>
    <row r="1774">
      <c r="A1774" s="1">
        <v>5.0</v>
      </c>
      <c r="B1774" s="1" t="s">
        <v>1765</v>
      </c>
      <c r="C1774" t="str">
        <f>IFERROR(__xludf.DUMMYFUNCTION("GOOGLETRANSLATE(B1774, ""es"", ""en"")"),"Noise cancellation brutal shipping well, luckily the package is well protected by Sony because Amazon puts it in a box and yasta tatty cardboard. Helmets incredible, the sound is great and they have a pretty good bass. I not see you hit, the texture may h"&amp;"ave been used in the side but it stains easily. (Fingerprints etc) I recommend them!")</f>
        <v>Noise cancellation brutal shipping well, luckily the package is well protected by Sony because Amazon puts it in a box and yasta tatty cardboard. Helmets incredible, the sound is great and they have a pretty good bass. I not see you hit, the texture may have been used in the side but it stains easily. (Fingerprints etc) I recommend them!</v>
      </c>
    </row>
    <row r="1775">
      <c r="A1775" s="1">
        <v>5.0</v>
      </c>
      <c r="B1775" s="1" t="s">
        <v>1766</v>
      </c>
      <c r="C1775" t="str">
        <f>IFERROR(__xludf.DUMMYFUNCTION("GOOGLETRANSLATE(B1775, ""es"", ""en"")"),"The usual. Good product, A4 size, goes well in my printer, and the price much better than pick them loose in the neighborhood stationery.")</f>
        <v>The usual. Good product, A4 size, goes well in my printer, and the price much better than pick them loose in the neighborhood stationery.</v>
      </c>
    </row>
    <row r="1776">
      <c r="A1776" s="1">
        <v>5.0</v>
      </c>
      <c r="B1776" s="1" t="s">
        <v>1767</v>
      </c>
      <c r="C1776" t="str">
        <f>IFERROR(__xludf.DUMMYFUNCTION("GOOGLETRANSLATE(B1776, ""es"", ""en"")"),"I liked the overall comfort all are very comfortable. I wear templates and fit. Use this type of shoe sole shoes")</f>
        <v>I liked the overall comfort all are very comfortable. I wear templates and fit. Use this type of shoe sole shoes</v>
      </c>
    </row>
    <row r="1777">
      <c r="A1777" s="1">
        <v>5.0</v>
      </c>
      <c r="B1777" s="1" t="s">
        <v>1768</v>
      </c>
      <c r="C1777" t="str">
        <f>IFERROR(__xludf.DUMMYFUNCTION("GOOGLETRANSLATE(B1777, ""es"", ""en"")"),"The product is very good excellent heat very well and are large and covers the entire bed and is perfect with both devices on and off with three levels of heat")</f>
        <v>The product is very good excellent heat very well and are large and covers the entire bed and is perfect with both devices on and off with three levels of heat</v>
      </c>
    </row>
    <row r="1778">
      <c r="A1778" s="1">
        <v>5.0</v>
      </c>
      <c r="B1778" s="1" t="s">
        <v>1769</v>
      </c>
      <c r="C1778" t="str">
        <f>IFERROR(__xludf.DUMMYFUNCTION("GOOGLETRANSLATE(B1778, ""es"", ""en"")"),"Actua Actua fast on pain very fast on pain, particularly for my pain calms me shoveling the moment but that if, if something CHRONIC on a few hours back pain")</f>
        <v>Actua Actua fast on pain very fast on pain, particularly for my pain calms me shoveling the moment but that if, if something CHRONIC on a few hours back pain</v>
      </c>
    </row>
    <row r="1779">
      <c r="A1779" s="1">
        <v>2.0</v>
      </c>
      <c r="B1779" s="1" t="s">
        <v>1770</v>
      </c>
      <c r="C1779" t="str">
        <f>IFERROR(__xludf.DUMMYFUNCTION("GOOGLETRANSLATE(B1779, ""es"", ""en"")"),"Big headphones, with improved sound When reached headphones, as is to try them for comments on the quality they had sound them out of the box, the switch on and synchronized seamlessly between them, connect with xiaomi note 7 and .... there is the quality"&amp;". It's a bad sound quality headphones, ie, all you hear are sharp, low conspicuous by their absence, exactly as this sound ""tinny sound"" known. size headphones is great not go into all ears, and as for the adapter that takes several sizes the smallest r"&amp;"emains something big, impossible to use.")</f>
        <v>Big headphones, with improved sound When reached headphones, as is to try them for comments on the quality they had sound them out of the box, the switch on and synchronized seamlessly between them, connect with xiaomi note 7 and .... there is the quality. It's a bad sound quality headphones, ie, all you hear are sharp, low conspicuous by their absence, exactly as this sound "tinny sound" known. size headphones is great not go into all ears, and as for the adapter that takes several sizes the smallest remains something big, impossible to use.</v>
      </c>
    </row>
    <row r="1780">
      <c r="A1780" s="1">
        <v>3.0</v>
      </c>
      <c r="B1780" s="1" t="s">
        <v>1771</v>
      </c>
      <c r="C1780" t="str">
        <f>IFERROR(__xludf.DUMMYFUNCTION("GOOGLETRANSLATE(B1780, ""es"", ""en"")"),"LS is a comfortable shoulder strap, but improved finish. The top closure makes a bulge remains ugly, by being sewn incorrectly")</f>
        <v>LS is a comfortable shoulder strap, but improved finish. The top closure makes a bulge remains ugly, by being sewn incorrectly</v>
      </c>
    </row>
    <row r="1781">
      <c r="A1781" s="1">
        <v>3.0</v>
      </c>
      <c r="B1781" s="1" t="s">
        <v>1772</v>
      </c>
      <c r="C1781" t="str">
        <f>IFERROR(__xludf.DUMMYFUNCTION("GOOGLETRANSLATE(B1781, ""es"", ""en"")"),"Power, but difficult to remove the glass of the mixer Well say you buy one reconditioned, the problem that I see it costs a lot to draw the elices and I have to dump the whole to make the glass blender, .mucha otherwise has power.")</f>
        <v>Power, but difficult to remove the glass of the mixer Well say you buy one reconditioned, the problem that I see it costs a lot to draw the elices and I have to dump the whole to make the glass blender, .mucha otherwise has power.</v>
      </c>
    </row>
    <row r="1782">
      <c r="A1782" s="1">
        <v>1.0</v>
      </c>
      <c r="B1782" s="1" t="s">
        <v>1773</v>
      </c>
      <c r="C1782" t="str">
        <f>IFERROR(__xludf.DUMMYFUNCTION("GOOGLETRANSLATE(B1782, ""es"", ""en"")"),"material bag has nothing to do with the bag in the photo has a color and a brightness that has nothing to do with what you sent home was about to return should put the picture of what you really get to house is light brown and dull")</f>
        <v>material bag has nothing to do with the bag in the photo has a color and a brightness that has nothing to do with what you sent home was about to return should put the picture of what you really get to house is light brown and dull</v>
      </c>
    </row>
    <row r="1783">
      <c r="A1783" s="1">
        <v>1.0</v>
      </c>
      <c r="B1783" s="1" t="s">
        <v>1774</v>
      </c>
      <c r="C1783" t="str">
        <f>IFERROR(__xludf.DUMMYFUNCTION("GOOGLETRANSLATE(B1783, ""es"", ""en"")"),"It does not work well not work well at all. time is delayed or stopped. Not satisfied with this producto.gracias and greetings.")</f>
        <v>It does not work well not work well at all. time is delayed or stopped. Not satisfied with this producto.gracias and greetings.</v>
      </c>
    </row>
    <row r="1784">
      <c r="A1784" s="1">
        <v>4.0</v>
      </c>
      <c r="B1784" s="1" t="s">
        <v>1775</v>
      </c>
      <c r="C1784" t="str">
        <f>IFERROR(__xludf.DUMMYFUNCTION("GOOGLETRANSLATE(B1784, ""es"", ""en"")"),"Work perfectly but for long sessions can be uncomfortable headphones are excellent, the value is unbeatable and you'll quickly hear. In addition, it also includes a carrying case, thus improving their life. The only drawback I've seen them is that perhaps"&amp;" part of the handset is too big and as you already carry around with them can do something annoying. But to go down the street or do some kind of physical activity are not bad, the best in its price range.")</f>
        <v>Work perfectly but for long sessions can be uncomfortable headphones are excellent, the value is unbeatable and you'll quickly hear. In addition, it also includes a carrying case, thus improving their life. The only drawback I've seen them is that perhaps part of the handset is too big and as you already carry around with them can do something annoying. But to go down the street or do some kind of physical activity are not bad, the best in its price range.</v>
      </c>
    </row>
    <row r="1785">
      <c r="A1785" s="1">
        <v>4.0</v>
      </c>
      <c r="B1785" s="1" t="s">
        <v>1776</v>
      </c>
      <c r="C1785" t="str">
        <f>IFERROR(__xludf.DUMMYFUNCTION("GOOGLETRANSLATE(B1785, ""es"", ""en"")"),"Very pretty. It is very fine, very beautiful. It looks good job. I give it 4 stars and not 5 because the chain is too thin, any jerk can be broken. The fabulous rest, arrived on time and correctly.")</f>
        <v>Very pretty. It is very fine, very beautiful. It looks good job. I give it 4 stars and not 5 because the chain is too thin, any jerk can be broken. The fabulous rest, arrived on time and correctly.</v>
      </c>
    </row>
    <row r="1786">
      <c r="A1786" s="1">
        <v>4.0</v>
      </c>
      <c r="B1786" s="1" t="s">
        <v>1777</v>
      </c>
      <c r="C1786" t="str">
        <f>IFERROR(__xludf.DUMMYFUNCTION("GOOGLETRANSLATE(B1786, ""es"", ""en"")"),"Good quality at a price of laughter Great value. Much better than expected")</f>
        <v>Good quality at a price of laughter Great value. Much better than expected</v>
      </c>
    </row>
    <row r="1787">
      <c r="A1787" s="1">
        <v>4.0</v>
      </c>
      <c r="B1787" s="1" t="s">
        <v>1778</v>
      </c>
      <c r="C1787" t="str">
        <f>IFERROR(__xludf.DUMMYFUNCTION("GOOGLETRANSLATE(B1787, ""es"", ""en"")"),"It's like in the photo is a slope that has enlarged me.")</f>
        <v>It's like in the photo is a slope that has enlarged me.</v>
      </c>
    </row>
    <row r="1788">
      <c r="A1788" s="1">
        <v>4.0</v>
      </c>
      <c r="B1788" s="1" t="s">
        <v>1779</v>
      </c>
      <c r="C1788" t="str">
        <f>IFERROR(__xludf.DUMMYFUNCTION("GOOGLETRANSLATE(B1788, ""es"", ""en"")"),"Good bag, average quality good price, I recommend")</f>
        <v>Good bag, average quality good price, I recommend</v>
      </c>
    </row>
    <row r="1789">
      <c r="A1789" s="1">
        <v>5.0</v>
      </c>
      <c r="B1789" s="1" t="s">
        <v>1780</v>
      </c>
      <c r="C1789" t="str">
        <f>IFERROR(__xludf.DUMMYFUNCTION("GOOGLETRANSLATE(B1789, ""es"", ""en"")"),"superego comfortable bought it because the doctor told my mother, because she works in the restaurant and she quite painful on the back, very good quality massager she is super comfortable, especualmente in relaxing neck a lot and gives a feeling of well-"&amp;"being meets perfect his description of the item")</f>
        <v>superego comfortable bought it because the doctor told my mother, because she works in the restaurant and she quite painful on the back, very good quality massager she is super comfortable, especualmente in relaxing neck a lot and gives a feeling of well-being meets perfect his description of the item</v>
      </c>
    </row>
    <row r="1790">
      <c r="A1790" s="1">
        <v>5.0</v>
      </c>
      <c r="B1790" s="1" t="s">
        <v>1781</v>
      </c>
      <c r="C1790" t="str">
        <f>IFERROR(__xludf.DUMMYFUNCTION("GOOGLETRANSLATE(B1790, ""es"", ""en"")"),"Recommended are very comfortable and easy to clean")</f>
        <v>Recommended are very comfortable and easy to clean</v>
      </c>
    </row>
    <row r="1791">
      <c r="A1791" s="1">
        <v>5.0</v>
      </c>
      <c r="B1791" s="1" t="s">
        <v>1782</v>
      </c>
      <c r="C1791" t="str">
        <f>IFERROR(__xludf.DUMMYFUNCTION("GOOGLETRANSLATE(B1791, ""es"", ""en"")"),"Quality For months using this brand and I am very happy. The paste only to put it is that come with nipple 3 and not with variable flow, because using the large size bottle is assumed that meter is to cereal and teat need for thick liquids. Otherwise very"&amp;" happy")</f>
        <v>Quality For months using this brand and I am very happy. The paste only to put it is that come with nipple 3 and not with variable flow, because using the large size bottle is assumed that meter is to cereal and teat need for thick liquids. Otherwise very happy</v>
      </c>
    </row>
    <row r="1792">
      <c r="A1792" s="1">
        <v>5.0</v>
      </c>
      <c r="B1792" s="1" t="s">
        <v>1783</v>
      </c>
      <c r="C1792" t="str">
        <f>IFERROR(__xludf.DUMMYFUNCTION("GOOGLETRANSLATE(B1792, ""es"", ""en"")"),"Very nice quality fabric, although I still have something great")</f>
        <v>Very nice quality fabric, although I still have something great</v>
      </c>
    </row>
    <row r="1793">
      <c r="A1793" s="1">
        <v>5.0</v>
      </c>
      <c r="B1793" s="1" t="s">
        <v>1784</v>
      </c>
      <c r="C1793" t="str">
        <f>IFERROR(__xludf.DUMMYFUNCTION("GOOGLETRANSLATE(B1793, ""es"", ""en"")"),"Okay this bn")</f>
        <v>Okay this bn</v>
      </c>
    </row>
    <row r="1794">
      <c r="A1794" s="1">
        <v>5.0</v>
      </c>
      <c r="B1794" s="1" t="s">
        <v>1785</v>
      </c>
      <c r="C1794" t="str">
        <f>IFERROR(__xludf.DUMMYFUNCTION("GOOGLETRANSLATE(B1794, ""es"", ""en"")"),"I recommend 👍 I liked and super original KEDO all good and well packed in its box all right")</f>
        <v>I recommend 👍 I liked and super original KEDO all good and well packed in its box all right</v>
      </c>
    </row>
    <row r="1795">
      <c r="A1795" s="1">
        <v>5.0</v>
      </c>
      <c r="B1795" s="1" t="s">
        <v>1786</v>
      </c>
      <c r="C1795" t="str">
        <f>IFERROR(__xludf.DUMMYFUNCTION("GOOGLETRANSLATE(B1795, ""es"", ""en"")"),"Very good wireless for Android The product is good quality for this price, can not be compared with the mark of the manzanita, speaking of other price ranges, the case of these is much larger and headphones are also larger, but for a very cheap price we o"&amp;"ffer very good sound quality and very good battery. They are comfortable to carry and carry though the first impression on seeing them and wear them is: wow, you are great! But they are comfortable and do not weigh. USB charging is on C and cable is inclu"&amp;"ded. They pair up very fast with Android, iOS not because they do not have one available. Recommended!")</f>
        <v>Very good wireless for Android The product is good quality for this price, can not be compared with the mark of the manzanita, speaking of other price ranges, the case of these is much larger and headphones are also larger, but for a very cheap price we offer very good sound quality and very good battery. They are comfortable to carry and carry though the first impression on seeing them and wear them is: wow, you are great! But they are comfortable and do not weigh. USB charging is on C and cable is included. They pair up very fast with Android, iOS not because they do not have one available. Recommended!</v>
      </c>
    </row>
    <row r="1796">
      <c r="A1796" s="1">
        <v>5.0</v>
      </c>
      <c r="B1796" s="1" t="s">
        <v>1787</v>
      </c>
      <c r="C1796" t="str">
        <f>IFERROR(__xludf.DUMMYFUNCTION("GOOGLETRANSLATE(B1796, ""es"", ""en"")"),"Very good product This is the second I buy, the previous Esra a similar model, I recommend it 100%.")</f>
        <v>Very good product This is the second I buy, the previous Esra a similar model, I recommend it 100%.</v>
      </c>
    </row>
    <row r="1797">
      <c r="A1797" s="1">
        <v>5.0</v>
      </c>
      <c r="B1797" s="1" t="s">
        <v>1788</v>
      </c>
      <c r="C1797" t="str">
        <f>IFERROR(__xludf.DUMMYFUNCTION("GOOGLETRANSLATE(B1797, ""es"", ""en"")"),"Very comfortable socks that I like, very comfortable both in spring and summer, with sports, work boots or shoes. Mientars there are the buy. Too bad the logo is not so accepted by society when you wear a suit: D")</f>
        <v>Very comfortable socks that I like, very comfortable both in spring and summer, with sports, work boots or shoes. Mientars there are the buy. Too bad the logo is not so accepted by society when you wear a suit: D</v>
      </c>
    </row>
    <row r="1798">
      <c r="A1798" s="1">
        <v>5.0</v>
      </c>
      <c r="B1798" s="1" t="s">
        <v>1789</v>
      </c>
      <c r="C1798" t="str">
        <f>IFERROR(__xludf.DUMMYFUNCTION("GOOGLETRANSLATE(B1798, ""es"", ""en"")"),"Good, practical and light is what I was looking for. has enough power to clean the entire house, the battery lasts several days if you use it intermittently. Weighs very little and it is very manageable. Load fast and takes up little space")</f>
        <v>Good, practical and light is what I was looking for. has enough power to clean the entire house, the battery lasts several days if you use it intermittently. Weighs very little and it is very manageable. Load fast and takes up little space</v>
      </c>
    </row>
    <row r="1799">
      <c r="A1799" s="1">
        <v>5.0</v>
      </c>
      <c r="B1799" s="1" t="s">
        <v>1790</v>
      </c>
      <c r="C1799" t="str">
        <f>IFERROR(__xludf.DUMMYFUNCTION("GOOGLETRANSLATE(B1799, ""es"", ""en"")"),"Excellent. Super fast and super light can not say enough good things about this hard drive. I was surprised by how fast it works (especially if you connect to a thunderbolt port) and so light it is. The aluminum finish is amazing. Simply superior. I would"&amp;" definitely buy. I hope that hold up well over the years. Seagate trust the brand, which has never let me down.")</f>
        <v>Excellent. Super fast and super light can not say enough good things about this hard drive. I was surprised by how fast it works (especially if you connect to a thunderbolt port) and so light it is. The aluminum finish is amazing. Simply superior. I would definitely buy. I hope that hold up well over the years. Seagate trust the brand, which has never let me down.</v>
      </c>
    </row>
    <row r="1800">
      <c r="A1800" s="1">
        <v>5.0</v>
      </c>
      <c r="B1800" s="1" t="s">
        <v>1791</v>
      </c>
      <c r="C1800" t="str">
        <f>IFERROR(__xludf.DUMMYFUNCTION("GOOGLETRANSLATE(B1800, ""es"", ""en"")"),"Great was hesitant after reading some reviews, but after trying it, I feel just great. I have another dagger and I am convinced that is the best.")</f>
        <v>Great was hesitant after reading some reviews, but after trying it, I feel just great. I have another dagger and I am convinced that is the best.</v>
      </c>
    </row>
    <row r="1801">
      <c r="A1801" s="1">
        <v>5.0</v>
      </c>
      <c r="B1801" s="1" t="s">
        <v>1792</v>
      </c>
      <c r="C1801" t="str">
        <f>IFERROR(__xludf.DUMMYFUNCTION("GOOGLETRANSLATE(B1801, ""es"", ""en"")"),"I like nice design")</f>
        <v>I like nice design</v>
      </c>
    </row>
    <row r="1802">
      <c r="A1802" s="1">
        <v>5.0</v>
      </c>
      <c r="B1802" s="1" t="s">
        <v>1793</v>
      </c>
      <c r="C1802" t="str">
        <f>IFERROR(__xludf.DUMMYFUNCTION("GOOGLETRANSLATE(B1802, ""es"", ""en"")"),"Cool Cool. Right size, very lightweight and comfortable. Fast delivery")</f>
        <v>Cool Cool. Right size, very lightweight and comfortable. Fast delivery</v>
      </c>
    </row>
    <row r="1803">
      <c r="A1803" s="1">
        <v>5.0</v>
      </c>
      <c r="B1803" s="1" t="s">
        <v>1794</v>
      </c>
      <c r="C1803" t="str">
        <f>IFERROR(__xludf.DUMMYFUNCTION("GOOGLETRANSLATE(B1803, ""es"", ""en"")"),"Perezosi for life is bullshit but very funny, was a nice touch for my partner and managed to get a smile, and no TE without perezosi.")</f>
        <v>Perezosi for life is bullshit but very funny, was a nice touch for my partner and managed to get a smile, and no TE without perezosi.</v>
      </c>
    </row>
    <row r="1804">
      <c r="A1804" s="1">
        <v>5.0</v>
      </c>
      <c r="B1804" s="1" t="s">
        <v>1795</v>
      </c>
      <c r="C1804" t="str">
        <f>IFERROR(__xludf.DUMMYFUNCTION("GOOGLETRANSLATE(B1804, ""es"", ""en"")"),"I like I encata, I put every night, with different essences, the truth is that you relax a lot and help you sleep, at least to me.")</f>
        <v>I like I encata, I put every night, with different essences, the truth is that you relax a lot and help you sleep, at least to me.</v>
      </c>
    </row>
    <row r="1805">
      <c r="A1805" s="1">
        <v>5.0</v>
      </c>
      <c r="B1805" s="1" t="s">
        <v>1796</v>
      </c>
      <c r="C1805" t="str">
        <f>IFERROR(__xludf.DUMMYFUNCTION("GOOGLETRANSLATE(B1805, ""es"", ""en"")"),"Delighted with great size and price.")</f>
        <v>Delighted with great size and price.</v>
      </c>
    </row>
    <row r="1806">
      <c r="A1806" s="1">
        <v>5.0</v>
      </c>
      <c r="B1806" s="1" t="s">
        <v>1797</v>
      </c>
      <c r="C1806" t="str">
        <f>IFERROR(__xludf.DUMMYFUNCTION("GOOGLETRANSLATE(B1806, ""es"", ""en"")"),"The ones I have lasted the best for its price")</f>
        <v>The ones I have lasted the best for its price</v>
      </c>
    </row>
    <row r="1807">
      <c r="A1807" s="1">
        <v>5.0</v>
      </c>
      <c r="B1807" s="1" t="s">
        <v>1798</v>
      </c>
      <c r="C1807" t="str">
        <f>IFERROR(__xludf.DUMMYFUNCTION("GOOGLETRANSLATE(B1807, ""es"", ""en"")"),"Blender is perfect .... robust and powerful moment .... I give it a 10")</f>
        <v>Blender is perfect .... robust and powerful moment .... I give it a 10</v>
      </c>
    </row>
    <row r="1808">
      <c r="A1808" s="1">
        <v>2.0</v>
      </c>
      <c r="B1808" s="1" t="s">
        <v>1799</v>
      </c>
      <c r="C1808" t="str">
        <f>IFERROR(__xludf.DUMMYFUNCTION("GOOGLETRANSLATE(B1808, ""es"", ""en"")"),"A caca has not liked anything not absorb almost no water.")</f>
        <v>A caca has not liked anything not absorb almost no water.</v>
      </c>
    </row>
    <row r="1809">
      <c r="A1809" s="1">
        <v>3.0</v>
      </c>
      <c r="B1809" s="1" t="s">
        <v>1800</v>
      </c>
      <c r="C1809" t="str">
        <f>IFERROR(__xludf.DUMMYFUNCTION("GOOGLETRANSLATE(B1809, ""es"", ""en"")"),"Kingston SDC10 / 32GBSP - microSD Card 32 works perfectly. You can use purchasing, without reformatting I tested the speed of reading and writing but I use a phone goes Bq and luxury.")</f>
        <v>Kingston SDC10 / 32GBSP - microSD Card 32 works perfectly. You can use purchasing, without reformatting I tested the speed of reading and writing but I use a phone goes Bq and luxury.</v>
      </c>
    </row>
    <row r="1810">
      <c r="A1810" s="1">
        <v>3.0</v>
      </c>
      <c r="B1810" s="1" t="s">
        <v>1801</v>
      </c>
      <c r="C1810" t="str">
        <f>IFERROR(__xludf.DUMMYFUNCTION("GOOGLETRANSLATE(B1810, ""es"", ""en"")"),"Acceptable nice and comfortable")</f>
        <v>Acceptable nice and comfortable</v>
      </c>
    </row>
    <row r="1811">
      <c r="A1811" s="1">
        <v>1.0</v>
      </c>
      <c r="B1811" s="1" t="s">
        <v>1802</v>
      </c>
      <c r="C1811" t="str">
        <f>IFERROR(__xludf.DUMMYFUNCTION("GOOGLETRANSLATE(B1811, ""es"", ""en"")"),"Fault The product is perfect, I was very happy with this portable blender. Until he began to Apparate a blue light, the engine is screwed, and a month and a few days of purchase, he stopped working. The repayment period is one month, so here xao.")</f>
        <v>Fault The product is perfect, I was very happy with this portable blender. Until he began to Apparate a blue light, the engine is screwed, and a month and a few days of purchase, he stopped working. The repayment period is one month, so here xao.</v>
      </c>
    </row>
    <row r="1812">
      <c r="A1812" s="1">
        <v>1.0</v>
      </c>
      <c r="B1812" s="1" t="s">
        <v>1803</v>
      </c>
      <c r="C1812" t="str">
        <f>IFERROR(__xludf.DUMMYFUNCTION("GOOGLETRANSLATE(B1812, ""es"", ""en"")"),"Magic Slate second time I receive a cork wall instead of a blackboard. With some ""joke"" he tells me to look at both sides and if, after a thorough analysis of me and asking several opinions of people known to exchange opinions .. YES, the second also ha"&amp;"s cork. Everything fits, is a cork with its six ""markers"" in the form of colored thumbtacks. The first time it happens. But I see I'm not alone. De.Portugal comes so today I learned something new, cork SLATE is written in Portuguese")</f>
        <v>Magic Slate second time I receive a cork wall instead of a blackboard. With some "joke" he tells me to look at both sides and if, after a thorough analysis of me and asking several opinions of people known to exchange opinions .. YES, the second also has cork. Everything fits, is a cork with its six "markers" in the form of colored thumbtacks. The first time it happens. But I see I'm not alone. De.Portugal comes so today I learned something new, cork SLATE is written in Portuguese</v>
      </c>
    </row>
    <row r="1813">
      <c r="A1813" s="1">
        <v>1.0</v>
      </c>
      <c r="B1813" s="1" t="s">
        <v>1804</v>
      </c>
      <c r="C1813" t="str">
        <f>IFERROR(__xludf.DUMMYFUNCTION("GOOGLETRANSLATE(B1813, ""es"", ""en"")"),"Returned wrong size three times wrong size")</f>
        <v>Returned wrong size three times wrong size</v>
      </c>
    </row>
    <row r="1814">
      <c r="A1814" s="1">
        <v>4.0</v>
      </c>
      <c r="B1814" s="1" t="s">
        <v>1805</v>
      </c>
      <c r="C1814" t="str">
        <f>IFERROR(__xludf.DUMMYFUNCTION("GOOGLETRANSLATE(B1814, ""es"", ""en"")"),"Meets the description. All good, arrived in good condition. Easy to clean, I doubt that the crystal looks very fine, must be careful. But it is effective, fast and fairly quiet.")</f>
        <v>Meets the description. All good, arrived in good condition. Easy to clean, I doubt that the crystal looks very fine, must be careful. But it is effective, fast and fairly quiet.</v>
      </c>
    </row>
    <row r="1815">
      <c r="A1815" s="1">
        <v>4.0</v>
      </c>
      <c r="B1815" s="1" t="s">
        <v>1806</v>
      </c>
      <c r="C1815" t="str">
        <f>IFERROR(__xludf.DUMMYFUNCTION("GOOGLETRANSLATE(B1815, ""es"", ""en"")"),"Just what it appears in the description. Good price and does not fool anyone. Silicone anti-colic teats (personally prefer the latex, but no problem of the product).")</f>
        <v>Just what it appears in the description. Good price and does not fool anyone. Silicone anti-colic teats (personally prefer the latex, but no problem of the product).</v>
      </c>
    </row>
    <row r="1816">
      <c r="A1816" s="1">
        <v>4.0</v>
      </c>
      <c r="B1816" s="1" t="s">
        <v>1807</v>
      </c>
      <c r="C1816" t="str">
        <f>IFERROR(__xludf.DUMMYFUNCTION("GOOGLETRANSLATE(B1816, ""es"", ""en"")"),"The size the only issue is that it is a little small, a little bigger would have been perfect")</f>
        <v>The size the only issue is that it is a little small, a little bigger would have been perfect</v>
      </c>
    </row>
    <row r="1817">
      <c r="A1817" s="1">
        <v>4.0</v>
      </c>
      <c r="B1817" s="1" t="s">
        <v>1808</v>
      </c>
      <c r="C1817" t="str">
        <f>IFERROR(__xludf.DUMMYFUNCTION("GOOGLETRANSLATE(B1817, ""es"", ""en"")"),"Perfect ... until it fails My first daughter grew up with this same nipple, we never gave a problem and the truth is perfect for its purpose (keep the baby leaves the chest and allow breastfeeding bottle is similar to the of the chest). Why is my problem "&amp;"and my complaint? We decided to buy new bottles and teats for my second daughter not to reuse the old ... it has lasted two months literally giving the same use as the first. For some reason after two months of trouble sealing the body of the bottle and i"&amp;"t is not done correctly (much to squeeze) and the dripping bottle by the nipple-union body. Not a disaster, is still usable despite your hands dirty, but since I have been two teats with the same problem. It seems that the finite rubber ring is integrated"&amp;" into the body of rigid plastic (where the body falls from the bottle and makes the seal) is deformed or crushed (although not overtighten) and ends up not seal well and leak. .. curious that in the first not pass me after more than a year of use and that"&amp;" this time has passed me every two months ... (?)")</f>
        <v>Perfect ... until it fails My first daughter grew up with this same nipple, we never gave a problem and the truth is perfect for its purpose (keep the baby leaves the chest and allow breastfeeding bottle is similar to the of the chest). Why is my problem and my complaint? We decided to buy new bottles and teats for my second daughter not to reuse the old ... it has lasted two months literally giving the same use as the first. For some reason after two months of trouble sealing the body of the bottle and it is not done correctly (much to squeeze) and the dripping bottle by the nipple-union body. Not a disaster, is still usable despite your hands dirty, but since I have been two teats with the same problem. It seems that the finite rubber ring is integrated into the body of rigid plastic (where the body falls from the bottle and makes the seal) is deformed or crushed (although not overtighten) and ends up not seal well and leak. .. curious that in the first not pass me after more than a year of use and that this time has passed me every two months ... (?)</v>
      </c>
    </row>
    <row r="1818">
      <c r="A1818" s="1">
        <v>4.0</v>
      </c>
      <c r="B1818" s="1" t="s">
        <v>1809</v>
      </c>
      <c r="C1818" t="str">
        <f>IFERROR(__xludf.DUMMYFUNCTION("GOOGLETRANSLATE(B1818, ""es"", ""en"")"),"Pretty cool and light")</f>
        <v>Pretty cool and light</v>
      </c>
    </row>
    <row r="1819">
      <c r="A1819" s="1">
        <v>5.0</v>
      </c>
      <c r="B1819" s="1" t="s">
        <v>1810</v>
      </c>
      <c r="C1819" t="str">
        <f>IFERROR(__xludf.DUMMYFUNCTION("GOOGLETRANSLATE(B1819, ""es"", ""en"")"),"Good Quality Hotel I loved this microphone, excellent value and very versatile")</f>
        <v>Good Quality Hotel I loved this microphone, excellent value and very versatile</v>
      </c>
    </row>
    <row r="1820">
      <c r="A1820" s="1">
        <v>5.0</v>
      </c>
      <c r="B1820" s="1" t="s">
        <v>1811</v>
      </c>
      <c r="C1820" t="str">
        <f>IFERROR(__xludf.DUMMYFUNCTION("GOOGLETRANSLATE(B1820, ""es"", ""en"")"),"adapts perfectly good material, it fits perfectly and fulfills its function correctly, now just put the body as the typical picture lol")</f>
        <v>adapts perfectly good material, it fits perfectly and fulfills its function correctly, now just put the body as the typical picture lol</v>
      </c>
    </row>
    <row r="1821">
      <c r="A1821" s="1">
        <v>5.0</v>
      </c>
      <c r="B1821" s="1" t="s">
        <v>1812</v>
      </c>
      <c r="C1821" t="str">
        <f>IFERROR(__xludf.DUMMYFUNCTION("GOOGLETRANSLATE(B1821, ""es"", ""en"")"),"Bag perfect man to add anything soles carry in their pockets. Modern man does not need to carry your personal items in his pockets, as we all know is really uncomfortable, and ugly too our styling, and we have removed the roll of the 7s0 and 80s, now we c"&amp;"an carry handbags, shoulder bag, backpacks, or what we really like. Bandoliers of man are taking a starring role in male with nice looks and stylish designs. Now, supplements are not exclusive to women and comfort surrenders completely to these practical "&amp;"pieces with a variety of models and colors. Bags served only to women, while men are satisfied with small bags tied with string to keep your money. Now, technology has made unthinkable use to accommodate even portable devices mobile, tablets e. This messe"&amp;"nger bag is really comfortable, practical, and frees us from the burden of carrying our belongings in his pockets, made of canvas and terminations highly maintained, has a quality beyond doubt. There are different opinions as carrying a shoulder bag, some"&amp;" stylists say that on the shoulder where the bag falls, and others on the opposite shoulder, in my opinion, I think I'll take him where more comfortable this at the time. In short, this shoulder bag is comfortable, useful and is a good complement pair mod"&amp;"ern man regardless of age. Product yielded by SinoEshow for analysis.")</f>
        <v>Bag perfect man to add anything soles carry in their pockets. Modern man does not need to carry your personal items in his pockets, as we all know is really uncomfortable, and ugly too our styling, and we have removed the roll of the 7s0 and 80s, now we can carry handbags, shoulder bag, backpacks, or what we really like. Bandoliers of man are taking a starring role in male with nice looks and stylish designs. Now, supplements are not exclusive to women and comfort surrenders completely to these practical pieces with a variety of models and colors. Bags served only to women, while men are satisfied with small bags tied with string to keep your money. Now, technology has made unthinkable use to accommodate even portable devices mobile, tablets e. This messenger bag is really comfortable, practical, and frees us from the burden of carrying our belongings in his pockets, made of canvas and terminations highly maintained, has a quality beyond doubt. There are different opinions as carrying a shoulder bag, some stylists say that on the shoulder where the bag falls, and others on the opposite shoulder, in my opinion, I think I'll take him where more comfortable this at the time. In short, this shoulder bag is comfortable, useful and is a good complement pair modern man regardless of age. Product yielded by SinoEshow for analysis.</v>
      </c>
    </row>
    <row r="1822">
      <c r="A1822" s="1">
        <v>5.0</v>
      </c>
      <c r="B1822" s="1" t="s">
        <v>1813</v>
      </c>
      <c r="C1822" t="str">
        <f>IFERROR(__xludf.DUMMYFUNCTION("GOOGLETRANSLATE(B1822, ""es"", ""en"")"),"It relax me a lot!! I love the flashing !! Leave a relaxed atmosphere ... size ... I would like it to be a tad smaller but hey that everyone likes and you have to leave room otherwise everything great")</f>
        <v>It relax me a lot!! I love the flashing !! Leave a relaxed atmosphere ... size ... I would like it to be a tad smaller but hey that everyone likes and you have to leave room otherwise everything great</v>
      </c>
    </row>
    <row r="1823">
      <c r="A1823" s="1">
        <v>5.0</v>
      </c>
      <c r="B1823" s="1" t="s">
        <v>1814</v>
      </c>
      <c r="C1823" t="str">
        <f>IFERROR(__xludf.DUMMYFUNCTION("GOOGLETRANSLATE(B1823, ""es"", ""en"")"),"A superior watch the rest has a very high quality of construction. Glass after intensive looks like the first day, scratch resistant and water from the sea. The strap also as the first day after many bathrooms. The only but you can put the fluorescent mat"&amp;"erial is the hands that does not last long in the dark like it does in the orient.")</f>
        <v>A superior watch the rest has a very high quality of construction. Glass after intensive looks like the first day, scratch resistant and water from the sea. The strap also as the first day after many bathrooms. The only but you can put the fluorescent material is the hands that does not last long in the dark like it does in the orient.</v>
      </c>
    </row>
    <row r="1824">
      <c r="A1824" s="1">
        <v>5.0</v>
      </c>
      <c r="B1824" s="1" t="s">
        <v>1815</v>
      </c>
      <c r="C1824" t="str">
        <f>IFERROR(__xludf.DUMMYFUNCTION("GOOGLETRANSLATE(B1824, ""es"", ""en"")"),"Special Perfect for IPad along with a keyboard cover. It's perfect for reading, writing, and easily supported on the arm of a chair or a table support. Perfect")</f>
        <v>Special Perfect for IPad along with a keyboard cover. It's perfect for reading, writing, and easily supported on the arm of a chair or a table support. Perfect</v>
      </c>
    </row>
    <row r="1825">
      <c r="A1825" s="1">
        <v>5.0</v>
      </c>
      <c r="B1825" s="1" t="s">
        <v>1816</v>
      </c>
      <c r="C1825" t="str">
        <f>IFERROR(__xludf.DUMMYFUNCTION("GOOGLETRANSLATE(B1825, ""es"", ""en"")"),"Quality great price. Super good and well finished right size is important for q q has the big foot is difficult to find shoes of great price.")</f>
        <v>Quality great price. Super good and well finished right size is important for q q has the big foot is difficult to find shoes of great price.</v>
      </c>
    </row>
    <row r="1826">
      <c r="A1826" s="1">
        <v>5.0</v>
      </c>
      <c r="B1826" s="1" t="s">
        <v>1817</v>
      </c>
      <c r="C1826" t="str">
        <f>IFERROR(__xludf.DUMMYFUNCTION("GOOGLETRANSLATE(B1826, ""es"", ""en"")"),"very comfortable good value for money are, use them mainly to go hunting, waterproof")</f>
        <v>very comfortable good value for money are, use them mainly to go hunting, waterproof</v>
      </c>
    </row>
    <row r="1827">
      <c r="A1827" s="1">
        <v>5.0</v>
      </c>
      <c r="B1827" s="1" t="s">
        <v>1818</v>
      </c>
      <c r="C1827" t="str">
        <f>IFERROR(__xludf.DUMMYFUNCTION("GOOGLETRANSLATE(B1827, ""es"", ""en"")"),"Very good value for money very good this electric blanket. It fits very well to the back. I came as holy hand contracture on the trapeze. Heats quickly and touch is very soft.")</f>
        <v>Very good value for money very good this electric blanket. It fits very well to the back. I came as holy hand contracture on the trapeze. Heats quickly and touch is very soft.</v>
      </c>
    </row>
    <row r="1828">
      <c r="A1828" s="1">
        <v>5.0</v>
      </c>
      <c r="B1828" s="1" t="s">
        <v>461</v>
      </c>
      <c r="C1828" t="str">
        <f>IFERROR(__xludf.DUMMYFUNCTION("GOOGLETRANSLATE(B1828, ""es"", ""en"")"),"excellent excellent")</f>
        <v>excellent excellent</v>
      </c>
    </row>
    <row r="1829">
      <c r="A1829" s="1">
        <v>5.0</v>
      </c>
      <c r="B1829" s="1" t="s">
        <v>1819</v>
      </c>
      <c r="C1829" t="str">
        <f>IFERROR(__xludf.DUMMYFUNCTION("GOOGLETRANSLATE(B1829, ""es"", ""en"")"),"Very good quality and good sound Product construcion very well packaged, correctly I get very good quality materials and good sound quality but not great.")</f>
        <v>Very good quality and good sound Product construcion very well packaged, correctly I get very good quality materials and good sound quality but not great.</v>
      </c>
    </row>
    <row r="1830">
      <c r="A1830" s="1">
        <v>5.0</v>
      </c>
      <c r="B1830" s="1" t="s">
        <v>1820</v>
      </c>
      <c r="C1830" t="str">
        <f>IFERROR(__xludf.DUMMYFUNCTION("GOOGLETRANSLATE(B1830, ""es"", ""en"")"),"Teat Teat fast flow cereal milk cereal rather than fattening.")</f>
        <v>Teat Teat fast flow cereal milk cereal rather than fattening.</v>
      </c>
    </row>
    <row r="1831">
      <c r="A1831" s="1">
        <v>5.0</v>
      </c>
      <c r="B1831" s="1" t="s">
        <v>1821</v>
      </c>
      <c r="C1831" t="str">
        <f>IFERROR(__xludf.DUMMYFUNCTION("GOOGLETRANSLATE(B1831, ""es"", ""en"")"),"MAKE YOUR WALLS IN PIZARRAS I bought it because I found it very useful for the study and it seemed very good price. It is a roll of vinyl material made with typical class whiteboards about 200 cm long whose reverse is composed of adhesive, which allows us"&amp;" to paste any wall or surface. It also includes three black pen with magnet that fit perfectly. It is a tremendously últil object for the study: It lets you convert any wall slate room. In addition you can spend the piece you want and save the extra for a"&amp;"nother time or even re-save a time you conclude.")</f>
        <v>MAKE YOUR WALLS IN PIZARRAS I bought it because I found it very useful for the study and it seemed very good price. It is a roll of vinyl material made with typical class whiteboards about 200 cm long whose reverse is composed of adhesive, which allows us to paste any wall or surface. It also includes three black pen with magnet that fit perfectly. It is a tremendously últil object for the study: It lets you convert any wall slate room. In addition you can spend the piece you want and save the extra for another time or even re-save a time you conclude.</v>
      </c>
    </row>
    <row r="1832">
      <c r="A1832" s="1">
        <v>5.0</v>
      </c>
      <c r="B1832" s="1" t="s">
        <v>1822</v>
      </c>
      <c r="C1832" t="str">
        <f>IFERROR(__xludf.DUMMYFUNCTION("GOOGLETRANSLATE(B1832, ""es"", ""en"")"),"The only recommended and reliable but I see, is that the guarantee does not come sealed .. it was a gift and I really loved it!")</f>
        <v>The only recommended and reliable but I see, is that the guarantee does not come sealed .. it was a gift and I really loved it!</v>
      </c>
    </row>
    <row r="1833">
      <c r="A1833" s="1">
        <v>5.0</v>
      </c>
      <c r="B1833" s="1" t="s">
        <v>1823</v>
      </c>
      <c r="C1833" t="str">
        <f>IFERROR(__xludf.DUMMYFUNCTION("GOOGLETRANSLATE(B1833, ""es"", ""en"")"),"Comfortable and good grip fastener Second I buy. It is perfectly Buyer size that indicates the table according to your measurements. I do not go by my normal size. Subject perfectly without crushing chest.")</f>
        <v>Comfortable and good grip fastener Second I buy. It is perfectly Buyer size that indicates the table according to your measurements. I do not go by my normal size. Subject perfectly without crushing chest.</v>
      </c>
    </row>
    <row r="1834">
      <c r="A1834" s="1">
        <v>5.0</v>
      </c>
      <c r="B1834" s="1" t="s">
        <v>1824</v>
      </c>
      <c r="C1834" t="str">
        <f>IFERROR(__xludf.DUMMYFUNCTION("GOOGLETRANSLATE(B1834, ""es"", ""en"")"),"Super good good, my son has them all winter and are still new, they are unbreakable sure repeat for next time")</f>
        <v>Super good good, my son has them all winter and are still new, they are unbreakable sure repeat for next time</v>
      </c>
    </row>
    <row r="1835">
      <c r="A1835" s="1">
        <v>5.0</v>
      </c>
      <c r="B1835" s="1" t="s">
        <v>1825</v>
      </c>
      <c r="C1835" t="str">
        <f>IFERROR(__xludf.DUMMYFUNCTION("GOOGLETRANSLATE(B1835, ""es"", ""en"")"),"Perfect works very well, and does very well its role not overheats and is great for what we want.")</f>
        <v>Perfect works very well, and does very well its role not overheats and is great for what we want.</v>
      </c>
    </row>
    <row r="1836">
      <c r="A1836" s="1">
        <v>5.0</v>
      </c>
      <c r="B1836" s="1" t="s">
        <v>1826</v>
      </c>
      <c r="C1836" t="str">
        <f>IFERROR(__xludf.DUMMYFUNCTION("GOOGLETRANSLATE(B1836, ""es"", ""en"")"),"Beautiful and indestructible watch is a watch very nice and sturdy in all aspects. Do not be afraid to buy because you think it's great. It has a content size and looks good on the wrist. It is true that this watch would buy in a jewelry store or official"&amp;" store, because I bought two ga casio 100 Amazon and the first was a replica and the second was not clear it was original, so I decided to return it and buy it in a store official.")</f>
        <v>Beautiful and indestructible watch is a watch very nice and sturdy in all aspects. Do not be afraid to buy because you think it's great. It has a content size and looks good on the wrist. It is true that this watch would buy in a jewelry store or official store, because I bought two ga casio 100 Amazon and the first was a replica and the second was not clear it was original, so I decided to return it and buy it in a store official.</v>
      </c>
    </row>
    <row r="1837">
      <c r="A1837" s="1">
        <v>2.0</v>
      </c>
      <c r="B1837" s="1" t="s">
        <v>1827</v>
      </c>
      <c r="C1837" t="str">
        <f>IFERROR(__xludf.DUMMYFUNCTION("GOOGLETRANSLATE(B1837, ""es"", ""en"")"),"Attractive but only photo watch lacks visibility at night, also daytime schedules contrast digits with the field is almost zero with l which poor visibility. Let that picture to reality there is a great distance.")</f>
        <v>Attractive but only photo watch lacks visibility at night, also daytime schedules contrast digits with the field is almost zero with l which poor visibility. Let that picture to reality there is a great distance.</v>
      </c>
    </row>
    <row r="1838">
      <c r="A1838" s="1">
        <v>3.0</v>
      </c>
      <c r="B1838" s="1" t="s">
        <v>1828</v>
      </c>
      <c r="C1838" t="str">
        <f>IFERROR(__xludf.DUMMYFUNCTION("GOOGLETRANSLATE(B1838, ""es"", ""en"")"),"It is large and of good quality is good quality, is large and has good storage, my partner liked him because he has enough compartments and everything is in place")</f>
        <v>It is large and of good quality is good quality, is large and has good storage, my partner liked him because he has enough compartments and everything is in place</v>
      </c>
    </row>
    <row r="1839">
      <c r="A1839" s="1">
        <v>3.0</v>
      </c>
      <c r="B1839" s="1" t="s">
        <v>1829</v>
      </c>
      <c r="C1839" t="str">
        <f>IFERROR(__xludf.DUMMYFUNCTION("GOOGLETRANSLATE(B1839, ""es"", ""en"")"),"All right all right, there is hardly any noise, only appreciated more when heated.")</f>
        <v>All right all right, there is hardly any noise, only appreciated more when heated.</v>
      </c>
    </row>
    <row r="1840">
      <c r="A1840" s="1">
        <v>1.0</v>
      </c>
      <c r="B1840" s="1" t="s">
        <v>1830</v>
      </c>
      <c r="C1840" t="str">
        <f>IFERROR(__xludf.DUMMYFUNCTION("GOOGLETRANSLATE(B1840, ""es"", ""en"")"),"42 looks like a 38 My order arrived in time is expected but my surprise when I sack and the taste, or rather ... I try. My surprise is when shimming 42 and having asked for a shoe 42 is not that outgrow me, is that I can not enter or half foot. Descambiar"&amp;"las now I have to ask another of a size that will not if you will be right for my foot and follow the meantime unable to use a product that should be able to use morning in my day. ¿Draw near with 44 ?, Well I do not know. Indicáis If the numbers do not c"&amp;"orrespond to the actual ought Stating or less report that the size is small, we evitaríais returns and we evitaríais annoyances like right now I have")</f>
        <v>42 looks like a 38 My order arrived in time is expected but my surprise when I sack and the taste, or rather ... I try. My surprise is when shimming 42 and having asked for a shoe 42 is not that outgrow me, is that I can not enter or half foot. Descambiarlas now I have to ask another of a size that will not if you will be right for my foot and follow the meantime unable to use a product that should be able to use morning in my day. ¿Draw near with 44 ?, Well I do not know. Indicáis If the numbers do not correspond to the actual ought Stating or less report that the size is small, we evitaríais returns and we evitaríais annoyances like right now I have</v>
      </c>
    </row>
    <row r="1841">
      <c r="A1841" s="1">
        <v>1.0</v>
      </c>
      <c r="B1841" s="1" t="s">
        <v>1831</v>
      </c>
      <c r="C1841" t="str">
        <f>IFERROR(__xludf.DUMMYFUNCTION("GOOGLETRANSLATE(B1841, ""es"", ""en"")"),"Adidas Superstar I have returned because they are not the original Adidas superstar. They are of poor quality, are not even skin. Adidas says the insole instead of Ortholite. I have the original in another color and the many differences are compared.")</f>
        <v>Adidas Superstar I have returned because they are not the original Adidas superstar. They are of poor quality, are not even skin. Adidas says the insole instead of Ortholite. I have the original in another color and the many differences are compared.</v>
      </c>
    </row>
    <row r="1842">
      <c r="A1842" s="1">
        <v>4.0</v>
      </c>
      <c r="B1842" s="1" t="s">
        <v>1832</v>
      </c>
      <c r="C1842" t="str">
        <f>IFERROR(__xludf.DUMMYFUNCTION("GOOGLETRANSLATE(B1842, ""es"", ""en"")"),"I like Looking at the viewpoint money seems like a very good pendrive, I aesthetically like your material is sturdy and compact size is suitable or is micro button type and is large excess is has a good grip both introduce on the USB drive to remove it bu"&amp;"t not seen Excessive honestly it is one of the pendrive q me but I liked in recent years. Regarding product quality as I am still testeando but Kingston is a brand q really gives me confidence greetings")</f>
        <v>I like Looking at the viewpoint money seems like a very good pendrive, I aesthetically like your material is sturdy and compact size is suitable or is micro button type and is large excess is has a good grip both introduce on the USB drive to remove it but not seen Excessive honestly it is one of the pendrive q me but I liked in recent years. Regarding product quality as I am still testeando but Kingston is a brand q really gives me confidence greetings</v>
      </c>
    </row>
    <row r="1843">
      <c r="A1843" s="1">
        <v>4.0</v>
      </c>
      <c r="B1843" s="1" t="s">
        <v>1833</v>
      </c>
      <c r="C1843" t="str">
        <f>IFERROR(__xludf.DUMMYFUNCTION("GOOGLETRANSLATE(B1843, ""es"", ""en"")"),"a little flimsy but for the price you can not ask larger size, great to put little pictures of the kids :) although it is a bit tenuous.")</f>
        <v>a little flimsy but for the price you can not ask larger size, great to put little pictures of the kids :) although it is a bit tenuous.</v>
      </c>
    </row>
    <row r="1844">
      <c r="A1844" s="1">
        <v>4.0</v>
      </c>
      <c r="B1844" s="1" t="s">
        <v>1834</v>
      </c>
      <c r="C1844" t="str">
        <f>IFERROR(__xludf.DUMMYFUNCTION("GOOGLETRANSLATE(B1844, ""es"", ""en"")"),"Easy to train not have given it 5 stars because the size is very fair! Leggings are of good quality, comfortable to wear and useful for training, no show through and resist. Crossfit do regularly and so far put up! Sweats between legs, buttocks, etc .. no"&amp;"t appreciated !! The size is just, personally recommend buying one size up since they come huddled together (leggings are size sports bra size M and S). great design, good and good sewing material. Good product for quality / price. I recommend")</f>
        <v>Easy to train not have given it 5 stars because the size is very fair! Leggings are of good quality, comfortable to wear and useful for training, no show through and resist. Crossfit do regularly and so far put up! Sweats between legs, buttocks, etc .. not appreciated !! The size is just, personally recommend buying one size up since they come huddled together (leggings are size sports bra size M and S). great design, good and good sewing material. Good product for quality / price. I recommend</v>
      </c>
    </row>
    <row r="1845">
      <c r="A1845" s="1">
        <v>4.0</v>
      </c>
      <c r="B1845" s="1" t="s">
        <v>1835</v>
      </c>
      <c r="C1845" t="str">
        <f>IFERROR(__xludf.DUMMYFUNCTION("GOOGLETRANSLATE(B1845, ""es"", ""en"")"),"Highly recommended 100% recommend this product is comfortable as it has many positions, material like plastic is me because I prefer so weightless and easy to carry and has an ideal measure.")</f>
        <v>Highly recommended 100% recommend this product is comfortable as it has many positions, material like plastic is me because I prefer so weightless and easy to carry and has an ideal measure.</v>
      </c>
    </row>
    <row r="1846">
      <c r="A1846" s="1">
        <v>4.0</v>
      </c>
      <c r="B1846" s="1" t="s">
        <v>1836</v>
      </c>
      <c r="C1846" t="str">
        <f>IFERROR(__xludf.DUMMYFUNCTION("GOOGLETRANSLATE(B1846, ""es"", ""en"")"),"A handy mop and a mop effective This is practically NO PESA (its weight is 350 g) but it Super practice to clean the floor because their daily dusting cloths are very effective. It comes with BAT and handle disassembled into four pieces, three pieces of a"&amp;"luminum and a fourth piece of aluminum coated on the piece of the handle itself, which is quite ergonomic and slip. It is so easy to assemble and, if necessary, disassembly. A mounted time, the whole is robust and stands firm while you're cleaning (I mean"&amp;" you do not have the feeling that it will disassemble at any time). Has a total length of 124 cm, length seems to me appropriate for people of almost any height because we can grab the stick or by the handle or by any of its sections. The handle carries a"&amp;" washer at the top end we can store the mop hanging on a hook on the wall. The MOPA itself (ie the head) measuring 25 x 11 cm and at the top has slits rubber where dusting cloths are fixed. They are very well designed because the cloths were never release"&amp;"d. In the part where the stick is fixed you have a ball joint that can rotate 360 ​​degrees. That it makes it easy to reach any corner of the house and to clean under furniture but the space between them and the ground is little (when we flat mop and pate"&amp;"lla are about 5 cm high). As said, in conjunction with cloths of the same brand is very effective to trap dust from the floor, even between the joints of tiles. Also traps pet hair. Obviously not clean as thoroughly as a robot vacuum cleaner does its job "&amp;"but with the added advantage that you can mopping under furniture where the robot fails because it is too high fine. The kit comes with the mop and 8 parts, specifically, dry cloth. We also have the option to buy wipes moist and so we avoid scrubbing the "&amp;"floor (for example &amp; nbsp; &lt;a data-hook = ""product-link-linked"" class = ""a-link-normal"" href = ""/ - Swiffer-wipes -húmedas-x24 / dp / B003NGXDKM / ref = ie = UTF8 cm_cr_getr_d_rvw_txt ""&gt; - Swiffer wet wipes x24 &lt;/a&gt;). Dry cloths can be washed by han"&amp;"d (not I have dared to put them in the washing machine), and thus can be reused again. It seems to me a kit with a good value.")</f>
        <v>A handy mop and a mop effective This is practically NO PESA (its weight is 350 g) but it Super practice to clean the floor because their daily dusting cloths are very effective. It comes with BAT and handle disassembled into four pieces, three pieces of aluminum and a fourth piece of aluminum coated on the piece of the handle itself, which is quite ergonomic and slip. It is so easy to assemble and, if necessary, disassembly. A mounted time, the whole is robust and stands firm while you're cleaning (I mean you do not have the feeling that it will disassemble at any time). Has a total length of 124 cm, length seems to me appropriate for people of almost any height because we can grab the stick or by the handle or by any of its sections. The handle carries a washer at the top end we can store the mop hanging on a hook on the wall. The MOPA itself (ie the head) measuring 25 x 11 cm and at the top has slits rubber where dusting cloths are fixed. They are very well designed because the cloths were never released. In the part where the stick is fixed you have a ball joint that can rotate 360 ​​degrees. That it makes it easy to reach any corner of the house and to clean under furniture but the space between them and the ground is little (when we flat mop and patella are about 5 cm high). As said, in conjunction with cloths of the same brand is very effective to trap dust from the floor, even between the joints of tiles. Also traps pet hair. Obviously not clean as thoroughly as a robot vacuum cleaner does its job but with the added advantage that you can mopping under furniture where the robot fails because it is too high fine. The kit comes with the mop and 8 parts, specifically, dry cloth. We also have the option to buy wipes moist and so we avoid scrubbing the floor (for example &amp; nbsp; &lt;a data-hook = "product-link-linked" class = "a-link-normal" href = "/ - Swiffer-wipes -húmedas-x24 / dp / B003NGXDKM / ref = ie = UTF8 cm_cr_getr_d_rvw_txt "&gt; - Swiffer wet wipes x24 &lt;/a&gt;). Dry cloths can be washed by hand (not I have dared to put them in the washing machine), and thus can be reused again. It seems to me a kit with a good value.</v>
      </c>
    </row>
    <row r="1847">
      <c r="A1847" s="1">
        <v>5.0</v>
      </c>
      <c r="B1847" s="1" t="s">
        <v>1837</v>
      </c>
      <c r="C1847" t="str">
        <f>IFERROR(__xludf.DUMMYFUNCTION("GOOGLETRANSLATE(B1847, ""es"", ""en"")"),"reliability Perfect")</f>
        <v>reliability Perfect</v>
      </c>
    </row>
    <row r="1848">
      <c r="A1848" s="1">
        <v>5.0</v>
      </c>
      <c r="B1848" s="1" t="s">
        <v>1838</v>
      </c>
      <c r="C1848" t="str">
        <f>IFERROR(__xludf.DUMMYFUNCTION("GOOGLETRANSLATE(B1848, ""es"", ""en"")"),"Good value pleasantly surprised with these headphones on a budget price range. Cable apparently resistant. Metal connectors and headphones that gives a touch of quality. The box comes with a carrying bag, a clamp to hold the cable and replace pads. They a"&amp;"re very comfortable and I even running mate. Sound with good bass and clarity than good. The headset seals well enough in the ear and no sound is received from the outside")</f>
        <v>Good value pleasantly surprised with these headphones on a budget price range. Cable apparently resistant. Metal connectors and headphones that gives a touch of quality. The box comes with a carrying bag, a clamp to hold the cable and replace pads. They are very comfortable and I even running mate. Sound with good bass and clarity than good. The headset seals well enough in the ear and no sound is received from the outside</v>
      </c>
    </row>
    <row r="1849">
      <c r="A1849" s="1">
        <v>5.0</v>
      </c>
      <c r="B1849" s="1" t="s">
        <v>1839</v>
      </c>
      <c r="C1849" t="str">
        <f>IFERROR(__xludf.DUMMYFUNCTION("GOOGLETRANSLATE(B1849, ""es"", ""en"")"),"BEAUTIFUL AND FEEL GREAT I'm very glad I bought these sports tights. They are very good quality and have good back end tipo.Sientan great. I RECOMMEND IT.")</f>
        <v>BEAUTIFUL AND FEEL GREAT I'm very glad I bought these sports tights. They are very good quality and have good back end tipo.Sientan great. I RECOMMEND IT.</v>
      </c>
    </row>
    <row r="1850">
      <c r="A1850" s="1">
        <v>5.0</v>
      </c>
      <c r="B1850" s="1" t="s">
        <v>1840</v>
      </c>
      <c r="C1850" t="str">
        <f>IFERROR(__xludf.DUMMYFUNCTION("GOOGLETRANSLATE(B1850, ""es"", ""en"")"),"Ideal price quality. Perfect and good.")</f>
        <v>Ideal price quality. Perfect and good.</v>
      </c>
    </row>
    <row r="1851">
      <c r="A1851" s="1">
        <v>5.0</v>
      </c>
      <c r="B1851" s="1" t="s">
        <v>1841</v>
      </c>
      <c r="C1851" t="str">
        <f>IFERROR(__xludf.DUMMYFUNCTION("GOOGLETRANSLATE(B1851, ""es"", ""en"")"),"Fulfills its function properly fulfills its function correctly")</f>
        <v>Fulfills its function properly fulfills its function correctly</v>
      </c>
    </row>
    <row r="1852">
      <c r="A1852" s="1">
        <v>5.0</v>
      </c>
      <c r="B1852" s="1" t="s">
        <v>1842</v>
      </c>
      <c r="C1852" t="str">
        <f>IFERROR(__xludf.DUMMYFUNCTION("GOOGLETRANSLATE(B1852, ""es"", ""en"")"),"Super cool Super cool")</f>
        <v>Super cool Super cool</v>
      </c>
    </row>
    <row r="1853">
      <c r="A1853" s="1">
        <v>5.0</v>
      </c>
      <c r="B1853" s="1" t="s">
        <v>1843</v>
      </c>
      <c r="C1853" t="str">
        <f>IFERROR(__xludf.DUMMYFUNCTION("GOOGLETRANSLATE(B1853, ""es"", ""en"")"),"OK perfect")</f>
        <v>OK perfect</v>
      </c>
    </row>
    <row r="1854">
      <c r="A1854" s="1">
        <v>5.0</v>
      </c>
      <c r="B1854" s="1" t="s">
        <v>1844</v>
      </c>
      <c r="C1854" t="str">
        <f>IFERROR(__xludf.DUMMYFUNCTION("GOOGLETRANSLATE(B1854, ""es"", ""en"")"),"Perfect is great for cleaning the blades of the termomix. Reaches every corner, I'm happy with the brush.")</f>
        <v>Perfect is great for cleaning the blades of the termomix. Reaches every corner, I'm happy with the brush.</v>
      </c>
    </row>
    <row r="1855">
      <c r="A1855" s="1">
        <v>5.0</v>
      </c>
      <c r="B1855" s="1" t="s">
        <v>1845</v>
      </c>
      <c r="C1855" t="str">
        <f>IFERROR(__xludf.DUMMYFUNCTION("GOOGLETRANSLATE(B1855, ""es"", ""en"")"),"Perfect, expected already knew because I had other equally and fits perfectly expected. I recommend it without any doubt")</f>
        <v>Perfect, expected already knew because I had other equally and fits perfectly expected. I recommend it without any doubt</v>
      </c>
    </row>
    <row r="1856">
      <c r="A1856" s="1">
        <v>5.0</v>
      </c>
      <c r="B1856" s="1" t="s">
        <v>1846</v>
      </c>
      <c r="C1856" t="str">
        <f>IFERROR(__xludf.DUMMYFUNCTION("GOOGLETRANSLATE(B1856, ""es"", ""en"")"),"It is known seguna time I buy this model. The first he was damaged but it served very well 5 years. Regarding size and light logical to say that I see (something that I value), not like the ""medieval shields"" that are so fashionable now. Perfect for me.")</f>
        <v>It is known seguna time I buy this model. The first he was damaged but it served very well 5 years. Regarding size and light logical to say that I see (something that I value), not like the "medieval shields" that are so fashionable now. Perfect for me.</v>
      </c>
    </row>
    <row r="1857">
      <c r="A1857" s="1">
        <v>5.0</v>
      </c>
      <c r="B1857" s="1" t="s">
        <v>1847</v>
      </c>
      <c r="C1857" t="str">
        <f>IFERROR(__xludf.DUMMYFUNCTION("GOOGLETRANSLATE(B1857, ""es"", ""en"")"),"good card Maybe it's good or I was lucky, but for now luxury. I have it mounted on a raspberry that (among other things) take photos and timelapses every 10-20 '(the files are around 2MB-300MB). A being fed by solar panel, sudden cuts are common, and I re"&amp;"member that I have not had a problem in 1 year (fingers crossed ...). The operating temperature not think there down 5 ° C, but in summer if it will have been by 40 ° -50 ° C.")</f>
        <v>good card Maybe it's good or I was lucky, but for now luxury. I have it mounted on a raspberry that (among other things) take photos and timelapses every 10-20 '(the files are around 2MB-300MB). A being fed by solar panel, sudden cuts are common, and I remember that I have not had a problem in 1 year (fingers crossed ...). The operating temperature not think there down 5 ° C, but in summer if it will have been by 40 ° -50 ° C.</v>
      </c>
    </row>
    <row r="1858">
      <c r="A1858" s="1">
        <v>5.0</v>
      </c>
      <c r="B1858" s="1" t="s">
        <v>1848</v>
      </c>
      <c r="C1858" t="str">
        <f>IFERROR(__xludf.DUMMYFUNCTION("GOOGLETRANSLATE(B1858, ""es"", ""en"")"),"Value very good. I really like I put 10 days ago and have not removed me are comfortable and do not give allergy.")</f>
        <v>Value very good. I really like I put 10 days ago and have not removed me are comfortable and do not give allergy.</v>
      </c>
    </row>
    <row r="1859">
      <c r="A1859" s="1">
        <v>5.0</v>
      </c>
      <c r="B1859" s="1" t="s">
        <v>1849</v>
      </c>
      <c r="C1859" t="str">
        <f>IFERROR(__xludf.DUMMYFUNCTION("GOOGLETRANSLATE(B1859, ""es"", ""en"")"),"Perfect. I repeated and repeat Ideal. So I ended up buying more for me and most of my family ... The proper size. The inside is super soft, great adapts to the body and it dries very quickly. A few things I can give as good score. By putting a small but: "&amp;"the dark colorfast something (slightly) if you take another clear garment.")</f>
        <v>Perfect. I repeated and repeat Ideal. So I ended up buying more for me and most of my family ... The proper size. The inside is super soft, great adapts to the body and it dries very quickly. A few things I can give as good score. By putting a small but: the dark colorfast something (slightly) if you take another clear garment.</v>
      </c>
    </row>
    <row r="1860">
      <c r="A1860" s="1">
        <v>5.0</v>
      </c>
      <c r="B1860" s="1" t="s">
        <v>1850</v>
      </c>
      <c r="C1860" t="str">
        <f>IFERROR(__xludf.DUMMYFUNCTION("GOOGLETRANSLATE(B1860, ""es"", ""en"")"),"Anonymous I've had boots of this brand and continues to meet in comfort and quality. Good product and good price, recommended")</f>
        <v>Anonymous I've had boots of this brand and continues to meet in comfort and quality. Good product and good price, recommended</v>
      </c>
    </row>
    <row r="1861">
      <c r="A1861" s="1">
        <v>5.0</v>
      </c>
      <c r="B1861" s="1" t="s">
        <v>1851</v>
      </c>
      <c r="C1861" t="str">
        <f>IFERROR(__xludf.DUMMYFUNCTION("GOOGLETRANSLATE(B1861, ""es"", ""en"")"),"Good for what is on the assessment of whether relieves pain, it all depends on each person that question should be left over and q is not a drug.")</f>
        <v>Good for what is on the assessment of whether relieves pain, it all depends on each person that question should be left over and q is not a drug.</v>
      </c>
    </row>
    <row r="1862">
      <c r="A1862" s="1">
        <v>5.0</v>
      </c>
      <c r="B1862" s="1" t="s">
        <v>1852</v>
      </c>
      <c r="C1862" t="str">
        <f>IFERROR(__xludf.DUMMYFUNCTION("GOOGLETRANSLATE(B1862, ""es"", ""en"")"),"A mismatched width making the purchase indicated that it was wide special 2E, the product is wide standard.")</f>
        <v>A mismatched width making the purchase indicated that it was wide special 2E, the product is wide standard.</v>
      </c>
    </row>
    <row r="1863">
      <c r="A1863" s="1">
        <v>5.0</v>
      </c>
      <c r="B1863" s="1" t="s">
        <v>1853</v>
      </c>
      <c r="C1863" t="str">
        <f>IFERROR(__xludf.DUMMYFUNCTION("GOOGLETRANSLATE(B1863, ""es"", ""en"")"),"Perfect! They are the most comfortable shoes I've never been, I recommend 100% !!")</f>
        <v>Perfect! They are the most comfortable shoes I've never been, I recommend 100% !!</v>
      </c>
    </row>
    <row r="1864">
      <c r="A1864" s="1">
        <v>5.0</v>
      </c>
      <c r="B1864" s="1" t="s">
        <v>1854</v>
      </c>
      <c r="C1864" t="str">
        <f>IFERROR(__xludf.DUMMYFUNCTION("GOOGLETRANSLATE(B1864, ""es"", ""en"")"),"very good I like everything comfortable")</f>
        <v>very good I like everything comfortable</v>
      </c>
    </row>
    <row r="1865">
      <c r="A1865" s="1">
        <v>5.0</v>
      </c>
      <c r="B1865" s="1" t="s">
        <v>1855</v>
      </c>
      <c r="C1865" t="str">
        <f>IFERROR(__xludf.DUMMYFUNCTION("GOOGLETRANSLATE(B1865, ""es"", ""en"")"),"Good Oscar velvet brush discs, does not scratch and remove the dust particles easily, as the lid paste containing the cleaning brush is slightly loose.")</f>
        <v>Good Oscar velvet brush discs, does not scratch and remove the dust particles easily, as the lid paste containing the cleaning brush is slightly loose.</v>
      </c>
    </row>
    <row r="1866">
      <c r="A1866" s="1">
        <v>2.0</v>
      </c>
      <c r="B1866" s="1" t="s">
        <v>1856</v>
      </c>
      <c r="C1866" t="str">
        <f>IFERROR(__xludf.DUMMYFUNCTION("GOOGLETRANSLATE(B1866, ""es"", ""en"")"),"Good disappointment, I come to the shelter today and it turns out that the inside pocket is broken and has a hole")</f>
        <v>Good disappointment, I come to the shelter today and it turns out that the inside pocket is broken and has a hole</v>
      </c>
    </row>
    <row r="1867">
      <c r="A1867" s="1">
        <v>3.0</v>
      </c>
      <c r="B1867" s="1" t="s">
        <v>1857</v>
      </c>
      <c r="C1867" t="str">
        <f>IFERROR(__xludf.DUMMYFUNCTION("GOOGLETRANSLATE(B1867, ""es"", ""en"")"),"Good sound, but bad at everything else. The sound quality is good, but the manufacturing materials are bad (I broke a few weeks of use) and shape of the hulls is very uncomfortable to the point of hurting. And if I had to devir more, it lacks a volume con"&amp;"troller as well as a button to pause music and skip songs.")</f>
        <v>Good sound, but bad at everything else. The sound quality is good, but the manufacturing materials are bad (I broke a few weeks of use) and shape of the hulls is very uncomfortable to the point of hurting. And if I had to devir more, it lacks a volume controller as well as a button to pause music and skip songs.</v>
      </c>
    </row>
    <row r="1868">
      <c r="A1868" s="1">
        <v>3.0</v>
      </c>
      <c r="B1868" s="1" t="s">
        <v>1858</v>
      </c>
      <c r="C1868" t="str">
        <f>IFERROR(__xludf.DUMMYFUNCTION("GOOGLETRANSLATE(B1868, ""es"", ""en"")"),"Meli very small number")</f>
        <v>Meli very small number</v>
      </c>
    </row>
    <row r="1869">
      <c r="A1869" s="1">
        <v>1.0</v>
      </c>
      <c r="B1869" s="1" t="s">
        <v>1859</v>
      </c>
      <c r="C1869" t="str">
        <f>IFERROR(__xludf.DUMMYFUNCTION("GOOGLETRANSLATE(B1869, ""es"", ""en"")"),"False is false, do not buy it but some models are fake pictures online look at him")</f>
        <v>False is false, do not buy it but some models are fake pictures online look at him</v>
      </c>
    </row>
    <row r="1870">
      <c r="A1870" s="1">
        <v>1.0</v>
      </c>
      <c r="B1870" s="1" t="s">
        <v>1860</v>
      </c>
      <c r="C1870" t="str">
        <f>IFERROR(__xludf.DUMMYFUNCTION("GOOGLETRANSLATE(B1870, ""es"", ""en"")"),"Eye, something cheap is cheap for what it is and the price it is what is described. Simple, inexpensive and useful. Of time I actually works perfect and is water resistant to normal activities swimming in fresh water. I correct after a few months of use: "&amp;"Replace the battery to the month because it stopped working. Yesterday again equal. Result: watch away.")</f>
        <v>Eye, something cheap is cheap for what it is and the price it is what is described. Simple, inexpensive and useful. Of time I actually works perfect and is water resistant to normal activities swimming in fresh water. I correct after a few months of use: Replace the battery to the month because it stopped working. Yesterday again equal. Result: watch away.</v>
      </c>
    </row>
    <row r="1871">
      <c r="A1871" s="1">
        <v>4.0</v>
      </c>
      <c r="B1871" s="1" t="s">
        <v>1861</v>
      </c>
      <c r="C1871" t="str">
        <f>IFERROR(__xludf.DUMMYFUNCTION("GOOGLETRANSLATE(B1871, ""es"", ""en"")"),"Well I had the clock for several weeks. It does everything it claims. I bought it because I wanted an easy dial to see without using my reading glasses. I watched 24/7 even in the shower without problems I Have had the watch for Several weeks. It does all"&amp;" that is Claimed. I bought it as I wanted an easy to see dial without the need to wear my reading Spectacles. I wear 24/7 Including in the shower without any problem")</f>
        <v>Well I had the clock for several weeks. It does everything it claims. I bought it because I wanted an easy dial to see without using my reading glasses. I watched 24/7 even in the shower without problems I Have had the watch for Several weeks. It does all that is Claimed. I bought it as I wanted an easy to see dial without the need to wear my reading Spectacles. I wear 24/7 Including in the shower without any problem</v>
      </c>
    </row>
    <row r="1872">
      <c r="A1872" s="1">
        <v>4.0</v>
      </c>
      <c r="B1872" s="1" t="s">
        <v>1862</v>
      </c>
      <c r="C1872" t="str">
        <f>IFERROR(__xludf.DUMMYFUNCTION("GOOGLETRANSLATE(B1872, ""es"", ""en"")"),"Very high in back I ordered a 37 which is the size you used and I is a big Pelin, that I've solved it by putting some templates, do their job, do not slip and are nice but the fault is that they are too high in the heel and when make a day 10 or 14h with "&amp;"just the feet and legs destroyed, it is almost like working on heels. For shorter working days are ideal because with the air chamber seems Andes floating, failure is the height of the heel")</f>
        <v>Very high in back I ordered a 37 which is the size you used and I is a big Pelin, that I've solved it by putting some templates, do their job, do not slip and are nice but the fault is that they are too high in the heel and when make a day 10 or 14h with just the feet and legs destroyed, it is almost like working on heels. For shorter working days are ideal because with the air chamber seems Andes floating, failure is the height of the heel</v>
      </c>
    </row>
    <row r="1873">
      <c r="A1873" s="1">
        <v>4.0</v>
      </c>
      <c r="B1873" s="1" t="s">
        <v>1863</v>
      </c>
      <c r="C1873" t="str">
        <f>IFERROR(__xludf.DUMMYFUNCTION("GOOGLETRANSLATE(B1873, ""es"", ""en"")"),"Right Slightly smaller than expected q. The design is very nice")</f>
        <v>Right Slightly smaller than expected q. The design is very nice</v>
      </c>
    </row>
    <row r="1874">
      <c r="A1874" s="1">
        <v>4.0</v>
      </c>
      <c r="B1874" s="1" t="s">
        <v>1864</v>
      </c>
      <c r="C1874" t="str">
        <f>IFERROR(__xludf.DUMMYFUNCTION("GOOGLETRANSLATE(B1874, ""es"", ""en"")"),"Comfortable and good organization Although the filer is plastic is very convenient for organizing documents and with great capacity.")</f>
        <v>Comfortable and good organization Although the filer is plastic is very convenient for organizing documents and with great capacity.</v>
      </c>
    </row>
    <row r="1875">
      <c r="A1875" s="1">
        <v>5.0</v>
      </c>
      <c r="B1875" s="1" t="s">
        <v>1865</v>
      </c>
      <c r="C1875" t="str">
        <f>IFERROR(__xludf.DUMMYFUNCTION("GOOGLETRANSLATE(B1875, ""es"", ""en"")"),"Good value for money Good quality for the price being an expensive brand")</f>
        <v>Good value for money Good quality for the price being an expensive brand</v>
      </c>
    </row>
    <row r="1876">
      <c r="A1876" s="1">
        <v>5.0</v>
      </c>
      <c r="B1876" s="1" t="s">
        <v>1866</v>
      </c>
      <c r="C1876" t="str">
        <f>IFERROR(__xludf.DUMMYFUNCTION("GOOGLETRANSLATE(B1876, ""es"", ""en"")"),"Guaranteed quality It is buying penalty, the people behind this product are people working to improve day after day and it shows, nothing else to buy it before I arrive I knew already that I sent an email thanking them for esque buy it and see nothing but"&amp;" notes headphones that have very well kept, they are comfortable, durable and have a nice cable. Recommended if you want quality headphones.")</f>
        <v>Guaranteed quality It is buying penalty, the people behind this product are people working to improve day after day and it shows, nothing else to buy it before I arrive I knew already that I sent an email thanking them for esque buy it and see nothing but notes headphones that have very well kept, they are comfortable, durable and have a nice cable. Recommended if you want quality headphones.</v>
      </c>
    </row>
    <row r="1877">
      <c r="A1877" s="1">
        <v>5.0</v>
      </c>
      <c r="B1877" s="1" t="s">
        <v>1867</v>
      </c>
      <c r="C1877" t="str">
        <f>IFERROR(__xludf.DUMMYFUNCTION("GOOGLETRANSLATE(B1877, ""es"", ""en"")"),"Perfect for the price they have surprised me a lot. Good sound and control functions other thing that does not happen.")</f>
        <v>Perfect for the price they have surprised me a lot. Good sound and control functions other thing that does not happen.</v>
      </c>
    </row>
    <row r="1878">
      <c r="A1878" s="1">
        <v>5.0</v>
      </c>
      <c r="B1878" s="1" t="s">
        <v>1868</v>
      </c>
      <c r="C1878" t="str">
        <f>IFERROR(__xludf.DUMMYFUNCTION("GOOGLETRANSLATE(B1878, ""es"", ""en"")"),"I ordered my usual came big size in shoes but this style came to me bigger, recommend buying a number less usual. However I asked for the change, and came three days the other pair. I recommend it.")</f>
        <v>I ordered my usual came big size in shoes but this style came to me bigger, recommend buying a number less usual. However I asked for the change, and came three days the other pair. I recommend it.</v>
      </c>
    </row>
    <row r="1879">
      <c r="A1879" s="1">
        <v>5.0</v>
      </c>
      <c r="B1879" s="1" t="s">
        <v>1869</v>
      </c>
      <c r="C1879" t="str">
        <f>IFERROR(__xludf.DUMMYFUNCTION("GOOGLETRANSLATE(B1879, ""es"", ""en"")"),"As the speed with order")</f>
        <v>As the speed with order</v>
      </c>
    </row>
    <row r="1880">
      <c r="A1880" s="1">
        <v>5.0</v>
      </c>
      <c r="B1880" s="1" t="s">
        <v>1870</v>
      </c>
      <c r="C1880" t="str">
        <f>IFERROR(__xludf.DUMMYFUNCTION("GOOGLETRANSLATE(B1880, ""es"", ""en"")"),"Perfect in everything! The product is silicon and stainless steel. Price / excellent quality, easy to use and wash. I recommend it 100% purchase great.")</f>
        <v>Perfect in everything! The product is silicon and stainless steel. Price / excellent quality, easy to use and wash. I recommend it 100% purchase great.</v>
      </c>
    </row>
    <row r="1881">
      <c r="A1881" s="1">
        <v>5.0</v>
      </c>
      <c r="B1881" s="1" t="s">
        <v>1871</v>
      </c>
      <c r="C1881" t="str">
        <f>IFERROR(__xludf.DUMMYFUNCTION("GOOGLETRANSLATE(B1881, ""es"", ""en"")"),"The price is awesome and you get it FAST !! I LOVE this article I LOVE this article &amp; nbsp;! I Amazon Music on my phone and now this makes it much easier not to mention the ability to answer calls. &amp; Nbsp; The price is awesome and you get it FAST !!")</f>
        <v>The price is awesome and you get it FAST !! I LOVE this article I LOVE this article &amp; nbsp;! I Amazon Music on my phone and now this makes it much easier not to mention the ability to answer calls. &amp; Nbsp; The price is awesome and you get it FAST !!</v>
      </c>
    </row>
    <row r="1882">
      <c r="A1882" s="1">
        <v>5.0</v>
      </c>
      <c r="B1882" s="1" t="s">
        <v>1872</v>
      </c>
      <c r="C1882" t="str">
        <f>IFERROR(__xludf.DUMMYFUNCTION("GOOGLETRANSLATE(B1882, ""es"", ""en"")"),"A very functional wonder I have left quite surprised, I wanted to listen to music, but testing I realized that they are extremely versatile, as the can use hands-free talking on the phone (both wired and BT) that can use a headset for the Xbox, connecting"&amp;" cable to the controller with adapter to CTIA OMTP. Very happy with the purchase.")</f>
        <v>A very functional wonder I have left quite surprised, I wanted to listen to music, but testing I realized that they are extremely versatile, as the can use hands-free talking on the phone (both wired and BT) that can use a headset for the Xbox, connecting cable to the controller with adapter to CTIA OMTP. Very happy with the purchase.</v>
      </c>
    </row>
    <row r="1883">
      <c r="A1883" s="1">
        <v>5.0</v>
      </c>
      <c r="B1883" s="1" t="s">
        <v>1873</v>
      </c>
      <c r="C1883" t="str">
        <f>IFERROR(__xludf.DUMMYFUNCTION("GOOGLETRANSLATE(B1883, ""es"", ""en"")"),"Oriculares I go beautifully pole to take down the oricular calls even with another brand TLF with xiaomi")</f>
        <v>Oriculares I go beautifully pole to take down the oricular calls even with another brand TLF with xiaomi</v>
      </c>
    </row>
    <row r="1884">
      <c r="A1884" s="1">
        <v>5.0</v>
      </c>
      <c r="B1884" s="1" t="s">
        <v>1874</v>
      </c>
      <c r="C1884" t="str">
        <f>IFERROR(__xludf.DUMMYFUNCTION("GOOGLETRANSLATE(B1884, ""es"", ""en"")"),"Good blender has so far not given me any problems. Working properly and you can be quickly disassembled for cleaning. I recommend it")</f>
        <v>Good blender has so far not given me any problems. Working properly and you can be quickly disassembled for cleaning. I recommend it</v>
      </c>
    </row>
    <row r="1885">
      <c r="A1885" s="1">
        <v>5.0</v>
      </c>
      <c r="B1885" s="1" t="s">
        <v>1875</v>
      </c>
      <c r="C1885" t="str">
        <f>IFERROR(__xludf.DUMMYFUNCTION("GOOGLETRANSLATE(B1885, ""es"", ""en"")"),"Perfect is very nice to buy it for my father does not see very well and is contentisimo")</f>
        <v>Perfect is very nice to buy it for my father does not see very well and is contentisimo</v>
      </c>
    </row>
    <row r="1886">
      <c r="A1886" s="1">
        <v>5.0</v>
      </c>
      <c r="B1886" s="1" t="s">
        <v>1876</v>
      </c>
      <c r="C1886" t="str">
        <f>IFERROR(__xludf.DUMMYFUNCTION("GOOGLETRANSLATE(B1886, ""es"", ""en"")"),"Good it makes its role in short,")</f>
        <v>Good it makes its role in short,</v>
      </c>
    </row>
    <row r="1887">
      <c r="A1887" s="1">
        <v>5.0</v>
      </c>
      <c r="B1887" s="1" t="s">
        <v>1425</v>
      </c>
      <c r="C1887" t="str">
        <f>IFERROR(__xludf.DUMMYFUNCTION("GOOGLETRANSLATE(B1887, ""es"", ""en"")"),"perfect perfect")</f>
        <v>perfect perfect</v>
      </c>
    </row>
    <row r="1888">
      <c r="A1888" s="1">
        <v>5.0</v>
      </c>
      <c r="B1888" s="1" t="s">
        <v>1877</v>
      </c>
      <c r="C1888" t="str">
        <f>IFERROR(__xludf.DUMMYFUNCTION("GOOGLETRANSLATE(B1888, ""es"", ""en"")"),"Small and spacious Great for day to day portfolio fits perfectly mobile keys and a little something more")</f>
        <v>Small and spacious Great for day to day portfolio fits perfectly mobile keys and a little something more</v>
      </c>
    </row>
    <row r="1889">
      <c r="A1889" s="1">
        <v>5.0</v>
      </c>
      <c r="B1889" s="1" t="s">
        <v>1878</v>
      </c>
      <c r="C1889" t="str">
        <f>IFERROR(__xludf.DUMMYFUNCTION("GOOGLETRANSLATE(B1889, ""es"", ""en"")"),"Very nice and simple missus have loved you. Weigh nothing at all and he says they are comfortable. By design theme they are very nice and simple at the same time. I recommend it. In addition, as a detail, it is something that attracts attention and surely"&amp;" like.")</f>
        <v>Very nice and simple missus have loved you. Weigh nothing at all and he says they are comfortable. By design theme they are very nice and simple at the same time. I recommend it. In addition, as a detail, it is something that attracts attention and surely like.</v>
      </c>
    </row>
    <row r="1890">
      <c r="A1890" s="1">
        <v>5.0</v>
      </c>
      <c r="B1890" s="1" t="s">
        <v>1879</v>
      </c>
      <c r="C1890" t="str">
        <f>IFERROR(__xludf.DUMMYFUNCTION("GOOGLETRANSLATE(B1890, ""es"", ""en"")"),"Ok Comfortable sizes are very very fair")</f>
        <v>Ok Comfortable sizes are very very fair</v>
      </c>
    </row>
    <row r="1891">
      <c r="A1891" s="1">
        <v>5.0</v>
      </c>
      <c r="B1891" s="1" t="s">
        <v>1880</v>
      </c>
      <c r="C1891" t="str">
        <f>IFERROR(__xludf.DUMMYFUNCTION("GOOGLETRANSLATE(B1891, ""es"", ""en"")"),"Atria bluetooth I have really enjoyed these Bluetooth headphones. I find them a good choice for value for money. They are very comfortable to wear, do not bother though use for extended periods like me. The operation is very simple and pairing with the pl"&amp;"ayer has not given me problems at any time. They come in a box or carrying case with 800mAh battery, which can fully charge the headset from 7 or 8 times before having to recharge the battery. The truth is that you hear very well; I use them in the gym an"&amp;"d have always heard so sharp. For now I am very satisfied with the purchase.")</f>
        <v>Atria bluetooth I have really enjoyed these Bluetooth headphones. I find them a good choice for value for money. They are very comfortable to wear, do not bother though use for extended periods like me. The operation is very simple and pairing with the player has not given me problems at any time. They come in a box or carrying case with 800mAh battery, which can fully charge the headset from 7 or 8 times before having to recharge the battery. The truth is that you hear very well; I use them in the gym and have always heard so sharp. For now I am very satisfied with the purchase.</v>
      </c>
    </row>
    <row r="1892">
      <c r="A1892" s="1">
        <v>5.0</v>
      </c>
      <c r="B1892" s="1" t="s">
        <v>1881</v>
      </c>
      <c r="C1892" t="str">
        <f>IFERROR(__xludf.DUMMYFUNCTION("GOOGLETRANSLATE(B1892, ""es"", ""en"")"),"Very good truth are very comfortable to work are perfect and are very breathable s are very light and very good product")</f>
        <v>Very good truth are very comfortable to work are perfect and are very breathable s are very light and very good product</v>
      </c>
    </row>
    <row r="1893">
      <c r="A1893" s="1">
        <v>5.0</v>
      </c>
      <c r="B1893" s="1" t="s">
        <v>1882</v>
      </c>
      <c r="C1893" t="str">
        <f>IFERROR(__xludf.DUMMYFUNCTION("GOOGLETRANSLATE(B1893, ""es"", ""en"")"),"Excellent excellent design stainless steel design. It works very well.")</f>
        <v>Excellent excellent design stainless steel design. It works very well.</v>
      </c>
    </row>
    <row r="1894">
      <c r="A1894" s="1">
        <v>2.0</v>
      </c>
      <c r="B1894" s="1" t="s">
        <v>1883</v>
      </c>
      <c r="C1894" t="str">
        <f>IFERROR(__xludf.DUMMYFUNCTION("GOOGLETRANSLATE(B1894, ""es"", ""en"")"),"It's not what I was looking only takes reinforcement to sweat at the waist, not at all pantalon")</f>
        <v>It's not what I was looking only takes reinforcement to sweat at the waist, not at all pantalon</v>
      </c>
    </row>
    <row r="1895">
      <c r="A1895" s="1">
        <v>3.0</v>
      </c>
      <c r="B1895" s="1" t="s">
        <v>1884</v>
      </c>
      <c r="C1895" t="str">
        <f>IFERROR(__xludf.DUMMYFUNCTION("GOOGLETRANSLATE(B1895, ""es"", ""en"")"),"Okay but small article it is fine. However, it is not what we already expected that the clock is small enough for a normal adult wrist. If not buy it when I saw good specifications, but I think they were not fastened securely. Anyway, I'm just saying be c"&amp;"areful because it can be much smaller than you think.")</f>
        <v>Okay but small article it is fine. However, it is not what we already expected that the clock is small enough for a normal adult wrist. If not buy it when I saw good specifications, but I think they were not fastened securely. Anyway, I'm just saying be careful because it can be much smaller than you think.</v>
      </c>
    </row>
    <row r="1896">
      <c r="A1896" s="1">
        <v>1.0</v>
      </c>
      <c r="B1896" s="1" t="s">
        <v>1885</v>
      </c>
      <c r="C1896" t="str">
        <f>IFERROR(__xludf.DUMMYFUNCTION("GOOGLETRANSLATE(B1896, ""es"", ""en"")"),"Frail Poor quality")</f>
        <v>Frail Poor quality</v>
      </c>
    </row>
    <row r="1897">
      <c r="A1897" s="1">
        <v>1.0</v>
      </c>
      <c r="B1897" s="1" t="s">
        <v>1886</v>
      </c>
      <c r="C1897" t="str">
        <f>IFERROR(__xludf.DUMMYFUNCTION("GOOGLETRANSLATE(B1897, ""es"", ""en"")"),"Disgusting Puts it is a universal microphone stand, trying to use it to mine he has scratched to complete this practically to pull, and logically do not take care of the repair or replacement of the microphone")</f>
        <v>Disgusting Puts it is a universal microphone stand, trying to use it to mine he has scratched to complete this practically to pull, and logically do not take care of the repair or replacement of the microphone</v>
      </c>
    </row>
    <row r="1898">
      <c r="A1898" s="1">
        <v>4.0</v>
      </c>
      <c r="B1898" s="1" t="s">
        <v>1887</v>
      </c>
      <c r="C1898" t="str">
        <f>IFERROR(__xludf.DUMMYFUNCTION("GOOGLETRANSLATE(B1898, ""es"", ""en"")"),"For home user more than enough suitable only for simultaneous voice and a guitar")</f>
        <v>For home user more than enough suitable only for simultaneous voice and a guitar</v>
      </c>
    </row>
    <row r="1899">
      <c r="A1899" s="1">
        <v>4.0</v>
      </c>
      <c r="B1899" s="1" t="s">
        <v>1888</v>
      </c>
      <c r="C1899" t="str">
        <f>IFERROR(__xludf.DUMMYFUNCTION("GOOGLETRANSLATE(B1899, ""es"", ""en"")"),"Perfect fit foot Perfectly fit the foot, which is important when making routes up the mountain. But for my taste, exert too much pressure on the ankle (and my ankles are fine) and can cause feet to swell while walking.")</f>
        <v>Perfect fit foot Perfectly fit the foot, which is important when making routes up the mountain. But for my taste, exert too much pressure on the ankle (and my ankles are fine) and can cause feet to swell while walking.</v>
      </c>
    </row>
    <row r="1900">
      <c r="A1900" s="1">
        <v>4.0</v>
      </c>
      <c r="B1900" s="1" t="s">
        <v>1889</v>
      </c>
      <c r="C1900" t="str">
        <f>IFERROR(__xludf.DUMMYFUNCTION("GOOGLETRANSLATE(B1900, ""es"", ""en"")"),"Cheap and sturdy After evaluating the different formats pendrive and many existing brands, I decided on this for comments he had robustness and competitive price. I love the design, it is small, elegant and seems durable, but it only would it would it wou"&amp;"ld be interesting to incorporate an indicator LED read / write data.")</f>
        <v>Cheap and sturdy After evaluating the different formats pendrive and many existing brands, I decided on this for comments he had robustness and competitive price. I love the design, it is small, elegant and seems durable, but it only would it would it would be interesting to incorporate an indicator LED read / write data.</v>
      </c>
    </row>
    <row r="1901">
      <c r="A1901" s="1">
        <v>4.0</v>
      </c>
      <c r="B1901" s="1" t="s">
        <v>1890</v>
      </c>
      <c r="C1901" t="str">
        <f>IFERROR(__xludf.DUMMYFUNCTION("GOOGLETRANSLATE(B1901, ""es"", ""en"")"),"ENCHANTED've been using it a few weeks and just what I needed. Does not occupy much space and stored as juice (is poured directly into the glasses) can squeeze much or little without having to empty the jar. It is easy to clean and resistant material. The"&amp;" price seemed right to me.")</f>
        <v>ENCHANTED've been using it a few weeks and just what I needed. Does not occupy much space and stored as juice (is poured directly into the glasses) can squeeze much or little without having to empty the jar. It is easy to clean and resistant material. The price seemed right to me.</v>
      </c>
    </row>
    <row r="1902">
      <c r="A1902" s="1">
        <v>4.0</v>
      </c>
      <c r="B1902" s="1" t="s">
        <v>1891</v>
      </c>
      <c r="C1902" t="str">
        <f>IFERROR(__xludf.DUMMYFUNCTION("GOOGLETRANSLATE(B1902, ""es"", ""en"")"),"I feel comfortable good product, good fabric and clothing")</f>
        <v>I feel comfortable good product, good fabric and clothing</v>
      </c>
    </row>
    <row r="1903">
      <c r="A1903" s="1">
        <v>5.0</v>
      </c>
      <c r="B1903" s="1" t="s">
        <v>1892</v>
      </c>
      <c r="C1903" t="str">
        <f>IFERROR(__xludf.DUMMYFUNCTION("GOOGLETRANSLATE(B1903, ""es"", ""en"")"),"Good comfortable, to say of them, are Havaianas !!!")</f>
        <v>Good comfortable, to say of them, are Havaianas !!!</v>
      </c>
    </row>
    <row r="1904">
      <c r="A1904" s="1">
        <v>5.0</v>
      </c>
      <c r="B1904" s="1" t="s">
        <v>1893</v>
      </c>
      <c r="C1904" t="str">
        <f>IFERROR(__xludf.DUMMYFUNCTION("GOOGLETRANSLATE(B1904, ""es"", ""en"")"),"Better than expected Boil water in no time. Infusions were prepared at a time as the jug is removed from the base and is heat. Exceptional value to the least when I buy it. I arrive before marking time. Cable has collected at the bottom. When you buy must"&amp;" take into account that it is a device with high power more than 2500 w., But this is what makes the water boil in a jiffy.")</f>
        <v>Better than expected Boil water in no time. Infusions were prepared at a time as the jug is removed from the base and is heat. Exceptional value to the least when I buy it. I arrive before marking time. Cable has collected at the bottom. When you buy must take into account that it is a device with high power more than 2500 w., But this is what makes the water boil in a jiffy.</v>
      </c>
    </row>
    <row r="1905">
      <c r="A1905" s="1">
        <v>5.0</v>
      </c>
      <c r="B1905" s="1" t="s">
        <v>1894</v>
      </c>
      <c r="C1905" t="str">
        <f>IFERROR(__xludf.DUMMYFUNCTION("GOOGLETRANSLATE(B1905, ""es"", ""en"")"),"They buy perfect sneakers are perfect, I love and arrived earlier than expected. I am delighted with this purchase. They are very comfortable")</f>
        <v>They buy perfect sneakers are perfect, I love and arrived earlier than expected. I am delighted with this purchase. They are very comfortable</v>
      </c>
    </row>
    <row r="1906">
      <c r="A1906" s="1">
        <v>5.0</v>
      </c>
      <c r="B1906" s="1" t="s">
        <v>1895</v>
      </c>
      <c r="C1906" t="str">
        <f>IFERROR(__xludf.DUMMYFUNCTION("GOOGLETRANSLATE(B1906, ""es"", ""en"")"),"Fscil to use and clean This beautifully Value")</f>
        <v>Fscil to use and clean This beautifully Value</v>
      </c>
    </row>
    <row r="1907">
      <c r="A1907" s="1">
        <v>5.0</v>
      </c>
      <c r="B1907" s="1" t="s">
        <v>1896</v>
      </c>
      <c r="C1907" t="str">
        <f>IFERROR(__xludf.DUMMYFUNCTION("GOOGLETRANSLATE(B1907, ""es"", ""en"")"),"Very comfortable Super comfortable right size. Maybe something small for travel. Quality materials.")</f>
        <v>Very comfortable Super comfortable right size. Maybe something small for travel. Quality materials.</v>
      </c>
    </row>
    <row r="1908">
      <c r="A1908" s="1">
        <v>5.0</v>
      </c>
      <c r="B1908" s="1" t="s">
        <v>1897</v>
      </c>
      <c r="C1908" t="str">
        <f>IFERROR(__xludf.DUMMYFUNCTION("GOOGLETRANSLATE(B1908, ""es"", ""en"")"),"Fun and entertaining comes disassembled ... but if you follow the instructions is fairly easy, but takes time. A very original gift because you can decorate it as you like. Come a lot of stuff in a bag, it's fun and entertaining. A great idea.")</f>
        <v>Fun and entertaining comes disassembled ... but if you follow the instructions is fairly easy, but takes time. A very original gift because you can decorate it as you like. Come a lot of stuff in a bag, it's fun and entertaining. A great idea.</v>
      </c>
    </row>
    <row r="1909">
      <c r="A1909" s="1">
        <v>5.0</v>
      </c>
      <c r="B1909" s="1" t="s">
        <v>1898</v>
      </c>
      <c r="C1909" t="str">
        <f>IFERROR(__xludf.DUMMYFUNCTION("GOOGLETRANSLATE(B1909, ""es"", ""en"")"),"Perfect had already bought other products from this brand and I had liked the presentation: sending, accessories, instructions, .. and headphones are no less: the box comes with replacement pads, calipers clamping, all well finished and packed . The sound"&amp;" of headphones, super time.")</f>
        <v>Perfect had already bought other products from this brand and I had liked the presentation: sending, accessories, instructions, .. and headphones are no less: the box comes with replacement pads, calipers clamping, all well finished and packed . The sound of headphones, super time.</v>
      </c>
    </row>
    <row r="1910">
      <c r="A1910" s="1">
        <v>5.0</v>
      </c>
      <c r="B1910" s="1" t="s">
        <v>1899</v>
      </c>
      <c r="C1910" t="str">
        <f>IFERROR(__xludf.DUMMYFUNCTION("GOOGLETRANSLATE(B1910, ""es"", ""en"")"),"Good quality us sing my grandson is like crazy with his sweatshirt")</f>
        <v>Good quality us sing my grandson is like crazy with his sweatshirt</v>
      </c>
    </row>
    <row r="1911">
      <c r="A1911" s="1">
        <v>5.0</v>
      </c>
      <c r="B1911" s="1" t="s">
        <v>1900</v>
      </c>
      <c r="C1911" t="str">
        <f>IFERROR(__xludf.DUMMYFUNCTION("GOOGLETRANSLATE(B1911, ""es"", ""en"")"),"Great buy if somewhat expensive large kettle Bosh, which lets you heat it up to 70, 80, 90 or 100 degrees and goes only to the reach the desired temperature. Heated from half a liter to a 1.5 L. it is nice and works perfectly")</f>
        <v>Great buy if somewhat expensive large kettle Bosh, which lets you heat it up to 70, 80, 90 or 100 degrees and goes only to the reach the desired temperature. Heated from half a liter to a 1.5 L. it is nice and works perfectly</v>
      </c>
    </row>
    <row r="1912">
      <c r="A1912" s="1">
        <v>5.0</v>
      </c>
      <c r="B1912" s="1" t="s">
        <v>1901</v>
      </c>
      <c r="C1912" t="str">
        <f>IFERROR(__xludf.DUMMYFUNCTION("GOOGLETRANSLATE(B1912, ""es"", ""en"")"),"Soft lemon scent. I loved this oil. The shipping was very fast. What I like is more soft smell of lemon leaves. Very sweet but not sickly. I used a diffuser essence and dissolved great. He used it for their propiadades that are used in aromatherapy energi"&amp;"zing, anti-inflammatory. It's intense but smooth. It can also be used for scrubbing. A drop or two in the mop bucket and perfuming the house. highly recommended")</f>
        <v>Soft lemon scent. I loved this oil. The shipping was very fast. What I like is more soft smell of lemon leaves. Very sweet but not sickly. I used a diffuser essence and dissolved great. He used it for their propiadades that are used in aromatherapy energizing, anti-inflammatory. It's intense but smooth. It can also be used for scrubbing. A drop or two in the mop bucket and perfuming the house. highly recommended</v>
      </c>
    </row>
    <row r="1913">
      <c r="A1913" s="1">
        <v>5.0</v>
      </c>
      <c r="B1913" s="1" t="s">
        <v>1902</v>
      </c>
      <c r="C1913" t="str">
        <f>IFERROR(__xludf.DUMMYFUNCTION("GOOGLETRANSLATE(B1913, ""es"", ""en"")"),"Very good watch good value for money Very nice blue and elegant think it worth buying without a doubt")</f>
        <v>Very good watch good value for money Very nice blue and elegant think it worth buying without a doubt</v>
      </c>
    </row>
    <row r="1914">
      <c r="A1914" s="1">
        <v>5.0</v>
      </c>
      <c r="B1914" s="1" t="s">
        <v>1903</v>
      </c>
      <c r="C1914" t="str">
        <f>IFERROR(__xludf.DUMMYFUNCTION("GOOGLETRANSLATE(B1914, ""es"", ""en"")"),"Very useful for everyday The truth is that I bought to try and I've used it every day since I arrived. Does not occupy any space (I have it mounted in a corner of the kitchen), it is very convenient to use and keep clean, weighs nothing, and collects part"&amp;"icles even better than a normal broom! It is clear that he has surprised me very positively.")</f>
        <v>Very useful for everyday The truth is that I bought to try and I've used it every day since I arrived. Does not occupy any space (I have it mounted in a corner of the kitchen), it is very convenient to use and keep clean, weighs nothing, and collects particles even better than a normal broom! It is clear that he has surprised me very positively.</v>
      </c>
    </row>
    <row r="1915">
      <c r="A1915" s="1">
        <v>5.0</v>
      </c>
      <c r="B1915" s="1" t="s">
        <v>1904</v>
      </c>
      <c r="C1915" t="str">
        <f>IFERROR(__xludf.DUMMYFUNCTION("GOOGLETRANSLATE(B1915, ""es"", ""en"")"),"Simple and nice. This great gift or for oneself. It is simple and very nice. The. Chain is the correct measure reaches the belly perfectly so that the baby can hear without problems ad. It comes pretty fast.")</f>
        <v>Simple and nice. This great gift or for oneself. It is simple and very nice. The. Chain is the correct measure reaches the belly perfectly so that the baby can hear without problems ad. It comes pretty fast.</v>
      </c>
    </row>
    <row r="1916">
      <c r="A1916" s="1">
        <v>5.0</v>
      </c>
      <c r="B1916" s="1" t="s">
        <v>1905</v>
      </c>
      <c r="C1916" t="str">
        <f>IFERROR(__xludf.DUMMYFUNCTION("GOOGLETRANSLATE(B1916, ""es"", ""en"")"),"Okay No problem, just what I expected, accurate, convenient and very helpful being able to change the head to use the guide you want")</f>
        <v>Okay No problem, just what I expected, accurate, convenient and very helpful being able to change the head to use the guide you want</v>
      </c>
    </row>
    <row r="1917">
      <c r="A1917" s="1">
        <v>5.0</v>
      </c>
      <c r="B1917" s="1" t="s">
        <v>1906</v>
      </c>
      <c r="C1917" t="str">
        <f>IFERROR(__xludf.DUMMYFUNCTION("GOOGLETRANSLATE(B1917, ""es"", ""en"")"),"They are not shoes to give them too harshly. Then a little dissatisfaction break off the sole is 1 day. The manufacturer kindly told me, I would send others after 3 months I have not received anything.")</f>
        <v>They are not shoes to give them too harshly. Then a little dissatisfaction break off the sole is 1 day. The manufacturer kindly told me, I would send others after 3 months I have not received anything.</v>
      </c>
    </row>
    <row r="1918">
      <c r="A1918" s="1">
        <v>5.0</v>
      </c>
      <c r="B1918" s="1" t="s">
        <v>1907</v>
      </c>
      <c r="C1918" t="str">
        <f>IFERROR(__xludf.DUMMYFUNCTION("GOOGLETRANSLATE(B1918, ""es"", ""en"")"),"They are much better than imitations for my son, and noticed a huge change among similar white sandals and these marks. If used intensively vain worth the price difference.")</f>
        <v>They are much better than imitations for my son, and noticed a huge change among similar white sandals and these marks. If used intensively vain worth the price difference.</v>
      </c>
    </row>
    <row r="1919">
      <c r="A1919" s="1">
        <v>5.0</v>
      </c>
      <c r="B1919" s="1" t="s">
        <v>1908</v>
      </c>
      <c r="C1919" t="str">
        <f>IFERROR(__xludf.DUMMYFUNCTION("GOOGLETRANSLATE(B1919, ""es"", ""en"")"),"Very nice Ditto")</f>
        <v>Very nice Ditto</v>
      </c>
    </row>
    <row r="1920">
      <c r="A1920" s="1">
        <v>5.0</v>
      </c>
      <c r="B1920" s="1" t="s">
        <v>1909</v>
      </c>
      <c r="C1920" t="str">
        <f>IFERROR(__xludf.DUMMYFUNCTION("GOOGLETRANSLATE(B1920, ""es"", ""en"")"),"Cozy and comfortable I use them to work in the hospital and are very comfortable. I use size 38, and I grabbed the size 37-38 and I are perfect!")</f>
        <v>Cozy and comfortable I use them to work in the hospital and are very comfortable. I use size 38, and I grabbed the size 37-38 and I are perfect!</v>
      </c>
    </row>
    <row r="1921">
      <c r="A1921" s="1">
        <v>2.0</v>
      </c>
      <c r="B1921" s="1" t="s">
        <v>1910</v>
      </c>
      <c r="C1921" t="str">
        <f>IFERROR(__xludf.DUMMYFUNCTION("GOOGLETRANSLATE(B1921, ""es"", ""en"")"),"Incomodísimos The sound quality is good and synchronization with iPhone is very simple. Now, they are incredibly uncomfortable. They are very bulky and difficult to fit them into the ear, plus the hooks so that you have good grip handset to the ear are mo"&amp;"re trouble than anything else")</f>
        <v>Incomodísimos The sound quality is good and synchronization with iPhone is very simple. Now, they are incredibly uncomfortable. They are very bulky and difficult to fit them into the ear, plus the hooks so that you have good grip handset to the ear are more trouble than anything else</v>
      </c>
    </row>
    <row r="1922">
      <c r="A1922" s="1">
        <v>3.0</v>
      </c>
      <c r="B1922" s="1" t="s">
        <v>1911</v>
      </c>
      <c r="C1922" t="str">
        <f>IFERROR(__xludf.DUMMYFUNCTION("GOOGLETRANSLATE(B1922, ""es"", ""en"")"),"covering my expectations I'm happy with this purchase. Thank you")</f>
        <v>covering my expectations I'm happy with this purchase. Thank you</v>
      </c>
    </row>
    <row r="1923">
      <c r="A1923" s="1">
        <v>3.0</v>
      </c>
      <c r="B1923" s="1" t="s">
        <v>1912</v>
      </c>
      <c r="C1923" t="str">
        <f>IFERROR(__xludf.DUMMYFUNCTION("GOOGLETRANSLATE(B1923, ""es"", ""en"")"),"I like but I do not love When they reached the house I did not finish convincing, but good shoes if you plan to use a lot to do sports, or even to avoid damaging your other shoes, this was the use to which I personally will give")</f>
        <v>I like but I do not love When they reached the house I did not finish convincing, but good shoes if you plan to use a lot to do sports, or even to avoid damaging your other shoes, this was the use to which I personally will give</v>
      </c>
    </row>
    <row r="1924">
      <c r="A1924" s="1">
        <v>1.0</v>
      </c>
      <c r="B1924" s="1" t="s">
        <v>1913</v>
      </c>
      <c r="C1924" t="str">
        <f>IFERROR(__xludf.DUMMYFUNCTION("GOOGLETRANSLATE(B1924, ""es"", ""en"")"),"It comes undone only wear them are broke, they unstitched on the second day seed filling everything. And that, without walking with them and with the appropriate number of foot")</f>
        <v>It comes undone only wear them are broke, they unstitched on the second day seed filling everything. And that, without walking with them and with the appropriate number of foot</v>
      </c>
    </row>
    <row r="1925">
      <c r="A1925" s="1">
        <v>1.0</v>
      </c>
      <c r="B1925" s="1" t="s">
        <v>1914</v>
      </c>
      <c r="C1925" t="str">
        <f>IFERROR(__xludf.DUMMYFUNCTION("GOOGLETRANSLATE(B1925, ""es"", ""en"")"),"I carving returned to be very wide.")</f>
        <v>I carving returned to be very wide.</v>
      </c>
    </row>
    <row r="1926">
      <c r="A1926" s="1">
        <v>1.0</v>
      </c>
      <c r="B1926" s="1" t="s">
        <v>1915</v>
      </c>
      <c r="C1926" t="str">
        <f>IFERROR(__xludf.DUMMYFUNCTION("GOOGLETRANSLATE(B1926, ""es"", ""en"")"),"It does not work with most devices including computer does not work with your computer or with the external recorder or with inputs in line. Practically unusable. They should distribute it with a power adapter input jack.")</f>
        <v>It does not work with most devices including computer does not work with your computer or with the external recorder or with inputs in line. Practically unusable. They should distribute it with a power adapter input jack.</v>
      </c>
    </row>
    <row r="1927">
      <c r="A1927" s="1">
        <v>4.0</v>
      </c>
      <c r="B1927" s="1" t="s">
        <v>1916</v>
      </c>
      <c r="C1927" t="str">
        <f>IFERROR(__xludf.DUMMYFUNCTION("GOOGLETRANSLATE(B1927, ""es"", ""en"")"),"Very easy to use, it makes no noise but we used not sleeping. It's nice")</f>
        <v>Very easy to use, it makes no noise but we used not sleeping. It's nice</v>
      </c>
    </row>
    <row r="1928">
      <c r="A1928" s="1">
        <v>4.0</v>
      </c>
      <c r="B1928" s="1" t="s">
        <v>1917</v>
      </c>
      <c r="C1928" t="str">
        <f>IFERROR(__xludf.DUMMYFUNCTION("GOOGLETRANSLATE(B1928, ""es"", ""en"")"),"Good size and quality for the price it's pretty good for the price it is, I do not put it 5 stars because writing it moves a little.")</f>
        <v>Good size and quality for the price it's pretty good for the price it is, I do not put it 5 stars because writing it moves a little.</v>
      </c>
    </row>
    <row r="1929">
      <c r="A1929" s="1">
        <v>4.0</v>
      </c>
      <c r="B1929" s="1" t="s">
        <v>1918</v>
      </c>
      <c r="C1929" t="str">
        <f>IFERROR(__xludf.DUMMYFUNCTION("GOOGLETRANSLATE(B1929, ""es"", ""en"")"),"Correct dispatch quickly and smoothly. Correct packaging and well protected. The finish is not as perfect as seen in the pictures is what you have when the jewels are more photoshop above which they should.")</f>
        <v>Correct dispatch quickly and smoothly. Correct packaging and well protected. The finish is not as perfect as seen in the pictures is what you have when the jewels are more photoshop above which they should.</v>
      </c>
    </row>
    <row r="1930">
      <c r="A1930" s="1">
        <v>4.0</v>
      </c>
      <c r="B1930" s="1" t="s">
        <v>1919</v>
      </c>
      <c r="C1930" t="str">
        <f>IFERROR(__xludf.DUMMYFUNCTION("GOOGLETRANSLATE(B1930, ""es"", ""en"")"),"The shoes have a month ago, and so far so good and pretty comfortable light, perhaps a tad large but not over the top, I have more shoes of this brand, and I guess they will be somewhat larger by the model ...")</f>
        <v>The shoes have a month ago, and so far so good and pretty comfortable light, perhaps a tad large but not over the top, I have more shoes of this brand, and I guess they will be somewhat larger by the model ...</v>
      </c>
    </row>
    <row r="1931">
      <c r="A1931" s="1">
        <v>4.0</v>
      </c>
      <c r="B1931" s="1" t="s">
        <v>1920</v>
      </c>
      <c r="C1931" t="str">
        <f>IFERROR(__xludf.DUMMYFUNCTION("GOOGLETRANSLATE(B1931, ""es"", ""en"")"),"Great sound quality and clarity are maximized. Listening music perfectly. The only downside is that it does not have the power buttons to change the song or moment.")</f>
        <v>Great sound quality and clarity are maximized. Listening music perfectly. The only downside is that it does not have the power buttons to change the song or moment.</v>
      </c>
    </row>
    <row r="1932">
      <c r="A1932" s="1">
        <v>5.0</v>
      </c>
      <c r="B1932" s="1" t="s">
        <v>1921</v>
      </c>
      <c r="C1932" t="str">
        <f>IFERROR(__xludf.DUMMYFUNCTION("GOOGLETRANSLATE(B1932, ""es"", ""en"")"),"Good buy are very useful, I took a package and got in the trunk, always at hand. a basic")</f>
        <v>Good buy are very useful, I took a package and got in the trunk, always at hand. a basic</v>
      </c>
    </row>
    <row r="1933">
      <c r="A1933" s="1">
        <v>5.0</v>
      </c>
      <c r="B1933" s="1" t="s">
        <v>1922</v>
      </c>
      <c r="C1933" t="str">
        <f>IFERROR(__xludf.DUMMYFUNCTION("GOOGLETRANSLATE(B1933, ""es"", ""en"")"),"I would buy! I bought this album to make a gift to my partner. I consider it very good quality compared to the price it has. It includes many pages and are robust (I got to hook up to 4 photos in front and back and still stout). It also includes stickers "&amp;"and pens for decoration. Very good choice if you want to make a different and own gift. Customizable 100%.")</f>
        <v>I would buy! I bought this album to make a gift to my partner. I consider it very good quality compared to the price it has. It includes many pages and are robust (I got to hook up to 4 photos in front and back and still stout). It also includes stickers and pens for decoration. Very good choice if you want to make a different and own gift. Customizable 100%.</v>
      </c>
    </row>
    <row r="1934">
      <c r="A1934" s="1">
        <v>5.0</v>
      </c>
      <c r="B1934" s="1" t="s">
        <v>1923</v>
      </c>
      <c r="C1934" t="str">
        <f>IFERROR(__xludf.DUMMYFUNCTION("GOOGLETRANSLATE(B1934, ""es"", ""en"")"),"A good quality product with enough quality")</f>
        <v>A good quality product with enough quality</v>
      </c>
    </row>
    <row r="1935">
      <c r="A1935" s="1">
        <v>5.0</v>
      </c>
      <c r="B1935" s="1" t="s">
        <v>1924</v>
      </c>
      <c r="C1935" t="str">
        <f>IFERROR(__xludf.DUMMYFUNCTION("GOOGLETRANSLATE(B1935, ""es"", ""en"")"),"EXCELLENT was a gift for my niece is delighted.")</f>
        <v>EXCELLENT was a gift for my niece is delighted.</v>
      </c>
    </row>
    <row r="1936">
      <c r="A1936" s="1">
        <v>5.0</v>
      </c>
      <c r="B1936" s="1" t="s">
        <v>1925</v>
      </c>
      <c r="C1936" t="str">
        <f>IFERROR(__xludf.DUMMYFUNCTION("GOOGLETRANSLATE(B1936, ""es"", ""en"")"),"Perfect for my sport A product that I have purchased several times, perfect")</f>
        <v>Perfect for my sport A product that I have purchased several times, perfect</v>
      </c>
    </row>
    <row r="1937">
      <c r="A1937" s="1">
        <v>5.0</v>
      </c>
      <c r="B1937" s="1" t="s">
        <v>1926</v>
      </c>
      <c r="C1937" t="str">
        <f>IFERROR(__xludf.DUMMYFUNCTION("GOOGLETRANSLATE(B1937, ""es"", ""en"")"),"comfortable and warm in the sizing is good, we thought that maybe could be a bit bigger but it goes! It is the ideal size. the shoes are very comfortable, they are not very high or very low. They are very toasty and soft touch. I really liked the color is"&amp;" more beautiful in person than in the picture. In short slippers comfortable and fit perfectly to the foot")</f>
        <v>comfortable and warm in the sizing is good, we thought that maybe could be a bit bigger but it goes! It is the ideal size. the shoes are very comfortable, they are not very high or very low. They are very toasty and soft touch. I really liked the color is more beautiful in person than in the picture. In short slippers comfortable and fit perfectly to the foot</v>
      </c>
    </row>
    <row r="1938">
      <c r="A1938" s="1">
        <v>5.0</v>
      </c>
      <c r="B1938" s="1" t="s">
        <v>1927</v>
      </c>
      <c r="C1938" t="str">
        <f>IFERROR(__xludf.DUMMYFUNCTION("GOOGLETRANSLATE(B1938, ""es"", ""en"")"),"Very nice I was comparing with Lorus RXD425L8 at the end I was the Lorus being titanium, but that I loved, the strap has a-nice super, touch the numbers of hours glow in the dark, the readability is great and the contrast of the needles with black backgro"&amp;"und is great. If it had been titanium, although it would have been more expensive, or I would have thought, I was about to keep him anyway, but at the end the diameter seemed excessive, and I needed no other watch. If you like watches with this diameter, "&amp;"it is a great choice for many people Lorus as I've remained are small.")</f>
        <v>Very nice I was comparing with Lorus RXD425L8 at the end I was the Lorus being titanium, but that I loved, the strap has a-nice super, touch the numbers of hours glow in the dark, the readability is great and the contrast of the needles with black background is great. If it had been titanium, although it would have been more expensive, or I would have thought, I was about to keep him anyway, but at the end the diameter seemed excessive, and I needed no other watch. If you like watches with this diameter, it is a great choice for many people Lorus as I've remained are small.</v>
      </c>
    </row>
    <row r="1939">
      <c r="A1939" s="1">
        <v>5.0</v>
      </c>
      <c r="B1939" s="1" t="s">
        <v>1928</v>
      </c>
      <c r="C1939" t="str">
        <f>IFERROR(__xludf.DUMMYFUNCTION("GOOGLETRANSLATE(B1939, ""es"", ""en"")"),"MacBook worked hard drive in the drive works perfectly on a Macbook A1278. Hardware installation is very simple; the previous record was replaced by this Crucial in the Macbook Pro A1278 (Core i5, 2011), and once installed hardware is formatted and instal"&amp;"led the High Sierra MacOS operating system. If in doubt, the very site of Crucial has instructions in both English and Spanish to install, format and use on Mac; also it supports whether it is compatible with other teams and manufacturers. differences bet"&amp;"ween the previous drive (HDD) and Crucial MX500 noticeable: - The computer operates with a minimum effort of the processor. no longer hear the fan when running more than 4 programs (including Safari, Firefox, iTunes, Pages, and QuickTime) or when climbing"&amp;" and download files and videos. - Transferring files between your Mac and external storage drives are faster. - The operating system starts firing faster and MacOs installation was faster too.")</f>
        <v>MacBook worked hard drive in the drive works perfectly on a Macbook A1278. Hardware installation is very simple; the previous record was replaced by this Crucial in the Macbook Pro A1278 (Core i5, 2011), and once installed hardware is formatted and installed the High Sierra MacOS operating system. If in doubt, the very site of Crucial has instructions in both English and Spanish to install, format and use on Mac; also it supports whether it is compatible with other teams and manufacturers. differences between the previous drive (HDD) and Crucial MX500 noticeable: - The computer operates with a minimum effort of the processor. no longer hear the fan when running more than 4 programs (including Safari, Firefox, iTunes, Pages, and QuickTime) or when climbing and download files and videos. - Transferring files between your Mac and external storage drives are faster. - The operating system starts firing faster and MacOs installation was faster too.</v>
      </c>
    </row>
    <row r="1940">
      <c r="A1940" s="1">
        <v>5.0</v>
      </c>
      <c r="B1940" s="1" t="s">
        <v>1929</v>
      </c>
      <c r="C1940" t="str">
        <f>IFERROR(__xludf.DUMMYFUNCTION("GOOGLETRANSLATE(B1940, ""es"", ""en"")"),"Very fast service was a birthday gift and happy has, no buts.")</f>
        <v>Very fast service was a birthday gift and happy has, no buts.</v>
      </c>
    </row>
    <row r="1941">
      <c r="A1941" s="1">
        <v>5.0</v>
      </c>
      <c r="B1941" s="1" t="s">
        <v>1930</v>
      </c>
      <c r="C1941" t="str">
        <f>IFERROR(__xludf.DUMMYFUNCTION("GOOGLETRANSLATE(B1941, ""es"", ""en"")"),"Very good fragrance smells good. I use a humidifier and leaves a very pleasant and relaxing scent. I would buy.")</f>
        <v>Very good fragrance smells good. I use a humidifier and leaves a very pleasant and relaxing scent. I would buy.</v>
      </c>
    </row>
    <row r="1942">
      <c r="A1942" s="1">
        <v>5.0</v>
      </c>
      <c r="B1942" s="1" t="s">
        <v>1931</v>
      </c>
      <c r="C1942" t="str">
        <f>IFERROR(__xludf.DUMMYFUNCTION("GOOGLETRANSLATE(B1942, ""es"", ""en"")"),"It is phenomenal 2 times faster than crucial p1")</f>
        <v>It is phenomenal 2 times faster than crucial p1</v>
      </c>
    </row>
    <row r="1943">
      <c r="A1943" s="1">
        <v>5.0</v>
      </c>
      <c r="B1943" s="1" t="s">
        <v>1932</v>
      </c>
      <c r="C1943" t="str">
        <f>IFERROR(__xludf.DUMMYFUNCTION("GOOGLETRANSLATE(B1943, ""es"", ""en"")"),"Son guante😀 as a perfect, comfortable ...")</f>
        <v>Son guante😀 as a perfect, comfortable ...</v>
      </c>
    </row>
    <row r="1944">
      <c r="A1944" s="1">
        <v>5.0</v>
      </c>
      <c r="B1944" s="1" t="s">
        <v>1933</v>
      </c>
      <c r="C1944" t="str">
        <f>IFERROR(__xludf.DUMMYFUNCTION("GOOGLETRANSLATE(B1944, ""es"", ""en"")"),"Comfortable and cool shoes are very comfortable and I think are really cool")</f>
        <v>Comfortable and cool shoes are very comfortable and I think are really cool</v>
      </c>
    </row>
    <row r="1945">
      <c r="A1945" s="1">
        <v>5.0</v>
      </c>
      <c r="B1945" s="1" t="s">
        <v>1934</v>
      </c>
      <c r="C1945" t="str">
        <f>IFERROR(__xludf.DUMMYFUNCTION("GOOGLETRANSLATE(B1945, ""es"", ""en"")"),"Very useful to mark the children's clothes I've used to make clothes for the nursery. Mark on all fabrics I've tried, perhaps going somewhere rather than others, but still, the ink holds many washings, with dryer included. I recommend it because it is ver"&amp;"y comfortable. You have to catch a little tino so that the ink does not run, but it's a matter of trying a few times on paper or cloth you will use.")</f>
        <v>Very useful to mark the children's clothes I've used to make clothes for the nursery. Mark on all fabrics I've tried, perhaps going somewhere rather than others, but still, the ink holds many washings, with dryer included. I recommend it because it is very comfortable. You have to catch a little tino so that the ink does not run, but it's a matter of trying a few times on paper or cloth you will use.</v>
      </c>
    </row>
    <row r="1946">
      <c r="A1946" s="1">
        <v>5.0</v>
      </c>
      <c r="B1946" s="1" t="s">
        <v>1935</v>
      </c>
      <c r="C1946" t="str">
        <f>IFERROR(__xludf.DUMMYFUNCTION("GOOGLETRANSLATE(B1946, ""es"", ""en"")"),"Recommended 100% Value In first comment on the speed and effectiveness of Amazon logistics on its distribution and delivery, fulfilled the right time. Second comment that case the product was not at its best. Because you could tell he had long been in the"&amp;" store and due to the amount of dust and scratches. Obviating that on opening the box, the microphone was in perfect condition, with appropriate accessories (USB cable and holster + instruction book). In the test it had to download software program samson"&amp;", as it is not included in the purchase. On the Internet you can find it on the official store at a price of $ 4.99. The quality of the microphone is spectacular, I've noticed an incredible change with the previous one had. And best of all is the price, n"&amp;"ot expensive for the quality it gives. Recommend purchase 100%")</f>
        <v>Recommended 100% Value In first comment on the speed and effectiveness of Amazon logistics on its distribution and delivery, fulfilled the right time. Second comment that case the product was not at its best. Because you could tell he had long been in the store and due to the amount of dust and scratches. Obviating that on opening the box, the microphone was in perfect condition, with appropriate accessories (USB cable and holster + instruction book). In the test it had to download software program samson, as it is not included in the purchase. On the Internet you can find it on the official store at a price of $ 4.99. The quality of the microphone is spectacular, I've noticed an incredible change with the previous one had. And best of all is the price, not expensive for the quality it gives. Recommend purchase 100%</v>
      </c>
    </row>
    <row r="1947">
      <c r="A1947" s="1">
        <v>5.0</v>
      </c>
      <c r="B1947" s="1" t="s">
        <v>1936</v>
      </c>
      <c r="C1947" t="str">
        <f>IFERROR(__xludf.DUMMYFUNCTION("GOOGLETRANSLATE(B1947, ""es"", ""en"")"),"128Gbs I bought it to serve as a mini pc HD and luxury is time, if the price of the product is good for you ...;)")</f>
        <v>128Gbs I bought it to serve as a mini pc HD and luxury is time, if the price of the product is good for you ...;)</v>
      </c>
    </row>
    <row r="1948">
      <c r="A1948" s="1">
        <v>5.0</v>
      </c>
      <c r="B1948" s="1" t="s">
        <v>1937</v>
      </c>
      <c r="C1948" t="str">
        <f>IFERROR(__xludf.DUMMYFUNCTION("GOOGLETRANSLATE(B1948, ""es"", ""en"")"),"All good screw does not come unless Okay good, does not come screws, luckily not pull the motherboard box in there that had one specific to the ssd but this really bad not to come screw. For now goes well I hope it stays that way, the Windows no longer st"&amp;"utters me, I catch me I pitched well in SSDs")</f>
        <v>All good screw does not come unless Okay good, does not come screws, luckily not pull the motherboard box in there that had one specific to the ssd but this really bad not to come screw. For now goes well I hope it stays that way, the Windows no longer stutters me, I catch me I pitched well in SSDs</v>
      </c>
    </row>
    <row r="1949">
      <c r="A1949" s="1">
        <v>5.0</v>
      </c>
      <c r="B1949" s="1" t="s">
        <v>1938</v>
      </c>
      <c r="C1949" t="str">
        <f>IFERROR(__xludf.DUMMYFUNCTION("GOOGLETRANSLATE(B1949, ""es"", ""en"")"),"What I expected I like, it looks good. It is a little bigger than I expected but well")</f>
        <v>What I expected I like, it looks good. It is a little bigger than I expected but well</v>
      </c>
    </row>
    <row r="1950">
      <c r="A1950" s="1">
        <v>5.0</v>
      </c>
      <c r="B1950" s="1" t="s">
        <v>1939</v>
      </c>
      <c r="C1950" t="str">
        <f>IFERROR(__xludf.DUMMYFUNCTION("GOOGLETRANSLATE(B1950, ""es"", ""en"")"),"Super comfortable and beautiful They adapt fully to my expectations and are as nice as in the photos. Materials correspond to those described in Amazon. Thank you")</f>
        <v>Super comfortable and beautiful They adapt fully to my expectations and are as nice as in the photos. Materials correspond to those described in Amazon. Thank you</v>
      </c>
    </row>
    <row r="1951">
      <c r="A1951" s="1">
        <v>2.0</v>
      </c>
      <c r="B1951" s="1" t="s">
        <v>1940</v>
      </c>
      <c r="C1951" t="str">
        <f>IFERROR(__xludf.DUMMYFUNCTION("GOOGLETRANSLATE(B1951, ""es"", ""en"")"),"The quality is not good. Are deformed with little use have shoes that are asked and wanted but eventually the poor quality leaves.")</f>
        <v>The quality is not good. Are deformed with little use have shoes that are asked and wanted but eventually the poor quality leaves.</v>
      </c>
    </row>
    <row r="1952">
      <c r="A1952" s="1">
        <v>3.0</v>
      </c>
      <c r="B1952" s="1" t="s">
        <v>1941</v>
      </c>
      <c r="C1952" t="str">
        <f>IFERROR(__xludf.DUMMYFUNCTION("GOOGLETRANSLATE(B1952, ""es"", ""en"")"),"I expected better quality I expected to be more satiny and stick together better, the truth is that peel off easily, so I had to repeat a label.")</f>
        <v>I expected better quality I expected to be more satiny and stick together better, the truth is that peel off easily, so I had to repeat a label.</v>
      </c>
    </row>
    <row r="1953">
      <c r="A1953" s="1">
        <v>3.0</v>
      </c>
      <c r="B1953" s="1" t="s">
        <v>1942</v>
      </c>
      <c r="C1953" t="str">
        <f>IFERROR(__xludf.DUMMYFUNCTION("GOOGLETRANSLATE(B1953, ""es"", ""en"")"),"Too bright and plásticosos pintones but pintones")</f>
        <v>Too bright and plásticosos pintones but pintones</v>
      </c>
    </row>
    <row r="1954">
      <c r="A1954" s="1">
        <v>1.0</v>
      </c>
      <c r="B1954" s="1" t="s">
        <v>1943</v>
      </c>
      <c r="C1954" t="str">
        <f>IFERROR(__xludf.DUMMYFUNCTION("GOOGLETRANSLATE(B1954, ""es"", ""en"")"),"SLIME does not serve. SLIME does not serve. They should include a note with that data. It is a very expensive product, so that not even serve for what we look for most mothers. This is not a substitute for the Borax. It is a different product and thymus i"&amp;"n turn, promote as such. I hope this review helps other parents not to buy your product and check its uselessness.")</f>
        <v>SLIME does not serve. SLIME does not serve. They should include a note with that data. It is a very expensive product, so that not even serve for what we look for most mothers. This is not a substitute for the Borax. It is a different product and thymus in turn, promote as such. I hope this review helps other parents not to buy your product and check its uselessness.</v>
      </c>
    </row>
    <row r="1955">
      <c r="A1955" s="1">
        <v>1.0</v>
      </c>
      <c r="B1955" s="1" t="s">
        <v>1944</v>
      </c>
      <c r="C1955" t="str">
        <f>IFERROR(__xludf.DUMMYFUNCTION("GOOGLETRANSLATE(B1955, ""es"", ""en"")"),"Copy and shoddy I bought a year ago and has run out of batteries twice. Moreover, the belt is very deteriorated and stained corrosion in the bottom plate. Watchmaking have told me that is not original, but a copy. Finally, commenting that it is extremely "&amp;"difficult to match the time that give the hands with digits. In short, absolute disappointment.")</f>
        <v>Copy and shoddy I bought a year ago and has run out of batteries twice. Moreover, the belt is very deteriorated and stained corrosion in the bottom plate. Watchmaking have told me that is not original, but a copy. Finally, commenting that it is extremely difficult to match the time that give the hands with digits. In short, absolute disappointment.</v>
      </c>
    </row>
    <row r="1956">
      <c r="A1956" s="1">
        <v>4.0</v>
      </c>
      <c r="B1956" s="1" t="s">
        <v>1945</v>
      </c>
      <c r="C1956" t="str">
        <f>IFERROR(__xludf.DUMMYFUNCTION("GOOGLETRANSLATE(B1956, ""es"", ""en"")"),"ideal for perfect cards. I should have taken more, I made short, so take advantage of free shipping. I have to ask again the next order you make.")</f>
        <v>ideal for perfect cards. I should have taken more, I made short, so take advantage of free shipping. I have to ask again the next order you make.</v>
      </c>
    </row>
    <row r="1957">
      <c r="A1957" s="1">
        <v>4.0</v>
      </c>
      <c r="B1957" s="1" t="s">
        <v>1946</v>
      </c>
      <c r="C1957" t="str">
        <f>IFERROR(__xludf.DUMMYFUNCTION("GOOGLETRANSLATE(B1957, ""es"", ""en"")"),"Very comfortable I brought one of each number but it took little to bring me other correctly. They are very comfortable. They weigh nothing. Hold the foot. Two friends commissioned the vérmelos me one. nice color. And carve well. I use 37 and pedi 37-38.")</f>
        <v>Very comfortable I brought one of each number but it took little to bring me other correctly. They are very comfortable. They weigh nothing. Hold the foot. Two friends commissioned the vérmelos me one. nice color. And carve well. I use 37 and pedi 37-38.</v>
      </c>
    </row>
    <row r="1958">
      <c r="A1958" s="1">
        <v>4.0</v>
      </c>
      <c r="B1958" s="1" t="s">
        <v>1947</v>
      </c>
      <c r="C1958" t="str">
        <f>IFERROR(__xludf.DUMMYFUNCTION("GOOGLETRANSLATE(B1958, ""es"", ""en"")"),"no surprises Value")</f>
        <v>no surprises Value</v>
      </c>
    </row>
    <row r="1959">
      <c r="A1959" s="1">
        <v>4.0</v>
      </c>
      <c r="B1959" s="1" t="s">
        <v>1948</v>
      </c>
      <c r="C1959" t="str">
        <f>IFERROR(__xludf.DUMMYFUNCTION("GOOGLETRANSLATE(B1959, ""es"", ""en"")"),"OK, but somewhat complicated. Great design and sound pretty good. On the other hand I think they are a bit complicated to match. Subjection to the ear is not 100x100 safe. They are not suitable for sports. Overall they fulfill their conetido.")</f>
        <v>OK, but somewhat complicated. Great design and sound pretty good. On the other hand I think they are a bit complicated to match. Subjection to the ear is not 100x100 safe. They are not suitable for sports. Overall they fulfill their conetido.</v>
      </c>
    </row>
    <row r="1960">
      <c r="A1960" s="1">
        <v>5.0</v>
      </c>
      <c r="B1960" s="1" t="s">
        <v>1949</v>
      </c>
      <c r="C1960" t="str">
        <f>IFERROR(__xludf.DUMMYFUNCTION("GOOGLETRANSLATE(B1960, ""es"", ""en"")"),"Very good quality best bottles of the market and the offer is good quality.")</f>
        <v>Very good quality best bottles of the market and the offer is good quality.</v>
      </c>
    </row>
    <row r="1961">
      <c r="A1961" s="1">
        <v>5.0</v>
      </c>
      <c r="B1961" s="1" t="s">
        <v>1950</v>
      </c>
      <c r="C1961" t="str">
        <f>IFERROR(__xludf.DUMMYFUNCTION("GOOGLETRANSLATE(B1961, ""es"", ""en"")"),"Precious gift perfect microphone. My baby girl is delighted. Super listen well and is very easy to handle (5 years old). In addition, the battery lasts a lot and loaded into 4 or 5 hours. I recommend it. It is ideal as a gift")</f>
        <v>Precious gift perfect microphone. My baby girl is delighted. Super listen well and is very easy to handle (5 years old). In addition, the battery lasts a lot and loaded into 4 or 5 hours. I recommend it. It is ideal as a gift</v>
      </c>
    </row>
    <row r="1962">
      <c r="A1962" s="1">
        <v>5.0</v>
      </c>
      <c r="B1962" s="1" t="s">
        <v>1951</v>
      </c>
      <c r="C1962" t="str">
        <f>IFERROR(__xludf.DUMMYFUNCTION("GOOGLETRANSLATE(B1962, ""es"", ""en"")"),"Perfect is a good product, arrived in perfect condition: The clock now has more than 6 months of use and works perfectly!")</f>
        <v>Perfect is a good product, arrived in perfect condition: The clock now has more than 6 months of use and works perfectly!</v>
      </c>
    </row>
    <row r="1963">
      <c r="A1963" s="1">
        <v>5.0</v>
      </c>
      <c r="B1963" s="1" t="s">
        <v>1952</v>
      </c>
      <c r="C1963" t="str">
        <f>IFERROR(__xludf.DUMMYFUNCTION("GOOGLETRANSLATE(B1963, ""es"", ""en"")"),"Bonitos comfort .cómodos I love.")</f>
        <v>Bonitos comfort .cómodos I love.</v>
      </c>
    </row>
    <row r="1964">
      <c r="A1964" s="1">
        <v>5.0</v>
      </c>
      <c r="B1964" s="1" t="s">
        <v>1953</v>
      </c>
      <c r="C1964" t="str">
        <f>IFERROR(__xludf.DUMMYFUNCTION("GOOGLETRANSLATE(B1964, ""es"", ""en"")"),"perfect gift! I gave him my niece and I liked it. Sounds pretty good and as you can insert an SD card can record songs without relying on a cellphone, computer ... The main club lights also have happy ;-)")</f>
        <v>perfect gift! I gave him my niece and I liked it. Sounds pretty good and as you can insert an SD card can record songs without relying on a cellphone, computer ... The main club lights also have happy ;-)</v>
      </c>
    </row>
    <row r="1965">
      <c r="A1965" s="1">
        <v>5.0</v>
      </c>
      <c r="B1965" s="1" t="s">
        <v>1954</v>
      </c>
      <c r="C1965" t="str">
        <f>IFERROR(__xludf.DUMMYFUNCTION("GOOGLETRANSLATE(B1965, ""es"", ""en"")"),"Ideal for smartphones bought it to be configured as internal memory of the smartphone, and must be a quick card to access data and worked perfectly, noticed much difference with the lower speed, when viewing photos, videos or download data to the PC. High"&amp;"ly recommend using these cards or higher for speed and efficiency and not die trying.")</f>
        <v>Ideal for smartphones bought it to be configured as internal memory of the smartphone, and must be a quick card to access data and worked perfectly, noticed much difference with the lower speed, when viewing photos, videos or download data to the PC. Highly recommend using these cards or higher for speed and efficiency and not die trying.</v>
      </c>
    </row>
    <row r="1966">
      <c r="A1966" s="1">
        <v>5.0</v>
      </c>
      <c r="B1966" s="1" t="s">
        <v>1955</v>
      </c>
      <c r="C1966" t="str">
        <f>IFERROR(__xludf.DUMMYFUNCTION("GOOGLETRANSLATE(B1966, ""es"", ""en"")"),"All right all right, as expected.")</f>
        <v>All right all right, as expected.</v>
      </c>
    </row>
    <row r="1967">
      <c r="A1967" s="1">
        <v>5.0</v>
      </c>
      <c r="B1967" s="1" t="s">
        <v>1956</v>
      </c>
      <c r="C1967" t="str">
        <f>IFERROR(__xludf.DUMMYFUNCTION("GOOGLETRANSLATE(B1967, ""es"", ""en"")"),"Complies with what is said, so good. great fit")</f>
        <v>Complies with what is said, so good. great fit</v>
      </c>
    </row>
    <row r="1968">
      <c r="A1968" s="1">
        <v>5.0</v>
      </c>
      <c r="B1968" s="1" t="s">
        <v>1957</v>
      </c>
      <c r="C1968" t="str">
        <f>IFERROR(__xludf.DUMMYFUNCTION("GOOGLETRANSLATE(B1968, ""es"", ""en"")"),"Perfect and are originals, not copies. They are original, no replicas.")</f>
        <v>Perfect and are originals, not copies. They are original, no replicas.</v>
      </c>
    </row>
    <row r="1969">
      <c r="A1969" s="1">
        <v>5.0</v>
      </c>
      <c r="B1969" s="1" t="s">
        <v>1958</v>
      </c>
      <c r="C1969" t="str">
        <f>IFERROR(__xludf.DUMMYFUNCTION("GOOGLETRANSLATE(B1969, ""es"", ""en"")"),"The best quality, price. It has great strength and gives warmth while massage is helping me a lot thanks to the store.")</f>
        <v>The best quality, price. It has great strength and gives warmth while massage is helping me a lot thanks to the store.</v>
      </c>
    </row>
    <row r="1970">
      <c r="A1970" s="1">
        <v>5.0</v>
      </c>
      <c r="B1970" s="1" t="s">
        <v>1959</v>
      </c>
      <c r="C1970" t="str">
        <f>IFERROR(__xludf.DUMMYFUNCTION("GOOGLETRANSLATE(B1970, ""es"", ""en"")"),"To start this good 👍 For the price I think it's fine. Short-range sounds good, sounds a little old radio; but it has several effects, do not change much, but as I say .. For the price to have this wireless, to start this quite well.")</f>
        <v>To start this good 👍 For the price I think it's fine. Short-range sounds good, sounds a little old radio; but it has several effects, do not change much, but as I say .. For the price to have this wireless, to start this quite well.</v>
      </c>
    </row>
    <row r="1971">
      <c r="A1971" s="1">
        <v>5.0</v>
      </c>
      <c r="B1971" s="1" t="s">
        <v>1960</v>
      </c>
      <c r="C1971" t="str">
        <f>IFERROR(__xludf.DUMMYFUNCTION("GOOGLETRANSLATE(B1971, ""es"", ""en"")"),"Small and fast. Frankly very fast.")</f>
        <v>Small and fast. Frankly very fast.</v>
      </c>
    </row>
    <row r="1972">
      <c r="A1972" s="1">
        <v>5.0</v>
      </c>
      <c r="B1972" s="1" t="s">
        <v>1961</v>
      </c>
      <c r="C1972" t="str">
        <f>IFERROR(__xludf.DUMMYFUNCTION("GOOGLETRANSLATE(B1972, ""es"", ""en"")"),"An electric blanket super diceindo had read previous reviews that it was a very good electric blanket, but could come with UK plug. For I have good, I tasted the manta and is also great and I was lucky and Spanish plug is the normal two pins. Very good bu"&amp;"y and very good price.")</f>
        <v>An electric blanket super diceindo had read previous reviews that it was a very good electric blanket, but could come with UK plug. For I have good, I tasted the manta and is also great and I was lucky and Spanish plug is the normal two pins. Very good buy and very good price.</v>
      </c>
    </row>
    <row r="1973">
      <c r="A1973" s="1">
        <v>5.0</v>
      </c>
      <c r="B1973" s="1" t="s">
        <v>1962</v>
      </c>
      <c r="C1973" t="str">
        <f>IFERROR(__xludf.DUMMYFUNCTION("GOOGLETRANSLATE(B1973, ""es"", ""en"")"),"Shoulder bag Refund Total")</f>
        <v>Shoulder bag Refund Total</v>
      </c>
    </row>
    <row r="1974">
      <c r="A1974" s="1">
        <v>5.0</v>
      </c>
      <c r="B1974" s="1" t="s">
        <v>1963</v>
      </c>
      <c r="C1974" t="str">
        <f>IFERROR(__xludf.DUMMYFUNCTION("GOOGLETRANSLATE(B1974, ""es"", ""en"")"),"CECOTEC blender am very happy of this mixer, it is super powerful and very complete, has many speeds and very quiet, and very competitive price.")</f>
        <v>CECOTEC blender am very happy of this mixer, it is super powerful and very complete, has many speeds and very quiet, and very competitive price.</v>
      </c>
    </row>
    <row r="1975">
      <c r="A1975" s="1">
        <v>5.0</v>
      </c>
      <c r="B1975" s="1" t="s">
        <v>1964</v>
      </c>
      <c r="C1975" t="str">
        <f>IFERROR(__xludf.DUMMYFUNCTION("GOOGLETRANSLATE(B1975, ""es"", ""en"")"),"SORTED BY END CABLES I finally ordered cables. Easy to use thanks to the guide attached. I've used for cable TV, router, etc ... and spare me one for any other installation.")</f>
        <v>SORTED BY END CABLES I finally ordered cables. Easy to use thanks to the guide attached. I've used for cable TV, router, etc ... and spare me one for any other installation.</v>
      </c>
    </row>
    <row r="1976">
      <c r="A1976" s="1">
        <v>5.0</v>
      </c>
      <c r="B1976" s="1" t="s">
        <v>1965</v>
      </c>
      <c r="C1976" t="str">
        <f>IFERROR(__xludf.DUMMYFUNCTION("GOOGLETRANSLATE(B1976, ""es"", ""en"")"),"These are the best for me These hiking boots are the best for me because they are relatively light, have a decent arch support and their soles are sturdy enough to walk on the pavement and in the woods.")</f>
        <v>These are the best for me These hiking boots are the best for me because they are relatively light, have a decent arch support and their soles are sturdy enough to walk on the pavement and in the woods.</v>
      </c>
    </row>
    <row r="1977">
      <c r="A1977" s="1">
        <v>5.0</v>
      </c>
      <c r="B1977" s="1" t="s">
        <v>1966</v>
      </c>
      <c r="C1977" t="str">
        <f>IFERROR(__xludf.DUMMYFUNCTION("GOOGLETRANSLATE(B1977, ""es"", ""en"")"),"It is preciosa.muy good money I was pretty encantado.muy")</f>
        <v>It is preciosa.muy good money I was pretty encantado.muy</v>
      </c>
    </row>
    <row r="1978">
      <c r="A1978" s="1">
        <v>5.0</v>
      </c>
      <c r="B1978" s="1" t="s">
        <v>1967</v>
      </c>
      <c r="C1978" t="str">
        <f>IFERROR(__xludf.DUMMYFUNCTION("GOOGLETRANSLATE(B1978, ""es"", ""en"")"),"Very good buy Perfect comfortable enters the refrigerator by its small size about almost 1 liter can be filled to the brim does not miss anything thanks to a double sealing system glass very thick bone of the good I like it because it also has different o"&amp;"ptions from very loose to a powerful and efficace speed and best of all is that almost no noise I made a smoothie at 5am and did not wake anyone at home one pass through Amazon 😘😘😘😘")</f>
        <v>Very good buy Perfect comfortable enters the refrigerator by its small size about almost 1 liter can be filled to the brim does not miss anything thanks to a double sealing system glass very thick bone of the good I like it because it also has different options from very loose to a powerful and efficace speed and best of all is that almost no noise I made a smoothie at 5am and did not wake anyone at home one pass through Amazon 😘😘😘😘</v>
      </c>
    </row>
    <row r="1979">
      <c r="A1979" s="1">
        <v>2.0</v>
      </c>
      <c r="B1979" s="1" t="s">
        <v>1968</v>
      </c>
      <c r="C1979" t="str">
        <f>IFERROR(__xludf.DUMMYFUNCTION("GOOGLETRANSLATE(B1979, ""es"", ""en"")"),"Material a bit hard to feel comfortable at the walk I find it very hard material and is not comfortable for me. I bought another model fabric ...")</f>
        <v>Material a bit hard to feel comfortable at the walk I find it very hard material and is not comfortable for me. I bought another model fabric ...</v>
      </c>
    </row>
    <row r="1980">
      <c r="A1980" s="1">
        <v>3.0</v>
      </c>
      <c r="B1980" s="1" t="s">
        <v>1969</v>
      </c>
      <c r="C1980" t="str">
        <f>IFERROR(__xludf.DUMMYFUNCTION("GOOGLETRANSLATE(B1980, ""es"", ""en"")"),"Standares headphones good value What I did not like is that the cable is a bit short, I wish they had more measured about 20cm, about 128cm are approximately in length. Otherwise for the price it cost and have a battle considered good value for money. If "&amp;"you want better quality should increase the budget.")</f>
        <v>Standares headphones good value What I did not like is that the cable is a bit short, I wish they had more measured about 20cm, about 128cm are approximately in length. Otherwise for the price it cost and have a battle considered good value for money. If you want better quality should increase the budget.</v>
      </c>
    </row>
    <row r="1981">
      <c r="A1981" s="1">
        <v>3.0</v>
      </c>
      <c r="B1981" s="1" t="s">
        <v>1970</v>
      </c>
      <c r="C1981" t="str">
        <f>IFERROR(__xludf.DUMMYFUNCTION("GOOGLETRANSLATE(B1981, ""es"", ""en"")"),"Satisfied OK for price, but the moon seems to me first and great, very attached to his neck ... small little necklace that if the price is not a paste ... no more can you ask")</f>
        <v>Satisfied OK for price, but the moon seems to me first and great, very attached to his neck ... small little necklace that if the price is not a paste ... no more can you ask</v>
      </c>
    </row>
    <row r="1982">
      <c r="A1982" s="1">
        <v>1.0</v>
      </c>
      <c r="B1982" s="1" t="s">
        <v>1971</v>
      </c>
      <c r="C1982" t="str">
        <f>IFERROR(__xludf.DUMMYFUNCTION("GOOGLETRANSLATE(B1982, ""es"", ""en"")"),"A shameful disgrace. Request the change is too small product without how bad product) and not even deign to answer. Regrettable")</f>
        <v>A shameful disgrace. Request the change is too small product without how bad product) and not even deign to answer. Regrettable</v>
      </c>
    </row>
    <row r="1983">
      <c r="A1983" s="1">
        <v>1.0</v>
      </c>
      <c r="B1983" s="1" t="s">
        <v>1972</v>
      </c>
      <c r="C1983" t="str">
        <f>IFERROR(__xludf.DUMMYFUNCTION("GOOGLETRANSLATE(B1983, ""es"", ""en"")"),"Very low quality sound Very bad sound, especially in the treble. Although prices are expected much more uncomfortable to wear Additionally: earmuffs not perspire synthetic leather, enough weight and pressure on the ears")</f>
        <v>Very low quality sound Very bad sound, especially in the treble. Although prices are expected much more uncomfortable to wear Additionally: earmuffs not perspire synthetic leather, enough weight and pressure on the ears</v>
      </c>
    </row>
    <row r="1984">
      <c r="A1984" s="1">
        <v>4.0</v>
      </c>
      <c r="B1984" s="1" t="s">
        <v>1973</v>
      </c>
      <c r="C1984" t="str">
        <f>IFERROR(__xludf.DUMMYFUNCTION("GOOGLETRANSLATE(B1984, ""es"", ""en"")"),"Large very well priced and fresh")</f>
        <v>Large very well priced and fresh</v>
      </c>
    </row>
    <row r="1985">
      <c r="A1985" s="1">
        <v>4.0</v>
      </c>
      <c r="B1985" s="1" t="s">
        <v>1974</v>
      </c>
      <c r="C1985" t="str">
        <f>IFERROR(__xludf.DUMMYFUNCTION("GOOGLETRANSLATE(B1985, ""es"", ""en"")"),"Bigger than I expected good quality. It's a little bigger than I expected, otherwise it is spacious. It has many pockets to carry lots of stuff.")</f>
        <v>Bigger than I expected good quality. It's a little bigger than I expected, otherwise it is spacious. It has many pockets to carry lots of stuff.</v>
      </c>
    </row>
    <row r="1986">
      <c r="A1986" s="1">
        <v>4.0</v>
      </c>
      <c r="B1986" s="1" t="s">
        <v>1975</v>
      </c>
      <c r="C1986" t="str">
        <f>IFERROR(__xludf.DUMMYFUNCTION("GOOGLETRANSLATE(B1986, ""es"", ""en"")"),"Comfort soft and comfortable")</f>
        <v>Comfort soft and comfortable</v>
      </c>
    </row>
    <row r="1987">
      <c r="A1987" s="1">
        <v>4.0</v>
      </c>
      <c r="B1987" s="1" t="s">
        <v>1976</v>
      </c>
      <c r="C1987" t="str">
        <f>IFERROR(__xludf.DUMMYFUNCTION("GOOGLETRANSLATE(B1987, ""es"", ""en"")"),"Good value for money. The bag is working properly. It is what was advertised and what I expected. The worst thing is that shipping is random in terms of design, you'll like it or not. Otherwise well. The fabric is suitable retaining heat, the closure cap "&amp;"is good, the cover can be removed for washing ...")</f>
        <v>Good value for money. The bag is working properly. It is what was advertised and what I expected. The worst thing is that shipping is random in terms of design, you'll like it or not. Otherwise well. The fabric is suitable retaining heat, the closure cap is good, the cover can be removed for washing ...</v>
      </c>
    </row>
    <row r="1988">
      <c r="A1988" s="1">
        <v>4.0</v>
      </c>
      <c r="B1988" s="1" t="s">
        <v>1977</v>
      </c>
      <c r="C1988" t="str">
        <f>IFERROR(__xludf.DUMMYFUNCTION("GOOGLETRANSLATE(B1988, ""es"", ""en"")"),"Good quality but it was complicated set is fine, the sound is good for karaoke. It is complicated when linked to a channel. But with patience you get.")</f>
        <v>Good quality but it was complicated set is fine, the sound is good for karaoke. It is complicated when linked to a channel. But with patience you get.</v>
      </c>
    </row>
    <row r="1989">
      <c r="A1989" s="1">
        <v>5.0</v>
      </c>
      <c r="B1989" s="1" t="s">
        <v>1978</v>
      </c>
      <c r="C1989" t="str">
        <f>IFERROR(__xludf.DUMMYFUNCTION("GOOGLETRANSLATE(B1989, ""es"", ""en"")"),"Like the photo I liked the shirt and the measure is also well")</f>
        <v>Like the photo I liked the shirt and the measure is also well</v>
      </c>
    </row>
    <row r="1990">
      <c r="A1990" s="1">
        <v>5.0</v>
      </c>
      <c r="B1990" s="1" t="s">
        <v>1979</v>
      </c>
      <c r="C1990" t="str">
        <f>IFERROR(__xludf.DUMMYFUNCTION("GOOGLETRANSLATE(B1990, ""es"", ""en"")"),"Very satisfied with the term card very fast delivery, perfect packaging. The card I am using a NOTE 8. came already formatted (remove it from the package, insert it into the terminal and ready). Currently I have stored in it some 6,500 photos and several "&amp;"videos in different resolutions, both 4K and FullHD @ FPS. Uncut recording, quick access. No problem now, after 2 and a half months of use. Reasonable price. I recommend it. Furthermore, according to the specifications of the manufacturer, it is resistant"&amp;" to water and temperature extremes. I recommend it.")</f>
        <v>Very satisfied with the term card very fast delivery, perfect packaging. The card I am using a NOTE 8. came already formatted (remove it from the package, insert it into the terminal and ready). Currently I have stored in it some 6,500 photos and several videos in different resolutions, both 4K and FullHD @ FPS. Uncut recording, quick access. No problem now, after 2 and a half months of use. Reasonable price. I recommend it. Furthermore, according to the specifications of the manufacturer, it is resistant to water and temperature extremes. I recommend it.</v>
      </c>
    </row>
    <row r="1991">
      <c r="A1991" s="1">
        <v>5.0</v>
      </c>
      <c r="B1991" s="1" t="s">
        <v>1980</v>
      </c>
      <c r="C1991" t="str">
        <f>IFERROR(__xludf.DUMMYFUNCTION("GOOGLETRANSLATE(B1991, ""es"", ""en"")"),"Very satisfied with the purchase Delighted with this vacuum cleaner to its maximum aspires power very well thanks to its rotating roller to suck vehicles also delighted with sufficient autonomy to suck a vehicle and enough autonomy to aspirate a small hou"&amp;"se normal low speed mode lasts much faster to recharge very manageable and essential lighting and lower mouth very satisfied 100% would recommend essential in my home")</f>
        <v>Very satisfied with the purchase Delighted with this vacuum cleaner to its maximum aspires power very well thanks to its rotating roller to suck vehicles also delighted with sufficient autonomy to suck a vehicle and enough autonomy to aspirate a small house normal low speed mode lasts much faster to recharge very manageable and essential lighting and lower mouth very satisfied 100% would recommend essential in my home</v>
      </c>
    </row>
    <row r="1992">
      <c r="A1992" s="1">
        <v>5.0</v>
      </c>
      <c r="B1992" s="1" t="s">
        <v>1981</v>
      </c>
      <c r="C1992" t="str">
        <f>IFERROR(__xludf.DUMMYFUNCTION("GOOGLETRANSLATE(B1992, ""es"", ""en"")"),"Very good boot money. Bota very good money after one week of use adapts perfectly to the foot and is very light. I used more expensive boots but the truth is very good for this price. Repetire without hesitation. Pedi 41 to 41 and is perfect.")</f>
        <v>Very good boot money. Bota very good money after one week of use adapts perfectly to the foot and is very light. I used more expensive boots but the truth is very good for this price. Repetire without hesitation. Pedi 41 to 41 and is perfect.</v>
      </c>
    </row>
    <row r="1993">
      <c r="A1993" s="1">
        <v>5.0</v>
      </c>
      <c r="B1993" s="1" t="s">
        <v>1982</v>
      </c>
      <c r="C1993" t="str">
        <f>IFERROR(__xludf.DUMMYFUNCTION("GOOGLETRANSLATE(B1993, ""es"", ""en"")"),"Very good very good. You do not have anything to envy to a more recognized brand. Shreds well. I recommend that for the price is super good. I have a bigger processor, but I prefer this")</f>
        <v>Very good very good. You do not have anything to envy to a more recognized brand. Shreds well. I recommend that for the price is super good. I have a bigger processor, but I prefer this</v>
      </c>
    </row>
    <row r="1994">
      <c r="A1994" s="1">
        <v>5.0</v>
      </c>
      <c r="B1994" s="1" t="s">
        <v>1983</v>
      </c>
      <c r="C1994" t="str">
        <f>IFERROR(__xludf.DUMMYFUNCTION("GOOGLETRANSLATE(B1994, ""es"", ""en"")"),"Recommended to apply heat in area located cushion practical and highly recommended to apply heat in localized areas Interesting security system that counts ....")</f>
        <v>Recommended to apply heat in area located cushion practical and highly recommended to apply heat in localized areas Interesting security system that counts ....</v>
      </c>
    </row>
    <row r="1995">
      <c r="A1995" s="1">
        <v>5.0</v>
      </c>
      <c r="B1995" s="1" t="s">
        <v>1984</v>
      </c>
      <c r="C1995" t="str">
        <f>IFERROR(__xludf.DUMMYFUNCTION("GOOGLETRANSLATE(B1995, ""es"", ""en"")"),"Very nice, good sound. I love it, very good sound.")</f>
        <v>Very nice, good sound. I love it, very good sound.</v>
      </c>
    </row>
    <row r="1996">
      <c r="A1996" s="1">
        <v>5.0</v>
      </c>
      <c r="B1996" s="1" t="s">
        <v>1985</v>
      </c>
      <c r="C1996" t="str">
        <f>IFERROR(__xludf.DUMMYFUNCTION("GOOGLETRANSLATE(B1996, ""es"", ""en"")"),"Good shoes are really cool sneakers, arrived quickly, all having caught a number of more still is a bit tight")</f>
        <v>Good shoes are really cool sneakers, arrived quickly, all having caught a number of more still is a bit tight</v>
      </c>
    </row>
    <row r="1997">
      <c r="A1997" s="1">
        <v>5.0</v>
      </c>
      <c r="B1997" s="1" t="s">
        <v>1986</v>
      </c>
      <c r="C1997" t="str">
        <f>IFERROR(__xludf.DUMMYFUNCTION("GOOGLETRANSLATE(B1997, ""es"", ""en"")"),"It pretty comfortable and are comfortable and well miss, sure he buys more")</f>
        <v>It pretty comfortable and are comfortable and well miss, sure he buys more</v>
      </c>
    </row>
    <row r="1998">
      <c r="A1998" s="1">
        <v>5.0</v>
      </c>
      <c r="B1998" s="1" t="s">
        <v>1987</v>
      </c>
      <c r="C1998" t="str">
        <f>IFERROR(__xludf.DUMMYFUNCTION("GOOGLETRANSLATE(B1998, ""es"", ""en"")"),"Diffuser'm happy if you put essential oils smell leaves a great house")</f>
        <v>Diffuser'm happy if you put essential oils smell leaves a great house</v>
      </c>
    </row>
    <row r="1999">
      <c r="A1999" s="1">
        <v>5.0</v>
      </c>
      <c r="B1999" s="1" t="s">
        <v>1988</v>
      </c>
      <c r="C1999" t="str">
        <f>IFERROR(__xludf.DUMMYFUNCTION("GOOGLETRANSLATE(B1999, ""es"", ""en"")"),"Comfy Very handy, very convenient to use, I have others like that, but this especially liked by the fact of having three types of connection rather than the usual two.")</f>
        <v>Comfy Very handy, very convenient to use, I have others like that, but this especially liked by the fact of having three types of connection rather than the usual two.</v>
      </c>
    </row>
    <row r="2000">
      <c r="A2000" s="1">
        <v>5.0</v>
      </c>
      <c r="B2000" s="1" t="s">
        <v>1989</v>
      </c>
      <c r="C2000" t="str">
        <f>IFERROR(__xludf.DUMMYFUNCTION("GOOGLETRANSLATE(B2000, ""es"", ""en"")"),"Powerful and useful accessories I bought this mixer for complete varieties and uses that have offered, and so it is true for many more things, not just for smoothies. I have tried some of smoothies, ice and coffee beans and grinds and chops certainly very"&amp;" well, of course it depends on the blades to say, I love your turbo mode even I think it has plenty of power for not abuse it. Its function is to stop overheating in case but I wanted to force obviously itching and neither has suffered coffee bean, is sup"&amp;"er powerful. Stability aspects in also love having the suckers as legs and as I said before the quality of materials and different sizes of glasses and accessories, all very secretive, anyway. As an paste, the noise emitted mainly in ice for example but i"&amp;"s practically invitable guess for this type of machine.")</f>
        <v>Powerful and useful accessories I bought this mixer for complete varieties and uses that have offered, and so it is true for many more things, not just for smoothies. I have tried some of smoothies, ice and coffee beans and grinds and chops certainly very well, of course it depends on the blades to say, I love your turbo mode even I think it has plenty of power for not abuse it. Its function is to stop overheating in case but I wanted to force obviously itching and neither has suffered coffee bean, is super powerful. Stability aspects in also love having the suckers as legs and as I said before the quality of materials and different sizes of glasses and accessories, all very secretive, anyway. As an paste, the noise emitted mainly in ice for example but is practically invitable guess for this type of machine.</v>
      </c>
    </row>
    <row r="2001">
      <c r="A2001" s="1">
        <v>5.0</v>
      </c>
      <c r="B2001" s="1" t="s">
        <v>1990</v>
      </c>
      <c r="C2001" t="str">
        <f>IFERROR(__xludf.DUMMYFUNCTION("GOOGLETRANSLATE(B2001, ""es"", ""en"")"),"smells fresh and pure lemon lemon scent smells Perfection whole thing as home use also use the smell lasts days without using the humidifier .. super happy d good result")</f>
        <v>smells fresh and pure lemon lemon scent smells Perfection whole thing as home use also use the smell lasts days without using the humidifier .. super happy d good result</v>
      </c>
    </row>
    <row r="2002">
      <c r="A2002" s="1">
        <v>5.0</v>
      </c>
      <c r="B2002" s="1" t="s">
        <v>1991</v>
      </c>
      <c r="C2002" t="str">
        <f>IFERROR(__xludf.DUMMYFUNCTION("GOOGLETRANSLATE(B2002, ""es"", ""en"")"),"Very nice model. The price is expensive but good can happen.")</f>
        <v>Very nice model. The price is expensive but good can happen.</v>
      </c>
    </row>
    <row r="2003">
      <c r="A2003" s="1">
        <v>5.0</v>
      </c>
      <c r="B2003" s="1" t="s">
        <v>1992</v>
      </c>
      <c r="C2003" t="str">
        <f>IFERROR(__xludf.DUMMYFUNCTION("GOOGLETRANSLATE(B2003, ""es"", ""en"")"),"Very comfortable. The main thing, that are comfortable and they are, are the second to buy this brand and can assure you that back to buy a pair of sandals in Chinese in my life, although the use at home, this summer will go with them all frank sides to t"&amp;"he jungle and who does not like to drink water.")</f>
        <v>Very comfortable. The main thing, that are comfortable and they are, are the second to buy this brand and can assure you that back to buy a pair of sandals in Chinese in my life, although the use at home, this summer will go with them all frank sides to the jungle and who does not like to drink water.</v>
      </c>
    </row>
    <row r="2004">
      <c r="A2004" s="1">
        <v>5.0</v>
      </c>
      <c r="B2004" s="1" t="s">
        <v>1993</v>
      </c>
      <c r="C2004" t="str">
        <f>IFERROR(__xludf.DUMMYFUNCTION("GOOGLETRANSLATE(B2004, ""es"", ""en"")"),"shoes comfortable shoes arrived in the specified time, are very light and comfortable to walk")</f>
        <v>shoes comfortable shoes arrived in the specified time, are very light and comfortable to walk</v>
      </c>
    </row>
    <row r="2005">
      <c r="A2005" s="1">
        <v>5.0</v>
      </c>
      <c r="B2005" s="1" t="s">
        <v>1994</v>
      </c>
      <c r="C2005" t="str">
        <f>IFERROR(__xludf.DUMMYFUNCTION("GOOGLETRANSLATE(B2005, ""es"", ""en"")"),"Smoothies magnificant and gazpacho Very powerful and quick and easy to clean. The only negative is that it is a bit cumbersome")</f>
        <v>Smoothies magnificant and gazpacho Very powerful and quick and easy to clean. The only negative is that it is a bit cumbersome</v>
      </c>
    </row>
    <row r="2006">
      <c r="A2006" s="1">
        <v>5.0</v>
      </c>
      <c r="B2006" s="1" t="s">
        <v>1995</v>
      </c>
      <c r="C2006" t="str">
        <f>IFERROR(__xludf.DUMMYFUNCTION("GOOGLETRANSLATE(B2006, ""es"", ""en"")"),"You are very great")</f>
        <v>You are very great</v>
      </c>
    </row>
    <row r="2007">
      <c r="A2007" s="1">
        <v>2.0</v>
      </c>
      <c r="B2007" s="1" t="s">
        <v>1996</v>
      </c>
      <c r="C2007" t="str">
        <f>IFERROR(__xludf.DUMMYFUNCTION("GOOGLETRANSLATE(B2007, ""es"", ""en"")"),"Chain chain fine fine, I had to return because it was for a gift and it seemed very fragile, and being so thin")</f>
        <v>Chain chain fine fine, I had to return because it was for a gift and it seemed very fragile, and being so thin</v>
      </c>
    </row>
    <row r="2008">
      <c r="A2008" s="1">
        <v>3.0</v>
      </c>
      <c r="B2008" s="1" t="s">
        <v>1997</v>
      </c>
      <c r="C2008" t="str">
        <f>IFERROR(__xludf.DUMMYFUNCTION("GOOGLETRANSLATE(B2008, ""es"", ""en"")"),"Soled velvet. I bought impossible for Street heel for a wedding. I recognize that I saw something strange in the template velvet ... But I did not realize that the sole is also velvet !! It is impossible to put it on to go out, a shame. While I recognize "&amp;"that it appears clear that are for dancing, but maybe my opinion will be useful to anyone you pass the same as my")</f>
        <v>Soled velvet. I bought impossible for Street heel for a wedding. I recognize that I saw something strange in the template velvet ... But I did not realize that the sole is also velvet !! It is impossible to put it on to go out, a shame. While I recognize that it appears clear that are for dancing, but maybe my opinion will be useful to anyone you pass the same as my</v>
      </c>
    </row>
    <row r="2009">
      <c r="A2009" s="1">
        <v>3.0</v>
      </c>
      <c r="B2009" s="1" t="s">
        <v>1998</v>
      </c>
      <c r="C2009" t="str">
        <f>IFERROR(__xludf.DUMMYFUNCTION("GOOGLETRANSLATE(B2009, ""es"", ""en"")"),"Although the function is good good weigh much and hurt you in the nose it is the magnifiers batteries are good but would be better if the light was more powerful")</f>
        <v>Although the function is good good weigh much and hurt you in the nose it is the magnifiers batteries are good but would be better if the light was more powerful</v>
      </c>
    </row>
    <row r="2010">
      <c r="A2010" s="1">
        <v>1.0</v>
      </c>
      <c r="B2010" s="1" t="s">
        <v>1999</v>
      </c>
      <c r="C2010" t="str">
        <f>IFERROR(__xludf.DUMMYFUNCTION("GOOGLETRANSLATE(B2010, ""es"", ""en"")"),"BarataPero not meet respective carton for packaging does not stick breaks easily enough and shooting to pack")</f>
        <v>BarataPero not meet respective carton for packaging does not stick breaks easily enough and shooting to pack</v>
      </c>
    </row>
    <row r="2011">
      <c r="A2011" s="1">
        <v>1.0</v>
      </c>
      <c r="B2011" s="1" t="s">
        <v>2000</v>
      </c>
      <c r="C2011" t="str">
        <f>IFERROR(__xludf.DUMMYFUNCTION("GOOGLETRANSLATE(B2011, ""es"", ""en"")"),"Very uncomfortable! They are false, the truth is that I have many brand shoes and none are so uncomfortable how are you !!! The take a while, well, as you are more than 2 hours .... wracking feet ...")</f>
        <v>Very uncomfortable! They are false, the truth is that I have many brand shoes and none are so uncomfortable how are you !!! The take a while, well, as you are more than 2 hours .... wracking feet ...</v>
      </c>
    </row>
    <row r="2012">
      <c r="A2012" s="1">
        <v>4.0</v>
      </c>
      <c r="B2012" s="1" t="s">
        <v>2001</v>
      </c>
      <c r="C2012" t="str">
        <f>IFERROR(__xludf.DUMMYFUNCTION("GOOGLETRANSLATE(B2012, ""es"", ""en"")"),"Petite is light but the sizes are quite small. I have given it to someone else.")</f>
        <v>Petite is light but the sizes are quite small. I have given it to someone else.</v>
      </c>
    </row>
    <row r="2013">
      <c r="A2013" s="1">
        <v>4.0</v>
      </c>
      <c r="B2013" s="1" t="s">
        <v>2002</v>
      </c>
      <c r="C2013" t="str">
        <f>IFERROR(__xludf.DUMMYFUNCTION("GOOGLETRANSLATE(B2013, ""es"", ""en"")"),"Great naked eye The truth is simple great view. As negative is that they did not come in the original box, they came in a white with a sticker saying that the box had been broken in transit and so put this. I asked others from another number and if they c"&amp;"ame in the original box so good, everything will be try. Carve small, I read in comments so for me it took a 38 2/3 and are great (just enough to use in winter with a sock too big) but very strong grip with Quicklace system. I read that are hard, and lack"&amp;" of try walking I would not have found if it is true that this is the model of cloth (not Goretex) and perhaps that's a bit more ""soft"". Let's go do some trekking in the coming weeks, so we'll be updating the comment!")</f>
        <v>Great naked eye The truth is simple great view. As negative is that they did not come in the original box, they came in a white with a sticker saying that the box had been broken in transit and so put this. I asked others from another number and if they came in the original box so good, everything will be try. Carve small, I read in comments so for me it took a 38 2/3 and are great (just enough to use in winter with a sock too big) but very strong grip with Quicklace system. I read that are hard, and lack of try walking I would not have found if it is true that this is the model of cloth (not Goretex) and perhaps that's a bit more "soft". Let's go do some trekking in the coming weeks, so we'll be updating the comment!</v>
      </c>
    </row>
    <row r="2014">
      <c r="A2014" s="1">
        <v>4.0</v>
      </c>
      <c r="B2014" s="1" t="s">
        <v>2003</v>
      </c>
      <c r="C2014" t="str">
        <f>IFERROR(__xludf.DUMMYFUNCTION("GOOGLETRANSLATE(B2014, ""es"", ""en"")"),"Sound very good but stick out from the ears. The sound is very good and perfectly fulfill their handsfree and headphones but put some negative aspects have to say about out much of the ears and this makes them a little uncomfortable when listening to musi"&amp;"c lying in bed for example .")</f>
        <v>Sound very good but stick out from the ears. The sound is very good and perfectly fulfill their handsfree and headphones but put some negative aspects have to say about out much of the ears and this makes them a little uncomfortable when listening to music lying in bed for example .</v>
      </c>
    </row>
    <row r="2015">
      <c r="A2015" s="1">
        <v>4.0</v>
      </c>
      <c r="B2015" s="1" t="s">
        <v>2004</v>
      </c>
      <c r="C2015" t="str">
        <f>IFERROR(__xludf.DUMMYFUNCTION("GOOGLETRANSLATE(B2015, ""es"", ""en"")"),"Powerful sound sounds great. It's a bit bulky carry, not very well where to place the speaker and the headset as I have a small head left me a little big ... has USB reader and high and sharp music also sounds. I'm pretty happy with the")</f>
        <v>Powerful sound sounds great. It's a bit bulky carry, not very well where to place the speaker and the headset as I have a small head left me a little big ... has USB reader and high and sharp music also sounds. I'm pretty happy with the</v>
      </c>
    </row>
    <row r="2016">
      <c r="A2016" s="1">
        <v>4.0</v>
      </c>
      <c r="B2016" s="1" t="s">
        <v>2005</v>
      </c>
      <c r="C2016" t="str">
        <f>IFERROR(__xludf.DUMMYFUNCTION("GOOGLETRANSLATE(B2016, ""es"", ""en"")"),"Powerful mixer The mixer is super powerful .... but part of anchor mincing wore to the first use ... shame they do not improve those parts in a blender ... I is that I need tantonla comonla mincer mixer .. ..if you only use the blender is good would recom"&amp;"mend maquina..la")</f>
        <v>Powerful mixer The mixer is super powerful .... but part of anchor mincing wore to the first use ... shame they do not improve those parts in a blender ... I is that I need tantonla comonla mincer mixer .. ..if you only use the blender is good would recommend maquina..la</v>
      </c>
    </row>
    <row r="2017">
      <c r="A2017" s="1">
        <v>5.0</v>
      </c>
      <c r="B2017" s="1" t="s">
        <v>2006</v>
      </c>
      <c r="C2017" t="str">
        <f>IFERROR(__xludf.DUMMYFUNCTION("GOOGLETRANSLATE(B2017, ""es"", ""en"")"),"Good presentation, good price. I use it to soothe nasal congestion. It's going great. Good presentation, good price.")</f>
        <v>Good presentation, good price. I use it to soothe nasal congestion. It's going great. Good presentation, good price.</v>
      </c>
    </row>
    <row r="2018">
      <c r="A2018" s="1">
        <v>5.0</v>
      </c>
      <c r="B2018" s="1" t="s">
        <v>2007</v>
      </c>
      <c r="C2018" t="str">
        <f>IFERROR(__xludf.DUMMYFUNCTION("GOOGLETRANSLATE(B2018, ""es"", ""en"")"),"Comfortable and spacious I change model or color, but Skechers sports are you used to work and go to the gym for years. Within cms their sizing is somewhat wider than other brands but for my perfect pq is my ideal size (in other female models no my measur"&amp;"e or hardly any) someone commented that did not come with the extra pair of laces, had to be the model change or something pq and go several sporting this brand come without that extra cord before")</f>
        <v>Comfortable and spacious I change model or color, but Skechers sports are you used to work and go to the gym for years. Within cms their sizing is somewhat wider than other brands but for my perfect pq is my ideal size (in other female models no my measure or hardly any) someone commented that did not come with the extra pair of laces, had to be the model change or something pq and go several sporting this brand come without that extra cord before</v>
      </c>
    </row>
    <row r="2019">
      <c r="A2019" s="1">
        <v>5.0</v>
      </c>
      <c r="B2019" s="1" t="s">
        <v>2008</v>
      </c>
      <c r="C2019" t="str">
        <f>IFERROR(__xludf.DUMMYFUNCTION("GOOGLETRANSLATE(B2019, ""es"", ""en"")"),"Comodisimos The most comfortable I've ever had; nor are loose or tighten the ears. The sound seems pretty good. The microphone works perfectly. They can be used on your computer.")</f>
        <v>Comodisimos The most comfortable I've ever had; nor are loose or tighten the ears. The sound seems pretty good. The microphone works perfectly. They can be used on your computer.</v>
      </c>
    </row>
    <row r="2020">
      <c r="A2020" s="1">
        <v>5.0</v>
      </c>
      <c r="B2020" s="1" t="s">
        <v>2009</v>
      </c>
      <c r="C2020" t="str">
        <f>IFERROR(__xludf.DUMMYFUNCTION("GOOGLETRANSLATE(B2020, ""es"", ""en"")"),"Amplifier amplifies your voice a lot also with some ec and I join the mobile play any song and sing wing tua time in a mixing effect is very good.")</f>
        <v>Amplifier amplifies your voice a lot also with some ec and I join the mobile play any song and sing wing tua time in a mixing effect is very good.</v>
      </c>
    </row>
    <row r="2021">
      <c r="A2021" s="1">
        <v>5.0</v>
      </c>
      <c r="B2021" s="1" t="s">
        <v>2010</v>
      </c>
      <c r="C2021" t="str">
        <f>IFERROR(__xludf.DUMMYFUNCTION("GOOGLETRANSLATE(B2021, ""es"", ""en"")"),"Micro SD, at a good price when you buy it, 5 years later half. Used in a sports camera for 4 years Sporadic use still works without problem, recording at 1080 @ 60, also used a mobile during winter it gives transfer rates of about 6MB in writing. (My phon"&amp;"e is a xiaomi redmi note 5 Pro) Actual capacity same as I have come to fill the card with the camera sports without any kind of problem. Any questions I'll be happy to help resolve it.")</f>
        <v>Micro SD, at a good price when you buy it, 5 years later half. Used in a sports camera for 4 years Sporadic use still works without problem, recording at 1080 @ 60, also used a mobile during winter it gives transfer rates of about 6MB in writing. (My phone is a xiaomi redmi note 5 Pro) Actual capacity same as I have come to fill the card with the camera sports without any kind of problem. Any questions I'll be happy to help resolve it.</v>
      </c>
    </row>
    <row r="2022">
      <c r="A2022" s="1">
        <v>5.0</v>
      </c>
      <c r="B2022" s="1" t="s">
        <v>2011</v>
      </c>
      <c r="C2022" t="str">
        <f>IFERROR(__xludf.DUMMYFUNCTION("GOOGLETRANSLATE(B2022, ""es"", ""en"")"),"Super nice beautiful")</f>
        <v>Super nice beautiful</v>
      </c>
    </row>
    <row r="2023">
      <c r="A2023" s="1">
        <v>5.0</v>
      </c>
      <c r="B2023" s="1" t="s">
        <v>2012</v>
      </c>
      <c r="C2023" t="str">
        <f>IFERROR(__xludf.DUMMYFUNCTION("GOOGLETRANSLATE(B2023, ""es"", ""en"")"),"They fit well okay unmarked positions are very good and are economical. These very well priced and has many models")</f>
        <v>They fit well okay unmarked positions are very good and are economical. These very well priced and has many models</v>
      </c>
    </row>
    <row r="2024">
      <c r="A2024" s="1">
        <v>5.0</v>
      </c>
      <c r="B2024" s="1" t="s">
        <v>2013</v>
      </c>
      <c r="C2024" t="str">
        <f>IFERROR(__xludf.DUMMYFUNCTION("GOOGLETRANSLATE(B2024, ""es"", ""en"")"),"Good headphones with very good good autonomia headphones at a reasonable price. I have liked these headphones that are loaded alone in its case when you put them on. Light alone when you get on and off and loaded when you put them in their case, thus havi"&amp;"ng up to 24 hours of battery life according to its manual since it has not yet had time to discharge the battery box. I struggled a bit because I did not read link manual and must be linked-connect only the right and the left is automatically connected. S"&amp;"ummarizing. Good product, you hear very well, light and very good autonomy. What more could you want?")</f>
        <v>Good headphones with very good good autonomia headphones at a reasonable price. I have liked these headphones that are loaded alone in its case when you put them on. Light alone when you get on and off and loaded when you put them in their case, thus having up to 24 hours of battery life according to its manual since it has not yet had time to discharge the battery box. I struggled a bit because I did not read link manual and must be linked-connect only the right and the left is automatically connected. Summarizing. Good product, you hear very well, light and very good autonomy. What more could you want?</v>
      </c>
    </row>
    <row r="2025">
      <c r="A2025" s="1">
        <v>5.0</v>
      </c>
      <c r="B2025" s="1" t="s">
        <v>2014</v>
      </c>
      <c r="C2025" t="str">
        <f>IFERROR(__xludf.DUMMYFUNCTION("GOOGLETRANSLATE(B2025, ""es"", ""en"")"),"Very handy size size and quality of the materials used makes it very suitable for recording small reminder messages, the shopping list, taking medication, etc.")</f>
        <v>Very handy size size and quality of the materials used makes it very suitable for recording small reminder messages, the shopping list, taking medication, etc.</v>
      </c>
    </row>
    <row r="2026">
      <c r="A2026" s="1">
        <v>5.0</v>
      </c>
      <c r="B2026" s="1" t="s">
        <v>2015</v>
      </c>
      <c r="C2026" t="str">
        <f>IFERROR(__xludf.DUMMYFUNCTION("GOOGLETRANSLATE(B2026, ""es"", ""en"")"),"It's great It was a gift for my partner, and loves it. It has been using since 8 months and does not have a scratch despite being training with that clock.")</f>
        <v>It's great It was a gift for my partner, and loves it. It has been using since 8 months and does not have a scratch despite being training with that clock.</v>
      </c>
    </row>
    <row r="2027">
      <c r="A2027" s="1">
        <v>5.0</v>
      </c>
      <c r="B2027" s="1" t="s">
        <v>2016</v>
      </c>
      <c r="C2027" t="str">
        <f>IFERROR(__xludf.DUMMYFUNCTION("GOOGLETRANSLATE(B2027, ""es"", ""en"")"),"Authentic aroma and the mixture seems genuine aroma is quite strong because I used to sleep, and with a drop goes a long way.")</f>
        <v>Authentic aroma and the mixture seems genuine aroma is quite strong because I used to sleep, and with a drop goes a long way.</v>
      </c>
    </row>
    <row r="2028">
      <c r="A2028" s="1">
        <v>5.0</v>
      </c>
      <c r="B2028" s="1" t="s">
        <v>2017</v>
      </c>
      <c r="C2028" t="str">
        <f>IFERROR(__xludf.DUMMYFUNCTION("GOOGLETRANSLATE(B2028, ""es"", ""en"")"),"I needed an external hdd is that it works very well. Bring several extras like Cloud Save ... etc but I have not used at all. It was for my girlfriend and goes perfect, the truth is that it's faster than I experaba but without becoming an ssd hdd but to b"&amp;"e doing well and is now serving.")</f>
        <v>I needed an external hdd is that it works very well. Bring several extras like Cloud Save ... etc but I have not used at all. It was for my girlfriend and goes perfect, the truth is that it's faster than I experaba but without becoming an ssd hdd but to be doing well and is now serving.</v>
      </c>
    </row>
    <row r="2029">
      <c r="A2029" s="1">
        <v>5.0</v>
      </c>
      <c r="B2029" s="1" t="s">
        <v>2018</v>
      </c>
      <c r="C2029" t="str">
        <f>IFERROR(__xludf.DUMMYFUNCTION("GOOGLETRANSLATE(B2029, ""es"", ""en"")"),"Great Genial.Como always converse never fails. I order a number minus, as always. It is to know that Converse and Vans carved large.")</f>
        <v>Great Genial.Como always converse never fails. I order a number minus, as always. It is to know that Converse and Vans carved large.</v>
      </c>
    </row>
    <row r="2030">
      <c r="A2030" s="1">
        <v>5.0</v>
      </c>
      <c r="B2030" s="1" t="s">
        <v>2019</v>
      </c>
      <c r="C2030" t="str">
        <f>IFERROR(__xludf.DUMMYFUNCTION("GOOGLETRANSLATE(B2030, ""es"", ""en"")"),"prompt delivery are I wanted, I like")</f>
        <v>prompt delivery are I wanted, I like</v>
      </c>
    </row>
    <row r="2031">
      <c r="A2031" s="1">
        <v>5.0</v>
      </c>
      <c r="B2031" s="1" t="s">
        <v>2020</v>
      </c>
      <c r="C2031" t="str">
        <f>IFERROR(__xludf.DUMMYFUNCTION("GOOGLETRANSLATE(B2031, ""es"", ""en"")"),"Le perfectly fulfills its function give 5 stars to this product because it perfectly fulfills its function giving very good quality. I use it for radio podcast and so far has not given me any problems. The product but, if we seek it, it has no button ON /"&amp;" OFF")</f>
        <v>Le perfectly fulfills its function give 5 stars to this product because it perfectly fulfills its function giving very good quality. I use it for radio podcast and so far has not given me any problems. The product but, if we seek it, it has no button ON / OFF</v>
      </c>
    </row>
    <row r="2032">
      <c r="A2032" s="1">
        <v>5.0</v>
      </c>
      <c r="B2032" s="1" t="s">
        <v>2021</v>
      </c>
      <c r="C2032" t="str">
        <f>IFERROR(__xludf.DUMMYFUNCTION("GOOGLETRANSLATE(B2032, ""es"", ""en"")"),"Excellent Super useful, the same box made of dispenser simplifies work gluing and super fine paste.")</f>
        <v>Excellent Super useful, the same box made of dispenser simplifies work gluing and super fine paste.</v>
      </c>
    </row>
    <row r="2033">
      <c r="A2033" s="1">
        <v>5.0</v>
      </c>
      <c r="B2033" s="1" t="s">
        <v>2022</v>
      </c>
      <c r="C2033" t="str">
        <f>IFERROR(__xludf.DUMMYFUNCTION("GOOGLETRANSLATE(B2033, ""es"", ""en"")"),"It's what I wanted Perfect")</f>
        <v>It's what I wanted Perfect</v>
      </c>
    </row>
    <row r="2034">
      <c r="A2034" s="1">
        <v>5.0</v>
      </c>
      <c r="B2034" s="1" t="s">
        <v>2023</v>
      </c>
      <c r="C2034" t="str">
        <f>IFERROR(__xludf.DUMMYFUNCTION("GOOGLETRANSLATE(B2034, ""es"", ""en"")"),"Good sound So I could try the moment, sounds pretty good and strong, the only fault I see is him bluetooth you have to be pretty close if sometimes is not cut")</f>
        <v>Good sound So I could try the moment, sounds pretty good and strong, the only fault I see is him bluetooth you have to be pretty close if sometimes is not cut</v>
      </c>
    </row>
    <row r="2035">
      <c r="A2035" s="1">
        <v>5.0</v>
      </c>
      <c r="B2035" s="1" t="s">
        <v>2024</v>
      </c>
      <c r="C2035" t="str">
        <f>IFERROR(__xludf.DUMMYFUNCTION("GOOGLETRANSLATE(B2035, ""es"", ""en"")"),"Perfect use good buy for a couple, very soft and my partner likes me. The controller detects well and although it sounds a bit is perfect. 12 positions and are changed very well from one another")</f>
        <v>Perfect use good buy for a couple, very soft and my partner likes me. The controller detects well and although it sounds a bit is perfect. 12 positions and are changed very well from one another</v>
      </c>
    </row>
    <row r="2036">
      <c r="A2036" s="1">
        <v>2.0</v>
      </c>
      <c r="B2036" s="1" t="s">
        <v>2025</v>
      </c>
      <c r="C2036" t="str">
        <f>IFERROR(__xludf.DUMMYFUNCTION("GOOGLETRANSLATE(B2036, ""es"", ""en"")"),"Well tinged A washing a brown or yellowish spots remain .... by side and where abujeros cords")</f>
        <v>Well tinged A washing a brown or yellowish spots remain .... by side and where abujeros cords</v>
      </c>
    </row>
    <row r="2037">
      <c r="A2037" s="1">
        <v>3.0</v>
      </c>
      <c r="B2037" s="1" t="s">
        <v>2026</v>
      </c>
      <c r="C2037" t="str">
        <f>IFERROR(__xludf.DUMMYFUNCTION("GOOGLETRANSLATE(B2037, ""es"", ""en"")"),"In the picture looks better I gave the bag to my boyfriend, he is more or less happy, but to me it seems a bit big and canvas, for my taste if smaller would be cuter and less robust.")</f>
        <v>In the picture looks better I gave the bag to my boyfriend, he is more or less happy, but to me it seems a bit big and canvas, for my taste if smaller would be cuter and less robust.</v>
      </c>
    </row>
    <row r="2038">
      <c r="A2038" s="1">
        <v>1.0</v>
      </c>
      <c r="B2038" s="1" t="s">
        <v>2027</v>
      </c>
      <c r="C2038" t="str">
        <f>IFERROR(__xludf.DUMMYFUNCTION("GOOGLETRANSLATE(B2038, ""es"", ""en"")"),"Very disappointing The cap is the most uncomfortable I've seen in a kettle in my life. Is supposed to have to take the water from the outlet nozzle but, oh, there is the lime filter, so if water will miss all to within. It also has a strange vertical meta"&amp;"l rod that is not there and know what makes it very difficult to clean. Plastic is bad, very disappointing for this brand because I have another model for years and nothing to do. Finally, the design has nothing compact. If I return it is not doing the ha"&amp;"ssle of having to go to the post office.")</f>
        <v>Very disappointing The cap is the most uncomfortable I've seen in a kettle in my life. Is supposed to have to take the water from the outlet nozzle but, oh, there is the lime filter, so if water will miss all to within. It also has a strange vertical metal rod that is not there and know what makes it very difficult to clean. Plastic is bad, very disappointing for this brand because I have another model for years and nothing to do. Finally, the design has nothing compact. If I return it is not doing the hassle of having to go to the post office.</v>
      </c>
    </row>
    <row r="2039">
      <c r="A2039" s="1">
        <v>1.0</v>
      </c>
      <c r="B2039" s="1" t="s">
        <v>2028</v>
      </c>
      <c r="C2039" t="str">
        <f>IFERROR(__xludf.DUMMYFUNCTION("GOOGLETRANSLATE(B2039, ""es"", ""en"")"),"Cable fa d'antenna. A cop connectat, amb els auriculars posats, quan touches the cable sents soroll, which indicates that is not ben aillat. Lathe d'immediat.")</f>
        <v>Cable fa d'antenna. A cop connectat, amb els auriculars posats, quan touches the cable sents soroll, which indicates that is not ben aillat. Lathe d'immediat.</v>
      </c>
    </row>
    <row r="2040">
      <c r="A2040" s="1">
        <v>4.0</v>
      </c>
      <c r="B2040" s="1" t="s">
        <v>2029</v>
      </c>
      <c r="C2040" t="str">
        <f>IFERROR(__xludf.DUMMYFUNCTION("GOOGLETRANSLATE(B2040, ""es"", ""en"")"),"A Casio .... like most of those in a lifetime. In the images it appears to be a robust clock as before, but the fact that when you have it in hand seems pretty weak, but everything inside is what was intended, a Casio of lifelong except as mentioned.")</f>
        <v>A Casio .... like most of those in a lifetime. In the images it appears to be a robust clock as before, but the fact that when you have it in hand seems pretty weak, but everything inside is what was intended, a Casio of lifelong except as mentioned.</v>
      </c>
    </row>
    <row r="2041">
      <c r="A2041" s="1">
        <v>4.0</v>
      </c>
      <c r="B2041" s="1" t="s">
        <v>2030</v>
      </c>
      <c r="C2041" t="str">
        <f>IFERROR(__xludf.DUMMYFUNCTION("GOOGLETRANSLATE(B2041, ""es"", ""en"")"),"Looks good! Looks good! Felted fabric inside and very smooth. He arrived earlier than expected")</f>
        <v>Looks good! Looks good! Felted fabric inside and very smooth. He arrived earlier than expected</v>
      </c>
    </row>
    <row r="2042">
      <c r="A2042" s="1">
        <v>4.0</v>
      </c>
      <c r="B2042" s="1" t="s">
        <v>2031</v>
      </c>
      <c r="C2042" t="str">
        <f>IFERROR(__xludf.DUMMYFUNCTION("GOOGLETRANSLATE(B2042, ""es"", ""en"")"),"Discreet is nice, but not as much as in the photo. In the picture looks larger, and it is actually quite small, so would not recommend it as a gift, something would be ""poor"". But overall it's okay, I take her warmly.")</f>
        <v>Discreet is nice, but not as much as in the photo. In the picture looks larger, and it is actually quite small, so would not recommend it as a gift, something would be "poor". But overall it's okay, I take her warmly.</v>
      </c>
    </row>
    <row r="2043">
      <c r="A2043" s="1">
        <v>4.0</v>
      </c>
      <c r="B2043" s="1" t="s">
        <v>2032</v>
      </c>
      <c r="C2043" t="str">
        <f>IFERROR(__xludf.DUMMYFUNCTION("GOOGLETRANSLATE(B2043, ""es"", ""en"")"),"COMFORTABLE AND GOOD QUALITY surprising how light they are. Although they appear larger than normal headphones, once you place them and adjust well, nor feel. The sound quality is acceptable, without distortion or parasites, but sin a little lack of bass."&amp;" The charging base is very practical and small and fits into any pocket, even if it costs a little remove the earphones from her, because of the strong bond magnetic when they are in your accommodation, is welcome because it guarantees they will not fall "&amp;"or being upside down. Unfortunately I could not test them with live radio broadcast because my phone uses the headphone jack as well as an antenna and if you put a jack simulated shooting, do not duplicate the sound by bluetooth.")</f>
        <v>COMFORTABLE AND GOOD QUALITY surprising how light they are. Although they appear larger than normal headphones, once you place them and adjust well, nor feel. The sound quality is acceptable, without distortion or parasites, but sin a little lack of bass. The charging base is very practical and small and fits into any pocket, even if it costs a little remove the earphones from her, because of the strong bond magnetic when they are in your accommodation, is welcome because it guarantees they will not fall or being upside down. Unfortunately I could not test them with live radio broadcast because my phone uses the headphone jack as well as an antenna and if you put a jack simulated shooting, do not duplicate the sound by bluetooth.</v>
      </c>
    </row>
    <row r="2044">
      <c r="A2044" s="1">
        <v>4.0</v>
      </c>
      <c r="B2044" s="1" t="s">
        <v>2033</v>
      </c>
      <c r="C2044" t="str">
        <f>IFERROR(__xludf.DUMMYFUNCTION("GOOGLETRANSLATE(B2044, ""es"", ""en"")"),"Small Hello I like very much, really not as expected good quality, but have to return, I remain very tight, I really tightens the waist, no larger sizes, very kind when asking the why of the return without problems when money back annoyingly, I'm going to"&amp;" have to put on a diet, I miss him of course, but already after summer. saludoss")</f>
        <v>Small Hello I like very much, really not as expected good quality, but have to return, I remain very tight, I really tightens the waist, no larger sizes, very kind when asking the why of the return without problems when money back annoyingly, I'm going to have to put on a diet, I miss him of course, but already after summer. saludoss</v>
      </c>
    </row>
    <row r="2045">
      <c r="A2045" s="1">
        <v>5.0</v>
      </c>
      <c r="B2045" s="1" t="s">
        <v>2034</v>
      </c>
      <c r="C2045" t="str">
        <f>IFERROR(__xludf.DUMMYFUNCTION("GOOGLETRANSLATE(B2045, ""es"", ""en"")"),"Ideal for running comfortable and perfect for running. The size I chose is perfect me")</f>
        <v>Ideal for running comfortable and perfect for running. The size I chose is perfect me</v>
      </c>
    </row>
    <row r="2046">
      <c r="A2046" s="1">
        <v>5.0</v>
      </c>
      <c r="B2046" s="1" t="s">
        <v>2035</v>
      </c>
      <c r="C2046" t="str">
        <f>IFERROR(__xludf.DUMMYFUNCTION("GOOGLETRANSLATE(B2046, ""es"", ""en"")"),"Ro Perfect for its price. Feel great. Yes, it is ajustadita. Decathlon normally use S and M this model is perfect me (Entalladita, again).")</f>
        <v>Ro Perfect for its price. Feel great. Yes, it is ajustadita. Decathlon normally use S and M this model is perfect me (Entalladita, again).</v>
      </c>
    </row>
    <row r="2047">
      <c r="A2047" s="1">
        <v>5.0</v>
      </c>
      <c r="B2047" s="1" t="s">
        <v>2036</v>
      </c>
      <c r="C2047" t="str">
        <f>IFERROR(__xludf.DUMMYFUNCTION("GOOGLETRANSLATE(B2047, ""es"", ""en"")"),"The shoes are perfect! I love them, do not weigh anything, being perfect wedge are, are very comfortable and the number is as it should be, are great. I recommend them without any doubt and I'm thinking of asking others.")</f>
        <v>The shoes are perfect! I love them, do not weigh anything, being perfect wedge are, are very comfortable and the number is as it should be, are great. I recommend them without any doubt and I'm thinking of asking others.</v>
      </c>
    </row>
    <row r="2048">
      <c r="A2048" s="1">
        <v>5.0</v>
      </c>
      <c r="B2048" s="1" t="s">
        <v>2037</v>
      </c>
      <c r="C2048" t="str">
        <f>IFERROR(__xludf.DUMMYFUNCTION("GOOGLETRANSLATE(B2048, ""es"", ""en"")"),"Very comfortable and lightweight comfortable for summer. Feet do not overheat. The use with work boots and very comfortable")</f>
        <v>Very comfortable and lightweight comfortable for summer. Feet do not overheat. The use with work boots and very comfortable</v>
      </c>
    </row>
    <row r="2049">
      <c r="A2049" s="1">
        <v>5.0</v>
      </c>
      <c r="B2049" s="1" t="s">
        <v>2038</v>
      </c>
      <c r="C2049" t="str">
        <f>IFERROR(__xludf.DUMMYFUNCTION("GOOGLETRANSLATE(B2049, ""es"", ""en"")"),"Very happy with the purchase .As expected chulas")</f>
        <v>Very happy with the purchase .As expected chulas</v>
      </c>
    </row>
    <row r="2050">
      <c r="A2050" s="1">
        <v>5.0</v>
      </c>
      <c r="B2050" s="1" t="s">
        <v>2039</v>
      </c>
      <c r="C2050" t="str">
        <f>IFERROR(__xludf.DUMMYFUNCTION("GOOGLETRANSLATE(B2050, ""es"", ""en"")"),"Todo perfecto trouble")</f>
        <v>Todo perfecto trouble</v>
      </c>
    </row>
    <row r="2051">
      <c r="A2051" s="1">
        <v>5.0</v>
      </c>
      <c r="B2051" s="1" t="s">
        <v>2040</v>
      </c>
      <c r="C2051" t="str">
        <f>IFERROR(__xludf.DUMMYFUNCTION("GOOGLETRANSLATE(B2051, ""es"", ""en"")"),"All great! Everything as expected")</f>
        <v>All great! Everything as expected</v>
      </c>
    </row>
    <row r="2052">
      <c r="A2052" s="1">
        <v>5.0</v>
      </c>
      <c r="B2052" s="1" t="s">
        <v>2041</v>
      </c>
      <c r="C2052" t="str">
        <f>IFERROR(__xludf.DUMMYFUNCTION("GOOGLETRANSLATE(B2052, ""es"", ""en"")"),"I liked different looks fine but is very warm and me is great.")</f>
        <v>I liked different looks fine but is very warm and me is great.</v>
      </c>
    </row>
    <row r="2053">
      <c r="A2053" s="1">
        <v>5.0</v>
      </c>
      <c r="B2053" s="1" t="s">
        <v>2042</v>
      </c>
      <c r="C2053" t="str">
        <f>IFERROR(__xludf.DUMMYFUNCTION("GOOGLETRANSLATE(B2053, ""es"", ""en"")"),"Very cool Very cool and comfortable")</f>
        <v>Very cool Very cool and comfortable</v>
      </c>
    </row>
    <row r="2054">
      <c r="A2054" s="1">
        <v>5.0</v>
      </c>
      <c r="B2054" s="1" t="s">
        <v>2043</v>
      </c>
      <c r="C2054" t="str">
        <f>IFERROR(__xludf.DUMMYFUNCTION("GOOGLETRANSLATE(B2054, ""es"", ""en"")"),"Very comfortable Very comfortable and cool Leggings. It fits perfectly to my body and quite sturdy. It looks good on me, and gives me freedom and dynamism.")</f>
        <v>Very comfortable Very comfortable and cool Leggings. It fits perfectly to my body and quite sturdy. It looks good on me, and gives me freedom and dynamism.</v>
      </c>
    </row>
    <row r="2055">
      <c r="A2055" s="1">
        <v>5.0</v>
      </c>
      <c r="B2055" s="1" t="s">
        <v>2044</v>
      </c>
      <c r="C2055" t="str">
        <f>IFERROR(__xludf.DUMMYFUNCTION("GOOGLETRANSLATE(B2055, ""es"", ""en"")"),"very good quality these folders was just what I wanted to also fit into the box I bought the brand Jalema atlanta. Good value for money.")</f>
        <v>very good quality these folders was just what I wanted to also fit into the box I bought the brand Jalema atlanta. Good value for money.</v>
      </c>
    </row>
    <row r="2056">
      <c r="A2056" s="1">
        <v>5.0</v>
      </c>
      <c r="B2056" s="1" t="s">
        <v>2045</v>
      </c>
      <c r="C2056" t="str">
        <f>IFERROR(__xludf.DUMMYFUNCTION("GOOGLETRANSLATE(B2056, ""es"", ""en"")"),"recommended Perfect")</f>
        <v>recommended Perfect</v>
      </c>
    </row>
    <row r="2057">
      <c r="A2057" s="1">
        <v>5.0</v>
      </c>
      <c r="B2057" s="1" t="s">
        <v>2046</v>
      </c>
      <c r="C2057" t="str">
        <f>IFERROR(__xludf.DUMMYFUNCTION("GOOGLETRANSLATE(B2057, ""es"", ""en"")"),"I liked the palm rest is extremely comfortable, it fits perfectly to the wrist. Soft touch and precise with the mouse. It only remains to see how it evolves over time. It is the best I've had at first sight.")</f>
        <v>I liked the palm rest is extremely comfortable, it fits perfectly to the wrist. Soft touch and precise with the mouse. It only remains to see how it evolves over time. It is the best I've had at first sight.</v>
      </c>
    </row>
    <row r="2058">
      <c r="A2058" s="1">
        <v>5.0</v>
      </c>
      <c r="B2058" s="1" t="s">
        <v>2047</v>
      </c>
      <c r="C2058" t="str">
        <f>IFERROR(__xludf.DUMMYFUNCTION("GOOGLETRANSLATE(B2058, ""es"", ""en"")"),"Prefect perfect purchase.")</f>
        <v>Prefect perfect purchase.</v>
      </c>
    </row>
    <row r="2059">
      <c r="A2059" s="1">
        <v>5.0</v>
      </c>
      <c r="B2059" s="1" t="s">
        <v>2048</v>
      </c>
      <c r="C2059" t="str">
        <f>IFERROR(__xludf.DUMMYFUNCTION("GOOGLETRANSLATE(B2059, ""es"", ""en"")"),"Ideal for shopping list I bought the small to place four notes and shopping list. It makes me laugh that comes with the ledge to leave the pens and eraser, despite how small the board. This repisita is optional, you can not put it if you do not. The board"&amp;" comes with a protective film to prevent scratches, it is a very bright white and paint and erase moment super well and easy.")</f>
        <v>Ideal for shopping list I bought the small to place four notes and shopping list. It makes me laugh that comes with the ledge to leave the pens and eraser, despite how small the board. This repisita is optional, you can not put it if you do not. The board comes with a protective film to prevent scratches, it is a very bright white and paint and erase moment super well and easy.</v>
      </c>
    </row>
    <row r="2060">
      <c r="A2060" s="1">
        <v>5.0</v>
      </c>
      <c r="B2060" s="1" t="s">
        <v>2049</v>
      </c>
      <c r="C2060" t="str">
        <f>IFERROR(__xludf.DUMMYFUNCTION("GOOGLETRANSLATE(B2060, ""es"", ""en"")"),"Quality memory. I tried several cards from different manufacturers and can say that the best, the Samsung. I use all my devices and have never given me a problem.")</f>
        <v>Quality memory. I tried several cards from different manufacturers and can say that the best, the Samsung. I use all my devices and have never given me a problem.</v>
      </c>
    </row>
    <row r="2061">
      <c r="A2061" s="1">
        <v>5.0</v>
      </c>
      <c r="B2061" s="1" t="s">
        <v>2050</v>
      </c>
      <c r="C2061" t="str">
        <f>IFERROR(__xludf.DUMMYFUNCTION("GOOGLETRANSLATE(B2061, ""es"", ""en"")"),"super comfortable super comfortable to work all day standing")</f>
        <v>super comfortable super comfortable to work all day standing</v>
      </c>
    </row>
    <row r="2062">
      <c r="A2062" s="1">
        <v>5.0</v>
      </c>
      <c r="B2062" s="1" t="s">
        <v>2051</v>
      </c>
      <c r="C2062" t="str">
        <f>IFERROR(__xludf.DUMMYFUNCTION("GOOGLETRANSLATE(B2062, ""es"", ""en"")"),"Very practical and it works Va very well, not only for massage. I use it to move those Kilos more and it shows. It is very handy and not having cord will greatly facilitates life at all ... I am very happy with the purchase. It has many modes, many heads "&amp;"and a lot of intensity.")</f>
        <v>Very practical and it works Va very well, not only for massage. I use it to move those Kilos more and it shows. It is very handy and not having cord will greatly facilitates life at all ... I am very happy with the purchase. It has many modes, many heads and a lot of intensity.</v>
      </c>
    </row>
    <row r="2063">
      <c r="A2063" s="1">
        <v>5.0</v>
      </c>
      <c r="B2063" s="1" t="s">
        <v>2052</v>
      </c>
      <c r="C2063" t="str">
        <f>IFERROR(__xludf.DUMMYFUNCTION("GOOGLETRANSLATE(B2063, ""es"", ""en"")"),"Preciosa recommend is beautiful, although not bring box is the k pego I see him, comes in a velvet bag Pandora, but if not for gift recommend 😍, was the regale my sister loved it, it is the original")</f>
        <v>Preciosa recommend is beautiful, although not bring box is the k pego I see him, comes in a velvet bag Pandora, but if not for gift recommend 😍, was the regale my sister loved it, it is the original</v>
      </c>
    </row>
    <row r="2064">
      <c r="A2064" s="1">
        <v>2.0</v>
      </c>
      <c r="B2064" s="1" t="s">
        <v>2053</v>
      </c>
      <c r="C2064" t="str">
        <f>IFERROR(__xludf.DUMMYFUNCTION("GOOGLETRANSLATE(B2064, ""es"", ""en"")"),"As I had years ago works perfectly, even Made in China. Water-resistant and functional. But Crappy belt, has broken the year just buy it for use because it is decaying due to its poor quality. For this reason I do not advise your purchase.")</f>
        <v>As I had years ago works perfectly, even Made in China. Water-resistant and functional. But Crappy belt, has broken the year just buy it for use because it is decaying due to its poor quality. For this reason I do not advise your purchase.</v>
      </c>
    </row>
    <row r="2065">
      <c r="A2065" s="1">
        <v>3.0</v>
      </c>
      <c r="B2065" s="1" t="s">
        <v>2054</v>
      </c>
      <c r="C2065" t="str">
        <f>IFERROR(__xludf.DUMMYFUNCTION("GOOGLETRANSLATE(B2065, ""es"", ""en"")"),"After asking and must reach me the same day. I rode in the Tower of the PC (I recommend the adapter for 2 / 3.5 and secure it) In no more than 20 minutes; He had all connected, ordered cable and the Windows 10 (6/7 minutes installation led in total). Afte"&amp;"r that (and it takes about 15secs to enter the new Windows) I can say that compared to the other hard drive I use (WD Caviar Black 1TB with noise ""ratcheting"") Change is interesting; in my case more noise than the speed (the WD I have more than 6 years "&amp;"will superápido) but it is certainly advisable to have a SSD especially with programs that use both retouching photography and illustration, as video editing . Its 480 gigas enough, that if you already have added other discs is perfect. Very satisfied wit"&amp;"h the purchase, although there SSD's most powerful writing and reading. Cheers")</f>
        <v>After asking and must reach me the same day. I rode in the Tower of the PC (I recommend the adapter for 2 / 3.5 and secure it) In no more than 20 minutes; He had all connected, ordered cable and the Windows 10 (6/7 minutes installation led in total). After that (and it takes about 15secs to enter the new Windows) I can say that compared to the other hard drive I use (WD Caviar Black 1TB with noise "ratcheting") Change is interesting; in my case more noise than the speed (the WD I have more than 6 years will superápido) but it is certainly advisable to have a SSD especially with programs that use both retouching photography and illustration, as video editing . Its 480 gigas enough, that if you already have added other discs is perfect. Very satisfied with the purchase, although there SSD's most powerful writing and reading. Cheers</v>
      </c>
    </row>
    <row r="2066">
      <c r="A2066" s="1">
        <v>3.0</v>
      </c>
      <c r="B2066" s="1" t="s">
        <v>2055</v>
      </c>
      <c r="C2066" t="str">
        <f>IFERROR(__xludf.DUMMYFUNCTION("GOOGLETRANSLATE(B2066, ""es"", ""en"")"),"The headset is disconnected only worked properly and I have a very good insulation and functionality, but all of a sudden having the battery charge to 90% are reset themselves losing communication with devices.")</f>
        <v>The headset is disconnected only worked properly and I have a very good insulation and functionality, but all of a sudden having the battery charge to 90% are reset themselves losing communication with devices.</v>
      </c>
    </row>
    <row r="2067">
      <c r="A2067" s="1">
        <v>1.0</v>
      </c>
      <c r="B2067" s="1" t="s">
        <v>2056</v>
      </c>
      <c r="C2067" t="str">
        <f>IFERROR(__xludf.DUMMYFUNCTION("GOOGLETRANSLATE(B2067, ""es"", ""en"")"),"Misleading advertising The robot cleans well, but it happens several times zones depleted battery, which does not finish cleaning the house, because the battery is depleted early. My house is 50 meters and if we remove less furniture. At the end just me c"&amp;"lean kitchen, lounge and bathroom. If you put it back, does not continue where you left starts over again. The application of mobile, constantly off and stops working. The robot goes haywire in areas with mirrors and add a nonexistent space. Pretty things"&amp;" still need to adjust this robot to work well. I have returned for not fulfilling what they promise. I'm in the process of reintegrating me that money. 10 for Amazon, returns without any problem.")</f>
        <v>Misleading advertising The robot cleans well, but it happens several times zones depleted battery, which does not finish cleaning the house, because the battery is depleted early. My house is 50 meters and if we remove less furniture. At the end just me clean kitchen, lounge and bathroom. If you put it back, does not continue where you left starts over again. The application of mobile, constantly off and stops working. The robot goes haywire in areas with mirrors and add a nonexistent space. Pretty things still need to adjust this robot to work well. I have returned for not fulfilling what they promise. I'm in the process of reintegrating me that money. 10 for Amazon, returns without any problem.</v>
      </c>
    </row>
    <row r="2068">
      <c r="A2068" s="1">
        <v>1.0</v>
      </c>
      <c r="B2068" s="1" t="s">
        <v>2057</v>
      </c>
      <c r="C2068" t="str">
        <f>IFERROR(__xludf.DUMMYFUNCTION("GOOGLETRANSLATE(B2068, ""es"", ""en"")"),"In less disappointed than two months has stopped vacuuming, it worked very well and suddenly has no power. A disappointment because I had read good reviews about it.")</f>
        <v>In less disappointed than two months has stopped vacuuming, it worked very well and suddenly has no power. A disappointment because I had read good reviews about it.</v>
      </c>
    </row>
    <row r="2069">
      <c r="A2069" s="1">
        <v>1.0</v>
      </c>
      <c r="B2069" s="1" t="s">
        <v>2058</v>
      </c>
      <c r="C2069" t="str">
        <f>IFERROR(__xludf.DUMMYFUNCTION("GOOGLETRANSLATE(B2069, ""es"", ""en"")"),"Not worth it. Does not fulfill its function The small removable vacuum cleaner has no power and the main either. After 6 months to have it and I regret buying. Better to spend some more money and have something to really aspire to have a home gizmo that d"&amp;"oes not fulfill its function. I am totally disappointed.")</f>
        <v>Not worth it. Does not fulfill its function The small removable vacuum cleaner has no power and the main either. After 6 months to have it and I regret buying. Better to spend some more money and have something to really aspire to have a home gizmo that does not fulfill its function. I am totally disappointed.</v>
      </c>
    </row>
    <row r="2070">
      <c r="A2070" s="1">
        <v>4.0</v>
      </c>
      <c r="B2070" s="1" t="s">
        <v>2059</v>
      </c>
      <c r="C2070" t="str">
        <f>IFERROR(__xludf.DUMMYFUNCTION("GOOGLETRANSLATE(B2070, ""es"", ""en"")"),"well well")</f>
        <v>well well</v>
      </c>
    </row>
    <row r="2071">
      <c r="A2071" s="1">
        <v>4.0</v>
      </c>
      <c r="B2071" s="1" t="s">
        <v>2060</v>
      </c>
      <c r="C2071" t="str">
        <f>IFERROR(__xludf.DUMMYFUNCTION("GOOGLETRANSLATE(B2071, ""es"", ""en"")"),"Very good buy boots very comfortable. Fully recommended. Although security are weigh nothing. Buy very successful. Would repeat")</f>
        <v>Very good buy boots very comfortable. Fully recommended. Although security are weigh nothing. Buy very successful. Would repeat</v>
      </c>
    </row>
    <row r="2072">
      <c r="A2072" s="1">
        <v>4.0</v>
      </c>
      <c r="B2072" s="1" t="s">
        <v>2061</v>
      </c>
      <c r="C2072" t="str">
        <f>IFERROR(__xludf.DUMMYFUNCTION("GOOGLETRANSLATE(B2072, ""es"", ""en"")"),"Light oil light, pleasant and odorless because using sunflower oil instead of olive oil. I prefer it. Do not expect that smacks of fruit that does not happen to anyone, unless you add artificial aroma, something not desirable. Plastic container; I prefer "&amp;"glass.")</f>
        <v>Light oil light, pleasant and odorless because using sunflower oil instead of olive oil. I prefer it. Do not expect that smacks of fruit that does not happen to anyone, unless you add artificial aroma, something not desirable. Plastic container; I prefer glass.</v>
      </c>
    </row>
    <row r="2073">
      <c r="A2073" s="1">
        <v>4.0</v>
      </c>
      <c r="B2073" s="1" t="s">
        <v>2062</v>
      </c>
      <c r="C2073" t="str">
        <f>IFERROR(__xludf.DUMMYFUNCTION("GOOGLETRANSLATE(B2073, ""es"", ""en"")"),"Functionality and fashion together. Good quality and improved communication with iOS is a clock that is stylish to get dressed and after months of use are not resentful finishes. It is hipercompatible Android (without taking active clock phone application"&amp;" and communicate with a very high level of information) and less with IOS, which does not carry the WearOS active application you off the clock")</f>
        <v>Functionality and fashion together. Good quality and improved communication with iOS is a clock that is stylish to get dressed and after months of use are not resentful finishes. It is hipercompatible Android (without taking active clock phone application and communicate with a very high level of information) and less with IOS, which does not carry the WearOS active application you off the clock</v>
      </c>
    </row>
    <row r="2074">
      <c r="A2074" s="1">
        <v>5.0</v>
      </c>
      <c r="B2074" s="1" t="s">
        <v>2063</v>
      </c>
      <c r="C2074" t="str">
        <f>IFERROR(__xludf.DUMMYFUNCTION("GOOGLETRANSLATE(B2074, ""es"", ""en"")"),"While they are fine, carved as expected. It takes a week to arrive")</f>
        <v>While they are fine, carved as expected. It takes a week to arrive</v>
      </c>
    </row>
    <row r="2075">
      <c r="A2075" s="1">
        <v>5.0</v>
      </c>
      <c r="B2075" s="1" t="s">
        <v>2064</v>
      </c>
      <c r="C2075" t="str">
        <f>IFERROR(__xludf.DUMMYFUNCTION("GOOGLETRANSLATE(B2075, ""es"", ""en"")"),"Good price and good quality. noise it is minimal, no engine is heard, vaporizes well and last long, has the timer for 1,2,3h and longer.")</f>
        <v>Good price and good quality. noise it is minimal, no engine is heard, vaporizes well and last long, has the timer for 1,2,3h and longer.</v>
      </c>
    </row>
    <row r="2076">
      <c r="A2076" s="1">
        <v>5.0</v>
      </c>
      <c r="B2076" s="1" t="s">
        <v>2065</v>
      </c>
      <c r="C2076" t="str">
        <f>IFERROR(__xludf.DUMMYFUNCTION("GOOGLETRANSLATE(B2076, ""es"", ""en"")"),"Good performance can already comment on the SD card because I have done a lot of photos and video. I like how does the video without ""jumps"" or failures in HD. Photos and speed of data transfer is correct. Good buying a brand with great prestige. Would "&amp;"buy it.")</f>
        <v>Good performance can already comment on the SD card because I have done a lot of photos and video. I like how does the video without "jumps" or failures in HD. Photos and speed of data transfer is correct. Good buying a brand with great prestige. Would buy it.</v>
      </c>
    </row>
    <row r="2077">
      <c r="A2077" s="1">
        <v>5.0</v>
      </c>
      <c r="B2077" s="1" t="s">
        <v>2066</v>
      </c>
      <c r="C2077" t="str">
        <f>IFERROR(__xludf.DUMMYFUNCTION("GOOGLETRANSLATE(B2077, ""es"", ""en"")"),"Expected Very good quality, easy to adjust.")</f>
        <v>Expected Very good quality, easy to adjust.</v>
      </c>
    </row>
    <row r="2078">
      <c r="A2078" s="1">
        <v>5.0</v>
      </c>
      <c r="B2078" s="1" t="s">
        <v>2067</v>
      </c>
      <c r="C2078" t="str">
        <f>IFERROR(__xludf.DUMMYFUNCTION("GOOGLETRANSLATE(B2078, ""es"", ""en"")"),"TWS- 9 DELINUO GENIALES headphones. I decided on these headphones because he had bought a few days ago for my husband and not to confuse the different bought. These headphones fit better not fall off me. They have twice the battery to charge mobile or oth"&amp;"er device. The great sounding headphones with impressive and very powerful bass. Seamless connectivity in a second were connected as it out of the box my daughter to one and another, a Samsung S9 and the other with a A 40 one for each, great. It has many "&amp;"features that is very well explained in the book of instructions in Spanish has an indicator with the percentage of the battery so that not to get thrown, a cover very apparent to save it and the box, spare parts rubber bands of different is not damaged s"&amp;"izes, red color is very nice headphones. Very good value has two products in one: wireless headphones and a battery booster charge that can carry in your pocket. Also so I decided on these headphones was for the charging cable which is USB Type C as charg"&amp;"ers mobile my family so you do not have to carry more cables only the q comes to charge your battery. They are resistant to water and showering me like me listening to music so everything very well. For now five star.")</f>
        <v>TWS- 9 DELINUO GENIALES headphones. I decided on these headphones because he had bought a few days ago for my husband and not to confuse the different bought. These headphones fit better not fall off me. They have twice the battery to charge mobile or other device. The great sounding headphones with impressive and very powerful bass. Seamless connectivity in a second were connected as it out of the box my daughter to one and another, a Samsung S9 and the other with a A 40 one for each, great. It has many features that is very well explained in the book of instructions in Spanish has an indicator with the percentage of the battery so that not to get thrown, a cover very apparent to save it and the box, spare parts rubber bands of different is not damaged sizes, red color is very nice headphones. Very good value has two products in one: wireless headphones and a battery booster charge that can carry in your pocket. Also so I decided on these headphones was for the charging cable which is USB Type C as chargers mobile my family so you do not have to carry more cables only the q comes to charge your battery. They are resistant to water and showering me like me listening to music so everything very well. For now five star.</v>
      </c>
    </row>
    <row r="2079">
      <c r="A2079" s="1">
        <v>5.0</v>
      </c>
      <c r="B2079" s="1" t="s">
        <v>2068</v>
      </c>
      <c r="C2079" t="str">
        <f>IFERROR(__xludf.DUMMYFUNCTION("GOOGLETRANSLATE(B2079, ""es"", ""en"")"),"Well my orders")</f>
        <v>Well my orders</v>
      </c>
    </row>
    <row r="2080">
      <c r="A2080" s="1">
        <v>5.0</v>
      </c>
      <c r="B2080" s="1" t="s">
        <v>2069</v>
      </c>
      <c r="C2080" t="str">
        <f>IFERROR(__xludf.DUMMYFUNCTION("GOOGLETRANSLATE(B2080, ""es"", ""en"")"),"Perfect buy good start in the world of recordings. Recommended 100%.")</f>
        <v>Perfect buy good start in the world of recordings. Recommended 100%.</v>
      </c>
    </row>
    <row r="2081">
      <c r="A2081" s="1">
        <v>5.0</v>
      </c>
      <c r="B2081" s="1" t="s">
        <v>2070</v>
      </c>
      <c r="C2081" t="str">
        <f>IFERROR(__xludf.DUMMYFUNCTION("GOOGLETRANSLATE(B2081, ""es"", ""en"")"),"Amazing Really good sound, very happy with them, too They Came quick. If you are looking for a top quality sound for your studio this is my pick. Sennheiser HD 280 I tried too, but this is another level up, much clearer sound and you can even hear all bas"&amp;"eline very accurately. With HD 280 Senh Sounded like it from a can :-D ... well done Sony again!")</f>
        <v>Amazing Really good sound, very happy with them, too They Came quick. If you are looking for a top quality sound for your studio this is my pick. Sennheiser HD 280 I tried too, but this is another level up, much clearer sound and you can even hear all baseline very accurately. With HD 280 Senh Sounded like it from a can :-D ... well done Sony again!</v>
      </c>
    </row>
    <row r="2082">
      <c r="A2082" s="1">
        <v>5.0</v>
      </c>
      <c r="B2082" s="1" t="s">
        <v>2071</v>
      </c>
      <c r="C2082" t="str">
        <f>IFERROR(__xludf.DUMMYFUNCTION("GOOGLETRANSLATE(B2082, ""es"", ""en"")"),"Elegant Simply Perfect")</f>
        <v>Elegant Simply Perfect</v>
      </c>
    </row>
    <row r="2083">
      <c r="A2083" s="1">
        <v>5.0</v>
      </c>
      <c r="B2083" s="1" t="s">
        <v>2072</v>
      </c>
      <c r="C2083" t="str">
        <f>IFERROR(__xludf.DUMMYFUNCTION("GOOGLETRANSLATE(B2083, ""es"", ""en"")"),"Brilliant brilliant. It's like going barefoot, but protected. In addition, you become aware of how bad q run or walk on, ""thanks"" to the conventional running shoes")</f>
        <v>Brilliant brilliant. It's like going barefoot, but protected. In addition, you become aware of how bad q run or walk on, "thanks" to the conventional running shoes</v>
      </c>
    </row>
    <row r="2084">
      <c r="A2084" s="1">
        <v>5.0</v>
      </c>
      <c r="B2084" s="1" t="s">
        <v>2073</v>
      </c>
      <c r="C2084" t="str">
        <f>IFERROR(__xludf.DUMMYFUNCTION("GOOGLETRANSLATE(B2084, ""es"", ""en"")"),"Recommended materials Good noticeable quality to accessories, weighs very little very manageable at the time of use, good suction power, has three speeds downloading and using the app manual mode only two lowest speeds and turbo, I think it is a good buy "&amp;"Value, accessories and intuitive disassembly")</f>
        <v>Recommended materials Good noticeable quality to accessories, weighs very little very manageable at the time of use, good suction power, has three speeds downloading and using the app manual mode only two lowest speeds and turbo, I think it is a good buy Value, accessories and intuitive disassembly</v>
      </c>
    </row>
    <row r="2085">
      <c r="A2085" s="1">
        <v>5.0</v>
      </c>
      <c r="B2085" s="1" t="s">
        <v>2074</v>
      </c>
      <c r="C2085" t="str">
        <f>IFERROR(__xludf.DUMMYFUNCTION("GOOGLETRANSLATE(B2085, ""es"", ""en"")"),"ok ok")</f>
        <v>ok ok</v>
      </c>
    </row>
    <row r="2086">
      <c r="A2086" s="1">
        <v>5.0</v>
      </c>
      <c r="B2086" s="1" t="s">
        <v>2075</v>
      </c>
      <c r="C2086" t="str">
        <f>IFERROR(__xludf.DUMMYFUNCTION("GOOGLETRANSLATE(B2086, ""es"", ""en"")"),"A DROP OF SHINE is a silver pendant J.ROSÉE brand. It is made of sterling silver and cubic zirconia, making it ideal for allergy sufferers. The size of the string is about 43 cm with a quick closure. Pendant measures approximately 21x12 mm and curved rhom"&amp;"bus-shaped or drop with an interior detail. It is bright and discreet at the same time, so it is perfect for conjuntarlo at parties and events. Chain is thin and almost unnoticeable when worn. ADVANTAGES - Discreet and elegant - Suitable for allergy suffe"&amp;"rers - Design nice DISADVANTAGES - None at the moment Package Contents: - Pendant - Cleaning cloth - Carrying case - Greeting Card")</f>
        <v>A DROP OF SHINE is a silver pendant J.ROSÉE brand. It is made of sterling silver and cubic zirconia, making it ideal for allergy sufferers. The size of the string is about 43 cm with a quick closure. Pendant measures approximately 21x12 mm and curved rhombus-shaped or drop with an interior detail. It is bright and discreet at the same time, so it is perfect for conjuntarlo at parties and events. Chain is thin and almost unnoticeable when worn. ADVANTAGES - Discreet and elegant - Suitable for allergy sufferers - Design nice DISADVANTAGES - None at the moment Package Contents: - Pendant - Cleaning cloth - Carrying case - Greeting Card</v>
      </c>
    </row>
    <row r="2087">
      <c r="A2087" s="1">
        <v>5.0</v>
      </c>
      <c r="B2087" s="1" t="s">
        <v>2076</v>
      </c>
      <c r="C2087" t="str">
        <f>IFERROR(__xludf.DUMMYFUNCTION("GOOGLETRANSLATE(B2087, ""es"", ""en"")"),"I loved arrived earlier than expected and without any problems. I premiered at the moment and I'm delighted. Easy and comfortable. The bad, the same as when you go to the physio: to the next day had a horrible pain. But as always, that's what most relieve"&amp;"d.")</f>
        <v>I loved arrived earlier than expected and without any problems. I premiered at the moment and I'm delighted. Easy and comfortable. The bad, the same as when you go to the physio: to the next day had a horrible pain. But as always, that's what most relieved.</v>
      </c>
    </row>
    <row r="2088">
      <c r="A2088" s="1">
        <v>5.0</v>
      </c>
      <c r="B2088" s="1" t="s">
        <v>2077</v>
      </c>
      <c r="C2088" t="str">
        <f>IFERROR(__xludf.DUMMYFUNCTION("GOOGLETRANSLATE(B2088, ""es"", ""en"")"),"Softness, various levels of heat and very used've given this blanket and people who are using it are quite happy. Comment that is soft, has several options for different levels of heat and cold that comes now is widely used. they are also used to improve "&amp;"muscle back problems and as relaxation of charged areas.")</f>
        <v>Softness, various levels of heat and very used've given this blanket and people who are using it are quite happy. Comment that is soft, has several options for different levels of heat and cold that comes now is widely used. they are also used to improve muscle back problems and as relaxation of charged areas.</v>
      </c>
    </row>
    <row r="2089">
      <c r="A2089" s="1">
        <v>5.0</v>
      </c>
      <c r="B2089" s="1" t="s">
        <v>2078</v>
      </c>
      <c r="C2089" t="str">
        <f>IFERROR(__xludf.DUMMYFUNCTION("GOOGLETRANSLATE(B2089, ""es"", ""en"")"),"Amazing sound quality, Sennheiser never disappoints for me personally, as fond of music, are the best headphones I've used for that price (I'm a fan of Sennheiser headphones). They are a little more expensive than some basic headphones but it's worth inve"&amp;"sting in them, and have nothing to envy headphones higher price. They do not weigh much and durán enough. This model I have for 2 years and working perfectly. I also tried others in the same house, model MX375 also expectaularmente sound good. Clear sound"&amp;" and good bass.")</f>
        <v>Amazing sound quality, Sennheiser never disappoints for me personally, as fond of music, are the best headphones I've used for that price (I'm a fan of Sennheiser headphones). They are a little more expensive than some basic headphones but it's worth investing in them, and have nothing to envy headphones higher price. They do not weigh much and durán enough. This model I have for 2 years and working perfectly. I also tried others in the same house, model MX375 also expectaularmente sound good. Clear sound and good bass.</v>
      </c>
    </row>
    <row r="2090">
      <c r="A2090" s="1">
        <v>5.0</v>
      </c>
      <c r="B2090" s="1" t="s">
        <v>2079</v>
      </c>
      <c r="C2090" t="str">
        <f>IFERROR(__xludf.DUMMYFUNCTION("GOOGLETRANSLATE(B2090, ""es"", ""en"")"),"Perfect very comfortable. It is not the first superga I buy me. I recommend 100%. The color and material are very good.")</f>
        <v>Perfect very comfortable. It is not the first superga I buy me. I recommend 100%. The color and material are very good.</v>
      </c>
    </row>
    <row r="2091">
      <c r="A2091" s="1">
        <v>5.0</v>
      </c>
      <c r="B2091" s="1" t="s">
        <v>2080</v>
      </c>
      <c r="C2091" t="str">
        <f>IFERROR(__xludf.DUMMYFUNCTION("GOOGLETRANSLATE(B2091, ""es"", ""en"")"),"Xulíssim Molt bonic")</f>
        <v>Xulíssim Molt bonic</v>
      </c>
    </row>
    <row r="2092">
      <c r="A2092" s="1">
        <v>2.0</v>
      </c>
      <c r="B2092" s="1" t="s">
        <v>2081</v>
      </c>
      <c r="C2092" t="str">
        <f>IFERROR(__xludf.DUMMYFUNCTION("GOOGLETRANSLATE(B2092, ""es"", ""en"")"),"Perspires not think I was wrong, because that shoe does not sweat and hang the foot is wet. Regarding other details, in otherwise well.")</f>
        <v>Perspires not think I was wrong, because that shoe does not sweat and hang the foot is wet. Regarding other details, in otherwise well.</v>
      </c>
    </row>
    <row r="2093">
      <c r="A2093" s="1">
        <v>3.0</v>
      </c>
      <c r="B2093" s="1" t="s">
        <v>2082</v>
      </c>
      <c r="C2093" t="str">
        <f>IFERROR(__xludf.DUMMYFUNCTION("GOOGLETRANSLATE(B2093, ""es"", ""en"")"),"Good watch The watch it is a little bigger than imagined, but have removed links in the chain and now good.")</f>
        <v>Good watch The watch it is a little bigger than imagined, but have removed links in the chain and now good.</v>
      </c>
    </row>
    <row r="2094">
      <c r="A2094" s="1">
        <v>3.0</v>
      </c>
      <c r="B2094" s="1" t="s">
        <v>2083</v>
      </c>
      <c r="C2094" t="str">
        <f>IFERROR(__xludf.DUMMYFUNCTION("GOOGLETRANSLATE(B2094, ""es"", ""en"")"),"Very practical Compared to a previous brand I bought Amazón green, I liked the black color. On the other hand this is not activated at the pressionar the glass the other it does and therefore is easier to use.")</f>
        <v>Very practical Compared to a previous brand I bought Amazón green, I liked the black color. On the other hand this is not activated at the pressionar the glass the other it does and therefore is easier to use.</v>
      </c>
    </row>
    <row r="2095">
      <c r="A2095" s="1">
        <v>1.0</v>
      </c>
      <c r="B2095" s="1" t="s">
        <v>2084</v>
      </c>
      <c r="C2095" t="str">
        <f>IFERROR(__xludf.DUMMYFUNCTION("GOOGLETRANSLATE(B2095, ""es"", ""en"")"),"Very unhappy with poor quality shoes. They seem original but quickly, and with little or use, will ""stripping"" and slitting the material of the shoe. mine are white with 1 month and longer seen as his had 5 years. Bad quality. I do not recommend it")</f>
        <v>Very unhappy with poor quality shoes. They seem original but quickly, and with little or use, will "stripping" and slitting the material of the shoe. mine are white with 1 month and longer seen as his had 5 years. Bad quality. I do not recommend it</v>
      </c>
    </row>
    <row r="2096">
      <c r="A2096" s="1">
        <v>1.0</v>
      </c>
      <c r="B2096" s="1" t="s">
        <v>2085</v>
      </c>
      <c r="C2096" t="str">
        <f>IFERROR(__xludf.DUMMYFUNCTION("GOOGLETRANSLATE(B2096, ""es"", ""en"")"),"Lousy product quality is sub-par Pants, super thin fabric, everything was transparent, I had to throw")</f>
        <v>Lousy product quality is sub-par Pants, super thin fabric, everything was transparent, I had to throw</v>
      </c>
    </row>
    <row r="2097">
      <c r="A2097" s="1">
        <v>4.0</v>
      </c>
      <c r="B2097" s="1" t="s">
        <v>2086</v>
      </c>
      <c r="C2097" t="str">
        <f>IFERROR(__xludf.DUMMYFUNCTION("GOOGLETRANSLATE(B2097, ""es"", ""en"")"),"Very nice beautiful and functional although the quality is somewhat lacking")</f>
        <v>Very nice beautiful and functional although the quality is somewhat lacking</v>
      </c>
    </row>
    <row r="2098">
      <c r="A2098" s="1">
        <v>4.0</v>
      </c>
      <c r="B2098" s="1" t="s">
        <v>2087</v>
      </c>
      <c r="C2098" t="str">
        <f>IFERROR(__xludf.DUMMYFUNCTION("GOOGLETRANSLATE(B2098, ""es"", ""en"")"),"Dan lot size. Big. Super fast delivery. Quality, excellent. Product original and as it appeared in the photos. Surprise: the day before I tried it in a store the same number and model, 37, was perfect. The received, despite being 37, I was too big, too mu"&amp;"ch 1 cm. How can this be? I do not get it.")</f>
        <v>Dan lot size. Big. Super fast delivery. Quality, excellent. Product original and as it appeared in the photos. Surprise: the day before I tried it in a store the same number and model, 37, was perfect. The received, despite being 37, I was too big, too much 1 cm. How can this be? I do not get it.</v>
      </c>
    </row>
    <row r="2099">
      <c r="A2099" s="1">
        <v>4.0</v>
      </c>
      <c r="B2099" s="1" t="s">
        <v>2088</v>
      </c>
      <c r="C2099" t="str">
        <f>IFERROR(__xludf.DUMMYFUNCTION("GOOGLETRANSLATE(B2099, ""es"", ""en"")"),"To play guitar anywhere I served to play guitar when he could not carry amp. It is basic and limited functions. Perhaps he is having had more knowledge, would have bought another product, but it would have been more expensive. I'm happy, has made no funct"&amp;"ion and I'm still using, without giving problems, so magnificent.")</f>
        <v>To play guitar anywhere I served to play guitar when he could not carry amp. It is basic and limited functions. Perhaps he is having had more knowledge, would have bought another product, but it would have been more expensive. I'm happy, has made no function and I'm still using, without giving problems, so magnificent.</v>
      </c>
    </row>
    <row r="2100">
      <c r="A2100" s="1">
        <v>4.0</v>
      </c>
      <c r="B2100" s="1" t="s">
        <v>2089</v>
      </c>
      <c r="C2100" t="str">
        <f>IFERROR(__xludf.DUMMYFUNCTION("GOOGLETRANSLATE(B2100, ""es"", ""en"")"),"Good, nice, cheap is very nice and works very well. I do not put it 5 stars because it's not a flashy watch. The only downside belt is a little short for those who have wide wrist.")</f>
        <v>Good, nice, cheap is very nice and works very well. I do not put it 5 stars because it's not a flashy watch. The only downside belt is a little short for those who have wide wrist.</v>
      </c>
    </row>
    <row r="2101">
      <c r="A2101" s="1">
        <v>4.0</v>
      </c>
      <c r="B2101" s="1" t="s">
        <v>2090</v>
      </c>
      <c r="C2101" t="str">
        <f>IFERROR(__xludf.DUMMYFUNCTION("GOOGLETRANSLATE(B2101, ""es"", ""en"")"),"It is what they advertise is a comfortable watch, very light and advertising functions. Perhaps the end most of them are not used, but not more. Fine detail protected glass to be lower than the ring, with which it is difficult to be scratched.")</f>
        <v>It is what they advertise is a comfortable watch, very light and advertising functions. Perhaps the end most of them are not used, but not more. Fine detail protected glass to be lower than the ring, with which it is difficult to be scratched.</v>
      </c>
    </row>
    <row r="2102">
      <c r="A2102" s="1">
        <v>5.0</v>
      </c>
      <c r="B2102" s="1" t="s">
        <v>2091</v>
      </c>
      <c r="C2102" t="str">
        <f>IFERROR(__xludf.DUMMYFUNCTION("GOOGLETRANSLATE(B2102, ""es"", ""en"")"),"great very good size and fast heating. very happy")</f>
        <v>great very good size and fast heating. very happy</v>
      </c>
    </row>
    <row r="2103">
      <c r="A2103" s="1">
        <v>5.0</v>
      </c>
      <c r="B2103" s="1" t="s">
        <v>2092</v>
      </c>
      <c r="C2103" t="str">
        <f>IFERROR(__xludf.DUMMYFUNCTION("GOOGLETRANSLATE(B2103, ""es"", ""en"")"),"Good buy. This does its job very well, very easy tour and capsules are placed without difficulty. good buy")</f>
        <v>Good buy. This does its job very well, very easy tour and capsules are placed without difficulty. good buy</v>
      </c>
    </row>
    <row r="2104">
      <c r="A2104" s="1">
        <v>5.0</v>
      </c>
      <c r="B2104" s="1" t="s">
        <v>2093</v>
      </c>
      <c r="C2104" t="str">
        <f>IFERROR(__xludf.DUMMYFUNCTION("GOOGLETRANSLATE(B2104, ""es"", ""en"")"),"Seagate 4TB HDD, a classic data storage Seagate is a safe bet for any hdd. With multiple partitions works perfectly independent formats")</f>
        <v>Seagate 4TB HDD, a classic data storage Seagate is a safe bet for any hdd. With multiple partitions works perfectly independent formats</v>
      </c>
    </row>
    <row r="2105">
      <c r="A2105" s="1">
        <v>5.0</v>
      </c>
      <c r="B2105" s="1" t="s">
        <v>2094</v>
      </c>
      <c r="C2105" t="str">
        <f>IFERROR(__xludf.DUMMYFUNCTION("GOOGLETRANSLATE(B2105, ""es"", ""en"")"),"Pandora is perfect comes with the book and pandora's box")</f>
        <v>Pandora is perfect comes with the book and pandora's box</v>
      </c>
    </row>
    <row r="2106">
      <c r="A2106" s="1">
        <v>5.0</v>
      </c>
      <c r="B2106" s="1" t="s">
        <v>2095</v>
      </c>
      <c r="C2106" t="str">
        <f>IFERROR(__xludf.DUMMYFUNCTION("GOOGLETRANSLATE(B2106, ""es"", ""en"")"),"Official Correa Correa lasting durable official which does not give problems and is identical to what you watch comes with the purchase.")</f>
        <v>Official Correa Correa lasting durable official which does not give problems and is identical to what you watch comes with the purchase.</v>
      </c>
    </row>
    <row r="2107">
      <c r="A2107" s="1">
        <v>5.0</v>
      </c>
      <c r="B2107" s="1" t="s">
        <v>2096</v>
      </c>
      <c r="C2107" t="str">
        <f>IFERROR(__xludf.DUMMYFUNCTION("GOOGLETRANSLATE(B2107, ""es"", ""en"")"),"Good mixer I liked its power and consistency, as well as the warm / price ratio and always in relation to the previous one, which, little use has dirado me many years.")</f>
        <v>Good mixer I liked its power and consistency, as well as the warm / price ratio and always in relation to the previous one, which, little use has dirado me many years.</v>
      </c>
    </row>
    <row r="2108">
      <c r="A2108" s="1">
        <v>5.0</v>
      </c>
      <c r="B2108" s="1" t="s">
        <v>2097</v>
      </c>
      <c r="C2108" t="str">
        <f>IFERROR(__xludf.DUMMYFUNCTION("GOOGLETRANSLATE(B2108, ""es"", ""en"")"),"Comfortable and practical function bluetooth headphones very comfortable and lightweight. ears are set without disturbing the headband that goes behind the neck keeps falling. They carry and has the ability to insert a memory card up to 32GB, which does n"&amp;"ot have to carry your smartphone or MP3 up for sports. Also with a simple integrated radio tuning. It syncs easily with mobile and has a great sound. The autonomy is about 2 hours. The package brings: 1 x wireless headphones, 1 x instructions in Castilian"&amp;", 1 x USB charging cable, 2x spare pads.")</f>
        <v>Comfortable and practical function bluetooth headphones very comfortable and lightweight. ears are set without disturbing the headband that goes behind the neck keeps falling. They carry and has the ability to insert a memory card up to 32GB, which does not have to carry your smartphone or MP3 up for sports. Also with a simple integrated radio tuning. It syncs easily with mobile and has a great sound. The autonomy is about 2 hours. The package brings: 1 x wireless headphones, 1 x instructions in Castilian, 1 x USB charging cable, 2x spare pads.</v>
      </c>
    </row>
    <row r="2109">
      <c r="A2109" s="1">
        <v>5.0</v>
      </c>
      <c r="B2109" s="1" t="s">
        <v>2098</v>
      </c>
      <c r="C2109" t="str">
        <f>IFERROR(__xludf.DUMMYFUNCTION("GOOGLETRANSLATE(B2109, ""es"", ""en"")"),"They are fine. They were a gift for my father. They are aesthetically beautiful but it did not last much either.")</f>
        <v>They are fine. They were a gift for my father. They are aesthetically beautiful but it did not last much either.</v>
      </c>
    </row>
    <row r="2110">
      <c r="A2110" s="1">
        <v>5.0</v>
      </c>
      <c r="B2110" s="1" t="s">
        <v>2099</v>
      </c>
      <c r="C2110" t="str">
        <f>IFERROR(__xludf.DUMMYFUNCTION("GOOGLETRANSLATE(B2110, ""es"", ""en"")"),"Simple and practical Simple but very convenient. It does its job and takes up little space since the handle is flexible and can be rolled.")</f>
        <v>Simple and practical Simple but very convenient. It does its job and takes up little space since the handle is flexible and can be rolled.</v>
      </c>
    </row>
    <row r="2111">
      <c r="A2111" s="1">
        <v>5.0</v>
      </c>
      <c r="B2111" s="1" t="s">
        <v>2100</v>
      </c>
      <c r="C2111" t="str">
        <f>IFERROR(__xludf.DUMMYFUNCTION("GOOGLETRANSLATE(B2111, ""es"", ""en"")"),"I liked the product quality to the color because it is perfect for the gym discreet")</f>
        <v>I liked the product quality to the color because it is perfect for the gym discreet</v>
      </c>
    </row>
    <row r="2112">
      <c r="A2112" s="1">
        <v>5.0</v>
      </c>
      <c r="B2112" s="1" t="s">
        <v>2101</v>
      </c>
      <c r="C2112" t="str">
        <f>IFERROR(__xludf.DUMMYFUNCTION("GOOGLETRANSLATE(B2112, ""es"", ""en"")"),"Not very durable Chulo, does not hold good washing and normal use tissues wears quickly, although it is nice i nice")</f>
        <v>Not very durable Chulo, does not hold good washing and normal use tissues wears quickly, although it is nice i nice</v>
      </c>
    </row>
    <row r="2113">
      <c r="A2113" s="1">
        <v>5.0</v>
      </c>
      <c r="B2113" s="1" t="s">
        <v>2102</v>
      </c>
      <c r="C2113" t="str">
        <f>IFERROR(__xludf.DUMMYFUNCTION("GOOGLETRANSLATE(B2113, ""es"", ""en"")"),"Good product good performance. The command fail a little, otherwise great")</f>
        <v>Good product good performance. The command fail a little, otherwise great</v>
      </c>
    </row>
    <row r="2114">
      <c r="A2114" s="1">
        <v>5.0</v>
      </c>
      <c r="B2114" s="1" t="s">
        <v>2103</v>
      </c>
      <c r="C2114" t="str">
        <f>IFERROR(__xludf.DUMMYFUNCTION("GOOGLETRANSLATE(B2114, ""es"", ""en"")"),"I recommend Buenos serious, it is good you can connect microphones or guitar with micros !! The battery lasts quite.")</f>
        <v>I recommend Buenos serious, it is good you can connect microphones or guitar with micros !! The battery lasts quite.</v>
      </c>
    </row>
    <row r="2115">
      <c r="A2115" s="1">
        <v>5.0</v>
      </c>
      <c r="B2115" s="1" t="s">
        <v>2104</v>
      </c>
      <c r="C2115" t="str">
        <f>IFERROR(__xludf.DUMMYFUNCTION("GOOGLETRANSLATE(B2115, ""es"", ""en"")"),"You can not ask for more. Good buy at this price. Hi. Looking for a watch Casio G Shock type and this watch at this price it has paid me greatly. I'm a big person, hands and thick wrist and was looking to replace my current clock (I put photo for comparis"&amp;"on) for something bigger. In addition I bought red by giving it a more casual touch that was what I really wanted. I am very satisfied.")</f>
        <v>You can not ask for more. Good buy at this price. Hi. Looking for a watch Casio G Shock type and this watch at this price it has paid me greatly. I'm a big person, hands and thick wrist and was looking to replace my current clock (I put photo for comparison) for something bigger. In addition I bought red by giving it a more casual touch that was what I really wanted. I am very satisfied.</v>
      </c>
    </row>
    <row r="2116">
      <c r="A2116" s="1">
        <v>5.0</v>
      </c>
      <c r="B2116" s="1" t="s">
        <v>2105</v>
      </c>
      <c r="C2116" t="str">
        <f>IFERROR(__xludf.DUMMYFUNCTION("GOOGLETRANSLATE(B2116, ""es"", ""en"")"),"useful Linda")</f>
        <v>useful Linda</v>
      </c>
    </row>
    <row r="2117">
      <c r="A2117" s="1">
        <v>5.0</v>
      </c>
      <c r="B2117" s="1" t="s">
        <v>2106</v>
      </c>
      <c r="C2117" t="str">
        <f>IFERROR(__xludf.DUMMYFUNCTION("GOOGLETRANSLATE(B2117, ""es"", ""en"")"),"Very good for sport with a strict plastic just to achieve substantial weight savings, these headphones are placed around the neck and behind the ear pinched, soft headphones provide many hours of operation for our exercise. Although the aim of these headp"&amp;"hones is withstand vibration, shock and humidity, the quality of the sound has not been left behind, foams headphones are very soft and adapt to any position, even leaking a little sound quality is maintained in amenizarnos acceptable levels for sports. N"&amp;"ote that these headphones not admit any adjustment in size of the headband, the distance is only refrain large melons. Both uploading and managing all functions are located on the right ear, where you control volume and calls on / off. Headphones with a b"&amp;"ag for storage, manual in 5 languages ​​including Spanish, cable charger and a loyalty card is delivered.")</f>
        <v>Very good for sport with a strict plastic just to achieve substantial weight savings, these headphones are placed around the neck and behind the ear pinched, soft headphones provide many hours of operation for our exercise. Although the aim of these headphones is withstand vibration, shock and humidity, the quality of the sound has not been left behind, foams headphones are very soft and adapt to any position, even leaking a little sound quality is maintained in amenizarnos acceptable levels for sports. Note that these headphones not admit any adjustment in size of the headband, the distance is only refrain large melons. Both uploading and managing all functions are located on the right ear, where you control volume and calls on / off. Headphones with a bag for storage, manual in 5 languages ​​including Spanish, cable charger and a loyalty card is delivered.</v>
      </c>
    </row>
    <row r="2118">
      <c r="A2118" s="1">
        <v>5.0</v>
      </c>
      <c r="B2118" s="1" t="s">
        <v>2107</v>
      </c>
      <c r="C2118" t="str">
        <f>IFERROR(__xludf.DUMMYFUNCTION("GOOGLETRANSLATE(B2118, ""es"", ""en"")"),"All as the pictures and description of the product Very satisfied with my purchase, economical and very good quality, I use it to record YouTube videos and games. Very easy to ride and I like to bring all the necessary accessories, outstanding value for m"&amp;"oney, I recommend purchase.")</f>
        <v>All as the pictures and description of the product Very satisfied with my purchase, economical and very good quality, I use it to record YouTube videos and games. Very easy to ride and I like to bring all the necessary accessories, outstanding value for money, I recommend purchase.</v>
      </c>
    </row>
    <row r="2119">
      <c r="A2119" s="1">
        <v>5.0</v>
      </c>
      <c r="B2119" s="1" t="s">
        <v>2108</v>
      </c>
      <c r="C2119" t="str">
        <f>IFERROR(__xludf.DUMMYFUNCTION("GOOGLETRANSLATE(B2119, ""es"", ""en"")"),"Shoes delivered on time, high quality calcero")</f>
        <v>Shoes delivered on time, high quality calcero</v>
      </c>
    </row>
    <row r="2120">
      <c r="A2120" s="1">
        <v>5.0</v>
      </c>
      <c r="B2120" s="1" t="s">
        <v>2109</v>
      </c>
      <c r="C2120" t="str">
        <f>IFERROR(__xludf.DUMMYFUNCTION("GOOGLETRANSLATE(B2120, ""es"", ""en"")"),"Delighted! We tested 100% recommend bottles of other brands and more like is it the suavianex. Highly recommended for the issue of colic. Our sin has not had. Highly recommended bottle")</f>
        <v>Delighted! We tested 100% recommend bottles of other brands and more like is it the suavianex. Highly recommended for the issue of colic. Our sin has not had. Highly recommended bottle</v>
      </c>
    </row>
    <row r="2121">
      <c r="A2121" s="1">
        <v>2.0</v>
      </c>
      <c r="B2121" s="1" t="s">
        <v>2110</v>
      </c>
      <c r="C2121" t="str">
        <f>IFERROR(__xludf.DUMMYFUNCTION("GOOGLETRANSLATE(B2121, ""es"", ""en"")"),"normal is basic in the photos seem q is longer leg but nothing to buy them believed asin x")</f>
        <v>normal is basic in the photos seem q is longer leg but nothing to buy them believed asin x</v>
      </c>
    </row>
    <row r="2122">
      <c r="A2122" s="1">
        <v>3.0</v>
      </c>
      <c r="B2122" s="1" t="s">
        <v>2111</v>
      </c>
      <c r="C2122" t="str">
        <f>IFERROR(__xludf.DUMMYFUNCTION("GOOGLETRANSLATE(B2122, ""es"", ""en"")"),"This right is pretty good")</f>
        <v>This right is pretty good</v>
      </c>
    </row>
    <row r="2123">
      <c r="A2123" s="1">
        <v>3.0</v>
      </c>
      <c r="B2123" s="1" t="s">
        <v>2112</v>
      </c>
      <c r="C2123" t="str">
        <f>IFERROR(__xludf.DUMMYFUNCTION("GOOGLETRANSLATE(B2123, ""es"", ""en"")"),"Expensive for what ofrecw The truth that I expected better, one meter as normal, a little pricey for what it is")</f>
        <v>Expensive for what ofrecw The truth that I expected better, one meter as normal, a little pricey for what it is</v>
      </c>
    </row>
    <row r="2124">
      <c r="A2124" s="1">
        <v>1.0</v>
      </c>
      <c r="B2124" s="1" t="s">
        <v>2113</v>
      </c>
      <c r="C2124" t="str">
        <f>IFERROR(__xludf.DUMMYFUNCTION("GOOGLETRANSLATE(B2124, ""es"", ""en"")"),"Lousy just arrived and the try, it turns out that the sound stutters because it makes good connection, microphone on call very, very low sounds and also stutters. Anyway ... for what cost they are a chestnut")</f>
        <v>Lousy just arrived and the try, it turns out that the sound stutters because it makes good connection, microphone on call very, very low sounds and also stutters. Anyway ... for what cost they are a chestnut</v>
      </c>
    </row>
    <row r="2125">
      <c r="A2125" s="1">
        <v>1.0</v>
      </c>
      <c r="B2125" s="1" t="s">
        <v>2114</v>
      </c>
      <c r="C2125" t="str">
        <f>IFERROR(__xludf.DUMMYFUNCTION("GOOGLETRANSLATE(B2125, ""es"", ""en"")"),"Plástico.No smells can be used can not be utilizar.Viene with an unbearable smell of plastic that is not removed've tried everything ... I do not buy it.")</f>
        <v>Plástico.No smells can be used can not be utilizar.Viene with an unbearable smell of plastic that is not removed've tried everything ... I do not buy it.</v>
      </c>
    </row>
    <row r="2126">
      <c r="A2126" s="1">
        <v>4.0</v>
      </c>
      <c r="B2126" s="1" t="s">
        <v>2115</v>
      </c>
      <c r="C2126" t="str">
        <f>IFERROR(__xludf.DUMMYFUNCTION("GOOGLETRANSLATE(B2126, ""es"", ""en"")"),"Tot i be correct will arrive in the expected data")</f>
        <v>Tot i be correct will arrive in the expected data</v>
      </c>
    </row>
    <row r="2127">
      <c r="A2127" s="1">
        <v>4.0</v>
      </c>
      <c r="B2127" s="1" t="s">
        <v>2116</v>
      </c>
      <c r="C2127" t="str">
        <f>IFERROR(__xludf.DUMMYFUNCTION("GOOGLETRANSLATE(B2127, ""es"", ""en"")"),"A classic watch watch casio life. The clock is typically don'n in any store, it serves to check the time and not break. It is very durable and less than 10 € you can not ask for more. If you have a job where you have to roll up your hands and get to work,"&amp;" is your watch.")</f>
        <v>A classic watch watch casio life. The clock is typically don'n in any store, it serves to check the time and not break. It is very durable and less than 10 € you can not ask for more. If you have a job where you have to roll up your hands and get to work, is your watch.</v>
      </c>
    </row>
    <row r="2128">
      <c r="A2128" s="1">
        <v>4.0</v>
      </c>
      <c r="B2128" s="1" t="s">
        <v>2117</v>
      </c>
      <c r="C2128" t="str">
        <f>IFERROR(__xludf.DUMMYFUNCTION("GOOGLETRANSLATE(B2128, ""es"", ""en"")"),"Gym pants perfect but fit and color is more beautiful than it looks in the picture. A being lined on the inside are perfect for winter. The length is for tall people.")</f>
        <v>Gym pants perfect but fit and color is more beautiful than it looks in the picture. A being lined on the inside are perfect for winter. The length is for tall people.</v>
      </c>
    </row>
    <row r="2129">
      <c r="A2129" s="1">
        <v>4.0</v>
      </c>
      <c r="B2129" s="1" t="s">
        <v>2118</v>
      </c>
      <c r="C2129" t="str">
        <f>IFERROR(__xludf.DUMMYFUNCTION("GOOGLETRANSLATE(B2129, ""es"", ""en"")"),"Size small The truth is that for money can not ask for more. The only thing the sizing is smaller, so ajustadito is thus better to ask one or two sizes.")</f>
        <v>Size small The truth is that for money can not ask for more. The only thing the sizing is smaller, so ajustadito is thus better to ask one or two sizes.</v>
      </c>
    </row>
    <row r="2130">
      <c r="A2130" s="1">
        <v>4.0</v>
      </c>
      <c r="B2130" s="1" t="s">
        <v>2119</v>
      </c>
      <c r="C2130" t="str">
        <f>IFERROR(__xludf.DUMMYFUNCTION("GOOGLETRANSLATE(B2130, ""es"", ""en"")"),"Perfect for connecting to a computer The product is perfect, but the issue of the accompanying software to download, etc., somewhat complicated")</f>
        <v>Perfect for connecting to a computer The product is perfect, but the issue of the accompanying software to download, etc., somewhat complicated</v>
      </c>
    </row>
    <row r="2131">
      <c r="A2131" s="1">
        <v>5.0</v>
      </c>
      <c r="B2131" s="1" t="s">
        <v>2120</v>
      </c>
      <c r="C2131" t="str">
        <f>IFERROR(__xludf.DUMMYFUNCTION("GOOGLETRANSLATE(B2131, ""es"", ""en"")"),"They are very comfortable perfect. I use them for Pádel and I are perfect. In fact, when you need socks again, I'll look to re-buy.")</f>
        <v>They are very comfortable perfect. I use them for Pádel and I are perfect. In fact, when you need socks again, I'll look to re-buy.</v>
      </c>
    </row>
    <row r="2132">
      <c r="A2132" s="1">
        <v>5.0</v>
      </c>
      <c r="B2132" s="1" t="s">
        <v>2121</v>
      </c>
      <c r="C2132" t="str">
        <f>IFERROR(__xludf.DUMMYFUNCTION("GOOGLETRANSLATE(B2132, ""es"", ""en"")"),"Placing shoes comfortable and very well priced perfect porahora")</f>
        <v>Placing shoes comfortable and very well priced perfect porahora</v>
      </c>
    </row>
    <row r="2133">
      <c r="A2133" s="1">
        <v>5.0</v>
      </c>
      <c r="B2133" s="1" t="s">
        <v>2122</v>
      </c>
      <c r="C2133" t="str">
        <f>IFERROR(__xludf.DUMMYFUNCTION("GOOGLETRANSLATE(B2133, ""es"", ""en"")"),"Very good price. It is a micro filter, I have the support micro scissors and I lacked the filter to improve the quality of my recordings. This I like, besides the price, which has dual screen, the flexible arm and clip to catch it. Good product at a good "&amp;"price, perfect.")</f>
        <v>Very good price. It is a micro filter, I have the support micro scissors and I lacked the filter to improve the quality of my recordings. This I like, besides the price, which has dual screen, the flexible arm and clip to catch it. Good product at a good price, perfect.</v>
      </c>
    </row>
    <row r="2134">
      <c r="A2134" s="1">
        <v>5.0</v>
      </c>
      <c r="B2134" s="1" t="s">
        <v>2123</v>
      </c>
      <c r="C2134" t="str">
        <f>IFERROR(__xludf.DUMMYFUNCTION("GOOGLETRANSLATE(B2134, ""es"", ""en"")"),"Perfect!! The perfect size")</f>
        <v>Perfect!! The perfect size</v>
      </c>
    </row>
    <row r="2135">
      <c r="A2135" s="1">
        <v>5.0</v>
      </c>
      <c r="B2135" s="1" t="s">
        <v>2124</v>
      </c>
      <c r="C2135" t="str">
        <f>IFERROR(__xludf.DUMMYFUNCTION("GOOGLETRANSLATE(B2135, ""es"", ""en"")"),"Hello very nice. Buy Converse Chuck Taylor All Star Ox in navy color, by offering cost me about 30 €. The package arrived on the estimated date and perfectly packed. I chose the color navy price on offer although I did not convince much to how they looked"&amp;" in the picture, but once received physical look very beautiful and elegant. The sizing looks correct, then the least I chose the one I use and I usually go well. Perhaps get a snag every time I wear it seems that the first 5 minutes notice shoes a little"&amp;" tight but then I get used, it does not produce me any chafing or discomfort. I hope I have helped.")</f>
        <v>Hello very nice. Buy Converse Chuck Taylor All Star Ox in navy color, by offering cost me about 30 €. The package arrived on the estimated date and perfectly packed. I chose the color navy price on offer although I did not convince much to how they looked in the picture, but once received physical look very beautiful and elegant. The sizing looks correct, then the least I chose the one I use and I usually go well. Perhaps get a snag every time I wear it seems that the first 5 minutes notice shoes a little tight but then I get used, it does not produce me any chafing or discomfort. I hope I have helped.</v>
      </c>
    </row>
    <row r="2136">
      <c r="A2136" s="1">
        <v>5.0</v>
      </c>
      <c r="B2136" s="1" t="s">
        <v>2125</v>
      </c>
      <c r="C2136" t="str">
        <f>IFERROR(__xludf.DUMMYFUNCTION("GOOGLETRANSLATE(B2136, ""es"", ""en"")"),"patch mu good acalidad")</f>
        <v>patch mu good acalidad</v>
      </c>
    </row>
    <row r="2137">
      <c r="A2137" s="1">
        <v>5.0</v>
      </c>
      <c r="B2137" s="1" t="s">
        <v>238</v>
      </c>
      <c r="C2137" t="str">
        <f>IFERROR(__xludf.DUMMYFUNCTION("GOOGLETRANSLATE(B2137, ""es"", ""en"")"),"perfect perfect")</f>
        <v>perfect perfect</v>
      </c>
    </row>
    <row r="2138">
      <c r="A2138" s="1">
        <v>5.0</v>
      </c>
      <c r="B2138" s="1" t="s">
        <v>2126</v>
      </c>
      <c r="C2138" t="str">
        <f>IFERROR(__xludf.DUMMYFUNCTION("GOOGLETRANSLATE(B2138, ""es"", ""en"")"),"Super practical ideal. My baby has not had comic using them also that are sterilizable car is great for traveling or just take them to not have so much stuff in the kitchen. Very simple to use and more hygienic to wash because they completely stripped.")</f>
        <v>Super practical ideal. My baby has not had comic using them also that are sterilizable car is great for traveling or just take them to not have so much stuff in the kitchen. Very simple to use and more hygienic to wash because they completely stripped.</v>
      </c>
    </row>
    <row r="2139">
      <c r="A2139" s="1">
        <v>5.0</v>
      </c>
      <c r="B2139" s="1" t="s">
        <v>2127</v>
      </c>
      <c r="C2139" t="str">
        <f>IFERROR(__xludf.DUMMYFUNCTION("GOOGLETRANSLATE(B2139, ""es"", ""en"")"),"Value already ye purchased 3 pairs, one for my grandmother, my girl and others for others to me. They are comfortable and the sole is very good since no resvala on any surface. The only thing missing would be acolcjads area under the tongue")</f>
        <v>Value already ye purchased 3 pairs, one for my grandmother, my girl and others for others to me. They are comfortable and the sole is very good since no resvala on any surface. The only thing missing would be acolcjads area under the tongue</v>
      </c>
    </row>
    <row r="2140">
      <c r="A2140" s="1">
        <v>5.0</v>
      </c>
      <c r="B2140" s="1" t="s">
        <v>2128</v>
      </c>
      <c r="C2140" t="str">
        <f>IFERROR(__xludf.DUMMYFUNCTION("GOOGLETRANSLATE(B2140, ""es"", ""en"")"),"Separators Filing good quality paper, just what I wanted")</f>
        <v>Separators Filing good quality paper, just what I wanted</v>
      </c>
    </row>
    <row r="2141">
      <c r="A2141" s="1">
        <v>5.0</v>
      </c>
      <c r="B2141" s="1" t="s">
        <v>2129</v>
      </c>
      <c r="C2141" t="str">
        <f>IFERROR(__xludf.DUMMYFUNCTION("GOOGLETRANSLATE(B2141, ""es"", ""en"")"),"This model of Reebok Precious love, I use it since adolescence, some years ago I did not buy any and this time I chose in black. It is soft, light and comfortable. Quality and finishes are impeccable, but the sizes or is something small, or my has grown l"&amp;"ately my foot. Anyway I think not change, but I still just gives skin with use.")</f>
        <v>This model of Reebok Precious love, I use it since adolescence, some years ago I did not buy any and this time I chose in black. It is soft, light and comfortable. Quality and finishes are impeccable, but the sizes or is something small, or my has grown lately my foot. Anyway I think not change, but I still just gives skin with use.</v>
      </c>
    </row>
    <row r="2142">
      <c r="A2142" s="1">
        <v>5.0</v>
      </c>
      <c r="B2142" s="1" t="s">
        <v>2130</v>
      </c>
      <c r="C2142" t="str">
        <f>IFERROR(__xludf.DUMMYFUNCTION("GOOGLETRANSLATE(B2142, ""es"", ""en"")"),"Exactly what was expected Well, this card is ideal for less than two euros to expand the memory of a low-end mobile, freeing internal memory and preventing complain that it lacks space. It simply transferring photos, videos, and heavier applications, it i"&amp;"s relieved a little internal memory as I say, in low-end phones, it is virtually occupied by Android itself. I have not detected any problems of incompatibility.")</f>
        <v>Exactly what was expected Well, this card is ideal for less than two euros to expand the memory of a low-end mobile, freeing internal memory and preventing complain that it lacks space. It simply transferring photos, videos, and heavier applications, it is relieved a little internal memory as I say, in low-end phones, it is virtually occupied by Android itself. I have not detected any problems of incompatibility.</v>
      </c>
    </row>
    <row r="2143">
      <c r="A2143" s="1">
        <v>5.0</v>
      </c>
      <c r="B2143" s="1" t="s">
        <v>2131</v>
      </c>
      <c r="C2143" t="str">
        <f>IFERROR(__xludf.DUMMYFUNCTION("GOOGLETRANSLATE(B2143, ""es"", ""en"")"),"It works great, it has a variety of colors and does not weigh much. The perfect size because it does not occupy much space, is lightweight and can place ornaments.")</f>
        <v>It works great, it has a variety of colors and does not weigh much. The perfect size because it does not occupy much space, is lightweight and can place ornaments.</v>
      </c>
    </row>
    <row r="2144">
      <c r="A2144" s="1">
        <v>5.0</v>
      </c>
      <c r="B2144" s="1" t="s">
        <v>2132</v>
      </c>
      <c r="C2144" t="str">
        <f>IFERROR(__xludf.DUMMYFUNCTION("GOOGLETRANSLATE(B2144, ""es"", ""en"")"),"Excellent buy excellent quality came superfast recommend")</f>
        <v>Excellent buy excellent quality came superfast recommend</v>
      </c>
    </row>
    <row r="2145">
      <c r="A2145" s="1">
        <v>5.0</v>
      </c>
      <c r="B2145" s="1" t="s">
        <v>2133</v>
      </c>
      <c r="C2145" t="str">
        <f>IFERROR(__xludf.DUMMYFUNCTION("GOOGLETRANSLATE(B2145, ""es"", ""en"")"),"The very comfortable Skechers are the most comfortable shoes I've ever had, whatever the model. Since I bought the first couple did not want another brand, and I have three pairs. All you need to know is carving big so you always have to buy a number minu"&amp;"s, knowing that there is no problem. On the other hand I try to ask the models are included in ""PRIME"" and I have no problem to return them if they're not good for me. very good service from Amazon as usual.")</f>
        <v>The very comfortable Skechers are the most comfortable shoes I've ever had, whatever the model. Since I bought the first couple did not want another brand, and I have three pairs. All you need to know is carving big so you always have to buy a number minus, knowing that there is no problem. On the other hand I try to ask the models are included in "PRIME" and I have no problem to return them if they're not good for me. very good service from Amazon as usual.</v>
      </c>
    </row>
    <row r="2146">
      <c r="A2146" s="1">
        <v>5.0</v>
      </c>
      <c r="B2146" s="1" t="s">
        <v>2134</v>
      </c>
      <c r="C2146" t="str">
        <f>IFERROR(__xludf.DUMMYFUNCTION("GOOGLETRANSLATE(B2146, ""es"", ""en"")"),"I like pen drive design")</f>
        <v>I like pen drive design</v>
      </c>
    </row>
    <row r="2147">
      <c r="A2147" s="1">
        <v>5.0</v>
      </c>
      <c r="B2147" s="1" t="s">
        <v>2135</v>
      </c>
      <c r="C2147" t="str">
        <f>IFERROR(__xludf.DUMMYFUNCTION("GOOGLETRANSLATE(B2147, ""es"", ""en"")"),"I have it good product for quite some time and can assure you that is waterproof, which take in not wet or heavy rain conditions, fully tested. Very good capacity")</f>
        <v>I have it good product for quite some time and can assure you that is waterproof, which take in not wet or heavy rain conditions, fully tested. Very good capacity</v>
      </c>
    </row>
    <row r="2148">
      <c r="A2148" s="1">
        <v>5.0</v>
      </c>
      <c r="B2148" s="1" t="s">
        <v>2136</v>
      </c>
      <c r="C2148" t="str">
        <f>IFERROR(__xludf.DUMMYFUNCTION("GOOGLETRANSLATE(B2148, ""es"", ""en"")"),"Light, precise and precious retro clock type, both elegant and light in weight, sometimes I have not noticed or what led him to the little weight you have. The second hand rotates and is fully in line with the design of the clock. It has a curved glass at"&amp;" the turning is one pass through its optical effect. I use both in my everyday life, as well as in more formal moments. Just great 👍")</f>
        <v>Light, precise and precious retro clock type, both elegant and light in weight, sometimes I have not noticed or what led him to the little weight you have. The second hand rotates and is fully in line with the design of the clock. It has a curved glass at the turning is one pass through its optical effect. I use both in my everyday life, as well as in more formal moments. Just great 👍</v>
      </c>
    </row>
    <row r="2149">
      <c r="A2149" s="1">
        <v>5.0</v>
      </c>
      <c r="B2149" s="1" t="s">
        <v>2137</v>
      </c>
      <c r="C2149" t="str">
        <f>IFERROR(__xludf.DUMMYFUNCTION("GOOGLETRANSLATE(B2149, ""es"", ""en"")"),"Very good quality very satisfied, but had to ask for a larger size")</f>
        <v>Very good quality very satisfied, but had to ask for a larger size</v>
      </c>
    </row>
    <row r="2150">
      <c r="A2150" s="1">
        <v>2.0</v>
      </c>
      <c r="B2150" s="1" t="s">
        <v>2138</v>
      </c>
      <c r="C2150" t="str">
        <f>IFERROR(__xludf.DUMMYFUNCTION("GOOGLETRANSLATE(B2150, ""es"", ""en"")"),"Too heavy my mother bought this blender along by his arm and the first opiniones.De buttons speeds were pretty hard and heavy to use sujetarla.Al doing so hard and so long arm bringing outweighs the rest and made incómodo.Antes of the year stopped working"&amp;" and it's like switches buttons are desplazasen because you get to work but rummaging around the botón.La command to the service and bought another here too")</f>
        <v>Too heavy my mother bought this blender along by his arm and the first opiniones.De buttons speeds were pretty hard and heavy to use sujetarla.Al doing so hard and so long arm bringing outweighs the rest and made incómodo.Antes of the year stopped working and it's like switches buttons are desplazasen because you get to work but rummaging around the botón.La command to the service and bought another here too</v>
      </c>
    </row>
    <row r="2151">
      <c r="A2151" s="1">
        <v>3.0</v>
      </c>
      <c r="B2151" s="1" t="s">
        <v>2139</v>
      </c>
      <c r="C2151" t="str">
        <f>IFERROR(__xludf.DUMMYFUNCTION("GOOGLETRANSLATE(B2151, ""es"", ""en"")"),"Tere are fine. They fit perfectly. Not slip out of the water. Pool surface. Aquagym xo if you do not serve much pq can not run much longer will you slip q. X otherwise perfect.")</f>
        <v>Tere are fine. They fit perfectly. Not slip out of the water. Pool surface. Aquagym xo if you do not serve much pq can not run much longer will you slip q. X otherwise perfect.</v>
      </c>
    </row>
    <row r="2152">
      <c r="A2152" s="1">
        <v>3.0</v>
      </c>
      <c r="B2152" s="1" t="s">
        <v>2140</v>
      </c>
      <c r="C2152" t="str">
        <f>IFERROR(__xludf.DUMMYFUNCTION("GOOGLETRANSLATE(B2152, ""es"", ""en"")"),"It is a smaller roll than I thought the tape itself still I have not tested it appears that hits hard, the only thing that the roll is much smaller than I thought, relaccion money, I think a face poquillo for my taste but good overall fulfills what it pro"&amp;"mises, and these tapes, usually veneers")</f>
        <v>It is a smaller roll than I thought the tape itself still I have not tested it appears that hits hard, the only thing that the roll is much smaller than I thought, relaccion money, I think a face poquillo for my taste but good overall fulfills what it promises, and these tapes, usually veneers</v>
      </c>
    </row>
    <row r="2153">
      <c r="A2153" s="1">
        <v>1.0</v>
      </c>
      <c r="B2153" s="1" t="s">
        <v>2141</v>
      </c>
      <c r="C2153" t="str">
        <f>IFERROR(__xludf.DUMMYFUNCTION("GOOGLETRANSLATE(B2153, ""es"", ""en"")"),"Ana P sounds good. Right. But I bought them to talk with them too and it is impossible: my partner or I will not listen, or I lose or I listen badly. I still have the old. Cheap but is expensive if you do not serve what they should serve.")</f>
        <v>Ana P sounds good. Right. But I bought them to talk with them too and it is impossible: my partner or I will not listen, or I lose or I listen badly. I still have the old. Cheap but is expensive if you do not serve what they should serve.</v>
      </c>
    </row>
    <row r="2154">
      <c r="A2154" s="1">
        <v>1.0</v>
      </c>
      <c r="B2154" s="1" t="s">
        <v>2142</v>
      </c>
      <c r="C2154" t="str">
        <f>IFERROR(__xludf.DUMMYFUNCTION("GOOGLETRANSLATE(B2154, ""es"", ""en"")"),"A fraud scam, a flash drive that capacity worth 1,000 €. It is obviously a hack, plug it to the 1,8TB but will you have if you try to get videos with more than 64GB will be impossible and stop.")</f>
        <v>A fraud scam, a flash drive that capacity worth 1,000 €. It is obviously a hack, plug it to the 1,8TB but will you have if you try to get videos with more than 64GB will be impossible and stop.</v>
      </c>
    </row>
    <row r="2155">
      <c r="A2155" s="1">
        <v>4.0</v>
      </c>
      <c r="B2155" s="1" t="s">
        <v>2143</v>
      </c>
      <c r="C2155" t="str">
        <f>IFERROR(__xludf.DUMMYFUNCTION("GOOGLETRANSLATE(B2155, ""es"", ""en"")"),"It could be better, but not bad design and weight is fine but is too small for my feet. Perhaps more use, stretch a little and settled better. Another positive aspect is the damping of the impact walking or running.")</f>
        <v>It could be better, but not bad design and weight is fine but is too small for my feet. Perhaps more use, stretch a little and settled better. Another positive aspect is the damping of the impact walking or running.</v>
      </c>
    </row>
    <row r="2156">
      <c r="A2156" s="1">
        <v>4.0</v>
      </c>
      <c r="B2156" s="1" t="s">
        <v>2144</v>
      </c>
      <c r="C2156" t="str">
        <f>IFERROR(__xludf.DUMMYFUNCTION("GOOGLETRANSLATE(B2156, ""es"", ""en"")"),"Value good product are fine, are not entirely clear but almost. Very happy with the purchase. I recommend it")</f>
        <v>Value good product are fine, are not entirely clear but almost. Very happy with the purchase. I recommend it</v>
      </c>
    </row>
    <row r="2157">
      <c r="A2157" s="1">
        <v>4.0</v>
      </c>
      <c r="B2157" s="1" t="s">
        <v>2145</v>
      </c>
      <c r="C2157" t="str">
        <f>IFERROR(__xludf.DUMMYFUNCTION("GOOGLETRANSLATE(B2157, ""es"", ""en"")"),"Comfort are very comfortable and after 3 weeks boombox tough enough")</f>
        <v>Comfort are very comfortable and after 3 weeks boombox tough enough</v>
      </c>
    </row>
    <row r="2158">
      <c r="A2158" s="1">
        <v>4.0</v>
      </c>
      <c r="B2158" s="1" t="s">
        <v>2146</v>
      </c>
      <c r="C2158" t="str">
        <f>IFERROR(__xludf.DUMMYFUNCTION("GOOGLETRANSLATE(B2158, ""es"", ""en"")"),"Satisfied I like the product has the expected characteristics in general. It remains to be seen durability. Moment happy with the purchase and transportation services.")</f>
        <v>Satisfied I like the product has the expected characteristics in general. It remains to be seen durability. Moment happy with the purchase and transportation services.</v>
      </c>
    </row>
    <row r="2159">
      <c r="A2159" s="1">
        <v>5.0</v>
      </c>
      <c r="B2159" s="1" t="s">
        <v>2147</v>
      </c>
      <c r="C2159" t="str">
        <f>IFERROR(__xludf.DUMMYFUNCTION("GOOGLETRANSLATE(B2159, ""es"", ""en"")"),"Product Quality Kettle Bosch brand. We have used the Bosch brand, with quality finishes and elegant design in their products, in this kettle could not be less. a very good product is appreciated. The kettle is made of stainless steel and finished in black"&amp;" plastic. It has an output of 2200 watts. Shaped cylindrical jar. The maximum capacity of 1.7 liters, to put in use should add at least 0.25 liters. At first glance, the feeling that is smaller than the capacity of nearly two liters. It is very fast in wa"&amp;"rm water, hence its power rating. It is made from least to know that we have the water temperature by means of a temperature scale. The filter is at the top, the mouth where we add water, and is removable, to wash. Definitely we recommended, if we can pay"&amp;" the price this kettle, premium finishes and the quality of the product is indisputable.")</f>
        <v>Product Quality Kettle Bosch brand. We have used the Bosch brand, with quality finishes and elegant design in their products, in this kettle could not be less. a very good product is appreciated. The kettle is made of stainless steel and finished in black plastic. It has an output of 2200 watts. Shaped cylindrical jar. The maximum capacity of 1.7 liters, to put in use should add at least 0.25 liters. At first glance, the feeling that is smaller than the capacity of nearly two liters. It is very fast in warm water, hence its power rating. It is made from least to know that we have the water temperature by means of a temperature scale. The filter is at the top, the mouth where we add water, and is removable, to wash. Definitely we recommended, if we can pay the price this kettle, premium finishes and the quality of the product is indisputable.</v>
      </c>
    </row>
    <row r="2160">
      <c r="A2160" s="1">
        <v>5.0</v>
      </c>
      <c r="B2160" s="1" t="s">
        <v>2148</v>
      </c>
      <c r="C2160" t="str">
        <f>IFERROR(__xludf.DUMMYFUNCTION("GOOGLETRANSLATE(B2160, ""es"", ""en"")"),"BEST In my opinion, the best product of plasticized paper in the market. Finishes that have are very good, and the watermark disappears to the plasticizing. Worth.")</f>
        <v>BEST In my opinion, the best product of plasticized paper in the market. Finishes that have are very good, and the watermark disappears to the plasticizing. Worth.</v>
      </c>
    </row>
    <row r="2161">
      <c r="A2161" s="1">
        <v>5.0</v>
      </c>
      <c r="B2161" s="1" t="s">
        <v>2149</v>
      </c>
      <c r="C2161" t="str">
        <f>IFERROR(__xludf.DUMMYFUNCTION("GOOGLETRANSLATE(B2161, ""es"", ""en"")"),"Very nice and comfortable, better than expected very nice, good quality, comfortable. Super design, this brand did not know but highly recommended")</f>
        <v>Very nice and comfortable, better than expected very nice, good quality, comfortable. Super design, this brand did not know but highly recommended</v>
      </c>
    </row>
    <row r="2162">
      <c r="A2162" s="1">
        <v>5.0</v>
      </c>
      <c r="B2162" s="1" t="s">
        <v>2150</v>
      </c>
      <c r="C2162" t="str">
        <f>IFERROR(__xludf.DUMMYFUNCTION("GOOGLETRANSLATE(B2162, ""es"", ""en"")"),"great and useful also brings a tray for coins, are large, also useful to save some paper or envelopes, and seem robust")</f>
        <v>great and useful also brings a tray for coins, are large, also useful to save some paper or envelopes, and seem robust</v>
      </c>
    </row>
    <row r="2163">
      <c r="A2163" s="1">
        <v>5.0</v>
      </c>
      <c r="B2163" s="1" t="s">
        <v>2151</v>
      </c>
      <c r="C2163" t="str">
        <f>IFERROR(__xludf.DUMMYFUNCTION("GOOGLETRANSLATE(B2163, ""es"", ""en"")"),"For what I need, I better. Good card at a good price and it works OK. I use a SLR camera and the moment is great.")</f>
        <v>For what I need, I better. Good card at a good price and it works OK. I use a SLR camera and the moment is great.</v>
      </c>
    </row>
    <row r="2164">
      <c r="A2164" s="1">
        <v>5.0</v>
      </c>
      <c r="B2164" s="1" t="s">
        <v>2152</v>
      </c>
      <c r="C2164" t="str">
        <f>IFERROR(__xludf.DUMMYFUNCTION("GOOGLETRANSLATE(B2164, ""es"", ""en"")"),"Originality Very original")</f>
        <v>Originality Very original</v>
      </c>
    </row>
    <row r="2165">
      <c r="A2165" s="1">
        <v>5.0</v>
      </c>
      <c r="B2165" s="1" t="s">
        <v>1843</v>
      </c>
      <c r="C2165" t="str">
        <f>IFERROR(__xludf.DUMMYFUNCTION("GOOGLETRANSLATE(B2165, ""es"", ""en"")"),"OK perfect")</f>
        <v>OK perfect</v>
      </c>
    </row>
    <row r="2166">
      <c r="A2166" s="1">
        <v>5.0</v>
      </c>
      <c r="B2166" s="1" t="s">
        <v>2153</v>
      </c>
      <c r="C2166" t="str">
        <f>IFERROR(__xludf.DUMMYFUNCTION("GOOGLETRANSLATE(B2166, ""es"", ""en"")"),"Value The truth is that it gives good massages. For the price you would recommend to anyone!")</f>
        <v>Value The truth is that it gives good massages. For the price you would recommend to anyone!</v>
      </c>
    </row>
    <row r="2167">
      <c r="A2167" s="1">
        <v>5.0</v>
      </c>
      <c r="B2167" s="1" t="s">
        <v>2154</v>
      </c>
      <c r="C2167" t="str">
        <f>IFERROR(__xludf.DUMMYFUNCTION("GOOGLETRANSLATE(B2167, ""es"", ""en"")"),"We loved recommend. Aesthetically it is very beautiful and perfectly does its function as a humidifier. I miss him a few drops of essential oil (natural and good quality) and smells entire stay. You can set the timer and if not, when water just turns itse"&amp;"lf off.")</f>
        <v>We loved recommend. Aesthetically it is very beautiful and perfectly does its function as a humidifier. I miss him a few drops of essential oil (natural and good quality) and smells entire stay. You can set the timer and if not, when water just turns itself off.</v>
      </c>
    </row>
    <row r="2168">
      <c r="A2168" s="1">
        <v>5.0</v>
      </c>
      <c r="B2168" s="1" t="s">
        <v>2155</v>
      </c>
      <c r="C2168" t="str">
        <f>IFERROR(__xludf.DUMMYFUNCTION("GOOGLETRANSLATE(B2168, ""es"", ""en"")"),"Portable, fast and with lots of memory. USB stick is very small, with connection to carry on your key ring without disturbing always on top. The hitch is strong and tough so there is no fear that it will break and lose. It also has protection against dust"&amp;" and making it very portable. On issues of writing and reading tests realizing you I have obtained a value reading of 137 MB / s and 75 MB / s in writing, I mean they are very good results. It's fast and has very good ability.")</f>
        <v>Portable, fast and with lots of memory. USB stick is very small, with connection to carry on your key ring without disturbing always on top. The hitch is strong and tough so there is no fear that it will break and lose. It also has protection against dust and making it very portable. On issues of writing and reading tests realizing you I have obtained a value reading of 137 MB / s and 75 MB / s in writing, I mean they are very good results. It's fast and has very good ability.</v>
      </c>
    </row>
    <row r="2169">
      <c r="A2169" s="1">
        <v>5.0</v>
      </c>
      <c r="B2169" s="1" t="s">
        <v>2156</v>
      </c>
      <c r="C2169" t="str">
        <f>IFERROR(__xludf.DUMMYFUNCTION("GOOGLETRANSLATE(B2169, ""es"", ""en"")"),"Pretty while since I did not like as much as a sweatshirt, just waist up body and left. Slims.")</f>
        <v>Pretty while since I did not like as much as a sweatshirt, just waist up body and left. Slims.</v>
      </c>
    </row>
    <row r="2170">
      <c r="A2170" s="1">
        <v>5.0</v>
      </c>
      <c r="B2170" s="1" t="s">
        <v>2157</v>
      </c>
      <c r="C2170" t="str">
        <f>IFERROR(__xludf.DUMMYFUNCTION("GOOGLETRANSLATE(B2170, ""es"", ""en"")"),"Blast flawless and perfect, right to my collection")</f>
        <v>Blast flawless and perfect, right to my collection</v>
      </c>
    </row>
    <row r="2171">
      <c r="A2171" s="1">
        <v>5.0</v>
      </c>
      <c r="B2171" s="1" t="s">
        <v>2158</v>
      </c>
      <c r="C2171" t="str">
        <f>IFERROR(__xludf.DUMMYFUNCTION("GOOGLETRANSLATE(B2171, ""es"", ""en"")"),"Expected Ibiza Sound always responds, good sound quality, battery more than decent, inhalambrico micro with good sound and long distance, to take one but the wheels to transport are not well designed, it is impossible to take without being destabilized, b"&amp;"ut not how important")</f>
        <v>Expected Ibiza Sound always responds, good sound quality, battery more than decent, inhalambrico micro with good sound and long distance, to take one but the wheels to transport are not well designed, it is impossible to take without being destabilized, but not how important</v>
      </c>
    </row>
    <row r="2172">
      <c r="A2172" s="1">
        <v>5.0</v>
      </c>
      <c r="B2172" s="1" t="s">
        <v>2159</v>
      </c>
      <c r="C2172" t="str">
        <f>IFERROR(__xludf.DUMMYFUNCTION("GOOGLETRANSLATE(B2172, ""es"", ""en"")"),"Fast and 100% recommended. Elegant and very nice.")</f>
        <v>Fast and 100% recommended. Elegant and very nice.</v>
      </c>
    </row>
    <row r="2173">
      <c r="A2173" s="1">
        <v>5.0</v>
      </c>
      <c r="B2173" s="1" t="s">
        <v>2160</v>
      </c>
      <c r="C2173" t="str">
        <f>IFERROR(__xludf.DUMMYFUNCTION("GOOGLETRANSLATE(B2173, ""es"", ""en"")"),"Excellent toy Masajeador female intimate area Fidech brand. Small size, easy to carry anywhere and simple design. Its softness due to the silicone material which is made gives comfort to the woman when using it. It has several modes and different speeds. "&amp;"Not very loud but be careful where (lustful face) is used. My girl uses it a lot and even down the street, he says it does not bother when you have position. With everyone happy, worth buying.")</f>
        <v>Excellent toy Masajeador female intimate area Fidech brand. Small size, easy to carry anywhere and simple design. Its softness due to the silicone material which is made gives comfort to the woman when using it. It has several modes and different speeds. Not very loud but be careful where (lustful face) is used. My girl uses it a lot and even down the street, he says it does not bother when you have position. With everyone happy, worth buying.</v>
      </c>
    </row>
    <row r="2174">
      <c r="A2174" s="1">
        <v>5.0</v>
      </c>
      <c r="B2174" s="1" t="s">
        <v>2161</v>
      </c>
      <c r="C2174" t="str">
        <f>IFERROR(__xludf.DUMMYFUNCTION("GOOGLETRANSLATE(B2174, ""es"", ""en"")"),"They fulfill their mission. The've bought as replacements for the guillotine and in principle are to fulfill their role because they are equal to the carrying. I have not yet used any of these parts since the guillotine is new.")</f>
        <v>They fulfill their mission. The've bought as replacements for the guillotine and in principle are to fulfill their role because they are equal to the carrying. I have not yet used any of these parts since the guillotine is new.</v>
      </c>
    </row>
    <row r="2175">
      <c r="A2175" s="1">
        <v>5.0</v>
      </c>
      <c r="B2175" s="1" t="s">
        <v>2162</v>
      </c>
      <c r="C2175" t="str">
        <f>IFERROR(__xludf.DUMMYFUNCTION("GOOGLETRANSLATE(B2175, ""es"", ""en"")"),"the best gift for Mother's Day is a precious jewel in the image if you like to the naturally you'll like it even more")</f>
        <v>the best gift for Mother's Day is a precious jewel in the image if you like to the naturally you'll like it even more</v>
      </c>
    </row>
    <row r="2176">
      <c r="A2176" s="1">
        <v>5.0</v>
      </c>
      <c r="B2176" s="1" t="s">
        <v>2163</v>
      </c>
      <c r="C2176" t="str">
        <f>IFERROR(__xludf.DUMMYFUNCTION("GOOGLETRANSLATE(B2176, ""es"", ""en"")"),"Quality trekking shoes, light and soft tread These new multi-brand sneakers Columbia and I liked when I saw online but live and direct I seem to have a very nice design. Once they set foot compact aspect. They are ideal for country walks and for excursion"&amp;"s in the city you need to walk a lot. They are very comfortable, lightweight, adapt very well to the foot, does not leave gaps so you notice the very subject standing. I also like the soft touch of template, foot rests very comfortably. Both my wife and I"&amp;" have used (each in its size) this weekend for people of -Segovia by muddy terrain, we have crossed a stream and it rained us, and it seems that their quality of waterproof has worked. The sole seems resistant and non-slip. Its gray color, makes it very p"&amp;"atient, and is easily cleaned by wiping with a damp cloth. A boot highly recommended.")</f>
        <v>Quality trekking shoes, light and soft tread These new multi-brand sneakers Columbia and I liked when I saw online but live and direct I seem to have a very nice design. Once they set foot compact aspect. They are ideal for country walks and for excursions in the city you need to walk a lot. They are very comfortable, lightweight, adapt very well to the foot, does not leave gaps so you notice the very subject standing. I also like the soft touch of template, foot rests very comfortably. Both my wife and I have used (each in its size) this weekend for people of -Segovia by muddy terrain, we have crossed a stream and it rained us, and it seems that their quality of waterproof has worked. The sole seems resistant and non-slip. Its gray color, makes it very patient, and is easily cleaned by wiping with a damp cloth. A boot highly recommended.</v>
      </c>
    </row>
    <row r="2177">
      <c r="A2177" s="1">
        <v>2.0</v>
      </c>
      <c r="B2177" s="1" t="s">
        <v>2164</v>
      </c>
      <c r="C2177" t="str">
        <f>IFERROR(__xludf.DUMMYFUNCTION("GOOGLETRANSLATE(B2177, ""es"", ""en"")"),"Any result. I bought it to clean limescale from the water tank of the Babycook. I followed the instructions on a couple of occasions, he has taken some lime but expected much more. The same as using vinegar. I would not buy.")</f>
        <v>Any result. I bought it to clean limescale from the water tank of the Babycook. I followed the instructions on a couple of occasions, he has taken some lime but expected much more. The same as using vinegar. I would not buy.</v>
      </c>
    </row>
    <row r="2178">
      <c r="A2178" s="1">
        <v>3.0</v>
      </c>
      <c r="B2178" s="1" t="s">
        <v>2165</v>
      </c>
      <c r="C2178" t="str">
        <f>IFERROR(__xludf.DUMMYFUNCTION("GOOGLETRANSLATE(B2178, ""es"", ""en"")"),"Decent'm not expert but the worst is that trembles a little and that the union of rotation of the leg with giraffe must tighten thoroughly. The rest pretty good for the price.")</f>
        <v>Decent'm not expert but the worst is that trembles a little and that the union of rotation of the leg with giraffe must tighten thoroughly. The rest pretty good for the price.</v>
      </c>
    </row>
    <row r="2179">
      <c r="A2179" s="1">
        <v>1.0</v>
      </c>
      <c r="B2179" s="1" t="s">
        <v>2166</v>
      </c>
      <c r="C2179" t="str">
        <f>IFERROR(__xludf.DUMMYFUNCTION("GOOGLETRANSLATE(B2179, ""es"", ""en"")"),"Disappointing, plastiquero and the old battery. Very fragile, poor quality materials and does not work from day one, no change will stack is worth a watch. Thank you")</f>
        <v>Disappointing, plastiquero and the old battery. Very fragile, poor quality materials and does not work from day one, no change will stack is worth a watch. Thank you</v>
      </c>
    </row>
    <row r="2180">
      <c r="A2180" s="1">
        <v>1.0</v>
      </c>
      <c r="B2180" s="1" t="s">
        <v>2167</v>
      </c>
      <c r="C2180" t="str">
        <f>IFERROR(__xludf.DUMMYFUNCTION("GOOGLETRANSLATE(B2180, ""es"", ""en"")"),"faulty micro does not work, I mean the micro wireless battery, I put the batteries and never worked, too bad")</f>
        <v>faulty micro does not work, I mean the micro wireless battery, I put the batteries and never worked, too bad</v>
      </c>
    </row>
    <row r="2181">
      <c r="A2181" s="1">
        <v>4.0</v>
      </c>
      <c r="B2181" s="1" t="s">
        <v>2168</v>
      </c>
      <c r="C2181" t="str">
        <f>IFERROR(__xludf.DUMMYFUNCTION("GOOGLETRANSLATE(B2181, ""es"", ""en"")"),"monkeys very nice, as in the photo!")</f>
        <v>monkeys very nice, as in the photo!</v>
      </c>
    </row>
    <row r="2182">
      <c r="A2182" s="1">
        <v>4.0</v>
      </c>
      <c r="B2182" s="1" t="s">
        <v>2169</v>
      </c>
      <c r="C2182" t="str">
        <f>IFERROR(__xludf.DUMMYFUNCTION("GOOGLETRANSLATE(B2182, ""es"", ""en"")"),"My son is very funny contento.Viene each pair in individual bags and are very bonitos.Con if time will not peel and are good.")</f>
        <v>My son is very funny contento.Viene each pair in individual bags and are very bonitos.Con if time will not peel and are good.</v>
      </c>
    </row>
    <row r="2183">
      <c r="A2183" s="1">
        <v>4.0</v>
      </c>
      <c r="B2183" s="1" t="s">
        <v>2170</v>
      </c>
      <c r="C2183" t="str">
        <f>IFERROR(__xludf.DUMMYFUNCTION("GOOGLETRANSLATE(B2183, ""es"", ""en"")"),"his Impermiabilidad very difficult to put into operation")</f>
        <v>his Impermiabilidad very difficult to put into operation</v>
      </c>
    </row>
    <row r="2184">
      <c r="A2184" s="1">
        <v>4.0</v>
      </c>
      <c r="B2184" s="1" t="s">
        <v>2171</v>
      </c>
      <c r="C2184" t="str">
        <f>IFERROR(__xludf.DUMMYFUNCTION("GOOGLETRANSLATE(B2184, ""es"", ""en"")"),"Good cream for muscle pain cream for muscle aches and contractures")</f>
        <v>Good cream for muscle pain cream for muscle aches and contractures</v>
      </c>
    </row>
    <row r="2185">
      <c r="A2185" s="1">
        <v>4.0</v>
      </c>
      <c r="B2185" s="1" t="s">
        <v>2172</v>
      </c>
      <c r="C2185" t="str">
        <f>IFERROR(__xludf.DUMMYFUNCTION("GOOGLETRANSLATE(B2185, ""es"", ""en"")"),"Abdesiva tape Fast and everything biennn")</f>
        <v>Abdesiva tape Fast and everything biennn</v>
      </c>
    </row>
    <row r="2186">
      <c r="A2186" s="1">
        <v>5.0</v>
      </c>
      <c r="B2186" s="1" t="s">
        <v>2173</v>
      </c>
      <c r="C2186" t="str">
        <f>IFERROR(__xludf.DUMMYFUNCTION("GOOGLETRANSLATE(B2186, ""es"", ""en"")"),"Great shoes all right")</f>
        <v>Great shoes all right</v>
      </c>
    </row>
    <row r="2187">
      <c r="A2187" s="1">
        <v>5.0</v>
      </c>
      <c r="B2187" s="1" t="s">
        <v>2174</v>
      </c>
      <c r="C2187" t="str">
        <f>IFERROR(__xludf.DUMMYFUNCTION("GOOGLETRANSLATE(B2187, ""es"", ""en"")"),"Hand lens. Poser unique is that it weighs a bit, otherwise the light is a plus for enhancing the increase has k is pretty and very well, and perfect for use in any more or less dark, without having to be getting closer to clearly windows or extra lights t"&amp;"o see what it is, it is just what I wanted and at least to me to use it every day at home went very well.")</f>
        <v>Hand lens. Poser unique is that it weighs a bit, otherwise the light is a plus for enhancing the increase has k is pretty and very well, and perfect for use in any more or less dark, without having to be getting closer to clearly windows or extra lights to see what it is, it is just what I wanted and at least to me to use it every day at home went very well.</v>
      </c>
    </row>
    <row r="2188">
      <c r="A2188" s="1">
        <v>5.0</v>
      </c>
      <c r="B2188" s="1" t="s">
        <v>2175</v>
      </c>
      <c r="C2188" t="str">
        <f>IFERROR(__xludf.DUMMYFUNCTION("GOOGLETRANSLATE(B2188, ""es"", ""en"")"),"This comfortable until the first wash is very clear cotton")</f>
        <v>This comfortable until the first wash is very clear cotton</v>
      </c>
    </row>
    <row r="2189">
      <c r="A2189" s="1">
        <v>5.0</v>
      </c>
      <c r="B2189" s="1" t="s">
        <v>2176</v>
      </c>
      <c r="C2189" t="str">
        <f>IFERROR(__xludf.DUMMYFUNCTION("GOOGLETRANSLATE(B2189, ""es"", ""en"")"),"A very good watch The watch is very nice, good and comfortable. I chose it as a gift to my partner because he liked a lot. He is very happy, the strap loves and what we loved was that no battery, great !!! Shipping in 24 hours is great as we do not expect"&amp;" to receive it and arrived in perfect condition.")</f>
        <v>A very good watch The watch is very nice, good and comfortable. I chose it as a gift to my partner because he liked a lot. He is very happy, the strap loves and what we loved was that no battery, great !!! Shipping in 24 hours is great as we do not expect to receive it and arrived in perfect condition.</v>
      </c>
    </row>
    <row r="2190">
      <c r="A2190" s="1">
        <v>5.0</v>
      </c>
      <c r="B2190" s="1" t="s">
        <v>2177</v>
      </c>
      <c r="C2190" t="str">
        <f>IFERROR(__xludf.DUMMYFUNCTION("GOOGLETRANSLATE(B2190, ""es"", ""en"")"),"What a purchase! In a few months I like to do some video tutorials, etc. to upload to youtube but the microphone I had was not too good. In this case I was surprised how well it is presented and the feeling of hardness and quality of the parts for assembl"&amp;"y brings. That said set on the PC is simply connect via USB and Windows Me has detected; I tested with the OBS program and has simply been to say that this sound recording microphone and the truth is I've noticed a difference regarding the abyssal you had"&amp;" before. The sound comes out clear, clean and has a very good sensitivity because as there are sounds in another room is able to catch them. Of the best buys I've done.")</f>
        <v>What a purchase! In a few months I like to do some video tutorials, etc. to upload to youtube but the microphone I had was not too good. In this case I was surprised how well it is presented and the feeling of hardness and quality of the parts for assembly brings. That said set on the PC is simply connect via USB and Windows Me has detected; I tested with the OBS program and has simply been to say that this sound recording microphone and the truth is I've noticed a difference regarding the abyssal you had before. The sound comes out clear, clean and has a very good sensitivity because as there are sounds in another room is able to catch them. Of the best buys I've done.</v>
      </c>
    </row>
    <row r="2191">
      <c r="A2191" s="1">
        <v>5.0</v>
      </c>
      <c r="B2191" s="1" t="s">
        <v>2178</v>
      </c>
      <c r="C2191" t="str">
        <f>IFERROR(__xludf.DUMMYFUNCTION("GOOGLETRANSLATE(B2191, ""es"", ""en"")"),"Very satisfied with the purchase are the most comfortable shoes in the world !!! I'm the second I buy, foot work and I never hurt legs are slippers. I recommend to everyone!")</f>
        <v>Very satisfied with the purchase are the most comfortable shoes in the world !!! I'm the second I buy, foot work and I never hurt legs are slippers. I recommend to everyone!</v>
      </c>
    </row>
    <row r="2192">
      <c r="A2192" s="1">
        <v>5.0</v>
      </c>
      <c r="B2192" s="1" t="s">
        <v>2179</v>
      </c>
      <c r="C2192" t="str">
        <f>IFERROR(__xludf.DUMMYFUNCTION("GOOGLETRANSLATE(B2192, ""es"", ""en"")"),"Verbatim as always so far I have not failed. I have little to say about the Verbatim DVD, just as always in my case until now not one has failed me and all I have worked properly. In the case of this pack I have not spent all but so far they take you more"&amp;" or less half all have been good. As for the shipment has been very fast and right, for my part, a 10 regarding sent and product.")</f>
        <v>Verbatim as always so far I have not failed. I have little to say about the Verbatim DVD, just as always in my case until now not one has failed me and all I have worked properly. In the case of this pack I have not spent all but so far they take you more or less half all have been good. As for the shipment has been very fast and right, for my part, a 10 regarding sent and product.</v>
      </c>
    </row>
    <row r="2193">
      <c r="A2193" s="1">
        <v>5.0</v>
      </c>
      <c r="B2193" s="1" t="s">
        <v>2180</v>
      </c>
      <c r="C2193" t="str">
        <f>IFERROR(__xludf.DUMMYFUNCTION("GOOGLETRANSLATE(B2193, ""es"", ""en"")"),"Buy Crocs perfect winter for 19 € on offer. Nothing else to add")</f>
        <v>Buy Crocs perfect winter for 19 € on offer. Nothing else to add</v>
      </c>
    </row>
    <row r="2194">
      <c r="A2194" s="1">
        <v>5.0</v>
      </c>
      <c r="B2194" s="1" t="s">
        <v>2181</v>
      </c>
      <c r="C2194" t="str">
        <f>IFERROR(__xludf.DUMMYFUNCTION("GOOGLETRANSLATE(B2194, ""es"", ""en"")"),"Very good buy. I get perfect, but I knew that was my size because it was not the first time I bought them. They give little size, so you have to ask at least one more than the number usually fit each. To give you an idea I use a 43-44 and the New Balance "&amp;"45 and I ask one is perfect. On the other hand say they are a comfortable option, that if, for dressing or taking a walk, not for sports.")</f>
        <v>Very good buy. I get perfect, but I knew that was my size because it was not the first time I bought them. They give little size, so you have to ask at least one more than the number usually fit each. To give you an idea I use a 43-44 and the New Balance 45 and I ask one is perfect. On the other hand say they are a comfortable option, that if, for dressing or taking a walk, not for sports.</v>
      </c>
    </row>
    <row r="2195">
      <c r="A2195" s="1">
        <v>5.0</v>
      </c>
      <c r="B2195" s="1" t="s">
        <v>2182</v>
      </c>
      <c r="C2195" t="str">
        <f>IFERROR(__xludf.DUMMYFUNCTION("GOOGLETRANSLATE(B2195, ""es"", ""en"")"),"Perfect is a comfortable blender to use and clean with a great power, have not yet tested the ice, but for gazpacho and vegetable cream is super efficient. I arrived very fast and in perfect condition.")</f>
        <v>Perfect is a comfortable blender to use and clean with a great power, have not yet tested the ice, but for gazpacho and vegetable cream is super efficient. I arrived very fast and in perfect condition.</v>
      </c>
    </row>
    <row r="2196">
      <c r="A2196" s="1">
        <v>5.0</v>
      </c>
      <c r="B2196" s="1" t="s">
        <v>2183</v>
      </c>
      <c r="C2196" t="str">
        <f>IFERROR(__xludf.DUMMYFUNCTION("GOOGLETRANSLATE(B2196, ""es"", ""en"")"),"Very Good Good acoustic insulation. Perfect for audio M d3 b5")</f>
        <v>Very Good Good acoustic insulation. Perfect for audio M d3 b5</v>
      </c>
    </row>
    <row r="2197">
      <c r="A2197" s="1">
        <v>5.0</v>
      </c>
      <c r="B2197" s="1" t="s">
        <v>2184</v>
      </c>
      <c r="C2197" t="str">
        <f>IFERROR(__xludf.DUMMYFUNCTION("GOOGLETRANSLATE(B2197, ""es"", ""en"")"),"Bureau Bureau")</f>
        <v>Bureau Bureau</v>
      </c>
    </row>
    <row r="2198">
      <c r="A2198" s="1">
        <v>5.0</v>
      </c>
      <c r="B2198" s="1" t="s">
        <v>2185</v>
      </c>
      <c r="C2198" t="str">
        <f>IFERROR(__xludf.DUMMYFUNCTION("GOOGLETRANSLATE(B2198, ""es"", ""en"")"),"Good value good value")</f>
        <v>Good value good value</v>
      </c>
    </row>
    <row r="2199">
      <c r="A2199" s="1">
        <v>5.0</v>
      </c>
      <c r="B2199" s="1" t="s">
        <v>2186</v>
      </c>
      <c r="C2199" t="str">
        <f>IFERROR(__xludf.DUMMYFUNCTION("GOOGLETRANSLATE(B2199, ""es"", ""en"")"),"Top microphone microphone very subtle, compact and comfortable where you can fold up and take it wherever you want. I recommend 100%. It's great.")</f>
        <v>Top microphone microphone very subtle, compact and comfortable where you can fold up and take it wherever you want. I recommend 100%. It's great.</v>
      </c>
    </row>
    <row r="2200">
      <c r="A2200" s="1">
        <v>5.0</v>
      </c>
      <c r="B2200" s="1" t="s">
        <v>2187</v>
      </c>
      <c r="C2200" t="str">
        <f>IFERROR(__xludf.DUMMYFUNCTION("GOOGLETRANSLATE(B2200, ""es"", ""en"")"),"Very good perfect")</f>
        <v>Very good perfect</v>
      </c>
    </row>
    <row r="2201">
      <c r="A2201" s="1">
        <v>5.0</v>
      </c>
      <c r="B2201" s="1" t="s">
        <v>2188</v>
      </c>
      <c r="C2201" t="str">
        <f>IFERROR(__xludf.DUMMYFUNCTION("GOOGLETRANSLATE(B2201, ""es"", ""en"")"),"- value They are very light and do not weigh almost nothing, the quality of the padding is optimal not hear anything from the outside and are very comfortable, the quality of the sound is good, especially low hear a crisp and clear in terms of the volume "&amp;"control is available from the cable to the computer allowing you to lower it, raise or silence. I am very pleased with the purchase I recommend it.")</f>
        <v>- value They are very light and do not weigh almost nothing, the quality of the padding is optimal not hear anything from the outside and are very comfortable, the quality of the sound is good, especially low hear a crisp and clear in terms of the volume control is available from the cable to the computer allowing you to lower it, raise or silence. I am very pleased with the purchase I recommend it.</v>
      </c>
    </row>
    <row r="2202">
      <c r="A2202" s="1">
        <v>5.0</v>
      </c>
      <c r="B2202" s="1" t="s">
        <v>2189</v>
      </c>
      <c r="C2202" t="str">
        <f>IFERROR(__xludf.DUMMYFUNCTION("GOOGLETRANSLATE(B2202, ""es"", ""en"")"),"Buy a teacher. Amazing! Without detergent and best result")</f>
        <v>Buy a teacher. Amazing! Without detergent and best result</v>
      </c>
    </row>
    <row r="2203">
      <c r="A2203" s="1">
        <v>5.0</v>
      </c>
      <c r="B2203" s="1" t="s">
        <v>2190</v>
      </c>
      <c r="C2203" t="str">
        <f>IFERROR(__xludf.DUMMYFUNCTION("GOOGLETRANSLATE(B2203, ""es"", ""en"")"),"Incredible really surprised us. It's amazing quality compared to the price.")</f>
        <v>Incredible really surprised us. It's amazing quality compared to the price.</v>
      </c>
    </row>
    <row r="2204">
      <c r="A2204" s="1">
        <v>5.0</v>
      </c>
      <c r="B2204" s="1" t="s">
        <v>2191</v>
      </c>
      <c r="C2204" t="str">
        <f>IFERROR(__xludf.DUMMYFUNCTION("GOOGLETRANSLATE(B2204, ""es"", ""en"")"),"THIS MICROPHONE WITH MICROPHONE Bluth CAN ALSO WITH trajeta MIRO .Easy to use SD. And the pink my daughter likes very much.")</f>
        <v>THIS MICROPHONE WITH MICROPHONE Bluth CAN ALSO WITH trajeta MIRO .Easy to use SD. And the pink my daughter likes very much.</v>
      </c>
    </row>
    <row r="2205">
      <c r="A2205" s="1">
        <v>2.0</v>
      </c>
      <c r="B2205" s="1" t="s">
        <v>2192</v>
      </c>
      <c r="C2205" t="str">
        <f>IFERROR(__xludf.DUMMYFUNCTION("GOOGLETRANSLATE(B2205, ""es"", ""en"")"),"Right for little more than what you pay for a pack could have bought a bigger one, but not being sure they were compatible with my stapler buy these. Cleats correct, but the purchase price was not anything economic.")</f>
        <v>Right for little more than what you pay for a pack could have bought a bigger one, but not being sure they were compatible with my stapler buy these. Cleats correct, but the purchase price was not anything economic.</v>
      </c>
    </row>
    <row r="2206">
      <c r="A2206" s="1">
        <v>3.0</v>
      </c>
      <c r="B2206" s="1" t="s">
        <v>2193</v>
      </c>
      <c r="C2206" t="str">
        <f>IFERROR(__xludf.DUMMYFUNCTION("GOOGLETRANSLATE(B2206, ""es"", ""en"")"),"It came pretty well. It is very cool. I hope it lasts. the morrito cow is very soft and fluffy. Good")</f>
        <v>It came pretty well. It is very cool. I hope it lasts. the morrito cow is very soft and fluffy. Good</v>
      </c>
    </row>
    <row r="2207">
      <c r="A2207" s="1">
        <v>3.0</v>
      </c>
      <c r="B2207" s="1" t="s">
        <v>2194</v>
      </c>
      <c r="C2207" t="str">
        <f>IFERROR(__xludf.DUMMYFUNCTION("GOOGLETRANSLATE(B2207, ""es"", ""en"")"),"Pequeñosfalllos Calzadodediario but llaviene the soles cracked the sides a little")</f>
        <v>Pequeñosfalllos Calzadodediario but llaviene the soles cracked the sides a little</v>
      </c>
    </row>
    <row r="2208">
      <c r="A2208" s="1">
        <v>1.0</v>
      </c>
      <c r="B2208" s="1" t="s">
        <v>2195</v>
      </c>
      <c r="C2208" t="str">
        <f>IFERROR(__xludf.DUMMYFUNCTION("GOOGLETRANSLATE(B2208, ""es"", ""en"")"),"Surprise at 4 days of use. Just four days have lasted templates. Detached from the rear and from unstuck is not true because any glue is not appreciated. Total disappointment with the brand")</f>
        <v>Surprise at 4 days of use. Just four days have lasted templates. Detached from the rear and from unstuck is not true because any glue is not appreciated. Total disappointment with the brand</v>
      </c>
    </row>
    <row r="2209">
      <c r="A2209" s="1">
        <v>1.0</v>
      </c>
      <c r="B2209" s="1" t="s">
        <v>2196</v>
      </c>
      <c r="C2209" t="str">
        <f>IFERROR(__xludf.DUMMYFUNCTION("GOOGLETRANSLATE(B2209, ""es"", ""en"")"),"Blender face and broken broken")</f>
        <v>Blender face and broken broken</v>
      </c>
    </row>
    <row r="2210">
      <c r="A2210" s="1">
        <v>1.0</v>
      </c>
      <c r="B2210" s="1" t="s">
        <v>2197</v>
      </c>
      <c r="C2210" t="str">
        <f>IFERROR(__xludf.DUMMYFUNCTION("GOOGLETRANSLATE(B2210, ""es"", ""en"")"),"Lie in color not liked anything. Is a lie, is not white is white and translucent that is almost transparent. I wanted to collect and hide a group of wires are black, gray and yellow, with a white strip and has not helped me at all. I have not returned bec"&amp;"ause I find it harder to throw it back. A disappointment")</f>
        <v>Lie in color not liked anything. Is a lie, is not white is white and translucent that is almost transparent. I wanted to collect and hide a group of wires are black, gray and yellow, with a white strip and has not helped me at all. I have not returned because I find it harder to throw it back. A disappointment</v>
      </c>
    </row>
    <row r="2211">
      <c r="A2211" s="1">
        <v>4.0</v>
      </c>
      <c r="B2211" s="1" t="s">
        <v>2198</v>
      </c>
      <c r="C2211" t="str">
        <f>IFERROR(__xludf.DUMMYFUNCTION("GOOGLETRANSLATE(B2211, ""es"", ""en"")"),"A good price chafe the beginning made me well then")</f>
        <v>A good price chafe the beginning made me well then</v>
      </c>
    </row>
    <row r="2212">
      <c r="A2212" s="1">
        <v>4.0</v>
      </c>
      <c r="B2212" s="1" t="s">
        <v>2199</v>
      </c>
      <c r="C2212" t="str">
        <f>IFERROR(__xludf.DUMMYFUNCTION("GOOGLETRANSLATE(B2212, ""es"", ""en"")"),"It works well I expected. Handsome lidded. Well priced compared to others. The only thing that burns the top touch it. Would you purchase.")</f>
        <v>It works well I expected. Handsome lidded. Well priced compared to others. The only thing that burns the top touch it. Would you purchase.</v>
      </c>
    </row>
    <row r="2213">
      <c r="A2213" s="1">
        <v>4.0</v>
      </c>
      <c r="B2213" s="1" t="s">
        <v>2200</v>
      </c>
      <c r="C2213" t="str">
        <f>IFERROR(__xludf.DUMMYFUNCTION("GOOGLETRANSLATE(B2213, ""es"", ""en"")"),"I function well meets his love. It saves the work of scrubbing and sweeping up before. I do not pay 5 porq star sometimes gets lost in the room and ends on the opposite side to the began q, she or it is supposed to return to the starting place, but still "&amp;"leaves you sweep room, scoured, and while you're on to something else. Cloths are expensive, yes, but you can use a little stretch over the single use recommended. And there is a washable cloth scrub q have not yet tried. I recommend buying especially if "&amp;"you do not have time to take care of the house. Libera much and it's really cute!")</f>
        <v>I function well meets his love. It saves the work of scrubbing and sweeping up before. I do not pay 5 porq star sometimes gets lost in the room and ends on the opposite side to the began q, she or it is supposed to return to the starting place, but still leaves you sweep room, scoured, and while you're on to something else. Cloths are expensive, yes, but you can use a little stretch over the single use recommended. And there is a washable cloth scrub q have not yet tried. I recommend buying especially if you do not have time to take care of the house. Libera much and it's really cute!</v>
      </c>
    </row>
    <row r="2214">
      <c r="A2214" s="1">
        <v>4.0</v>
      </c>
      <c r="B2214" s="1" t="s">
        <v>2201</v>
      </c>
      <c r="C2214" t="str">
        <f>IFERROR(__xludf.DUMMYFUNCTION("GOOGLETRANSLATE(B2214, ""es"", ""en"")"),"Size L. 1,83 m. 93 kg I have several pieces Joma to run but is the first time that I decided to buy this brand online. He had doubts size. Long me is perfect and size as well. Part of the ankle / calf is tight but not uncomfortable. It has zipper to open "&amp;"so we can remove the leg with shoes as if haste. The material, as everything that makes Joma, is excellent and I hope it is durable. Good buy and a reasonable price.")</f>
        <v>Size L. 1,83 m. 93 kg I have several pieces Joma to run but is the first time that I decided to buy this brand online. He had doubts size. Long me is perfect and size as well. Part of the ankle / calf is tight but not uncomfortable. It has zipper to open so we can remove the leg with shoes as if haste. The material, as everything that makes Joma, is excellent and I hope it is durable. Good buy and a reasonable price.</v>
      </c>
    </row>
    <row r="2215">
      <c r="A2215" s="1">
        <v>4.0</v>
      </c>
      <c r="B2215" s="1" t="s">
        <v>2202</v>
      </c>
      <c r="C2215" t="str">
        <f>IFERROR(__xludf.DUMMYFUNCTION("GOOGLETRANSLATE(B2215, ""es"", ""en"")"),"Very good quality / price made in one piece, quality, right size and comfortable. Note that is well marked foot bridge and if you are not used the first days uncommon, after that they are very comfortable. If you have flat feet might not feel comfortable,"&amp;" in spite of being soft.")</f>
        <v>Very good quality / price made in one piece, quality, right size and comfortable. Note that is well marked foot bridge and if you are not used the first days uncommon, after that they are very comfortable. If you have flat feet might not feel comfortable, in spite of being soft.</v>
      </c>
    </row>
    <row r="2216">
      <c r="A2216" s="1">
        <v>5.0</v>
      </c>
      <c r="B2216" s="1" t="s">
        <v>2203</v>
      </c>
      <c r="C2216" t="str">
        <f>IFERROR(__xludf.DUMMYFUNCTION("GOOGLETRANSLATE(B2216, ""es"", ""en"")"),"Socks are very good as shown in the photo. They fit well and are comfortable. The purchase has been good and I think they are recommended.")</f>
        <v>Socks are very good as shown in the photo. They fit well and are comfortable. The purchase has been good and I think they are recommended.</v>
      </c>
    </row>
    <row r="2217">
      <c r="A2217" s="1">
        <v>5.0</v>
      </c>
      <c r="B2217" s="1" t="s">
        <v>2204</v>
      </c>
      <c r="C2217" t="str">
        <f>IFERROR(__xludf.DUMMYFUNCTION("GOOGLETRANSLATE(B2217, ""es"", ""en"")"),"Meets all what I expected")</f>
        <v>Meets all what I expected</v>
      </c>
    </row>
    <row r="2218">
      <c r="A2218" s="1">
        <v>5.0</v>
      </c>
      <c r="B2218" s="1" t="s">
        <v>2205</v>
      </c>
      <c r="C2218" t="str">
        <f>IFERROR(__xludf.DUMMYFUNCTION("GOOGLETRANSLATE(B2218, ""es"", ""en"")"),"Quality Clark As Picture")</f>
        <v>Quality Clark As Picture</v>
      </c>
    </row>
    <row r="2219">
      <c r="A2219" s="1">
        <v>5.0</v>
      </c>
      <c r="B2219" s="1" t="s">
        <v>2206</v>
      </c>
      <c r="C2219" t="str">
        <f>IFERROR(__xludf.DUMMYFUNCTION("GOOGLETRANSLATE(B2219, ""es"", ""en"")"),"I love, wonderful smells .... !!!!! I like to make my soaps, and natural fresheners at home, and a few drops of any of these oils are with delicious smells. The rose and jasmine for soaps .... I love it. And I saw them as my mother do, I keep the sheets a"&amp;"nd towels and you can not imagine the smell that comes out when I open the closet. And fresheners .... chifla me Cherry, a fantastic smell. The ylang ylang love to use me in my room ..... diffuser is a fragrance that relaxes me and calms. And the white te"&amp;"a was a smell did not know, but I like that feeling of freshness that has not yet've used, but it sure next time to make sure I will use soap. The presentation of the oils, is precious. A box with very nice flowers. And one very important thing is that I "&amp;"came all the perfect oil without leaking any boat. Not like I asked before another brand, which reached me 3 almost empty cans and the entire box full of oil.")</f>
        <v>I love, wonderful smells .... !!!!! I like to make my soaps, and natural fresheners at home, and a few drops of any of these oils are with delicious smells. The rose and jasmine for soaps .... I love it. And I saw them as my mother do, I keep the sheets and towels and you can not imagine the smell that comes out when I open the closet. And fresheners .... chifla me Cherry, a fantastic smell. The ylang ylang love to use me in my room ..... diffuser is a fragrance that relaxes me and calms. And the white tea was a smell did not know, but I like that feeling of freshness that has not yet've used, but it sure next time to make sure I will use soap. The presentation of the oils, is precious. A box with very nice flowers. And one very important thing is that I came all the perfect oil without leaking any boat. Not like I asked before another brand, which reached me 3 almost empty cans and the entire box full of oil.</v>
      </c>
    </row>
    <row r="2220">
      <c r="A2220" s="1">
        <v>5.0</v>
      </c>
      <c r="B2220" s="1" t="s">
        <v>2207</v>
      </c>
      <c r="C2220" t="str">
        <f>IFERROR(__xludf.DUMMYFUNCTION("GOOGLETRANSLATE(B2220, ""es"", ""en"")"),"Very cool is a great watch, but very well done, the color is slightly darker than the picture, which most say is a G-shock, ready for anything, shock, water, the truth is that they are one watches very thankful, because after you buy him the strap and bez"&amp;"el (box) and you change it again and have new watch.")</f>
        <v>Very cool is a great watch, but very well done, the color is slightly darker than the picture, which most say is a G-shock, ready for anything, shock, water, the truth is that they are one watches very thankful, because after you buy him the strap and bezel (box) and you change it again and have new watch.</v>
      </c>
    </row>
    <row r="2221">
      <c r="A2221" s="1">
        <v>5.0</v>
      </c>
      <c r="B2221" s="1" t="s">
        <v>2208</v>
      </c>
      <c r="C2221" t="str">
        <f>IFERROR(__xludf.DUMMYFUNCTION("GOOGLETRANSLATE(B2221, ""es"", ""en"")"),"Excellent article. I watch my lifetime. Eye, do not use ara sport so that does not count. Undoubtedly, clock and occasional good day.")</f>
        <v>Excellent article. I watch my lifetime. Eye, do not use ara sport so that does not count. Undoubtedly, clock and occasional good day.</v>
      </c>
    </row>
    <row r="2222">
      <c r="A2222" s="1">
        <v>5.0</v>
      </c>
      <c r="B2222" s="1" t="s">
        <v>2209</v>
      </c>
      <c r="C2222" t="str">
        <f>IFERROR(__xludf.DUMMYFUNCTION("GOOGLETRANSLATE(B2222, ""es"", ""en"")"),"Fits very well and have good price Good product. Very good price compared to similar ones. I bought the M size and its sizing is good. Happy with the")</f>
        <v>Fits very well and have good price Good product. Very good price compared to similar ones. I bought the M size and its sizing is good. Happy with the</v>
      </c>
    </row>
    <row r="2223">
      <c r="A2223" s="1">
        <v>5.0</v>
      </c>
      <c r="B2223" s="1" t="s">
        <v>2210</v>
      </c>
      <c r="C2223" t="str">
        <f>IFERROR(__xludf.DUMMYFUNCTION("GOOGLETRANSLATE(B2223, ""es"", ""en"")"),"You are perfect! Both are perfect to go to sport, very good quality")</f>
        <v>You are perfect! Both are perfect to go to sport, very good quality</v>
      </c>
    </row>
    <row r="2224">
      <c r="A2224" s="1">
        <v>5.0</v>
      </c>
      <c r="B2224" s="1" t="s">
        <v>2211</v>
      </c>
      <c r="C2224" t="str">
        <f>IFERROR(__xludf.DUMMYFUNCTION("GOOGLETRANSLATE(B2224, ""es"", ""en"")"),"For that price, the relationship with Good sound quality for that price you can not ask for more")</f>
        <v>For that price, the relationship with Good sound quality for that price you can not ask for more</v>
      </c>
    </row>
    <row r="2225">
      <c r="A2225" s="1">
        <v>5.0</v>
      </c>
      <c r="B2225" s="1" t="s">
        <v>2212</v>
      </c>
      <c r="C2225" t="str">
        <f>IFERROR(__xludf.DUMMYFUNCTION("GOOGLETRANSLATE(B2225, ""es"", ""en"")"),"Good works perfect")</f>
        <v>Good works perfect</v>
      </c>
    </row>
    <row r="2226">
      <c r="A2226" s="1">
        <v>5.0</v>
      </c>
      <c r="B2226" s="1" t="s">
        <v>2213</v>
      </c>
      <c r="C2226" t="str">
        <f>IFERROR(__xludf.DUMMYFUNCTION("GOOGLETRANSLATE(B2226, ""es"", ""en"")"),"Super good quality good quality and very comfortable for sport or for the day. I recommend it a lot.")</f>
        <v>Super good quality good quality and very comfortable for sport or for the day. I recommend it a lot.</v>
      </c>
    </row>
    <row r="2227">
      <c r="A2227" s="1">
        <v>5.0</v>
      </c>
      <c r="B2227" s="1" t="s">
        <v>2214</v>
      </c>
      <c r="C2227" t="str">
        <f>IFERROR(__xludf.DUMMYFUNCTION("GOOGLETRANSLATE(B2227, ""es"", ""en"")"),"QUALITY AND RELIABILITY Recommended for lavadora.Yo I put a pill every time I wear linen and clothes too grateful. In the tank of the toilet also it makes his feature if you put a pill when you have to leave and not you will use in a few hours.")</f>
        <v>QUALITY AND RELIABILITY Recommended for lavadora.Yo I put a pill every time I wear linen and clothes too grateful. In the tank of the toilet also it makes his feature if you put a pill when you have to leave and not you will use in a few hours.</v>
      </c>
    </row>
    <row r="2228">
      <c r="A2228" s="1">
        <v>5.0</v>
      </c>
      <c r="B2228" s="1" t="s">
        <v>2215</v>
      </c>
      <c r="C2228" t="str">
        <f>IFERROR(__xludf.DUMMYFUNCTION("GOOGLETRANSLATE(B2228, ""es"", ""en"")"),"Man bottles. The best bottles without doubt.")</f>
        <v>Man bottles. The best bottles without doubt.</v>
      </c>
    </row>
    <row r="2229">
      <c r="A2229" s="1">
        <v>5.0</v>
      </c>
      <c r="B2229" s="1" t="s">
        <v>2216</v>
      </c>
      <c r="C2229" t="str">
        <f>IFERROR(__xludf.DUMMYFUNCTION("GOOGLETRANSLATE(B2229, ""es"", ""en"")"),"Very nice .. perfect color and picture the perfect size and are very strong .. My husband is delighted I recommend them")</f>
        <v>Very nice .. perfect color and picture the perfect size and are very strong .. My husband is delighted I recommend them</v>
      </c>
    </row>
    <row r="2230">
      <c r="A2230" s="1">
        <v>5.0</v>
      </c>
      <c r="B2230" s="1" t="s">
        <v>2217</v>
      </c>
      <c r="C2230" t="str">
        <f>IFERROR(__xludf.DUMMYFUNCTION("GOOGLETRANSLATE(B2230, ""es"", ""en"")"),"100% recommended Very comfortable. The've tried on long hikes, stones, wet floor and have captivated me. The value is extraordinary. I recommend them to 100%")</f>
        <v>100% recommended Very comfortable. The've tried on long hikes, stones, wet floor and have captivated me. The value is extraordinary. I recommend them to 100%</v>
      </c>
    </row>
    <row r="2231">
      <c r="A2231" s="1">
        <v>5.0</v>
      </c>
      <c r="B2231" s="1" t="s">
        <v>2218</v>
      </c>
      <c r="C2231" t="str">
        <f>IFERROR(__xludf.DUMMYFUNCTION("GOOGLETRANSLATE(B2231, ""es"", ""en"")"),"Good card as expected, fast, high capacity, good performance. Good value, worth spending a little more, has high processing speed")</f>
        <v>Good card as expected, fast, high capacity, good performance. Good value, worth spending a little more, has high processing speed</v>
      </c>
    </row>
    <row r="2232">
      <c r="A2232" s="1">
        <v>5.0</v>
      </c>
      <c r="B2232" s="1" t="s">
        <v>2219</v>
      </c>
      <c r="C2232" t="str">
        <f>IFERROR(__xludf.DUMMYFUNCTION("GOOGLETRANSLATE(B2232, ""es"", ""en"")"),"Percfectos Pe f cts comfortable")</f>
        <v>Percfectos Pe f cts comfortable</v>
      </c>
    </row>
    <row r="2233">
      <c r="A2233" s="1">
        <v>5.0</v>
      </c>
      <c r="B2233" s="1" t="s">
        <v>2220</v>
      </c>
      <c r="C2233" t="str">
        <f>IFERROR(__xludf.DUMMYFUNCTION("GOOGLETRANSLATE(B2233, ""es"", ""en"")"),"Good Very good quality")</f>
        <v>Good Very good quality</v>
      </c>
    </row>
    <row r="2234">
      <c r="A2234" s="1">
        <v>5.0</v>
      </c>
      <c r="B2234" s="1" t="s">
        <v>2221</v>
      </c>
      <c r="C2234" t="str">
        <f>IFERROR(__xludf.DUMMYFUNCTION("GOOGLETRANSLATE(B2234, ""es"", ""en"")"),"Lovely sweatshirt, super nice and light. Sweatshirt beautiful, very soft and pleasing to the touch and light, it is better than I expected. XXL is quite large, even a little bit more than I expected.")</f>
        <v>Lovely sweatshirt, super nice and light. Sweatshirt beautiful, very soft and pleasing to the touch and light, it is better than I expected. XXL is quite large, even a little bit more than I expected.</v>
      </c>
    </row>
    <row r="2235">
      <c r="A2235" s="1">
        <v>2.0</v>
      </c>
      <c r="B2235" s="1" t="s">
        <v>2222</v>
      </c>
      <c r="C2235" t="str">
        <f>IFERROR(__xludf.DUMMYFUNCTION("GOOGLETRANSLATE(B2235, ""es"", ""en"")"),"Does not meet your expectations What we returned, it was not comfortable nor listened well, we took the next spot, not recommended.")</f>
        <v>Does not meet your expectations What we returned, it was not comfortable nor listened well, we took the next spot, not recommended.</v>
      </c>
    </row>
    <row r="2236">
      <c r="A2236" s="1">
        <v>3.0</v>
      </c>
      <c r="B2236" s="1" t="s">
        <v>2223</v>
      </c>
      <c r="C2236" t="str">
        <f>IFERROR(__xludf.DUMMYFUNCTION("GOOGLETRANSLATE(B2236, ""es"", ""en"")"),"... Not like esperava")</f>
        <v>... Not like esperava</v>
      </c>
    </row>
    <row r="2237">
      <c r="A2237" s="1">
        <v>3.0</v>
      </c>
      <c r="B2237" s="1" t="s">
        <v>2224</v>
      </c>
      <c r="C2237" t="str">
        <f>IFERROR(__xludf.DUMMYFUNCTION("GOOGLETRANSLATE(B2237, ""es"", ""en"")"),"The coffee is fine, but there is an error in the description, the water reservoir is not removable The coffee is good. But in describing the characteristics of the product there is an error, the water reservoir is not removable")</f>
        <v>The coffee is fine, but there is an error in the description, the water reservoir is not removable The coffee is good. But in describing the characteristics of the product there is an error, the water reservoir is not removable</v>
      </c>
    </row>
    <row r="2238">
      <c r="A2238" s="1">
        <v>1.0</v>
      </c>
      <c r="B2238" s="1" t="s">
        <v>2225</v>
      </c>
      <c r="C2238" t="str">
        <f>IFERROR(__xludf.DUMMYFUNCTION("GOOGLETRANSLATE(B2238, ""es"", ""en"")"),"It does not work on ipad. Not compatible with iOS've tried it in two I have, indicating downloading the application and does not read the files you've included. I've formatted from the Mac, you've got different file types, and nothing. I tried to copy pho"&amp;"tos from iPad to USB and does not work. Not compatible with iOS")</f>
        <v>It does not work on ipad. Not compatible with iOS've tried it in two I have, indicating downloading the application and does not read the files you've included. I've formatted from the Mac, you've got different file types, and nothing. I tried to copy photos from iPad to USB and does not work. Not compatible with iOS</v>
      </c>
    </row>
    <row r="2239">
      <c r="A2239" s="1">
        <v>1.0</v>
      </c>
      <c r="B2239" s="1" t="s">
        <v>2226</v>
      </c>
      <c r="C2239" t="str">
        <f>IFERROR(__xludf.DUMMYFUNCTION("GOOGLETRANSLATE(B2239, ""es"", ""en"")"),"The Alponerlo speed up the Barilla is released")</f>
        <v>The Alponerlo speed up the Barilla is released</v>
      </c>
    </row>
    <row r="2240">
      <c r="A2240" s="1">
        <v>4.0</v>
      </c>
      <c r="B2240" s="1" t="s">
        <v>2227</v>
      </c>
      <c r="C2240" t="str">
        <f>IFERROR(__xludf.DUMMYFUNCTION("GOOGLETRANSLATE(B2240, ""es"", ""en"")"),"It is pretty nice, not bad")</f>
        <v>It is pretty nice, not bad</v>
      </c>
    </row>
    <row r="2241">
      <c r="A2241" s="1">
        <v>4.0</v>
      </c>
      <c r="B2241" s="1" t="s">
        <v>2228</v>
      </c>
      <c r="C2241" t="str">
        <f>IFERROR(__xludf.DUMMYFUNCTION("GOOGLETRANSLATE(B2241, ""es"", ""en"")"),"Time can not be bought and I have bought buying the deebot 900 Apart from buying a vacuum cleaner I bought time while I do other things q keeps me home without pelusa.Genial and hardly makes noise, maybe I would like a deposit trash something bigger")</f>
        <v>Time can not be bought and I have bought buying the deebot 900 Apart from buying a vacuum cleaner I bought time while I do other things q keeps me home without pelusa.Genial and hardly makes noise, maybe I would like a deposit trash something bigger</v>
      </c>
    </row>
    <row r="2242">
      <c r="A2242" s="1">
        <v>4.0</v>
      </c>
      <c r="B2242" s="1" t="s">
        <v>2229</v>
      </c>
      <c r="C2242" t="str">
        <f>IFERROR(__xludf.DUMMYFUNCTION("GOOGLETRANSLATE(B2242, ""es"", ""en"")"),"Meets and is very happy at the moment with the clock. I bought it as an alternative to my smartwatch for use in training and fulfills its mission. It is well placed as well. We see long term.")</f>
        <v>Meets and is very happy at the moment with the clock. I bought it as an alternative to my smartwatch for use in training and fulfills its mission. It is well placed as well. We see long term.</v>
      </c>
    </row>
    <row r="2243">
      <c r="A2243" s="1">
        <v>4.0</v>
      </c>
      <c r="B2243" s="1" t="s">
        <v>2230</v>
      </c>
      <c r="C2243" t="str">
        <f>IFERROR(__xludf.DUMMYFUNCTION("GOOGLETRANSLATE(B2243, ""es"", ""en"")"),"Well, very good")</f>
        <v>Well, very good</v>
      </c>
    </row>
    <row r="2244">
      <c r="A2244" s="1">
        <v>4.0</v>
      </c>
      <c r="B2244" s="1" t="s">
        <v>2231</v>
      </c>
      <c r="C2244" t="str">
        <f>IFERROR(__xludf.DUMMYFUNCTION("GOOGLETRANSLATE(B2244, ""es"", ""en"")"),"perfect versatile, as it as described.")</f>
        <v>perfect versatile, as it as described.</v>
      </c>
    </row>
    <row r="2245">
      <c r="A2245" s="1">
        <v>5.0</v>
      </c>
      <c r="B2245" s="1" t="s">
        <v>2232</v>
      </c>
      <c r="C2245" t="str">
        <f>IFERROR(__xludf.DUMMYFUNCTION("GOOGLETRANSLATE(B2245, ""es"", ""en"")"),"By the time a classic that was looking for, I always loved and to more than 14 years since I bought them. I like to see how they have been put up so many years selling this model. perfect quality, incredibly fit, they are very comfortable. So if a lot of "&amp;"heat in summer foot.")</f>
        <v>By the time a classic that was looking for, I always loved and to more than 14 years since I bought them. I like to see how they have been put up so many years selling this model. perfect quality, incredibly fit, they are very comfortable. So if a lot of heat in summer foot.</v>
      </c>
    </row>
    <row r="2246">
      <c r="A2246" s="1">
        <v>5.0</v>
      </c>
      <c r="B2246" s="1" t="s">
        <v>2233</v>
      </c>
      <c r="C2246" t="str">
        <f>IFERROR(__xludf.DUMMYFUNCTION("GOOGLETRANSLATE(B2246, ""es"", ""en"")"),"4TB for 58 €, a gift! I bought it because I saw it at 58 €, for that price could not let it go, I came in 3 days and everything perfect, delighted by purchasing")</f>
        <v>4TB for 58 €, a gift! I bought it because I saw it at 58 €, for that price could not let it go, I came in 3 days and everything perfect, delighted by purchasing</v>
      </c>
    </row>
    <row r="2247">
      <c r="A2247" s="1">
        <v>5.0</v>
      </c>
      <c r="B2247" s="1" t="s">
        <v>2234</v>
      </c>
      <c r="C2247" t="str">
        <f>IFERROR(__xludf.DUMMYFUNCTION("GOOGLETRANSLATE(B2247, ""es"", ""en"")"),"Comfortable to buy good quality and cheap")</f>
        <v>Comfortable to buy good quality and cheap</v>
      </c>
    </row>
    <row r="2248">
      <c r="A2248" s="1">
        <v>5.0</v>
      </c>
      <c r="B2248" s="1" t="s">
        <v>2235</v>
      </c>
      <c r="C2248" t="str">
        <f>IFERROR(__xludf.DUMMYFUNCTION("GOOGLETRANSLATE(B2248, ""es"", ""en"")"),"Quality, and especially its perfect as I left, make a beautiful leg, and are lovely, it was reluctant, but they are very chik, let delighted, I hope last me")</f>
        <v>Quality, and especially its perfect as I left, make a beautiful leg, and are lovely, it was reluctant, but they are very chik, let delighted, I hope last me</v>
      </c>
    </row>
    <row r="2249">
      <c r="A2249" s="1">
        <v>5.0</v>
      </c>
      <c r="B2249" s="1" t="s">
        <v>2236</v>
      </c>
      <c r="C2249" t="str">
        <f>IFERROR(__xludf.DUMMYFUNCTION("GOOGLETRANSLATE(B2249, ""es"", ""en"")"),"Ideal gift is great, the pieces fit perfectly .I buy gift a symbol of friendship.")</f>
        <v>Ideal gift is great, the pieces fit perfectly .I buy gift a symbol of friendship.</v>
      </c>
    </row>
    <row r="2250">
      <c r="A2250" s="1">
        <v>5.0</v>
      </c>
      <c r="B2250" s="1" t="s">
        <v>2237</v>
      </c>
      <c r="C2250" t="str">
        <f>IFERROR(__xludf.DUMMYFUNCTION("GOOGLETRANSLATE(B2250, ""es"", ""en"")"),"I like it. It makes no noise. It is simple and well finished. It notes that moisture rises to the put. I like it just fine. It does almost noise at night but I have not stopped since. The finish is fine, looks good anywhere. Note that at once put the humi"&amp;"dity rises. I still have not tried with essential oils, only water. When the water level drops to, and I have thought and stopped, so it also meets this safety feature. The water is not heated or appliance either. The colors are simple and can be nice to "&amp;"relax.")</f>
        <v>I like it. It makes no noise. It is simple and well finished. It notes that moisture rises to the put. I like it just fine. It does almost noise at night but I have not stopped since. The finish is fine, looks good anywhere. Note that at once put the humidity rises. I still have not tried with essential oils, only water. When the water level drops to, and I have thought and stopped, so it also meets this safety feature. The water is not heated or appliance either. The colors are simple and can be nice to relax.</v>
      </c>
    </row>
    <row r="2251">
      <c r="A2251" s="1">
        <v>5.0</v>
      </c>
      <c r="B2251" s="1" t="s">
        <v>2238</v>
      </c>
      <c r="C2251" t="str">
        <f>IFERROR(__xludf.DUMMYFUNCTION("GOOGLETRANSLATE(B2251, ""es"", ""en"")"),"I love vaquita is a cucada cow and I arrived super early and is perfect on the table is very comfortable for mouse")</f>
        <v>I love vaquita is a cucada cow and I arrived super early and is perfect on the table is very comfortable for mouse</v>
      </c>
    </row>
    <row r="2252">
      <c r="A2252" s="1">
        <v>5.0</v>
      </c>
      <c r="B2252" s="1" t="s">
        <v>2239</v>
      </c>
      <c r="C2252" t="str">
        <f>IFERROR(__xludf.DUMMYFUNCTION("GOOGLETRANSLATE(B2252, ""es"", ""en"")"),"Terrific correct and well packaged.")</f>
        <v>Terrific correct and well packaged.</v>
      </c>
    </row>
    <row r="2253">
      <c r="A2253" s="1">
        <v>5.0</v>
      </c>
      <c r="B2253" s="1" t="s">
        <v>2240</v>
      </c>
      <c r="C2253" t="str">
        <f>IFERROR(__xludf.DUMMYFUNCTION("GOOGLETRANSLATE(B2253, ""es"", ""en"")"),"We are a good buy my perfect woman")</f>
        <v>We are a good buy my perfect woman</v>
      </c>
    </row>
    <row r="2254">
      <c r="A2254" s="1">
        <v>5.0</v>
      </c>
      <c r="B2254" s="1" t="s">
        <v>2241</v>
      </c>
      <c r="C2254" t="str">
        <f>IFERROR(__xludf.DUMMYFUNCTION("GOOGLETRANSLATE(B2254, ""es"", ""en"")"),"Good good cable wire to make your own connections to the stereo or TV.")</f>
        <v>Good good cable wire to make your own connections to the stereo or TV.</v>
      </c>
    </row>
    <row r="2255">
      <c r="A2255" s="1">
        <v>5.0</v>
      </c>
      <c r="B2255" s="1" t="s">
        <v>2242</v>
      </c>
      <c r="C2255" t="str">
        <f>IFERROR(__xludf.DUMMYFUNCTION("GOOGLETRANSLATE(B2255, ""es"", ""en"")"),"The writing speed Installation is extremely easy as a second disk xioami air my 13.5 inches. It goes like a bullet")</f>
        <v>The writing speed Installation is extremely easy as a second disk xioami air my 13.5 inches. It goes like a bullet</v>
      </c>
    </row>
    <row r="2256">
      <c r="A2256" s="1">
        <v>5.0</v>
      </c>
      <c r="B2256" s="1" t="s">
        <v>2243</v>
      </c>
      <c r="C2256" t="str">
        <f>IFERROR(__xludf.DUMMYFUNCTION("GOOGLETRANSLATE(B2256, ""es"", ""en"")"),"Well Tube to return it because it was coming from but still a friend of mine has it and is doing a great luxury all great micro and the return smoothly and fast")</f>
        <v>Well Tube to return it because it was coming from but still a friend of mine has it and is doing a great luxury all great micro and the return smoothly and fast</v>
      </c>
    </row>
    <row r="2257">
      <c r="A2257" s="1">
        <v>5.0</v>
      </c>
      <c r="B2257" s="1" t="s">
        <v>2244</v>
      </c>
      <c r="C2257" t="str">
        <f>IFERROR(__xludf.DUMMYFUNCTION("GOOGLETRANSLATE(B2257, ""es"", ""en"")"),"Very good shoes slippers top of the best in the segment of ""mixed"" slippers. Designed for racing upbeat rhythms, the foot fits like a sock. They are very light and damped. For what it's orientation, NB carvings coincide with Nike.")</f>
        <v>Very good shoes slippers top of the best in the segment of "mixed" slippers. Designed for racing upbeat rhythms, the foot fits like a sock. They are very light and damped. For what it's orientation, NB carvings coincide with Nike.</v>
      </c>
    </row>
    <row r="2258">
      <c r="A2258" s="1">
        <v>5.0</v>
      </c>
      <c r="B2258" s="1" t="s">
        <v>2245</v>
      </c>
      <c r="C2258" t="str">
        <f>IFERROR(__xludf.DUMMYFUNCTION("GOOGLETRANSLATE(B2258, ""es"", ""en"")"),"PRECIOSOOOO Very nice, I had seen it in a store but at 69 euros, met all the requirements, but the box was made of cardboard and found it a bit tatty, otherwise great.")</f>
        <v>PRECIOSOOOO Very nice, I had seen it in a store but at 69 euros, met all the requirements, but the box was made of cardboard and found it a bit tatty, otherwise great.</v>
      </c>
    </row>
    <row r="2259">
      <c r="A2259" s="1">
        <v>5.0</v>
      </c>
      <c r="B2259" s="1" t="s">
        <v>2246</v>
      </c>
      <c r="C2259" t="str">
        <f>IFERROR(__xludf.DUMMYFUNCTION("GOOGLETRANSLATE(B2259, ""es"", ""en"")"),"I love love, are very nice and always puts it. I recommend it for girls between 10 and 15 years old I LOVE YOU")</f>
        <v>I love love, are very nice and always puts it. I recommend it for girls between 10 and 15 years old I LOVE YOU</v>
      </c>
    </row>
    <row r="2260">
      <c r="A2260" s="1">
        <v>5.0</v>
      </c>
      <c r="B2260" s="1" t="s">
        <v>2247</v>
      </c>
      <c r="C2260" t="str">
        <f>IFERROR(__xludf.DUMMYFUNCTION("GOOGLETRANSLATE(B2260, ""es"", ""en"")"),"Very useful to save space works really well, you create a folder on your Mobil and save you all your files and photos directly on USB ele")</f>
        <v>Very useful to save space works really well, you create a folder on your Mobil and save you all your files and photos directly on USB ele</v>
      </c>
    </row>
    <row r="2261">
      <c r="A2261" s="1">
        <v>5.0</v>
      </c>
      <c r="B2261" s="1" t="s">
        <v>2248</v>
      </c>
      <c r="C2261" t="str">
        <f>IFERROR(__xludf.DUMMYFUNCTION("GOOGLETRANSLATE(B2261, ""es"", ""en"")"),"Saca juice all Travaja as a cavallo.")</f>
        <v>Saca juice all Travaja as a cavallo.</v>
      </c>
    </row>
    <row r="2262">
      <c r="A2262" s="1">
        <v>5.0</v>
      </c>
      <c r="B2262" s="1" t="s">
        <v>2249</v>
      </c>
      <c r="C2262" t="str">
        <f>IFERROR(__xludf.DUMMYFUNCTION("GOOGLETRANSLATE(B2262, ""es"", ""en"")"),"Preciosa buy it for a gift, you charm. Is a bracelet fits the wrist, is silver and not fade, it is a very good material. beautiful sunset stays.")</f>
        <v>Preciosa buy it for a gift, you charm. Is a bracelet fits the wrist, is silver and not fade, it is a very good material. beautiful sunset stays.</v>
      </c>
    </row>
    <row r="2263">
      <c r="A2263" s="1">
        <v>2.0</v>
      </c>
      <c r="B2263" s="1" t="s">
        <v>2250</v>
      </c>
      <c r="C2263" t="str">
        <f>IFERROR(__xludf.DUMMYFUNCTION("GOOGLETRANSLATE(B2263, ""es"", ""en"")"),"LOUD SOLE The sole is very noisy and comfortable interior is sunk quickly and does not return to its initial state.")</f>
        <v>LOUD SOLE The sole is very noisy and comfortable interior is sunk quickly and does not return to its initial state.</v>
      </c>
    </row>
    <row r="2264">
      <c r="A2264" s="1">
        <v>3.0</v>
      </c>
      <c r="B2264" s="1" t="s">
        <v>2251</v>
      </c>
      <c r="C2264" t="str">
        <f>IFERROR(__xludf.DUMMYFUNCTION("GOOGLETRANSLATE(B2264, ""es"", ""en"")"),"Okay the price The size is somewhat small, you will not find a quality product for the price you pay at the least used to be at home.")</f>
        <v>Okay the price The size is somewhat small, you will not find a quality product for the price you pay at the least used to be at home.</v>
      </c>
    </row>
    <row r="2265">
      <c r="A2265" s="1">
        <v>3.0</v>
      </c>
      <c r="B2265" s="1" t="s">
        <v>2252</v>
      </c>
      <c r="C2265" t="str">
        <f>IFERROR(__xludf.DUMMYFUNCTION("GOOGLETRANSLATE(B2265, ""es"", ""en"")"),"Not enough speed for Xiaomi M3 I bought this particular memory that relate to the rest is the best rate of literacy had also is supposed to be a V3, well then I have put in a new Xiaomi M3 and me launches an error message that is too slow to work to compl"&amp;"ement the phone memory, a two, or exhibiting speeds are not correct or xiaomi is tikismikis with memories. However I will perform test and will tell the result.")</f>
        <v>Not enough speed for Xiaomi M3 I bought this particular memory that relate to the rest is the best rate of literacy had also is supposed to be a V3, well then I have put in a new Xiaomi M3 and me launches an error message that is too slow to work to complement the phone memory, a two, or exhibiting speeds are not correct or xiaomi is tikismikis with memories. However I will perform test and will tell the result.</v>
      </c>
    </row>
    <row r="2266">
      <c r="A2266" s="1">
        <v>1.0</v>
      </c>
      <c r="B2266" s="1" t="s">
        <v>2253</v>
      </c>
      <c r="C2266" t="str">
        <f>IFERROR(__xludf.DUMMYFUNCTION("GOOGLETRANSLATE(B2266, ""es"", ""en"")"),"Crappy Crappy quality work quality fatal")</f>
        <v>Crappy Crappy quality work quality fatal</v>
      </c>
    </row>
    <row r="2267">
      <c r="A2267" s="1">
        <v>1.0</v>
      </c>
      <c r="B2267" s="1" t="s">
        <v>2254</v>
      </c>
      <c r="C2267" t="str">
        <f>IFERROR(__xludf.DUMMYFUNCTION("GOOGLETRANSLATE(B2267, ""es"", ""en"")"),"Bota spoiled by break I have received a blow to the front of the boot")</f>
        <v>Bota spoiled by break I have received a blow to the front of the boot</v>
      </c>
    </row>
    <row r="2268">
      <c r="A2268" s="1">
        <v>4.0</v>
      </c>
      <c r="B2268" s="1" t="s">
        <v>2255</v>
      </c>
      <c r="C2268" t="str">
        <f>IFERROR(__xludf.DUMMYFUNCTION("GOOGLETRANSLATE(B2268, ""es"", ""en"")"),"Xulo is but it looks very poor quality ... but for its price it's very xulo is worth, but is seen to be of poor quality; for price worthwhile.")</f>
        <v>Xulo is but it looks very poor quality ... but for its price it's very xulo is worth, but is seen to be of poor quality; for price worthwhile.</v>
      </c>
    </row>
    <row r="2269">
      <c r="A2269" s="1">
        <v>4.0</v>
      </c>
      <c r="B2269" s="1" t="s">
        <v>2256</v>
      </c>
      <c r="C2269" t="str">
        <f>IFERROR(__xludf.DUMMYFUNCTION("GOOGLETRANSLATE(B2269, ""es"", ""en"")"),"Wireless helmets helmets are very pretty in pink. They are very flexible because they can be folded and can be stored anywhere. I like that you can answer calls from the hull itself while listening to music and you can also listen to the radio. I recommen"&amp;"d helmets to give away at Christmas because they are comfortable and cuddly.")</f>
        <v>Wireless helmets helmets are very pretty in pink. They are very flexible because they can be folded and can be stored anywhere. I like that you can answer calls from the hull itself while listening to music and you can also listen to the radio. I recommend helmets to give away at Christmas because they are comfortable and cuddly.</v>
      </c>
    </row>
    <row r="2270">
      <c r="A2270" s="1">
        <v>4.0</v>
      </c>
      <c r="B2270" s="1" t="s">
        <v>2257</v>
      </c>
      <c r="C2270" t="str">
        <f>IFERROR(__xludf.DUMMYFUNCTION("GOOGLETRANSLATE(B2270, ""es"", ""en"")"),"Good buy (a second ...) After the initial disappointment of receiving a product clearly used (came without plastiquitos, unfiltered, without measuring strip water hardness, no spoon for ground coffee ...) and molinillo stuck, once returned and replaced by"&amp;" Amazon (in two days !!), I can say they were satisfied with their performance and preparing coffee. We came from drinking coffee in capsules and purpose of the change, in my opinion: 1: the typical immediacy of the system is lost for capsules (you have t"&amp;"o admit ...). This type of machine requires a longer power and consumes water at the turn on and off (the equivalent of a cup at the start and one at the off) 2: occupies apparatus rather, if short counter you walk is something to take into consideration "&amp;"3 : still consuming more water, the frequency with which must be replenished water or empty sludge is less than the frequency of water filling or emptying of capsules of a typical Nespresso Inissia 4: the noise level is similar 5: the ability to configure"&amp;" different preparation parameters and coffee to use the one you like best (or a mixture), leads to a greater chance of obtaining the optimal end coffee each (I will not talk about quality ... :)) 6: the option of using ground coffee is fine (for decaffein"&amp;"ated coffee or more / less body than beans), but having to put each coffee is not so comfortable. It would be nice a container for ground. Usually, I do not think home more than two types of coffee ... 7 are used .: regarding the environment are talking a"&amp;"bout an appliance class that produces coffee grounds going to the organic container (or plants or unclogging :) sink), nothing had another garbage bag and take the capsules at the collection point each time X ... 8 .: ultimately use less expensive cafes, "&amp;"is much cheaper than the system in capsules (even considering the cost of water filter)")</f>
        <v>Good buy (a second ...) After the initial disappointment of receiving a product clearly used (came without plastiquitos, unfiltered, without measuring strip water hardness, no spoon for ground coffee ...) and molinillo stuck, once returned and replaced by Amazon (in two days !!), I can say they were satisfied with their performance and preparing coffee. We came from drinking coffee in capsules and purpose of the change, in my opinion: 1: the typical immediacy of the system is lost for capsules (you have to admit ...). This type of machine requires a longer power and consumes water at the turn on and off (the equivalent of a cup at the start and one at the off) 2: occupies apparatus rather, if short counter you walk is something to take into consideration 3 : still consuming more water, the frequency with which must be replenished water or empty sludge is less than the frequency of water filling or emptying of capsules of a typical Nespresso Inissia 4: the noise level is similar 5: the ability to configure different preparation parameters and coffee to use the one you like best (or a mixture), leads to a greater chance of obtaining the optimal end coffee each (I will not talk about quality ... :)) 6: the option of using ground coffee is fine (for decaffeinated coffee or more / less body than beans), but having to put each coffee is not so comfortable. It would be nice a container for ground. Usually, I do not think home more than two types of coffee ... 7 are used .: regarding the environment are talking about an appliance class that produces coffee grounds going to the organic container (or plants or unclogging :) sink), nothing had another garbage bag and take the capsules at the collection point each time X ... 8 .: ultimately use less expensive cafes, is much cheaper than the system in capsules (even considering the cost of water filter)</v>
      </c>
    </row>
    <row r="2271">
      <c r="A2271" s="1">
        <v>4.0</v>
      </c>
      <c r="B2271" s="1" t="s">
        <v>2258</v>
      </c>
      <c r="C2271" t="str">
        <f>IFERROR(__xludf.DUMMYFUNCTION("GOOGLETRANSLATE(B2271, ""es"", ""en"")"),"Value Meets described")</f>
        <v>Value Meets described</v>
      </c>
    </row>
    <row r="2272">
      <c r="A2272" s="1">
        <v>5.0</v>
      </c>
      <c r="B2272" s="1" t="s">
        <v>2259</v>
      </c>
      <c r="C2272" t="str">
        <f>IFERROR(__xludf.DUMMYFUNCTION("GOOGLETRANSLATE(B2272, ""es"", ""en"")"),"Very good. The garment harbors recommended, I put it under a running jacket to go jogging at night and I'm not cold. It fits perfectly and takes the sweat perfectly.")</f>
        <v>Very good. The garment harbors recommended, I put it under a running jacket to go jogging at night and I'm not cold. It fits perfectly and takes the sweat perfectly.</v>
      </c>
    </row>
    <row r="2273">
      <c r="A2273" s="1">
        <v>5.0</v>
      </c>
      <c r="B2273" s="1" t="s">
        <v>2260</v>
      </c>
      <c r="C2273" t="str">
        <f>IFERROR(__xludf.DUMMYFUNCTION("GOOGLETRANSLATE(B2273, ""es"", ""en"")"),"Amethyst stone type. Is very pretty.")</f>
        <v>Amethyst stone type. Is very pretty.</v>
      </c>
    </row>
    <row r="2274">
      <c r="A2274" s="1">
        <v>5.0</v>
      </c>
      <c r="B2274" s="1" t="s">
        <v>2261</v>
      </c>
      <c r="C2274" t="str">
        <f>IFERROR(__xludf.DUMMYFUNCTION("GOOGLETRANSLATE(B2274, ""es"", ""en"")"),"Excellent Practics")</f>
        <v>Excellent Practics</v>
      </c>
    </row>
    <row r="2275">
      <c r="A2275" s="1">
        <v>5.0</v>
      </c>
      <c r="B2275" s="1" t="s">
        <v>2262</v>
      </c>
      <c r="C2275" t="str">
        <f>IFERROR(__xludf.DUMMYFUNCTION("GOOGLETRANSLATE(B2275, ""es"", ""en"")"),"All right I arrived earlier than expected and I love !!!! I can not be happier 😊")</f>
        <v>All right I arrived earlier than expected and I love !!!! I can not be happier 😊</v>
      </c>
    </row>
    <row r="2276">
      <c r="A2276" s="1">
        <v>5.0</v>
      </c>
      <c r="B2276" s="1" t="s">
        <v>2263</v>
      </c>
      <c r="C2276" t="str">
        <f>IFERROR(__xludf.DUMMYFUNCTION("GOOGLETRANSLATE(B2276, ""es"", ""en"")"),"Hawaiian remaining we need to look European size my son spends 41/42 and 43/44 and are perfect ask.")</f>
        <v>Hawaiian remaining we need to look European size my son spends 41/42 and 43/44 and are perfect ask.</v>
      </c>
    </row>
    <row r="2277">
      <c r="A2277" s="1">
        <v>5.0</v>
      </c>
      <c r="B2277" s="1" t="s">
        <v>2264</v>
      </c>
      <c r="C2277" t="str">
        <f>IFERROR(__xludf.DUMMYFUNCTION("GOOGLETRANSLATE(B2277, ""es"", ""en"")"),"Good practice power powerful, easy to use, I like it.")</f>
        <v>Good practice power powerful, easy to use, I like it.</v>
      </c>
    </row>
    <row r="2278">
      <c r="A2278" s="1">
        <v>5.0</v>
      </c>
      <c r="B2278" s="1" t="s">
        <v>2265</v>
      </c>
      <c r="C2278" t="str">
        <f>IFERROR(__xludf.DUMMYFUNCTION("GOOGLETRANSLATE(B2278, ""es"", ""en"")"),"Great zapatila Excellent.")</f>
        <v>Great zapatila Excellent.</v>
      </c>
    </row>
    <row r="2279">
      <c r="A2279" s="1">
        <v>5.0</v>
      </c>
      <c r="B2279" s="1" t="s">
        <v>2266</v>
      </c>
      <c r="C2279" t="str">
        <f>IFERROR(__xludf.DUMMYFUNCTION("GOOGLETRANSLATE(B2279, ""es"", ""en"")"),"Such buying good as advertised, very useful.")</f>
        <v>Such buying good as advertised, very useful.</v>
      </c>
    </row>
    <row r="2280">
      <c r="A2280" s="1">
        <v>5.0</v>
      </c>
      <c r="B2280" s="1" t="s">
        <v>2267</v>
      </c>
      <c r="C2280" t="str">
        <f>IFERROR(__xludf.DUMMYFUNCTION("GOOGLETRANSLATE(B2280, ""es"", ""en"")"),"Good product better, so small it is.")</f>
        <v>Good product better, so small it is.</v>
      </c>
    </row>
    <row r="2281">
      <c r="A2281" s="1">
        <v>5.0</v>
      </c>
      <c r="B2281" s="1" t="s">
        <v>2268</v>
      </c>
      <c r="C2281" t="str">
        <f>IFERROR(__xludf.DUMMYFUNCTION("GOOGLETRANSLATE(B2281, ""es"", ""en"")"),"Quality very good quality, I sent a box of very good strength and very well maintained. The belt looks good, strong and beautiful")</f>
        <v>Quality very good quality, I sent a box of very good strength and very well maintained. The belt looks good, strong and beautiful</v>
      </c>
    </row>
    <row r="2282">
      <c r="A2282" s="1">
        <v>5.0</v>
      </c>
      <c r="B2282" s="1" t="s">
        <v>2269</v>
      </c>
      <c r="C2282" t="str">
        <f>IFERROR(__xludf.DUMMYFUNCTION("GOOGLETRANSLATE(B2282, ""es"", ""en"")"),"The poor packaging bag meets expectations (good product) but bad packaging along with another item I purchased (hat) scrunched overmuch articles. Disappointed with the packaging. Well, it seems to have taken shape and is well placed. It's a relief. It is "&amp;"fair comment, after the initial shock. A greeting.")</f>
        <v>The poor packaging bag meets expectations (good product) but bad packaging along with another item I purchased (hat) scrunched overmuch articles. Disappointed with the packaging. Well, it seems to have taken shape and is well placed. It's a relief. It is fair comment, after the initial shock. A greeting.</v>
      </c>
    </row>
    <row r="2283">
      <c r="A2283" s="1">
        <v>5.0</v>
      </c>
      <c r="B2283" s="1" t="s">
        <v>2270</v>
      </c>
      <c r="C2283" t="str">
        <f>IFERROR(__xludf.DUMMYFUNCTION("GOOGLETRANSLATE(B2283, ""es"", ""en"")"),"Cool! And I have 3 and use it with different Teats for cereals, for regular milk, etc. Nipples come with Level 1 for newborns, at 3 months must be replaced. They are great!!! And no cramps!")</f>
        <v>Cool! And I have 3 and use it with different Teats for cereals, for regular milk, etc. Nipples come with Level 1 for newborns, at 3 months must be replaced. They are great!!! And no cramps!</v>
      </c>
    </row>
    <row r="2284">
      <c r="A2284" s="1">
        <v>5.0</v>
      </c>
      <c r="B2284" s="1" t="s">
        <v>2271</v>
      </c>
      <c r="C2284" t="str">
        <f>IFERROR(__xludf.DUMMYFUNCTION("GOOGLETRANSLATE(B2284, ""es"", ""en"")"),"Headphones comfortable and very good sound quality headphones for a very good quality overall. Although what most caught my attention is the sound, it is frankly very good no matter what style of music you're listening. I also liked how comfortable they a"&amp;"re and how they fit into the ear, it is quite easy to use for hours without feeling any discomfort.")</f>
        <v>Headphones comfortable and very good sound quality headphones for a very good quality overall. Although what most caught my attention is the sound, it is frankly very good no matter what style of music you're listening. I also liked how comfortable they are and how they fit into the ear, it is quite easy to use for hours without feeling any discomfort.</v>
      </c>
    </row>
    <row r="2285">
      <c r="A2285" s="1">
        <v>5.0</v>
      </c>
      <c r="B2285" s="1" t="s">
        <v>2272</v>
      </c>
      <c r="C2285" t="str">
        <f>IFERROR(__xludf.DUMMYFUNCTION("GOOGLETRANSLATE(B2285, ""es"", ""en"")"),"Bought beautiful earrings as a gift for my wife, she likes a lot. He says they are pretty and silver as you put another allergy Good material purchasing")</f>
        <v>Bought beautiful earrings as a gift for my wife, she likes a lot. He says they are pretty and silver as you put another allergy Good material purchasing</v>
      </c>
    </row>
    <row r="2286">
      <c r="A2286" s="1">
        <v>5.0</v>
      </c>
      <c r="B2286" s="1" t="s">
        <v>2273</v>
      </c>
      <c r="C2286" t="str">
        <f>IFERROR(__xludf.DUMMYFUNCTION("GOOGLETRANSLATE(B2286, ""es"", ""en"")"),"Very good buy again .. To even the dirt Yantas of the car ..")</f>
        <v>Very good buy again .. To even the dirt Yantas of the car ..</v>
      </c>
    </row>
    <row r="2287">
      <c r="A2287" s="1">
        <v>5.0</v>
      </c>
      <c r="B2287" s="1" t="s">
        <v>2274</v>
      </c>
      <c r="C2287" t="str">
        <f>IFERROR(__xludf.DUMMYFUNCTION("GOOGLETRANSLATE(B2287, ""es"", ""en"")"),"They fit and are easy to use. These headphones work great! They hold in my ears and kept even running. Cancel external noise and allow me to concentrate on the podcasts you like to listen to me. They're well designed and easy to use.")</f>
        <v>They fit and are easy to use. These headphones work great! They hold in my ears and kept even running. Cancel external noise and allow me to concentrate on the podcasts you like to listen to me. They're well designed and easy to use.</v>
      </c>
    </row>
    <row r="2288">
      <c r="A2288" s="1">
        <v>5.0</v>
      </c>
      <c r="B2288" s="1" t="s">
        <v>2275</v>
      </c>
      <c r="C2288" t="str">
        <f>IFERROR(__xludf.DUMMYFUNCTION("GOOGLETRANSLATE(B2288, ""es"", ""en"")"),"Comodas Perfectas")</f>
        <v>Comodas Perfectas</v>
      </c>
    </row>
    <row r="2289">
      <c r="A2289" s="1">
        <v>5.0</v>
      </c>
      <c r="B2289" s="1" t="s">
        <v>2276</v>
      </c>
      <c r="C2289" t="str">
        <f>IFERROR(__xludf.DUMMYFUNCTION("GOOGLETRANSLATE(B2289, ""es"", ""en"")"),"Great quality / price I clean absolutely everything from pieces of feed the cat, even sugar, lint, breadcrumbs ... It's spectacular what gets this brand. Not have navigation system but it works perfectly, you isolate it in a clean room and from beginning "&amp;"to end. And the whole house tmabien, but takes longer. Theirs is to leave full and large homes for top models, in terms of time. To clean my house 100m2 or so has led a full load tight. But it has been great. Perhaps other models optimize over time.")</f>
        <v>Great quality / price I clean absolutely everything from pieces of feed the cat, even sugar, lint, breadcrumbs ... It's spectacular what gets this brand. Not have navigation system but it works perfectly, you isolate it in a clean room and from beginning to end. And the whole house tmabien, but takes longer. Theirs is to leave full and large homes for top models, in terms of time. To clean my house 100m2 or so has led a full load tight. But it has been great. Perhaps other models optimize over time.</v>
      </c>
    </row>
    <row r="2290">
      <c r="A2290" s="1">
        <v>5.0</v>
      </c>
      <c r="B2290" s="1" t="s">
        <v>2277</v>
      </c>
      <c r="C2290" t="str">
        <f>IFERROR(__xludf.DUMMYFUNCTION("GOOGLETRANSLATE(B2290, ""es"", ""en"")"),"Product quality are a bit expensive but worth paying a little more. They are very comfortable, stylish and sturdy, it shows that are made with quality materials. Soft rubber sole (grasps but does not sound the tread) without visible stitching. The present"&amp;"ation also liked, come in a very elegant tailored box and includes a cloth bag to carry the shoes. Definitely a good buy.")</f>
        <v>Product quality are a bit expensive but worth paying a little more. They are very comfortable, stylish and sturdy, it shows that are made with quality materials. Soft rubber sole (grasps but does not sound the tread) without visible stitching. The presentation also liked, come in a very elegant tailored box and includes a cloth bag to carry the shoes. Definitely a good buy.</v>
      </c>
    </row>
    <row r="2291">
      <c r="A2291" s="1">
        <v>2.0</v>
      </c>
      <c r="B2291" s="1" t="s">
        <v>2278</v>
      </c>
      <c r="C2291" t="str">
        <f>IFERROR(__xludf.DUMMYFUNCTION("GOOGLETRANSLATE(B2291, ""es"", ""en"")"),"Pi. I've only been able to use 1 time, already I spoiled me closure. The truth is that it is a shame because it's nice, but I no longer worth anything, I will draw the balls if I have it for another bracelet in order disappointed")</f>
        <v>Pi. I've only been able to use 1 time, already I spoiled me closure. The truth is that it is a shame because it's nice, but I no longer worth anything, I will draw the balls if I have it for another bracelet in order disappointed</v>
      </c>
    </row>
    <row r="2292">
      <c r="A2292" s="1">
        <v>3.0</v>
      </c>
      <c r="B2292" s="1" t="s">
        <v>2279</v>
      </c>
      <c r="C2292" t="str">
        <f>IFERROR(__xludf.DUMMYFUNCTION("GOOGLETRANSLATE(B2292, ""es"", ""en"")"),"practice but possible short-lived memory Valuation is no mayo but the memory works well, but overheats connect both the mobile and PC. I had to return the first USB for this reason and the second that sent me the same thing happens. I have not returned al"&amp;"so this and ire watching, but I'm afraid that if this way continues to heat up memory deteriorates.")</f>
        <v>practice but possible short-lived memory Valuation is no mayo but the memory works well, but overheats connect both the mobile and PC. I had to return the first USB for this reason and the second that sent me the same thing happens. I have not returned also this and ire watching, but I'm afraid that if this way continues to heat up memory deteriorates.</v>
      </c>
    </row>
    <row r="2293">
      <c r="A2293" s="1">
        <v>3.0</v>
      </c>
      <c r="B2293" s="1" t="s">
        <v>2280</v>
      </c>
      <c r="C2293" t="str">
        <f>IFERROR(__xludf.DUMMYFUNCTION("GOOGLETRANSLATE(B2293, ""es"", ""en"")"),"Sole The only bad thing you see is the sole is super thin out seems to have a fatter sole but inside the soles so thin is uncomfortable to walk after a few hours with them pinned")</f>
        <v>Sole The only bad thing you see is the sole is super thin out seems to have a fatter sole but inside the soles so thin is uncomfortable to walk after a few hours with them pinned</v>
      </c>
    </row>
    <row r="2294">
      <c r="A2294" s="1">
        <v>1.0</v>
      </c>
      <c r="B2294" s="1" t="s">
        <v>2281</v>
      </c>
      <c r="C2294" t="str">
        <f>IFERROR(__xludf.DUMMYFUNCTION("GOOGLETRANSLATE(B2294, ""es"", ""en"")"),"Low quality This looks fine in pictures toaster as a ""retro"" style toaster but for the price it is very poor quality overall. The slider bar for making the color of toast at the bottom is thin plastic and will break over a short Surely time. The crumb t"&amp;"ray is so shallow it will need to be emptied every day will hold as few crumbs. That it is so lightweight When adding bread and pressing the slider down the toaster tips up. The outside walls of the toaster get very hot. The fancy timer dial on the front "&amp;"means nothing,, Although the needle Moves to show an approximate time to toast the item to your selected number on the slider. But if you rely on This burns the toast badly. The slots are narrow and barely take over 10-12mm thick bread. Overall, This toas"&amp;"ter is not better than a non-brand, or cheap supermarket toaster I Could have bought for around 20 €. I paid additional shipping too, for two day delivery and it arrived 8 days later than that !! All in all the worst buy I have ever made on Amazon. This t"&amp;"oaster looks good in pictures like a toaster-style ""retro"", but the price is of very poor quality in general. The slider to make the color of toast at the bottom is thin plastic and surely will break soon. Crumb tray is so shallow that must be emptied e"&amp;"very day, because it will contain few crumbs. It is so light that add to the pan and press the slider, the toaster is tilted up. The outer walls of the toaster is very hot. The elegant dial timer on the front does not mean anything, even if the needle mov"&amp;"es to display an approximate time to deliver the item to the number selected in the slider. But if you trust this toast burns much. The slots are narrow and have little bread more than 10-12 mm thick. Overall, this toaster is no better than a toaster or c"&amp;"heap supermarket brand that could be bought for around 20 €. I also paid an additional shipping, delivery for two days and arrived 8 days later! Overall, the worst purchase I have made on Amazon.")</f>
        <v>Low quality This looks fine in pictures toaster as a "retro" style toaster but for the price it is very poor quality overall. The slider bar for making the color of toast at the bottom is thin plastic and will break over a short Surely time. The crumb tray is so shallow it will need to be emptied every day will hold as few crumbs. That it is so lightweight When adding bread and pressing the slider down the toaster tips up. The outside walls of the toaster get very hot. The fancy timer dial on the front means nothing,, Although the needle Moves to show an approximate time to toast the item to your selected number on the slider. But if you rely on This burns the toast badly. The slots are narrow and barely take over 10-12mm thick bread. Overall, This toaster is not better than a non-brand, or cheap supermarket toaster I Could have bought for around 20 €. I paid additional shipping too, for two day delivery and it arrived 8 days later than that !! All in all the worst buy I have ever made on Amazon. This toaster looks good in pictures like a toaster-style "retro", but the price is of very poor quality in general. The slider to make the color of toast at the bottom is thin plastic and surely will break soon. Crumb tray is so shallow that must be emptied every day, because it will contain few crumbs. It is so light that add to the pan and press the slider, the toaster is tilted up. The outer walls of the toaster is very hot. The elegant dial timer on the front does not mean anything, even if the needle moves to display an approximate time to deliver the item to the number selected in the slider. But if you trust this toast burns much. The slots are narrow and have little bread more than 10-12 mm thick. Overall, this toaster is no better than a toaster or cheap supermarket brand that could be bought for around 20 €. I also paid an additional shipping, delivery for two days and arrived 8 days later! Overall, the worst purchase I have made on Amazon.</v>
      </c>
    </row>
    <row r="2295">
      <c r="A2295" s="1">
        <v>1.0</v>
      </c>
      <c r="B2295" s="1" t="s">
        <v>2282</v>
      </c>
      <c r="C2295" t="str">
        <f>IFERROR(__xludf.DUMMYFUNCTION("GOOGLETRANSLATE(B2295, ""es"", ""en"")"),"In one month he stopped hearing 1 handset In just one month, stopped the handset heard right. The originals that came to me with the phone lasted me two years ....")</f>
        <v>In one month he stopped hearing 1 handset In just one month, stopped the handset heard right. The originals that came to me with the phone lasted me two years ....</v>
      </c>
    </row>
    <row r="2296">
      <c r="A2296" s="1">
        <v>4.0</v>
      </c>
      <c r="B2296" s="1" t="s">
        <v>2283</v>
      </c>
      <c r="C2296" t="str">
        <f>IFERROR(__xludf.DUMMYFUNCTION("GOOGLETRANSLATE(B2296, ""es"", ""en"")"),"Good quality and excellent service quality and excellent service, is a little longer than I expected, but nothing that a good sastra no solutions.")</f>
        <v>Good quality and excellent service quality and excellent service, is a little longer than I expected, but nothing that a good sastra no solutions.</v>
      </c>
    </row>
    <row r="2297">
      <c r="A2297" s="1">
        <v>4.0</v>
      </c>
      <c r="B2297" s="1" t="s">
        <v>2284</v>
      </c>
      <c r="C2297" t="str">
        <f>IFERROR(__xludf.DUMMYFUNCTION("GOOGLETRANSLATE(B2297, ""es"", ""en"")"),"Well I bought it for my girlfriend and likes")</f>
        <v>Well I bought it for my girlfriend and likes</v>
      </c>
    </row>
    <row r="2298">
      <c r="A2298" s="1">
        <v>4.0</v>
      </c>
      <c r="B2298" s="1" t="s">
        <v>2285</v>
      </c>
      <c r="C2298" t="str">
        <f>IFERROR(__xludf.DUMMYFUNCTION("GOOGLETRANSLATE(B2298, ""es"", ""en"")"),"Sony MDR-ZX110 headphones closed a gift targets for breaking a nephew, Authentic Sony knockdown price, decent sound.")</f>
        <v>Sony MDR-ZX110 headphones closed a gift targets for breaking a nephew, Authentic Sony knockdown price, decent sound.</v>
      </c>
    </row>
    <row r="2299">
      <c r="A2299" s="1">
        <v>4.0</v>
      </c>
      <c r="B2299" s="1" t="s">
        <v>2286</v>
      </c>
      <c r="C2299" t="str">
        <f>IFERROR(__xludf.DUMMYFUNCTION("GOOGLETRANSLATE(B2299, ""es"", ""en"")"),"Very good feeling like I expected for the price sweatshirt thin and poor, but very good quality")</f>
        <v>Very good feeling like I expected for the price sweatshirt thin and poor, but very good quality</v>
      </c>
    </row>
    <row r="2300">
      <c r="A2300" s="1">
        <v>4.0</v>
      </c>
      <c r="B2300" s="1" t="s">
        <v>2287</v>
      </c>
      <c r="C2300" t="str">
        <f>IFERROR(__xludf.DUMMYFUNCTION("GOOGLETRANSLATE(B2300, ""es"", ""en"")"),"Very good is very strong and comes with threaded adapters that are useful, good service but I miss having a carry bag for storage")</f>
        <v>Very good is very strong and comes with threaded adapters that are useful, good service but I miss having a carry bag for storage</v>
      </c>
    </row>
    <row r="2301">
      <c r="A2301" s="1">
        <v>5.0</v>
      </c>
      <c r="B2301" s="1" t="s">
        <v>2288</v>
      </c>
      <c r="C2301" t="str">
        <f>IFERROR(__xludf.DUMMYFUNCTION("GOOGLETRANSLATE(B2301, ""es"", ""en"")"),"Very good product fast. Fast operation and also is glass.")</f>
        <v>Very good product fast. Fast operation and also is glass.</v>
      </c>
    </row>
    <row r="2302">
      <c r="A2302" s="1">
        <v>5.0</v>
      </c>
      <c r="B2302" s="1" t="s">
        <v>2289</v>
      </c>
      <c r="C2302" t="str">
        <f>IFERROR(__xludf.DUMMYFUNCTION("GOOGLETRANSLATE(B2302, ""es"", ""en"")"),"Gift and success was a gift to the couple and success are tiny but elegant as they hide well. She was delighted")</f>
        <v>Gift and success was a gift to the couple and success are tiny but elegant as they hide well. She was delighted</v>
      </c>
    </row>
    <row r="2303">
      <c r="A2303" s="1">
        <v>5.0</v>
      </c>
      <c r="B2303" s="1" t="s">
        <v>2290</v>
      </c>
      <c r="C2303" t="str">
        <f>IFERROR(__xludf.DUMMYFUNCTION("GOOGLETRANSLATE(B2303, ""es"", ""en"")"),"All perfect Very happy with this wonderful pendant, a perfect gift and 10 detail the note and bag on shipping")</f>
        <v>All perfect Very happy with this wonderful pendant, a perfect gift and 10 detail the note and bag on shipping</v>
      </c>
    </row>
    <row r="2304">
      <c r="A2304" s="1">
        <v>5.0</v>
      </c>
      <c r="B2304" s="1" t="s">
        <v>2291</v>
      </c>
      <c r="C2304" t="str">
        <f>IFERROR(__xludf.DUMMYFUNCTION("GOOGLETRANSLATE(B2304, ""es"", ""en"")"),"It has many compartments and enough capacity I liked the material very nice touch.")</f>
        <v>It has many compartments and enough capacity I liked the material very nice touch.</v>
      </c>
    </row>
    <row r="2305">
      <c r="A2305" s="1">
        <v>5.0</v>
      </c>
      <c r="B2305" s="1" t="s">
        <v>2292</v>
      </c>
      <c r="C2305" t="str">
        <f>IFERROR(__xludf.DUMMYFUNCTION("GOOGLETRANSLATE(B2305, ""es"", ""en"")"),"Very highly recommended. A perfect knife. I loved her for walking tours and Acerte, is perfect. Size and blade edge. Definitely I recommend it.")</f>
        <v>Very highly recommended. A perfect knife. I loved her for walking tours and Acerte, is perfect. Size and blade edge. Definitely I recommend it.</v>
      </c>
    </row>
    <row r="2306">
      <c r="A2306" s="1">
        <v>5.0</v>
      </c>
      <c r="B2306" s="1" t="s">
        <v>2293</v>
      </c>
      <c r="C2306" t="str">
        <f>IFERROR(__xludf.DUMMYFUNCTION("GOOGLETRANSLATE(B2306, ""es"", ""en"")"),"One of the best options are really hear very well, at this price it is a bargain!")</f>
        <v>One of the best options are really hear very well, at this price it is a bargain!</v>
      </c>
    </row>
    <row r="2307">
      <c r="A2307" s="1">
        <v>5.0</v>
      </c>
      <c r="B2307" s="1" t="s">
        <v>2294</v>
      </c>
      <c r="C2307" t="str">
        <f>IFERROR(__xludf.DUMMYFUNCTION("GOOGLETRANSLATE(B2307, ""es"", ""en"")"),"Good quality and nice quality")</f>
        <v>Good quality and nice quality</v>
      </c>
    </row>
    <row r="2308">
      <c r="A2308" s="1">
        <v>5.0</v>
      </c>
      <c r="B2308" s="1" t="s">
        <v>2295</v>
      </c>
      <c r="C2308" t="str">
        <f>IFERROR(__xludf.DUMMYFUNCTION("GOOGLETRANSLATE(B2308, ""es"", ""en"")"),"The great use in construction and for now endures scratches thoroughly recommend it.")</f>
        <v>The great use in construction and for now endures scratches thoroughly recommend it.</v>
      </c>
    </row>
    <row r="2309">
      <c r="A2309" s="1">
        <v>5.0</v>
      </c>
      <c r="B2309" s="1" t="s">
        <v>2296</v>
      </c>
      <c r="C2309" t="str">
        <f>IFERROR(__xludf.DUMMYFUNCTION("GOOGLETRANSLATE(B2309, ""es"", ""en"")"),"Quality high quality")</f>
        <v>Quality high quality</v>
      </c>
    </row>
    <row r="2310">
      <c r="A2310" s="1">
        <v>5.0</v>
      </c>
      <c r="B2310" s="1" t="s">
        <v>2297</v>
      </c>
      <c r="C2310" t="str">
        <f>IFERROR(__xludf.DUMMYFUNCTION("GOOGLETRANSLATE(B2310, ""es"", ""en"")"),"received today 20 March 2019 everything right according to the statement")</f>
        <v>received today 20 March 2019 everything right according to the statement</v>
      </c>
    </row>
    <row r="2311">
      <c r="A2311" s="1">
        <v>5.0</v>
      </c>
      <c r="B2311" s="1" t="s">
        <v>2298</v>
      </c>
      <c r="C2311" t="str">
        <f>IFERROR(__xludf.DUMMYFUNCTION("GOOGLETRANSLATE(B2311, ""es"", ""en"")"),"The great truth before we had q q have bought, totally recommended wonderful. A spectacular volume easy to carry. We use it in a classroom")</f>
        <v>The great truth before we had q q have bought, totally recommended wonderful. A spectacular volume easy to carry. We use it in a classroom</v>
      </c>
    </row>
    <row r="2312">
      <c r="A2312" s="1">
        <v>5.0</v>
      </c>
      <c r="B2312" s="1" t="s">
        <v>2299</v>
      </c>
      <c r="C2312" t="str">
        <f>IFERROR(__xludf.DUMMYFUNCTION("GOOGLETRANSLATE(B2312, ""es"", ""en"")"),"Excellent so good. right and screw system to place it fits perfectly with the blue snowball size. Highly recommended")</f>
        <v>Excellent so good. right and screw system to place it fits perfectly with the blue snowball size. Highly recommended</v>
      </c>
    </row>
    <row r="2313">
      <c r="A2313" s="1">
        <v>5.0</v>
      </c>
      <c r="B2313" s="1" t="s">
        <v>2300</v>
      </c>
      <c r="C2313" t="str">
        <f>IFERROR(__xludf.DUMMYFUNCTION("GOOGLETRANSLATE(B2313, ""es"", ""en"")"),"Very good replica at an incredible price. Perfect! Very nice and detailed, it is the third bought all gift, loved both my nieces and my friend Harry Potter fan.")</f>
        <v>Very good replica at an incredible price. Perfect! Very nice and detailed, it is the third bought all gift, loved both my nieces and my friend Harry Potter fan.</v>
      </c>
    </row>
    <row r="2314">
      <c r="A2314" s="1">
        <v>5.0</v>
      </c>
      <c r="B2314" s="1" t="s">
        <v>2301</v>
      </c>
      <c r="C2314" t="str">
        <f>IFERROR(__xludf.DUMMYFUNCTION("GOOGLETRANSLATE(B2314, ""es"", ""en"")"),"Brilliant sneakers are a very cool and calentitas slippers. There are very good. Must be warned that have very thin soles and is like walking barefoot. So if you do not like the feeling of going barefoot look for another model.")</f>
        <v>Brilliant sneakers are a very cool and calentitas slippers. There are very good. Must be warned that have very thin soles and is like walking barefoot. So if you do not like the feeling of going barefoot look for another model.</v>
      </c>
    </row>
    <row r="2315">
      <c r="A2315" s="1">
        <v>5.0</v>
      </c>
      <c r="B2315" s="1" t="s">
        <v>2302</v>
      </c>
      <c r="C2315" t="str">
        <f>IFERROR(__xludf.DUMMYFUNCTION("GOOGLETRANSLATE(B2315, ""es"", ""en"")"),"Is the watch I had when I was young. And still as reliable and beautiful. It is a classic. I had it at 18 and I love to have it back now, I do not see as well as before and I also weighs nothing on the wrist. I searched in the web and offered at a signifi"&amp;"cantly higher price.")</f>
        <v>Is the watch I had when I was young. And still as reliable and beautiful. It is a classic. I had it at 18 and I love to have it back now, I do not see as well as before and I also weighs nothing on the wrist. I searched in the web and offered at a significantly higher price.</v>
      </c>
    </row>
    <row r="2316">
      <c r="A2316" s="1">
        <v>5.0</v>
      </c>
      <c r="B2316" s="1" t="s">
        <v>2303</v>
      </c>
      <c r="C2316" t="str">
        <f>IFERROR(__xludf.DUMMYFUNCTION("GOOGLETRANSLATE(B2316, ""es"", ""en"")"),"Excellent product &lt;div id = ""video-block-R1NQY6GIQNG9A5"" class = ""a-section a-spacing-small a-spacing-top mini video-block""&gt; &lt;/ div&gt; &lt;input type = ""hidden"" name = "" ""value ="" https://images-eu.ssl-images-amazon.com/images/I/91U0NIVnjBS.mp4 ""clas"&amp;"s ="" video-url ""&gt; &lt;input type ="" hidden ""name ="" ""value ="" https://images-eu.ssl-images-amazon.com/images/I/71An65c45yS.png ""class ="" video-slate-img-url ""&gt; &amp; nbsp; I bought it because I wanted to heat water very quickly, and no doubt it does th"&amp;"e job, it takes only 10 seconds to boil.")</f>
        <v>Excellent product &lt;div id = "video-block-R1NQY6GIQNG9A5" class = "a-section a-spacing-small a-spacing-top mini video-block"&gt; &lt;/ div&gt; &lt;input type = "hidden" name = " "value =" https://images-eu.ssl-images-amazon.com/images/I/91U0NIVnjBS.mp4 "class =" video-url "&gt; &lt;input type =" hidden "name =" "value =" https://images-eu.ssl-images-amazon.com/images/I/71An65c45yS.png "class =" video-slate-img-url "&gt; &amp; nbsp; I bought it because I wanted to heat water very quickly, and no doubt it does the job, it takes only 10 seconds to boil.</v>
      </c>
    </row>
    <row r="2317">
      <c r="A2317" s="1">
        <v>5.0</v>
      </c>
      <c r="B2317" s="1" t="s">
        <v>2304</v>
      </c>
      <c r="C2317" t="str">
        <f>IFERROR(__xludf.DUMMYFUNCTION("GOOGLETRANSLATE(B2317, ""es"", ""en"")"),"Good buy crocs Cool completely original and perfect size, I buy them to try and can not be happier, I'm sure I will buy more.")</f>
        <v>Good buy crocs Cool completely original and perfect size, I buy them to try and can not be happier, I'm sure I will buy more.</v>
      </c>
    </row>
    <row r="2318">
      <c r="A2318" s="1">
        <v>5.0</v>
      </c>
      <c r="B2318" s="1" t="s">
        <v>2305</v>
      </c>
      <c r="C2318" t="str">
        <f>IFERROR(__xludf.DUMMYFUNCTION("GOOGLETRANSLATE(B2318, ""es"", ""en"")"),"Spa feeling I love the feeling it conveys, it's like being in a spa. Just makes noise, it is very quiet, you can be adjusted both light level steam. Also has a programmer to turn off at certain times. Smells wonderful throughout the room and the type of o"&amp;"il to put brings feeling of relaxation, sleep, energy, etc.")</f>
        <v>Spa feeling I love the feeling it conveys, it's like being in a spa. Just makes noise, it is very quiet, you can be adjusted both light level steam. Also has a programmer to turn off at certain times. Smells wonderful throughout the room and the type of oil to put brings feeling of relaxation, sleep, energy, etc.</v>
      </c>
    </row>
    <row r="2319">
      <c r="A2319" s="1">
        <v>5.0</v>
      </c>
      <c r="B2319" s="1" t="s">
        <v>2306</v>
      </c>
      <c r="C2319" t="str">
        <f>IFERROR(__xludf.DUMMYFUNCTION("GOOGLETRANSLATE(B2319, ""es"", ""en"")"),"Resistant material such that as shown in the photo, I thought it was in bag when you actually plan is a portfolio of Lona, excellent quality. Definitely recommend it")</f>
        <v>Resistant material such that as shown in the photo, I thought it was in bag when you actually plan is a portfolio of Lona, excellent quality. Definitely recommend it</v>
      </c>
    </row>
    <row r="2320">
      <c r="A2320" s="1">
        <v>2.0</v>
      </c>
      <c r="B2320" s="1" t="s">
        <v>2307</v>
      </c>
      <c r="C2320" t="str">
        <f>IFERROR(__xludf.DUMMYFUNCTION("GOOGLETRANSLATE(B2320, ""es"", ""en"")"),"slopes are too small, almost invisible. They are neither a quarter of the outstanding photo. They are super small")</f>
        <v>slopes are too small, almost invisible. They are neither a quarter of the outstanding photo. They are super small</v>
      </c>
    </row>
    <row r="2321">
      <c r="A2321" s="1">
        <v>3.0</v>
      </c>
      <c r="B2321" s="1" t="s">
        <v>2308</v>
      </c>
      <c r="C2321" t="str">
        <f>IFERROR(__xludf.DUMMYFUNCTION("GOOGLETRANSLATE(B2321, ""es"", ""en"")"),"Very good but small pack comes with tetina When my son was born regalaton a pack with bottles of this brand. At the beginning I did not convince much but the end are those who have gone better, have interspersed breast and bottle and the baby has taken we"&amp;"ll without rejecting the chest. Eye EasyVent have to put the valve up. I bought this pack for a second residence. I do not put more stars that force you to buy Bibes with nipple 1 cuandomi son and needs of 2-3, they should have paks with large nipples.")</f>
        <v>Very good but small pack comes with tetina When my son was born regalaton a pack with bottles of this brand. At the beginning I did not convince much but the end are those who have gone better, have interspersed breast and bottle and the baby has taken well without rejecting the chest. Eye EasyVent have to put the valve up. I bought this pack for a second residence. I do not put more stars that force you to buy Bibes with nipple 1 cuandomi son and needs of 2-3, they should have paks with large nipples.</v>
      </c>
    </row>
    <row r="2322">
      <c r="A2322" s="1">
        <v>1.0</v>
      </c>
      <c r="B2322" s="1" t="s">
        <v>2309</v>
      </c>
      <c r="C2322" t="str">
        <f>IFERROR(__xludf.DUMMYFUNCTION("GOOGLETRANSLATE(B2322, ""es"", ""en"")"),"Ok Refunded")</f>
        <v>Ok Refunded</v>
      </c>
    </row>
    <row r="2323">
      <c r="A2323" s="1">
        <v>1.0</v>
      </c>
      <c r="B2323" s="1" t="s">
        <v>2310</v>
      </c>
      <c r="C2323" t="str">
        <f>IFERROR(__xludf.DUMMYFUNCTION("GOOGLETRANSLATE(B2323, ""es"", ""en"")"),"So bad I had to play a bad boot, because he made me a hole in the sole of one boot to the short time of use.")</f>
        <v>So bad I had to play a bad boot, because he made me a hole in the sole of one boot to the short time of use.</v>
      </c>
    </row>
    <row r="2324">
      <c r="A2324" s="1">
        <v>1.0</v>
      </c>
      <c r="B2324" s="1" t="s">
        <v>2311</v>
      </c>
      <c r="C2324" t="str">
        <f>IFERROR(__xludf.DUMMYFUNCTION("GOOGLETRANSLATE(B2324, ""es"", ""en"")"),"I do not know what they mean by 3 meters from a not flexible, poor meter, semi-rigid. and danger of inadvertently take you behind the amplifier. very bad buy")</f>
        <v>I do not know what they mean by 3 meters from a not flexible, poor meter, semi-rigid. and danger of inadvertently take you behind the amplifier. very bad buy</v>
      </c>
    </row>
    <row r="2325">
      <c r="A2325" s="1">
        <v>4.0</v>
      </c>
      <c r="B2325" s="1" t="s">
        <v>2312</v>
      </c>
      <c r="C2325" t="str">
        <f>IFERROR(__xludf.DUMMYFUNCTION("GOOGLETRANSLATE(B2325, ""es"", ""en"")"),"Simple enough but I said, they are simple, basic, but more is needed. Music, radio, ..., and answer calls if quierre ...")</f>
        <v>Simple enough but I said, they are simple, basic, but more is needed. Music, radio, ..., and answer calls if quierre ...</v>
      </c>
    </row>
    <row r="2326">
      <c r="A2326" s="1">
        <v>4.0</v>
      </c>
      <c r="B2326" s="1" t="s">
        <v>2313</v>
      </c>
      <c r="C2326" t="str">
        <f>IFERROR(__xludf.DUMMYFUNCTION("GOOGLETRANSLATE(B2326, ""es"", ""en"")"),"Practical and simple. For the price that has little else may be required. It includes a license of Ableton Live Lite, which allows up to 8 tracks and comes with enough content libraries, about 600 MB. In a MacBook Pro and Logic Pro X Yosemite it is connec"&amp;"t and operate, without further complications. The feel of the keys may seem somewhat flimsy, but in my opinion, over-compensates with the use you will give. Slightly smaller keys. It includes volume control MIDI channel. It has a size enough content, allo"&amp;"wing him into any carrying bag and weighs little. In summary, I would recommend purchasing for basic and beginner use.")</f>
        <v>Practical and simple. For the price that has little else may be required. It includes a license of Ableton Live Lite, which allows up to 8 tracks and comes with enough content libraries, about 600 MB. In a MacBook Pro and Logic Pro X Yosemite it is connect and operate, without further complications. The feel of the keys may seem somewhat flimsy, but in my opinion, over-compensates with the use you will give. Slightly smaller keys. It includes volume control MIDI channel. It has a size enough content, allowing him into any carrying bag and weighs little. In summary, I would recommend purchasing for basic and beginner use.</v>
      </c>
    </row>
    <row r="2327">
      <c r="A2327" s="1">
        <v>4.0</v>
      </c>
      <c r="B2327" s="1" t="s">
        <v>2314</v>
      </c>
      <c r="C2327" t="str">
        <f>IFERROR(__xludf.DUMMYFUNCTION("GOOGLETRANSLATE(B2327, ""es"", ""en"")"),"Well, although the knob could be more robust I liked and makes its function")</f>
        <v>Well, although the knob could be more robust I liked and makes its function</v>
      </c>
    </row>
    <row r="2328">
      <c r="A2328" s="1">
        <v>4.0</v>
      </c>
      <c r="B2328" s="1" t="s">
        <v>2315</v>
      </c>
      <c r="C2328" t="str">
        <f>IFERROR(__xludf.DUMMYFUNCTION("GOOGLETRANSLATE(B2328, ""es"", ""en"")"),"Size 40.5, I think it's for runners with more size and weighing 80 kilos or more running shoes Model Color Black Black Spark 003 Lemon brand ASICS Gel Nimbus 21 in size 40.5 shoe weight 284 grams Left. Weight 287 grams right shoe. Height (approx) of the h"&amp;"eel about 11 cm. Measure taken personally template is 26.5 cm (maximum). _Conclusiones: I have a younger 80 Kilos weight and size I acquired a 40.5. A the same as comments from some buyers, the shoes do not ""lay"" correctly on a flat surface, the two had"&amp;" a ""liguero rolling"" this was not overdone and once used for several days did not notice discomfort tread this reason. What I noticed is that I find somewhat hard on asphalt or surfaces areas / hard ground, damping did not notice as other shoes (I will "&amp;"not do publi other brands). I consider the Nimbus 21 are a good zapas, but are more oriented runners with a higher weight to 80 kilos (preferably more) and a size 40.5 also higher than that is the I use. _Conclusión Final: Anyway, I have a taste ""bitters"&amp;"weet"" because I expected more from them, I think a little foot like mine combined with the ""little"" weight makes them not so good ""muffling"" than others. Saludos By Flype")</f>
        <v>Size 40.5, I think it's for runners with more size and weighing 80 kilos or more running shoes Model Color Black Black Spark 003 Lemon brand ASICS Gel Nimbus 21 in size 40.5 shoe weight 284 grams Left. Weight 287 grams right shoe. Height (approx) of the heel about 11 cm. Measure taken personally template is 26.5 cm (maximum). _Conclusiones: I have a younger 80 Kilos weight and size I acquired a 40.5. A the same as comments from some buyers, the shoes do not "lay" correctly on a flat surface, the two had a "liguero rolling" this was not overdone and once used for several days did not notice discomfort tread this reason. What I noticed is that I find somewhat hard on asphalt or surfaces areas / hard ground, damping did not notice as other shoes (I will not do publi other brands). I consider the Nimbus 21 are a good zapas, but are more oriented runners with a higher weight to 80 kilos (preferably more) and a size 40.5 also higher than that is the I use. _Conclusión Final: Anyway, I have a taste "bittersweet" because I expected more from them, I think a little foot like mine combined with the "little" weight makes them not so good "muffling" than others. Saludos By Flype</v>
      </c>
    </row>
    <row r="2329">
      <c r="A2329" s="1">
        <v>4.0</v>
      </c>
      <c r="B2329" s="1" t="s">
        <v>2316</v>
      </c>
      <c r="C2329" t="str">
        <f>IFERROR(__xludf.DUMMYFUNCTION("GOOGLETRANSLATE(B2329, ""es"", ""en"")"),"The fourth time I bought them. PERFECT TO DELIVER photoshoots. This was the fourth time I have purchased these pen drives to deliver my photographic work. In just a couple of times I had to format them to make them work better. They may be somewhat slow t"&amp;"o burning them, but they work perfectly, along with the beautiful design they have.")</f>
        <v>The fourth time I bought them. PERFECT TO DELIVER photoshoots. This was the fourth time I have purchased these pen drives to deliver my photographic work. In just a couple of times I had to format them to make them work better. They may be somewhat slow to burning them, but they work perfectly, along with the beautiful design they have.</v>
      </c>
    </row>
    <row r="2330">
      <c r="A2330" s="1">
        <v>5.0</v>
      </c>
      <c r="B2330" s="1" t="s">
        <v>2317</v>
      </c>
      <c r="C2330" t="str">
        <f>IFERROR(__xludf.DUMMYFUNCTION("GOOGLETRANSLATE(B2330, ""es"", ""en"")"),"I have great bus 2 hours every day at work and I found it perfect for shove series and see a couple of chapters on the route, they are transferred very quickly the files being 3.0 recomndable")</f>
        <v>I have great bus 2 hours every day at work and I found it perfect for shove series and see a couple of chapters on the route, they are transferred very quickly the files being 3.0 recomndable</v>
      </c>
    </row>
    <row r="2331">
      <c r="A2331" s="1">
        <v>5.0</v>
      </c>
      <c r="B2331" s="1" t="s">
        <v>2318</v>
      </c>
      <c r="C2331" t="str">
        <f>IFERROR(__xludf.DUMMYFUNCTION("GOOGLETRANSLATE(B2331, ""es"", ""en"")"),"Good quality / Sizing perfect fabric is of good quality, cutting-shirt is regular so it does not fit. Ideal if you do not like tight clothing. For a 173cm tall and weighing 77kg purchase of the M and me is perfect.")</f>
        <v>Good quality / Sizing perfect fabric is of good quality, cutting-shirt is regular so it does not fit. Ideal if you do not like tight clothing. For a 173cm tall and weighing 77kg purchase of the M and me is perfect.</v>
      </c>
    </row>
    <row r="2332">
      <c r="A2332" s="1">
        <v>5.0</v>
      </c>
      <c r="B2332" s="1" t="s">
        <v>2319</v>
      </c>
      <c r="C2332" t="str">
        <f>IFERROR(__xludf.DUMMYFUNCTION("GOOGLETRANSLATE(B2332, ""es"", ""en"")"),"Collect chest well I liked A lot are very satisfied and very subject to the same time comfy because I already bought many who did not like me much.")</f>
        <v>Collect chest well I liked A lot are very satisfied and very subject to the same time comfy because I already bought many who did not like me much.</v>
      </c>
    </row>
    <row r="2333">
      <c r="A2333" s="1">
        <v>5.0</v>
      </c>
      <c r="B2333" s="1" t="s">
        <v>2320</v>
      </c>
      <c r="C2333" t="str">
        <f>IFERROR(__xludf.DUMMYFUNCTION("GOOGLETRANSLATE(B2333, ""es"", ""en"")"),"Great shoe great shoe for all terrain SUV minimalist runners. The sole perfectly absorbs stones or roots. It is perfect for tracks and asphalt. In the technical area I have not tried. They eye height, are half or one number larger than usual Merrell.")</f>
        <v>Great shoe great shoe for all terrain SUV minimalist runners. The sole perfectly absorbs stones or roots. It is perfect for tracks and asphalt. In the technical area I have not tried. They eye height, are half or one number larger than usual Merrell.</v>
      </c>
    </row>
    <row r="2334">
      <c r="A2334" s="1">
        <v>5.0</v>
      </c>
      <c r="B2334" s="1" t="s">
        <v>2321</v>
      </c>
      <c r="C2334" t="str">
        <f>IFERROR(__xludf.DUMMYFUNCTION("GOOGLETRANSLATE(B2334, ""es"", ""en"")"),"Such speed and quality as requested, well")</f>
        <v>Such speed and quality as requested, well</v>
      </c>
    </row>
    <row r="2335">
      <c r="A2335" s="1">
        <v>5.0</v>
      </c>
      <c r="B2335" s="1" t="s">
        <v>2322</v>
      </c>
      <c r="C2335" t="str">
        <f>IFERROR(__xludf.DUMMYFUNCTION("GOOGLETRANSLATE(B2335, ""es"", ""en"")"),"Well I liked. Use for all, walking, running, training. Very comfortable")</f>
        <v>Well I liked. Use for all, walking, running, training. Very comfortable</v>
      </c>
    </row>
    <row r="2336">
      <c r="A2336" s="1">
        <v>5.0</v>
      </c>
      <c r="B2336" s="1" t="s">
        <v>2323</v>
      </c>
      <c r="C2336" t="str">
        <f>IFERROR(__xludf.DUMMYFUNCTION("GOOGLETRANSLATE(B2336, ""es"", ""en"")"),"Great buy Great buy")</f>
        <v>Great buy Great buy</v>
      </c>
    </row>
    <row r="2337">
      <c r="A2337" s="1">
        <v>5.0</v>
      </c>
      <c r="B2337" s="1" t="s">
        <v>2324</v>
      </c>
      <c r="C2337" t="str">
        <f>IFERROR(__xludf.DUMMYFUNCTION("GOOGLETRANSLATE(B2337, ""es"", ""en"")"),"Really recommended meet expectations. Very good sound and quality of the material as well.")</f>
        <v>Really recommended meet expectations. Very good sound and quality of the material as well.</v>
      </c>
    </row>
    <row r="2338">
      <c r="A2338" s="1">
        <v>5.0</v>
      </c>
      <c r="B2338" s="1" t="s">
        <v>2325</v>
      </c>
      <c r="C2338" t="str">
        <f>IFERROR(__xludf.DUMMYFUNCTION("GOOGLETRANSLATE(B2338, ""es"", ""en"")"),"Very nice, average size, good material remain very cool")</f>
        <v>Very nice, average size, good material remain very cool</v>
      </c>
    </row>
    <row r="2339">
      <c r="A2339" s="1">
        <v>5.0</v>
      </c>
      <c r="B2339" s="1" t="s">
        <v>2326</v>
      </c>
      <c r="C2339" t="str">
        <f>IFERROR(__xludf.DUMMYFUNCTION("GOOGLETRANSLATE(B2339, ""es"", ""en"")"),"Excellent My husband loved it, nice watch, thanks")</f>
        <v>Excellent My husband loved it, nice watch, thanks</v>
      </c>
    </row>
    <row r="2340">
      <c r="A2340" s="1">
        <v>5.0</v>
      </c>
      <c r="B2340" s="1" t="s">
        <v>2327</v>
      </c>
      <c r="C2340" t="str">
        <f>IFERROR(__xludf.DUMMYFUNCTION("GOOGLETRANSLATE(B2340, ""es"", ""en"")"),"Well ok Everything OK q cheaper in Carrefour or day")</f>
        <v>Well ok Everything OK q cheaper in Carrefour or day</v>
      </c>
    </row>
    <row r="2341">
      <c r="A2341" s="1">
        <v>5.0</v>
      </c>
      <c r="B2341" s="1" t="s">
        <v>2328</v>
      </c>
      <c r="C2341" t="str">
        <f>IFERROR(__xludf.DUMMYFUNCTION("GOOGLETRANSLATE(B2341, ""es"", ""en"")"),"Sunday Good buy, Verbatim is a brand known and very good, good memory capacity, one hundred percent satisfied, thank you, I advise you to buy it")</f>
        <v>Sunday Good buy, Verbatim is a brand known and very good, good memory capacity, one hundred percent satisfied, thank you, I advise you to buy it</v>
      </c>
    </row>
    <row r="2342">
      <c r="A2342" s="1">
        <v>5.0</v>
      </c>
      <c r="B2342" s="1" t="s">
        <v>2329</v>
      </c>
      <c r="C2342" t="str">
        <f>IFERROR(__xludf.DUMMYFUNCTION("GOOGLETRANSLATE(B2342, ""es"", ""en"")"),"Turbans for every day pretty colors, nice material, do not slip out of your hair. Moment very well all")</f>
        <v>Turbans for every day pretty colors, nice material, do not slip out of your hair. Moment very well all</v>
      </c>
    </row>
    <row r="2343">
      <c r="A2343" s="1">
        <v>5.0</v>
      </c>
      <c r="B2343" s="1" t="s">
        <v>2330</v>
      </c>
      <c r="C2343" t="str">
        <f>IFERROR(__xludf.DUMMYFUNCTION("GOOGLETRANSLATE(B2343, ""es"", ""en"")"),"Product already known and no surprise modeerniza. Was acquired because over the years the previous needed relief in the beater and foot ... and practically is almost as expensive as the complete replacement apparatus adding pureed foot.")</f>
        <v>Product already known and no surprise modeerniza. Was acquired because over the years the previous needed relief in the beater and foot ... and practically is almost as expensive as the complete replacement apparatus adding pureed foot.</v>
      </c>
    </row>
    <row r="2344">
      <c r="A2344" s="1">
        <v>5.0</v>
      </c>
      <c r="B2344" s="1" t="s">
        <v>2331</v>
      </c>
      <c r="C2344" t="str">
        <f>IFERROR(__xludf.DUMMYFUNCTION("GOOGLETRANSLATE(B2344, ""es"", ""en"")"),"Quality and shipping 5 stars Fabulous !! Fast shipping. Great quality of materials. Regarding the size q creates many doubts, comes more coins left over q 2 €. I asked another 10 !!")</f>
        <v>Quality and shipping 5 stars Fabulous !! Fast shipping. Great quality of materials. Regarding the size q creates many doubts, comes more coins left over q 2 €. I asked another 10 !!</v>
      </c>
    </row>
    <row r="2345">
      <c r="A2345" s="1">
        <v>5.0</v>
      </c>
      <c r="B2345" s="1" t="s">
        <v>2332</v>
      </c>
      <c r="C2345" t="str">
        <f>IFERROR(__xludf.DUMMYFUNCTION("GOOGLETRANSLATE(B2345, ""es"", ""en"")"),"Cool I was surprised how comfortable they are.")</f>
        <v>Cool I was surprised how comfortable they are.</v>
      </c>
    </row>
    <row r="2346">
      <c r="A2346" s="1">
        <v>5.0</v>
      </c>
      <c r="B2346" s="1" t="s">
        <v>2333</v>
      </c>
      <c r="C2346" t="str">
        <f>IFERROR(__xludf.DUMMYFUNCTION("GOOGLETRANSLATE(B2346, ""es"", ""en"")"),"Very practical I am very satisfied with the bottle, I took everywhere and as is glass is best for my baby")</f>
        <v>Very practical I am very satisfied with the bottle, I took everywhere and as is glass is best for my baby</v>
      </c>
    </row>
    <row r="2347">
      <c r="A2347" s="1">
        <v>5.0</v>
      </c>
      <c r="B2347" s="1" t="s">
        <v>2334</v>
      </c>
      <c r="C2347" t="str">
        <f>IFERROR(__xludf.DUMMYFUNCTION("GOOGLETRANSLATE(B2347, ""es"", ""en"")"),"Perfect to start the guitar I started playing guitar now and needed a cable to connect to the amp and picks to play. The cable works perfectly, sounds good (ears rookie like me) and quality looks with this finish. And the barbs are all detallazo: very goo"&amp;"d quality, different thicknesses to begin to see which you like better, beautiful and a very practical metal box for storage.")</f>
        <v>Perfect to start the guitar I started playing guitar now and needed a cable to connect to the amp and picks to play. The cable works perfectly, sounds good (ears rookie like me) and quality looks with this finish. And the barbs are all detallazo: very good quality, different thicknesses to begin to see which you like better, beautiful and a very practical metal box for storage.</v>
      </c>
    </row>
    <row r="2348">
      <c r="A2348" s="1">
        <v>2.0</v>
      </c>
      <c r="B2348" s="1" t="s">
        <v>2335</v>
      </c>
      <c r="C2348" t="str">
        <f>IFERROR(__xludf.DUMMYFUNCTION("GOOGLETRANSLATE(B2348, ""es"", ""en"")"),"kike does not comply with the description of the product does not work with Android as indicated in SPECIFICATIONS, unless Samsung have 5 or higher.")</f>
        <v>kike does not comply with the description of the product does not work with Android as indicated in SPECIFICATIONS, unless Samsung have 5 or higher.</v>
      </c>
    </row>
    <row r="2349">
      <c r="A2349" s="1">
        <v>3.0</v>
      </c>
      <c r="B2349" s="1" t="s">
        <v>2336</v>
      </c>
      <c r="C2349" t="str">
        <f>IFERROR(__xludf.DUMMYFUNCTION("GOOGLETRANSLATE(B2349, ""es"", ""en"")"),"Nice but short is nice but short for people who are very high.")</f>
        <v>Nice but short is nice but short for people who are very high.</v>
      </c>
    </row>
    <row r="2350">
      <c r="A2350" s="1">
        <v>3.0</v>
      </c>
      <c r="B2350" s="1" t="s">
        <v>2337</v>
      </c>
      <c r="C2350" t="str">
        <f>IFERROR(__xludf.DUMMYFUNCTION("GOOGLETRANSLATE(B2350, ""es"", ""en"")"),"something just fit the shoes themselves are fine, law had to take a larger number xk are just so me chock 37, cogi 38 and still are justas..pero shoes are very comfortable and very cool .")</f>
        <v>something just fit the shoes themselves are fine, law had to take a larger number xk are just so me chock 37, cogi 38 and still are justas..pero shoes are very comfortable and very cool .</v>
      </c>
    </row>
    <row r="2351">
      <c r="A2351" s="1">
        <v>3.0</v>
      </c>
      <c r="B2351" s="1" t="s">
        <v>2338</v>
      </c>
      <c r="C2351" t="str">
        <f>IFERROR(__xludf.DUMMYFUNCTION("GOOGLETRANSLATE(B2351, ""es"", ""en"")"),"Correct Correct Value")</f>
        <v>Correct Correct Value</v>
      </c>
    </row>
    <row r="2352">
      <c r="A2352" s="1">
        <v>1.0</v>
      </c>
      <c r="B2352" s="1" t="s">
        <v>2339</v>
      </c>
      <c r="C2352" t="str">
        <f>IFERROR(__xludf.DUMMYFUNCTION("GOOGLETRANSLATE(B2352, ""es"", ""en"")"),"Or buy some, a tank, not worth the little money it is worth. Taco or shotgun")</f>
        <v>Or buy some, a tank, not worth the little money it is worth. Taco or shotgun</v>
      </c>
    </row>
    <row r="2353">
      <c r="A2353" s="1">
        <v>1.0</v>
      </c>
      <c r="B2353" s="1" t="s">
        <v>2340</v>
      </c>
      <c r="C2353" t="str">
        <f>IFERROR(__xludf.DUMMYFUNCTION("GOOGLETRANSLATE(B2353, ""es"", ""en"")"),"No megusto not work")</f>
        <v>No megusto not work</v>
      </c>
    </row>
    <row r="2354">
      <c r="A2354" s="1">
        <v>4.0</v>
      </c>
      <c r="B2354" s="1" t="s">
        <v>2341</v>
      </c>
      <c r="C2354" t="str">
        <f>IFERROR(__xludf.DUMMYFUNCTION("GOOGLETRANSLATE(B2354, ""es"", ""en"")"),"Product good as it was expected, nothing out of the ordinary, just the description. Good value for money. Happy with purchase")</f>
        <v>Product good as it was expected, nothing out of the ordinary, just the description. Good value for money. Happy with purchase</v>
      </c>
    </row>
    <row r="2355">
      <c r="A2355" s="1">
        <v>4.0</v>
      </c>
      <c r="B2355" s="1" t="s">
        <v>2342</v>
      </c>
      <c r="C2355" t="str">
        <f>IFERROR(__xludf.DUMMYFUNCTION("GOOGLETRANSLATE(B2355, ""es"", ""en"")"),"good bottle good quality, although obviously it is plastic and that I recommend not prefer glass or glass, what happens is that for transportation if it is much more practical this also brings another into smaller pot to put the powders milk is super conv"&amp;"enient !!, for this reason it is that I bought because if the price seems somewhat high and the subject of plastic, but of course if you want portability has to be. Bring innovative anti-colic system of the teat ooze, very slowly.")</f>
        <v>good bottle good quality, although obviously it is plastic and that I recommend not prefer glass or glass, what happens is that for transportation if it is much more practical this also brings another into smaller pot to put the powders milk is super convenient !!, for this reason it is that I bought because if the price seems somewhat high and the subject of plastic, but of course if you want portability has to be. Bring innovative anti-colic system of the teat ooze, very slowly.</v>
      </c>
    </row>
    <row r="2356">
      <c r="A2356" s="1">
        <v>4.0</v>
      </c>
      <c r="B2356" s="1" t="s">
        <v>2343</v>
      </c>
      <c r="C2356" t="str">
        <f>IFERROR(__xludf.DUMMYFUNCTION("GOOGLETRANSLATE(B2356, ""es"", ""en"")"),"Speed ​​and efficiency in serving Cable article very thin, fragile.")</f>
        <v>Speed ​​and efficiency in serving Cable article very thin, fragile.</v>
      </c>
    </row>
    <row r="2357">
      <c r="A2357" s="1">
        <v>4.0</v>
      </c>
      <c r="B2357" s="1" t="s">
        <v>2344</v>
      </c>
      <c r="C2357" t="str">
        <f>IFERROR(__xludf.DUMMYFUNCTION("GOOGLETRANSLATE(B2357, ""es"", ""en"")"),"good boots to work boots well finished with very good price, comfortable and safe, perfect for rain, is a product with a very good quality / price, without hesitation recominedo")</f>
        <v>good boots to work boots well finished with very good price, comfortable and safe, perfect for rain, is a product with a very good quality / price, without hesitation recominedo</v>
      </c>
    </row>
    <row r="2358">
      <c r="A2358" s="1">
        <v>5.0</v>
      </c>
      <c r="B2358" s="1" t="s">
        <v>2345</v>
      </c>
      <c r="C2358" t="str">
        <f>IFERROR(__xludf.DUMMYFUNCTION("GOOGLETRANSLATE(B2358, ""es"", ""en"")"),"100% recommended to L. Size Fits quite well to the body, very comfortable and good material. I recommend 100%")</f>
        <v>100% recommended to L. Size Fits quite well to the body, very comfortable and good material. I recommend 100%</v>
      </c>
    </row>
    <row r="2359">
      <c r="A2359" s="1">
        <v>5.0</v>
      </c>
      <c r="B2359" s="1" t="s">
        <v>2346</v>
      </c>
      <c r="C2359" t="str">
        <f>IFERROR(__xludf.DUMMYFUNCTION("GOOGLETRANSLATE(B2359, ""es"", ""en"")"),"Perfect All good")</f>
        <v>Perfect All good</v>
      </c>
    </row>
    <row r="2360">
      <c r="A2360" s="1">
        <v>5.0</v>
      </c>
      <c r="B2360" s="1" t="s">
        <v>2347</v>
      </c>
      <c r="C2360" t="str">
        <f>IFERROR(__xludf.DUMMYFUNCTION("GOOGLETRANSLATE(B2360, ""es"", ""en"")"),"No problem is too big for me but I worth")</f>
        <v>No problem is too big for me but I worth</v>
      </c>
    </row>
    <row r="2361">
      <c r="A2361" s="1">
        <v>5.0</v>
      </c>
      <c r="B2361" s="1" t="s">
        <v>2348</v>
      </c>
      <c r="C2361" t="str">
        <f>IFERROR(__xludf.DUMMYFUNCTION("GOOGLETRANSLATE(B2361, ""es"", ""en"")"),"100% compliant with expectations. Despite reading several not very good reviews, I decided to buy this model. I really do not think it's luck, but mine works fine. The packaging was very good, with clear instructions, there are up explanatory videos. Afte"&amp;"r a few days of testing, no objection. While temperatures mark (contrast), and I have to trust moisture. Rainy day 99% mark, which I think the senior is ok. Inertia temperature reading is slow, but I imagine it is correct for the type of sensor bearing. T"&amp;"hese sensors are not instant-read (let us equipment + 600 €) and take a few minutes (enough) to reach the correct temperature. In short, value for money, more than adequate. &lt;A data-hook = ""product-link-linked"" class = ""link-to-normal"" href = ""/ Ther"&amp;"moPro-TP65-Wireless-Thermometer-hygrometer-Digital-exterior-and-interior-with-big-Display- touch-and-backlit-blue-meter-de-Humidity-Temperature-Function-memory / dp / B075VMLZB9 / ref = cm_cr_getr_d_rvw_txt? ie = UTF8 ""&gt; ThermoPro TP65 Wireless Thermomet"&amp;"er hygrometer Digital outside and inside with large touchscreen and backlight blue, Temperature Humidity Meter, memory function &lt;/a&gt;")</f>
        <v>100% compliant with expectations. Despite reading several not very good reviews, I decided to buy this model. I really do not think it's luck, but mine works fine. The packaging was very good, with clear instructions, there are up explanatory videos. After a few days of testing, no objection. While temperatures mark (contrast), and I have to trust moisture. Rainy day 99% mark, which I think the senior is ok. Inertia temperature reading is slow, but I imagine it is correct for the type of sensor bearing. These sensors are not instant-read (let us equipment + 600 €) and take a few minutes (enough) to reach the correct temperature. In short, value for money, more than adequate. &lt;A data-hook = "product-link-linked" class = "link-to-normal" href = "/ ThermoPro-TP65-Wireless-Thermometer-hygrometer-Digital-exterior-and-interior-with-big-Display- touch-and-backlit-blue-meter-de-Humidity-Temperature-Function-memory / dp / B075VMLZB9 / ref = cm_cr_getr_d_rvw_txt? ie = UTF8 "&gt; ThermoPro TP65 Wireless Thermometer hygrometer Digital outside and inside with large touchscreen and backlight blue, Temperature Humidity Meter, memory function &lt;/a&gt;</v>
      </c>
    </row>
    <row r="2362">
      <c r="A2362" s="1">
        <v>5.0</v>
      </c>
      <c r="B2362" s="1" t="s">
        <v>2349</v>
      </c>
      <c r="C2362" t="str">
        <f>IFERROR(__xludf.DUMMYFUNCTION("GOOGLETRANSLATE(B2362, ""es"", ""en"")"),"simple clock but time is fine for the price you can not ask for anything more. It's fantastic to the relief of the train, but tactful to brass, plastic, but the coppery color gives the trick.")</f>
        <v>simple clock but time is fine for the price you can not ask for anything more. It's fantastic to the relief of the train, but tactful to brass, plastic, but the coppery color gives the trick.</v>
      </c>
    </row>
    <row r="2363">
      <c r="A2363" s="1">
        <v>5.0</v>
      </c>
      <c r="B2363" s="1" t="s">
        <v>2350</v>
      </c>
      <c r="C2363" t="str">
        <f>IFERROR(__xludf.DUMMYFUNCTION("GOOGLETRANSLATE(B2363, ""es"", ""en"")"),"Very nice is precious to me I loved recommend it, has much brightness as seen in the photo and the measure is perfect would buy without hesitation a good buy.")</f>
        <v>Very nice is precious to me I loved recommend it, has much brightness as seen in the photo and the measure is perfect would buy without hesitation a good buy.</v>
      </c>
    </row>
    <row r="2364">
      <c r="A2364" s="1">
        <v>5.0</v>
      </c>
      <c r="B2364" s="1" t="s">
        <v>2351</v>
      </c>
      <c r="C2364" t="str">
        <f>IFERROR(__xludf.DUMMYFUNCTION("GOOGLETRANSLATE(B2364, ""es"", ""en"")"),"Speaker Quality Great Price")</f>
        <v>Speaker Quality Great Price</v>
      </c>
    </row>
    <row r="2365">
      <c r="A2365" s="1">
        <v>5.0</v>
      </c>
      <c r="B2365" s="1" t="s">
        <v>2352</v>
      </c>
      <c r="C2365" t="str">
        <f>IFERROR(__xludf.DUMMYFUNCTION("GOOGLETRANSLATE(B2365, ""es"", ""en"")"),"Good quality are good sound, deep bass and clear treble and good build quality. They also come with a carrying case, works on almost all devices I've tested, I recommend it 100%.")</f>
        <v>Good quality are good sound, deep bass and clear treble and good build quality. They also come with a carrying case, works on almost all devices I've tested, I recommend it 100%.</v>
      </c>
    </row>
    <row r="2366">
      <c r="A2366" s="1">
        <v>5.0</v>
      </c>
      <c r="B2366" s="1" t="s">
        <v>2353</v>
      </c>
      <c r="C2366" t="str">
        <f>IFERROR(__xludf.DUMMYFUNCTION("GOOGLETRANSLATE(B2366, ""es"", ""en"")"),"He needed this to fit perfect in a particular place in my kitchen and it does really need a smaller mop but that's not the fault of the bucket")</f>
        <v>He needed this to fit perfect in a particular place in my kitchen and it does really need a smaller mop but that's not the fault of the bucket</v>
      </c>
    </row>
    <row r="2367">
      <c r="A2367" s="1">
        <v>5.0</v>
      </c>
      <c r="B2367" s="1" t="s">
        <v>2354</v>
      </c>
      <c r="C2367" t="str">
        <f>IFERROR(__xludf.DUMMYFUNCTION("GOOGLETRANSLATE(B2367, ""es"", ""en"")"),"biberon fast in shipping, perfect. The bottle is of very good quality, Teat mimics the shape of the breast, perfect baby as we wanted.")</f>
        <v>biberon fast in shipping, perfect. The bottle is of very good quality, Teat mimics the shape of the breast, perfect baby as we wanted.</v>
      </c>
    </row>
    <row r="2368">
      <c r="A2368" s="1">
        <v>5.0</v>
      </c>
      <c r="B2368" s="1" t="s">
        <v>2355</v>
      </c>
      <c r="C2368" t="str">
        <f>IFERROR(__xludf.DUMMYFUNCTION("GOOGLETRANSLATE(B2368, ""es"", ""en"")"),"Precious, repeat safe. I recommend it 100%.")</f>
        <v>Precious, repeat safe. I recommend it 100%.</v>
      </c>
    </row>
    <row r="2369">
      <c r="A2369" s="1">
        <v>5.0</v>
      </c>
      <c r="B2369" s="1" t="s">
        <v>2356</v>
      </c>
      <c r="C2369" t="str">
        <f>IFERROR(__xludf.DUMMYFUNCTION("GOOGLETRANSLATE(B2369, ""es"", ""en"")"),"Fantastic! I'm impressed with these headphones. For starters, the case where an electronic counter has come with the battery you have left. They are ergonomic and perfectly adapted to the shape of the ear, so you are not going to fall, whatever you do. Ve"&amp;"ry easily they paired with your phone or mp3, tablet, laptop, etc. and shows no connection problems, you can be away and continues to operate without interference. I usually use the mobile for a walk. Endure sweat smoothly. Have a button on each handset c"&amp;"an change songs or volume up or down without touching the phone. Headphones hear phenomenal, with excellent sound insulation and sound outside is spectacular. What I like most is autonomy, the base itself is a powerbank, which you used to charge the heads"&amp;"et. Definitely I recommend it and more ... I will buy others to give this Christmas.")</f>
        <v>Fantastic! I'm impressed with these headphones. For starters, the case where an electronic counter has come with the battery you have left. They are ergonomic and perfectly adapted to the shape of the ear, so you are not going to fall, whatever you do. Very easily they paired with your phone or mp3, tablet, laptop, etc. and shows no connection problems, you can be away and continues to operate without interference. I usually use the mobile for a walk. Endure sweat smoothly. Have a button on each handset can change songs or volume up or down without touching the phone. Headphones hear phenomenal, with excellent sound insulation and sound outside is spectacular. What I like most is autonomy, the base itself is a powerbank, which you used to charge the headset. Definitely I recommend it and more ... I will buy others to give this Christmas.</v>
      </c>
    </row>
    <row r="2370">
      <c r="A2370" s="1">
        <v>5.0</v>
      </c>
      <c r="B2370" s="1" t="s">
        <v>2357</v>
      </c>
      <c r="C2370" t="str">
        <f>IFERROR(__xludf.DUMMYFUNCTION("GOOGLETRANSLATE(B2370, ""es"", ""en"")"),"Encantada is to give and delighted")</f>
        <v>Encantada is to give and delighted</v>
      </c>
    </row>
    <row r="2371">
      <c r="A2371" s="1">
        <v>5.0</v>
      </c>
      <c r="B2371" s="1" t="s">
        <v>2358</v>
      </c>
      <c r="C2371" t="str">
        <f>IFERROR(__xludf.DUMMYFUNCTION("GOOGLETRANSLATE(B2371, ""es"", ""en"")"),"Very good The watch is very nice and came on time and very fast operating time of luxury and not very confusing when handle or when changing the time and others besides bringing you an instruction manual which explain it very clear")</f>
        <v>Very good The watch is very nice and came on time and very fast operating time of luxury and not very confusing when handle or when changing the time and others besides bringing you an instruction manual which explain it very clear</v>
      </c>
    </row>
    <row r="2372">
      <c r="A2372" s="1">
        <v>5.0</v>
      </c>
      <c r="B2372" s="1" t="s">
        <v>2359</v>
      </c>
      <c r="C2372" t="str">
        <f>IFERROR(__xludf.DUMMYFUNCTION("GOOGLETRANSLATE(B2372, ""es"", ""en"")"),"'Running Okay")</f>
        <v>'Running Okay</v>
      </c>
    </row>
    <row r="2373">
      <c r="A2373" s="1">
        <v>5.0</v>
      </c>
      <c r="B2373" s="1" t="s">
        <v>2360</v>
      </c>
      <c r="C2373" t="str">
        <f>IFERROR(__xludf.DUMMYFUNCTION("GOOGLETRANSLATE(B2373, ""es"", ""en"")"),"Durability wear black colored rings long enough and paint still intact other pending dehusked then are of good quality I'm satisfied")</f>
        <v>Durability wear black colored rings long enough and paint still intact other pending dehusked then are of good quality I'm satisfied</v>
      </c>
    </row>
    <row r="2374">
      <c r="A2374" s="1">
        <v>5.0</v>
      </c>
      <c r="B2374" s="1" t="s">
        <v>2361</v>
      </c>
      <c r="C2374" t="str">
        <f>IFERROR(__xludf.DUMMYFUNCTION("GOOGLETRANSLATE(B2374, ""es"", ""en"")"),"Perhaps it is highly recommended wide wee bit, but not too much. Of course it is a very comfortable shoe. It all came on time and in perfect condition.")</f>
        <v>Perhaps it is highly recommended wide wee bit, but not too much. Of course it is a very comfortable shoe. It all came on time and in perfect condition.</v>
      </c>
    </row>
    <row r="2375">
      <c r="A2375" s="1">
        <v>5.0</v>
      </c>
      <c r="B2375" s="1" t="s">
        <v>2362</v>
      </c>
      <c r="C2375" t="str">
        <f>IFERROR(__xludf.DUMMYFUNCTION("GOOGLETRANSLATE(B2375, ""es"", ""en"")"),"Perfect super comfortable size and very comfortable, I wear every day and go with everything.")</f>
        <v>Perfect super comfortable size and very comfortable, I wear every day and go with everything.</v>
      </c>
    </row>
    <row r="2376">
      <c r="A2376" s="1">
        <v>5.0</v>
      </c>
      <c r="B2376" s="1" t="s">
        <v>2363</v>
      </c>
      <c r="C2376" t="str">
        <f>IFERROR(__xludf.DUMMYFUNCTION("GOOGLETRANSLATE(B2376, ""es"", ""en"")"),"Modern and comfortable at a good price Excellent Clarks shoes at a price very tight (45 €). Comfortable and modern.")</f>
        <v>Modern and comfortable at a good price Excellent Clarks shoes at a price very tight (45 €). Comfortable and modern.</v>
      </c>
    </row>
    <row r="2377">
      <c r="A2377" s="1">
        <v>2.0</v>
      </c>
      <c r="B2377" s="1" t="s">
        <v>2364</v>
      </c>
      <c r="C2377" t="str">
        <f>IFERROR(__xludf.DUMMYFUNCTION("GOOGLETRANSLATE(B2377, ""es"", ""en"")"),"Despite being uncomfortable Asics (supposedly) they are very uncomfortable, since I notice very hard, which is why almost no use")</f>
        <v>Despite being uncomfortable Asics (supposedly) they are very uncomfortable, since I notice very hard, which is why almost no use</v>
      </c>
    </row>
    <row r="2378">
      <c r="A2378" s="1">
        <v>3.0</v>
      </c>
      <c r="B2378" s="1" t="s">
        <v>2365</v>
      </c>
      <c r="C2378" t="str">
        <f>IFERROR(__xludf.DUMMYFUNCTION("GOOGLETRANSLATE(B2378, ""es"", ""en"")"),"Plastic 100% 100% recycled = 100% Polyester. Okay, but I think worth the price.")</f>
        <v>Plastic 100% 100% recycled = 100% Polyester. Okay, but I think worth the price.</v>
      </c>
    </row>
    <row r="2379">
      <c r="A2379" s="1">
        <v>1.0</v>
      </c>
      <c r="B2379" s="1" t="s">
        <v>2366</v>
      </c>
      <c r="C2379" t="str">
        <f>IFERROR(__xludf.DUMMYFUNCTION("GOOGLETRANSLATE(B2379, ""es"", ""en"")"),"Cheap fabric poor, but almost transparent, thin it is not looking.")</f>
        <v>Cheap fabric poor, but almost transparent, thin it is not looking.</v>
      </c>
    </row>
    <row r="2380">
      <c r="A2380" s="1">
        <v>1.0</v>
      </c>
      <c r="B2380" s="1" t="s">
        <v>2367</v>
      </c>
      <c r="C2380" t="str">
        <f>IFERROR(__xludf.DUMMYFUNCTION("GOOGLETRANSLATE(B2380, ""es"", ""en"")"),"Small and narrow The size is smaller than normal and are very close to child")</f>
        <v>Small and narrow The size is smaller than normal and are very close to child</v>
      </c>
    </row>
    <row r="2381">
      <c r="A2381" s="1">
        <v>4.0</v>
      </c>
      <c r="B2381" s="1" t="s">
        <v>2368</v>
      </c>
      <c r="C2381" t="str">
        <f>IFERROR(__xludf.DUMMYFUNCTION("GOOGLETRANSLATE(B2381, ""es"", ""en"")"),"Not bad not bad but for the price you expected more.")</f>
        <v>Not bad not bad but for the price you expected more.</v>
      </c>
    </row>
    <row r="2382">
      <c r="A2382" s="1">
        <v>4.0</v>
      </c>
      <c r="B2382" s="1" t="s">
        <v>2369</v>
      </c>
      <c r="C2382" t="str">
        <f>IFERROR(__xludf.DUMMYFUNCTION("GOOGLETRANSLATE(B2382, ""es"", ""en"")"),"Beautiful ... The first pair of earrings is very large and does not look like the picture but the rest are fine. They are beautiful.")</f>
        <v>Beautiful ... The first pair of earrings is very large and does not look like the picture but the rest are fine. They are beautiful.</v>
      </c>
    </row>
    <row r="2383">
      <c r="A2383" s="1">
        <v>4.0</v>
      </c>
      <c r="B2383" s="1" t="s">
        <v>2370</v>
      </c>
      <c r="C2383" t="str">
        <f>IFERROR(__xludf.DUMMYFUNCTION("GOOGLETRANSLATE(B2383, ""es"", ""en"")"),"A disc very cheap capacidady. I have another disc of the same brand and capacity, long ago, I think I did not give any problems. However this new album to the connect the TV did not recognize me, no one Samsung LG no, no manera.El computer recognize him a"&amp;"t first, so I formated, but neither of those I recognized him the TVs. Looking at the comments on Amazon saw that there was alguine indicating that it had to format a page WB program, said and done, and miracle .......... already reconecen the TV.")</f>
        <v>A disc very cheap capacidady. I have another disc of the same brand and capacity, long ago, I think I did not give any problems. However this new album to the connect the TV did not recognize me, no one Samsung LG no, no manera.El computer recognize him at first, so I formated, but neither of those I recognized him the TVs. Looking at the comments on Amazon saw that there was alguine indicating that it had to format a page WB program, said and done, and miracle .......... already reconecen the TV.</v>
      </c>
    </row>
    <row r="2384">
      <c r="A2384" s="1">
        <v>4.0</v>
      </c>
      <c r="B2384" s="1" t="s">
        <v>2371</v>
      </c>
      <c r="C2384" t="str">
        <f>IFERROR(__xludf.DUMMYFUNCTION("GOOGLETRANSLATE(B2384, ""es"", ""en"")"),"Good product quality and packaging of the product is good but is not compatible with my smart bracelet band 4 the thickness of this.")</f>
        <v>Good product quality and packaging of the product is good but is not compatible with my smart bracelet band 4 the thickness of this.</v>
      </c>
    </row>
    <row r="2385">
      <c r="A2385" s="1">
        <v>4.0</v>
      </c>
      <c r="B2385" s="1" t="s">
        <v>2372</v>
      </c>
      <c r="C2385" t="str">
        <f>IFERROR(__xludf.DUMMYFUNCTION("GOOGLETRANSLATE(B2385, ""es"", ""en"")"),"You may have too comfortable ventilation, I see something wrong because when it rains or caught a puddle, I get wet foot (with purchase of a shoe covers, I fix it). But for good weather will be perfect.")</f>
        <v>You may have too comfortable ventilation, I see something wrong because when it rains or caught a puddle, I get wet foot (with purchase of a shoe covers, I fix it). But for good weather will be perfect.</v>
      </c>
    </row>
    <row r="2386">
      <c r="A2386" s="1">
        <v>5.0</v>
      </c>
      <c r="B2386" s="1" t="s">
        <v>2373</v>
      </c>
      <c r="C2386" t="str">
        <f>IFERROR(__xludf.DUMMYFUNCTION("GOOGLETRANSLATE(B2386, ""es"", ""en"")"),"brutal good fabric, good workmanship, the stem 34,36 and asked the girls S. It is worth")</f>
        <v>brutal good fabric, good workmanship, the stem 34,36 and asked the girls S. It is worth</v>
      </c>
    </row>
    <row r="2387">
      <c r="A2387" s="1">
        <v>5.0</v>
      </c>
      <c r="B2387" s="1" t="s">
        <v>2374</v>
      </c>
      <c r="C2387" t="str">
        <f>IFERROR(__xludf.DUMMYFUNCTION("GOOGLETRANSLATE(B2387, ""es"", ""en"")"),"As toy they are great. As a toy for children / as they are great. Sufficient volume, they are robust, and Bluetooth connection to the mobile is hoot to bring them music they like.")</f>
        <v>As toy they are great. As a toy for children / as they are great. Sufficient volume, they are robust, and Bluetooth connection to the mobile is hoot to bring them music they like.</v>
      </c>
    </row>
    <row r="2388">
      <c r="A2388" s="1">
        <v>5.0</v>
      </c>
      <c r="B2388" s="1" t="s">
        <v>2375</v>
      </c>
      <c r="C2388" t="str">
        <f>IFERROR(__xludf.DUMMYFUNCTION("GOOGLETRANSLATE(B2388, ""es"", ""en"")"),"Design, quality, price. &lt;Div id = ""video-block-R1RYJCJGEJQ3TI"" class = ""a-section a-spacing-small a-spacing-top mini video-block""&gt; &lt;/ div&gt; &lt;input type = ""hidden"" name = """" value = ""https://images-eu.ssl-images-amazon.com/images/I/C1TplfEZrBS.mp4"&amp;""" class = ""video-url""&gt; &lt;input type = ""hidden"" name = """" value = ""https: //images-eu.ssl-images-amazon.com/images/I/91A4RX8JN-S.png ""class ="" video-slate-img-url ""&gt; &amp; nbsp; I really happy ha, has only one slot but I fit 2 slices of bread with no"&amp;"rmal and also applies bread gets up rolls, bread dogs while I roasted sausages ... the design is gorgeous stainless steel which no trace. Value perfect.")</f>
        <v>Design, quality, price. &lt;Div id = "video-block-R1RYJCJGEJQ3TI" class = "a-section a-spacing-small a-spacing-top mini video-block"&gt; &lt;/ div&gt; &lt;input type = "hidden" name = "" value = "https://images-eu.ssl-images-amazon.com/images/I/C1TplfEZrBS.mp4" class = "video-url"&gt; &lt;input type = "hidden" name = "" value = "https: //images-eu.ssl-images-amazon.com/images/I/91A4RX8JN-S.png "class =" video-slate-img-url "&gt; &amp; nbsp; I really happy ha, has only one slot but I fit 2 slices of bread with normal and also applies bread gets up rolls, bread dogs while I roasted sausages ... the design is gorgeous stainless steel which no trace. Value perfect.</v>
      </c>
    </row>
    <row r="2389">
      <c r="A2389" s="1">
        <v>5.0</v>
      </c>
      <c r="B2389" s="1" t="s">
        <v>2376</v>
      </c>
      <c r="C2389" t="str">
        <f>IFERROR(__xludf.DUMMYFUNCTION("GOOGLETRANSLATE(B2389, ""es"", ""en"")"),"Porta perfect sports bottle belt to belt out to train super comfortable with reflective bands to be seen running at night! Pockets very spacious and very adjustable location of the bottle.")</f>
        <v>Porta perfect sports bottle belt to belt out to train super comfortable with reflective bands to be seen running at night! Pockets very spacious and very adjustable location of the bottle.</v>
      </c>
    </row>
    <row r="2390">
      <c r="A2390" s="1">
        <v>5.0</v>
      </c>
      <c r="B2390" s="1" t="s">
        <v>2377</v>
      </c>
      <c r="C2390" t="str">
        <f>IFERROR(__xludf.DUMMYFUNCTION("GOOGLETRANSLATE(B2390, ""es"", ""en"")"),"Recommended Excellent price / value. Pretty well eliminates the pops voice without changing the timbre too much.")</f>
        <v>Recommended Excellent price / value. Pretty well eliminates the pops voice without changing the timbre too much.</v>
      </c>
    </row>
    <row r="2391">
      <c r="A2391" s="1">
        <v>5.0</v>
      </c>
      <c r="B2391" s="1" t="s">
        <v>2378</v>
      </c>
      <c r="C2391" t="str">
        <f>IFERROR(__xludf.DUMMYFUNCTION("GOOGLETRANSLATE(B2391, ""es"", ""en"")"),"Effective effective. Absolutely recommended. Entro water in my car. It smelled of dogs and thanks to the bags, half kilo in total, the odor disappeared after 48 hours.")</f>
        <v>Effective effective. Absolutely recommended. Entro water in my car. It smelled of dogs and thanks to the bags, half kilo in total, the odor disappeared after 48 hours.</v>
      </c>
    </row>
    <row r="2392">
      <c r="A2392" s="1">
        <v>5.0</v>
      </c>
      <c r="B2392" s="1" t="s">
        <v>2379</v>
      </c>
      <c r="C2392" t="str">
        <f>IFERROR(__xludf.DUMMYFUNCTION("GOOGLETRANSLATE(B2392, ""es"", ""en"")"),"Good value I really liked buying this pack of socks for quality / price. Socks fit the foot so that do not form any wrinkles. The toe is reinforced and the design is very well thought out. In short, socks are very practical and also beautiful.")</f>
        <v>Good value I really liked buying this pack of socks for quality / price. Socks fit the foot so that do not form any wrinkles. The toe is reinforced and the design is very well thought out. In short, socks are very practical and also beautiful.</v>
      </c>
    </row>
    <row r="2393">
      <c r="A2393" s="1">
        <v>5.0</v>
      </c>
      <c r="B2393" s="1" t="s">
        <v>2380</v>
      </c>
      <c r="C2393" t="str">
        <f>IFERROR(__xludf.DUMMYFUNCTION("GOOGLETRANSLATE(B2393, ""es"", ""en"")"),"Good quality, tough and strong Cool. Grafoplas normally used with reference 55700 that are strong and rough, because others seem cigarette paper, but this brand I liked it, they are strong, tough and transparent! Very good quality, repeat for sure!")</f>
        <v>Good quality, tough and strong Cool. Grafoplas normally used with reference 55700 that are strong and rough, because others seem cigarette paper, but this brand I liked it, they are strong, tough and transparent! Very good quality, repeat for sure!</v>
      </c>
    </row>
    <row r="2394">
      <c r="A2394" s="1">
        <v>5.0</v>
      </c>
      <c r="B2394" s="1" t="s">
        <v>2381</v>
      </c>
      <c r="C2394" t="str">
        <f>IFERROR(__xludf.DUMMYFUNCTION("GOOGLETRANSLATE(B2394, ""es"", ""en"")"),"Good Great Awesome recommended seems to have a physio back is great and so I've saved physio pay each month")</f>
        <v>Good Great Awesome recommended seems to have a physio back is great and so I've saved physio pay each month</v>
      </c>
    </row>
    <row r="2395">
      <c r="A2395" s="1">
        <v>5.0</v>
      </c>
      <c r="B2395" s="1" t="s">
        <v>2382</v>
      </c>
      <c r="C2395" t="str">
        <f>IFERROR(__xludf.DUMMYFUNCTION("GOOGLETRANSLATE(B2395, ""es"", ""en"")"),"Very good buy Headphones very good and very versatile. I used them for various situations and are perfect. Running sound great and do not fall, nor move, they've synchronized with smartwatch and no problem, I take them to the minimum volume and outrageous"&amp;" hear also can carry one or two and you can pause the music to give just one tap any button on the two headphones, or move from track taking two touches in a row, also in either. For hard run to spare, although only they have tried about half hour followe"&amp;"d. They've synchronized with multiple devices and great, tablet, smartphone, etc .... plus you can use them without problems with someone else and luxury (both listening to the same music which can not be bothered and you're on the move, using audioguide "&amp;"visits tourism through mobile, listen to a movie on the tablet without messy cables, etc ...). It comes beautifully presented and the box where recharge is a hoot, with magnet on the base so that do not fall and this does not take anything, the materials "&amp;"are fine, they are also very comfortable and brings several pads of different sizes ear . So far the battery can not say whether or not last long, as I said earlier used only for half an hour followed. For what he wanted, totally recommended.")</f>
        <v>Very good buy Headphones very good and very versatile. I used them for various situations and are perfect. Running sound great and do not fall, nor move, they've synchronized with smartwatch and no problem, I take them to the minimum volume and outrageous hear also can carry one or two and you can pause the music to give just one tap any button on the two headphones, or move from track taking two touches in a row, also in either. For hard run to spare, although only they have tried about half hour followed. They've synchronized with multiple devices and great, tablet, smartphone, etc .... plus you can use them without problems with someone else and luxury (both listening to the same music which can not be bothered and you're on the move, using audioguide visits tourism through mobile, listen to a movie on the tablet without messy cables, etc ...). It comes beautifully presented and the box where recharge is a hoot, with magnet on the base so that do not fall and this does not take anything, the materials are fine, they are also very comfortable and brings several pads of different sizes ear . So far the battery can not say whether or not last long, as I said earlier used only for half an hour followed. For what he wanted, totally recommended.</v>
      </c>
    </row>
    <row r="2396">
      <c r="A2396" s="1">
        <v>5.0</v>
      </c>
      <c r="B2396" s="1" t="s">
        <v>2383</v>
      </c>
      <c r="C2396" t="str">
        <f>IFERROR(__xludf.DUMMYFUNCTION("GOOGLETRANSLATE(B2396, ""es"", ""en"")"),"Meets perfectly good value for money")</f>
        <v>Meets perfectly good value for money</v>
      </c>
    </row>
    <row r="2397">
      <c r="A2397" s="1">
        <v>5.0</v>
      </c>
      <c r="B2397" s="1" t="s">
        <v>2384</v>
      </c>
      <c r="C2397" t="str">
        <f>IFERROR(__xludf.DUMMYFUNCTION("GOOGLETRANSLATE(B2397, ""es"", ""en"")"),"Ecelente Product Love is inmantado and stays stuck in the fridge, so I like, I advise the purchase, hope to have help to weigh with the purchase.")</f>
        <v>Ecelente Product Love is inmantado and stays stuck in the fridge, so I like, I advise the purchase, hope to have help to weigh with the purchase.</v>
      </c>
    </row>
    <row r="2398">
      <c r="A2398" s="1">
        <v>5.0</v>
      </c>
      <c r="B2398" s="1" t="s">
        <v>2385</v>
      </c>
      <c r="C2398" t="str">
        <f>IFERROR(__xludf.DUMMYFUNCTION("GOOGLETRANSLATE(B2398, ""es"", ""en"")"),"A very good deal good deal much better price than the super or hyper. Good service delivery. It is the normal product.")</f>
        <v>A very good deal good deal much better price than the super or hyper. Good service delivery. It is the normal product.</v>
      </c>
    </row>
    <row r="2399">
      <c r="A2399" s="1">
        <v>5.0</v>
      </c>
      <c r="B2399" s="1" t="s">
        <v>2386</v>
      </c>
      <c r="C2399" t="str">
        <f>IFERROR(__xludf.DUMMYFUNCTION("GOOGLETRANSLATE(B2399, ""es"", ""en"")"),"Buenisima sound quality construction and a simple headset was looking to move a lot, and I was surprised by two things: the quality of sound and build quality. The extended hours in use during transport and during work. In addition style cable is perfect "&amp;"to avoid tangles. Super recommended!")</f>
        <v>Buenisima sound quality construction and a simple headset was looking to move a lot, and I was surprised by two things: the quality of sound and build quality. The extended hours in use during transport and during work. In addition style cable is perfect to avoid tangles. Super recommended!</v>
      </c>
    </row>
    <row r="2400">
      <c r="A2400" s="1">
        <v>5.0</v>
      </c>
      <c r="B2400" s="1" t="s">
        <v>2387</v>
      </c>
      <c r="C2400" t="str">
        <f>IFERROR(__xludf.DUMMYFUNCTION("GOOGLETRANSLATE(B2400, ""es"", ""en"")"),"Good quality satisfied. Many pockets. It was for a gift and charm.")</f>
        <v>Good quality satisfied. Many pockets. It was for a gift and charm.</v>
      </c>
    </row>
    <row r="2401">
      <c r="A2401" s="1">
        <v>5.0</v>
      </c>
      <c r="B2401" s="1" t="s">
        <v>2388</v>
      </c>
      <c r="C2401" t="str">
        <f>IFERROR(__xludf.DUMMYFUNCTION("GOOGLETRANSLATE(B2401, ""es"", ""en"")"),"Compact and quiet Very good buy. A disc with recudido size and fairly quiet. So I hold him. Buy recommended.")</f>
        <v>Compact and quiet Very good buy. A disc with recudido size and fairly quiet. So I hold him. Buy recommended.</v>
      </c>
    </row>
    <row r="2402">
      <c r="A2402" s="1">
        <v>5.0</v>
      </c>
      <c r="B2402" s="1" t="s">
        <v>2389</v>
      </c>
      <c r="C2402" t="str">
        <f>IFERROR(__xludf.DUMMYFUNCTION("GOOGLETRANSLATE(B2402, ""es"", ""en"")"),"entertaining Spectacular, my daughter loved it, has USB port easily connects to the phone (in my case IOS system), the battery still I have not charged since he came to me on the 17th, continue to use it as it came, it also has to add an SD card and is no"&amp;"t for nothing heavy, I was expecting heavier. Good buy if you want to have the kids entertained and you care not to suffer ""some"" headache :)")</f>
        <v>entertaining Spectacular, my daughter loved it, has USB port easily connects to the phone (in my case IOS system), the battery still I have not charged since he came to me on the 17th, continue to use it as it came, it also has to add an SD card and is not for nothing heavy, I was expecting heavier. Good buy if you want to have the kids entertained and you care not to suffer "some" headache :)</v>
      </c>
    </row>
    <row r="2403">
      <c r="A2403" s="1">
        <v>5.0</v>
      </c>
      <c r="B2403" s="1" t="s">
        <v>2390</v>
      </c>
      <c r="C2403" t="str">
        <f>IFERROR(__xludf.DUMMYFUNCTION("GOOGLETRANSLATE(B2403, ""es"", ""en"")"),"Great size perfect.")</f>
        <v>Great size perfect.</v>
      </c>
    </row>
    <row r="2404">
      <c r="A2404" s="1">
        <v>5.0</v>
      </c>
      <c r="B2404" s="1" t="s">
        <v>2391</v>
      </c>
      <c r="C2404" t="str">
        <f>IFERROR(__xludf.DUMMYFUNCTION("GOOGLETRANSLATE(B2404, ""es"", ""en"")"),"Perfect chancla comfortable and super comfortable, convenient and easy to wash. I recommend it.")</f>
        <v>Perfect chancla comfortable and super comfortable, convenient and easy to wash. I recommend it.</v>
      </c>
    </row>
    <row r="2405">
      <c r="A2405" s="1">
        <v>2.0</v>
      </c>
      <c r="B2405" s="1" t="s">
        <v>2392</v>
      </c>
      <c r="C2405" t="str">
        <f>IFERROR(__xludf.DUMMYFUNCTION("GOOGLETRANSLATE(B2405, ""es"", ""en"")"),"bad sweatshirt fabric texture is horrible, it is like soft plastic. Hood, to having this fabric is deformed and very large, although it remains to put bad. Logos are a plasticised sleazy")</f>
        <v>bad sweatshirt fabric texture is horrible, it is like soft plastic. Hood, to having this fabric is deformed and very large, although it remains to put bad. Logos are a plasticised sleazy</v>
      </c>
    </row>
    <row r="2406">
      <c r="A2406" s="1">
        <v>3.0</v>
      </c>
      <c r="B2406" s="1" t="s">
        <v>2393</v>
      </c>
      <c r="C2406" t="str">
        <f>IFERROR(__xludf.DUMMYFUNCTION("GOOGLETRANSLATE(B2406, ""es"", ""en"")"),"It is easy to wash mona")</f>
        <v>It is easy to wash mona</v>
      </c>
    </row>
    <row r="2407">
      <c r="A2407" s="1">
        <v>3.0</v>
      </c>
      <c r="B2407" s="1" t="s">
        <v>2394</v>
      </c>
      <c r="C2407" t="str">
        <f>IFERROR(__xludf.DUMMYFUNCTION("GOOGLETRANSLATE(B2407, ""es"", ""en"")"),"Well Overall good, but tarnishes when it's chilly, which does not happen with 5600 I have for 30 years. watches are no longer as before.")</f>
        <v>Well Overall good, but tarnishes when it's chilly, which does not happen with 5600 I have for 30 years. watches are no longer as before.</v>
      </c>
    </row>
    <row r="2408">
      <c r="A2408" s="1">
        <v>1.0</v>
      </c>
      <c r="B2408" s="1" t="s">
        <v>2395</v>
      </c>
      <c r="C2408" t="str">
        <f>IFERROR(__xludf.DUMMYFUNCTION("GOOGLETRANSLATE(B2408, ""es"", ""en"")"),"Swindle swindle, does nothing and if you're sensitive skin you get pimples.")</f>
        <v>Swindle swindle, does nothing and if you're sensitive skin you get pimples.</v>
      </c>
    </row>
    <row r="2409">
      <c r="A2409" s="1">
        <v>1.0</v>
      </c>
      <c r="B2409" s="1" t="s">
        <v>2396</v>
      </c>
      <c r="C2409" t="str">
        <f>IFERROR(__xludf.DUMMYFUNCTION("GOOGLETRANSLATE(B2409, ""es"", ""en"")"),"Sleazy, little over a month and has broken me has lasted little more than a month. And already it is broken. Poor quality. I do not recommend it because if had doubts that should not be worth more than 20 euros now I have no longer any doubt.")</f>
        <v>Sleazy, little over a month and has broken me has lasted little more than a month. And already it is broken. Poor quality. I do not recommend it because if had doubts that should not be worth more than 20 euros now I have no longer any doubt.</v>
      </c>
    </row>
    <row r="2410">
      <c r="A2410" s="1">
        <v>4.0</v>
      </c>
      <c r="B2410" s="1" t="s">
        <v>2397</v>
      </c>
      <c r="C2410" t="str">
        <f>IFERROR(__xludf.DUMMYFUNCTION("GOOGLETRANSLATE(B2410, ""es"", ""en"")"),"Ideal for catering to the beginning were a little stiff, but it was until the foot is accustomed. I spend more than 8h with them and feet do not tire me as much as before. the temperature of the foot, so it was not cold about them is maintained. The only "&amp;"fault we would, would be the sole, to having a lattice grid so fine, the crap that gets you sometimes hard to remove and causes the sole becomes smooth and slippery ...")</f>
        <v>Ideal for catering to the beginning were a little stiff, but it was until the foot is accustomed. I spend more than 8h with them and feet do not tire me as much as before. the temperature of the foot, so it was not cold about them is maintained. The only fault we would, would be the sole, to having a lattice grid so fine, the crap that gets you sometimes hard to remove and causes the sole becomes smooth and slippery ...</v>
      </c>
    </row>
    <row r="2411">
      <c r="A2411" s="1">
        <v>4.0</v>
      </c>
      <c r="B2411" s="1" t="s">
        <v>2398</v>
      </c>
      <c r="C2411" t="str">
        <f>IFERROR(__xludf.DUMMYFUNCTION("GOOGLETRANSLATE(B2411, ""es"", ""en"")"),"How quickly I received it I liked everything")</f>
        <v>How quickly I received it I liked everything</v>
      </c>
    </row>
    <row r="2412">
      <c r="A2412" s="1">
        <v>4.0</v>
      </c>
      <c r="B2412" s="1" t="s">
        <v>2399</v>
      </c>
      <c r="C2412" t="str">
        <f>IFERROR(__xludf.DUMMYFUNCTION("GOOGLETRANSLATE(B2412, ""es"", ""en"")"),"Sara Perfectas, although the color is a little darker than in the picture. I recommend it anyway. Order one size smaller")</f>
        <v>Sara Perfectas, although the color is a little darker than in the picture. I recommend it anyway. Order one size smaller</v>
      </c>
    </row>
    <row r="2413">
      <c r="A2413" s="1">
        <v>4.0</v>
      </c>
      <c r="B2413" s="1" t="s">
        <v>2400</v>
      </c>
      <c r="C2413" t="str">
        <f>IFERROR(__xludf.DUMMYFUNCTION("GOOGLETRANSLATE(B2413, ""es"", ""en"")"),"Is very strong, and beat well is a good product and a mark of great confidence, and has much strength to make any mash is great, the only bad the first day you blew the glass, and weighs slightly")</f>
        <v>Is very strong, and beat well is a good product and a mark of great confidence, and has much strength to make any mash is great, the only bad the first day you blew the glass, and weighs slightly</v>
      </c>
    </row>
    <row r="2414">
      <c r="A2414" s="1">
        <v>4.0</v>
      </c>
      <c r="B2414" s="1" t="s">
        <v>2401</v>
      </c>
      <c r="C2414" t="str">
        <f>IFERROR(__xludf.DUMMYFUNCTION("GOOGLETRANSLATE(B2414, ""es"", ""en"")"),"Card good value Within the ""domestic"" range of SDHC cards, this perhaps is the level highest of them, so if you do not you'll give intensive to it, it is certainly one of the best options you can choose. The recording speed burst shooting is fast enough"&amp;" to create no bottlenecks and as for video recording, if you're not going beyond 1080p, is perfect. Definitely a great buy if not I repeat you'll give professional use. I hope this review has been helpful :)")</f>
        <v>Card good value Within the "domestic" range of SDHC cards, this perhaps is the level highest of them, so if you do not you'll give intensive to it, it is certainly one of the best options you can choose. The recording speed burst shooting is fast enough to create no bottlenecks and as for video recording, if you're not going beyond 1080p, is perfect. Definitely a great buy if not I repeat you'll give professional use. I hope this review has been helpful :)</v>
      </c>
    </row>
    <row r="2415">
      <c r="A2415" s="1">
        <v>5.0</v>
      </c>
      <c r="B2415" s="1" t="s">
        <v>2402</v>
      </c>
      <c r="C2415" t="str">
        <f>IFERROR(__xludf.DUMMYFUNCTION("GOOGLETRANSLATE(B2415, ""es"", ""en"")"),"I like all of it all she's very pretty")</f>
        <v>I like all of it all she's very pretty</v>
      </c>
    </row>
    <row r="2416">
      <c r="A2416" s="1">
        <v>5.0</v>
      </c>
      <c r="B2416" s="1" t="s">
        <v>2403</v>
      </c>
      <c r="C2416" t="str">
        <f>IFERROR(__xludf.DUMMYFUNCTION("GOOGLETRANSLATE(B2416, ""es"", ""en"")"),"Value excellent all right")</f>
        <v>Value excellent all right</v>
      </c>
    </row>
    <row r="2417">
      <c r="A2417" s="1">
        <v>5.0</v>
      </c>
      <c r="B2417" s="1" t="s">
        <v>2404</v>
      </c>
      <c r="C2417" t="str">
        <f>IFERROR(__xludf.DUMMYFUNCTION("GOOGLETRANSLATE(B2417, ""es"", ""en"")"),"Perfect Very good. I like it. Is tiny, it weighs nothing. Easy to use.")</f>
        <v>Perfect Very good. I like it. Is tiny, it weighs nothing. Easy to use.</v>
      </c>
    </row>
    <row r="2418">
      <c r="A2418" s="1">
        <v>5.0</v>
      </c>
      <c r="B2418" s="1" t="s">
        <v>2405</v>
      </c>
      <c r="C2418" t="str">
        <f>IFERROR(__xludf.DUMMYFUNCTION("GOOGLETRANSLATE(B2418, ""es"", ""en"")"),"I like to finish and resistance, especially the finish. And resistance.")</f>
        <v>I like to finish and resistance, especially the finish. And resistance.</v>
      </c>
    </row>
    <row r="2419">
      <c r="A2419" s="1">
        <v>5.0</v>
      </c>
      <c r="B2419" s="1" t="s">
        <v>2406</v>
      </c>
      <c r="C2419" t="str">
        <f>IFERROR(__xludf.DUMMYFUNCTION("GOOGLETRANSLATE(B2419, ""es"", ""en"")"),"Small and good sound you hear are small and very light, ideal for walking and jogging.")</f>
        <v>Small and good sound you hear are small and very light, ideal for walking and jogging.</v>
      </c>
    </row>
    <row r="2420">
      <c r="A2420" s="1">
        <v>5.0</v>
      </c>
      <c r="B2420" s="1" t="s">
        <v>2407</v>
      </c>
      <c r="C2420" t="str">
        <f>IFERROR(__xludf.DUMMYFUNCTION("GOOGLETRANSLATE(B2420, ""es"", ""en"")"),"Very comfortable they are very cool. In my case they were for a girl to school and so far very well as expected.")</f>
        <v>Very comfortable they are very cool. In my case they were for a girl to school and so far very well as expected.</v>
      </c>
    </row>
    <row r="2421">
      <c r="A2421" s="1">
        <v>5.0</v>
      </c>
      <c r="B2421" s="1" t="s">
        <v>2408</v>
      </c>
      <c r="C2421" t="str">
        <f>IFERROR(__xludf.DUMMYFUNCTION("GOOGLETRANSLATE(B2421, ""es"", ""en"")"),"It looks myself quality; large compared to most standard bags man; original design. Ideal to give it away.")</f>
        <v>It looks myself quality; large compared to most standard bags man; original design. Ideal to give it away.</v>
      </c>
    </row>
    <row r="2422">
      <c r="A2422" s="1">
        <v>5.0</v>
      </c>
      <c r="B2422" s="1" t="s">
        <v>2409</v>
      </c>
      <c r="C2422" t="str">
        <f>IFERROR(__xludf.DUMMYFUNCTION("GOOGLETRANSLATE(B2422, ""es"", ""en"")"),"It has very good hard good finish. Large capacity and fast")</f>
        <v>It has very good hard good finish. Large capacity and fast</v>
      </c>
    </row>
    <row r="2423">
      <c r="A2423" s="1">
        <v>5.0</v>
      </c>
      <c r="B2423" s="1" t="s">
        <v>2410</v>
      </c>
      <c r="C2423" t="str">
        <f>IFERROR(__xludf.DUMMYFUNCTION("GOOGLETRANSLATE(B2423, ""es"", ""en"")"),"Precious delighted and very good quality. The perfect size. I would buy it. I recommend totalmente.fue gift and the owner uses it daily.")</f>
        <v>Precious delighted and very good quality. The perfect size. I would buy it. I recommend totalmente.fue gift and the owner uses it daily.</v>
      </c>
    </row>
    <row r="2424">
      <c r="A2424" s="1">
        <v>5.0</v>
      </c>
      <c r="B2424" s="1" t="s">
        <v>2411</v>
      </c>
      <c r="C2424" t="str">
        <f>IFERROR(__xludf.DUMMYFUNCTION("GOOGLETRANSLATE(B2424, ""es"", ""en"")"),"Puma Chanclas highly recommended and comfortable (I have 42 and maybe I should have asked for 43) Contento.")</f>
        <v>Puma Chanclas highly recommended and comfortable (I have 42 and maybe I should have asked for 43) Contento.</v>
      </c>
    </row>
    <row r="2425">
      <c r="A2425" s="1">
        <v>5.0</v>
      </c>
      <c r="B2425" s="1" t="s">
        <v>2412</v>
      </c>
      <c r="C2425" t="str">
        <f>IFERROR(__xludf.DUMMYFUNCTION("GOOGLETRANSLATE(B2425, ""es"", ""en"")"),"SIZE IS AS IS liked very much")</f>
        <v>SIZE IS AS IS liked very much</v>
      </c>
    </row>
    <row r="2426">
      <c r="A2426" s="1">
        <v>5.0</v>
      </c>
      <c r="B2426" s="1" t="s">
        <v>2413</v>
      </c>
      <c r="C2426" t="str">
        <f>IFERROR(__xludf.DUMMYFUNCTION("GOOGLETRANSLATE(B2426, ""es"", ""en"")"),"Very comfortable practical, comfortable, color is suffering, so little wash, dry fast very satisfied with the purchase, for escelentes walk, carried them up without socks !!!!")</f>
        <v>Very comfortable practical, comfortable, color is suffering, so little wash, dry fast very satisfied with the purchase, for escelentes walk, carried them up without socks !!!!</v>
      </c>
    </row>
    <row r="2427">
      <c r="A2427" s="1">
        <v>5.0</v>
      </c>
      <c r="B2427" s="1" t="s">
        <v>2414</v>
      </c>
      <c r="C2427" t="str">
        <f>IFERROR(__xludf.DUMMYFUNCTION("GOOGLETRANSLATE(B2427, ""es"", ""en"")"),"Have good headphones, it's like having an invisible friend on public transport I've spent years using this brand headphones, what more can I say. Although I once went wrong, with background noise in one of the hulls, this brand never fails.")</f>
        <v>Have good headphones, it's like having an invisible friend on public transport I've spent years using this brand headphones, what more can I say. Although I once went wrong, with background noise in one of the hulls, this brand never fails.</v>
      </c>
    </row>
    <row r="2428">
      <c r="A2428" s="1">
        <v>5.0</v>
      </c>
      <c r="B2428" s="1" t="s">
        <v>2415</v>
      </c>
      <c r="C2428" t="str">
        <f>IFERROR(__xludf.DUMMYFUNCTION("GOOGLETRANSLATE(B2428, ""es"", ""en"")"),"PERFECT PERFECT. DELIVERY TIME.")</f>
        <v>PERFECT PERFECT. DELIVERY TIME.</v>
      </c>
    </row>
    <row r="2429">
      <c r="A2429" s="1">
        <v>5.0</v>
      </c>
      <c r="B2429" s="1" t="s">
        <v>2416</v>
      </c>
      <c r="C2429" t="str">
        <f>IFERROR(__xludf.DUMMYFUNCTION("GOOGLETRANSLATE(B2429, ""es"", ""en"")"),"unsurpassed quality Assuming I'm not a big fan of sports or the mountain, my criticism of this product is a neophyte, I'll just talk about my feelings basic user. Of course, with children, every day more they force you to take off your shoes and put on sl"&amp;"ippers, and hiking with them. These shoes are awesome, nothing but catch them in hand touch, lightweight construction and appearance impresses you. The rubber sole brings some tacos that seems to go up Everest with one hand tied behind his back. It is a p"&amp;"roduct that a lover of adventure and excursions through the countryside or enjoy high mountain like a dwarf. The sizing is quite correct, chock 41-42 and 42're being me go well with thin sock, with thick one fair Pelin. But because they are flexible I do "&amp;"not think I have problem with use. I recommend catch them a little bigger than your usual size. Not comfortable, the following. They are gloves for foot, luxury fit loosely least, wide and comfortable last. It comes with a generous staff and non-slip rubb"&amp;"er sole is lugged, you do not fall for clumsy you are. And the damping is very comfortable. As for the textile, it is Gore-Tex, comfortable, waterproof and breathable, the best thing you can have. The color is green khaki, the photos do not do justice at "&amp;"all. The gums topped with textile this perfectly finished, impeccable. Even the cords are quality. An excellent product for those who love the mountain and adventure, even for a neophyte like me luxury van. Quality pays, but only 1 time")</f>
        <v>unsurpassed quality Assuming I'm not a big fan of sports or the mountain, my criticism of this product is a neophyte, I'll just talk about my feelings basic user. Of course, with children, every day more they force you to take off your shoes and put on slippers, and hiking with them. These shoes are awesome, nothing but catch them in hand touch, lightweight construction and appearance impresses you. The rubber sole brings some tacos that seems to go up Everest with one hand tied behind his back. It is a product that a lover of adventure and excursions through the countryside or enjoy high mountain like a dwarf. The sizing is quite correct, chock 41-42 and 42're being me go well with thin sock, with thick one fair Pelin. But because they are flexible I do not think I have problem with use. I recommend catch them a little bigger than your usual size. Not comfortable, the following. They are gloves for foot, luxury fit loosely least, wide and comfortable last. It comes with a generous staff and non-slip rubber sole is lugged, you do not fall for clumsy you are. And the damping is very comfortable. As for the textile, it is Gore-Tex, comfortable, waterproof and breathable, the best thing you can have. The color is green khaki, the photos do not do justice at all. The gums topped with textile this perfectly finished, impeccable. Even the cords are quality. An excellent product for those who love the mountain and adventure, even for a neophyte like me luxury van. Quality pays, but only 1 time</v>
      </c>
    </row>
    <row r="2430">
      <c r="A2430" s="1">
        <v>5.0</v>
      </c>
      <c r="B2430" s="1" t="s">
        <v>2417</v>
      </c>
      <c r="C2430" t="str">
        <f>IFERROR(__xludf.DUMMYFUNCTION("GOOGLETRANSLATE(B2430, ""es"", ""en"")"),"Excellent product quality, arrived on time and is natural and good smell")</f>
        <v>Excellent product quality, arrived on time and is natural and good smell</v>
      </c>
    </row>
    <row r="2431">
      <c r="A2431" s="1">
        <v>5.0</v>
      </c>
      <c r="B2431" s="1" t="s">
        <v>2418</v>
      </c>
      <c r="C2431" t="str">
        <f>IFERROR(__xludf.DUMMYFUNCTION("GOOGLETRANSLATE(B2431, ""es"", ""en"")"),"Good quality Not the typical folder that you buy in Chinese. If you like plastic very resistant and do not wrinkle to spending a couple of times your notes and want quality for a more Buy eurillos. :)")</f>
        <v>Good quality Not the typical folder that you buy in Chinese. If you like plastic very resistant and do not wrinkle to spending a couple of times your notes and want quality for a more Buy eurillos. :)</v>
      </c>
    </row>
    <row r="2432">
      <c r="A2432" s="1">
        <v>5.0</v>
      </c>
      <c r="B2432" s="1" t="s">
        <v>2419</v>
      </c>
      <c r="C2432" t="str">
        <f>IFERROR(__xludf.DUMMYFUNCTION("GOOGLETRANSLATE(B2432, ""es"", ""en"")"),"Encantado, recommended 100%'ve always wanted one for the neck, all that were found online for the back. The I PROVE as soon as I arrived and it's perfect for my neck pains, relieved me a lot. It also has 3 power levels. I recommend it.")</f>
        <v>Encantado, recommended 100%'ve always wanted one for the neck, all that were found online for the back. The I PROVE as soon as I arrived and it's perfect for my neck pains, relieved me a lot. It also has 3 power levels. I recommend it.</v>
      </c>
    </row>
    <row r="2433">
      <c r="A2433" s="1">
        <v>2.0</v>
      </c>
      <c r="B2433" s="1" t="s">
        <v>2420</v>
      </c>
      <c r="C2433" t="str">
        <f>IFERROR(__xludf.DUMMYFUNCTION("GOOGLETRANSLATE(B2433, ""es"", ""en"")"),"Its price is not justified I returned about JBL E65 because their noise reduction was not what I expected and decided to invest more money in these Bose because the comparisons in magazines specialized and comments from Amazon put them through the roof bu"&amp;"t behind the SONY WH -1000XM3B. They have a good sound but JBL are sharper and sound better. As the JBL materials far outweigh these Bose. Bluetooth range is mediocre, better not many meters away the device. In this JBL it is also much higher. In noise re"&amp;"duction may be somewhat better than JBL but nothing to rave about. In short, I personally do not think the price they have each other and far less justified 90 eur. difference between the two.")</f>
        <v>Its price is not justified I returned about JBL E65 because their noise reduction was not what I expected and decided to invest more money in these Bose because the comparisons in magazines specialized and comments from Amazon put them through the roof but behind the SONY WH -1000XM3B. They have a good sound but JBL are sharper and sound better. As the JBL materials far outweigh these Bose. Bluetooth range is mediocre, better not many meters away the device. In this JBL it is also much higher. In noise reduction may be somewhat better than JBL but nothing to rave about. In short, I personally do not think the price they have each other and far less justified 90 eur. difference between the two.</v>
      </c>
    </row>
    <row r="2434">
      <c r="A2434" s="1">
        <v>3.0</v>
      </c>
      <c r="B2434" s="1" t="s">
        <v>2421</v>
      </c>
      <c r="C2434" t="str">
        <f>IFERROR(__xludf.DUMMYFUNCTION("GOOGLETRANSLATE(B2434, ""es"", ""en"")"),"very cool unique are bad gums are out of the holes with only one day of rest for the original spindle and my daughter is haunted")</f>
        <v>very cool unique are bad gums are out of the holes with only one day of rest for the original spindle and my daughter is haunted</v>
      </c>
    </row>
    <row r="2435">
      <c r="A2435" s="1">
        <v>3.0</v>
      </c>
      <c r="B2435" s="1" t="s">
        <v>2422</v>
      </c>
      <c r="C2435" t="str">
        <f>IFERROR(__xludf.DUMMYFUNCTION("GOOGLETRANSLATE(B2435, ""es"", ""en"")"),"I was surprised by the quality has more quality than I expected in terms of audio. Of course, the clip is broken to apply and remove 5 or 6 times.")</f>
        <v>I was surprised by the quality has more quality than I expected in terms of audio. Of course, the clip is broken to apply and remove 5 or 6 times.</v>
      </c>
    </row>
    <row r="2436">
      <c r="A2436" s="1">
        <v>1.0</v>
      </c>
      <c r="B2436" s="1" t="s">
        <v>2423</v>
      </c>
      <c r="C2436" t="str">
        <f>IFERROR(__xludf.DUMMYFUNCTION("GOOGLETRANSLATE(B2436, ""es"", ""en"")"),"Small size T-shirt is good and nice but the size is incredibly small buy XL and I doubt it's an M. A pity.")</f>
        <v>Small size T-shirt is good and nice but the size is incredibly small buy XL and I doubt it's an M. A pity.</v>
      </c>
    </row>
    <row r="2437">
      <c r="A2437" s="1">
        <v>1.0</v>
      </c>
      <c r="B2437" s="1" t="s">
        <v>2424</v>
      </c>
      <c r="C2437" t="str">
        <f>IFERROR(__xludf.DUMMYFUNCTION("GOOGLETRANSLATE(B2437, ""es"", ""en"")"),"Disappointment I liked its light weight, its running and comfort to their sound but brought no instructions in Castilian and as the battery when I got brought me was impossible to load them into your box and can not use more over.")</f>
        <v>Disappointment I liked its light weight, its running and comfort to their sound but brought no instructions in Castilian and as the battery when I got brought me was impossible to load them into your box and can not use more over.</v>
      </c>
    </row>
    <row r="2438">
      <c r="A2438" s="1">
        <v>1.0</v>
      </c>
      <c r="B2438" s="1" t="s">
        <v>2425</v>
      </c>
      <c r="C2438" t="str">
        <f>IFERROR(__xludf.DUMMYFUNCTION("GOOGLETRANSLATE(B2438, ""es"", ""en"")"),"Cheap Yeah, well not use it to close cardboard boxes and no big deal. Breaks ""solo"", without doing much force. Not hard enough. I bought similar items and similar prices that have been great.")</f>
        <v>Cheap Yeah, well not use it to close cardboard boxes and no big deal. Breaks "solo", without doing much force. Not hard enough. I bought similar items and similar prices that have been great.</v>
      </c>
    </row>
    <row r="2439">
      <c r="A2439" s="1">
        <v>4.0</v>
      </c>
      <c r="B2439" s="1" t="s">
        <v>2426</v>
      </c>
      <c r="C2439" t="str">
        <f>IFERROR(__xludf.DUMMYFUNCTION("GOOGLETRANSLATE(B2439, ""es"", ""en"")"),"COMFORT IS VERY COMFORTABLE TO WALK AND VERY FLEXIBLE, good buy,")</f>
        <v>COMFORT IS VERY COMFORTABLE TO WALK AND VERY FLEXIBLE, good buy,</v>
      </c>
    </row>
    <row r="2440">
      <c r="A2440" s="1">
        <v>4.0</v>
      </c>
      <c r="B2440" s="1" t="s">
        <v>2427</v>
      </c>
      <c r="C2440" t="str">
        <f>IFERROR(__xludf.DUMMYFUNCTION("GOOGLETRANSLATE(B2440, ""es"", ""en"")"),"very light, very comfortable lightweight material.")</f>
        <v>very light, very comfortable lightweight material.</v>
      </c>
    </row>
    <row r="2441">
      <c r="A2441" s="1">
        <v>4.0</v>
      </c>
      <c r="B2441" s="1" t="s">
        <v>2428</v>
      </c>
      <c r="C2441" t="str">
        <f>IFERROR(__xludf.DUMMYFUNCTION("GOOGLETRANSLATE(B2441, ""es"", ""en"")"),"A little small? Buy the watch because it is a classic and to use it when I'm running, it is a bit smaller / fine than imagined, although the measures mentioned in the characteristics, the have it in hand, things change a little, not it is very thick, more"&amp;" or less like a smartphone. That if 100% Original made in Japan, with instructions and warranty (the box is plastic)")</f>
        <v>A little small? Buy the watch because it is a classic and to use it when I'm running, it is a bit smaller / fine than imagined, although the measures mentioned in the characteristics, the have it in hand, things change a little, not it is very thick, more or less like a smartphone. That if 100% Original made in Japan, with instructions and warranty (the box is plastic)</v>
      </c>
    </row>
    <row r="2442">
      <c r="A2442" s="1">
        <v>4.0</v>
      </c>
      <c r="B2442" s="1" t="s">
        <v>2429</v>
      </c>
      <c r="C2442" t="str">
        <f>IFERROR(__xludf.DUMMYFUNCTION("GOOGLETRANSLATE(B2442, ""es"", ""en"")"),"Looks great, but it is not so much once since I've always been CASIO me look best in value, this would be my fourth brand watch (the rest I have given and still work) it is large, hands look very good, which seems to me a mistake screen is very small and "&amp;"barely visible, sometimes with how big can cover your hands are much vision, and something I think imcomprensible is ....... ... why the hell ...... !!! NO LIGHT !!! my previous and less expensive 3 had a very good way to read the display in low or no lig"&amp;"ht and this ........ can not seem silly but it is not, at the least that we move outdoors and often at night, I recommend reading the manual to understand their roles")</f>
        <v>Looks great, but it is not so much once since I've always been CASIO me look best in value, this would be my fourth brand watch (the rest I have given and still work) it is large, hands look very good, which seems to me a mistake screen is very small and barely visible, sometimes with how big can cover your hands are much vision, and something I think imcomprensible is ....... ... why the hell ...... !!! NO LIGHT !!! my previous and less expensive 3 had a very good way to read the display in low or no light and this ........ can not seem silly but it is not, at the least that we move outdoors and often at night, I recommend reading the manual to understand their roles</v>
      </c>
    </row>
    <row r="2443">
      <c r="A2443" s="1">
        <v>5.0</v>
      </c>
      <c r="B2443" s="1" t="s">
        <v>2430</v>
      </c>
      <c r="C2443" t="str">
        <f>IFERROR(__xludf.DUMMYFUNCTION("GOOGLETRANSLATE(B2443, ""es"", ""en"")"),"Very powerful!!!! Package delivered within the time limit, corresponds perfectly described by the seller and would like to highlight its power and value. Magnifica purchase.")</f>
        <v>Very powerful!!!! Package delivered within the time limit, corresponds perfectly described by the seller and would like to highlight its power and value. Magnifica purchase.</v>
      </c>
    </row>
    <row r="2444">
      <c r="A2444" s="1">
        <v>5.0</v>
      </c>
      <c r="B2444" s="1" t="s">
        <v>2431</v>
      </c>
      <c r="C2444" t="str">
        <f>IFERROR(__xludf.DUMMYFUNCTION("GOOGLETRANSLATE(B2444, ""es"", ""en"")"),"Expected, all right without surprises, arrived well and works perfectly")</f>
        <v>Expected, all right without surprises, arrived well and works perfectly</v>
      </c>
    </row>
    <row r="2445">
      <c r="A2445" s="1">
        <v>5.0</v>
      </c>
      <c r="B2445" s="1" t="s">
        <v>2432</v>
      </c>
      <c r="C2445" t="str">
        <f>IFERROR(__xludf.DUMMYFUNCTION("GOOGLETRANSLATE(B2445, ""es"", ""en"")"),"They cut very well and seem durable. Happy with purchase, would buy. Perhaps the price should be a little lower.")</f>
        <v>They cut very well and seem durable. Happy with purchase, would buy. Perhaps the price should be a little lower.</v>
      </c>
    </row>
    <row r="2446">
      <c r="A2446" s="1">
        <v>5.0</v>
      </c>
      <c r="B2446" s="1" t="s">
        <v>2433</v>
      </c>
      <c r="C2446" t="str">
        <f>IFERROR(__xludf.DUMMYFUNCTION("GOOGLETRANSLATE(B2446, ""es"", ""en"")"),"Warms the neck without resistance, but heated. Just received and tested. As it is shown in the picture. Supersoft. Heated very well, although it is true that no resistance in the neck, the cervical heated by proximity of the other, and at the temperature,"&amp;" the more heat. I love.")</f>
        <v>Warms the neck without resistance, but heated. Just received and tested. As it is shown in the picture. Supersoft. Heated very well, although it is true that no resistance in the neck, the cervical heated by proximity of the other, and at the temperature, the more heat. I love.</v>
      </c>
    </row>
    <row r="2447">
      <c r="A2447" s="1">
        <v>5.0</v>
      </c>
      <c r="B2447" s="1" t="s">
        <v>2434</v>
      </c>
      <c r="C2447" t="str">
        <f>IFERROR(__xludf.DUMMYFUNCTION("GOOGLETRANSLATE(B2447, ""es"", ""en"")"),"Tough, good, nice and cheap It has everything that you can ask a clock: analog needle seconds. digital display, alarm clock, stopwatch, dual time (supports two different, useful hours to travel to other time zones), water resistant ... I just had another "&amp;"watch. The only downside is that over time (many years) buttons begin to malfunction. And if you want to keep the seal must carry Casio to change the battery, put new tires and put in a special chamber. It is not expensive and if convenient.")</f>
        <v>Tough, good, nice and cheap It has everything that you can ask a clock: analog needle seconds. digital display, alarm clock, stopwatch, dual time (supports two different, useful hours to travel to other time zones), water resistant ... I just had another watch. The only downside is that over time (many years) buttons begin to malfunction. And if you want to keep the seal must carry Casio to change the battery, put new tires and put in a special chamber. It is not expensive and if convenient.</v>
      </c>
    </row>
    <row r="2448">
      <c r="A2448" s="1">
        <v>5.0</v>
      </c>
      <c r="B2448" s="1" t="s">
        <v>2435</v>
      </c>
      <c r="C2448" t="str">
        <f>IFERROR(__xludf.DUMMYFUNCTION("GOOGLETRANSLATE(B2448, ""es"", ""en"")"),"Sound spectacular. I bought it for the comments but despite all, the surprise was great. Sound great, of course, natural. I do not like materials, very hot ears, but it is supported by listening sound.")</f>
        <v>Sound spectacular. I bought it for the comments but despite all, the surprise was great. Sound great, of course, natural. I do not like materials, very hot ears, but it is supported by listening sound.</v>
      </c>
    </row>
    <row r="2449">
      <c r="A2449" s="1">
        <v>5.0</v>
      </c>
      <c r="B2449" s="1" t="s">
        <v>2436</v>
      </c>
      <c r="C2449" t="str">
        <f>IFERROR(__xludf.DUMMYFUNCTION("GOOGLETRANSLATE(B2449, ""es"", ""en"")"),"Best biberon perfect anti-colic")</f>
        <v>Best biberon perfect anti-colic</v>
      </c>
    </row>
    <row r="2450">
      <c r="A2450" s="1">
        <v>5.0</v>
      </c>
      <c r="B2450" s="1" t="s">
        <v>2437</v>
      </c>
      <c r="C2450" t="str">
        <f>IFERROR(__xludf.DUMMYFUNCTION("GOOGLETRANSLATE(B2450, ""es"", ""en"")"),"are very comfortable Asics have to carve smaller. But all right, I recommend it.")</f>
        <v>are very comfortable Asics have to carve smaller. But all right, I recommend it.</v>
      </c>
    </row>
    <row r="2451">
      <c r="A2451" s="1">
        <v>5.0</v>
      </c>
      <c r="B2451" s="1" t="s">
        <v>2438</v>
      </c>
      <c r="C2451" t="str">
        <f>IFERROR(__xludf.DUMMYFUNCTION("GOOGLETRANSLATE(B2451, ""es"", ""en"")"),"I came as I asked Very good shoes")</f>
        <v>I came as I asked Very good shoes</v>
      </c>
    </row>
    <row r="2452">
      <c r="A2452" s="1">
        <v>5.0</v>
      </c>
      <c r="B2452" s="1" t="s">
        <v>2439</v>
      </c>
      <c r="C2452" t="str">
        <f>IFERROR(__xludf.DUMMYFUNCTION("GOOGLETRANSLATE(B2452, ""es"", ""en"")"),"Skechers Skechers never disappoints use the brand for some time and I've used everything is comfortable and fits the size marking. By by putting a but these shoes ... maybe a little too high in the back.")</f>
        <v>Skechers Skechers never disappoints use the brand for some time and I've used everything is comfortable and fits the size marking. By by putting a but these shoes ... maybe a little too high in the back.</v>
      </c>
    </row>
    <row r="2453">
      <c r="A2453" s="1">
        <v>5.0</v>
      </c>
      <c r="B2453" s="1" t="s">
        <v>2440</v>
      </c>
      <c r="C2453" t="str">
        <f>IFERROR(__xludf.DUMMYFUNCTION("GOOGLETRANSLATE(B2453, ""es"", ""en"")"),"Perfect carving perfect, as we had tried in the store. I will not discover anything now NB, since it is the most comfortable shoe I've tried")</f>
        <v>Perfect carving perfect, as we had tried in the store. I will not discover anything now NB, since it is the most comfortable shoe I've tried</v>
      </c>
    </row>
    <row r="2454">
      <c r="A2454" s="1">
        <v>5.0</v>
      </c>
      <c r="B2454" s="1" t="s">
        <v>2441</v>
      </c>
      <c r="C2454" t="str">
        <f>IFERROR(__xludf.DUMMYFUNCTION("GOOGLETRANSLATE(B2454, ""es"", ""en"")"),"Everything OK! Perfect and very comfortable! I recommend getting less commonly used carving, I usually wear one 39 and have asked for a 38 2/3 heeding the comments I've read, and have successful!")</f>
        <v>Everything OK! Perfect and very comfortable! I recommend getting less commonly used carving, I usually wear one 39 and have asked for a 38 2/3 heeding the comments I've read, and have successful!</v>
      </c>
    </row>
    <row r="2455">
      <c r="A2455" s="1">
        <v>5.0</v>
      </c>
      <c r="B2455" s="1" t="s">
        <v>2442</v>
      </c>
      <c r="C2455" t="str">
        <f>IFERROR(__xludf.DUMMYFUNCTION("GOOGLETRANSLATE(B2455, ""es"", ""en"")"),"Excellent value for money is better than I expected. The materials are of good quality, no creaks or loose parts sound. Quite silent as to use it if there is a person sleeping. Weighs little, so much that a person can use it without getting tired. The bat"&amp;"tery lasts one week giving a daily use of about 15 min. I recommend using 3-Intensive head massage in twins.")</f>
        <v>Excellent value for money is better than I expected. The materials are of good quality, no creaks or loose parts sound. Quite silent as to use it if there is a person sleeping. Weighs little, so much that a person can use it without getting tired. The battery lasts one week giving a daily use of about 15 min. I recommend using 3-Intensive head massage in twins.</v>
      </c>
    </row>
    <row r="2456">
      <c r="A2456" s="1">
        <v>5.0</v>
      </c>
      <c r="B2456" s="1" t="s">
        <v>2443</v>
      </c>
      <c r="C2456" t="str">
        <f>IFERROR(__xludf.DUMMYFUNCTION("GOOGLETRANSLATE(B2456, ""es"", ""en"")"),"I love Marta! Media is great to make numbers fit me very well. The color is super successful, neutral without being the typical white.")</f>
        <v>I love Marta! Media is great to make numbers fit me very well. The color is super successful, neutral without being the typical white.</v>
      </c>
    </row>
    <row r="2457">
      <c r="A2457" s="1">
        <v>5.0</v>
      </c>
      <c r="B2457" s="1" t="s">
        <v>2444</v>
      </c>
      <c r="C2457" t="str">
        <f>IFERROR(__xludf.DUMMYFUNCTION("GOOGLETRANSLATE(B2457, ""es"", ""en"")"),"Very soft pillow comes with an elastic band to ajustártela the part of the body you want. Supersoft touch is very correct and regulations. mode heated hotter than cute.")</f>
        <v>Very soft pillow comes with an elastic band to ajustártela the part of the body you want. Supersoft touch is very correct and regulations. mode heated hotter than cute.</v>
      </c>
    </row>
    <row r="2458">
      <c r="A2458" s="1">
        <v>5.0</v>
      </c>
      <c r="B2458" s="1" t="s">
        <v>2445</v>
      </c>
      <c r="C2458" t="str">
        <f>IFERROR(__xludf.DUMMYFUNCTION("GOOGLETRANSLATE(B2458, ""es"", ""en"")"),"Cracking Powerful, clean and comfortable to use, nice, small. It has it all, if you enjoy fruit smoothies, oatmeal, milk, yogurt is a product ... 10.")</f>
        <v>Cracking Powerful, clean and comfortable to use, nice, small. It has it all, if you enjoy fruit smoothies, oatmeal, milk, yogurt is a product ... 10.</v>
      </c>
    </row>
    <row r="2459">
      <c r="A2459" s="1">
        <v>5.0</v>
      </c>
      <c r="B2459" s="1" t="s">
        <v>2446</v>
      </c>
      <c r="C2459" t="str">
        <f>IFERROR(__xludf.DUMMYFUNCTION("GOOGLETRANSLATE(B2459, ""es"", ""en"")"),"Good buy fulfills its function, we are happy. The material is quality so we will last a few years what we were looking for")</f>
        <v>Good buy fulfills its function, we are happy. The material is quality so we will last a few years what we were looking for</v>
      </c>
    </row>
    <row r="2460">
      <c r="A2460" s="1">
        <v>5.0</v>
      </c>
      <c r="B2460" s="1" t="s">
        <v>2447</v>
      </c>
      <c r="C2460" t="str">
        <f>IFERROR(__xludf.DUMMYFUNCTION("GOOGLETRANSLATE(B2460, ""es"", ""en"")"),"True Wireless very comfortable with good sound quality at a good price. I will screw up bt headphones were wired together and seeing these I opted for the price. I was surprised by the materials, how easy it is to synchronize (it contains instructions in "&amp;"Castilian) and smart buttons to mutate, picking up a call or change songs. Housing to save and load is not very big, you can take it anywhere, and headphones are held well within it via magnet. Once the first synchronization, simply out of the box and tur"&amp;"n on and you link to the smartphone alone, to extinguish the same, to keep them off automatically. Very surprised, I recommend it.")</f>
        <v>True Wireless very comfortable with good sound quality at a good price. I will screw up bt headphones were wired together and seeing these I opted for the price. I was surprised by the materials, how easy it is to synchronize (it contains instructions in Castilian) and smart buttons to mutate, picking up a call or change songs. Housing to save and load is not very big, you can take it anywhere, and headphones are held well within it via magnet. Once the first synchronization, simply out of the box and turn on and you link to the smartphone alone, to extinguish the same, to keep them off automatically. Very surprised, I recommend it.</v>
      </c>
    </row>
    <row r="2461">
      <c r="A2461" s="1">
        <v>5.0</v>
      </c>
      <c r="B2461" s="1" t="s">
        <v>2448</v>
      </c>
      <c r="C2461" t="str">
        <f>IFERROR(__xludf.DUMMYFUNCTION("GOOGLETRANSLATE(B2461, ""es"", ""en"")"),"Arguably the most popular is a high-end hard drive made specifically for use on NAS servers. Slightly more expensive than green and very compatible version, you've been using just over a month and have had no problems with it. Yes, I have within the NAS a"&amp;"nother disc of the same brand but low-end, and the server tells me that both are at the same temperature, so that from the low power consumption and less heat do not know what to think. In any case I bought for their efficiency and durability, and so is b"&amp;"eing / have expectations of it.")</f>
        <v>Arguably the most popular is a high-end hard drive made specifically for use on NAS servers. Slightly more expensive than green and very compatible version, you've been using just over a month and have had no problems with it. Yes, I have within the NAS another disc of the same brand but low-end, and the server tells me that both are at the same temperature, so that from the low power consumption and less heat do not know what to think. In any case I bought for their efficiency and durability, and so is being / have expectations of it.</v>
      </c>
    </row>
    <row r="2462">
      <c r="A2462" s="1">
        <v>2.0</v>
      </c>
      <c r="B2462" s="1" t="s">
        <v>2449</v>
      </c>
      <c r="C2462" t="str">
        <f>IFERROR(__xludf.DUMMYFUNCTION("GOOGLETRANSLATE(B2462, ""es"", ""en"")"),"I'm not convinced ... I just use it to mash or creamed vegetables, but always stays small pieces and is not as smooth cream.")</f>
        <v>I'm not convinced ... I just use it to mash or creamed vegetables, but always stays small pieces and is not as smooth cream.</v>
      </c>
    </row>
    <row r="2463">
      <c r="A2463" s="1">
        <v>3.0</v>
      </c>
      <c r="B2463" s="1" t="s">
        <v>2450</v>
      </c>
      <c r="C2463" t="str">
        <f>IFERROR(__xludf.DUMMYFUNCTION("GOOGLETRANSLATE(B2463, ""es"", ""en"")"),"Normalita mesh. It is a mesh that makes its function, but not too different with others you can buy much cheaper. The problem I see is that I have another another brand, which is very very comfortable with a lot more perspiration than this, is perhaps the"&amp;" best compression but what is very average comfortable. If it seems useful opinion, please Vote me.")</f>
        <v>Normalita mesh. It is a mesh that makes its function, but not too different with others you can buy much cheaper. The problem I see is that I have another another brand, which is very very comfortable with a lot more perspiration than this, is perhaps the best compression but what is very average comfortable. If it seems useful opinion, please Vote me.</v>
      </c>
    </row>
    <row r="2464">
      <c r="A2464" s="1">
        <v>3.0</v>
      </c>
      <c r="B2464" s="1" t="s">
        <v>2451</v>
      </c>
      <c r="C2464" t="str">
        <f>IFERROR(__xludf.DUMMYFUNCTION("GOOGLETRANSLATE(B2464, ""es"", ""en"")"),"Creak a nice but walking the shoe is very cute but every time you take a step, because the outer material, make an annoying noise. Once you put them several times already you pass. They are cold, though.")</f>
        <v>Creak a nice but walking the shoe is very cute but every time you take a step, because the outer material, make an annoying noise. Once you put them several times already you pass. They are cold, though.</v>
      </c>
    </row>
    <row r="2465">
      <c r="A2465" s="1">
        <v>1.0</v>
      </c>
      <c r="B2465" s="1" t="s">
        <v>2452</v>
      </c>
      <c r="C2465" t="str">
        <f>IFERROR(__xludf.DUMMYFUNCTION("GOOGLETRANSLATE(B2465, ""es"", ""en"")"),"The sound is not bona fide thin and metallic, but everything worked well to start, however, after a month, the sound began to dissolve, especially when I was walking. Today was the same and when I returned home, I used them with my laptop, with no respons"&amp;"e. I loaded the headphones, but once loaded completely, not was no sound! Why is the time to return the product is less than a month? (From July 25 to August 19) very disappointed, Richard Froud.")</f>
        <v>The sound is not bona fide thin and metallic, but everything worked well to start, however, after a month, the sound began to dissolve, especially when I was walking. Today was the same and when I returned home, I used them with my laptop, with no response. I loaded the headphones, but once loaded completely, not was no sound! Why is the time to return the product is less than a month? (From July 25 to August 19) very disappointed, Richard Froud.</v>
      </c>
    </row>
    <row r="2466">
      <c r="A2466" s="1">
        <v>4.0</v>
      </c>
      <c r="B2466" s="1" t="s">
        <v>2453</v>
      </c>
      <c r="C2466" t="str">
        <f>IFERROR(__xludf.DUMMYFUNCTION("GOOGLETRANSLATE(B2466, ""es"", ""en"")"),"Krizantha I arrive at the estimated time, the color is indicating the photo and is ideal for sports, the only thing is that shrinking after several washings")</f>
        <v>Krizantha I arrive at the estimated time, the color is indicating the photo and is ideal for sports, the only thing is that shrinking after several washings</v>
      </c>
    </row>
    <row r="2467">
      <c r="A2467" s="1">
        <v>4.0</v>
      </c>
      <c r="B2467" s="1" t="s">
        <v>2454</v>
      </c>
      <c r="C2467" t="str">
        <f>IFERROR(__xludf.DUMMYFUNCTION("GOOGLETRANSLATE(B2467, ""es"", ""en"")"),"Functional and good buy !!! Good blender: ice pick, smoothies on your point is very well sauces, creams, fruits, vegetables ... It was a gift for my mother is delighted.")</f>
        <v>Functional and good buy !!! Good blender: ice pick, smoothies on your point is very well sauces, creams, fruits, vegetables ... It was a gift for my mother is delighted.</v>
      </c>
    </row>
    <row r="2468">
      <c r="A2468" s="1">
        <v>4.0</v>
      </c>
      <c r="B2468" s="1" t="s">
        <v>2455</v>
      </c>
      <c r="C2468" t="str">
        <f>IFERROR(__xludf.DUMMYFUNCTION("GOOGLETRANSLATE(B2468, ""es"", ""en"")"),"Happy with purchase Very nice, three bright colors, however it is very small, I would have liked a slightly larger but otherwise I am pleased with the purchase, is a gift, I hope you like it")</f>
        <v>Happy with purchase Very nice, three bright colors, however it is very small, I would have liked a slightly larger but otherwise I am pleased with the purchase, is a gift, I hope you like it</v>
      </c>
    </row>
    <row r="2469">
      <c r="A2469" s="1">
        <v>4.0</v>
      </c>
      <c r="B2469" s="1" t="s">
        <v>2456</v>
      </c>
      <c r="C2469" t="str">
        <f>IFERROR(__xludf.DUMMYFUNCTION("GOOGLETRANSLATE(B2469, ""es"", ""en"")"),"Low quality materials The materials are of low quality. A less than I expected Adidas. I do not think that will last long.")</f>
        <v>Low quality materials The materials are of low quality. A less than I expected Adidas. I do not think that will last long.</v>
      </c>
    </row>
    <row r="2470">
      <c r="A2470" s="1">
        <v>4.0</v>
      </c>
      <c r="B2470" s="1" t="s">
        <v>2457</v>
      </c>
      <c r="C2470" t="str">
        <f>IFERROR(__xludf.DUMMYFUNCTION("GOOGLETRANSLATE(B2470, ""es"", ""en"")"),"For money, recommended product. Good, regarding the shipment, I received earlier than expected. The product is as expected. Comes in a zippered pouch right size to carry and hard material so they do not crush, sound better than I expected, no noise from t"&amp;"he outside and are well suited also bring several pads of different sizes. I have given 4 stars for that even I have not used a lot and I can not give an opinion durability and long-term operation, if not give them 5 for the price and quality a recommenda"&amp;"ble product.")</f>
        <v>For money, recommended product. Good, regarding the shipment, I received earlier than expected. The product is as expected. Comes in a zippered pouch right size to carry and hard material so they do not crush, sound better than I expected, no noise from the outside and are well suited also bring several pads of different sizes. I have given 4 stars for that even I have not used a lot and I can not give an opinion durability and long-term operation, if not give them 5 for the price and quality a recommendable product.</v>
      </c>
    </row>
    <row r="2471">
      <c r="A2471" s="1">
        <v>5.0</v>
      </c>
      <c r="B2471" s="1" t="s">
        <v>2458</v>
      </c>
      <c r="C2471" t="str">
        <f>IFERROR(__xludf.DUMMYFUNCTION("GOOGLETRANSLATE(B2471, ""es"", ""en"")"),"Beautiful and excellent quality Casio LINEAGE family begin to notice the quality materials. Sapphire crystal, polished steel and very good reading of the needles, which are also visible in the dark for a long time. In addition, the fact that it is powered"&amp;" by the sun avoids have to be open virtually over its lifetime, which makes it watertight and prevents spoilage. Comfortable and functional elgante (5 alarms, stopwatch, countdown, radio synchronization ...). You can not ask for more. As downside (for me "&amp;"it is not) you could say that light is a little weak, but from my point of view is not necessary to see the time in the dark.")</f>
        <v>Beautiful and excellent quality Casio LINEAGE family begin to notice the quality materials. Sapphire crystal, polished steel and very good reading of the needles, which are also visible in the dark for a long time. In addition, the fact that it is powered by the sun avoids have to be open virtually over its lifetime, which makes it watertight and prevents spoilage. Comfortable and functional elgante (5 alarms, stopwatch, countdown, radio synchronization ...). You can not ask for more. As downside (for me it is not) you could say that light is a little weak, but from my point of view is not necessary to see the time in the dark.</v>
      </c>
    </row>
    <row r="2472">
      <c r="A2472" s="1">
        <v>5.0</v>
      </c>
      <c r="B2472" s="1" t="s">
        <v>2459</v>
      </c>
      <c r="C2472" t="str">
        <f>IFERROR(__xludf.DUMMYFUNCTION("GOOGLETRANSLATE(B2472, ""es"", ""en"")"),"Very comfortable you want to temporarily take desdechufar some I use it to temporarily turn off the stove without unplugging and being able to use other outlets such as for the presenter")</f>
        <v>Very comfortable you want to temporarily take desdechufar some I use it to temporarily turn off the stove without unplugging and being able to use other outlets such as for the presenter</v>
      </c>
    </row>
    <row r="2473">
      <c r="A2473" s="1">
        <v>5.0</v>
      </c>
      <c r="B2473" s="1" t="s">
        <v>2460</v>
      </c>
      <c r="C2473" t="str">
        <f>IFERROR(__xludf.DUMMYFUNCTION("GOOGLETRANSLATE(B2473, ""es"", ""en"")"),"perfect organization The product has a high adhesion, so it is fantastic without worrying that may detach from time to time. Highly recommended.")</f>
        <v>perfect organization The product has a high adhesion, so it is fantastic without worrying that may detach from time to time. Highly recommended.</v>
      </c>
    </row>
    <row r="2474">
      <c r="A2474" s="1">
        <v>5.0</v>
      </c>
      <c r="B2474" s="1" t="s">
        <v>2461</v>
      </c>
      <c r="C2474" t="str">
        <f>IFERROR(__xludf.DUMMYFUNCTION("GOOGLETRANSLATE(B2474, ""es"", ""en"")"),"Very comfortable. Comfortable, solid and good material.")</f>
        <v>Very comfortable. Comfortable, solid and good material.</v>
      </c>
    </row>
    <row r="2475">
      <c r="A2475" s="1">
        <v>5.0</v>
      </c>
      <c r="B2475" s="1" t="s">
        <v>2462</v>
      </c>
      <c r="C2475" t="str">
        <f>IFERROR(__xludf.DUMMYFUNCTION("GOOGLETRANSLATE(B2475, ""es"", ""en"")"),"Good Value Everyone should have this pack at home. They are wonderful. Worth spending a little more and have these rules.")</f>
        <v>Good Value Everyone should have this pack at home. They are wonderful. Worth spending a little more and have these rules.</v>
      </c>
    </row>
    <row r="2476">
      <c r="A2476" s="1">
        <v>5.0</v>
      </c>
      <c r="B2476" s="1" t="s">
        <v>2463</v>
      </c>
      <c r="C2476" t="str">
        <f>IFERROR(__xludf.DUMMYFUNCTION("GOOGLETRANSLATE(B2476, ""es"", ""en"")"),"Free Ink For me the most important has been servicing ink HP ink that gives me free if you do not print more than 15 pages a month. What I do is print or scan from time to time by need (tags Amazon, copies of the ID card, etc ...), and if you need to prin"&amp;"t 200 pages, go to a local printer. At the end I have a printer at home for my emergency things a free ink.")</f>
        <v>Free Ink For me the most important has been servicing ink HP ink that gives me free if you do not print more than 15 pages a month. What I do is print or scan from time to time by need (tags Amazon, copies of the ID card, etc ...), and if you need to print 200 pages, go to a local printer. At the end I have a printer at home for my emergency things a free ink.</v>
      </c>
    </row>
    <row r="2477">
      <c r="A2477" s="1">
        <v>5.0</v>
      </c>
      <c r="B2477" s="1" t="s">
        <v>2464</v>
      </c>
      <c r="C2477" t="str">
        <f>IFERROR(__xludf.DUMMYFUNCTION("GOOGLETRANSLATE(B2477, ""es"", ""en"")"),"It's beautiful and comfortable beautiful and very comfortable, my boy loved it. Very good quality is giving much use for work")</f>
        <v>It's beautiful and comfortable beautiful and very comfortable, my boy loved it. Very good quality is giving much use for work</v>
      </c>
    </row>
    <row r="2478">
      <c r="A2478" s="1">
        <v>5.0</v>
      </c>
      <c r="B2478" s="1" t="s">
        <v>2465</v>
      </c>
      <c r="C2478" t="str">
        <f>IFERROR(__xludf.DUMMYFUNCTION("GOOGLETRANSLATE(B2478, ""es"", ""en"")"),"Much better than I expected Well, I've found it much better than I expected, with good finishes and it works great.")</f>
        <v>Much better than I expected Well, I've found it much better than I expected, with good finishes and it works great.</v>
      </c>
    </row>
    <row r="2479">
      <c r="A2479" s="1">
        <v>5.0</v>
      </c>
      <c r="B2479" s="1" t="s">
        <v>2466</v>
      </c>
      <c r="C2479" t="str">
        <f>IFERROR(__xludf.DUMMYFUNCTION("GOOGLETRANSLATE(B2479, ""es"", ""en"")"),"I love !! I love !!! They are lightweight, very nice and comfortable")</f>
        <v>I love !! I love !!! They are lightweight, very nice and comfortable</v>
      </c>
    </row>
    <row r="2480">
      <c r="A2480" s="1">
        <v>5.0</v>
      </c>
      <c r="B2480" s="1" t="s">
        <v>2467</v>
      </c>
      <c r="C2480" t="str">
        <f>IFERROR(__xludf.DUMMYFUNCTION("GOOGLETRANSLATE(B2480, ""es"", ""en"")"),"Super I liked")</f>
        <v>Super I liked</v>
      </c>
    </row>
    <row r="2481">
      <c r="A2481" s="1">
        <v>5.0</v>
      </c>
      <c r="B2481" s="1" t="s">
        <v>2468</v>
      </c>
      <c r="C2481" t="str">
        <f>IFERROR(__xludf.DUMMYFUNCTION("GOOGLETRANSLATE(B2481, ""es"", ""en"")"),"right perfect delivery.")</f>
        <v>right perfect delivery.</v>
      </c>
    </row>
    <row r="2482">
      <c r="A2482" s="1">
        <v>5.0</v>
      </c>
      <c r="B2482" s="1" t="s">
        <v>2469</v>
      </c>
      <c r="C2482" t="str">
        <f>IFERROR(__xludf.DUMMYFUNCTION("GOOGLETRANSLATE(B2482, ""es"", ""en"")"),"Very good pack good pack of socks are fine for summer and variety comes to you very well for different times. I have used them to go out and play paddle and work well. Time will decide the duration!")</f>
        <v>Very good pack good pack of socks are fine for summer and variety comes to you very well for different times. I have used them to go out and play paddle and work well. Time will decide the duration!</v>
      </c>
    </row>
    <row r="2483">
      <c r="A2483" s="1">
        <v>5.0</v>
      </c>
      <c r="B2483" s="1" t="s">
        <v>2470</v>
      </c>
      <c r="C2483" t="str">
        <f>IFERROR(__xludf.DUMMYFUNCTION("GOOGLETRANSLATE(B2483, ""es"", ""en"")"),"Very comfortable and effective anti-colic Bottle effective. Do not spill valve and expels air either inside. I have several of this brand and others Dr Brown and truly these Avent I like more because they are more comfortable and less leakage of milk.")</f>
        <v>Very comfortable and effective anti-colic Bottle effective. Do not spill valve and expels air either inside. I have several of this brand and others Dr Brown and truly these Avent I like more because they are more comfortable and less leakage of milk.</v>
      </c>
    </row>
    <row r="2484">
      <c r="A2484" s="1">
        <v>5.0</v>
      </c>
      <c r="B2484" s="1" t="s">
        <v>2471</v>
      </c>
      <c r="C2484" t="str">
        <f>IFERROR(__xludf.DUMMYFUNCTION("GOOGLETRANSLATE(B2484, ""es"", ""en"")"),"Perfect Perfect, good looks perfect sphere time. So far no failure")</f>
        <v>Perfect Perfect, good looks perfect sphere time. So far no failure</v>
      </c>
    </row>
    <row r="2485">
      <c r="A2485" s="1">
        <v>5.0</v>
      </c>
      <c r="B2485" s="1" t="s">
        <v>2472</v>
      </c>
      <c r="C2485" t="str">
        <f>IFERROR(__xludf.DUMMYFUNCTION("GOOGLETRANSLATE(B2485, ""es"", ""en"")"),"Good smell. It smells good")</f>
        <v>Good smell. It smells good</v>
      </c>
    </row>
    <row r="2486">
      <c r="A2486" s="1">
        <v>5.0</v>
      </c>
      <c r="B2486" s="1" t="s">
        <v>2473</v>
      </c>
      <c r="C2486" t="str">
        <f>IFERROR(__xludf.DUMMYFUNCTION("GOOGLETRANSLATE(B2486, ""es"", ""en"")"),"Comodo Very comfortable, in perfect condition very nice color, as described by")</f>
        <v>Comodo Very comfortable, in perfect condition very nice color, as described by</v>
      </c>
    </row>
    <row r="2487">
      <c r="A2487" s="1">
        <v>5.0</v>
      </c>
      <c r="B2487" s="1" t="s">
        <v>2474</v>
      </c>
      <c r="C2487" t="str">
        <f>IFERROR(__xludf.DUMMYFUNCTION("GOOGLETRANSLATE(B2487, ""es"", ""en"")"),"I loved arrived before the delivery date. It's just what I needed to do my set Up to study and record vocals and guitar. Controls levels of EQ are very convenient and power meter effects the entry for that purpose I think a very important addition since I"&amp;" use my micro BR Boss to put reverb and other effects deciding the level which affects each track. Just delighted with all the possibilities that it has opened. Also you can use the input tape and effect return channels for use for two more in the case of"&amp;" need include more instruments. More than enough for what I'll do with it.")</f>
        <v>I loved arrived before the delivery date. It's just what I needed to do my set Up to study and record vocals and guitar. Controls levels of EQ are very convenient and power meter effects the entry for that purpose I think a very important addition since I use my micro BR Boss to put reverb and other effects deciding the level which affects each track. Just delighted with all the possibilities that it has opened. Also you can use the input tape and effect return channels for use for two more in the case of need include more instruments. More than enough for what I'll do with it.</v>
      </c>
    </row>
    <row r="2488">
      <c r="A2488" s="1">
        <v>5.0</v>
      </c>
      <c r="B2488" s="1" t="s">
        <v>2475</v>
      </c>
      <c r="C2488" t="str">
        <f>IFERROR(__xludf.DUMMYFUNCTION("GOOGLETRANSLATE(B2488, ""es"", ""en"")"),"It works perfect Large capacity and proper functioning")</f>
        <v>It works perfect Large capacity and proper functioning</v>
      </c>
    </row>
    <row r="2489">
      <c r="A2489" s="1">
        <v>5.0</v>
      </c>
      <c r="B2489" s="1" t="s">
        <v>2476</v>
      </c>
      <c r="C2489" t="str">
        <f>IFERROR(__xludf.DUMMYFUNCTION("GOOGLETRANSLATE(B2489, ""es"", ""en"")"),"Perfect for sports pants I look great. Sizes are quite similar and elastic leaves tight pants. It has details on fosforito yellow that comes in handy when you jog and see you. Even if there are some tight pants doing stretches for the calf it has elastic "&amp;"strips, which is good because although estores will not have much problem it will split or slit pants. It also has pockets and one zippered back with perfect store keys, etc. when you jog. For the price it is pretty good")</f>
        <v>Perfect for sports pants I look great. Sizes are quite similar and elastic leaves tight pants. It has details on fosforito yellow that comes in handy when you jog and see you. Even if there are some tight pants doing stretches for the calf it has elastic strips, which is good because although estores will not have much problem it will split or slit pants. It also has pockets and one zippered back with perfect store keys, etc. when you jog. For the price it is pretty good</v>
      </c>
    </row>
    <row r="2490">
      <c r="A2490" s="1">
        <v>2.0</v>
      </c>
      <c r="B2490" s="1" t="s">
        <v>2477</v>
      </c>
      <c r="C2490" t="str">
        <f>IFERROR(__xludf.DUMMYFUNCTION("GOOGLETRANSLATE(B2490, ""es"", ""en"")"),"Beatriz came without handle ydesde Amazon restocked me another also came without a handle, and I do not, it is clear that this bucket comes without the handle.")</f>
        <v>Beatriz came without handle ydesde Amazon restocked me another also came without a handle, and I do not, it is clear that this bucket comes without the handle.</v>
      </c>
    </row>
    <row r="2491">
      <c r="A2491" s="1">
        <v>3.0</v>
      </c>
      <c r="B2491" s="1" t="s">
        <v>2478</v>
      </c>
      <c r="C2491" t="str">
        <f>IFERROR(__xludf.DUMMYFUNCTION("GOOGLETRANSLATE(B2491, ""es"", ""en"")"),"Bonita is the announcement, comfortable and beautiful it says")</f>
        <v>Bonita is the announcement, comfortable and beautiful it says</v>
      </c>
    </row>
    <row r="2492">
      <c r="A2492" s="1">
        <v>1.0</v>
      </c>
      <c r="B2492" s="1" t="s">
        <v>2479</v>
      </c>
      <c r="C2492" t="str">
        <f>IFERROR(__xludf.DUMMYFUNCTION("GOOGLETRANSLATE(B2492, ""es"", ""en"")"),"Too little more than one size smaller.")</f>
        <v>Too little more than one size smaller.</v>
      </c>
    </row>
    <row r="2493">
      <c r="A2493" s="1">
        <v>1.0</v>
      </c>
      <c r="B2493" s="1" t="s">
        <v>2480</v>
      </c>
      <c r="C2493" t="str">
        <f>IFERROR(__xludf.DUMMYFUNCTION("GOOGLETRANSLATE(B2493, ""es"", ""en"")"),"HAVE SENT ME WHAT I HAVE PURCHASED HAVE SENT ME THE COLOR BLACK. I've contacted the seller and even send picture (black, calaro) and have not received a response. By the way the black ones have red zippers. I have stayed with her to not get in trouble ret"&amp;"urns. I imagine that buying online has these risks ....")</f>
        <v>HAVE SENT ME WHAT I HAVE PURCHASED HAVE SENT ME THE COLOR BLACK. I've contacted the seller and even send picture (black, calaro) and have not received a response. By the way the black ones have red zippers. I have stayed with her to not get in trouble returns. I imagine that buying online has these risks ....</v>
      </c>
    </row>
    <row r="2494">
      <c r="A2494" s="1">
        <v>1.0</v>
      </c>
      <c r="B2494" s="1" t="s">
        <v>2481</v>
      </c>
      <c r="C2494" t="str">
        <f>IFERROR(__xludf.DUMMYFUNCTION("GOOGLETRANSLATE(B2494, ""es"", ""en"")"),"Penoso not work !!! It worked the first two days, but as they say other opinions, two days does not recognize any device.")</f>
        <v>Penoso not work !!! It worked the first two days, but as they say other opinions, two days does not recognize any device.</v>
      </c>
    </row>
    <row r="2495">
      <c r="A2495" s="1">
        <v>4.0</v>
      </c>
      <c r="B2495" s="1" t="s">
        <v>2482</v>
      </c>
      <c r="C2495" t="str">
        <f>IFERROR(__xludf.DUMMYFUNCTION("GOOGLETRANSLATE(B2495, ""es"", ""en"")"),"opinion after a few days of use have to say have good audio quality, but sometime not well synchronized left atrial")</f>
        <v>opinion after a few days of use have to say have good audio quality, but sometime not well synchronized left atrial</v>
      </c>
    </row>
    <row r="2496">
      <c r="A2496" s="1">
        <v>4.0</v>
      </c>
      <c r="B2496" s="1" t="s">
        <v>2483</v>
      </c>
      <c r="C2496" t="str">
        <f>IFERROR(__xludf.DUMMYFUNCTION("GOOGLETRANSLATE(B2496, ""es"", ""en"")"),"For great summer there are very nice, I liked a lot, although the wire is a bit thin, it should be stronger.")</f>
        <v>For great summer there are very nice, I liked a lot, although the wire is a bit thin, it should be stronger.</v>
      </c>
    </row>
    <row r="2497">
      <c r="A2497" s="1">
        <v>4.0</v>
      </c>
      <c r="B2497" s="1" t="s">
        <v>2484</v>
      </c>
      <c r="C2497" t="str">
        <f>IFERROR(__xludf.DUMMYFUNCTION("GOOGLETRANSLATE(B2497, ""es"", ""en"")"),"I love. I encanta.Es as expected for the girl. Well, we all know that the Casio brand comes out pretty well. / Value I recommend it!")</f>
        <v>I love. I encanta.Es as expected for the girl. Well, we all know that the Casio brand comes out pretty well. / Value I recommend it!</v>
      </c>
    </row>
    <row r="2498">
      <c r="A2498" s="1">
        <v>4.0</v>
      </c>
      <c r="B2498" s="1" t="s">
        <v>2485</v>
      </c>
      <c r="C2498" t="str">
        <f>IFERROR(__xludf.DUMMYFUNCTION("GOOGLETRANSLATE(B2498, ""es"", ""en"")"),"It is resistant has a good size")</f>
        <v>It is resistant has a good size</v>
      </c>
    </row>
    <row r="2499">
      <c r="A2499" s="1">
        <v>4.0</v>
      </c>
      <c r="B2499" s="1" t="s">
        <v>2486</v>
      </c>
      <c r="C2499" t="str">
        <f>IFERROR(__xludf.DUMMYFUNCTION("GOOGLETRANSLATE(B2499, ""es"", ""en"")"),"ok perfect All right, fine carving. and brings tie shoelaces and rope. They are great and are very comfortable")</f>
        <v>ok perfect All right, fine carving. and brings tie shoelaces and rope. They are great and are very comfortable</v>
      </c>
    </row>
    <row r="2500">
      <c r="A2500" s="1">
        <v>5.0</v>
      </c>
      <c r="B2500" s="1" t="s">
        <v>2487</v>
      </c>
      <c r="C2500" t="str">
        <f>IFERROR(__xludf.DUMMYFUNCTION("GOOGLETRANSLATE(B2500, ""es"", ""en"")"),"A great our baby loves. Unlike other teats, is it like a nipple and although mame you can keep it in your mouth. Flow marks the baby, because if not suck and does not drip force. The system of silicone bag is very good, and very easy to clean. We have thi"&amp;"s and two teats Calma, we vary. Both are great.")</f>
        <v>A great our baby loves. Unlike other teats, is it like a nipple and although mame you can keep it in your mouth. Flow marks the baby, because if not suck and does not drip force. The system of silicone bag is very good, and very easy to clean. We have this and two teats Calma, we vary. Both are great.</v>
      </c>
    </row>
    <row r="2501">
      <c r="A2501" s="1">
        <v>5.0</v>
      </c>
      <c r="B2501" s="1" t="s">
        <v>2488</v>
      </c>
      <c r="C2501" t="str">
        <f>IFERROR(__xludf.DUMMYFUNCTION("GOOGLETRANSLATE(B2501, ""es"", ""en"")"),"FANDARE and backpacks the best option I had a mishap with the backpack but it was sorted very professionally and I must say it is a wise purchase 100%. If you importancua give to humane treatment and to guarantee FANDARE this backpack is the best choice.")</f>
        <v>FANDARE and backpacks the best option I had a mishap with the backpack but it was sorted very professionally and I must say it is a wise purchase 100%. If you importancua give to humane treatment and to guarantee FANDARE this backpack is the best choice.</v>
      </c>
    </row>
    <row r="2502">
      <c r="A2502" s="1">
        <v>5.0</v>
      </c>
      <c r="B2502" s="1" t="s">
        <v>2489</v>
      </c>
      <c r="C2502" t="str">
        <f>IFERROR(__xludf.DUMMYFUNCTION("GOOGLETRANSLATE(B2502, ""es"", ""en"")"),"Great size perfect and the price is very good!")</f>
        <v>Great size perfect and the price is very good!</v>
      </c>
    </row>
    <row r="2503">
      <c r="A2503" s="1">
        <v>5.0</v>
      </c>
      <c r="B2503" s="1" t="s">
        <v>2490</v>
      </c>
      <c r="C2503" t="str">
        <f>IFERROR(__xludf.DUMMYFUNCTION("GOOGLETRANSLATE(B2503, ""es"", ""en"")"),"Perfect speed and quality item and fast shipping. Price high for off season.")</f>
        <v>Perfect speed and quality item and fast shipping. Price high for off season.</v>
      </c>
    </row>
    <row r="2504">
      <c r="A2504" s="1">
        <v>5.0</v>
      </c>
      <c r="B2504" s="1" t="s">
        <v>2491</v>
      </c>
      <c r="C2504" t="str">
        <f>IFERROR(__xludf.DUMMYFUNCTION("GOOGLETRANSLATE(B2504, ""es"", ""en"")"),"Well I love !! Although sizing small, that if otherwise phenomenal.")</f>
        <v>Well I love !! Although sizing small, that if otherwise phenomenal.</v>
      </c>
    </row>
    <row r="2505">
      <c r="A2505" s="1">
        <v>5.0</v>
      </c>
      <c r="B2505" s="1" t="s">
        <v>2492</v>
      </c>
      <c r="C2505" t="str">
        <f>IFERROR(__xludf.DUMMYFUNCTION("GOOGLETRANSLATE(B2505, ""es"", ""en"")"),"One last Luismiebg shoes are very comfortable and hard. Is the third pair of the same that spending and are great.")</f>
        <v>One last Luismiebg shoes are very comfortable and hard. Is the third pair of the same that spending and are great.</v>
      </c>
    </row>
    <row r="2506">
      <c r="A2506" s="1">
        <v>5.0</v>
      </c>
      <c r="B2506" s="1" t="s">
        <v>2493</v>
      </c>
      <c r="C2506" t="str">
        <f>IFERROR(__xludf.DUMMYFUNCTION("GOOGLETRANSLATE(B2506, ""es"", ""en"")"),"It is perfect Very small, it is what I loved looking")</f>
        <v>It is perfect Very small, it is what I loved looking</v>
      </c>
    </row>
    <row r="2507">
      <c r="A2507" s="1">
        <v>5.0</v>
      </c>
      <c r="B2507" s="1" t="s">
        <v>2494</v>
      </c>
      <c r="C2507" t="str">
        <f>IFERROR(__xludf.DUMMYFUNCTION("GOOGLETRANSLATE(B2507, ""es"", ""en"")"),"Very good Recommended 100% original have been a gift and I was right. Good materials and very comfortable. The fabric is 100% white strip slightly to off-white.")</f>
        <v>Very good Recommended 100% original have been a gift and I was right. Good materials and very comfortable. The fabric is 100% white strip slightly to off-white.</v>
      </c>
    </row>
    <row r="2508">
      <c r="A2508" s="1">
        <v>5.0</v>
      </c>
      <c r="B2508" s="1" t="s">
        <v>2495</v>
      </c>
      <c r="C2508" t="str">
        <f>IFERROR(__xludf.DUMMYFUNCTION("GOOGLETRANSLATE(B2508, ""es"", ""en"")"),"This is excellent because you bought the 4th .. To give 😉 And logically have gone fabulous acquire it working!")</f>
        <v>This is excellent because you bought the 4th .. To give 😉 And logically have gone fabulous acquire it working!</v>
      </c>
    </row>
    <row r="2509">
      <c r="A2509" s="1">
        <v>5.0</v>
      </c>
      <c r="B2509" s="1" t="s">
        <v>2496</v>
      </c>
      <c r="C2509" t="str">
        <f>IFERROR(__xludf.DUMMYFUNCTION("GOOGLETRANSLATE(B2509, ""es"", ""en"")"),"Necklace necklace was a gift and the person who has received has been delighted. Chain is finite and in size of the medallion is fine. Good product.")</f>
        <v>Necklace necklace was a gift and the person who has received has been delighted. Chain is finite and in size of the medallion is fine. Good product.</v>
      </c>
    </row>
    <row r="2510">
      <c r="A2510" s="1">
        <v>5.0</v>
      </c>
      <c r="B2510" s="1" t="s">
        <v>2497</v>
      </c>
      <c r="C2510" t="str">
        <f>IFERROR(__xludf.DUMMYFUNCTION("GOOGLETRANSLATE(B2510, ""es"", ""en"")"),"I love good product! very strong, it is a very good product and comfortable, I recommend it without a doubt !. I bought a couple 4 months ago and are still as new.")</f>
        <v>I love good product! very strong, it is a very good product and comfortable, I recommend it without a doubt !. I bought a couple 4 months ago and are still as new.</v>
      </c>
    </row>
    <row r="2511">
      <c r="A2511" s="1">
        <v>5.0</v>
      </c>
      <c r="B2511" s="1" t="s">
        <v>2498</v>
      </c>
      <c r="C2511" t="str">
        <f>IFERROR(__xludf.DUMMYFUNCTION("GOOGLETRANSLATE(B2511, ""es"", ""en"")"),"As nice looks. Is very pretty. Hopefully that's not ugly wet it gets, looks good quality")</f>
        <v>As nice looks. Is very pretty. Hopefully that's not ugly wet it gets, looks good quality</v>
      </c>
    </row>
    <row r="2512">
      <c r="A2512" s="1">
        <v>5.0</v>
      </c>
      <c r="B2512" s="1" t="s">
        <v>2499</v>
      </c>
      <c r="C2512" t="str">
        <f>IFERROR(__xludf.DUMMYFUNCTION("GOOGLETRANSLATE(B2512, ""es"", ""en"")"),"Toilet brush and holder. Ecobilla supported. The silicone brush is best to clean dirt. The support is plastic. The brush can be removed. It weighs nothing and can easily linpiar.")</f>
        <v>Toilet brush and holder. Ecobilla supported. The silicone brush is best to clean dirt. The support is plastic. The brush can be removed. It weighs nothing and can easily linpiar.</v>
      </c>
    </row>
    <row r="2513">
      <c r="A2513" s="1">
        <v>5.0</v>
      </c>
      <c r="B2513" s="1" t="s">
        <v>2500</v>
      </c>
      <c r="C2513" t="str">
        <f>IFERROR(__xludf.DUMMYFUNCTION("GOOGLETRANSLATE(B2513, ""es"", ""en"")"),"Great quality / price for a headset and took several years using these headphones, both home to go jogging. I have bought several since at the end, with the cane I give them, just breaking down. I have bought these for a family, which already had about th"&amp;"e same for some time. The quality of the sound, without being a 10, it's pretty good and normal activities, I do not think it necessary to spend more.")</f>
        <v>Great quality / price for a headset and took several years using these headphones, both home to go jogging. I have bought several since at the end, with the cane I give them, just breaking down. I have bought these for a family, which already had about the same for some time. The quality of the sound, without being a 10, it's pretty good and normal activities, I do not think it necessary to spend more.</v>
      </c>
    </row>
    <row r="2514">
      <c r="A2514" s="1">
        <v>5.0</v>
      </c>
      <c r="B2514" s="1" t="s">
        <v>2501</v>
      </c>
      <c r="C2514" t="str">
        <f>IFERROR(__xludf.DUMMYFUNCTION("GOOGLETRANSLATE(B2514, ""es"", ""en"")"),"Good size and very comfortable I have received the item and is fine. Very practical. A medium sized but capable and comfortable pockets.")</f>
        <v>Good size and very comfortable I have received the item and is fine. Very practical. A medium sized but capable and comfortable pockets.</v>
      </c>
    </row>
    <row r="2515">
      <c r="A2515" s="1">
        <v>5.0</v>
      </c>
      <c r="B2515" s="1" t="s">
        <v>2502</v>
      </c>
      <c r="C2515" t="str">
        <f>IFERROR(__xludf.DUMMYFUNCTION("GOOGLETRANSLATE(B2515, ""es"", ""en"")"),"Elegant and fine Surprised and happy. ideal, slim and stylish size. I bought it to give to my mother and is very happy. Good size and light weight. Good finish and btillante. Very happy")</f>
        <v>Elegant and fine Surprised and happy. ideal, slim and stylish size. I bought it to give to my mother and is very happy. Good size and light weight. Good finish and btillante. Very happy</v>
      </c>
    </row>
    <row r="2516">
      <c r="A2516" s="1">
        <v>5.0</v>
      </c>
      <c r="B2516" s="1" t="s">
        <v>2503</v>
      </c>
      <c r="C2516" t="str">
        <f>IFERROR(__xludf.DUMMYFUNCTION("GOOGLETRANSLATE(B2516, ""es"", ""en"")"),"Perfect jewel wonderful and very beautiful.")</f>
        <v>Perfect jewel wonderful and very beautiful.</v>
      </c>
    </row>
    <row r="2517">
      <c r="A2517" s="1">
        <v>5.0</v>
      </c>
      <c r="B2517" s="1" t="s">
        <v>2504</v>
      </c>
      <c r="C2517" t="str">
        <f>IFERROR(__xludf.DUMMYFUNCTION("GOOGLETRANSLATE(B2517, ""es"", ""en"")"),"Perfect for a home NAS. I recently bought a pair of discs together with 4TB Synology DS216j NAS, here on Amazon, and I am delighted with its performance. I have configured in RAID1 and work perfectly. Fast, silent and Synology (do not know other NAS) have"&amp;" an agreement to further check the status of IronWolf Seagate drives with built in Synology own tools. I basically use to store information, especially as a Backup. I would definitely recommend.")</f>
        <v>Perfect for a home NAS. I recently bought a pair of discs together with 4TB Synology DS216j NAS, here on Amazon, and I am delighted with its performance. I have configured in RAID1 and work perfectly. Fast, silent and Synology (do not know other NAS) have an agreement to further check the status of IronWolf Seagate drives with built in Synology own tools. I basically use to store information, especially as a Backup. I would definitely recommend.</v>
      </c>
    </row>
    <row r="2518">
      <c r="A2518" s="1">
        <v>2.0</v>
      </c>
      <c r="B2518" s="1" t="s">
        <v>2505</v>
      </c>
      <c r="C2518" t="str">
        <f>IFERROR(__xludf.DUMMYFUNCTION("GOOGLETRANSLATE(B2518, ""es"", ""en"")"),"A pretty nice sports pair my taste, something hot for summer and not as comfortable as I imagined. They carve a little big and give of. I've been using the walking for a few days and have noticed that hardly have any grip on the heel and tread makes me wr"&amp;"ong, it may be my foot, but it has never happened with any type of footwear.")</f>
        <v>A pretty nice sports pair my taste, something hot for summer and not as comfortable as I imagined. They carve a little big and give of. I've been using the walking for a few days and have noticed that hardly have any grip on the heel and tread makes me wrong, it may be my foot, but it has never happened with any type of footwear.</v>
      </c>
    </row>
    <row r="2519">
      <c r="A2519" s="1">
        <v>3.0</v>
      </c>
      <c r="B2519" s="1" t="s">
        <v>2506</v>
      </c>
      <c r="C2519" t="str">
        <f>IFERROR(__xludf.DUMMYFUNCTION("GOOGLETRANSLATE(B2519, ""es"", ""en"")"),"Uncomfortable. Good sound / price. The good: The sound is relatively good to play and 7.1 compliant. Although you need equalization, logitech software serves perfectly. The bad: The headband is poorly designed, with a very hard foam and a curve that conce"&amp;"ntrates all the pressure on the top of the skull (which have normal) which makes the half hour disturbed and when unbearable. A ear go well. They are huge! Very cumbersome. Although they are well constructed materials are unsatisfactory, both plastic and "&amp;"pads. Conclusion. If we ignore the problems of comfort I've had (which may be personal) they are not bad but would not recommend. I change mine.")</f>
        <v>Uncomfortable. Good sound / price. The good: The sound is relatively good to play and 7.1 compliant. Although you need equalization, logitech software serves perfectly. The bad: The headband is poorly designed, with a very hard foam and a curve that concentrates all the pressure on the top of the skull (which have normal) which makes the half hour disturbed and when unbearable. A ear go well. They are huge! Very cumbersome. Although they are well constructed materials are unsatisfactory, both plastic and pads. Conclusion. If we ignore the problems of comfort I've had (which may be personal) they are not bad but would not recommend. I change mine.</v>
      </c>
    </row>
    <row r="2520">
      <c r="A2520" s="1">
        <v>3.0</v>
      </c>
      <c r="B2520" s="1" t="s">
        <v>2507</v>
      </c>
      <c r="C2520" t="str">
        <f>IFERROR(__xludf.DUMMYFUNCTION("GOOGLETRANSLATE(B2520, ""es"", ""en"")"),"Maria Isabel The sizing is normal, but would lack the preform to take the nipples did tick not because the sport aesthetics is very important")</f>
        <v>Maria Isabel The sizing is normal, but would lack the preform to take the nipples did tick not because the sport aesthetics is very important</v>
      </c>
    </row>
    <row r="2521">
      <c r="A2521" s="1">
        <v>1.0</v>
      </c>
      <c r="B2521" s="1" t="s">
        <v>2508</v>
      </c>
      <c r="C2521" t="str">
        <f>IFERROR(__xludf.DUMMYFUNCTION("GOOGLETRANSLATE(B2521, ""es"", ""en"")"),"I would not buy. I bought it in April 2017 and at 3 months the problems started: The foot is not easily separated; linking rod blades engine and uses a plastic gear part is released, so q can not in a dishwasher; at the top of the foot, another black piec"&amp;"e that holds the rod, which also released. The engine is good and my is not broken me the knife. Why a star. I would not buy.")</f>
        <v>I would not buy. I bought it in April 2017 and at 3 months the problems started: The foot is not easily separated; linking rod blades engine and uses a plastic gear part is released, so q can not in a dishwasher; at the top of the foot, another black piece that holds the rod, which also released. The engine is good and my is not broken me the knife. Why a star. I would not buy.</v>
      </c>
    </row>
    <row r="2522">
      <c r="A2522" s="1">
        <v>1.0</v>
      </c>
      <c r="B2522" s="1" t="s">
        <v>2509</v>
      </c>
      <c r="C2522" t="str">
        <f>IFERROR(__xludf.DUMMYFUNCTION("GOOGLETRANSLATE(B2522, ""es"", ""en"")"),"false or misleading information is false that measures 9 mm thick, I bought it thinking it was so, proceed to return")</f>
        <v>false or misleading information is false that measures 9 mm thick, I bought it thinking it was so, proceed to return</v>
      </c>
    </row>
    <row r="2523">
      <c r="A2523" s="1">
        <v>4.0</v>
      </c>
      <c r="B2523" s="1" t="s">
        <v>2510</v>
      </c>
      <c r="C2523" t="str">
        <f>IFERROR(__xludf.DUMMYFUNCTION("GOOGLETRANSLATE(B2523, ""es"", ""en"")"),"Improved sound quality of these headphones I bought because I wanted each ""battle"" to bring in the backpack and pulls aguantasen and others. For the price I bought consider it a success so far (see how are durable). The sound is nothing of the other wor"&amp;"ld but defend. If you are looking for high quality, these are not your headphones. The design is nice and are comfortable in the ears. Consider having a mean neither too large nor too small. In short: A good helmets for day to day at an attractive price u"&amp;"npretentious sound quality. A greeting!")</f>
        <v>Improved sound quality of these headphones I bought because I wanted each "battle" to bring in the backpack and pulls aguantasen and others. For the price I bought consider it a success so far (see how are durable). The sound is nothing of the other world but defend. If you are looking for high quality, these are not your headphones. The design is nice and are comfortable in the ears. Consider having a mean neither too large nor too small. In short: A good helmets for day to day at an attractive price unpretentious sound quality. A greeting!</v>
      </c>
    </row>
    <row r="2524">
      <c r="A2524" s="1">
        <v>4.0</v>
      </c>
      <c r="B2524" s="1" t="s">
        <v>2511</v>
      </c>
      <c r="C2524" t="str">
        <f>IFERROR(__xludf.DUMMYFUNCTION("GOOGLETRANSLATE(B2524, ""es"", ""en"")"),"Good decent quality product with decent audio quality. The cable is covered with a kind of transparent tube which should help not only to improve endurance but also to be wound less.")</f>
        <v>Good decent quality product with decent audio quality. The cable is covered with a kind of transparent tube which should help not only to improve endurance but also to be wound less.</v>
      </c>
    </row>
    <row r="2525">
      <c r="A2525" s="1">
        <v>4.0</v>
      </c>
      <c r="B2525" s="1" t="s">
        <v>2512</v>
      </c>
      <c r="C2525" t="str">
        <f>IFERROR(__xludf.DUMMYFUNCTION("GOOGLETRANSLATE(B2525, ""es"", ""en"")"),"Comfortable, waiting for results. A female being this product, I write this review from the point of view of my girlfriend who is who has tried and continues to use it. According to open the box, the content comes nicely packaged, to the out is all very g"&amp;"ood, the first thing we find is the control or unit (so called in the manual), then comes the main element, a type calzona I culote lycra very good quality in black and finished in pink (seams and beige (small drawings on the sides), third have 4 adhesive"&amp;" patches and finally the charger and plug adapter. If I describe the Material can say it's all very good looking and comes all very well explained in the instruction book: - control knob or unit: with him is thus stimulating contraction will receive our m"&amp;"uscles is controlled can. controlling the intensity (from 0 to 99 points) and the program (4 different) time each program is marked by the apparatus according to the program chosen - Bib:.. is lycra, has a nice design, has in its part lead a small pocket "&amp;"in the upper right and in the belt carries the cable which must be connected end of the unit and on the back has four devices where patches are placed, mimic four opening windows and part mobile is where said patches are placed above a metal points. It is"&amp;" very easy to place. A small downside is that there are all sizes, carving is unique, ranging from size 34 to 40, this corresponds to a waist 61-81cm hip: 81-97cm. - Patches: are perfectly stored individually in a small package and within which come with "&amp;"plastic spacers. Although not difficult to place in the culotte, you have to read the instructions to do well since we already spoil that one side can not touch, it is placed over the electrodes having the calzona. You need to be changed periodically. Not"&amp;" battery operated, uses a rechargeable battery. The instruction manual is written in 6 languages: English, French, Spanish, German, Dutch and Portuguese. This shorts has a technology muscular electro-stimulation (EMS) to act on the muscles of the buttocks"&amp;", sculpting and reafirmándolos in just 4 weeks. My girlfriend takes very little time using it and for the moment note feeling of firmness in that area. She says that the connecting and operating it is very nice but at the same time it is powerful, the fee"&amp;"ling is a tingling throughout the area occupied by the patch, the so remove the remaining area relaxed and she makes small stretches of gluteal muscles and avoid and overload. According to the manufacturer, using it for 4 weeks at a frequency of 4 times a"&amp;" week the results are noticed and that these are, that's proven to be followed using it to determine its effectiveness. As a final conclusion of this product, I think it's a quality product with a good presentation ahead of the client and carry a big work"&amp;" behind that with very little time and effort we can exercise our buttocks without leaving home and it turns out to have proven results.")</f>
        <v>Comfortable, waiting for results. A female being this product, I write this review from the point of view of my girlfriend who is who has tried and continues to use it. According to open the box, the content comes nicely packaged, to the out is all very good, the first thing we find is the control or unit (so called in the manual), then comes the main element, a type calzona I culote lycra very good quality in black and finished in pink (seams and beige (small drawings on the sides), third have 4 adhesive patches and finally the charger and plug adapter. If I describe the Material can say it's all very good looking and comes all very well explained in the instruction book: - control knob or unit: with him is thus stimulating contraction will receive our muscles is controlled can. controlling the intensity (from 0 to 99 points) and the program (4 different) time each program is marked by the apparatus according to the program chosen - Bib:.. is lycra, has a nice design, has in its part lead a small pocket in the upper right and in the belt carries the cable which must be connected end of the unit and on the back has four devices where patches are placed, mimic four opening windows and part mobile is where said patches are placed above a metal points. It is very easy to place. A small downside is that there are all sizes, carving is unique, ranging from size 34 to 40, this corresponds to a waist 61-81cm hip: 81-97cm. - Patches: are perfectly stored individually in a small package and within which come with plastic spacers. Although not difficult to place in the culotte, you have to read the instructions to do well since we already spoil that one side can not touch, it is placed over the electrodes having the calzona. You need to be changed periodically. Not battery operated, uses a rechargeable battery. The instruction manual is written in 6 languages: English, French, Spanish, German, Dutch and Portuguese. This shorts has a technology muscular electro-stimulation (EMS) to act on the muscles of the buttocks, sculpting and reafirmándolos in just 4 weeks. My girlfriend takes very little time using it and for the moment note feeling of firmness in that area. She says that the connecting and operating it is very nice but at the same time it is powerful, the feeling is a tingling throughout the area occupied by the patch, the so remove the remaining area relaxed and she makes small stretches of gluteal muscles and avoid and overload. According to the manufacturer, using it for 4 weeks at a frequency of 4 times a week the results are noticed and that these are, that's proven to be followed using it to determine its effectiveness. As a final conclusion of this product, I think it's a quality product with a good presentation ahead of the client and carry a big work behind that with very little time and effort we can exercise our buttocks without leaving home and it turns out to have proven results.</v>
      </c>
    </row>
    <row r="2526">
      <c r="A2526" s="1">
        <v>4.0</v>
      </c>
      <c r="B2526" s="1" t="s">
        <v>2513</v>
      </c>
      <c r="C2526" t="str">
        <f>IFERROR(__xludf.DUMMYFUNCTION("GOOGLETRANSLATE(B2526, ""es"", ""en"")"),"As it is expected thin and sleazy, but my son loves stamping.")</f>
        <v>As it is expected thin and sleazy, but my son loves stamping.</v>
      </c>
    </row>
    <row r="2527">
      <c r="A2527" s="1">
        <v>5.0</v>
      </c>
      <c r="B2527" s="1" t="s">
        <v>2514</v>
      </c>
      <c r="C2527" t="str">
        <f>IFERROR(__xludf.DUMMYFUNCTION("GOOGLETRANSLATE(B2527, ""es"", ""en"")"),"Phenomenal quickly")</f>
        <v>Phenomenal quickly</v>
      </c>
    </row>
    <row r="2528">
      <c r="A2528" s="1">
        <v>5.0</v>
      </c>
      <c r="B2528" s="1" t="s">
        <v>2515</v>
      </c>
      <c r="C2528" t="str">
        <f>IFERROR(__xludf.DUMMYFUNCTION("GOOGLETRANSLATE(B2528, ""es"", ""en"")"),"Poor presentation. Original?? It came in a simple clear plastic bag and I doubt the truth that is original. It was for a gift and not know if it is good quality.")</f>
        <v>Poor presentation. Original?? It came in a simple clear plastic bag and I doubt the truth that is original. It was for a gift and not know if it is good quality.</v>
      </c>
    </row>
    <row r="2529">
      <c r="A2529" s="1">
        <v>5.0</v>
      </c>
      <c r="B2529" s="1" t="s">
        <v>2516</v>
      </c>
      <c r="C2529" t="str">
        <f>IFERROR(__xludf.DUMMYFUNCTION("GOOGLETRANSLATE(B2529, ""es"", ""en"")"),"It is perfect fits well and is pleasing to the touch.")</f>
        <v>It is perfect fits well and is pleasing to the touch.</v>
      </c>
    </row>
    <row r="2530">
      <c r="A2530" s="1">
        <v>5.0</v>
      </c>
      <c r="B2530" s="1" t="s">
        <v>2517</v>
      </c>
      <c r="C2530" t="str">
        <f>IFERROR(__xludf.DUMMYFUNCTION("GOOGLETRANSLATE(B2530, ""es"", ""en"")"),"3 € worth People complain habit ... 3 € expected? I arrived 5 days earlier than expected and fairly and aunk have not tried it yet do not sleazy")</f>
        <v>3 € worth People complain habit ... 3 € expected? I arrived 5 days earlier than expected and fairly and aunk have not tried it yet do not sleazy</v>
      </c>
    </row>
    <row r="2531">
      <c r="A2531" s="1">
        <v>5.0</v>
      </c>
      <c r="B2531" s="1" t="s">
        <v>2518</v>
      </c>
      <c r="C2531" t="str">
        <f>IFERROR(__xludf.DUMMYFUNCTION("GOOGLETRANSLATE(B2531, ""es"", ""en"")"),"As I expected I am very satisfied with both the sending (rapidísmo) as slippers. They seem new and come in original box. The truth is that if I say that are new or doubt it. Very pleased with purchase, I repeat it again if I see some other model that I li"&amp;"ke!")</f>
        <v>As I expected I am very satisfied with both the sending (rapidísmo) as slippers. They seem new and come in original box. The truth is that if I say that are new or doubt it. Very pleased with purchase, I repeat it again if I see some other model that I like!</v>
      </c>
    </row>
    <row r="2532">
      <c r="A2532" s="1">
        <v>5.0</v>
      </c>
      <c r="B2532" s="1" t="s">
        <v>2519</v>
      </c>
      <c r="C2532" t="str">
        <f>IFERROR(__xludf.DUMMYFUNCTION("GOOGLETRANSLATE(B2532, ""es"", ""en"")"),"Fantastic and what a year and have the qualities of my recordings have improved greatly. I tried many condenser mics but this not regret buying it at all.")</f>
        <v>Fantastic and what a year and have the qualities of my recordings have improved greatly. I tried many condenser mics but this not regret buying it at all.</v>
      </c>
    </row>
    <row r="2533">
      <c r="A2533" s="1">
        <v>5.0</v>
      </c>
      <c r="B2533" s="1" t="s">
        <v>2520</v>
      </c>
      <c r="C2533" t="str">
        <f>IFERROR(__xludf.DUMMYFUNCTION("GOOGLETRANSLATE(B2533, ""es"", ""en"")"),"It was good for a gift and the truth that the quality seemed to be pretty good. He likes a lot and have good price.")</f>
        <v>It was good for a gift and the truth that the quality seemed to be pretty good. He likes a lot and have good price.</v>
      </c>
    </row>
    <row r="2534">
      <c r="A2534" s="1">
        <v>5.0</v>
      </c>
      <c r="B2534" s="1" t="s">
        <v>2521</v>
      </c>
      <c r="C2534" t="str">
        <f>IFERROR(__xludf.DUMMYFUNCTION("GOOGLETRANSLATE(B2534, ""es"", ""en"")"),"New Balance Quality Assurance functionality, with reinforced bead to prevent unwanted movement, strengthening the toe cap thumb without strengthening the competition end with a ""breather"", the color and quality of the fabric. Emphasize comfort. 100% rec"&amp;"ommendable.")</f>
        <v>New Balance Quality Assurance functionality, with reinforced bead to prevent unwanted movement, strengthening the toe cap thumb without strengthening the competition end with a "breather", the color and quality of the fabric. Emphasize comfort. 100% recommendable.</v>
      </c>
    </row>
    <row r="2535">
      <c r="A2535" s="1">
        <v>5.0</v>
      </c>
      <c r="B2535" s="1" t="s">
        <v>2522</v>
      </c>
      <c r="C2535" t="str">
        <f>IFERROR(__xludf.DUMMYFUNCTION("GOOGLETRANSLATE(B2535, ""es"", ""en"")"),"NICE SHOES ... are my second new balance, I have a 574 classic for a while now and have decided to repeat this model being a sport sole lead 574 and the tip is somewhat different. I must say that after a few weeks of use are very comfortable and are well "&amp;"adapted to the foot. As for the sizing, carve something loose unlike the classic 574, but it is an exaggeration. Other brands I chock 44 and nb another number, it is true that in this model with a 44.5 would have been enough but ordered a 45 and I go well"&amp;", being the leading one longer little that classic look somewhat larger ..... In short, good product and even better price than gotcha !!")</f>
        <v>NICE SHOES ... are my second new balance, I have a 574 classic for a while now and have decided to repeat this model being a sport sole lead 574 and the tip is somewhat different. I must say that after a few weeks of use are very comfortable and are well adapted to the foot. As for the sizing, carve something loose unlike the classic 574, but it is an exaggeration. Other brands I chock 44 and nb another number, it is true that in this model with a 44.5 would have been enough but ordered a 45 and I go well, being the leading one longer little that classic look somewhat larger ..... In short, good product and even better price than gotcha !!</v>
      </c>
    </row>
    <row r="2536">
      <c r="A2536" s="1">
        <v>5.0</v>
      </c>
      <c r="B2536" s="1" t="s">
        <v>2523</v>
      </c>
      <c r="C2536" t="str">
        <f>IFERROR(__xludf.DUMMYFUNCTION("GOOGLETRANSLATE(B2536, ""es"", ""en"")"),"chest bag I love because it has many zippered compartments !!!. And especially the price you and I recommend it to everyone !!!")</f>
        <v>chest bag I love because it has many zippered compartments !!!. And especially the price you and I recommend it to everyone !!!</v>
      </c>
    </row>
    <row r="2537">
      <c r="A2537" s="1">
        <v>5.0</v>
      </c>
      <c r="B2537" s="1" t="s">
        <v>2524</v>
      </c>
      <c r="C2537" t="str">
        <f>IFERROR(__xludf.DUMMYFUNCTION("GOOGLETRANSLATE(B2537, ""es"", ""en"")"),"Deafness feeling leaves Helmets are a past, is heard quite well and the battery lasts a lot. The value for money is pretty good. I recommend these helmets if you go to listen to music for a long period of time because not invasive nor ears after you get t"&amp;"he feeling deafness. The downside is it takes a while to load the battery.")</f>
        <v>Deafness feeling leaves Helmets are a past, is heard quite well and the battery lasts a lot. The value for money is pretty good. I recommend these helmets if you go to listen to music for a long period of time because not invasive nor ears after you get the feeling deafness. The downside is it takes a while to load the battery.</v>
      </c>
    </row>
    <row r="2538">
      <c r="A2538" s="1">
        <v>5.0</v>
      </c>
      <c r="B2538" s="1" t="s">
        <v>2525</v>
      </c>
      <c r="C2538" t="str">
        <f>IFERROR(__xludf.DUMMYFUNCTION("GOOGLETRANSLATE(B2538, ""es"", ""en"")"),"Nice and comfortable Very nice, very good quality. I would definitely buy!")</f>
        <v>Nice and comfortable Very nice, very good quality. I would definitely buy!</v>
      </c>
    </row>
    <row r="2539">
      <c r="A2539" s="1">
        <v>5.0</v>
      </c>
      <c r="B2539" s="1" t="s">
        <v>2526</v>
      </c>
      <c r="C2539" t="str">
        <f>IFERROR(__xludf.DUMMYFUNCTION("GOOGLETRANSLATE(B2539, ""es"", ""en"")"),"Perfect Perfect!")</f>
        <v>Perfect Perfect!</v>
      </c>
    </row>
    <row r="2540">
      <c r="A2540" s="1">
        <v>5.0</v>
      </c>
      <c r="B2540" s="1" t="s">
        <v>2527</v>
      </c>
      <c r="C2540" t="str">
        <f>IFERROR(__xludf.DUMMYFUNCTION("GOOGLETRANSLATE(B2540, ""es"", ""en"")"),"Its function I like its design but could be a little bigger")</f>
        <v>Its function I like its design but could be a little bigger</v>
      </c>
    </row>
    <row r="2541">
      <c r="A2541" s="1">
        <v>5.0</v>
      </c>
      <c r="B2541" s="1" t="s">
        <v>2528</v>
      </c>
      <c r="C2541" t="str">
        <f>IFERROR(__xludf.DUMMYFUNCTION("GOOGLETRANSLATE(B2541, ""es"", ""en"")"),"Masajeador effective after several days of use, I can recommend this device. In my case I am many hours standing in my work and when I get home and use this massager relaxes me a lot. It has several modes of intensity and duration, and the heat produced f"&amp;"oot movement achieves that more and more relaxation effect. Bring a knob to regulate all configurations without having to bend down. And the best part is that you can wash the cover in the washing machine with no problem.")</f>
        <v>Masajeador effective after several days of use, I can recommend this device. In my case I am many hours standing in my work and when I get home and use this massager relaxes me a lot. It has several modes of intensity and duration, and the heat produced foot movement achieves that more and more relaxation effect. Bring a knob to regulate all configurations without having to bend down. And the best part is that you can wash the cover in the washing machine with no problem.</v>
      </c>
    </row>
    <row r="2542">
      <c r="A2542" s="1">
        <v>5.0</v>
      </c>
      <c r="B2542" s="1" t="s">
        <v>2529</v>
      </c>
      <c r="C2542" t="str">
        <f>IFERROR(__xludf.DUMMYFUNCTION("GOOGLETRANSLATE(B2542, ""es"", ""en"")"),"Good product I love these shoes, do not spend time for them, they are always in fashion")</f>
        <v>Good product I love these shoes, do not spend time for them, they are always in fashion</v>
      </c>
    </row>
    <row r="2543">
      <c r="A2543" s="1">
        <v>5.0</v>
      </c>
      <c r="B2543" s="1" t="s">
        <v>2530</v>
      </c>
      <c r="C2543" t="str">
        <f>IFERROR(__xludf.DUMMYFUNCTION("GOOGLETRANSLATE(B2543, ""es"", ""en"")"),"Perfect to keep warm in winter This covers electric mattress comes beautifully presented. The fabric quality is good and very smooth. I placed it between the mattress and the sheet. The feeling is very good. In the go to bed cold you never spend using it."&amp;" Bring 3 power levels. I usually put the maximum at the beginning and then on to the 1. Very happy with it")</f>
        <v>Perfect to keep warm in winter This covers electric mattress comes beautifully presented. The fabric quality is good and very smooth. I placed it between the mattress and the sheet. The feeling is very good. In the go to bed cold you never spend using it. Bring 3 power levels. I usually put the maximum at the beginning and then on to the 1. Very happy with it</v>
      </c>
    </row>
    <row r="2544">
      <c r="A2544" s="1">
        <v>5.0</v>
      </c>
      <c r="B2544" s="1" t="s">
        <v>2531</v>
      </c>
      <c r="C2544" t="str">
        <f>IFERROR(__xludf.DUMMYFUNCTION("GOOGLETRANSLATE(B2544, ""es"", ""en"")"),"They look good fit small. Good finishes and quality expected. I recommend one size bigger than usual. 43 use in sports (Nike, Adidas, NB ....) and also in sneakers. In this case I requested a 43 and are too tight. The've had to change a 44. With 44, perfe"&amp;"ct.")</f>
        <v>They look good fit small. Good finishes and quality expected. I recommend one size bigger than usual. 43 use in sports (Nike, Adidas, NB ....) and also in sneakers. In this case I requested a 43 and are too tight. The've had to change a 44. With 44, perfect.</v>
      </c>
    </row>
    <row r="2545">
      <c r="A2545" s="1">
        <v>5.0</v>
      </c>
      <c r="B2545" s="1" t="s">
        <v>2532</v>
      </c>
      <c r="C2545" t="str">
        <f>IFERROR(__xludf.DUMMYFUNCTION("GOOGLETRANSLATE(B2545, ""es"", ""en"")"),"Quality good price is nice, comfortable and it works perfectly. It is a good watch even cheaper than other brands. It is an excellent watch for everyday use.")</f>
        <v>Quality good price is nice, comfortable and it works perfectly. It is a good watch even cheaper than other brands. It is an excellent watch for everyday use.</v>
      </c>
    </row>
    <row r="2546">
      <c r="A2546" s="1">
        <v>2.0</v>
      </c>
      <c r="B2546" s="1" t="s">
        <v>2533</v>
      </c>
      <c r="C2546" t="str">
        <f>IFERROR(__xludf.DUMMYFUNCTION("GOOGLETRANSLATE(B2546, ""es"", ""en"")"),"I would not work to me has not been me, I do not know if used well. I gave it with a cloth glasses, 3 applications.")</f>
        <v>I would not work to me has not been me, I do not know if used well. I gave it with a cloth glasses, 3 applications.</v>
      </c>
    </row>
    <row r="2547">
      <c r="A2547" s="1">
        <v>3.0</v>
      </c>
      <c r="B2547" s="1" t="s">
        <v>2534</v>
      </c>
      <c r="C2547" t="str">
        <f>IFERROR(__xludf.DUMMYFUNCTION("GOOGLETRANSLATE(B2547, ""es"", ""en"")"),"Poor construction, and good sound! Very good sound quality (for what they cost), good noise cancellation (do not forget to turn off the ANC button, which will separately on and off), good battery life, good connectivity, are quite comfortable, but they ha"&amp;"ve a serious problem of quality materials manufacturing (Made in China). At 3 months of buying them, and only for daily use, the headband is left to the middle in the plastic top (photo 2). After 6 months of use, they were peeling off the various interior"&amp;" layers that separate the crown of the head (photo 1). That is, they are disposable! I do not recommend! Now I have a Sony WH-CH700N, and I'm pretty satisfied with them, even on days with wind noise the air gets you everywhere!")</f>
        <v>Poor construction, and good sound! Very good sound quality (for what they cost), good noise cancellation (do not forget to turn off the ANC button, which will separately on and off), good battery life, good connectivity, are quite comfortable, but they have a serious problem of quality materials manufacturing (Made in China). At 3 months of buying them, and only for daily use, the headband is left to the middle in the plastic top (photo 2). After 6 months of use, they were peeling off the various interior layers that separate the crown of the head (photo 1). That is, they are disposable! I do not recommend! Now I have a Sony WH-CH700N, and I'm pretty satisfied with them, even on days with wind noise the air gets you everywhere!</v>
      </c>
    </row>
    <row r="2548">
      <c r="A2548" s="1">
        <v>3.0</v>
      </c>
      <c r="B2548" s="1" t="s">
        <v>2535</v>
      </c>
      <c r="C2548" t="str">
        <f>IFERROR(__xludf.DUMMYFUNCTION("GOOGLETRANSLATE(B2548, ""es"", ""en"")"),"bad plastic, good engine has 2 buttons - speed 1 and speed 2. The buttons are not very precise ... can they pressure and nothing happens, but then if you do force in an area of ​​the bottpn longer works. The engine has enough power - no complaints at this"&amp;" point. The engagement of the arm with the body is not very accurate ... and seen in the picture connection to the motor arm is not centered. The arm is stainless steel and washes well and is of good quality (to use creams while still boiled vegetables an"&amp;"d went well). ""A"" cheap I think it will be expensive ... Positive - the strength of the engine. - Negative arm material - plastic poor quality - controls, buttons and lace.")</f>
        <v>bad plastic, good engine has 2 buttons - speed 1 and speed 2. The buttons are not very precise ... can they pressure and nothing happens, but then if you do force in an area of ​​the bottpn longer works. The engine has enough power - no complaints at this point. The engagement of the arm with the body is not very accurate ... and seen in the picture connection to the motor arm is not centered. The arm is stainless steel and washes well and is of good quality (to use creams while still boiled vegetables and went well). "A" cheap I think it will be expensive ... Positive - the strength of the engine. - Negative arm material - plastic poor quality - controls, buttons and lace.</v>
      </c>
    </row>
    <row r="2549">
      <c r="A2549" s="1">
        <v>1.0</v>
      </c>
      <c r="B2549" s="1" t="s">
        <v>2536</v>
      </c>
      <c r="C2549" t="str">
        <f>IFERROR(__xludf.DUMMYFUNCTION("GOOGLETRANSLATE(B2549, ""es"", ""en"")"),"no longer works I bought 1 month and a half ago and I no longer works. I am disapointed.")</f>
        <v>no longer works I bought 1 month and a half ago and I no longer works. I am disapointed.</v>
      </c>
    </row>
    <row r="2550">
      <c r="A2550" s="1">
        <v>1.0</v>
      </c>
      <c r="B2550" s="1" t="s">
        <v>2537</v>
      </c>
      <c r="C2550" t="str">
        <f>IFERROR(__xludf.DUMMYFUNCTION("GOOGLETRANSLATE(B2550, ""es"", ""en"")"),"The returned I had to return because it did not fit the blade wheel well and had to turn over the entire beater (motor included) to unscrew the bottle with knives and that the content is not poured.")</f>
        <v>The returned I had to return because it did not fit the blade wheel well and had to turn over the entire beater (motor included) to unscrew the bottle with knives and that the content is not poured.</v>
      </c>
    </row>
    <row r="2551">
      <c r="A2551" s="1">
        <v>4.0</v>
      </c>
      <c r="B2551" s="1" t="s">
        <v>2538</v>
      </c>
      <c r="C2551" t="str">
        <f>IFERROR(__xludf.DUMMYFUNCTION("GOOGLETRANSLATE(B2551, ""es"", ""en"")"),"SAFE For the price, which is what I needed and I felt that this article cumplia my expectations in that momento.Muchas thanks")</f>
        <v>SAFE For the price, which is what I needed and I felt that this article cumplia my expectations in that momento.Muchas thanks</v>
      </c>
    </row>
    <row r="2552">
      <c r="A2552" s="1">
        <v>4.0</v>
      </c>
      <c r="B2552" s="1" t="s">
        <v>2539</v>
      </c>
      <c r="C2552" t="str">
        <f>IFERROR(__xludf.DUMMYFUNCTION("GOOGLETRANSLATE(B2552, ""es"", ""en"")"),"CORRECT correct item, as described in the listing")</f>
        <v>CORRECT correct item, as described in the listing</v>
      </c>
    </row>
    <row r="2553">
      <c r="A2553" s="1">
        <v>4.0</v>
      </c>
      <c r="B2553" s="1" t="s">
        <v>2540</v>
      </c>
      <c r="C2553" t="str">
        <f>IFERROR(__xludf.DUMMYFUNCTION("GOOGLETRANSLATE(B2553, ""es"", ""en"")"),"Rapido came to the next day in a blue tulle ball.")</f>
        <v>Rapido came to the next day in a blue tulle ball.</v>
      </c>
    </row>
    <row r="2554">
      <c r="A2554" s="1">
        <v>4.0</v>
      </c>
      <c r="B2554" s="1" t="s">
        <v>2541</v>
      </c>
      <c r="C2554" t="str">
        <f>IFERROR(__xludf.DUMMYFUNCTION("GOOGLETRANSLATE(B2554, ""es"", ""en"")"),"Original shoes the perfect shoe all right one day came late but all good thanks")</f>
        <v>Original shoes the perfect shoe all right one day came late but all good thanks</v>
      </c>
    </row>
    <row r="2555">
      <c r="A2555" s="1">
        <v>4.0</v>
      </c>
      <c r="B2555" s="1" t="s">
        <v>2542</v>
      </c>
      <c r="C2555" t="str">
        <f>IFERROR(__xludf.DUMMYFUNCTION("GOOGLETRANSLATE(B2555, ""es"", ""en"")"),"Well it's fine to Cocky is part of good product. highly recommended")</f>
        <v>Well it's fine to Cocky is part of good product. highly recommended</v>
      </c>
    </row>
    <row r="2556">
      <c r="A2556" s="1">
        <v>5.0</v>
      </c>
      <c r="B2556" s="1" t="s">
        <v>2543</v>
      </c>
      <c r="C2556" t="str">
        <f>IFERROR(__xludf.DUMMYFUNCTION("GOOGLETRANSLATE(B2556, ""es"", ""en"")"),"Comfortable and the baby loves Since we tested this bottle my son takes to win, no cramps super simple to clean and very comfortable")</f>
        <v>Comfortable and the baby loves Since we tested this bottle my son takes to win, no cramps super simple to clean and very comfortable</v>
      </c>
    </row>
    <row r="2557">
      <c r="A2557" s="1">
        <v>5.0</v>
      </c>
      <c r="B2557" s="1" t="s">
        <v>2544</v>
      </c>
      <c r="C2557" t="str">
        <f>IFERROR(__xludf.DUMMYFUNCTION("GOOGLETRANSLATE(B2557, ""es"", ""en"")"),"I love super nice, comfortable, no show through, as is in the photo, I am delighted !!!!")</f>
        <v>I love super nice, comfortable, no show through, as is in the photo, I am delighted !!!!</v>
      </c>
    </row>
    <row r="2558">
      <c r="A2558" s="1">
        <v>5.0</v>
      </c>
      <c r="B2558" s="1" t="s">
        <v>2545</v>
      </c>
      <c r="C2558" t="str">
        <f>IFERROR(__xludf.DUMMYFUNCTION("GOOGLETRANSLATE(B2558, ""es"", ""en"")"),"Very good quality I struggled a bit because I've gone link free, when I read the instructions I've done smoothly. They'm very happy with headphones are lightweight and comfortable, the battery lasts quite, hear great and they are so beautiful. Once you co"&amp;"nnected you can press the button to start the wizard lead to Google, answer calls, pause a song. Overall very happy I think I will buy another for my partner.")</f>
        <v>Very good quality I struggled a bit because I've gone link free, when I read the instructions I've done smoothly. They'm very happy with headphones are lightweight and comfortable, the battery lasts quite, hear great and they are so beautiful. Once you connected you can press the button to start the wizard lead to Google, answer calls, pause a song. Overall very happy I think I will buy another for my partner.</v>
      </c>
    </row>
    <row r="2559">
      <c r="A2559" s="1">
        <v>5.0</v>
      </c>
      <c r="B2559" s="1" t="s">
        <v>2546</v>
      </c>
      <c r="C2559" t="str">
        <f>IFERROR(__xludf.DUMMYFUNCTION("GOOGLETRANSLATE(B2559, ""es"", ""en"")"),"Very nice Loved the product, the packaging surprised me because it is not typical that brings Tous but very good!")</f>
        <v>Very nice Loved the product, the packaging surprised me because it is not typical that brings Tous but very good!</v>
      </c>
    </row>
    <row r="2560">
      <c r="A2560" s="1">
        <v>5.0</v>
      </c>
      <c r="B2560" s="1" t="s">
        <v>2547</v>
      </c>
      <c r="C2560" t="str">
        <f>IFERROR(__xludf.DUMMYFUNCTION("GOOGLETRANSLATE(B2560, ""es"", ""en"")"),"Powerful and easy to use. Very powerful and easy to use. I have tried chopping ice, making juices, gazpacho, etc and going great. ideal capacity for 5-6 people. Very pleased with purchase and fully recommended.")</f>
        <v>Powerful and easy to use. Very powerful and easy to use. I have tried chopping ice, making juices, gazpacho, etc and going great. ideal capacity for 5-6 people. Very pleased with purchase and fully recommended.</v>
      </c>
    </row>
    <row r="2561">
      <c r="A2561" s="1">
        <v>5.0</v>
      </c>
      <c r="B2561" s="1" t="s">
        <v>2548</v>
      </c>
      <c r="C2561" t="str">
        <f>IFERROR(__xludf.DUMMYFUNCTION("GOOGLETRANSLATE(B2561, ""es"", ""en"")"),"Memory Expansion for my new iPhone 11 Pro I just bought a new iPhone 11 Pro ... with only 64 GB of memory and I fear running out of storage when I get to record 4K videos on my travels. Now with this penflash I can ""double up"" memory and then pass it to"&amp;" a PC, etc ... and so I can not do without procuparme photos or videos filling the iPhone. In its day it had a similar Sandisk memory with a connector for iPAD and one via USB ... but at the end of time (and after changing versions of iOS) stopped it. Now"&amp;" with this (and certified by Apple) I hope not give me back problems over time. Via USB 3.0 speed is not to throw rockets but more than enough to make backups :-)")</f>
        <v>Memory Expansion for my new iPhone 11 Pro I just bought a new iPhone 11 Pro ... with only 64 GB of memory and I fear running out of storage when I get to record 4K videos on my travels. Now with this penflash I can "double up" memory and then pass it to a PC, etc ... and so I can not do without procuparme photos or videos filling the iPhone. In its day it had a similar Sandisk memory with a connector for iPAD and one via USB ... but at the end of time (and after changing versions of iOS) stopped it. Now with this (and certified by Apple) I hope not give me back problems over time. Via USB 3.0 speed is not to throw rockets but more than enough to make backups :-)</v>
      </c>
    </row>
    <row r="2562">
      <c r="A2562" s="1">
        <v>5.0</v>
      </c>
      <c r="B2562" s="1" t="s">
        <v>2549</v>
      </c>
      <c r="C2562" t="str">
        <f>IFERROR(__xludf.DUMMYFUNCTION("GOOGLETRANSLATE(B2562, ""es"", ""en"")"),"Helmets Helmets recommended 100% perfect. They fit perfectly to the ear. It sounds great. And they come up with a small, functional box. It helmets are introduced to perfection. Easy per magnet placed and loaded into it. It comes to four loads. After comp"&amp;"leting the four charges, including the cable, it connects to the network, to have 4 loads available again. Easy, simple, durable, has it all. I can not be happier with the purchase. Also note that they have a very comfortable design and elegant, is, I am "&amp;"using it to work, since the being of black color, both the headphones and the charging box, its design is excellent for the workplace. It is very compact and easily transportable in a pocket, small backpack, bag for man or women, very useful truth. They a"&amp;"re the most comfortable headphones I've tried, it fits very well, and hear perfectly. I've used it to watch videos, calls, and even TV at home when it's late and did not want to disturb the neighbors. Above the price they have they are very competitive. C"&amp;"ompared to other models, I saw it was the best fit my needs, and so has sidoPor Finally I just want to explain in simple terms how to use them. Very easily they connect to my phone. Since the first connection has been simply activate the bluetooth on my p"&amp;"hone, and put myself helmets, once I heard ""conected,"" and I could enjoy them. To remove them, as easy as removing them from the ears and place them in the loader box. light box so you know it is charging lights. It can not be easier. It is a wonder. An"&amp;"d once configured once, automatically connect to my phone. I tried to connect with other home devices like TV, mobile family and great. They liked so much that I and a great gift idea for Christmas :) 5/5")</f>
        <v>Helmets Helmets recommended 100% perfect. They fit perfectly to the ear. It sounds great. And they come up with a small, functional box. It helmets are introduced to perfection. Easy per magnet placed and loaded into it. It comes to four loads. After completing the four charges, including the cable, it connects to the network, to have 4 loads available again. Easy, simple, durable, has it all. I can not be happier with the purchase. Also note that they have a very comfortable design and elegant, is, I am using it to work, since the being of black color, both the headphones and the charging box, its design is excellent for the workplace. It is very compact and easily transportable in a pocket, small backpack, bag for man or women, very useful truth. They are the most comfortable headphones I've tried, it fits very well, and hear perfectly. I've used it to watch videos, calls, and even TV at home when it's late and did not want to disturb the neighbors. Above the price they have they are very competitive. Compared to other models, I saw it was the best fit my needs, and so has sidoPor Finally I just want to explain in simple terms how to use them. Very easily they connect to my phone. Since the first connection has been simply activate the bluetooth on my phone, and put myself helmets, once I heard "conected," and I could enjoy them. To remove them, as easy as removing them from the ears and place them in the loader box. light box so you know it is charging lights. It can not be easier. It is a wonder. And once configured once, automatically connect to my phone. I tried to connect with other home devices like TV, mobile family and great. They liked so much that I and a great gift idea for Christmas :) 5/5</v>
      </c>
    </row>
    <row r="2563">
      <c r="A2563" s="1">
        <v>5.0</v>
      </c>
      <c r="B2563" s="1" t="s">
        <v>2550</v>
      </c>
      <c r="C2563" t="str">
        <f>IFERROR(__xludf.DUMMYFUNCTION("GOOGLETRANSLATE(B2563, ""es"", ""en"")"),"I love are very good price Very good and better")</f>
        <v>I love are very good price Very good and better</v>
      </c>
    </row>
    <row r="2564">
      <c r="A2564" s="1">
        <v>5.0</v>
      </c>
      <c r="B2564" s="1" t="s">
        <v>2551</v>
      </c>
      <c r="C2564" t="str">
        <f>IFERROR(__xludf.DUMMYFUNCTION("GOOGLETRANSLATE(B2564, ""es"", ""en"")"),"A classic, a very good watch for my watch This is a myth, tough, smart (for me it is, no doubt), not luxurious is clear is easy, simple and functional. And comfort, to say it, it seems not bring anything on the wrist. It is too large dolls right (not my c"&amp;"ase), a very good buy.")</f>
        <v>A classic, a very good watch for my watch This is a myth, tough, smart (for me it is, no doubt), not luxurious is clear is easy, simple and functional. And comfort, to say it, it seems not bring anything on the wrist. It is too large dolls right (not my case), a very good buy.</v>
      </c>
    </row>
    <row r="2565">
      <c r="A2565" s="1">
        <v>5.0</v>
      </c>
      <c r="B2565" s="1" t="s">
        <v>2552</v>
      </c>
      <c r="C2565" t="str">
        <f>IFERROR(__xludf.DUMMYFUNCTION("GOOGLETRANSLATE(B2565, ""es"", ""en"")"),"Excellent product excellent shoes. The perfect shape.")</f>
        <v>Excellent product excellent shoes. The perfect shape.</v>
      </c>
    </row>
    <row r="2566">
      <c r="A2566" s="1">
        <v>5.0</v>
      </c>
      <c r="B2566" s="1" t="s">
        <v>2553</v>
      </c>
      <c r="C2566" t="str">
        <f>IFERROR(__xludf.DUMMYFUNCTION("GOOGLETRANSLATE(B2566, ""es"", ""en"")"),"Nike pants. All, nothing, every day.")</f>
        <v>Nike pants. All, nothing, every day.</v>
      </c>
    </row>
    <row r="2567">
      <c r="A2567" s="1">
        <v>5.0</v>
      </c>
      <c r="B2567" s="1" t="s">
        <v>2554</v>
      </c>
      <c r="C2567" t="str">
        <f>IFERROR(__xludf.DUMMYFUNCTION("GOOGLETRANSLATE(B2567, ""es"", ""en"")"),"Value good are some very nice earrings, the perfect gift for my mother. At the beginning when I arrived seemed a bit small but when you put them look perfect. Glisten a lot and closing is quality, not easily open and so that Mandella no problem of losing "&amp;"them. Also note that although the price are quality because my mother if not put silver or gold given allergy and do not give. Very happy!")</f>
        <v>Value good are some very nice earrings, the perfect gift for my mother. At the beginning when I arrived seemed a bit small but when you put them look perfect. Glisten a lot and closing is quality, not easily open and so that Mandella no problem of losing them. Also note that although the price are quality because my mother if not put silver or gold given allergy and do not give. Very happy!</v>
      </c>
    </row>
    <row r="2568">
      <c r="A2568" s="1">
        <v>5.0</v>
      </c>
      <c r="B2568" s="1" t="s">
        <v>2555</v>
      </c>
      <c r="C2568" t="str">
        <f>IFERROR(__xludf.DUMMYFUNCTION("GOOGLETRANSLATE(B2568, ""es"", ""en"")"),"Basic beauty routine for a basic product for my daily routine care and hydration. And I would not change any cream. And this makes me all goes well, might repeat!")</f>
        <v>Basic beauty routine for a basic product for my daily routine care and hydration. And I would not change any cream. And this makes me all goes well, might repeat!</v>
      </c>
    </row>
    <row r="2569">
      <c r="A2569" s="1">
        <v>5.0</v>
      </c>
      <c r="B2569" s="1" t="s">
        <v>2556</v>
      </c>
      <c r="C2569" t="str">
        <f>IFERROR(__xludf.DUMMYFUNCTION("GOOGLETRANSLATE(B2569, ""es"", ""en"")"),"A joy!! We've released tonight and let you new! Tb plug brings normal or car, and brings several buttons on the side for heat, change rotation etc, very easy to use and fantastic results")</f>
        <v>A joy!! We've released tonight and let you new! Tb plug brings normal or car, and brings several buttons on the side for heat, change rotation etc, very easy to use and fantastic results</v>
      </c>
    </row>
    <row r="2570">
      <c r="A2570" s="1">
        <v>5.0</v>
      </c>
      <c r="B2570" s="1" t="s">
        <v>2557</v>
      </c>
      <c r="C2570" t="str">
        <f>IFERROR(__xludf.DUMMYFUNCTION("GOOGLETRANSLATE(B2570, ""es"", ""en"")"),"Very good very broad, as expected")</f>
        <v>Very good very broad, as expected</v>
      </c>
    </row>
    <row r="2571">
      <c r="A2571" s="1">
        <v>5.0</v>
      </c>
      <c r="B2571" s="1" t="s">
        <v>2558</v>
      </c>
      <c r="C2571" t="str">
        <f>IFERROR(__xludf.DUMMYFUNCTION("GOOGLETRANSLATE(B2571, ""es"", ""en"")"),"Quality has a lot of power and let the food good texture. It is easy to use and clean. The blender has Barilla accessories, meter boat and ice pick. The material is of good quality.")</f>
        <v>Quality has a lot of power and let the food good texture. It is easy to use and clean. The blender has Barilla accessories, meter boat and ice pick. The material is of good quality.</v>
      </c>
    </row>
    <row r="2572">
      <c r="A2572" s="1">
        <v>5.0</v>
      </c>
      <c r="B2572" s="1" t="s">
        <v>2559</v>
      </c>
      <c r="C2572" t="str">
        <f>IFERROR(__xludf.DUMMYFUNCTION("GOOGLETRANSLATE(B2572, ""es"", ""en"")"),"Perfect 👌 Better than I thought. Perfectly fulfills its mission. Quite powerful. To clean very comfortable.")</f>
        <v>Perfect 👌 Better than I thought. Perfectly fulfills its mission. Quite powerful. To clean very comfortable.</v>
      </c>
    </row>
    <row r="2573">
      <c r="A2573" s="1">
        <v>5.0</v>
      </c>
      <c r="B2573" s="1" t="s">
        <v>2560</v>
      </c>
      <c r="C2573" t="str">
        <f>IFERROR(__xludf.DUMMYFUNCTION("GOOGLETRANSLATE(B2573, ""es"", ""en"")"),"ALL PERFECT AND VERY GOOD FAST")</f>
        <v>ALL PERFECT AND VERY GOOD FAST</v>
      </c>
    </row>
    <row r="2574">
      <c r="A2574" s="1">
        <v>5.0</v>
      </c>
      <c r="B2574" s="1" t="s">
        <v>2561</v>
      </c>
      <c r="C2574" t="str">
        <f>IFERROR(__xludf.DUMMYFUNCTION("GOOGLETRANSLATE(B2574, ""es"", ""en"")"),"10 points Everything perfect, no surprises.")</f>
        <v>10 points Everything perfect, no surprises.</v>
      </c>
    </row>
    <row r="2575">
      <c r="A2575" s="1">
        <v>2.0</v>
      </c>
      <c r="B2575" s="1" t="s">
        <v>2562</v>
      </c>
      <c r="C2575" t="str">
        <f>IFERROR(__xludf.DUMMYFUNCTION("GOOGLETRANSLATE(B2575, ""es"", ""en"")"),"To be lijeras are too harsh harsh Son says my wife and not put them on again a shame but it's what she says")</f>
        <v>To be lijeras are too harsh harsh Son says my wife and not put them on again a shame but it's what she says</v>
      </c>
    </row>
    <row r="2576">
      <c r="A2576" s="1">
        <v>3.0</v>
      </c>
      <c r="B2576" s="1" t="s">
        <v>2563</v>
      </c>
      <c r="C2576" t="str">
        <f>IFERROR(__xludf.DUMMYFUNCTION("GOOGLETRANSLATE(B2576, ""es"", ""en"")"),"The table is stable enough weight to pull the tape and cut without tipping over. Saw cutting works depending on the quality of the roll of tape we use")</f>
        <v>The table is stable enough weight to pull the tape and cut without tipping over. Saw cutting works depending on the quality of the roll of tape we use</v>
      </c>
    </row>
    <row r="2577">
      <c r="A2577" s="1">
        <v>1.0</v>
      </c>
      <c r="B2577" s="1" t="s">
        <v>2564</v>
      </c>
      <c r="C2577" t="str">
        <f>IFERROR(__xludf.DUMMYFUNCTION("GOOGLETRANSLATE(B2577, ""es"", ""en"")"),"Correa game with less than a month of use with less than a month of use without wear it every day, I departed the belt; I contacted the seller and told me that the belt does not come under warranty, I do not understand. Surely in any other store I have ch"&amp;"anged the belt, because it is not normal to break in less than a month. That's why I do not recommend buying this watch here. Moreover, the watch itself worth. Retro look, very nice. I would buy but elsewhere.")</f>
        <v>Correa game with less than a month of use with less than a month of use without wear it every day, I departed the belt; I contacted the seller and told me that the belt does not come under warranty, I do not understand. Surely in any other store I have changed the belt, because it is not normal to break in less than a month. That's why I do not recommend buying this watch here. Moreover, the watch itself worth. Retro look, very nice. I would buy but elsewhere.</v>
      </c>
    </row>
    <row r="2578">
      <c r="A2578" s="1">
        <v>1.0</v>
      </c>
      <c r="B2578" s="1" t="s">
        <v>2565</v>
      </c>
      <c r="C2578" t="str">
        <f>IFERROR(__xludf.DUMMYFUNCTION("GOOGLETRANSLATE(B2578, ""es"", ""en"")"),"Gloomy bought 2 cards so cheap they were, as has been throwing money, none of them works for me. The PS3 does not detect. The PC does not detect. Tablet not detected. The notebook does not detect. Mobile not detected. The camera does not detect. The first"&amp;" time something happens like me and I've come to buy cards up in stores around 100.")</f>
        <v>Gloomy bought 2 cards so cheap they were, as has been throwing money, none of them works for me. The PS3 does not detect. The PC does not detect. Tablet not detected. The notebook does not detect. Mobile not detected. The camera does not detect. The first time something happens like me and I've come to buy cards up in stores around 100.</v>
      </c>
    </row>
    <row r="2579">
      <c r="A2579" s="1">
        <v>4.0</v>
      </c>
      <c r="B2579" s="1" t="s">
        <v>2566</v>
      </c>
      <c r="C2579" t="str">
        <f>IFERROR(__xludf.DUMMYFUNCTION("GOOGLETRANSLATE(B2579, ""es"", ""en"")"),"Ok Tot correcte")</f>
        <v>Ok Tot correcte</v>
      </c>
    </row>
    <row r="2580">
      <c r="A2580" s="1">
        <v>4.0</v>
      </c>
      <c r="B2580" s="1" t="s">
        <v>2567</v>
      </c>
      <c r="C2580" t="str">
        <f>IFERROR(__xludf.DUMMYFUNCTION("GOOGLETRANSLATE(B2580, ""es"", ""en"")"),"PERFECT FOR HOUSE was tired of Tassimo coffee capsules ... And really for what was used to make me tea or warm water. So I threw myself into this kettle. And he had Russell Hobbs toaster, so I chose the same brand. The size is perfect for 2 or 3 cups, but"&amp;" you can do some more. But overall it is for little use. For me it is perfect.")</f>
        <v>PERFECT FOR HOUSE was tired of Tassimo coffee capsules ... And really for what was used to make me tea or warm water. So I threw myself into this kettle. And he had Russell Hobbs toaster, so I chose the same brand. The size is perfect for 2 or 3 cups, but you can do some more. But overall it is for little use. For me it is perfect.</v>
      </c>
    </row>
    <row r="2581">
      <c r="A2581" s="1">
        <v>4.0</v>
      </c>
      <c r="B2581" s="1" t="s">
        <v>2568</v>
      </c>
      <c r="C2581" t="str">
        <f>IFERROR(__xludf.DUMMYFUNCTION("GOOGLETRANSLATE(B2581, ""es"", ""en"")"),"Efficient but not miraculous My dog ​​smells strong, I have put in a motorhome, I had to put two. Does not remove it from the all but improves")</f>
        <v>Efficient but not miraculous My dog ​​smells strong, I have put in a motorhome, I had to put two. Does not remove it from the all but improves</v>
      </c>
    </row>
    <row r="2582">
      <c r="A2582" s="1">
        <v>4.0</v>
      </c>
      <c r="B2582" s="1" t="s">
        <v>2569</v>
      </c>
      <c r="C2582" t="str">
        <f>IFERROR(__xludf.DUMMYFUNCTION("GOOGLETRANSLATE(B2582, ""es"", ""en"")"),"It's pretty warm, but gives little size so I had to take more sizing")</f>
        <v>It's pretty warm, but gives little size so I had to take more sizing</v>
      </c>
    </row>
    <row r="2583">
      <c r="A2583" s="1">
        <v>4.0</v>
      </c>
      <c r="B2583" s="1" t="s">
        <v>2570</v>
      </c>
      <c r="C2583" t="str">
        <f>IFERROR(__xludf.DUMMYFUNCTION("GOOGLETRANSLATE(B2583, ""es"", ""en"")"),"DVD CD needed to record my wedding and this was the cheapest I found in his day. For me it has been perfect.")</f>
        <v>DVD CD needed to record my wedding and this was the cheapest I found in his day. For me it has been perfect.</v>
      </c>
    </row>
    <row r="2584">
      <c r="A2584" s="1">
        <v>5.0</v>
      </c>
      <c r="B2584" s="1" t="s">
        <v>2571</v>
      </c>
      <c r="C2584" t="str">
        <f>IFERROR(__xludf.DUMMYFUNCTION("GOOGLETRANSLATE(B2584, ""es"", ""en"")"),"Effectiveness need to make shipping labels although jewelry are still too large anyway that I bought it, great!")</f>
        <v>Effectiveness need to make shipping labels although jewelry are still too large anyway that I bought it, great!</v>
      </c>
    </row>
    <row r="2585">
      <c r="A2585" s="1">
        <v>5.0</v>
      </c>
      <c r="B2585" s="1" t="s">
        <v>2572</v>
      </c>
      <c r="C2585" t="str">
        <f>IFERROR(__xludf.DUMMYFUNCTION("GOOGLETRANSLATE(B2585, ""es"", ""en"")"),"The three B These shoes are great. Comfortable and not heavy.")</f>
        <v>The three B These shoes are great. Comfortable and not heavy.</v>
      </c>
    </row>
    <row r="2586">
      <c r="A2586" s="1">
        <v>5.0</v>
      </c>
      <c r="B2586" s="1" t="s">
        <v>2573</v>
      </c>
      <c r="C2586" t="str">
        <f>IFERROR(__xludf.DUMMYFUNCTION("GOOGLETRANSLATE(B2586, ""es"", ""en"")"),"It can be removed from the base container. There are others who can not do this perfect. Quality unbeatable price")</f>
        <v>It can be removed from the base container. There are others who can not do this perfect. Quality unbeatable price</v>
      </c>
    </row>
    <row r="2587">
      <c r="A2587" s="1">
        <v>5.0</v>
      </c>
      <c r="B2587" s="1" t="s">
        <v>2574</v>
      </c>
      <c r="C2587" t="str">
        <f>IFERROR(__xludf.DUMMYFUNCTION("GOOGLETRANSLATE(B2587, ""es"", ""en"")"),"retinas small bottles with narrow mouth. 100% recommended are small and the retinas narrow mouth bottles. Eye with that. But worth it because the supply is fine. The delivery was fast in what fits")</f>
        <v>retinas small bottles with narrow mouth. 100% recommended are small and the retinas narrow mouth bottles. Eye with that. But worth it because the supply is fine. The delivery was fast in what fits</v>
      </c>
    </row>
    <row r="2588">
      <c r="A2588" s="1">
        <v>5.0</v>
      </c>
      <c r="B2588" s="1" t="s">
        <v>2575</v>
      </c>
      <c r="C2588" t="str">
        <f>IFERROR(__xludf.DUMMYFUNCTION("GOOGLETRANSLATE(B2588, ""es"", ""en"")"),"More than a year using it and perfect La've been using for over a year and it works perfectly. It is fast for small volumes of water (0.5 to 0.75 liters, which is what usually use) and the outer plastic has not been soiled or deteriorated excessively. goo"&amp;"d buy")</f>
        <v>More than a year using it and perfect La've been using for over a year and it works perfectly. It is fast for small volumes of water (0.5 to 0.75 liters, which is what usually use) and the outer plastic has not been soiled or deteriorated excessively. good buy</v>
      </c>
    </row>
    <row r="2589">
      <c r="A2589" s="1">
        <v>5.0</v>
      </c>
      <c r="B2589" s="1" t="s">
        <v>2576</v>
      </c>
      <c r="C2589" t="str">
        <f>IFERROR(__xludf.DUMMYFUNCTION("GOOGLETRANSLATE(B2589, ""es"", ""en"")"),"Buy yourself another safe! They are definitely the best memory for the Dj! Fast and strong! The aluminum body gives a very good finish. Practical and functional. It is expensive but worth it")</f>
        <v>Buy yourself another safe! They are definitely the best memory for the Dj! Fast and strong! The aluminum body gives a very good finish. Practical and functional. It is expensive but worth it</v>
      </c>
    </row>
    <row r="2590">
      <c r="A2590" s="1">
        <v>5.0</v>
      </c>
      <c r="B2590" s="1" t="s">
        <v>2577</v>
      </c>
      <c r="C2590" t="str">
        <f>IFERROR(__xludf.DUMMYFUNCTION("GOOGLETRANSLATE(B2590, ""es"", ""en"")"),"Good quality and comfort Very comfortable and Robustas. They weigh little. To work all day and walk me going great. Winter great")</f>
        <v>Good quality and comfort Very comfortable and Robustas. They weigh little. To work all day and walk me going great. Winter great</v>
      </c>
    </row>
    <row r="2591">
      <c r="A2591" s="1">
        <v>5.0</v>
      </c>
      <c r="B2591" s="1" t="s">
        <v>2578</v>
      </c>
      <c r="C2591" t="str">
        <f>IFERROR(__xludf.DUMMYFUNCTION("GOOGLETRANSLATE(B2591, ""es"", ""en"")"),"Helmets adaptable to ear your shipment fast and in perfect condition I like very much are elegant and easy to k connect the Bluetooth to the phone fit well and were made to not hear outside noise the quality of the sound is truly exceptional has FM radio "&amp;"you can answer your phone calls without the need to take ... Buy recommended if you are looking for a Bluetooth helmets amply fulfill their function without the price is too high")</f>
        <v>Helmets adaptable to ear your shipment fast and in perfect condition I like very much are elegant and easy to k connect the Bluetooth to the phone fit well and were made to not hear outside noise the quality of the sound is truly exceptional has FM radio you can answer your phone calls without the need to take ... Buy recommended if you are looking for a Bluetooth helmets amply fulfill their function without the price is too high</v>
      </c>
    </row>
    <row r="2592">
      <c r="A2592" s="1">
        <v>5.0</v>
      </c>
      <c r="B2592" s="1" t="s">
        <v>2579</v>
      </c>
      <c r="C2592" t="str">
        <f>IFERROR(__xludf.DUMMYFUNCTION("GOOGLETRANSLATE(B2592, ""es"", ""en"")"),"No fall is heard well and subject to the ear is very good. Gives me quality in all aspects. They come beautifully presented.")</f>
        <v>No fall is heard well and subject to the ear is very good. Gives me quality in all aspects. They come beautifully presented.</v>
      </c>
    </row>
    <row r="2593">
      <c r="A2593" s="1">
        <v>5.0</v>
      </c>
      <c r="B2593" s="1" t="s">
        <v>2580</v>
      </c>
      <c r="C2593" t="str">
        <f>IFERROR(__xludf.DUMMYFUNCTION("GOOGLETRANSLATE(B2593, ""es"", ""en"")"),"Good value for money wanted a memory of this type to move files and photos from mobile more quickly and conveniently. My phone is the iphoneX me and is working perfectly, it connects very fast and upload speed of information is good. Regarding its design "&amp;"is very cute, I chose pink and comes in a box with an adapter if you want to use on other devices.")</f>
        <v>Good value for money wanted a memory of this type to move files and photos from mobile more quickly and conveniently. My phone is the iphoneX me and is working perfectly, it connects very fast and upload speed of information is good. Regarding its design is very cute, I chose pink and comes in a box with an adapter if you want to use on other devices.</v>
      </c>
    </row>
    <row r="2594">
      <c r="A2594" s="1">
        <v>5.0</v>
      </c>
      <c r="B2594" s="1" t="s">
        <v>2581</v>
      </c>
      <c r="C2594" t="str">
        <f>IFERROR(__xludf.DUMMYFUNCTION("GOOGLETRANSLATE(B2594, ""es"", ""en"")"),"They are very bright and very nice very nice and good size")</f>
        <v>They are very bright and very nice very nice and good size</v>
      </c>
    </row>
    <row r="2595">
      <c r="A2595" s="1">
        <v>5.0</v>
      </c>
      <c r="B2595" s="1" t="s">
        <v>2582</v>
      </c>
      <c r="C2595" t="str">
        <f>IFERROR(__xludf.DUMMYFUNCTION("GOOGLETRANSLATE(B2595, ""es"", ""en"")"),"Q good magnifier fulfills its purpose amply meets my expectations. I used to paint the miniatures of 2.8 cm. the details are perfectly (choose the right lens according accuracy and distance) and not get tired. He used glasses and are relatively comfortabl"&amp;"e to use once q magnifying glass. Light helps a lot to distinguish details and is well q can be oriented. But the only q I can think to improve is the support of magnifying glass on the nose. It is rigid and there are q look good position to not bother q "&amp;"(at least to me wearing glasses q).")</f>
        <v>Q good magnifier fulfills its purpose amply meets my expectations. I used to paint the miniatures of 2.8 cm. the details are perfectly (choose the right lens according accuracy and distance) and not get tired. He used glasses and are relatively comfortable to use once q magnifying glass. Light helps a lot to distinguish details and is well q can be oriented. But the only q I can think to improve is the support of magnifying glass on the nose. It is rigid and there are q look good position to not bother q (at least to me wearing glasses q).</v>
      </c>
    </row>
    <row r="2596">
      <c r="A2596" s="1">
        <v>5.0</v>
      </c>
      <c r="B2596" s="1" t="s">
        <v>2583</v>
      </c>
      <c r="C2596" t="str">
        <f>IFERROR(__xludf.DUMMYFUNCTION("GOOGLETRANSLATE(B2596, ""es"", ""en"")"),"Very practical is very practical to make juice or smoothy with this mini blender. Montarje is lightweight and easy disassembly. Also it serves to convey the juice or beaten with a handle that folds and unfolds. The container is made of glass can be dishwa"&amp;"sher safe and easy cleanability. To make crushed fruit to mush also going very well. My daughter really like juices and delighted with this little blender are not too lazy to use and clean.")</f>
        <v>Very practical is very practical to make juice or smoothy with this mini blender. Montarje is lightweight and easy disassembly. Also it serves to convey the juice or beaten with a handle that folds and unfolds. The container is made of glass can be dishwasher safe and easy cleanability. To make crushed fruit to mush also going very well. My daughter really like juices and delighted with this little blender are not too lazy to use and clean.</v>
      </c>
    </row>
    <row r="2597">
      <c r="A2597" s="1">
        <v>5.0</v>
      </c>
      <c r="B2597" s="1" t="s">
        <v>2584</v>
      </c>
      <c r="C2597" t="str">
        <f>IFERROR(__xludf.DUMMYFUNCTION("GOOGLETRANSLATE(B2597, ""es"", ""en"")"),"Antonio V.V. This very bien.yo have too little of this brand and I see money bien.material good even for outdoor recomiendo.medida lluvia.lo and perfect interior.")</f>
        <v>Antonio V.V. This very bien.yo have too little of this brand and I see money bien.material good even for outdoor recomiendo.medida lluvia.lo and perfect interior.</v>
      </c>
    </row>
    <row r="2598">
      <c r="A2598" s="1">
        <v>5.0</v>
      </c>
      <c r="B2598" s="1" t="s">
        <v>2585</v>
      </c>
      <c r="C2598" t="str">
        <f>IFERROR(__xludf.DUMMYFUNCTION("GOOGLETRANSLATE(B2598, ""es"", ""en"")"),"TIMBERLAND BOOT PREMIUM me no choice but to congratulate the opinion of my comrades and give them absolute reason. High quality boots at a bargain price (When this) and insignificant to what the product itself. Amazon says they are for women but for men n"&amp;"ot even noticed the difference. I think I'll buy a couple more for my family because this is a real bargain. Boots that guise of more than 200 euros for 40. Almost free come on. Thank you Amazon for these rebates so incredible that do occasionally. When I"&amp;" saw I thought; Hell, that piece of boots. I worked so much detail. That leather so good. Like smell. Finally, delighted and satisfied 100%. The highly recommend whether or if. By the way, perfect shipping. Delivery was scheduled for more than three weeks"&amp;" but progress and have come today. Great.")</f>
        <v>TIMBERLAND BOOT PREMIUM me no choice but to congratulate the opinion of my comrades and give them absolute reason. High quality boots at a bargain price (When this) and insignificant to what the product itself. Amazon says they are for women but for men not even noticed the difference. I think I'll buy a couple more for my family because this is a real bargain. Boots that guise of more than 200 euros for 40. Almost free come on. Thank you Amazon for these rebates so incredible that do occasionally. When I saw I thought; Hell, that piece of boots. I worked so much detail. That leather so good. Like smell. Finally, delighted and satisfied 100%. The highly recommend whether or if. By the way, perfect shipping. Delivery was scheduled for more than three weeks but progress and have come today. Great.</v>
      </c>
    </row>
    <row r="2599">
      <c r="A2599" s="1">
        <v>5.0</v>
      </c>
      <c r="B2599" s="1" t="s">
        <v>2586</v>
      </c>
      <c r="C2599" t="str">
        <f>IFERROR(__xludf.DUMMYFUNCTION("GOOGLETRANSLATE(B2599, ""es"", ""en"")"),"Perhaps the biggest q beautiful in the photo, but just bonito..esos if I care xq opening the petals out")</f>
        <v>Perhaps the biggest q beautiful in the photo, but just bonito..esos if I care xq opening the petals out</v>
      </c>
    </row>
    <row r="2600">
      <c r="A2600" s="1">
        <v>5.0</v>
      </c>
      <c r="B2600" s="1" t="s">
        <v>2587</v>
      </c>
      <c r="C2600" t="str">
        <f>IFERROR(__xludf.DUMMYFUNCTION("GOOGLETRANSLATE(B2600, ""es"", ""en"")"),"Precious classic, color is very vivid and intense red. They carve well and are very comfortable. reissue of a classic one returning slippers. The price is high and not easy to get.")</f>
        <v>Precious classic, color is very vivid and intense red. They carve well and are very comfortable. reissue of a classic one returning slippers. The price is high and not easy to get.</v>
      </c>
    </row>
    <row r="2601">
      <c r="A2601" s="1">
        <v>5.0</v>
      </c>
      <c r="B2601" s="1" t="s">
        <v>2588</v>
      </c>
      <c r="C2601" t="str">
        <f>IFERROR(__xludf.DUMMYFUNCTION("GOOGLETRANSLATE(B2601, ""es"", ""en"")"),"Very happy The mixer meets expectations, accessories are very functional and comfortable, are very happy with laas two units that we bought in my family.")</f>
        <v>Very happy The mixer meets expectations, accessories are very functional and comfortable, are very happy with laas two units that we bought in my family.</v>
      </c>
    </row>
    <row r="2602">
      <c r="A2602" s="1">
        <v>5.0</v>
      </c>
      <c r="B2602" s="1" t="s">
        <v>2589</v>
      </c>
      <c r="C2602" t="str">
        <f>IFERROR(__xludf.DUMMYFUNCTION("GOOGLETRANSLATE(B2602, ""es"", ""en"")"),"Good product fulfills its function.")</f>
        <v>Good product fulfills its function.</v>
      </c>
    </row>
    <row r="2603">
      <c r="A2603" s="1">
        <v>2.0</v>
      </c>
      <c r="B2603" s="1" t="s">
        <v>2590</v>
      </c>
      <c r="C2603" t="str">
        <f>IFERROR(__xludf.DUMMYFUNCTION("GOOGLETRANSLATE(B2603, ""es"", ""en"")"),"So far disappointing've tried with lavender and sweet orange, with more than generous doses have to be the same side of the humidifier to smell something. Compared with one bought in the Chinese turn, they have no color. I repeat disappointed.")</f>
        <v>So far disappointing've tried with lavender and sweet orange, with more than generous doses have to be the same side of the humidifier to smell something. Compared with one bought in the Chinese turn, they have no color. I repeat disappointed.</v>
      </c>
    </row>
    <row r="2604">
      <c r="A2604" s="1">
        <v>3.0</v>
      </c>
      <c r="B2604" s="1" t="s">
        <v>2591</v>
      </c>
      <c r="C2604" t="str">
        <f>IFERROR(__xludf.DUMMYFUNCTION("GOOGLETRANSLATE(B2604, ""es"", ""en"")"),"OK but not subject well I bought these headphones for the gym, and the truth that in terms of sound quality are correct for the price and size they have. However for some sports headphones grip it is not good; headphones not reach but will fall out of the"&amp;" ear canal, as the rubber holding the handset is hard plastic so it will not grab the ear and is not of the whole subject.")</f>
        <v>OK but not subject well I bought these headphones for the gym, and the truth that in terms of sound quality are correct for the price and size they have. However for some sports headphones grip it is not good; headphones not reach but will fall out of the ear canal, as the rubber holding the handset is hard plastic so it will not grab the ear and is not of the whole subject.</v>
      </c>
    </row>
    <row r="2605">
      <c r="A2605" s="1">
        <v>3.0</v>
      </c>
      <c r="B2605" s="1" t="s">
        <v>2592</v>
      </c>
      <c r="C2605" t="str">
        <f>IFERROR(__xludf.DUMMYFUNCTION("GOOGLETRANSLATE(B2605, ""es"", ""en"")"),"He has satisfied the need of him. The relationship is balanced boasts quality. Meets what is expected of a normal mixer. It is easy to wash after use.")</f>
        <v>He has satisfied the need of him. The relationship is balanced boasts quality. Meets what is expected of a normal mixer. It is easy to wash after use.</v>
      </c>
    </row>
    <row r="2606">
      <c r="A2606" s="1">
        <v>1.0</v>
      </c>
      <c r="B2606" s="1" t="s">
        <v>2593</v>
      </c>
      <c r="C2606" t="str">
        <f>IFERROR(__xludf.DUMMYFUNCTION("GOOGLETRANSLATE(B2606, ""es"", ""en"")"),"Value 0 has not liked anything, the color of the bracelet is different from that of the support clock; to make it smaller need you out a master watchmaking, and to top it weighs like a wall clock !!!!")</f>
        <v>Value 0 has not liked anything, the color of the bracelet is different from that of the support clock; to make it smaller need you out a master watchmaking, and to top it weighs like a wall clock !!!!</v>
      </c>
    </row>
    <row r="2607">
      <c r="A2607" s="1">
        <v>1.0</v>
      </c>
      <c r="B2607" s="1" t="s">
        <v>2594</v>
      </c>
      <c r="C2607" t="str">
        <f>IFERROR(__xludf.DUMMYFUNCTION("GOOGLETRANSLATE(B2607, ""es"", ""en"")"),"Horrible my fault, for novice and buy one of plastic with resistance inside to buy what little you saw in my little white things ... it was cal !!!!, I repeat my fault")</f>
        <v>Horrible my fault, for novice and buy one of plastic with resistance inside to buy what little you saw in my little white things ... it was cal !!!!, I repeat my fault</v>
      </c>
    </row>
    <row r="2608">
      <c r="A2608" s="1">
        <v>1.0</v>
      </c>
      <c r="B2608" s="1" t="s">
        <v>2595</v>
      </c>
      <c r="C2608" t="str">
        <f>IFERROR(__xludf.DUMMYFUNCTION("GOOGLETRANSLATE(B2608, ""es"", ""en"")"),"Lidia is very nice but although it puts sterling silver, my I'm allergic to jewelry, they hurt me.")</f>
        <v>Lidia is very nice but although it puts sterling silver, my I'm allergic to jewelry, they hurt me.</v>
      </c>
    </row>
    <row r="2609">
      <c r="A2609" s="1">
        <v>4.0</v>
      </c>
      <c r="B2609" s="1" t="s">
        <v>2596</v>
      </c>
      <c r="C2609" t="str">
        <f>IFERROR(__xludf.DUMMYFUNCTION("GOOGLETRANSLATE(B2609, ""es"", ""en"")"),"I arrive arrived in perfect condition agreed time and now it works great.")</f>
        <v>I arrive arrived in perfect condition agreed time and now it works great.</v>
      </c>
    </row>
    <row r="2610">
      <c r="A2610" s="1">
        <v>4.0</v>
      </c>
      <c r="B2610" s="1" t="s">
        <v>2597</v>
      </c>
      <c r="C2610" t="str">
        <f>IFERROR(__xludf.DUMMYFUNCTION("GOOGLETRANSLATE(B2610, ""es"", ""en"")"),"All Star All Black Genuine classic in form but with a new design to the present with sole and toe totally black. In the purest style All Black. very cool")</f>
        <v>All Star All Black Genuine classic in form but with a new design to the present with sole and toe totally black. In the purest style All Black. very cool</v>
      </c>
    </row>
    <row r="2611">
      <c r="A2611" s="1">
        <v>4.0</v>
      </c>
      <c r="B2611" s="1" t="s">
        <v>2598</v>
      </c>
      <c r="C2611" t="str">
        <f>IFERROR(__xludf.DUMMYFUNCTION("GOOGLETRANSLATE(B2611, ""es"", ""en"")"),"ACHIEVER This beautifully finished and very hot and very fast. The paste only the plastic cover when the open falls a little water. But let by get a snag. Is very beautiful is very well priced.")</f>
        <v>ACHIEVER This beautifully finished and very hot and very fast. The paste only the plastic cover when the open falls a little water. But let by get a snag. Is very beautiful is very well priced.</v>
      </c>
    </row>
    <row r="2612">
      <c r="A2612" s="1">
        <v>4.0</v>
      </c>
      <c r="B2612" s="1" t="s">
        <v>2599</v>
      </c>
      <c r="C2612" t="str">
        <f>IFERROR(__xludf.DUMMYFUNCTION("GOOGLETRANSLATE(B2612, ""es"", ""en"")"),"Crisriano Ronaldo precious Adidas. I have 42 and this model could order a half size smaller, otherwise perfect everything.")</f>
        <v>Crisriano Ronaldo precious Adidas. I have 42 and this model could order a half size smaller, otherwise perfect everything.</v>
      </c>
    </row>
    <row r="2613">
      <c r="A2613" s="1">
        <v>4.0</v>
      </c>
      <c r="B2613" s="1" t="s">
        <v>2600</v>
      </c>
      <c r="C2613" t="str">
        <f>IFERROR(__xludf.DUMMYFUNCTION("GOOGLETRANSLATE(B2613, ""es"", ""en"")"),"A little big The perfect sport, the only thing left me a little big, we made the return and hope to send me my number, usually in other slippers use this number but these are my great, otherwise everything perfect, now wait They send to me ..")</f>
        <v>A little big The perfect sport, the only thing left me a little big, we made the return and hope to send me my number, usually in other slippers use this number but these are my great, otherwise everything perfect, now wait They send to me ..</v>
      </c>
    </row>
    <row r="2614">
      <c r="A2614" s="1">
        <v>5.0</v>
      </c>
      <c r="B2614" s="1" t="s">
        <v>2601</v>
      </c>
      <c r="C2614" t="str">
        <f>IFERROR(__xludf.DUMMYFUNCTION("GOOGLETRANSLATE(B2614, ""es"", ""en"")"),"QUALITY AND COMFORT For an affordable price have these good headphones. They are comfortable, have good sound quality. The battery gives for many hours. Good material and good workmanship. They are very practical, as long as you finish using them guards i"&amp;"n their box and loaded, so you have them ready for the next time you're going to use. They are not recommended for sports, but perfect for everything else.")</f>
        <v>QUALITY AND COMFORT For an affordable price have these good headphones. They are comfortable, have good sound quality. The battery gives for many hours. Good material and good workmanship. They are very practical, as long as you finish using them guards in their box and loaded, so you have them ready for the next time you're going to use. They are not recommended for sports, but perfect for everything else.</v>
      </c>
    </row>
    <row r="2615">
      <c r="A2615" s="1">
        <v>5.0</v>
      </c>
      <c r="B2615" s="1" t="s">
        <v>2602</v>
      </c>
      <c r="C2615" t="str">
        <f>IFERROR(__xludf.DUMMYFUNCTION("GOOGLETRANSLATE(B2615, ""es"", ""en"")"),"Finish quality and comfort of wear fantastic. It really is as expected. Very satisfied with the purchase and took him with me always. I would buy it. Excellent finishes and good quality material. 100% advisable if you are looking for this style of bag. Id"&amp;"eal for riding a bike or walking. correct capacity, keys, wallet, bank passbooks, scarves, glasses and there is room for more.")</f>
        <v>Finish quality and comfort of wear fantastic. It really is as expected. Very satisfied with the purchase and took him with me always. I would buy it. Excellent finishes and good quality material. 100% advisable if you are looking for this style of bag. Ideal for riding a bike or walking. correct capacity, keys, wallet, bank passbooks, scarves, glasses and there is room for more.</v>
      </c>
    </row>
    <row r="2616">
      <c r="A2616" s="1">
        <v>5.0</v>
      </c>
      <c r="B2616" s="1" t="s">
        <v>2603</v>
      </c>
      <c r="C2616" t="str">
        <f>IFERROR(__xludf.DUMMYFUNCTION("GOOGLETRANSLATE(B2616, ""es"", ""en"")"),"High quality slate surprised by the quality of this slate robust. It is fixed to the wall with four holes in the wall, placed at the four corners of the board, I become totally attached to the wall without gaps. Labelers slide perfectly on the surface and"&amp;" no marks after erasing.")</f>
        <v>High quality slate surprised by the quality of this slate robust. It is fixed to the wall with four holes in the wall, placed at the four corners of the board, I become totally attached to the wall without gaps. Labelers slide perfectly on the surface and no marks after erasing.</v>
      </c>
    </row>
    <row r="2617">
      <c r="A2617" s="1">
        <v>5.0</v>
      </c>
      <c r="B2617" s="1" t="s">
        <v>2604</v>
      </c>
      <c r="C2617" t="str">
        <f>IFERROR(__xludf.DUMMYFUNCTION("GOOGLETRANSLATE(B2617, ""es"", ""en"")"),"Comfortable and beautiful. A comfortable sneaker, to my taste, nice. Normal Calza. By a comment I read, I took half size too, but I do not seem to be narrow.")</f>
        <v>Comfortable and beautiful. A comfortable sneaker, to my taste, nice. Normal Calza. By a comment I read, I took half size too, but I do not seem to be narrow.</v>
      </c>
    </row>
    <row r="2618">
      <c r="A2618" s="1">
        <v>5.0</v>
      </c>
      <c r="B2618" s="1" t="s">
        <v>2605</v>
      </c>
      <c r="C2618" t="str">
        <f>IFERROR(__xludf.DUMMYFUNCTION("GOOGLETRANSLATE(B2618, ""es"", ""en"")"),"Well-designed tastefully designed, finished first, very good.")</f>
        <v>Well-designed tastefully designed, finished first, very good.</v>
      </c>
    </row>
    <row r="2619">
      <c r="A2619" s="1">
        <v>5.0</v>
      </c>
      <c r="B2619" s="1" t="s">
        <v>2606</v>
      </c>
      <c r="C2619" t="str">
        <f>IFERROR(__xludf.DUMMYFUNCTION("GOOGLETRANSLATE(B2619, ""es"", ""en"")"),"I like the color I've used yet. The day came sooner than expected. It looks good. We will see that the result")</f>
        <v>I like the color I've used yet. The day came sooner than expected. It looks good. We will see that the result</v>
      </c>
    </row>
    <row r="2620">
      <c r="A2620" s="1">
        <v>5.0</v>
      </c>
      <c r="B2620" s="1" t="s">
        <v>2607</v>
      </c>
      <c r="C2620" t="str">
        <f>IFERROR(__xludf.DUMMYFUNCTION("GOOGLETRANSLATE(B2620, ""es"", ""en"")"),"Dj'm perfect, works perfectly with the CDJ and drivers (all in one), LOCOS capacity and speed! I recommend it 100% ...")</f>
        <v>Dj'm perfect, works perfectly with the CDJ and drivers (all in one), LOCOS capacity and speed! I recommend it 100% ...</v>
      </c>
    </row>
    <row r="2621">
      <c r="A2621" s="1">
        <v>5.0</v>
      </c>
      <c r="B2621" s="1" t="s">
        <v>2608</v>
      </c>
      <c r="C2621" t="str">
        <f>IFERROR(__xludf.DUMMYFUNCTION("GOOGLETRANSLATE(B2621, ""es"", ""en"")"),"Super lightweight comfortable. The dance use.")</f>
        <v>Super lightweight comfortable. The dance use.</v>
      </c>
    </row>
    <row r="2622">
      <c r="A2622" s="1">
        <v>5.0</v>
      </c>
      <c r="B2622" s="1" t="s">
        <v>2609</v>
      </c>
      <c r="C2622" t="str">
        <f>IFERROR(__xludf.DUMMYFUNCTION("GOOGLETRANSLATE(B2622, ""es"", ""en"")"),"guauuuu that effectively Watch effectiveness Amazon to meet deadlines has been fabulous, thank you. Subscribe to amazon prime no fault! Fantastical THERMO FOR MY BABY, I LOVE THE COLOR CELESTE")</f>
        <v>guauuuu that effectively Watch effectiveness Amazon to meet deadlines has been fabulous, thank you. Subscribe to amazon prime no fault! Fantastical THERMO FOR MY BABY, I LOVE THE COLOR CELESTE</v>
      </c>
    </row>
    <row r="2623">
      <c r="A2623" s="1">
        <v>5.0</v>
      </c>
      <c r="B2623" s="1" t="s">
        <v>2610</v>
      </c>
      <c r="C2623" t="str">
        <f>IFERROR(__xludf.DUMMYFUNCTION("GOOGLETRANSLATE(B2623, ""es"", ""en"")"),"The super comfortable bought for gifts and have been delighted, use a lot, are super lightweight and the sole is great.")</f>
        <v>The super comfortable bought for gifts and have been delighted, use a lot, are super lightweight and the sole is great.</v>
      </c>
    </row>
    <row r="2624">
      <c r="A2624" s="1">
        <v>5.0</v>
      </c>
      <c r="B2624" s="1" t="s">
        <v>2611</v>
      </c>
      <c r="C2624" t="str">
        <f>IFERROR(__xludf.DUMMYFUNCTION("GOOGLETRANSLATE(B2624, ""es"", ""en"")"),"The perfect product is very good and clearly fulfills its mission. The strips are of the right size for all cables from facilities TV, home cinema, cable, router sets up the laptop, mouse, printer, hard disk. It is also excellent for maintaining order cab"&amp;"les while traveling. I'm very happy")</f>
        <v>The perfect product is very good and clearly fulfills its mission. The strips are of the right size for all cables from facilities TV, home cinema, cable, router sets up the laptop, mouse, printer, hard disk. It is also excellent for maintaining order cables while traveling. I'm very happy</v>
      </c>
    </row>
    <row r="2625">
      <c r="A2625" s="1">
        <v>5.0</v>
      </c>
      <c r="B2625" s="1" t="s">
        <v>2612</v>
      </c>
      <c r="C2625" t="str">
        <f>IFERROR(__xludf.DUMMYFUNCTION("GOOGLETRANSLATE(B2625, ""es"", ""en"")"),"Very good quality great compared to the price it has. Obviously it was a gift for a follower of the RM and guessed right. Great")</f>
        <v>Very good quality great compared to the price it has. Obviously it was a gift for a follower of the RM and guessed right. Great</v>
      </c>
    </row>
    <row r="2626">
      <c r="A2626" s="1">
        <v>5.0</v>
      </c>
      <c r="B2626" s="1" t="s">
        <v>2613</v>
      </c>
      <c r="C2626" t="str">
        <f>IFERROR(__xludf.DUMMYFUNCTION("GOOGLETRANSLATE(B2626, ""es"", ""en"")"),"Cool Very good headphones. I bought them because I had a wireless quite uncomfortable, did not fit very well and I fell all the time. I must admit that these exceed my expectations. The presentation of the product is achieved, first point in their favor i"&amp;"mmediately upon receipt. In the box comes charging cable, charging cradle and headphones; the support is a charger to turn, so you can recharge several times headphones without having to plug support, something really useful if you're traveling and genera"&amp;"lly in any situation where you're not going to have on hand a plug for a while. Even so, the battery of the headset is quite good, put up about 4 hours at an average volume. The connection to the phone is surprisingly quick, the turn on a few seconds by p"&amp;"ressing the button which incorporate and then you appear ""T1"" on the screen of your mobile; without keys or rodeos, you press it, connect to the instant and you can work with them. You take them off can not turn them off, go alone in standby mode, and w"&amp;"hen you put those back, you just have to turn on Bluetooth and reconnected. At the beginning they are a bit rare to put in the ear, but quickly you got the knack. So far I have tried climbing on climbing wall and running, and even after some jerk you all "&amp;"have to reposition, not surprisingly, generally do not move from your site. The sound quality is good. You can perform various actions through the headphones themselves without having to take the phone or other electronic device to which they are linked: "&amp;"turn them off, turn up the volume, change tracks, take a call, hang; all through the side buttons that are incorporated, are easily accessible while doing other activities. Very convenient for example when you're playing sports and you can not be taking t"&amp;"he phone to change the playback track. Very satisfied with the purchase. I recommend it 100%. If you liked my review please give useful in my opinion.")</f>
        <v>Cool Very good headphones. I bought them because I had a wireless quite uncomfortable, did not fit very well and I fell all the time. I must admit that these exceed my expectations. The presentation of the product is achieved, first point in their favor immediately upon receipt. In the box comes charging cable, charging cradle and headphones; the support is a charger to turn, so you can recharge several times headphones without having to plug support, something really useful if you're traveling and generally in any situation where you're not going to have on hand a plug for a while. Even so, the battery of the headset is quite good, put up about 4 hours at an average volume. The connection to the phone is surprisingly quick, the turn on a few seconds by pressing the button which incorporate and then you appear "T1" on the screen of your mobile; without keys or rodeos, you press it, connect to the instant and you can work with them. You take them off can not turn them off, go alone in standby mode, and when you put those back, you just have to turn on Bluetooth and reconnected. At the beginning they are a bit rare to put in the ear, but quickly you got the knack. So far I have tried climbing on climbing wall and running, and even after some jerk you all have to reposition, not surprisingly, generally do not move from your site. The sound quality is good. You can perform various actions through the headphones themselves without having to take the phone or other electronic device to which they are linked: turn them off, turn up the volume, change tracks, take a call, hang; all through the side buttons that are incorporated, are easily accessible while doing other activities. Very convenient for example when you're playing sports and you can not be taking the phone to change the playback track. Very satisfied with the purchase. I recommend it 100%. If you liked my review please give useful in my opinion.</v>
      </c>
    </row>
    <row r="2627">
      <c r="A2627" s="1">
        <v>5.0</v>
      </c>
      <c r="B2627" s="1" t="s">
        <v>2614</v>
      </c>
      <c r="C2627" t="str">
        <f>IFERROR(__xludf.DUMMYFUNCTION("GOOGLETRANSLATE(B2627, ""es"", ""en"")"),"Highly recommended The delivery was very fast. All perfect.")</f>
        <v>Highly recommended The delivery was very fast. All perfect.</v>
      </c>
    </row>
    <row r="2628">
      <c r="A2628" s="1">
        <v>5.0</v>
      </c>
      <c r="B2628" s="1" t="s">
        <v>2615</v>
      </c>
      <c r="C2628" t="str">
        <f>IFERROR(__xludf.DUMMYFUNCTION("GOOGLETRANSLATE(B2628, ""es"", ""en"")"),"perfectly fulfill their function are very robust bananas that perfectly fulfill their function of connection between a speaker and amplifier.")</f>
        <v>perfectly fulfill their function are very robust bananas that perfectly fulfill their function of connection between a speaker and amplifier.</v>
      </c>
    </row>
    <row r="2629">
      <c r="A2629" s="1">
        <v>5.0</v>
      </c>
      <c r="B2629" s="1" t="s">
        <v>2616</v>
      </c>
      <c r="C2629" t="str">
        <f>IFERROR(__xludf.DUMMYFUNCTION("GOOGLETRANSLATE(B2629, ""es"", ""en"")"),"Perfect size and quality fabric. Perfect. In addition to the size that is easy in levi's alantener fairly definite pattern, the shirt is quite nice and the fabric quality as expected.")</f>
        <v>Perfect size and quality fabric. Perfect. In addition to the size that is easy in levi's alantener fairly definite pattern, the shirt is quite nice and the fabric quality as expected.</v>
      </c>
    </row>
    <row r="2630">
      <c r="A2630" s="1">
        <v>5.0</v>
      </c>
      <c r="B2630" s="1" t="s">
        <v>2617</v>
      </c>
      <c r="C2630" t="str">
        <f>IFERROR(__xludf.DUMMYFUNCTION("GOOGLETRANSLATE(B2630, ""es"", ""en"")"),"Very handy I like its design and practicality. Many pockets as well. ideal capacity. Color slightly darker than the picture. But I like it")</f>
        <v>Very handy I like its design and practicality. Many pockets as well. ideal capacity. Color slightly darker than the picture. But I like it</v>
      </c>
    </row>
    <row r="2631">
      <c r="A2631" s="1">
        <v>5.0</v>
      </c>
      <c r="B2631" s="1" t="s">
        <v>2618</v>
      </c>
      <c r="C2631" t="str">
        <f>IFERROR(__xludf.DUMMYFUNCTION("GOOGLETRANSLATE(B2631, ""es"", ""en"")"),"Cool few weeks I've been using it and are great, they are light. I love the colors. I ordered a size over which commonly use")</f>
        <v>Cool few weeks I've been using it and are great, they are light. I love the colors. I ordered a size over which commonly use</v>
      </c>
    </row>
    <row r="2632">
      <c r="A2632" s="1">
        <v>2.0</v>
      </c>
      <c r="B2632" s="1" t="s">
        <v>2619</v>
      </c>
      <c r="C2632" t="str">
        <f>IFERROR(__xludf.DUMMYFUNCTION("GOOGLETRANSLATE(B2632, ""es"", ""en"")"),"Colorfast is very practical, it has some good finishes and looks good material. However, in its first use I used it with a white shirt and the area in contact with the bag was completely marrón.Al wash the shirt the stain disappeared, but it is something "&amp;"that had never happened to me with a bag of skin.")</f>
        <v>Colorfast is very practical, it has some good finishes and looks good material. However, in its first use I used it with a white shirt and the area in contact with the bag was completely marrón.Al wash the shirt the stain disappeared, but it is something that had never happened to me with a bag of skin.</v>
      </c>
    </row>
    <row r="2633">
      <c r="A2633" s="1">
        <v>3.0</v>
      </c>
      <c r="B2633" s="1" t="s">
        <v>2620</v>
      </c>
      <c r="C2633" t="str">
        <f>IFERROR(__xludf.DUMMYFUNCTION("GOOGLETRANSLATE(B2633, ""es"", ""en"")"),"Works but uncomfortable to use. This good but not great. It is awkward to use, because you got to stay sitting without back support. As indicated by the name is cervical, nothing more. But ... I've used pretty much calmed me and headache. I still use regu"&amp;"larly and I am much better. (I bought it at 29.99 euros and the following week was already 39.99 🤔)")</f>
        <v>Works but uncomfortable to use. This good but not great. It is awkward to use, because you got to stay sitting without back support. As indicated by the name is cervical, nothing more. But ... I've used pretty much calmed me and headache. I still use regularly and I am much better. (I bought it at 29.99 euros and the following week was already 39.99 🤔)</v>
      </c>
    </row>
    <row r="2634">
      <c r="A2634" s="1">
        <v>3.0</v>
      </c>
      <c r="B2634" s="1" t="s">
        <v>2621</v>
      </c>
      <c r="C2634" t="str">
        <f>IFERROR(__xludf.DUMMYFUNCTION("GOOGLETRANSLATE(B2634, ""es"", ""en"")"),"Shame is the second q pair bought for my daughter, but I q porq return turned out to be very large, there is much difference between the previous size d number and est. Shame porq my daughter was thrilled with the above.")</f>
        <v>Shame is the second q pair bought for my daughter, but I q porq return turned out to be very large, there is much difference between the previous size d number and est. Shame porq my daughter was thrilled with the above.</v>
      </c>
    </row>
    <row r="2635">
      <c r="A2635" s="1">
        <v>3.0</v>
      </c>
      <c r="B2635" s="1" t="s">
        <v>2622</v>
      </c>
      <c r="C2635" t="str">
        <f>IFERROR(__xludf.DUMMYFUNCTION("GOOGLETRANSLATE(B2635, ""es"", ""en"")"),"M very large size I ordered a size M and is immense. The product looks good quality. I can not judge anything")</f>
        <v>M very large size I ordered a size M and is immense. The product looks good quality. I can not judge anything</v>
      </c>
    </row>
    <row r="2636">
      <c r="A2636" s="1">
        <v>1.0</v>
      </c>
      <c r="B2636" s="1" t="s">
        <v>2623</v>
      </c>
      <c r="C2636" t="str">
        <f>IFERROR(__xludf.DUMMYFUNCTION("GOOGLETRANSLATE(B2636, ""es"", ""en"")"),"They do not correspond to the actual number that asked not correspond to the real. Places that are skin and are not, they are plastic. Very bad quality.")</f>
        <v>They do not correspond to the actual number that asked not correspond to the real. Places that are skin and are not, they are plastic. Very bad quality.</v>
      </c>
    </row>
    <row r="2637">
      <c r="A2637" s="1">
        <v>1.0</v>
      </c>
      <c r="B2637" s="1" t="s">
        <v>2624</v>
      </c>
      <c r="C2637" t="str">
        <f>IFERROR(__xludf.DUMMYFUNCTION("GOOGLETRANSLATE(B2637, ""es"", ""en"")"),"TWIN PACK IS NOT The product is advertised as TWIN PACK and I have only received one card. The Twin Pack package are two cards, not one, if not, to be advertised correctly.")</f>
        <v>TWIN PACK IS NOT The product is advertised as TWIN PACK and I have only received one card. The Twin Pack package are two cards, not one, if not, to be advertised correctly.</v>
      </c>
    </row>
    <row r="2638">
      <c r="A2638" s="1">
        <v>4.0</v>
      </c>
      <c r="B2638" s="1" t="s">
        <v>2625</v>
      </c>
      <c r="C2638" t="str">
        <f>IFERROR(__xludf.DUMMYFUNCTION("GOOGLETRANSLATE(B2638, ""es"", ""en"")"),"Good quality and price is what I expected")</f>
        <v>Good quality and price is what I expected</v>
      </c>
    </row>
    <row r="2639">
      <c r="A2639" s="1">
        <v>4.0</v>
      </c>
      <c r="B2639" s="1" t="s">
        <v>2626</v>
      </c>
      <c r="C2639" t="str">
        <f>IFERROR(__xludf.DUMMYFUNCTION("GOOGLETRANSLATE(B2639, ""es"", ""en"")"),"I bought good buy below 100 €, and I think for 4TB is a good buy. No one expected the hard drive faster than the market, but to make a data backup is a fantastic option. Discs feature last about 5 years of use, which in the case of WD usually met, if not "&amp;"exceeded, and that is what I expect from this album. Also, I was reading discs 4TB had fewer failures than 3, 5 or 6 and between that and the price of this model made me decide. I recommend buying.")</f>
        <v>I bought good buy below 100 €, and I think for 4TB is a good buy. No one expected the hard drive faster than the market, but to make a data backup is a fantastic option. Discs feature last about 5 years of use, which in the case of WD usually met, if not exceeded, and that is what I expect from this album. Also, I was reading discs 4TB had fewer failures than 3, 5 or 6 and between that and the price of this model made me decide. I recommend buying.</v>
      </c>
    </row>
    <row r="2640">
      <c r="A2640" s="1">
        <v>4.0</v>
      </c>
      <c r="B2640" s="1" t="s">
        <v>2627</v>
      </c>
      <c r="C2640" t="str">
        <f>IFERROR(__xludf.DUMMYFUNCTION("GOOGLETRANSLATE(B2640, ""es"", ""en"")"),"Cable sturdy and good quality Cable sturdy and good quality. I've bought for my stereo and install it with a banana connectors. Despite being thick, it works easily. As a snag, it would put the roll of 10m is very large, could make one of 5m. and they cou"&amp;"ld better distinguish between the two cables, because the gray line does not look very well in low light. Otherwise, everything is correct.")</f>
        <v>Cable sturdy and good quality Cable sturdy and good quality. I've bought for my stereo and install it with a banana connectors. Despite being thick, it works easily. As a snag, it would put the roll of 10m is very large, could make one of 5m. and they could better distinguish between the two cables, because the gray line does not look very well in low light. Otherwise, everything is correct.</v>
      </c>
    </row>
    <row r="2641">
      <c r="A2641" s="1">
        <v>4.0</v>
      </c>
      <c r="B2641" s="1" t="s">
        <v>2628</v>
      </c>
      <c r="C2641" t="str">
        <f>IFERROR(__xludf.DUMMYFUNCTION("GOOGLETRANSLATE(B2641, ""es"", ""en"")"),"Very nice very nice, exceeded my expectations")</f>
        <v>Very nice very nice, exceeded my expectations</v>
      </c>
    </row>
    <row r="2642">
      <c r="A2642" s="1">
        <v>5.0</v>
      </c>
      <c r="B2642" s="1" t="s">
        <v>2629</v>
      </c>
      <c r="C2642" t="str">
        <f>IFERROR(__xludf.DUMMYFUNCTION("GOOGLETRANSLATE(B2642, ""es"", ""en"")"),"Recommended The product meets function. It is added for 8 hours and then makes the babycook 3 wash cycles and ready. Recommendable.")</f>
        <v>Recommended The product meets function. It is added for 8 hours and then makes the babycook 3 wash cycles and ready. Recommendable.</v>
      </c>
    </row>
    <row r="2643">
      <c r="A2643" s="1">
        <v>5.0</v>
      </c>
      <c r="B2643" s="1" t="s">
        <v>2630</v>
      </c>
      <c r="C2643" t="str">
        <f>IFERROR(__xludf.DUMMYFUNCTION("GOOGLETRANSLATE(B2643, ""es"", ""en"")"),"Simply perfect They adapt perfectly to the ear and hold up well without falling, as they weigh little. Earrings of this style, I tried several, these are the ones that I stay; definitely.")</f>
        <v>Simply perfect They adapt perfectly to the ear and hold up well without falling, as they weigh little. Earrings of this style, I tried several, these are the ones that I stay; definitely.</v>
      </c>
    </row>
    <row r="2644">
      <c r="A2644" s="1">
        <v>5.0</v>
      </c>
      <c r="B2644" s="1" t="s">
        <v>2631</v>
      </c>
      <c r="C2644" t="str">
        <f>IFERROR(__xludf.DUMMYFUNCTION("GOOGLETRANSLATE(B2644, ""es"", ""en"")"),"Good quality. Intuitive software copy I think one of the best SSD was've had. Good transfer rate, very balanced in terms of writing speed reading. It has good cache. Easy to install. Best of all is that you Crucial includes software to make a replica of t"&amp;"he disk you want to replace easily and intuitively signature.")</f>
        <v>Good quality. Intuitive software copy I think one of the best SSD was've had. Good transfer rate, very balanced in terms of writing speed reading. It has good cache. Easy to install. Best of all is that you Crucial includes software to make a replica of the disk you want to replace easily and intuitively signature.</v>
      </c>
    </row>
    <row r="2645">
      <c r="A2645" s="1">
        <v>5.0</v>
      </c>
      <c r="B2645" s="1" t="s">
        <v>2632</v>
      </c>
      <c r="C2645" t="str">
        <f>IFERROR(__xludf.DUMMYFUNCTION("GOOGLETRANSLATE(B2645, ""es"", ""en"")"),"A happy Casio watch, so do not comment resistance, color is not as vivid as in the picture but is very nice, and fast delivery been a successful purchase and very satisfechi")</f>
        <v>A happy Casio watch, so do not comment resistance, color is not as vivid as in the picture but is very nice, and fast delivery been a successful purchase and very satisfechi</v>
      </c>
    </row>
    <row r="2646">
      <c r="A2646" s="1">
        <v>5.0</v>
      </c>
      <c r="B2646" s="1" t="s">
        <v>2633</v>
      </c>
      <c r="C2646" t="str">
        <f>IFERROR(__xludf.DUMMYFUNCTION("GOOGLETRANSLATE(B2646, ""es"", ""en"")"),"Recommended for the price, this great sounds very good and whether or not my perfect van")</f>
        <v>Recommended for the price, this great sounds very good and whether or not my perfect van</v>
      </c>
    </row>
    <row r="2647">
      <c r="A2647" s="1">
        <v>5.0</v>
      </c>
      <c r="B2647" s="1" t="s">
        <v>2634</v>
      </c>
      <c r="C2647" t="str">
        <f>IFERROR(__xludf.DUMMYFUNCTION("GOOGLETRANSLATE(B2647, ""es"", ""en"")"),"Does the job for now no hits")</f>
        <v>Does the job for now no hits</v>
      </c>
    </row>
    <row r="2648">
      <c r="A2648" s="1">
        <v>5.0</v>
      </c>
      <c r="B2648" s="1" t="s">
        <v>2635</v>
      </c>
      <c r="C2648" t="str">
        <f>IFERROR(__xludf.DUMMYFUNCTION("GOOGLETRANSLATE(B2648, ""es"", ""en"")"),"Ease cut are great for kids to do crafts with them. They are paper and can cut fingers easily without scissors")</f>
        <v>Ease cut are great for kids to do crafts with them. They are paper and can cut fingers easily without scissors</v>
      </c>
    </row>
    <row r="2649">
      <c r="A2649" s="1">
        <v>5.0</v>
      </c>
      <c r="B2649" s="1" t="s">
        <v>2636</v>
      </c>
      <c r="C2649" t="str">
        <f>IFERROR(__xludf.DUMMYFUNCTION("GOOGLETRANSLATE(B2649, ""es"", ""en"")"),"Exquisite pendant earrings and pendant bought the for my mother loved it. Now pending. My opinion, perfect size, good quality. delicate presentation, good packaging and fast shipping.")</f>
        <v>Exquisite pendant earrings and pendant bought the for my mother loved it. Now pending. My opinion, perfect size, good quality. delicate presentation, good packaging and fast shipping.</v>
      </c>
    </row>
    <row r="2650">
      <c r="A2650" s="1">
        <v>5.0</v>
      </c>
      <c r="B2650" s="1" t="s">
        <v>2637</v>
      </c>
      <c r="C2650" t="str">
        <f>IFERROR(__xludf.DUMMYFUNCTION("GOOGLETRANSLATE(B2650, ""es"", ""en"")"),"Highly recommended is perfect")</f>
        <v>Highly recommended is perfect</v>
      </c>
    </row>
    <row r="2651">
      <c r="A2651" s="1">
        <v>5.0</v>
      </c>
      <c r="B2651" s="1" t="s">
        <v>2638</v>
      </c>
      <c r="C2651" t="str">
        <f>IFERROR(__xludf.DUMMYFUNCTION("GOOGLETRANSLATE(B2651, ""es"", ""en"")"),"By the time I received the card well, perfectly well packed in a carton of the brand. It comes in a blister together with SD adapter so that can connect directly to the card reader of your computer. The image I show is the result of the speed test card pl"&amp;"aced in the card reader with the adapter.")</f>
        <v>By the time I received the card well, perfectly well packed in a carton of the brand. It comes in a blister together with SD adapter so that can connect directly to the card reader of your computer. The image I show is the result of the speed test card placed in the card reader with the adapter.</v>
      </c>
    </row>
    <row r="2652">
      <c r="A2652" s="1">
        <v>5.0</v>
      </c>
      <c r="B2652" s="1" t="s">
        <v>2639</v>
      </c>
      <c r="C2652" t="str">
        <f>IFERROR(__xludf.DUMMYFUNCTION("GOOGLETRANSLATE(B2652, ""es"", ""en"")"),"PERFECT Just what I wanted to talk about my two phones and forget about them. It works great, the sound is spectacular. I recommend it 100%. Also you can change ears.")</f>
        <v>PERFECT Just what I wanted to talk about my two phones and forget about them. It works great, the sound is spectacular. I recommend it 100%. Also you can change ears.</v>
      </c>
    </row>
    <row r="2653">
      <c r="A2653" s="1">
        <v>5.0</v>
      </c>
      <c r="B2653" s="1" t="s">
        <v>2640</v>
      </c>
      <c r="C2653" t="str">
        <f>IFERROR(__xludf.DUMMYFUNCTION("GOOGLETRANSLATE(B2653, ""es"", ""en"")"),"Perfect work perfectly, hairs traps dust and even when it seems that this house clean, I clean with the vacuum cleaner to try to remove more party")</f>
        <v>Perfect work perfectly, hairs traps dust and even when it seems that this house clean, I clean with the vacuum cleaner to try to remove more party</v>
      </c>
    </row>
    <row r="2654">
      <c r="A2654" s="1">
        <v>5.0</v>
      </c>
      <c r="B2654" s="1" t="s">
        <v>2641</v>
      </c>
      <c r="C2654" t="str">
        <f>IFERROR(__xludf.DUMMYFUNCTION("GOOGLETRANSLATE(B2654, ""es"", ""en"")"),"All right! They are original headphones, there is no problem. At the beginning I thought they were fake because of its low price, but I was wrong, I can assure that they are original.")</f>
        <v>All right! They are original headphones, there is no problem. At the beginning I thought they were fake because of its low price, but I was wrong, I can assure that they are original.</v>
      </c>
    </row>
    <row r="2655">
      <c r="A2655" s="1">
        <v>5.0</v>
      </c>
      <c r="B2655" s="1" t="s">
        <v>2642</v>
      </c>
      <c r="C2655" t="str">
        <f>IFERROR(__xludf.DUMMYFUNCTION("GOOGLETRANSLATE(B2655, ""es"", ""en"")"),"Incredible as I have loved adapt to the ear and its sound quality, I use them to run and do not move me as others I've used before, and to say about the price. amazing headphones.")</f>
        <v>Incredible as I have loved adapt to the ear and its sound quality, I use them to run and do not move me as others I've used before, and to say about the price. amazing headphones.</v>
      </c>
    </row>
    <row r="2656">
      <c r="A2656" s="1">
        <v>5.0</v>
      </c>
      <c r="B2656" s="1" t="s">
        <v>2643</v>
      </c>
      <c r="C2656" t="str">
        <f>IFERROR(__xludf.DUMMYFUNCTION("GOOGLETRANSLATE(B2656, ""es"", ""en"")"),"Meets promised Simple and straightforward. I needed a card for my camera could record 4k action at 60 fps and this micro SD serves. A little advice for purchases of storage devices, when you get the order CrystalDisk download the application to verify tha"&amp;"t you are not selling for a ride in terms of speed.")</f>
        <v>Meets promised Simple and straightforward. I needed a card for my camera could record 4k action at 60 fps and this micro SD serves. A little advice for purchases of storage devices, when you get the order CrystalDisk download the application to verify that you are not selling for a ride in terms of speed.</v>
      </c>
    </row>
    <row r="2657">
      <c r="A2657" s="1">
        <v>5.0</v>
      </c>
      <c r="B2657" s="1" t="s">
        <v>2644</v>
      </c>
      <c r="C2657" t="str">
        <f>IFERROR(__xludf.DUMMYFUNCTION("GOOGLETRANSLATE(B2657, ""es"", ""en"")"),"Very good product very rigid and comfortable at the same time. That is perfect.")</f>
        <v>Very good product very rigid and comfortable at the same time. That is perfect.</v>
      </c>
    </row>
    <row r="2658">
      <c r="A2658" s="1">
        <v>5.0</v>
      </c>
      <c r="B2658" s="1" t="s">
        <v>2645</v>
      </c>
      <c r="C2658" t="str">
        <f>IFERROR(__xludf.DUMMYFUNCTION("GOOGLETRANSLATE(B2658, ""es"", ""en"")"),"Very good quality buy for my girlfriend and really giving very good quality. Aesthetically they are simple, but its greatest virtue is that. It serves both for sport and look to go dress. Amazon price cheaper than physical store. I recommend it without qu"&amp;"estion.")</f>
        <v>Very good quality buy for my girlfriend and really giving very good quality. Aesthetically they are simple, but its greatest virtue is that. It serves both for sport and look to go dress. Amazon price cheaper than physical store. I recommend it without question.</v>
      </c>
    </row>
    <row r="2659">
      <c r="A2659" s="1">
        <v>5.0</v>
      </c>
      <c r="B2659" s="1" t="s">
        <v>2646</v>
      </c>
      <c r="C2659" t="str">
        <f>IFERROR(__xludf.DUMMYFUNCTION("GOOGLETRANSLATE(B2659, ""es"", ""en"")"),"Aroma and relaxation &lt;div id = ""video-block-R18VKUY7T9CM9N"" class = ""section a-a-a-spacing-small spacing-top-video mini-block""&gt; &lt;div tabindex = ""0"" class = ""airy airy- svg vmin-supported airy-skin-beacon ""style ="" background-color: rgb (0, 0, 0) "&amp;"position: relative; width: 100%; height: 100%; font-size: 0px; overflow: hidden; outline: none; ""&gt; &lt;div class ="" airy-renderer-container ""style ="" position: relative; height: 100%; width: 100%; ""&gt; &lt;video id ="" 7 ""preload ="" auto ""src = ""https://"&amp;"images-eu.ssl-images-amazon.com/images/I/71QNxVXxkVS.mp4"" style = ""position: absolute; left: 0px; top: 0px; overflow: hidden; height: 1px; width: 1px; ""&gt; &lt;/ video&gt; &lt;/ div&gt; &lt;div id ="" airy-slate-preload ""style ="" background-color: rgb (0, 0, 0); back"&amp;"ground-image: url (&amp; quot; https: / /images-eu.ssl-images-amazon.com/images/I/81BaIk5dxSS.png&amp;quot;); background-size: Contain; background-position: center center; background-repeat: no-repeat; position: absolute; top: 0px; left: 0px; visibility: visible;"&amp;" width: 100%; height: 100%; ""&gt; &lt;/ div&gt; &lt;iframe scrolli ng = ""no"" frameborder = ""0"" src = ""about: blank"" style = ""display: none;""&gt; &lt;/ iframe&gt; &lt;div tabindex = ""- 1"" class = ""airy-controls-container"" style = "" opacity: 0; visibility: hidden; """&amp;"&gt; &lt;div tabindex ="" - 1 ""class ="" airy-screen-size-toggle airy-fullscreen ""&gt; &lt;/ div&gt; &lt;div tabindex ="" - 1 ""class ="" airy-container-bottom "" &gt; &lt;div tabindex = ""- 1"" class = ""airy-track-bar-spacer-left"" style = ""width: 11px;""&gt; &lt;/ div&gt; &lt;div tabi"&amp;"ndex = ""- 1"" class = ""airy-play- airy toggle-play ""style ="" width: 12px; margin-right: 12px; ""&gt; &lt;/ div&gt; &lt;div tabindex ="" - 1 ""class ="" airy-audio-elements ""style ="" float: right; width: 34px; ""&gt; &lt;div tabindex ="" - 1 ""class ="" airy-audio-tog"&amp;"gle airy-on ""&gt; &lt;/ div&gt; &lt;div tabindex ="" - 1 ""class ="" airy-audio-container ""style = ""opacity: 0; visibility: hidden; ""&gt; &lt;div tabindex ="" - 1 ""class ="" airy-audio-track-bar ""style ="" height: 80%; ""&gt; &lt;div tabindex ="" - 1 ""class ="" airy-audio"&amp;"- Scrubber-bar ""style ="" height: 85%; ""&gt; &lt;/ div&gt; &lt;div tabindex ="" - 1 ""class ="" airy-audio-scrubber ""style ="" height: 12px; bottom: 85% ""&gt; &lt;/ div&gt; &lt;/ div&gt; &lt;/ div&gt; &lt;/ div&gt; &lt;div tabindex ="" - 1 ""class ="" airy-duration-label ""style ="" float: ri"&amp;"ght; width: 26px; margin-right: 4px; text-align: center; ""&gt; 0:00 &lt;/ div&gt; &lt;div tabindex ="" - 1 ""class ="" airy-track-bar-spacer-right ""style ="" float: right; width: 11px; ""&gt; &lt;/ div&gt; &lt;div tabindex ="" - 1 ""class ="" airy-track-bar-container ""style ="&amp;""" margin-left: 35px; margin-right: 75px; ""&gt; &lt;div tabindex ="" - 1 ""class ="" airy-airy-track-bar vertically-centering-table ""&gt; &lt;div tabindex ="" - 1 ""class ="" airy-Vertical-centering- table-cell ""&gt; &lt;div tabindex ="" - 1 ""class ="" airy-track-bar-e"&amp;"lements ""&gt; &lt;div tabindex ="" - 1 ""class ="" airy-progress-bar ""&gt; &lt;/ div&gt; &lt;div tabindex = ""- 1"" class = ""airy-scrubber-bar""&gt; &lt;/ div&gt; &lt;div tabindex = ""- 1"" class = ""airy-scrubber""&gt; &lt;div tabindex = ""- 1"" class = ""airy-scrubber- icon ""&gt; &lt;/ div&gt;"&amp;" &lt;div tabindex ="" - 1 ""class ="" airy-adjusted-AUI-tooltip ""style ="" opacity: 0; visibility: hidden; ""&gt; &lt;div tabindex ="" - 1 ""class ="" airy-adjusted-aui-tooltip-inner ""&gt; &lt;div tabindex ="" - 1 ""class ="" airy-current-time-label ""&gt; 0: 00 &lt;/ div&gt; "&amp;"&lt;/ div&gt; &lt;div tabindex = ""- 1"" class = ""airy-adjusted-AUI-arrow-border""&gt; &lt;div tabindex = ""- 1"" class = ""airy-adjusted-AUI-arrow"" &gt; &lt;/ div&gt; &lt;/ div&gt; &lt;/ div&gt; &lt;/ div&gt; &lt;/ div&gt; &lt;/ div&gt; &lt;/ div&gt; &lt;/ div&gt; &lt;/ div&gt; &lt;/ div&gt; &lt;div tabindex = ""- 1"" class = ""air"&amp;"y-age-gate airy-stage airy-Vertical-centering-table airy-dialog"" style = ""opacity: 0; visibility: hidden; ""&gt; &lt;div tabindex ="" - 1 ""class ="" airy-age-gate-Vertical-centering-table-cell airy-Vertical-centering-table-cell ""&gt; &lt;div tabindex ="" - 1 ""cl"&amp;"ass = ""airy-Vertical-centering-wrapper airy-age-gate-elements-wrapper""&gt; &lt;div tabindex = ""- 1"" class = ""airy-age-gate-elements airy-dialog-elements""&gt; &lt;div tabindex = "" -1 ""class ="" airy-age-gate-prompt ""&gt; This video is not Intended for all audien"&amp;"ces What date were you born &lt;/ div&gt; &lt;div tabindex =.?"" - 1 ""class ="" airy-age-gate -inputs airy-dialog-inner-elements ""&gt; &lt;select tabindex ="" - 1 ""class ="" airy-age-gate-month ""&gt; &lt;option value ="" 1 ""&gt; January &lt;/ option&gt; &lt;option value ="" 2 ""&gt; Fe"&amp;"bruary &lt;/ option&gt; &lt;option value ="" 3 ""&gt; March &lt;/ option&gt; &lt;option value ="" 4 ""&gt; April &lt;/ option&gt; &lt;option value ="" 5 ""&gt; May &lt;/ option&gt; &lt;option value = ""6""&gt; June &lt;/ option&gt; &lt;option value = ""7""&gt; July &lt;/ option&gt; &lt;option value = ""8""&gt; August &lt;/ optio"&amp;"n&gt; &lt;option value = ""9""&gt; September &lt;/ option&gt; &lt;option value = ""10""&gt; October &lt;/ option&gt; &lt;option value = ""11""&gt; November &lt;/ option&gt; &lt;option value = ""12""&gt; December &lt;/ option&gt; &lt;/ select&gt; &lt;select tabindex = ""- 1"" class = ""airy-age-gate-day""&gt; &lt;opti on"&amp;" value = ""1""&gt; 1 &lt;/ option&gt; &lt;option value = ""2""&gt; 2 &lt;/ option&gt; &lt;option value = ""3""&gt; 3 &lt;/ option&gt; &lt;option value = ""4""&gt; 4 &lt;/ option &gt; &lt;option value = ""5""&gt; 5 &lt;/ option&gt; &lt;option value = ""6""&gt; 6 &lt;/ option&gt; &lt;option value = ""7""&gt; 7 &lt;/ option&gt; &lt;option v"&amp;"alue = ""8""&gt; 8 &lt; / option&gt; &lt;option value = ""9""&gt; 9 &lt;/ option&gt; &lt;option value = ""10""&gt; 10 &lt;/ option&gt; &lt;option value = ""11""&gt; 11 &lt;/ option&gt; &lt;option value = ""12""&gt; 12 &lt;/ option&gt; &lt;option value = ""13""&gt; 13 &lt;/ option&gt; &lt;option value = ""14""&gt; 14 &lt;/ option&gt; &lt;"&amp;"option value = ""15""&gt; 15 &lt;/ option&gt; &lt;option value = ""16 ""&gt; 16 &lt;/ option&gt; &lt;option value ="" 17 ""&gt; 17 &lt;/ option&gt; &lt;option value ="" 18 ""&gt; 18 &lt;/ option&gt; &lt;option value ="" 19 ""&gt; 19 &lt;/ option&gt; &lt;option value = ""20""&gt; 20 &lt;/ option&gt; &lt;option value = ""21""&gt; "&amp;"21 &lt;/ option&gt; &lt;option value = ""22""&gt; 22 &lt;/ option&gt; &lt;option value = ""23""&gt; 23 &lt;/ option&gt; &lt;option value = ""24""&gt; 24 &lt;/ option&gt; &lt;option value = ""25""&gt; 25 &lt;/ option&gt; &lt;option value = ""26""&gt; 26 &lt;/ option&gt; &lt;option value = ""27""&gt; 27 &lt;/ option&gt; &lt;option value"&amp;" = ""28""&gt; 28 &lt;/ option&gt; &lt;option value = ""29""&gt; 29 &lt;/ option&gt; &lt;option value = ""30""&gt; 30 &lt;/ option&gt; &lt;option value = ""31""&gt; 31 &lt;/ option&gt; &lt;/ select&gt; &lt;select tabindex = ""- 1"" class = ""airy-age-gate-year""&gt; &lt;option value = ""2019""&gt; 2019 &lt;/ option&gt; &lt; op"&amp;"tion value = ""2018""&gt; 2018 &lt;/ option&gt; &lt;option value = ""2017""&gt; 2017 &lt;/ option&gt; &lt;option value = ""2016""&gt; ​​2016 &lt;/ option&gt; &lt;option value = ""2015""&gt; 2015 &lt;/ option &gt; &lt;option value = ""2014""&gt; 2014 &lt;/ option&gt; &lt;option value = ""2013""&gt; 2013 &lt;/ option&gt; &lt;op"&amp;"tion value = ""2012""&gt; 2012 &lt;/ option&gt; &lt;option value = ""2011""&gt; 2011 &lt; / option&gt; &lt;option value = ""2010""&gt; 2010 &lt;/ option&gt; &lt;option value = ""2009""&gt; 2009 &lt;/ option&gt; &lt;option value = ""2008""&gt; 2008 &lt;/ option&gt; &lt;option value = ""2007""&gt; 2007 &lt;/ option&gt; &lt;opti"&amp;"on value = ""2006""&gt; 2006 &lt;/ option&gt; &lt;option value = ""2005""&gt; 2005 &lt;/ option&gt; &lt;option value = ""2004""&gt; 2004 &lt;/ option&gt; &lt;option value = ""2003 ""&gt; 2003 &lt;/ option&gt; &lt;option value ="" 2002 ""&gt; 2002 &lt;/ option&gt; &lt;option value ="" 2001 ""&gt; 2001 &lt;/ option&gt; &lt;opti"&amp;"on value ="" 2000 ""&gt; 2000 &lt;/ option&gt; &lt;option value = ""1999""&gt; 1999 &lt;/ option&gt; &lt;option value = ""1998""&gt; 1998 &lt;/ option&gt; &lt;option value = ""1997""&gt; 1997 &lt;/ option&gt; &lt;option value = ""1996""&gt; 1996 &lt;/ option&gt; &lt;option value = ""1995""&gt; 1995 &lt;/ option&gt; &lt;option"&amp;" value = ""1994""&gt; 1994 &lt;/ option&gt; &lt;option value = ""1993""&gt; 1993 &lt;/ option&gt; &lt;option value = ""1992""&gt; 1992 &lt;/ option&gt; &lt;option value = ""1991""&gt; 1991 &lt;/ option&gt; &lt;option value = ""1990""&gt; 1990 &lt;/ option&gt; &lt;option value = "" 1989 ""&gt; 1989 &lt;/ option&gt; &lt;option "&amp;"value ="" 1988 ""&gt; 1988 &lt;/ option&gt; &lt;option value ="" 1987 ""&gt; 1987 &lt;/ option&gt; &lt;option value ="" 1986 ""&gt; 1986 &lt;/ option&gt; &lt;value option = ""1985""&gt; 1985 &lt;/ option&gt; &lt;option value = ""1984""&gt; 1984 &lt;/ option&gt; &lt;option value = ""1983""&gt; 1983 &lt;/ option&gt; &lt;option "&amp;"value = ""1982""&gt; 1982 &lt;/ option&gt; &lt; option value = ""1981""&gt; 1981 &lt;/ option&gt; &lt;option value = ""1980""&gt; 1980 &lt;/ option&gt; &lt;option value = ""1979""&gt; 1979 &lt;/ option&gt; &lt;option value = ""1978""&gt; 1978 &lt;/ option &gt; &lt;option value = ""1977""&gt; 1977 &lt;/ option&gt; &lt;option v"&amp;"alue = ""1976""&gt; 1976 &lt;/ option&gt; &lt;option value = ""1975""&gt; 1975 &lt;/ option&gt; &lt;option value = ""1974""&gt; 1974 &lt; / option&gt; &lt;option value = ""1973""&gt; 1973 &lt;/ option&gt; &lt;option value = ""1972""&gt; 1972 &lt;/ option&gt; &lt;option value = ""1971""&gt; 1971 &lt;/ option&gt; &lt;option val"&amp;"ue = ""1970""&gt; 1970 &lt;/ option&gt; &lt;option value = ""1969""&gt; 1969 &lt;/ option&gt; &lt;option value = ""1968""&gt; 1968 &lt;/ option&gt; &lt;option value = ""1967""&gt; 1967 &lt;/ option&gt; &lt;option value = ""1966 ""&gt; 1966 &lt;/ option&gt; &lt;option value ="" 1965 ""&gt; 1965 &lt;/ option&gt; &lt;option valu"&amp;"e ="" 1964 ""&gt; 1964 &lt;/ option&gt; &lt;option value ="" 1963 ""&gt; 1963 &lt;/ option&gt; &lt;option value = ""1962""&gt; 1962 &lt;/ option&gt; &lt;option value = ""1961""&gt; 1961 &lt;/ option&gt; &lt;option value = ""1960""&gt; 1960 &lt;/ op tion&gt; &lt;option value = ""1959""&gt; 1959 &lt;/ option&gt; &lt;option valu"&amp;"e = ""1958""&gt; 1958 &lt;/ option&gt; &lt;option value = ""1957""&gt; 1957 &lt;/ option&gt; &lt;option value = ""1956""&gt; 1956 &lt;/ option&gt; &lt;option value = ""1955""&gt; 1955 &lt;/ option&gt; &lt;option value = ""1954""&gt; 1954 &lt;/ option&gt; &lt;option value = ""1953""&gt; 1953 &lt;/ option&gt; &lt;option value ="&amp;" ""1952""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"&amp;"= ""1940""&gt;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&lt;value option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airy-stage airy -vertical-centering-table-dialog airy airy-denied ""style ="" opacity: 0;"&amp;" visibility: hidden; ""&gt; &lt;div tabindex ="" - 1 ""class ="" airy-install-flash-Vertical-centering-table-cell airy-Vertical-centering-table-cell ""&gt; &lt;div tabindex ="" - 1 ""class = ""airy-Vertical-centering-wrapper airy-install-flash-elements-wrapper""&gt; &lt;di"&amp;"v tabindex = ""- 1"" class = ""airy-install-flash-elements airy-dialog-elements""&gt; &lt;div tabindex = "" -1 ""class ="" airy-install-flash-prompt ""&gt; Adobe Flash Player is required to watch this video &lt;/ div&gt; &lt;div tabindex =."" - 1 ""class ="" airy-install-f"&amp;"lash-button-wrapper airy -dialog-inner-elements ""&gt; &lt;div tabindex ="" - 1 ""class ="" airy-install-flash-button airy-button ""&gt; install Flash Player &lt;/ div&gt; &lt;/ div&gt; &lt;/ div&gt; &lt;/ div&gt; &lt;/ div&gt; &lt;/ div&gt; &lt;div tabindex = ""- 1"" class = ""airy-video-unsupported-d"&amp;"ialog airy-stage airy-Vertical-centering-table airy-dialog airy-denied"" style = ""opacity: 0; visibility: hidden; ""&gt; &lt;div tabindex ="" - 1 ""class ="" airy-video-unsupported-Vertical-centering-table-cell airy-Vertical-centering-table-cell ""&gt; &lt;div tabin"&amp;"dex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tabinde"&amp;"x ="" - 1 ""class ="" airy-loading-spinner-container airy-scalable-hint-container ""&gt; &lt;div tabindex ="" - 1 ""class ="" airy-loading-spinner-dummy airy-scalable-dummy ""&gt; &lt;/ div&gt; &lt; div tabindex = ""- 1"" class = ""airy-loading-spinner airy-hint"" style = "&amp;"""visibility: hidden;""&gt; &lt;/ div&gt; &lt;/ div&gt; &lt;/ div&gt; &lt;/ div&gt; &lt;div tabindex = ""- 1 ""class ="" airy-ads-screen-size-toggle airy-screen-size-toggle-fullscreen airy ""style ="" visibility: hidden; ""&gt; &lt;/ div&gt; &lt;div tabindex = ""-1"" class = ""airy-ad-prompt-cont"&amp;"ainer"" style = ""visibility: hidden;""&gt; &lt;div tabindex = ""- 1"" class = ""airy-ad-prompt-Vertical-centering-table-vertically airy centering-table ""&gt; &lt;div tabindex ="" - 1 ""class ="" airy-ad-prompt-Vertical-centering-table-cell airy-Vertical-centering-t"&amp;"able-cell ""&gt; &lt;div tabindex ="" - 1 ""class = ""airy-ad-prompt-label""&gt; &lt;/ div&gt; &lt;/ div&gt; &lt;/ div&gt; &lt;/ div&gt; &lt;div tabindex = ""- 1"" class = ""airy-ads-controls-container"" style = ""visibility: hidden; ""&gt; &lt;div tabindex ="" - 1 ""class ="" airy-ads-audio-togg"&amp;"le airy-audio-toggle airy-on ""style ="" visibility: hidden; ""&gt; &lt;/ div&gt; &lt;div tabindex ="" - 1 ""class ="" airy-time-remaining-label-container ""&gt; &lt;div tabindex ="" - 1 ""class ="" airy-time-remaining-Vertical-centering-table airy-Vertical-centering-table"&amp;"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&lt;/ "&amp;"div&gt; &lt;/ div&gt; &lt;/ div&gt; &lt;/ div&gt; &lt;/ div&gt; &lt;div tabindex ="" - 1 ""class ="" airy-learn-more ""style ="" visibility: hidden; ""&gt; &lt;/ div&gt; &lt;/ div&gt; &lt;div tabindex = ""- 1"" class = ""airy-play-toggle-hint-stage airy-stage airy-cursor""&gt; &lt;div tabindex = ""- 1"" clas"&amp;"s = ""airy-play -toggle-hint-Vertical-centering-table-cell airy-Vertical-centering-table-cell airy-cursor ""&gt; &lt;div tabindex ="" - 1 ""class ="" airy-play-toggle-hint-container airy-scalable- Hint-container ""&gt; &lt;div tabindex ="" - 1 ""class ="" airy-play-t"&amp;"oggle-hint-dummy airy-scalable-dummy ""&gt; &lt;/ div&gt; &lt;div tabindex ="" - 1 ""class ="" airy-play -toggle-hint hint airy-airy-play-hint ""style ="" opacity: 1; visibility: visible; ""&gt; &lt;/ div&gt; &lt;/ div&gt; &lt;/ div&gt; &lt;/ div&gt; &lt;div tabindex ="" - 1 ""class ="" airy-repl"&amp;"ay-hint-stage airy-stage ""style ="" visibility: hidden ; ""&gt; &lt;div tabindex ="" - 1 ""class ="" airy-replay-hint-Vertical-centering-table-cell airy-Vertical-centering-table-cell airy-cursor ""&gt; &lt;div tabindex ="" - 1 ""class = ""airy-replay-hint-container "&amp;"airy-scalable-hint-container""&gt; &lt;div tabindex = ""- 1"" class = ""airy-replay-hint-dummy airy-scalable-dummy""&gt; &lt;/ div&gt; &lt;div tabindex = ""- 1"" class = ""airy-replay-hint airy-hint""&gt; &lt;/ div&gt; &lt;/ div&gt; &lt;/ div&gt; &lt;/ div&gt; &lt;div tabindex = ""- 1"" class = ""airy-"&amp;"autoplay-hint -stage airy-stage ""style ="" visibility: hidden; ""&gt; &lt;div tabindex ="" - 1 ""class ="" airy-autoplay-hint-Vertical-centering-table-cell airy-Vertical-centering-table-cell airy- cursor ""&gt; &lt;div tabindex ="" - 1 ""class ="" autoplay airy-airy"&amp;"-hint-container-scalable-hint-container ""&gt; &lt;div tabindex ="" - 1 ""class ="" airy-autoplay-hint-dummy airy- scalable-dummy ""&gt; &lt;/ div&gt; &lt;/ div&gt; &lt;/ div&gt; &lt;/ div&gt; &lt;/ div&gt; &lt;/ div&gt; &lt;input type ="" hidden ""name ="" ""value ="" https: // images-eu .ssl-images-a"&amp;"mazon.com / images / I / 71QNxVXxkVS.mp4 ""Class ="" video-url ""&gt; &lt;input type ="" hidden ""name ="" ""value ="" https://images-eu.ssl-images-amazon.com/images/I/81BaIk5dxSS.png ""class ="" video-slate-img-url ""&gt; &amp; nbsp; is a good product. The touch of t"&amp;"he material is soft and elegant. The aroma that makes the stay is very cool. The sense of calm and relaxation with its colors is very nice. Even as decoration is perfect. It can be programmed for use. Just it makes noise when on.")</f>
        <v>Aroma and relaxation &lt;div id = "video-block-R18VKUY7T9CM9N" class = "section a-a-a-spacing-small spacing-top-video mini-block"&gt; &lt;div tabindex = "0" class = "airy airy- svg vmin-supported airy-skin-beacon "style =" background-color: rgb (0, 0, 0) position: relative; width: 100%; height: 100%; font-size: 0px; overflow: hidden; outline: none; "&gt; &lt;div class =" airy-renderer-container "style =" position: relative; height: 100%; width: 100%; "&gt; &lt;video id =" 7 "preload =" auto "src = "https://images-eu.ssl-images-amazon.com/images/I/71QNxVXxkVS.mp4" style = "position: absolute; left: 0px; top: 0px; overflow: hidden; height: 1px; width: 1px; "&gt; &lt;/ video&gt; &lt;/ div&gt; &lt;div id =" airy-slate-preload "style =" background-color: rgb (0, 0, 0); background-image: url (&amp; quot; https: / /images-eu.ssl-images-amazon.com/images/I/81BaIk5dxSS.png&amp;quot;); background-size: Contain; background-position: center center; background-repeat: no-repeat; position: absolute; top: 0px; left: 0px; visibility: visible; width: 100%; height: 100%; "&gt; &lt;/ div&gt; &lt;iframe scrolli 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71QNxVXxkVS.mp4 "Class =" video-url "&gt; &lt;input type =" hidden "name =" "value =" https://images-eu.ssl-images-amazon.com/images/I/81BaIk5dxSS.png "class =" video-slate-img-url "&gt; &amp; nbsp; is a good product. The touch of the material is soft and elegant. The aroma that makes the stay is very cool. The sense of calm and relaxation with its colors is very nice. Even as decoration is perfect. It can be programmed for use. Just it makes noise when on.</v>
      </c>
    </row>
    <row r="2660">
      <c r="A2660" s="1">
        <v>5.0</v>
      </c>
      <c r="B2660" s="1" t="s">
        <v>2647</v>
      </c>
      <c r="C2660" t="str">
        <f>IFERROR(__xludf.DUMMYFUNCTION("GOOGLETRANSLATE(B2660, ""es"", ""en"")"),"Good shoe. Are excellent addition to beautiful, the only problem is that it is a type of shoe that the sole wears out very soon, with 10/12 and super long runs are worn. Still are the third I have and of course there will be a fourth ...")</f>
        <v>Good shoe. Are excellent addition to beautiful, the only problem is that it is a type of shoe that the sole wears out very soon, with 10/12 and super long runs are worn. Still are the third I have and of course there will be a fourth ...</v>
      </c>
    </row>
    <row r="2661">
      <c r="A2661" s="1">
        <v>2.0</v>
      </c>
      <c r="B2661" s="1" t="s">
        <v>2648</v>
      </c>
      <c r="C2661" t="str">
        <f>IFERROR(__xludf.DUMMYFUNCTION("GOOGLETRANSLATE(B2661, ""es"", ""en"")"),"They crack and end up breaking. It is the second pair to me is exactly the same. Over time in the area where the holes are the inlet and outlet for air just breaking. It's a shame because I love the model.")</f>
        <v>They crack and end up breaking. It is the second pair to me is exactly the same. Over time in the area where the holes are the inlet and outlet for air just breaking. It's a shame because I love the model.</v>
      </c>
    </row>
    <row r="2662">
      <c r="A2662" s="1">
        <v>3.0</v>
      </c>
      <c r="B2662" s="1" t="s">
        <v>2649</v>
      </c>
      <c r="C2662" t="str">
        <f>IFERROR(__xludf.DUMMYFUNCTION("GOOGLETRANSLATE(B2662, ""es"", ""en"")"),"Very good cleaning")</f>
        <v>Very good cleaning</v>
      </c>
    </row>
    <row r="2663">
      <c r="A2663" s="1">
        <v>1.0</v>
      </c>
      <c r="B2663" s="1" t="s">
        <v>2650</v>
      </c>
      <c r="C2663" t="str">
        <f>IFERROR(__xludf.DUMMYFUNCTION("GOOGLETRANSLATE(B2663, ""es"", ""en"")"),"Últil anything is not very useful, buy it because I had to give the supplement drink and did not want to use a bottle but did not taste anything, not very easy to use, at the end gave the complement with syringe and finger technique")</f>
        <v>Últil anything is not very useful, buy it because I had to give the supplement drink and did not want to use a bottle but did not taste anything, not very easy to use, at the end gave the complement with syringe and finger technique</v>
      </c>
    </row>
    <row r="2664">
      <c r="A2664" s="1">
        <v>1.0</v>
      </c>
      <c r="B2664" s="1" t="s">
        <v>2651</v>
      </c>
      <c r="C2664" t="str">
        <f>IFERROR(__xludf.DUMMYFUNCTION("GOOGLETRANSLATE(B2664, ""es"", ""en"")"),"No hard or 1 week without giving rulings Very unhappy")</f>
        <v>No hard or 1 week without giving rulings Very unhappy</v>
      </c>
    </row>
    <row r="2665">
      <c r="A2665" s="1">
        <v>4.0</v>
      </c>
      <c r="B2665" s="1" t="s">
        <v>2652</v>
      </c>
      <c r="C2665" t="str">
        <f>IFERROR(__xludf.DUMMYFUNCTION("GOOGLETRANSLATE(B2665, ""es"", ""en"")"),"Normal. A memory card as any other. We have always relied on the Kingston brand and this time there would be less. Delivers what it offers, it is practical and versatile, because the brand offers opportunity to buy many ""capabilities"" different.")</f>
        <v>Normal. A memory card as any other. We have always relied on the Kingston brand and this time there would be less. Delivers what it offers, it is practical and versatile, because the brand offers opportunity to buy many "capabilities" different.</v>
      </c>
    </row>
    <row r="2666">
      <c r="A2666" s="1">
        <v>4.0</v>
      </c>
      <c r="B2666" s="1" t="s">
        <v>2653</v>
      </c>
      <c r="C2666" t="str">
        <f>IFERROR(__xludf.DUMMYFUNCTION("GOOGLETRANSLATE(B2666, ""es"", ""en"")"),"Practice great and easy to keep 100% recommended and comes with a measuring cup that is useful in a kitchen recommended 100%")</f>
        <v>Practice great and easy to keep 100% recommended and comes with a measuring cup that is useful in a kitchen recommended 100%</v>
      </c>
    </row>
    <row r="2667">
      <c r="A2667" s="1">
        <v>4.0</v>
      </c>
      <c r="B2667" s="1" t="s">
        <v>2654</v>
      </c>
      <c r="C2667" t="str">
        <f>IFERROR(__xludf.DUMMYFUNCTION("GOOGLETRANSLATE(B2667, ""es"", ""en"")"),"Perfect for what I need right is what a blender can bring to the kitchen, all as expected, perfect.")</f>
        <v>Perfect for what I need right is what a blender can bring to the kitchen, all as expected, perfect.</v>
      </c>
    </row>
    <row r="2668">
      <c r="A2668" s="1">
        <v>4.0</v>
      </c>
      <c r="B2668" s="1" t="s">
        <v>2655</v>
      </c>
      <c r="C2668" t="str">
        <f>IFERROR(__xludf.DUMMYFUNCTION("GOOGLETRANSLATE(B2668, ""es"", ""en"")"),"Good product at a good price reached ahead of schedule. Now we just have to try to see if it really does function.")</f>
        <v>Good product at a good price reached ahead of schedule. Now we just have to try to see if it really does function.</v>
      </c>
    </row>
    <row r="2669">
      <c r="A2669" s="1">
        <v>4.0</v>
      </c>
      <c r="B2669" s="1" t="s">
        <v>2656</v>
      </c>
      <c r="C2669" t="str">
        <f>IFERROR(__xludf.DUMMYFUNCTION("GOOGLETRANSLATE(B2669, ""es"", ""en"")"),"Amp for 2 micros really is an amplifier for 2 microSD is not a Karaoke itself.")</f>
        <v>Amp for 2 micros really is an amplifier for 2 microSD is not a Karaoke itself.</v>
      </c>
    </row>
    <row r="2670">
      <c r="A2670" s="1">
        <v>5.0</v>
      </c>
      <c r="B2670" s="1" t="s">
        <v>2657</v>
      </c>
      <c r="C2670" t="str">
        <f>IFERROR(__xludf.DUMMYFUNCTION("GOOGLETRANSLATE(B2670, ""es"", ""en"")"),"A luxury of comfortable slippers and thick, perfect for the cold snap. The size corresponds with 43 of my other shoes, come perfect. In addition came the day they told me without delay.")</f>
        <v>A luxury of comfortable slippers and thick, perfect for the cold snap. The size corresponds with 43 of my other shoes, come perfect. In addition came the day they told me without delay.</v>
      </c>
    </row>
    <row r="2671">
      <c r="A2671" s="1">
        <v>5.0</v>
      </c>
      <c r="B2671" s="1" t="s">
        <v>2658</v>
      </c>
      <c r="C2671" t="str">
        <f>IFERROR(__xludf.DUMMYFUNCTION("GOOGLETRANSLATE(B2671, ""es"", ""en"")"),"Excellent backpack to carry daily essentials. I'm very happy with that backpack, it seems resistant materials and finishes, aesthetics allowed to wear the casual or a little more settled. Multiple pockets inside and one outside with zippers good, neither "&amp;"too big nor too small, comfortable to wear both front and back. I love the detail of the small zipper pocket bearing on the tie rod. Definitely recommend purchase. Shipping as always great Amazon.")</f>
        <v>Excellent backpack to carry daily essentials. I'm very happy with that backpack, it seems resistant materials and finishes, aesthetics allowed to wear the casual or a little more settled. Multiple pockets inside and one outside with zippers good, neither too big nor too small, comfortable to wear both front and back. I love the detail of the small zipper pocket bearing on the tie rod. Definitely recommend purchase. Shipping as always great Amazon.</v>
      </c>
    </row>
    <row r="2672">
      <c r="A2672" s="1">
        <v>5.0</v>
      </c>
      <c r="B2672" s="1" t="s">
        <v>2659</v>
      </c>
      <c r="C2672" t="str">
        <f>IFERROR(__xludf.DUMMYFUNCTION("GOOGLETRANSLATE(B2672, ""es"", ""en"")"),"Satisfied hard drive comes packed well, looks good and look good finishes. Works correctly on a JVC TV to record is not very loud. Happy with purchase.")</f>
        <v>Satisfied hard drive comes packed well, looks good and look good finishes. Works correctly on a JVC TV to record is not very loud. Happy with purchase.</v>
      </c>
    </row>
    <row r="2673">
      <c r="A2673" s="1">
        <v>5.0</v>
      </c>
      <c r="B2673" s="1" t="s">
        <v>2660</v>
      </c>
      <c r="C2673" t="str">
        <f>IFERROR(__xludf.DUMMYFUNCTION("GOOGLETRANSLATE(B2673, ""es"", ""en"")"),"Fantastic product without using iron fantastic product without using iron! Recommended for marking all types of clothing, especially schools, kindergartens, etc.Volveria to buy it without a doubt.")</f>
        <v>Fantastic product without using iron fantastic product without using iron! Recommended for marking all types of clothing, especially schools, kindergartens, etc.Volveria to buy it without a doubt.</v>
      </c>
    </row>
    <row r="2674">
      <c r="A2674" s="1">
        <v>5.0</v>
      </c>
      <c r="B2674" s="1" t="s">
        <v>2661</v>
      </c>
      <c r="C2674" t="str">
        <f>IFERROR(__xludf.DUMMYFUNCTION("GOOGLETRANSLATE(B2674, ""es"", ""en"")"),"perfect speed")</f>
        <v>perfect speed</v>
      </c>
    </row>
    <row r="2675">
      <c r="A2675" s="1">
        <v>5.0</v>
      </c>
      <c r="B2675" s="1" t="s">
        <v>2662</v>
      </c>
      <c r="C2675" t="str">
        <f>IFERROR(__xludf.DUMMYFUNCTION("GOOGLETRANSLATE(B2675, ""es"", ""en"")"),"Great midrange. He is looking for a good SSD, with good internal memory and this is what a mid range but more than enough (there's a lot of nonsense and with speeds ...). Let us be sensible, unless you want a gamer or computer to hang, you do not need a t"&amp;"op speed SSD, already very fast. This is a mid-range in terms of speed, competing with some Toshiba, the Crucial MX, etc. For advanced office or to a game from time to time it is more than enough. Memories quality is good and not too hot. I would buy it f"&amp;"or 61 € I bought it. 100% recommendable. 👍")</f>
        <v>Great midrange. He is looking for a good SSD, with good internal memory and this is what a mid range but more than enough (there's a lot of nonsense and with speeds ...). Let us be sensible, unless you want a gamer or computer to hang, you do not need a top speed SSD, already very fast. This is a mid-range in terms of speed, competing with some Toshiba, the Crucial MX, etc. For advanced office or to a game from time to time it is more than enough. Memories quality is good and not too hot. I would buy it for 61 € I bought it. 100% recommendable. 👍</v>
      </c>
    </row>
    <row r="2676">
      <c r="A2676" s="1">
        <v>5.0</v>
      </c>
      <c r="B2676" s="1" t="s">
        <v>2663</v>
      </c>
      <c r="C2676" t="str">
        <f>IFERROR(__xludf.DUMMYFUNCTION("GOOGLETRANSLATE(B2676, ""es"", ""en"")"),"Excellent is the original backpack and has a very good quality")</f>
        <v>Excellent is the original backpack and has a very good quality</v>
      </c>
    </row>
    <row r="2677">
      <c r="A2677" s="1">
        <v>5.0</v>
      </c>
      <c r="B2677" s="1" t="s">
        <v>2664</v>
      </c>
      <c r="C2677" t="str">
        <f>IFERROR(__xludf.DUMMYFUNCTION("GOOGLETRANSLATE(B2677, ""es"", ""en"")"),"I bought this product works perfect second hand assuring the seller that was like new and so, coinciding perfectly with the description. I do not usually leave reviews, but I am a person who has them in mind when compar anything. I have the microphone in "&amp;"front of the keyboard slightly to the side, its base is small and does not slide, which was the reason for my purchase as I had little space. I often speak with a moderate tone of voice to two feet of the micro, which is to be no need to approach him when"&amp;" speaking, but not have to go too the tone, if not the people I call He asks me to speak louder, which means that at night have to get a little more (no uncomfortable positions) to speak. Installation is as simple as plugging in and start talking. 5 *****"&amp;" Recommended.")</f>
        <v>I bought this product works perfect second hand assuring the seller that was like new and so, coinciding perfectly with the description. I do not usually leave reviews, but I am a person who has them in mind when compar anything. I have the microphone in front of the keyboard slightly to the side, its base is small and does not slide, which was the reason for my purchase as I had little space. I often speak with a moderate tone of voice to two feet of the micro, which is to be no need to approach him when speaking, but not have to go too the tone, if not the people I call He asks me to speak louder, which means that at night have to get a little more (no uncomfortable positions) to speak. Installation is as simple as plugging in and start talking. 5 ***** Recommended.</v>
      </c>
    </row>
    <row r="2678">
      <c r="A2678" s="1">
        <v>5.0</v>
      </c>
      <c r="B2678" s="1" t="s">
        <v>2665</v>
      </c>
      <c r="C2678" t="str">
        <f>IFERROR(__xludf.DUMMYFUNCTION("GOOGLETRANSLATE(B2678, ""es"", ""en"")"),"Perfect fit for comfort having magnetic closure. very light")</f>
        <v>Perfect fit for comfort having magnetic closure. very light</v>
      </c>
    </row>
    <row r="2679">
      <c r="A2679" s="1">
        <v>5.0</v>
      </c>
      <c r="B2679" s="1" t="s">
        <v>2666</v>
      </c>
      <c r="C2679" t="str">
        <f>IFERROR(__xludf.DUMMYFUNCTION("GOOGLETRANSLATE(B2679, ""es"", ""en"")"),"Wonderful Excellent quality very happy.")</f>
        <v>Wonderful Excellent quality very happy.</v>
      </c>
    </row>
    <row r="2680">
      <c r="A2680" s="1">
        <v>5.0</v>
      </c>
      <c r="B2680" s="1" t="s">
        <v>2667</v>
      </c>
      <c r="C2680" t="str">
        <f>IFERROR(__xludf.DUMMYFUNCTION("GOOGLETRANSLATE(B2680, ""es"", ""en"")"),"How the clock opens in ca The stack brings it?")</f>
        <v>How the clock opens in ca The stack brings it?</v>
      </c>
    </row>
    <row r="2681">
      <c r="A2681" s="1">
        <v>5.0</v>
      </c>
      <c r="B2681" s="1" t="s">
        <v>2668</v>
      </c>
      <c r="C2681" t="str">
        <f>IFERROR(__xludf.DUMMYFUNCTION("GOOGLETRANSLATE(B2681, ""es"", ""en"")"),"Chandal quality and very nice'll deliver it wrapped in a bag plástico.Vienen two, one for the sweatshirt and one for the pants. Unlike other reviewers, I think it is original, by the labels and presentation. It comes with pants pockets, two with zipper. T"&amp;"he pants are skinny guy. I like that it looks like, it's what he wanted. The jacket fits like a glove, good quality zipper. 40 € I see very good quality / price ratio. I carve think big, measure and weight 1.80 Kg and 92 L me is perfect.")</f>
        <v>Chandal quality and very nice'll deliver it wrapped in a bag plástico.Vienen two, one for the sweatshirt and one for the pants. Unlike other reviewers, I think it is original, by the labels and presentation. It comes with pants pockets, two with zipper. The pants are skinny guy. I like that it looks like, it's what he wanted. The jacket fits like a glove, good quality zipper. 40 € I see very good quality / price ratio. I carve think big, measure and weight 1.80 Kg and 92 L me is perfect.</v>
      </c>
    </row>
    <row r="2682">
      <c r="A2682" s="1">
        <v>5.0</v>
      </c>
      <c r="B2682" s="1" t="s">
        <v>2669</v>
      </c>
      <c r="C2682" t="str">
        <f>IFERROR(__xludf.DUMMYFUNCTION("GOOGLETRANSLATE(B2682, ""es"", ""en"")"),"Desirable long Although Amazon's announcement to put the boots womens principle, say they are unisex. They are phenomenal. I recommend pick a number or two more than you normally wear. I have a 41 or 41.5, including some shoes I picked 42 and 43.")</f>
        <v>Desirable long Although Amazon's announcement to put the boots womens principle, say they are unisex. They are phenomenal. I recommend pick a number or two more than you normally wear. I have a 41 or 41.5, including some shoes I picked 42 and 43.</v>
      </c>
    </row>
    <row r="2683">
      <c r="A2683" s="1">
        <v>5.0</v>
      </c>
      <c r="B2683" s="1" t="s">
        <v>2670</v>
      </c>
      <c r="C2683" t="str">
        <f>IFERROR(__xludf.DUMMYFUNCTION("GOOGLETRANSLATE(B2683, ""es"", ""en"")"),"toto perfect all right")</f>
        <v>toto perfect all right</v>
      </c>
    </row>
    <row r="2684">
      <c r="A2684" s="1">
        <v>5.0</v>
      </c>
      <c r="B2684" s="1" t="s">
        <v>2671</v>
      </c>
      <c r="C2684" t="str">
        <f>IFERROR(__xludf.DUMMYFUNCTION("GOOGLETRANSLATE(B2684, ""es"", ""en"")"),"Good quality I used to make some letters and stick them to an artistic work. The fund is virtually invisible once stuck, the toner in my case was fixed perfectly and adhere perfectly, and that I did it on styrofoam.")</f>
        <v>Good quality I used to make some letters and stick them to an artistic work. The fund is virtually invisible once stuck, the toner in my case was fixed perfectly and adhere perfectly, and that I did it on styrofoam.</v>
      </c>
    </row>
    <row r="2685">
      <c r="A2685" s="1">
        <v>5.0</v>
      </c>
      <c r="B2685" s="1" t="s">
        <v>2672</v>
      </c>
      <c r="C2685" t="str">
        <f>IFERROR(__xludf.DUMMYFUNCTION("GOOGLETRANSLATE(B2685, ""es"", ""en"")"),"100% natural I bought these bags antihumedad because I'm fed up with both freshener and so much expense for camouflaging odors moisture, total these bags of 6 different sizes have placed them in different places in my room (cabinets and drawers) and I'm r"&amp;"eally happy, first because no odor and second because they fulfill their purpose !!! no longer smells bad my armario.El activated carbon comes in a bag bamboo therefore 100% natural, durability is 2 years for maintenance only have to expose them to the su"&amp;"n every 2 or 3 months 1 horita to eliminate the absorbed again, I am delighted savings often are super nice !!!! also decorate any space. I'll buy others for car and office.")</f>
        <v>100% natural I bought these bags antihumedad because I'm fed up with both freshener and so much expense for camouflaging odors moisture, total these bags of 6 different sizes have placed them in different places in my room (cabinets and drawers) and I'm really happy, first because no odor and second because they fulfill their purpose !!! no longer smells bad my armario.El activated carbon comes in a bag bamboo therefore 100% natural, durability is 2 years for maintenance only have to expose them to the sun every 2 or 3 months 1 horita to eliminate the absorbed again, I am delighted savings often are super nice !!!! also decorate any space. I'll buy others for car and office.</v>
      </c>
    </row>
    <row r="2686">
      <c r="A2686" s="1">
        <v>5.0</v>
      </c>
      <c r="B2686" s="1" t="s">
        <v>2673</v>
      </c>
      <c r="C2686" t="str">
        <f>IFERROR(__xludf.DUMMYFUNCTION("GOOGLETRANSLATE(B2686, ""es"", ""en"")"),"Very good to excellent it is super big and very professional one last product I recommend purchasing it again strong strong buy")</f>
        <v>Very good to excellent it is super big and very professional one last product I recommend purchasing it again strong strong buy</v>
      </c>
    </row>
    <row r="2687">
      <c r="A2687" s="1">
        <v>5.0</v>
      </c>
      <c r="B2687" s="1" t="s">
        <v>2674</v>
      </c>
      <c r="C2687" t="str">
        <f>IFERROR(__xludf.DUMMYFUNCTION("GOOGLETRANSLATE(B2687, ""es"", ""en"")"),"Sound very crisp, undistorted and great autonomy I bought these headphones for use in the gym and when I run. They weigh very little and are not at all annoying when using them. They adapt perfectly to the shape of the ear, and if we find esponjilla silic"&amp;"one big or too small, we can replace it with a different size coming parts. We can use either individually, one on each phone or stereo form, which is like enjoying better sound. Best of all is the very compact carrying case we can charge the battery in e"&amp;"ach handset about 4 times without connecting to the charger.")</f>
        <v>Sound very crisp, undistorted and great autonomy I bought these headphones for use in the gym and when I run. They weigh very little and are not at all annoying when using them. They adapt perfectly to the shape of the ear, and if we find esponjilla silicone big or too small, we can replace it with a different size coming parts. We can use either individually, one on each phone or stereo form, which is like enjoying better sound. Best of all is the very compact carrying case we can charge the battery in each handset about 4 times without connecting to the charger.</v>
      </c>
    </row>
    <row r="2688">
      <c r="A2688" s="1">
        <v>5.0</v>
      </c>
      <c r="B2688" s="1" t="s">
        <v>2675</v>
      </c>
      <c r="C2688" t="str">
        <f>IFERROR(__xludf.DUMMYFUNCTION("GOOGLETRANSLATE(B2688, ""es"", ""en"")"),"Much better live stunning, rugged, beautiful, functional and sporty-elegant, and I showered with and perfect, highly recommended. A big clock, the truth, I'm very happy with purchase")</f>
        <v>Much better live stunning, rugged, beautiful, functional and sporty-elegant, and I showered with and perfect, highly recommended. A big clock, the truth, I'm very happy with purchase</v>
      </c>
    </row>
    <row r="2689">
      <c r="A2689" s="1">
        <v>2.0</v>
      </c>
      <c r="B2689" s="1" t="s">
        <v>2676</v>
      </c>
      <c r="C2689" t="str">
        <f>IFERROR(__xludf.DUMMYFUNCTION("GOOGLETRANSLATE(B2689, ""es"", ""en"")"),"Photo deceives It has nothing to do with the photo image, it is not the typical roll compact zeal if not the longest diameter.")</f>
        <v>Photo deceives It has nothing to do with the photo image, it is not the typical roll compact zeal if not the longest diameter.</v>
      </c>
    </row>
    <row r="2690">
      <c r="A2690" s="1">
        <v>3.0</v>
      </c>
      <c r="B2690" s="1" t="s">
        <v>2677</v>
      </c>
      <c r="C2690" t="str">
        <f>IFERROR(__xludf.DUMMYFUNCTION("GOOGLETRANSLATE(B2690, ""es"", ""en"")"),"Good product'm happy moment")</f>
        <v>Good product'm happy moment</v>
      </c>
    </row>
    <row r="2691">
      <c r="A2691" s="1">
        <v>3.0</v>
      </c>
      <c r="B2691" s="1" t="s">
        <v>2678</v>
      </c>
      <c r="C2691" t="str">
        <f>IFERROR(__xludf.DUMMYFUNCTION("GOOGLETRANSLATE(B2691, ""es"", ""en"")"),"Mesh width remains but its price is fine.")</f>
        <v>Mesh width remains but its price is fine.</v>
      </c>
    </row>
    <row r="2692">
      <c r="A2692" s="1">
        <v>1.0</v>
      </c>
      <c r="B2692" s="1" t="s">
        <v>2679</v>
      </c>
      <c r="C2692" t="str">
        <f>IFERROR(__xludf.DUMMYFUNCTION("GOOGLETRANSLATE(B2692, ""es"", ""en"")"),"Malo Malísimo one slow potato")</f>
        <v>Malo Malísimo one slow potato</v>
      </c>
    </row>
    <row r="2693">
      <c r="A2693" s="1">
        <v>1.0</v>
      </c>
      <c r="B2693" s="1" t="s">
        <v>2680</v>
      </c>
      <c r="C2693" t="str">
        <f>IFERROR(__xludf.DUMMYFUNCTION("GOOGLETRANSLATE(B2693, ""es"", ""en"")"),"The good bad product shipping, and protection key with 1Gb files, does not exceed 13.2 megs second, I was disappointed a lot of truth, not worth buying it and spend that money")</f>
        <v>The good bad product shipping, and protection key with 1Gb files, does not exceed 13.2 megs second, I was disappointed a lot of truth, not worth buying it and spend that money</v>
      </c>
    </row>
    <row r="2694">
      <c r="A2694" s="1">
        <v>4.0</v>
      </c>
      <c r="B2694" s="1" t="s">
        <v>2681</v>
      </c>
      <c r="C2694" t="str">
        <f>IFERROR(__xludf.DUMMYFUNCTION("GOOGLETRANSLATE(B2694, ""es"", ""en"")"),"Well designed and practical. light product, durable and very practical, great for documents, records and other classified. Fit enough folders and is comfortable to carry.")</f>
        <v>Well designed and practical. light product, durable and very practical, great for documents, records and other classified. Fit enough folders and is comfortable to carry.</v>
      </c>
    </row>
    <row r="2695">
      <c r="A2695" s="1">
        <v>4.0</v>
      </c>
      <c r="B2695" s="1" t="s">
        <v>2682</v>
      </c>
      <c r="C2695" t="str">
        <f>IFERROR(__xludf.DUMMYFUNCTION("GOOGLETRANSLATE(B2695, ""es"", ""en"")"),"Lourdes Gras Gras Very cimodos and abrigaditos, I do go very well because I recently operated hip and femur (4 times) and now mirare to buy other")</f>
        <v>Lourdes Gras Gras Very cimodos and abrigaditos, I do go very well because I recently operated hip and femur (4 times) and now mirare to buy other</v>
      </c>
    </row>
    <row r="2696">
      <c r="A2696" s="1">
        <v>4.0</v>
      </c>
      <c r="B2696" s="1" t="s">
        <v>2683</v>
      </c>
      <c r="C2696" t="str">
        <f>IFERROR(__xludf.DUMMYFUNCTION("GOOGLETRANSLATE(B2696, ""es"", ""en"")"),"Well removes much dirt from the hands but not of the whole.")</f>
        <v>Well removes much dirt from the hands but not of the whole.</v>
      </c>
    </row>
    <row r="2697">
      <c r="A2697" s="1">
        <v>4.0</v>
      </c>
      <c r="B2697" s="1" t="s">
        <v>2684</v>
      </c>
      <c r="C2697" t="str">
        <f>IFERROR(__xludf.DUMMYFUNCTION("GOOGLETRANSLATE(B2697, ""es"", ""en"")"),"It's like expecting a bit large size. For the rest fenimenal. The've gotten even in the washer and well")</f>
        <v>It's like expecting a bit large size. For the rest fenimenal. The've gotten even in the washer and well</v>
      </c>
    </row>
    <row r="2698">
      <c r="A2698" s="1">
        <v>4.0</v>
      </c>
      <c r="B2698" s="1" t="s">
        <v>2685</v>
      </c>
      <c r="C2698" t="str">
        <f>IFERROR(__xludf.DUMMYFUNCTION("GOOGLETRANSLATE(B2698, ""es"", ""en"")"),"NO COLOR PHOTO Corresponds The shoe fits like 39.5. The color does not match the photo as it is a not a blue-gray and navy blue as shown in the photo the shipment arrived in perfect condition and very punctual")</f>
        <v>NO COLOR PHOTO Corresponds The shoe fits like 39.5. The color does not match the photo as it is a not a blue-gray and navy blue as shown in the photo the shipment arrived in perfect condition and very punctual</v>
      </c>
    </row>
    <row r="2699">
      <c r="A2699" s="1">
        <v>5.0</v>
      </c>
      <c r="B2699" s="1" t="s">
        <v>2686</v>
      </c>
      <c r="C2699" t="str">
        <f>IFERROR(__xludf.DUMMYFUNCTION("GOOGLETRANSLATE(B2699, ""es"", ""en"")"),"Do not expect miracles. It is easy to put on and remove, smells pretty good, but I have not noticed special changes after use is good to be a bit relaxed")</f>
        <v>Do not expect miracles. It is easy to put on and remove, smells pretty good, but I have not noticed special changes after use is good to be a bit relaxed</v>
      </c>
    </row>
    <row r="2700">
      <c r="A2700" s="1">
        <v>5.0</v>
      </c>
      <c r="B2700" s="1" t="s">
        <v>2687</v>
      </c>
      <c r="C2700" t="str">
        <f>IFERROR(__xludf.DUMMYFUNCTION("GOOGLETRANSLATE(B2700, ""es"", ""en"")"),"Very practical beautiful design with good capacity, easy cleaning and quick hot. Fast shipping. Very good quality.")</f>
        <v>Very practical beautiful design with good capacity, easy cleaning and quick hot. Fast shipping. Very good quality.</v>
      </c>
    </row>
    <row r="2701">
      <c r="A2701" s="1">
        <v>5.0</v>
      </c>
      <c r="B2701" s="1" t="s">
        <v>2688</v>
      </c>
      <c r="C2701" t="str">
        <f>IFERROR(__xludf.DUMMYFUNCTION("GOOGLETRANSLATE(B2701, ""es"", ""en"")"),"Robust Robust and elegant, stylish, good quality, is more beautiful live than on picture, the belt is quality leather, perfect Comore.")</f>
        <v>Robust Robust and elegant, stylish, good quality, is more beautiful live than on picture, the belt is quality leather, perfect Comore.</v>
      </c>
    </row>
    <row r="2702">
      <c r="A2702" s="1">
        <v>5.0</v>
      </c>
      <c r="B2702" s="1" t="s">
        <v>2689</v>
      </c>
      <c r="C2702" t="str">
        <f>IFERROR(__xludf.DUMMYFUNCTION("GOOGLETRANSLATE(B2702, ""es"", ""en"")"),"Design and quality Yes, the product was for my daughter and her happy ha. Perfect size, and very comfortable. Quality as expected")</f>
        <v>Design and quality Yes, the product was for my daughter and her happy ha. Perfect size, and very comfortable. Quality as expected</v>
      </c>
    </row>
    <row r="2703">
      <c r="A2703" s="1">
        <v>5.0</v>
      </c>
      <c r="B2703" s="1" t="s">
        <v>2690</v>
      </c>
      <c r="C2703" t="str">
        <f>IFERROR(__xludf.DUMMYFUNCTION("GOOGLETRANSLATE(B2703, ""es"", ""en"")"),"Pendant 3 Beautiful colors, good price and very elegant. My daughter has loved is small but with a q line makes it different from others. I'm happy with the purchase.")</f>
        <v>Pendant 3 Beautiful colors, good price and very elegant. My daughter has loved is small but with a q line makes it different from others. I'm happy with the purchase.</v>
      </c>
    </row>
    <row r="2704">
      <c r="A2704" s="1">
        <v>5.0</v>
      </c>
      <c r="B2704" s="1" t="s">
        <v>2691</v>
      </c>
      <c r="C2704" t="str">
        <f>IFERROR(__xludf.DUMMYFUNCTION("GOOGLETRANSLATE(B2704, ""es"", ""en"")"),"Pool are very comfortable to walk barefoot and not slip")</f>
        <v>Pool are very comfortable to walk barefoot and not slip</v>
      </c>
    </row>
    <row r="2705">
      <c r="A2705" s="1">
        <v>5.0</v>
      </c>
      <c r="B2705" s="1" t="s">
        <v>2692</v>
      </c>
      <c r="C2705" t="str">
        <f>IFERROR(__xludf.DUMMYFUNCTION("GOOGLETRANSLATE(B2705, ""es"", ""en"")"),"Perfect work perfectly, although its use is basically comfort fit perfectly and everything is more tucked behind the AVR, Amazon well at all.")</f>
        <v>Perfect work perfectly, although its use is basically comfort fit perfectly and everything is more tucked behind the AVR, Amazon well at all.</v>
      </c>
    </row>
    <row r="2706">
      <c r="A2706" s="1">
        <v>5.0</v>
      </c>
      <c r="B2706" s="1" t="s">
        <v>2693</v>
      </c>
      <c r="C2706" t="str">
        <f>IFERROR(__xludf.DUMMYFUNCTION("GOOGLETRANSLATE(B2706, ""es"", ""en"")"),"Notable a little uncomfortable when you take a few hours with them. I normally use playing sports and do their job. The matter seems endless, undoubtedly one of its strengths,")</f>
        <v>Notable a little uncomfortable when you take a few hours with them. I normally use playing sports and do their job. The matter seems endless, undoubtedly one of its strengths,</v>
      </c>
    </row>
    <row r="2707">
      <c r="A2707" s="1">
        <v>5.0</v>
      </c>
      <c r="B2707" s="1" t="s">
        <v>2694</v>
      </c>
      <c r="C2707" t="str">
        <f>IFERROR(__xludf.DUMMYFUNCTION("GOOGLETRANSLATE(B2707, ""es"", ""en"")"),"Great shoes running shoes The best I've tasted")</f>
        <v>Great shoes running shoes The best I've tasted</v>
      </c>
    </row>
    <row r="2708">
      <c r="A2708" s="1">
        <v>5.0</v>
      </c>
      <c r="B2708" s="1" t="s">
        <v>238</v>
      </c>
      <c r="C2708" t="str">
        <f>IFERROR(__xludf.DUMMYFUNCTION("GOOGLETRANSLATE(B2708, ""es"", ""en"")"),"perfect perfect")</f>
        <v>perfect perfect</v>
      </c>
    </row>
    <row r="2709">
      <c r="A2709" s="1">
        <v>5.0</v>
      </c>
      <c r="B2709" s="1" t="s">
        <v>2695</v>
      </c>
      <c r="C2709" t="str">
        <f>IFERROR(__xludf.DUMMYFUNCTION("GOOGLETRANSLATE(B2709, ""es"", ""en"")"),"Very cool ,,,, It was a precious gift for an elderly person, I love")</f>
        <v>Very cool ,,,, It was a precious gift for an elderly person, I love</v>
      </c>
    </row>
    <row r="2710">
      <c r="A2710" s="1">
        <v>5.0</v>
      </c>
      <c r="B2710" s="1" t="s">
        <v>2696</v>
      </c>
      <c r="C2710" t="str">
        <f>IFERROR(__xludf.DUMMYFUNCTION("GOOGLETRANSLATE(B2710, ""es"", ""en"")"),"He loves good quality Medela to the baby")</f>
        <v>He loves good quality Medela to the baby</v>
      </c>
    </row>
    <row r="2711">
      <c r="A2711" s="1">
        <v>5.0</v>
      </c>
      <c r="B2711" s="1" t="s">
        <v>2697</v>
      </c>
      <c r="C2711" t="str">
        <f>IFERROR(__xludf.DUMMYFUNCTION("GOOGLETRANSLATE(B2711, ""es"", ""en"")"),"A fantastic machine never had a blender of this style, which would no expectations; However the operation of this is great, I have no complaints. I use it to make juice in the morning and a chance dough pancakes with banana and egg, and so far everything "&amp;"is perfect.")</f>
        <v>A fantastic machine never had a blender of this style, which would no expectations; However the operation of this is great, I have no complaints. I use it to make juice in the morning and a chance dough pancakes with banana and egg, and so far everything is perfect.</v>
      </c>
    </row>
    <row r="2712">
      <c r="A2712" s="1">
        <v>5.0</v>
      </c>
      <c r="B2712" s="1" t="s">
        <v>2698</v>
      </c>
      <c r="C2712" t="str">
        <f>IFERROR(__xludf.DUMMYFUNCTION("GOOGLETRANSLATE(B2712, ""es"", ""en"")"),"All well meets expectations")</f>
        <v>All well meets expectations</v>
      </c>
    </row>
    <row r="2713">
      <c r="A2713" s="1">
        <v>5.0</v>
      </c>
      <c r="B2713" s="1" t="s">
        <v>2699</v>
      </c>
      <c r="C2713" t="str">
        <f>IFERROR(__xludf.DUMMYFUNCTION("GOOGLETRANSLATE(B2713, ""es"", ""en"")"),"Grandecito and recommended in size is much bigger than I expected, so more is exactly as described and shown in the photos, the material is plastic and looks tough, inside includes a measuring jug to lend essential oils or you go to market. It's simple to"&amp;" use, filled to the measure, caps and plug in and go. Is pretty good for the price you have, perhaps all of the size but otherwise fine.")</f>
        <v>Grandecito and recommended in size is much bigger than I expected, so more is exactly as described and shown in the photos, the material is plastic and looks tough, inside includes a measuring jug to lend essential oils or you go to market. It's simple to use, filled to the measure, caps and plug in and go. Is pretty good for the price you have, perhaps all of the size but otherwise fine.</v>
      </c>
    </row>
    <row r="2714">
      <c r="A2714" s="1">
        <v>5.0</v>
      </c>
      <c r="B2714" s="1" t="s">
        <v>2700</v>
      </c>
      <c r="C2714" t="str">
        <f>IFERROR(__xludf.DUMMYFUNCTION("GOOGLETRANSLATE(B2714, ""es"", ""en"")"),"Precious Silver earrings 925 heart-shaped and Bright Circonita My partner is excited and pleased with the purchase I made and I have no doubt buy, when you need it. They're Sterling silver earrings with a heart-shaped Zirconia. They are very bright and be"&amp;"autiful. Crown shaped crimped heart. They have some weight so they are not all of the light as others, thanks to its Zirconia. They are very elegant and refined, for any situation or gift. For a friend, girlfriend, wife ... and for any situation like a pa"&amp;"rty, wedding, New Year, etc. Basic information or dimension is 10mm * 8mm / Weight: 1.4g. They come perfectly into their box, even bring a tie for gift messaging service and manufacturer, have occupied the product coasting to my house. I put some pictures"&amp;" to valoréis as far as possible my views. Good luck to everyone.")</f>
        <v>Precious Silver earrings 925 heart-shaped and Bright Circonita My partner is excited and pleased with the purchase I made and I have no doubt buy, when you need it. They're Sterling silver earrings with a heart-shaped Zirconia. They are very bright and beautiful. Crown shaped crimped heart. They have some weight so they are not all of the light as others, thanks to its Zirconia. They are very elegant and refined, for any situation or gift. For a friend, girlfriend, wife ... and for any situation like a party, wedding, New Year, etc. Basic information or dimension is 10mm * 8mm / Weight: 1.4g. They come perfectly into their box, even bring a tie for gift messaging service and manufacturer, have occupied the product coasting to my house. I put some pictures to valoréis as far as possible my views. Good luck to everyone.</v>
      </c>
    </row>
    <row r="2715">
      <c r="A2715" s="1">
        <v>5.0</v>
      </c>
      <c r="B2715" s="1" t="s">
        <v>2701</v>
      </c>
      <c r="C2715" t="str">
        <f>IFERROR(__xludf.DUMMYFUNCTION("GOOGLETRANSLATE(B2715, ""es"", ""en"")"),"good product rapidity with which heats the water, how little it occupies and easy cleaning")</f>
        <v>good product rapidity with which heats the water, how little it occupies and easy cleaning</v>
      </c>
    </row>
    <row r="2716">
      <c r="A2716" s="1">
        <v>5.0</v>
      </c>
      <c r="B2716" s="1" t="s">
        <v>2702</v>
      </c>
      <c r="C2716" t="str">
        <f>IFERROR(__xludf.DUMMYFUNCTION("GOOGLETRANSLATE(B2716, ""es"", ""en"")"),"Nice and original. I love. It draws attention and is very colorful.")</f>
        <v>Nice and original. I love. It draws attention and is very colorful.</v>
      </c>
    </row>
    <row r="2717">
      <c r="A2717" s="1">
        <v>2.0</v>
      </c>
      <c r="B2717" s="1" t="s">
        <v>2703</v>
      </c>
      <c r="C2717" t="str">
        <f>IFERROR(__xludf.DUMMYFUNCTION("GOOGLETRANSLATE(B2717, ""es"", ""en"")"),"The manufacturing defect case law sabot is flawed and does not fit the foot. They should provide another under optimal conditions.")</f>
        <v>The manufacturing defect case law sabot is flawed and does not fit the foot. They should provide another under optimal conditions.</v>
      </c>
    </row>
    <row r="2718">
      <c r="A2718" s="1">
        <v>3.0</v>
      </c>
      <c r="B2718" s="1" t="s">
        <v>2704</v>
      </c>
      <c r="C2718" t="str">
        <f>IFERROR(__xludf.DUMMYFUNCTION("GOOGLETRANSLATE(B2718, ""es"", ""en"")"),"Good product but little quantity. The cream is good. The only drawback I can put it is that the boat seems to come with half the content.")</f>
        <v>Good product but little quantity. The cream is good. The only drawback I can put it is that the boat seems to come with half the content.</v>
      </c>
    </row>
    <row r="2719">
      <c r="A2719" s="1">
        <v>1.0</v>
      </c>
      <c r="B2719" s="1" t="s">
        <v>2705</v>
      </c>
      <c r="C2719" t="str">
        <f>IFERROR(__xludf.DUMMYFUNCTION("GOOGLETRANSLATE(B2719, ""es"", ""en"")"),"Nothing breathable The top selling it as ""most"" to run and does not sweat at all. Nor it is usable as a sports bra without further because compression does not have enough apart that is too short to ""pick up"" correctly. Fatal value")</f>
        <v>Nothing breathable The top selling it as "most" to run and does not sweat at all. Nor it is usable as a sports bra without further because compression does not have enough apart that is too short to "pick up" correctly. Fatal value</v>
      </c>
    </row>
    <row r="2720">
      <c r="A2720" s="1">
        <v>1.0</v>
      </c>
      <c r="B2720" s="1" t="s">
        <v>2706</v>
      </c>
      <c r="C2720" t="str">
        <f>IFERROR(__xludf.DUMMYFUNCTION("GOOGLETRANSLATE(B2720, ""es"", ""en"")"),"MISSING PARTS OF THE PRODUCT I have received everything except the USB card, and without it can not use this microphone with my macbook. I will return. Not recommended. :(")</f>
        <v>MISSING PARTS OF THE PRODUCT I have received everything except the USB card, and without it can not use this microphone with my macbook. I will return. Not recommended. :(</v>
      </c>
    </row>
    <row r="2721">
      <c r="A2721" s="1">
        <v>1.0</v>
      </c>
      <c r="B2721" s="1" t="s">
        <v>2707</v>
      </c>
      <c r="C2721" t="str">
        <f>IFERROR(__xludf.DUMMYFUNCTION("GOOGLETRANSLATE(B2721, ""es"", ""en"")"),"it is not easy to find size, always ever mistake one shoe left me something small, so someday di prodre not use it, greetings")</f>
        <v>it is not easy to find size, always ever mistake one shoe left me something small, so someday di prodre not use it, greetings</v>
      </c>
    </row>
    <row r="2722">
      <c r="A2722" s="1">
        <v>4.0</v>
      </c>
      <c r="B2722" s="1" t="s">
        <v>2708</v>
      </c>
      <c r="C2722" t="str">
        <f>IFERROR(__xludf.DUMMYFUNCTION("GOOGLETRANSLATE(B2722, ""es"", ""en"")"),"Very useful. 90% satisfaction. I like and works well, does not weigh much ... I think today could be improved for the same price.")</f>
        <v>Very useful. 90% satisfaction. I like and works well, does not weigh much ... I think today could be improved for the same price.</v>
      </c>
    </row>
    <row r="2723">
      <c r="A2723" s="1">
        <v>4.0</v>
      </c>
      <c r="B2723" s="1" t="s">
        <v>2709</v>
      </c>
      <c r="C2723" t="str">
        <f>IFERROR(__xludf.DUMMYFUNCTION("GOOGLETRANSLATE(B2723, ""es"", ""en"")"),"Recomendables quite comfortable and light")</f>
        <v>Recomendables quite comfortable and light</v>
      </c>
    </row>
    <row r="2724">
      <c r="A2724" s="1">
        <v>4.0</v>
      </c>
      <c r="B2724" s="1" t="s">
        <v>2710</v>
      </c>
      <c r="C2724" t="str">
        <f>IFERROR(__xludf.DUMMYFUNCTION("GOOGLETRANSLATE(B2724, ""es"", ""en"")"),"Thought it back no longer return because it was carrying. But my son brought me a magazine with which so if you load it back no longer. Sound: great. By putting a low but could be improved. The battery lasts up getting bored and are comfortable to enterin"&amp;"g full ear within the handset. Price / outstanding quality. I recommend it without reservation.")</f>
        <v>Thought it back no longer return because it was carrying. But my son brought me a magazine with which so if you load it back no longer. Sound: great. By putting a low but could be improved. The battery lasts up getting bored and are comfortable to entering full ear within the handset. Price / outstanding quality. I recommend it without reservation.</v>
      </c>
    </row>
    <row r="2725">
      <c r="A2725" s="1">
        <v>4.0</v>
      </c>
      <c r="B2725" s="1" t="s">
        <v>2711</v>
      </c>
      <c r="C2725" t="str">
        <f>IFERROR(__xludf.DUMMYFUNCTION("GOOGLETRANSLATE(B2725, ""es"", ""en"")"),"very good at this price is very good and you have the option of printing")</f>
        <v>very good at this price is very good and you have the option of printing</v>
      </c>
    </row>
    <row r="2726">
      <c r="A2726" s="1">
        <v>5.0</v>
      </c>
      <c r="B2726" s="1" t="s">
        <v>2712</v>
      </c>
      <c r="C2726" t="str">
        <f>IFERROR(__xludf.DUMMYFUNCTION("GOOGLETRANSLATE(B2726, ""es"", ""en"")"),"You are perfect! Boots very good quality !! excellent product. Fast shipping .")</f>
        <v>You are perfect! Boots very good quality !! excellent product. Fast shipping .</v>
      </c>
    </row>
    <row r="2727">
      <c r="A2727" s="1">
        <v>5.0</v>
      </c>
      <c r="B2727" s="1" t="s">
        <v>2713</v>
      </c>
      <c r="C2727" t="str">
        <f>IFERROR(__xludf.DUMMYFUNCTION("GOOGLETRANSLATE(B2727, ""es"", ""en"")"),"Nice with several compartments and nice quality zipper bag man with several compartments to carry subtle from a small notebook, mobile or keys. A friend recommended me and enchanted moment, the zippers are of good quality, which is important in this kind "&amp;"of accessories")</f>
        <v>Nice with several compartments and nice quality zipper bag man with several compartments to carry subtle from a small notebook, mobile or keys. A friend recommended me and enchanted moment, the zippers are of good quality, which is important in this kind of accessories</v>
      </c>
    </row>
    <row r="2728">
      <c r="A2728" s="1">
        <v>5.0</v>
      </c>
      <c r="B2728" s="1" t="s">
        <v>2714</v>
      </c>
      <c r="C2728" t="str">
        <f>IFERROR(__xludf.DUMMYFUNCTION("GOOGLETRANSLATE(B2728, ""es"", ""en"")"),"I save files have been great, the truth that came in a box well and when you put files colocaditos light.")</f>
        <v>I save files have been great, the truth that came in a box well and when you put files colocaditos light.</v>
      </c>
    </row>
    <row r="2729">
      <c r="A2729" s="1">
        <v>5.0</v>
      </c>
      <c r="B2729" s="1" t="s">
        <v>2715</v>
      </c>
      <c r="C2729" t="str">
        <f>IFERROR(__xludf.DUMMYFUNCTION("GOOGLETRANSLATE(B2729, ""es"", ""en"")"),"As I expected there to ask for a full size and carving small but very comfortable")</f>
        <v>As I expected there to ask for a full size and carving small but very comfortable</v>
      </c>
    </row>
    <row r="2730">
      <c r="A2730" s="1">
        <v>5.0</v>
      </c>
      <c r="B2730" s="1" t="s">
        <v>2716</v>
      </c>
      <c r="C2730" t="str">
        <f>IFERROR(__xludf.DUMMYFUNCTION("GOOGLETRANSLATE(B2730, ""es"", ""en"")"),"pendrive fulfill its functions, it is nice and well connected pequeño.esta quality / price are satisfied with the purchase")</f>
        <v>pendrive fulfill its functions, it is nice and well connected pequeño.esta quality / price are satisfied with the purchase</v>
      </c>
    </row>
    <row r="2731">
      <c r="A2731" s="1">
        <v>5.0</v>
      </c>
      <c r="B2731" s="1" t="s">
        <v>2717</v>
      </c>
      <c r="C2731" t="str">
        <f>IFERROR(__xludf.DUMMYFUNCTION("GOOGLETRANSLATE(B2731, ""es"", ""en"")"),"Very nice and good value Excellent humidifier with good quality material and a prefect size, besides being attractive, it certainly has been a good buy. It has a capacity of 300 ml maximum, but also is marked measures 100, 200 and 300ml. In the box is the"&amp;" instruction book which is well explained and Spanish, the charger is quite long and also a very handy remote control. The truth is that this humidor hard enough. One of the things I liked most is the regulation of light with various colors can choose the"&amp;"ir intensity. You can also adjust the intensity of spraying and filling by adding a few drops of aroma make it the truth that a humidifier very top. Highly recommended this product to a good quality.")</f>
        <v>Very nice and good value Excellent humidifier with good quality material and a prefect size, besides being attractive, it certainly has been a good buy. It has a capacity of 300 ml maximum, but also is marked measures 100, 200 and 300ml. In the box is the instruction book which is well explained and Spanish, the charger is quite long and also a very handy remote control. The truth is that this humidor hard enough. One of the things I liked most is the regulation of light with various colors can choose their intensity. You can also adjust the intensity of spraying and filling by adding a few drops of aroma make it the truth that a humidifier very top. Highly recommended this product to a good quality.</v>
      </c>
    </row>
    <row r="2732">
      <c r="A2732" s="1">
        <v>5.0</v>
      </c>
      <c r="B2732" s="1" t="s">
        <v>2718</v>
      </c>
      <c r="C2732" t="str">
        <f>IFERROR(__xludf.DUMMYFUNCTION("GOOGLETRANSLATE(B2732, ""es"", ""en"")"),"A quality casio watch very comfortable, ideal for walking daily. When looks perfect and complement alarm and clock are very useful. I would buy without any doubt.")</f>
        <v>A quality casio watch very comfortable, ideal for walking daily. When looks perfect and complement alarm and clock are very useful. I would buy without any doubt.</v>
      </c>
    </row>
    <row r="2733">
      <c r="A2733" s="1">
        <v>5.0</v>
      </c>
      <c r="B2733" s="1" t="s">
        <v>2719</v>
      </c>
      <c r="C2733" t="str">
        <f>IFERROR(__xludf.DUMMYFUNCTION("GOOGLETRANSLATE(B2733, ""es"", ""en"")"),"Very comfortable great comfortable")</f>
        <v>Very comfortable great comfortable</v>
      </c>
    </row>
    <row r="2734">
      <c r="A2734" s="1">
        <v>5.0</v>
      </c>
      <c r="B2734" s="1" t="s">
        <v>2720</v>
      </c>
      <c r="C2734" t="str">
        <f>IFERROR(__xludf.DUMMYFUNCTION("GOOGLETRANSLATE(B2734, ""es"", ""en"")"),"Well &lt;div id = ""video-block-R38HKBU2ZK2GXI"" class = ""a-section a-spacing-small a-spacing-top mini video-block""&gt; &lt;div tabindex = ""0"" class = ""airy airy-svg vmin -unsupported airy-skin-beacon ""style ="" background-color: rgb (0, 0, 0) position: rela"&amp;"tive; width: 100%; height: 100%; font-size: 0px; overflow: hidden; outline: none; ""&gt; &lt;div class ="" airy-renderer-container ""style ="" position: relative; height: 100%; width: 100%; ""&gt; &lt;video id ="" 23 ""preload ="" auto ""src ="" https : //images-eu.s"&amp;"sl-images-amazon.com/images/I/91Ov7+Y0MeS.mp4 ""style ="" position: absolute; left: 0px; top: 0px; overflow: hidden; height: 1px; width: 1px; ""&gt; &lt;/ video&gt; &lt;/ div&gt; &lt;div id ="" airy-slate-preload ""style ="" background-color: rgb (0, 0, 0); background-imag"&amp;"e: url (&amp; quot; https: / /images-eu.ssl-images-amazon.com/images/I/A1nksubSDBS.png&amp;quot;); background-size: Contain; background-position: center center; background-repeat: no-repeat; position: absolute; top: 0px; left: 0px; visibility: visible; width: 100"&amp;"%; height: 100%; ""&gt; &lt;/ div&gt; &lt;iframe scrolling ="" no ""fra meborder = ""0"" src = ""about: blank"" style = ""display: none;""&gt; &lt;/ iframe&gt; &lt;div tabindex = ""- 1"" class = ""airy-controls-container"" style = ""opacity: 0; visibility: hidden; ""&gt; &lt;div tabin"&amp;"dex ="" - 1 ""class ="" airy-screen-size-toggle airy-fullscreen ""&gt; &lt;/ div&gt; &lt;div tabindex ="" - 1 ""class ="" airy-container-bottom "" &gt; &lt;div tabindex = ""- 1"" class = ""airy-track-bar-spacer-left"" style = ""width: 11px;""&gt; &lt;/ div&gt; &lt;div tabindex = ""- 1"&amp;""" class = ""airy-play- airy toggle-play ""style ="" width: 12px; margin-right: 12px; ""&gt; &lt;/ div&gt; &lt;div tabindex ="" - 1 ""class ="" airy-audio-elements ""style ="" float: right; width: 34px; ""&gt; &lt;div tabindex ="" - 1 ""class ="" airy-audio-toggle airy-on "&amp;"""&gt; &lt;/ div&gt; &lt;div tabindex ="" - 1 ""class ="" airy-audio-container ""style = ""opacity: 0; visibility: hidden; ""&gt; &lt;div tabindex ="" - 1 ""class ="" airy-audio-track-bar ""style ="" height: 80%; ""&gt; &lt;div tabindex ="" - 1 ""class ="" airy-audio- Scrubber-b"&amp;"ar ""style ="" height: 85%; ""&gt; &lt;/ div&gt; &lt;div tabindex ="" - 1 ""class ="" airy-audio-scrubber ""style ="" height: 12px; bottom: 85% ""&gt; &lt;/ div&gt; &lt;/ div&gt; &lt;/ div&gt; &lt;/ div&gt; &lt;div tabindex ="" - 1 ""class ="" airy-duration-label ""style ="" float: right; width: "&amp;"26px; margin-right: 4px; text-align: center; ""&gt; 0:11 &lt;/ div&gt; &lt;div tabindex ="" - 1 ""class ="" airy-track-bar-spacer-right ""style ="" float: right; width: 11px; ""&gt; &lt;/ div&gt; &lt;div tabindex ="" - 1 ""class ="" airy-track-bar-container ""style ="" margin-le"&amp;"ft: 35px; margin-right: 75px; ""&gt; &lt;div tabindex ="" - 1 ""class ="" airy-airy-track-bar vertically-centering-table ""&gt; &lt;div tabindex ="" - 1 ""class ="" airy-Vertical-centering- table-cell ""&gt; &lt;div tabindex ="" - 1 ""class ="" airy-track bar-elements ""&gt; "&amp;"&lt;div tabindex ="" - 1 ""class ="" airy-progress bar ""style ="" width: 100%; ""&gt; &lt;/ div&gt; &lt;div tabindex ="" - 1 ""class ="" airy-scrubber-bar ""&gt; &lt;/ div&gt; &lt;div tabindex ="" - 1 ""class ="" airy-scrubber ""&gt; &lt;div tabindex ="" - 1 ""class ="" airy-scrubber-ic"&amp;"on ""&gt; &lt;/ div&gt; &lt;div tabindex ="" - 1 ""class ="" airy-adjusted-AUI-tooltip ""style ="" opacity: 0; visibility: hidden; ""&gt; &lt;div tabindex ="" - 1 ""class ="" airy-adjusted-aui-tooltip-inner ""&gt; &lt;div tabindex ="" - 1 ""class ="" airy-current-time-label ""&gt; "&amp;"0: 00 &lt;/ div&gt; &lt;/ div&gt; &lt;div tabindex = ""- 1"" class = ""airy-adjusted-AUI-arrow-border""&gt; &lt;div tabindex = ""- 1"" class = ""airy-adjusted-AUI-arrow"" &gt; &lt;/ div&gt; &lt;/ div&gt; &lt;/ div&gt; &lt;/ div&gt; &lt;/ div&gt; &lt;/ div&gt; &lt;/ div&gt; &lt;/ div&gt; &lt;/ div&gt; &lt;/ div&gt; &lt;div tabindex = ""- 1"""&amp;" class = ""airy-age-gate airy-stage airy-Vertical-centering-table airy-dialog"" style = ""opacity: 0; visibility: hidden; ""&gt; &lt;div tabindex ="" - 1 ""class ="" airy-age-gate-Vertical-centering-table-cell airy-Vertical-centering-table-cell ""&gt; &lt;div tabinde"&amp;"x ="" - 1 ""class = ""airy-Vertical-centering-wrapper airy-age-gate-elements-wrapper""&gt; &lt;div tabindex = ""- 1"" class = ""airy-age-gate-elements airy-dialog-elements""&gt; &lt;div tabindex = "" -1 ""class ="" airy-age-gate-prompt ""&gt; This video is not Intended "&amp;"for all audiences What date were you born &lt;/ div&gt; &lt;div tabindex =.?"" - 1 ""class ="" airy-age-gate -inputs airy-dialog-inner-elements ""&gt; &lt;select tabindex ="" - 1 ""class ="" airy-age-gate-month ""&gt; &lt;option value ="" 1 ""&gt; January &lt;/ option&gt; &lt;option valu"&amp;"e ="" 2 ""&gt; February &lt;/ option&gt; &lt;option value ="" 3 ""&gt; March &lt;/ option&gt; &lt;option value ="" 4 ""&gt; April &lt;/ option&gt; &lt;option value ="" 5 ""&gt; May &lt;/ option&gt; &lt;option value = ""6""&gt; June &lt;/ option&gt; &lt;option value = ""7""&gt; July &lt;/ option&gt; &lt;option value = ""8""&gt; A"&amp;"ugust &lt;/ option&gt; &lt;option value = ""9""&gt; September &lt;/ option&gt; &lt;option value = ""10""&gt; October &lt;/ option&gt; &lt;option value = ""11""&gt; November &lt;/ option&gt; &lt;option value = ""12""&gt; December &lt;/ option&gt; &lt;/ select&gt; &lt;select tabindex = ""- 1"" class = ""airy-age-gate-d"&amp;"ay""&gt; &lt;opti on value = ""1""&gt; 1 &lt;/ option&gt; &lt;option value = ""2""&gt; 2 &lt;/ option&gt; &lt;option value = ""3""&gt; 3 &lt;/ option&gt; &lt;option value = ""4""&gt; 4 &lt;/ option &gt; &lt;option value = ""5""&gt; 5 &lt;/ option&gt; &lt;option value = ""6""&gt; 6 &lt;/ option&gt; &lt;option value = ""7""&gt; 7 &lt;/ opt"&amp;"ion&gt; &lt;option value = ""8""&gt; 8 &lt; / option&gt; &lt;option value = ""9""&gt; 9 &lt;/ option&gt; &lt;option value = ""10""&gt; 10 &lt;/ option&gt; &lt;option value = ""11""&gt; 11 &lt;/ option&gt; &lt;option value = ""12""&gt; 12 &lt;/ option&gt; &lt;option value = ""13""&gt; 13 &lt;/ option&gt; &lt;option value = ""14""&gt; 1"&amp;"4 &lt;/ option&gt; &lt;option value = ""15""&gt; 15 &lt;/ option&gt; &lt;option value = ""16 ""&gt; 16 &lt;/ option&gt; &lt;option value ="" 17 ""&gt; 17 &lt;/ option&gt; &lt;option value ="" 18 ""&gt; 18 &lt;/ option&gt; &lt;option value ="" 19 ""&gt; 19 &lt;/ option&gt; &lt;option value = ""20""&gt; 20 &lt;/ option&gt; &lt;option va"&amp;"lue = ""21""&gt; 21 &lt;/ option&gt; &lt;option value = ""22""&gt; 22 &lt;/ option&gt; &lt;option value = ""23""&gt; 23 &lt;/ option&gt; &lt;option value = ""24""&gt; 24 &lt;/ option&gt; &lt;option value = ""25""&gt; 25 &lt;/ option&gt; &lt;option value = ""26""&gt; 26 &lt;/ option&gt; &lt;option value = ""27""&gt; 27 &lt;/ option&gt;"&amp;" &lt;option value = ""28""&gt; 28 &lt;/ option&gt; &lt;option value = ""29""&gt; 29 &lt;/ option&gt; &lt;option value = ""30""&gt; 30 &lt;/ option&gt; &lt;option value = ""31""&gt; 31 &lt;/ option&gt; &lt;/ select&gt; &lt;select tabindex = ""- 1"" class = ""airy-age-gate-year""&gt; &lt;option value = ""2019""&gt; 2019 &lt;"&amp;"/ option&gt; &lt; option value = ""2018""&gt; 2018 &lt;/ option&gt; &lt;option value = ""2017""&gt; 2017 &lt;/ option&gt; &lt;option value = ""2016""&gt; ​​2016 &lt;/ option&gt; &lt;option value = ""2015""&gt; 2015 &lt;/ option &gt; &lt;option value = ""2014""&gt; 2014 &lt;/ option&gt; &lt;option value = ""2013""&gt; 2013 "&amp;"&lt;/ option&gt; &lt;option value = ""2012""&gt; 2012 &lt;/ option&gt; &lt;option value = ""2011""&gt; 2011 &lt; / option&gt; &lt;option value = ""2010""&gt; 2010 &lt;/ option&gt; &lt;option value = ""2009""&gt; 2009 &lt;/ option&gt; &lt;option value = ""2008""&gt; 2008 &lt;/ option&gt; &lt;option value = ""2007""&gt; 2007 &lt;/"&amp;" option&gt; &lt;option value = ""2006""&gt; 2006 &lt;/ option&gt; &lt;option value = ""2005""&gt; 2005 &lt;/ option&gt; &lt;option value = ""2004""&gt; 2004 &lt;/ option&gt; &lt;option value = ""2003 ""&gt; 2003 &lt;/ option&gt; &lt;option value ="" 2002 ""&gt; 2002 &lt;/ option&gt; &lt;option value ="" 2001 ""&gt; 2001 &lt;/"&amp;" option&gt; &lt;option value ="" 2000 ""&gt; 2000 &lt;/ option&gt; &lt;option value = ""1999""&gt; 1999 &lt;/ option&gt; &lt;option value = ""1998""&gt; 1998 &lt;/ option&gt; &lt;option value = ""1997""&gt; 1997 &lt;/ option&gt; &lt;option value = ""1996""&gt; 1996 &lt;/ option&gt; &lt;option value = ""1995""&gt; 1995 &lt;/ o"&amp;"ption&gt; &lt;option value = ""1994""&gt; 1994 &lt;/ option&gt; &lt;option value = ""1993""&gt; 1993 &lt;/ option&gt; &lt;option value = ""1992""&gt; 1992 &lt;/ option&gt; &lt;option value = ""1991""&gt; 1991 &lt;/ option&gt; &lt;option value = ""1990""&gt; 1990 &lt;/ option&gt; &lt;option value = "" 1989 ""&gt; 1989 &lt;/ op"&amp;"tion&gt; &lt;option value ="" 1988 ""&gt; 1988 &lt;/ option&gt; &lt;option value ="" 1987 ""&gt; 1987 &lt;/ option&gt; &lt;option value ="" 1986 ""&gt; 1986 &lt;/ option&gt; &lt;value option = ""1985""&gt; 1985 &lt;/ option&gt; &lt;option value = ""1984""&gt; 1984 &lt;/ option&gt; &lt;option value = ""1983""&gt; 1983 &lt;/ op"&amp;"tion&gt; &lt;option value = ""1982""&gt; 1982 &lt;/ option&gt; &lt; option value = ""1981""&gt; 1981 &lt;/ option&gt; &lt;option value = ""1980""&gt; 1980 &lt;/ option&gt; &lt;option value = ""1979""&gt; 1979 &lt;/ option&gt; &lt;option value = ""1978""&gt; 1978 &lt;/ option &gt; &lt;option value = ""1977""&gt; 1977 &lt;/ opt"&amp;"ion&gt; &lt;option value = ""1976""&gt; 1976 &lt;/ option&gt; &lt;option value = ""1975""&gt; 1975 &lt;/ option&gt; &lt;option value = ""1974""&gt; 1974 &lt; / option&gt; &lt;option value = ""1973""&gt; 1973 &lt;/ option&gt; &lt;option value = ""1972""&gt; 1972 &lt;/ option&gt; &lt;option value = ""1971""&gt; 1971 &lt;/ optio"&amp;"n&gt; &lt;option value = ""1970""&gt; 1970 &lt;/ option&gt; &lt;option value = ""1969""&gt; 1969 &lt;/ option&gt; &lt;option value = ""1968""&gt; 1968 &lt;/ option&gt; &lt;option value = ""1967""&gt; 1967 &lt;/ option&gt; &lt;option value = ""1966 ""&gt; 1966 &lt;/ option&gt; &lt;option value ="" 1965 ""&gt; 1965 &lt;/ option"&amp;"&gt; &lt;option value ="" 1964 ""&gt; 1964 &lt;/ option&gt; &lt;option value ="" 1963 ""&gt; 1963 &lt;/ option&gt; &lt;option value = ""1962""&gt; 1962 &lt;/ option&gt; &lt;option value = ""1961""&gt; 1961 &lt;/ option&gt; &lt;option value = ""1960""&gt; 1960 &lt;/ op tion&gt; &lt;option value = ""1959""&gt; 1959 &lt;/ option"&amp;"&gt; &lt;option value = ""1958""&gt; 1958 &lt;/ option&gt; &lt;option value = ""1957""&gt; 1957 &lt;/ option&gt; &lt;option value = ""1956""&gt; 1956 &lt;/ option&gt; &lt;option value = ""1955""&gt; 1955 &lt;/ option&gt; &lt;option value = ""1954""&gt; 1954 &lt;/ option&gt; &lt;option value = ""1953""&gt; 1953 &lt;/ option&gt; &lt;"&amp;"option value = ""1952"" &gt; 1952 &lt;/ option&gt; &lt;option value = ""1951""&gt; 1951 &lt;/ option&gt; &lt;option value = ""1950""&gt; 1950 &lt;/ option&gt; &lt;option value = ""1949""&gt; 1949 &lt;/ option&gt; &lt;option value = "" 1948 ""&gt; 1948 &lt;/ option&gt; &lt;option value ="" 1947 ""&gt; 1947 &lt;/ option&gt; "&amp;"&lt;option value ="" 1946 ""&gt; 1946 &lt;/ option&gt; &lt;option value ="" 1945 ""&gt; 1945 &lt;/ option&gt; &lt;value option = ""1944""&gt; 1944 &lt;/ option&gt; &lt;option value = ""1943""&gt; 1943 &lt;/ option&gt; &lt;option value = ""1942""&gt; 1942 &lt;/ option&gt; &lt;option value = ""1941""&gt; 1941 &lt;/ option&gt; &lt;"&amp;" option value = ""1940""&gt; 1940 &lt;/ option&gt; &lt;option value = ""1939""&gt; 1939 &lt;/ option&gt; &lt;option value = ""1938""&gt; 1938 &lt;/ option&gt; &lt;option value = ""1937""&gt; 1937 &lt;/ option &gt; &lt;option value = ""1936""&gt; 1936 &lt;/ option&gt; &lt;option value = ""1935""&gt; 1935 &lt;/ option&gt; &lt;o"&amp;"ption value = ""1934""&gt; 1934 &lt;/ option&gt; &lt;option value = ""1933""&gt; 1933 &lt; / option&gt; &lt;option value = ""1932""&gt; 1932 &lt;/ option&gt; &lt;option value = ""1931""&gt; 1931 &lt;/ option&gt; &lt;option v alue = ""1930""&gt; 1930 &lt;/ option&gt; &lt;option value = ""1929""&gt; 1929 &lt;/ option&gt; &lt;op"&amp;"tion value = ""1928""&gt; 1928 &lt;/ option&gt; &lt;option value = ""1927""&gt; 1927 &lt;/ option&gt; &lt;option value = ""1926""&gt; 1926 &lt;/ option&gt; &lt;option value = ""1925""&gt; 1925 &lt;/ option&gt; &lt;option value = ""1924""&gt; 1924 &lt;/ option&gt; &lt;option value = ""1923""&gt; 1923 &lt;/ option&gt; &lt;optio"&amp;"n value = ""1922""&gt; 1922 &lt;/ option&gt; &lt;option value = ""1921""&gt; 1921 &lt;/ option&gt; &lt;option value = ""1920""&gt; 1920 &lt;/ option&gt; &lt;option value = ""1919""&gt; 1919 &lt;/ option&gt; &lt;option value = ""1918""&gt; 1918 &lt;/ option&gt; &lt;option value = ""1917""&gt; 1917 &lt;/ option&gt; &lt;option v"&amp;"alue = ""1916""&gt; 1916 &lt;/ option&gt; &lt;option value = ""1915"" &gt; 1915 &lt;/ option&gt; &lt;option value = ""1914""&gt; 1914 &lt;/ option&gt; &lt;option value = ""1913""&gt; 1913 &lt;/ option&gt; &lt;option value = ""1912""&gt; 1912 &lt;/ option&gt; &lt;option value = "" 1911 ""&gt; 1911 &lt;/ option&gt; &lt;option v"&amp;"alue ="" 1910 ""&gt; 1910 &lt;/ option&gt; &lt;option value ="" 1909 ""&gt; 1909 &lt;/ option&gt; &lt;option value ="" 1908 ""&gt; 1908 &lt;/ option&gt; &lt;value option = ""1907""&gt; 1907 &lt;/ option&gt; &lt;option value = ""1906""&gt; 1906 &lt;/ option&gt; &lt;option value = ""1905""&gt; 1905 &lt;/ option&gt; &lt;option v"&amp;"alue = ""1904""&gt; 1904 &lt;/ option&gt; &lt; option value = ""1903""&gt; 1903 &lt;/ option&gt; &lt;option value = ""1902""&gt; 1902 &lt;/ option&gt; &lt;option value = ""1901""&gt; 19 01 &lt;/ option&gt; &lt;option value = ""1900""&gt; 1900 &lt;/ option&gt; &lt;/ select&gt; &lt;div tabindex = ""- 1"" class = ""airy-ag"&amp;"e-gate-submit airy-submit-button airy airy-submit- disabled ""&gt; Submit &lt;/ div&gt; &lt;/ div&gt; &lt;/ div&gt; &lt;/ div&gt; &lt;/ div&gt; &lt;/ div&gt; &lt;div tabindex ="" - 1 ""class ="" airy-install-flash-dialog airy-stage airy -vertical-centering-table-dialog airy airy-denied ""style ="&amp;""" opacity: 0; visibility: hidden; ""&gt; &lt;div tabindex ="" - 1 ""class ="" airy-install-flash-Vertical-centering-table-cell airy-Vertical-centering-table-cell ""&gt; &lt;div tabindex ="" - 1 ""class = ""airy-Vertical-centering-wrapper airy-install-flash-elements-"&amp;"wrapper""&gt; &lt;div tabindex = ""- 1"" class = ""airy-install-flash-elements airy-dialog-elements""&gt; &lt;div tabindex = "" -1 ""class ="" airy-install-flash-prompt ""&gt; Adobe Flash Player is required to watch this video &lt;/ div&gt; &lt;div tabindex =."" - 1 ""class ="" "&amp;"airy-install-flash-button-wrapper airy -dialog-inner-elements ""&gt; &lt;div tabindex ="" - 1 ""class ="" airy-install-flash-button airy-button ""&gt; install Flash Player &lt;/ div&gt; &lt;/ div&gt; &lt;/ div&gt; &lt;/ div&gt; &lt;/ div&gt; &lt;/ div&gt; &lt;div tabindex = ""- 1"" class = ""airy-video"&amp;"-unsupported-dialog airy-stage airy-Vertical-centering-table airy-dialog airy-denied"" style = ""opacity: 0; visibility: hidden; ""&gt; &lt;div tabindex ="" - 1 ""class ="" airy-video-unsupported-Vertical-centering-table-cell airy-Vertical-centering-table-cell "&amp;"""&gt; &lt;div tabindex ="" - 1 ""class = ""airy-Vertical-centering-wrapper airy-video-unsupported-elements-wrapper""&gt; &lt;div tabindex = ""- 1"" class = ""airy-video-unsupported-elements airy-dialog-elements""&gt; &lt;div tabindex = "" -1 ""class ="" airy-video-unsuppo"&amp;"rted-prompt ""&gt; &lt;/ div&gt; &lt;/ div&gt; &lt;/ div&gt; &lt;/ div&gt; &lt;/ div&gt; &lt;div tabindex ="" - 1 ""class ="" airy-loading- spinner-stage airy-stage ""&gt; &lt;div tabindex ="" - 1 ""class ="" airy-loading-spinner-Vertical-centering-table-cell airy-Vertical-centering-table-cell """&amp;"&gt; &lt;div tabindex ="" - 1 ""class ="" airy-loading-spinner-container airy-scalable-hint-container ""&gt; &lt;div tabindex ="" - 1 ""class ="" airy-loading-spinner-dummy airy-scalable-dummy ""&gt; &lt;/ div&gt; &lt; div tabindex = ""- 1"" class = ""airy-loading-spinner airy-h"&amp;"int"" style = ""visibility: hidden;""&gt; &lt;/ div&gt; &lt;/ div&gt; &lt;/ div&gt; &lt;/ div&gt; &lt;div tabindex = ""- 1 ""class ="" airy-ads-screen-size-toggle airy-screen-size-toggle-fullscreen airy ""style ="" visibility: hidden; ""&gt; &lt;/ div&gt; &lt;div tabindex = ""-1"" class = ""airy-"&amp;"ad-prompt-container"" style = ""visibility: hidden;""&gt; &lt;div tabindex = ""- 1"" class = ""airy-ad-prompt-Vertical-centering-table-vertically airy centering-table ""&gt; &lt;div tabindex ="" - 1 ""class ="" airy-ad-prompt-Vertical-centering-table-cell airy-Vertic"&amp;"al-centering-table-cell ""&gt; &lt;div tabindex ="" - 1 ""class = ""airy-ad-prompt-label""&gt; &lt;/ div&gt; &lt;/ div&gt; &lt;/ div&gt; &lt;/ div&gt; &lt;div tabindex = ""- 1"" class = ""airy-ads-controls-container"" style = ""visibility: hidden; ""&gt; &lt;div tabindex ="" - 1 ""class ="" airy-"&amp;"ads-audio-toggle airy-audio-toggle airy-on ""style ="" visibility: hidden; ""&gt; &lt;/ div&gt; &lt;div tabindex ="" - 1 ""class ="" airy-time-remaining-label-container ""&gt; &lt;div tabindex ="" - 1 ""class ="" airy-time-remaining-Vertical-centering-table airy-Vertical-c"&amp;"entering-table ""&gt; &lt;div tabindex = ""- 1"" class = ""airy-time-remaining-Vertical-centering-table-cell airy-Vertical-centering-table-cell""&gt; &lt;div tabindex = ""- 1"" class = ""airy-Vertical-centering-wrapper airy-time-remaining-label-wrapper ""&gt; &lt;div tabin"&amp;"dex ="" - 1 ""class ="" airy-time-remaining-label ""style ="" visibility: hidden; ""&gt; &lt;/ div&gt; &lt;div tabi ndex = ""- 1"" class = ""airy-ad-skip"" style = ""visibility: hidden;""&gt; &lt;/ div&gt; &lt;div tabindex = ""- 1"" class = ""airy-ad-end"" style = ""visibility: "&amp;"hidden ""&gt; &lt;/ div&gt; &lt;/ div&gt; &lt;/ div&gt; &lt;/ div&gt; &lt;/ div&gt; &lt;div tabindex ="" - 1 ""class ="" airy-learn-more ""style ="" visibility: hidden; ""&gt; &lt;/ div&gt; &lt;/ div&gt; &lt;div tabindex = ""- 1"" class = ""airy-play-toggle-hint-stage airy-stage airy-cursor""&gt; &lt;div tabindex "&amp;"= ""- 1""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-toggle-hint hint airy-airy-play-hint ""style ="" opacity: 1; visibility: visible; ""&gt; &lt;/ div&gt; &lt;/ div&gt; &lt;/ div&gt; &lt;/ div&gt; &lt;div tabindex ="" - 1 ""class"&amp;" ="" airy-replay-hint-stage airy-stage ""style ="" visibility: hidden ; ""&gt; &lt;div tabindex ="" - 1 ""class ="" airy-replay-hint-Vertical-centering-table-cell airy-Vertical-centering-table-cell airy-cursor ""&gt; &lt;div tabindex ="" - 1 ""class = ""airy-replay-h"&amp;"int-container airy-scalable-hint-container""&gt; &lt;div tabindex = ""- 1"" class = ""airy-replay-hint-dummy airy-scalable-dummy""&gt; &lt;/ div&gt; &lt;div tabindex = ""- 1"" class = ""airy-replay-hint airy-hint""&gt; &lt;/ div&gt; &lt;/ div&gt; &lt;/ div&gt; &lt;/ div&gt; &lt;div tabindex = ""- 1"" c"&amp;"lass = ""airy-autoplay-hint -stage airy-stage ""style ="" visibility: hidden; ""&gt; &lt;div tabindex ="" - 1 ""class ="" airy-autoplay-hint-Vertical-centering-table-cell airy-Vertical-centering-table-cell airy- cursor ""&gt; &lt;div tabindex ="" - 1 ""class ="" auto"&amp;"play airy-airy-hint-container-scalable-hint-container ""&gt; &lt;div tabindex ="" - 1 ""class ="" airy-autoplay-hint-dummy airy- scalable-dummy ""&gt; &lt;/ div&gt; &lt;/ div&gt; &lt;/ div&gt; &lt;/ div&gt; &lt;/ div&gt; &lt;/ div&gt; &lt;input type ="" hidden ""name ="" ""value ="" https: // images-eu"&amp;" .ssl-images-amazon.com / images / I / 91Ov7 + Y0MeS.mp4 ""Class ="" video-url ""&gt; &lt;input type ="" hidden ""name ="" ""value ="" https://images-eu.ssl-images-amazon.com/images/I/A1nksubSDBS.png ""class ="" video-slate-img-url ""&gt; &amp; nbsp; in your day has c"&amp;"ome, and in perfect condition, working properly, I've used it a couple of times and in principle is a recommended product at the moment I'm happy and satisfied.")</f>
        <v>Well &lt;div id = "video-block-R38HKBU2ZK2GXI" class = "a-section a-spacing-small a-spacing-top mini video-block"&gt; &lt;div tabindex = "0" class = "airy airy-svg vmin -unsupported airy-skin-beacon "style =" background-color: rgb (0, 0, 0) position: relative; width: 100%; height: 100%; font-size: 0px; overflow: hidden; outline: none; "&gt; &lt;div class =" airy-renderer-container "style =" position: relative; height: 100%; width: 100%; "&gt; &lt;video id =" 23 "preload =" auto "src =" https : //images-eu.ssl-images-amazon.com/images/I/91Ov7+Y0MeS.mp4 "style =" position: absolute; left: 0px; top: 0px; overflow: hidden; height: 1px; width: 1px; "&gt; &lt;/ video&gt; &lt;/ div&gt; &lt;div id =" airy-slate-preload "style =" background-color: rgb (0, 0, 0); background-image: url (&amp; quot; https: / /images-eu.ssl-images-amazon.com/images/I/A1nksubSDBS.png&amp;quot;); background-size: Contain; background-position: center center; background-repeat: no-repeat; position: absolute; top: 0px; left: 0px; visibility: visible; width: 100%; height: 100%; "&gt; &lt;/ div&gt; &lt;iframe scrolling =" no "fra 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0:11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 bar-elements "&gt; &lt;div tabindex =" - 1 "class =" airy-progress bar "style =" width: 100%;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91Ov7 + Y0MeS.mp4 "Class =" video-url "&gt; &lt;input type =" hidden "name =" "value =" https://images-eu.ssl-images-amazon.com/images/I/A1nksubSDBS.png "class =" video-slate-img-url "&gt; &amp; nbsp; in your day has come, and in perfect condition, working properly, I've used it a couple of times and in principle is a recommended product at the moment I'm happy and satisfied.</v>
      </c>
    </row>
    <row r="2735">
      <c r="A2735" s="1">
        <v>5.0</v>
      </c>
      <c r="B2735" s="1" t="s">
        <v>2721</v>
      </c>
      <c r="C2735" t="str">
        <f>IFERROR(__xludf.DUMMYFUNCTION("GOOGLETRANSLATE(B2735, ""es"", ""en"")"),"Ideal for sports My husband needed different headphones for jogging because theirs did not conform to the ear like these, in addition to getting wet either sweat or water, takes about 4 outings with them and is very happy, even the battery has not said so"&amp;" far arrived, take 4 to 5 hours, and the characteristics indicated last up to 8 hours. Good buy Value, brings a very cool case to keep them.")</f>
        <v>Ideal for sports My husband needed different headphones for jogging because theirs did not conform to the ear like these, in addition to getting wet either sweat or water, takes about 4 outings with them and is very happy, even the battery has not said so far arrived, take 4 to 5 hours, and the characteristics indicated last up to 8 hours. Good buy Value, brings a very cool case to keep them.</v>
      </c>
    </row>
    <row r="2736">
      <c r="A2736" s="1">
        <v>5.0</v>
      </c>
      <c r="B2736" s="1" t="s">
        <v>2722</v>
      </c>
      <c r="C2736" t="str">
        <f>IFERROR(__xludf.DUMMYFUNCTION("GOOGLETRANSLATE(B2736, ""es"", ""en"")"),"Lightweight, Sobrado power. Very easy to use. The weight is very low and is easily operated. Help light works great with light sensor. The battery holds more than expected. The only negative I see is that Bluetooth connectivity with mobile is a bit precar"&amp;"ious and see a little in its infancy.")</f>
        <v>Lightweight, Sobrado power. Very easy to use. The weight is very low and is easily operated. Help light works great with light sensor. The battery holds more than expected. The only negative I see is that Bluetooth connectivity with mobile is a bit precarious and see a little in its infancy.</v>
      </c>
    </row>
    <row r="2737">
      <c r="A2737" s="1">
        <v>5.0</v>
      </c>
      <c r="B2737" s="1" t="s">
        <v>2723</v>
      </c>
      <c r="C2737" t="str">
        <f>IFERROR(__xludf.DUMMYFUNCTION("GOOGLETRANSLATE(B2737, ""es"", ""en"")"),"Very nice very nice and comfortable addition to calentitas. I recommend ordering one number plus for hair lined")</f>
        <v>Very nice very nice and comfortable addition to calentitas. I recommend ordering one number plus for hair lined</v>
      </c>
    </row>
    <row r="2738">
      <c r="A2738" s="1">
        <v>5.0</v>
      </c>
      <c r="B2738" s="1" t="s">
        <v>2724</v>
      </c>
      <c r="C2738" t="str">
        <f>IFERROR(__xludf.DUMMYFUNCTION("GOOGLETRANSLATE(B2738, ""es"", ""en"")"),"Very Good Very cool to being all black, very comfortable, we fans of this brand. I gave was the my husband and I have loved. The sizing is justito, always ask for half or a full size.")</f>
        <v>Very Good Very cool to being all black, very comfortable, we fans of this brand. I gave was the my husband and I have loved. The sizing is justito, always ask for half or a full size.</v>
      </c>
    </row>
    <row r="2739">
      <c r="A2739" s="1">
        <v>5.0</v>
      </c>
      <c r="B2739" s="1" t="s">
        <v>2725</v>
      </c>
      <c r="C2739" t="str">
        <f>IFERROR(__xludf.DUMMYFUNCTION("GOOGLETRANSLATE(B2739, ""es"", ""en"")"),"Very good quality and comfort product with very good quality. Are comfortable taking, I use to work and spend long periods standing. Highly recommended.")</f>
        <v>Very good quality and comfort product with very good quality. Are comfortable taking, I use to work and spend long periods standing. Highly recommended.</v>
      </c>
    </row>
    <row r="2740">
      <c r="A2740" s="1">
        <v>5.0</v>
      </c>
      <c r="B2740" s="1" t="s">
        <v>2726</v>
      </c>
      <c r="C2740" t="str">
        <f>IFERROR(__xludf.DUMMYFUNCTION("GOOGLETRANSLATE(B2740, ""es"", ""en"")"),"Very good comfort and design. I use them for my daily use.")</f>
        <v>Very good comfort and design. I use them for my daily use.</v>
      </c>
    </row>
    <row r="2741">
      <c r="A2741" s="1">
        <v>5.0</v>
      </c>
      <c r="B2741" s="1" t="s">
        <v>2727</v>
      </c>
      <c r="C2741" t="str">
        <f>IFERROR(__xludf.DUMMYFUNCTION("GOOGLETRANSLATE(B2741, ""es"", ""en"")"),"I would love another I would buy another at the same price pra a gift thanks")</f>
        <v>I would love another I would buy another at the same price pra a gift thanks</v>
      </c>
    </row>
    <row r="2742">
      <c r="A2742" s="1">
        <v>5.0</v>
      </c>
      <c r="B2742" s="1" t="s">
        <v>2728</v>
      </c>
      <c r="C2742" t="str">
        <f>IFERROR(__xludf.DUMMYFUNCTION("GOOGLETRANSLATE(B2742, ""es"", ""en"")"),"Free operation 24 hours. I bought it for use in a dashcam and record continuously in the parking lot, I stored 20 hours and almost half an hour more videos to 1080, has been recording nonstop nothing but the second five slow to change powerbank certainly "&amp;"a memory trustworthy.")</f>
        <v>Free operation 24 hours. I bought it for use in a dashcam and record continuously in the parking lot, I stored 20 hours and almost half an hour more videos to 1080, has been recording nonstop nothing but the second five slow to change powerbank certainly a memory trustworthy.</v>
      </c>
    </row>
    <row r="2743">
      <c r="A2743" s="1">
        <v>5.0</v>
      </c>
      <c r="B2743" s="1" t="s">
        <v>2729</v>
      </c>
      <c r="C2743" t="str">
        <f>IFERROR(__xludf.DUMMYFUNCTION("GOOGLETRANSLATE(B2743, ""es"", ""en"")"),"The eye contour product is very good, with vitamins and hyaluronic acid. I have the smoothest around the eye and more rested appearance. I apply it before I go to sleep at night and in the morning I just got up. The container is metallic, made with qualit"&amp;"y products. The shipping was very fast and accurate. The package was well packed.")</f>
        <v>The eye contour product is very good, with vitamins and hyaluronic acid. I have the smoothest around the eye and more rested appearance. I apply it before I go to sleep at night and in the morning I just got up. The container is metallic, made with quality products. The shipping was very fast and accurate. The package was well packed.</v>
      </c>
    </row>
    <row r="2744">
      <c r="A2744" s="1">
        <v>5.0</v>
      </c>
      <c r="B2744" s="1" t="s">
        <v>2730</v>
      </c>
      <c r="C2744" t="str">
        <f>IFERROR(__xludf.DUMMYFUNCTION("GOOGLETRANSLATE(B2744, ""es"", ""en"")"),"Perfect !! I love!! He had bought other earlier and touched them back because I left eye so here with small sizes. For example spending 39 and 39 / 40EU I was small so here I bought the 41/42 and I are perfect. They come with box and tags, which is import"&amp;"ant to me because they are original. They are very comfortable and color as is the photo. I recommend")</f>
        <v>Perfect !! I love!! He had bought other earlier and touched them back because I left eye so here with small sizes. For example spending 39 and 39 / 40EU I was small so here I bought the 41/42 and I are perfect. They come with box and tags, which is important to me because they are original. They are very comfortable and color as is the photo. I recommend</v>
      </c>
    </row>
    <row r="2745">
      <c r="A2745" s="1">
        <v>2.0</v>
      </c>
      <c r="B2745" s="1" t="s">
        <v>2731</v>
      </c>
      <c r="C2745" t="str">
        <f>IFERROR(__xludf.DUMMYFUNCTION("GOOGLETRANSLATE(B2745, ""es"", ""en"")"),"Good product, Sale misleading EYE: COMES ONLY 1 BOTTLE !!! Before anything misleading to say that the picture is 4 bottles and in 4 + name appears (refer to months). Misleading results if you do not read well. For the price and we had to suspect that some"&amp;"thing unusual had, you can find better deals. The bottle we have not tried it yet but quality bottles.")</f>
        <v>Good product, Sale misleading EYE: COMES ONLY 1 BOTTLE !!! Before anything misleading to say that the picture is 4 bottles and in 4 + name appears (refer to months). Misleading results if you do not read well. For the price and we had to suspect that something unusual had, you can find better deals. The bottle we have not tried it yet but quality bottles.</v>
      </c>
    </row>
    <row r="2746">
      <c r="A2746" s="1">
        <v>3.0</v>
      </c>
      <c r="B2746" s="1" t="s">
        <v>2732</v>
      </c>
      <c r="C2746" t="str">
        <f>IFERROR(__xludf.DUMMYFUNCTION("GOOGLETRANSLATE(B2746, ""es"", ""en"")"),"XL hooded sweatshirt I ordered this thinking it was cotton fat, and is the opposite, very thin, as to the size I expected a larger XL, anyway not bad.")</f>
        <v>XL hooded sweatshirt I ordered this thinking it was cotton fat, and is the opposite, very thin, as to the size I expected a larger XL, anyway not bad.</v>
      </c>
    </row>
    <row r="2747">
      <c r="A2747" s="1">
        <v>3.0</v>
      </c>
      <c r="B2747" s="1" t="s">
        <v>2733</v>
      </c>
      <c r="C2747" t="str">
        <f>IFERROR(__xludf.DUMMYFUNCTION("GOOGLETRANSLATE(B2747, ""es"", ""en"")"),"A being very wide leg, they are comfortable. The pants are very average. I use it as pajamas or shorts to be home. But for that price you can not ask for more. Yes, beware size. I use the xs and 2xs pants and tights I have asked the decathlon and M. De wa"&amp;"ist and long well above the ankles.")</f>
        <v>A being very wide leg, they are comfortable. The pants are very average. I use it as pajamas or shorts to be home. But for that price you can not ask for more. Yes, beware size. I use the xs and 2xs pants and tights I have asked the decathlon and M. De waist and long well above the ankles.</v>
      </c>
    </row>
    <row r="2748">
      <c r="A2748" s="1">
        <v>3.0</v>
      </c>
      <c r="B2748" s="1" t="s">
        <v>2734</v>
      </c>
      <c r="C2748" t="str">
        <f>IFERROR(__xludf.DUMMYFUNCTION("GOOGLETRANSLATE(B2748, ""es"", ""en"")"),"Good tetina, uncomfortable to carry away Although NUK teats have been favorites since my daughter was born, these bottles have one drawback is that the lid does not prevent the liquid from spilling. Bring a small piece of plastic that can be inserted betw"&amp;"een the bottle and the nipple to fulfill this role but is a nuisance. We prefer other brands itself perfectly with the lid closed and are much more comfortable when carrying the bottle away from home.")</f>
        <v>Good tetina, uncomfortable to carry away Although NUK teats have been favorites since my daughter was born, these bottles have one drawback is that the lid does not prevent the liquid from spilling. Bring a small piece of plastic that can be inserted between the bottle and the nipple to fulfill this role but is a nuisance. We prefer other brands itself perfectly with the lid closed and are much more comfortable when carrying the bottle away from home.</v>
      </c>
    </row>
    <row r="2749">
      <c r="A2749" s="1">
        <v>1.0</v>
      </c>
      <c r="B2749" s="1" t="s">
        <v>2735</v>
      </c>
      <c r="C2749" t="str">
        <f>IFERROR(__xludf.DUMMYFUNCTION("GOOGLETRANSLATE(B2749, ""es"", ""en"")"),"a week and it has broken the chain and the chain A week is broken")</f>
        <v>a week and it has broken the chain and the chain A week is broken</v>
      </c>
    </row>
    <row r="2750">
      <c r="A2750" s="1">
        <v>1.0</v>
      </c>
      <c r="B2750" s="1" t="s">
        <v>2736</v>
      </c>
      <c r="C2750" t="str">
        <f>IFERROR(__xludf.DUMMYFUNCTION("GOOGLETRANSLATE(B2750, ""es"", ""en"")"),"Lousy product I bought for the comments and the truth is that the product has nothing to do with what I read. The bottle has a single air inlet which is not only insufficient but above malfunctioned. Nipples makes vacuum effect and how much the baby suckl"&amp;"es milk does not come out almost. In addition, the lid leading to agitate correctamebte not meet its function. If you stir too hard milk comes out. Conclusion: product according to the price. More worthwhile paying a little more, because in my case this p"&amp;"urchase has been throwing money away. It is already known, cheap is expensive. I do not recommend it.")</f>
        <v>Lousy product I bought for the comments and the truth is that the product has nothing to do with what I read. The bottle has a single air inlet which is not only insufficient but above malfunctioned. Nipples makes vacuum effect and how much the baby suckles milk does not come out almost. In addition, the lid leading to agitate correctamebte not meet its function. If you stir too hard milk comes out. Conclusion: product according to the price. More worthwhile paying a little more, because in my case this purchase has been throwing money away. It is already known, cheap is expensive. I do not recommend it.</v>
      </c>
    </row>
    <row r="2751">
      <c r="A2751" s="1">
        <v>4.0</v>
      </c>
      <c r="B2751" s="1" t="s">
        <v>2737</v>
      </c>
      <c r="C2751" t="str">
        <f>IFERROR(__xludf.DUMMYFUNCTION("GOOGLETRANSLATE(B2751, ""es"", ""en"")"),"WE'LL SEE. ¿? They ARE GOOD, BUT NOT THE SIZE YOU ARE ASKED.")</f>
        <v>WE'LL SEE. ¿? They ARE GOOD, BUT NOT THE SIZE YOU ARE ASKED.</v>
      </c>
    </row>
    <row r="2752">
      <c r="A2752" s="1">
        <v>4.0</v>
      </c>
      <c r="B2752" s="1" t="s">
        <v>2738</v>
      </c>
      <c r="C2752" t="str">
        <f>IFERROR(__xludf.DUMMYFUNCTION("GOOGLETRANSLATE(B2752, ""es"", ""en"")"),"First look nice comfortable shoes and comfortable They are exactly as expected and arrived. Hope they do well in the long run. Very good shipping process. , Although They Were shipped later than Predicted, They arrived in no time!")</f>
        <v>First look nice comfortable shoes and comfortable They are exactly as expected and arrived. Hope they do well in the long run. Very good shipping process. , Although They Were shipped later than Predicted, They arrived in no time!</v>
      </c>
    </row>
    <row r="2753">
      <c r="A2753" s="1">
        <v>4.0</v>
      </c>
      <c r="B2753" s="1" t="s">
        <v>2739</v>
      </c>
      <c r="C2753" t="str">
        <f>IFERROR(__xludf.DUMMYFUNCTION("GOOGLETRANSLATE(B2753, ""es"", ""en"")"),"Acceptable. simple and correct operation. Effective enough. Value, it is always improvable ....")</f>
        <v>Acceptable. simple and correct operation. Effective enough. Value, it is always improvable ....</v>
      </c>
    </row>
    <row r="2754">
      <c r="A2754" s="1">
        <v>4.0</v>
      </c>
      <c r="B2754" s="1" t="s">
        <v>2740</v>
      </c>
      <c r="C2754" t="str">
        <f>IFERROR(__xludf.DUMMYFUNCTION("GOOGLETRANSLATE(B2754, ""es"", ""en"")"),"I wear looks good for homespun, carving fine, I've washed several times and tumble drying and will not shrink and very good price.")</f>
        <v>I wear looks good for homespun, carving fine, I've washed several times and tumble drying and will not shrink and very good price.</v>
      </c>
    </row>
    <row r="2755">
      <c r="A2755" s="1">
        <v>4.0</v>
      </c>
      <c r="B2755" s="1" t="s">
        <v>2741</v>
      </c>
      <c r="C2755" t="str">
        <f>IFERROR(__xludf.DUMMYFUNCTION("GOOGLETRANSLATE(B2755, ""es"", ""en"")"),"Good watch with improved night vision I like to watch. The only downside is the difficulty of seeing the numbers at night with orange light. Otherwise good design and watch.")</f>
        <v>Good watch with improved night vision I like to watch. The only downside is the difficulty of seeing the numbers at night with orange light. Otherwise good design and watch.</v>
      </c>
    </row>
    <row r="2756">
      <c r="A2756" s="1">
        <v>5.0</v>
      </c>
      <c r="B2756" s="1" t="s">
        <v>2742</v>
      </c>
      <c r="C2756" t="str">
        <f>IFERROR(__xludf.DUMMYFUNCTION("GOOGLETRANSLATE(B2756, ""es"", ""en"")"),"Really impressive addition to its design, all beautiful lights, impresses when you match a mobile and listen to the great quality coming from your speakers. Bass are well defined. By the sound headphones they seem much higher price. I have given it to my "&amp;"daughter and loves. If you need other I will not hesitate to buy them.")</f>
        <v>Really impressive addition to its design, all beautiful lights, impresses when you match a mobile and listen to the great quality coming from your speakers. Bass are well defined. By the sound headphones they seem much higher price. I have given it to my daughter and loves. If you need other I will not hesitate to buy them.</v>
      </c>
    </row>
    <row r="2757">
      <c r="A2757" s="1">
        <v>5.0</v>
      </c>
      <c r="B2757" s="1" t="s">
        <v>2743</v>
      </c>
      <c r="C2757" t="str">
        <f>IFERROR(__xludf.DUMMYFUNCTION("GOOGLETRANSLATE(B2757, ""es"", ""en"")"),"Fast and quiet I've bought for the office and I'm delighted. It's fast and quiet.")</f>
        <v>Fast and quiet I've bought for the office and I'm delighted. It's fast and quiet.</v>
      </c>
    </row>
    <row r="2758">
      <c r="A2758" s="1">
        <v>5.0</v>
      </c>
      <c r="B2758" s="1" t="s">
        <v>2744</v>
      </c>
      <c r="C2758" t="str">
        <f>IFERROR(__xludf.DUMMYFUNCTION("GOOGLETRANSLATE(B2758, ""es"", ""en"")"),"Perfect for running, do not move. I hold perfectly sessions 3 hour walk without problem, and it is best that day I run, do not move anything. Aesthetically very cool with lights. The sound quality can not compare with others, but no complaints, listen ver"&amp;"y well. I wear a healthy and I recommend them :) super fast shipping, arrived in 24 hours.")</f>
        <v>Perfect for running, do not move. I hold perfectly sessions 3 hour walk without problem, and it is best that day I run, do not move anything. Aesthetically very cool with lights. The sound quality can not compare with others, but no complaints, listen very well. I wear a healthy and I recommend them :) super fast shipping, arrived in 24 hours.</v>
      </c>
    </row>
    <row r="2759">
      <c r="A2759" s="1">
        <v>5.0</v>
      </c>
      <c r="B2759" s="1" t="s">
        <v>2745</v>
      </c>
      <c r="C2759" t="str">
        <f>IFERROR(__xludf.DUMMYFUNCTION("GOOGLETRANSLATE(B2759, ""es"", ""en"")"),"Comfortable and beautiful carving correct and very comfortable. The rise is in the template so that if excessive can be cut with a little skill. I washed in the washing machine and have remained as new")</f>
        <v>Comfortable and beautiful carving correct and very comfortable. The rise is in the template so that if excessive can be cut with a little skill. I washed in the washing machine and have remained as new</v>
      </c>
    </row>
    <row r="2760">
      <c r="A2760" s="1">
        <v>5.0</v>
      </c>
      <c r="B2760" s="1" t="s">
        <v>2746</v>
      </c>
      <c r="C2760" t="str">
        <f>IFERROR(__xludf.DUMMYFUNCTION("GOOGLETRANSLATE(B2760, ""es"", ""en"")"),"Fast and with many instructions has come in a few days. The packet reaches the void, with precise instructions on how to make the insulation regains its original shape.")</f>
        <v>Fast and with many instructions has come in a few days. The packet reaches the void, with precise instructions on how to make the insulation regains its original shape.</v>
      </c>
    </row>
    <row r="2761">
      <c r="A2761" s="1">
        <v>5.0</v>
      </c>
      <c r="B2761" s="1" t="s">
        <v>2747</v>
      </c>
      <c r="C2761" t="str">
        <f>IFERROR(__xludf.DUMMYFUNCTION("GOOGLETRANSLATE(B2761, ""es"", ""en"")"),"Good flavor and easy to mix the product matches the photo that is provided, as well as the description is given. We have 6 bottles of different flavors (lavender, orange, mint, eucalyptus, tea tree and lemon) that come in the box we can see in the picture"&amp;"s. The bottles are approximately 10ml and come right full, not half as many bottles you buy out there. The essence is very easy to dilute with water diffusers or vaporizers, so that it is not separate like water and oil, and all consumed without leave dep"&amp;"osits or stains essentially undiluted. Note that if you add too much water ratio, almost no odor and will not perceive practically smell or will not last long. They have a very good flavor and different properties depending on the essence you use. I decid"&amp;"ed to buy them because supermarkets are usually the most expensive or the cheapest bottles almost no smell, and these bottles have a good price and have been very happy with the result")</f>
        <v>Good flavor and easy to mix the product matches the photo that is provided, as well as the description is given. We have 6 bottles of different flavors (lavender, orange, mint, eucalyptus, tea tree and lemon) that come in the box we can see in the pictures. The bottles are approximately 10ml and come right full, not half as many bottles you buy out there. The essence is very easy to dilute with water diffusers or vaporizers, so that it is not separate like water and oil, and all consumed without leave deposits or stains essentially undiluted. Note that if you add too much water ratio, almost no odor and will not perceive practically smell or will not last long. They have a very good flavor and different properties depending on the essence you use. I decided to buy them because supermarkets are usually the most expensive or the cheapest bottles almost no smell, and these bottles have a good price and have been very happy with the result</v>
      </c>
    </row>
    <row r="2762">
      <c r="A2762" s="1">
        <v>5.0</v>
      </c>
      <c r="B2762" s="1" t="s">
        <v>2748</v>
      </c>
      <c r="C2762" t="str">
        <f>IFERROR(__xludf.DUMMYFUNCTION("GOOGLETRANSLATE(B2762, ""es"", ""en"")"),"VERY happy with it has many compartments and is perfect for carrying a 10-inch tablet, a cell phone, a charger, a cover glasses, a notebook, a pen, keys, medicines ... everything. Only a few minor gripes: 1) to my particular case, I measure almost 2 meter"&amp;"s, I had to cut the tape and put one you already have with their muskets built to hitch. 2) Lubricate the zippers that are quite long and tend to lock, especially one, but helping her fix her fingers. It is a subject that has more to do with the fabric, w"&amp;"hich is curved and curved zipper itself providing one of them, not being firm where it is inserted to lock shop. But as I said, using fingers is helped at the point where locks a bit. 3) It is waterproof, darling. I do not know how it will look when washi"&amp;"ng, but as it is denim outside, I guess like an old cowboy will, which is cool.")</f>
        <v>VERY happy with it has many compartments and is perfect for carrying a 10-inch tablet, a cell phone, a charger, a cover glasses, a notebook, a pen, keys, medicines ... everything. Only a few minor gripes: 1) to my particular case, I measure almost 2 meters, I had to cut the tape and put one you already have with their muskets built to hitch. 2) Lubricate the zippers that are quite long and tend to lock, especially one, but helping her fix her fingers. It is a subject that has more to do with the fabric, which is curved and curved zipper itself providing one of them, not being firm where it is inserted to lock shop. But as I said, using fingers is helped at the point where locks a bit. 3) It is waterproof, darling. I do not know how it will look when washing, but as it is denim outside, I guess like an old cowboy will, which is cool.</v>
      </c>
    </row>
    <row r="2763">
      <c r="A2763" s="1">
        <v>5.0</v>
      </c>
      <c r="B2763" s="1" t="s">
        <v>2749</v>
      </c>
      <c r="C2763" t="str">
        <f>IFERROR(__xludf.DUMMYFUNCTION("GOOGLETRANSLATE(B2763, ""es"", ""en"")"),"Samsung SSD definitely the best choice")</f>
        <v>Samsung SSD definitely the best choice</v>
      </c>
    </row>
    <row r="2764">
      <c r="A2764" s="1">
        <v>5.0</v>
      </c>
      <c r="B2764" s="1" t="s">
        <v>2750</v>
      </c>
      <c r="C2764" t="str">
        <f>IFERROR(__xludf.DUMMYFUNCTION("GOOGLETRANSLATE(B2764, ""es"", ""en"")"),"Perfect for running and gym. Good quality headphones (compared to other chinorras Chustas). Serve to run and how good is that he not enter the ear as a stopper (as they are most) does not transmit noise vibrations running and hear the outside noise. In co"&amp;"ntrast reduces slightly the quality of the sound but the price in order to avoid the feeling of going ""corking"".")</f>
        <v>Perfect for running and gym. Good quality headphones (compared to other chinorras Chustas). Serve to run and how good is that he not enter the ear as a stopper (as they are most) does not transmit noise vibrations running and hear the outside noise. In contrast reduces slightly the quality of the sound but the price in order to avoid the feeling of going "corking".</v>
      </c>
    </row>
    <row r="2765">
      <c r="A2765" s="1">
        <v>5.0</v>
      </c>
      <c r="B2765" s="1" t="s">
        <v>2751</v>
      </c>
      <c r="C2765" t="str">
        <f>IFERROR(__xludf.DUMMYFUNCTION("GOOGLETRANSLATE(B2765, ""es"", ""en"")"),"That it does not weigh much Very comfortable to work")</f>
        <v>That it does not weigh much Very comfortable to work</v>
      </c>
    </row>
    <row r="2766">
      <c r="A2766" s="1">
        <v>5.0</v>
      </c>
      <c r="B2766" s="1" t="s">
        <v>2752</v>
      </c>
      <c r="C2766" t="str">
        <f>IFERROR(__xludf.DUMMYFUNCTION("GOOGLETRANSLATE(B2766, ""es"", ""en"")"),"Not as the previously bought Perfect for bed caravan in the mountains, you can regulate each side and heated pretty sure I would buy the")</f>
        <v>Not as the previously bought Perfect for bed caravan in the mountains, you can regulate each side and heated pretty sure I would buy the</v>
      </c>
    </row>
    <row r="2767">
      <c r="A2767" s="1">
        <v>5.0</v>
      </c>
      <c r="B2767" s="1" t="s">
        <v>2753</v>
      </c>
      <c r="C2767" t="str">
        <f>IFERROR(__xludf.DUMMYFUNCTION("GOOGLETRANSLATE(B2767, ""es"", ""en"")"),"Perfect, original reebok, on schedule is exactly the q sought, is original and everything arrived on time, use other brands such as Asics, and Nike is the same size")</f>
        <v>Perfect, original reebok, on schedule is exactly the q sought, is original and everything arrived on time, use other brands such as Asics, and Nike is the same size</v>
      </c>
    </row>
    <row r="2768">
      <c r="A2768" s="1">
        <v>5.0</v>
      </c>
      <c r="B2768" s="1" t="s">
        <v>2754</v>
      </c>
      <c r="C2768" t="str">
        <f>IFERROR(__xludf.DUMMYFUNCTION("GOOGLETRANSLATE(B2768, ""es"", ""en"")"),"They are very pretty gorgeous! How I expected!")</f>
        <v>They are very pretty gorgeous! How I expected!</v>
      </c>
    </row>
    <row r="2769">
      <c r="A2769" s="1">
        <v>5.0</v>
      </c>
      <c r="B2769" s="1" t="s">
        <v>2755</v>
      </c>
      <c r="C2769" t="str">
        <f>IFERROR(__xludf.DUMMYFUNCTION("GOOGLETRANSLATE(B2769, ""es"", ""en"")"),"Warm and precious asked me pink, beautiful and very comfortable shoes, calentitas and good anti-slip sole insulated from the cold. I was going to ask the mi.marido Xd")</f>
        <v>Warm and precious asked me pink, beautiful and very comfortable shoes, calentitas and good anti-slip sole insulated from the cold. I was going to ask the mi.marido Xd</v>
      </c>
    </row>
    <row r="2770">
      <c r="A2770" s="1">
        <v>5.0</v>
      </c>
      <c r="B2770" s="1" t="s">
        <v>2756</v>
      </c>
      <c r="C2770" t="str">
        <f>IFERROR(__xludf.DUMMYFUNCTION("GOOGLETRANSLATE(B2770, ""es"", ""en"")"),"The classic Adidas or like or hate. I bought them for the gym and now use them to walk home because they are very comfortable")</f>
        <v>The classic Adidas or like or hate. I bought them for the gym and now use them to walk home because they are very comfortable</v>
      </c>
    </row>
    <row r="2771">
      <c r="A2771" s="1">
        <v>5.0</v>
      </c>
      <c r="B2771" s="1" t="s">
        <v>2757</v>
      </c>
      <c r="C2771" t="str">
        <f>IFERROR(__xludf.DUMMYFUNCTION("GOOGLETRANSLATE(B2771, ""es"", ""en"")"),"Pretty it is what I wanted")</f>
        <v>Pretty it is what I wanted</v>
      </c>
    </row>
    <row r="2772">
      <c r="A2772" s="1">
        <v>5.0</v>
      </c>
      <c r="B2772" s="1" t="s">
        <v>2758</v>
      </c>
      <c r="C2772" t="str">
        <f>IFERROR(__xludf.DUMMYFUNCTION("GOOGLETRANSLATE(B2772, ""es"", ""en"")"),"Very happy because it has fulfilled all my expectations! Excellent product, easy installation ... well absorbed the reverberations of the room and has helps me to have a cleaner recording!")</f>
        <v>Very happy because it has fulfilled all my expectations! Excellent product, easy installation ... well absorbed the reverberations of the room and has helps me to have a cleaner recording!</v>
      </c>
    </row>
    <row r="2773">
      <c r="A2773" s="1">
        <v>5.0</v>
      </c>
      <c r="B2773" s="1" t="s">
        <v>2759</v>
      </c>
      <c r="C2773" t="str">
        <f>IFERROR(__xludf.DUMMYFUNCTION("GOOGLETRANSLATE(B2773, ""es"", ""en"")"),"Bottle Magico is great")</f>
        <v>Bottle Magico is great</v>
      </c>
    </row>
    <row r="2774">
      <c r="A2774" s="1">
        <v>5.0</v>
      </c>
      <c r="B2774" s="1" t="s">
        <v>2760</v>
      </c>
      <c r="C2774" t="str">
        <f>IFERROR(__xludf.DUMMYFUNCTION("GOOGLETRANSLATE(B2774, ""es"", ""en"")"),"Chulis earrings are great.")</f>
        <v>Chulis earrings are great.</v>
      </c>
    </row>
    <row r="2775">
      <c r="A2775" s="1">
        <v>2.0</v>
      </c>
      <c r="B2775" s="1" t="s">
        <v>2761</v>
      </c>
      <c r="C2775" t="str">
        <f>IFERROR(__xludf.DUMMYFUNCTION("GOOGLETRANSLATE(B2775, ""es"", ""en"")"),"Disappointment is not original nor much less compatible with micro el.móvil.")</f>
        <v>Disappointment is not original nor much less compatible with micro el.móvil.</v>
      </c>
    </row>
    <row r="2776">
      <c r="A2776" s="1">
        <v>3.0</v>
      </c>
      <c r="B2776" s="1" t="s">
        <v>2762</v>
      </c>
      <c r="C2776" t="str">
        <f>IFERROR(__xludf.DUMMYFUNCTION("GOOGLETRANSLATE(B2776, ""es"", ""en"")"),"Casio lifetime with metal strap, eye close watch casio lifetime. Durable, waterproof, light and having metal strap is stylish for everyday use battle. Yes, the brake to set the size of the belt is lousy, it runs very easily. So in a couple of hours you ha"&amp;"ve enough slack in the belt and the sphere of the clock looking down.")</f>
        <v>Casio lifetime with metal strap, eye close watch casio lifetime. Durable, waterproof, light and having metal strap is stylish for everyday use battle. Yes, the brake to set the size of the belt is lousy, it runs very easily. So in a couple of hours you have enough slack in the belt and the sphere of the clock looking down.</v>
      </c>
    </row>
    <row r="2777">
      <c r="A2777" s="1">
        <v>3.0</v>
      </c>
      <c r="B2777" s="1" t="s">
        <v>2763</v>
      </c>
      <c r="C2777" t="str">
        <f>IFERROR(__xludf.DUMMYFUNCTION("GOOGLETRANSLATE(B2777, ""es"", ""en"")"),"Mops without Not bad, although it has come up with much delay")</f>
        <v>Mops without Not bad, although it has come up with much delay</v>
      </c>
    </row>
    <row r="2778">
      <c r="A2778" s="1">
        <v>1.0</v>
      </c>
      <c r="B2778" s="1" t="s">
        <v>2764</v>
      </c>
      <c r="C2778" t="str">
        <f>IFERROR(__xludf.DUMMYFUNCTION("GOOGLETRANSLATE(B2778, ""es"", ""en"")"),"They are not original. The product does not work properly is not original. I bought this as a gift thinking they were the originals, I do have the original in Aliexpress purchased from China, and they clearly are not. To start the button is not touch, it "&amp;"is a physical button and materials of the case are not equal. However, the price that's like the originals ... Also, in my case one of the headphones are not hooked well in the box, so it was not loaded properly. Luckily return via Amazon has been easy an"&amp;"d smooth.")</f>
        <v>They are not original. The product does not work properly is not original. I bought this as a gift thinking they were the originals, I do have the original in Aliexpress purchased from China, and they clearly are not. To start the button is not touch, it is a physical button and materials of the case are not equal. However, the price that's like the originals ... Also, in my case one of the headphones are not hooked well in the box, so it was not loaded properly. Luckily return via Amazon has been easy and smooth.</v>
      </c>
    </row>
    <row r="2779">
      <c r="A2779" s="1">
        <v>1.0</v>
      </c>
      <c r="B2779" s="1" t="s">
        <v>2765</v>
      </c>
      <c r="C2779" t="str">
        <f>IFERROR(__xludf.DUMMYFUNCTION("GOOGLETRANSLATE(B2779, ""es"", ""en"")"),"It is the model described not correspond to the DW-5600BB-1ER. I bought twice the product to see if the second time guessed right with the model, but unfortunately it has not. I will not try and do not recommend purchase for it. The model comes in black i"&amp;"s another Casio, but has several differences with the description and quality. Very unhappy.")</f>
        <v>It is the model described not correspond to the DW-5600BB-1ER. I bought twice the product to see if the second time guessed right with the model, but unfortunately it has not. I will not try and do not recommend purchase for it. The model comes in black is another Casio, but has several differences with the description and quality. Very unhappy.</v>
      </c>
    </row>
    <row r="2780">
      <c r="A2780" s="1">
        <v>4.0</v>
      </c>
      <c r="B2780" s="1" t="s">
        <v>2766</v>
      </c>
      <c r="C2780" t="str">
        <f>IFERROR(__xludf.DUMMYFUNCTION("GOOGLETRANSLATE(B2780, ""es"", ""en"")"),"calidad.la good quality good buy for a gift and has been pleased with bag")</f>
        <v>calidad.la good quality good buy for a gift and has been pleased with bag</v>
      </c>
    </row>
    <row r="2781">
      <c r="A2781" s="1">
        <v>4.0</v>
      </c>
      <c r="B2781" s="1" t="s">
        <v>2767</v>
      </c>
      <c r="C2781" t="str">
        <f>IFERROR(__xludf.DUMMYFUNCTION("GOOGLETRANSLATE(B2781, ""es"", ""en"")"),"Good work great wireless headphones, they adapt very well to the ears, good sound, good ambient noise reduction, even by plane and near the engines. The only fault I find is that the cable, which on one hand should be somewhat rigid and flexible means tha"&amp;"t when you place them, Debas play around with them to find the best position.")</f>
        <v>Good work great wireless headphones, they adapt very well to the ears, good sound, good ambient noise reduction, even by plane and near the engines. The only fault I find is that the cable, which on one hand should be somewhat rigid and flexible means that when you place them, Debas play around with them to find the best position.</v>
      </c>
    </row>
    <row r="2782">
      <c r="A2782" s="1">
        <v>4.0</v>
      </c>
      <c r="B2782" s="1" t="s">
        <v>2768</v>
      </c>
      <c r="C2782" t="str">
        <f>IFERROR(__xludf.DUMMYFUNCTION("GOOGLETRANSLATE(B2782, ""es"", ""en"")"),"Amplitude is quite achieved. Very spacious and comfortable to wear. To take a catch, belt. It seems poor quality but is tough.")</f>
        <v>Amplitude is quite achieved. Very spacious and comfortable to wear. To take a catch, belt. It seems poor quality but is tough.</v>
      </c>
    </row>
    <row r="2783">
      <c r="A2783" s="1">
        <v>4.0</v>
      </c>
      <c r="B2783" s="1" t="s">
        <v>2769</v>
      </c>
      <c r="C2783" t="str">
        <f>IFERROR(__xludf.DUMMYFUNCTION("GOOGLETRANSLATE(B2783, ""es"", ""en"")"),"Bandolier strap good quality, tough. A Little Big But it helps me what I need and color, perfect.")</f>
        <v>Bandolier strap good quality, tough. A Little Big But it helps me what I need and color, perfect.</v>
      </c>
    </row>
    <row r="2784">
      <c r="A2784" s="1">
        <v>4.0</v>
      </c>
      <c r="B2784" s="1" t="s">
        <v>2770</v>
      </c>
      <c r="C2784" t="str">
        <f>IFERROR(__xludf.DUMMYFUNCTION("GOOGLETRANSLATE(B2784, ""es"", ""en"")"),"Product at a good price Product is good but little right size is a little small")</f>
        <v>Product at a good price Product is good but little right size is a little small</v>
      </c>
    </row>
    <row r="2785">
      <c r="A2785" s="1">
        <v>5.0</v>
      </c>
      <c r="B2785" s="1" t="s">
        <v>2771</v>
      </c>
      <c r="C2785" t="str">
        <f>IFERROR(__xludf.DUMMYFUNCTION("GOOGLETRANSLATE(B2785, ""es"", ""en"")"),"Perfect great, I've loved, hook very easily. I read comments from people who came to them as dirty, it is not my case, spotless and very nice. Burna buy !!")</f>
        <v>Perfect great, I've loved, hook very easily. I read comments from people who came to them as dirty, it is not my case, spotless and very nice. Burna buy !!</v>
      </c>
    </row>
    <row r="2786">
      <c r="A2786" s="1">
        <v>5.0</v>
      </c>
      <c r="B2786" s="1" t="s">
        <v>2772</v>
      </c>
      <c r="C2786" t="str">
        <f>IFERROR(__xludf.DUMMYFUNCTION("GOOGLETRANSLATE(B2786, ""es"", ""en"")"),"Excellent quality A few days ago I arrived here my keyboard and mouse gaming mouse. Previously he had a very bland black mat and I decided to buy this because it is the ideal complement for my gaming setup. It has some qualities of many good materials, sl"&amp;"ides the mouse very well the area of ​​the mat. LED strip gives a touch pretty cool, so you can change color and pressing a localized area on the left button. Wireless charging, is a big advantage since leaving only the top mobile is loaded quite well.")</f>
        <v>Excellent quality A few days ago I arrived here my keyboard and mouse gaming mouse. Previously he had a very bland black mat and I decided to buy this because it is the ideal complement for my gaming setup. It has some qualities of many good materials, slides the mouse very well the area of ​​the mat. LED strip gives a touch pretty cool, so you can change color and pressing a localized area on the left button. Wireless charging, is a big advantage since leaving only the top mobile is loaded quite well.</v>
      </c>
    </row>
    <row r="2787">
      <c r="A2787" s="1">
        <v>5.0</v>
      </c>
      <c r="B2787" s="1" t="s">
        <v>2773</v>
      </c>
      <c r="C2787" t="str">
        <f>IFERROR(__xludf.DUMMYFUNCTION("GOOGLETRANSLATE(B2787, ""es"", ""en"")"),"excelene Hi thanks for your comments buy kettle bosch compact class, the truth is very good product, heated water pretty fast, quality and material that this miss this parfecto and this price is hard contrar similar product, is a conosida Bosch company, I"&amp;" hope it lasts a long time. Delivery and service from Amazon very serious i rapidisimo, thanks Amazon")</f>
        <v>excelene Hi thanks for your comments buy kettle bosch compact class, the truth is very good product, heated water pretty fast, quality and material that this miss this parfecto and this price is hard contrar similar product, is a conosida Bosch company, I hope it lasts a long time. Delivery and service from Amazon very serious i rapidisimo, thanks Amazon</v>
      </c>
    </row>
    <row r="2788">
      <c r="A2788" s="1">
        <v>5.0</v>
      </c>
      <c r="B2788" s="1" t="s">
        <v>2774</v>
      </c>
      <c r="C2788" t="str">
        <f>IFERROR(__xludf.DUMMYFUNCTION("GOOGLETRANSLATE(B2788, ""es"", ""en"")"),"Maria Luz are perfect. Comfortable and not show through. I recommend it. The perfect size. Colors as shown in the photo. Thank you")</f>
        <v>Maria Luz are perfect. Comfortable and not show through. I recommend it. The perfect size. Colors as shown in the photo. Thank you</v>
      </c>
    </row>
    <row r="2789">
      <c r="A2789" s="1">
        <v>5.0</v>
      </c>
      <c r="B2789" s="1" t="s">
        <v>2775</v>
      </c>
      <c r="C2789" t="str">
        <f>IFERROR(__xludf.DUMMYFUNCTION("GOOGLETRANSLATE(B2789, ""es"", ""en"")"),"Good use Comodo")</f>
        <v>Good use Comodo</v>
      </c>
    </row>
    <row r="2790">
      <c r="A2790" s="1">
        <v>5.0</v>
      </c>
      <c r="B2790" s="1" t="s">
        <v>2776</v>
      </c>
      <c r="C2790" t="str">
        <f>IFERROR(__xludf.DUMMYFUNCTION("GOOGLETRANSLATE(B2790, ""es"", ""en"")"),"I love to use it every day without fail and it works perfect. LED light is great. For this price it is second to none")</f>
        <v>I love to use it every day without fail and it works perfect. LED light is great. For this price it is second to none</v>
      </c>
    </row>
    <row r="2791">
      <c r="A2791" s="1">
        <v>5.0</v>
      </c>
      <c r="B2791" s="1" t="s">
        <v>2777</v>
      </c>
      <c r="C2791" t="str">
        <f>IFERROR(__xludf.DUMMYFUNCTION("GOOGLETRANSLATE(B2791, ""es"", ""en"")"),"Damping in the super comfortable tread")</f>
        <v>Damping in the super comfortable tread</v>
      </c>
    </row>
    <row r="2792">
      <c r="A2792" s="1">
        <v>5.0</v>
      </c>
      <c r="B2792" s="1" t="s">
        <v>2778</v>
      </c>
      <c r="C2792" t="str">
        <f>IFERROR(__xludf.DUMMYFUNCTION("GOOGLETRANSLATE(B2792, ""es"", ""en"")"),"Good product good product. Good quality")</f>
        <v>Good product good product. Good quality</v>
      </c>
    </row>
    <row r="2793">
      <c r="A2793" s="1">
        <v>5.0</v>
      </c>
      <c r="B2793" s="1" t="s">
        <v>2779</v>
      </c>
      <c r="C2793" t="str">
        <f>IFERROR(__xludf.DUMMYFUNCTION("GOOGLETRANSLATE(B2793, ""es"", ""en"")"),"Large liquid anti punctures and great value-amount. Good product for my Maxxis tubeless tires. I have a small boat that comes with an adapter for the valve so I'm filling. I've done more than 1000 km and every 3 months renovating and I will not have lost "&amp;"air for the exits. Note that not only carries adapter inject valve and must use another bottle to dispense. I will buy.")</f>
        <v>Large liquid anti punctures and great value-amount. Good product for my Maxxis tubeless tires. I have a small boat that comes with an adapter for the valve so I'm filling. I've done more than 1000 km and every 3 months renovating and I will not have lost air for the exits. Note that not only carries adapter inject valve and must use another bottle to dispense. I will buy.</v>
      </c>
    </row>
    <row r="2794">
      <c r="A2794" s="1">
        <v>5.0</v>
      </c>
      <c r="B2794" s="1" t="s">
        <v>2780</v>
      </c>
      <c r="C2794" t="str">
        <f>IFERROR(__xludf.DUMMYFUNCTION("GOOGLETRANSLATE(B2794, ""es"", ""en"")"),"Present. I gave was the my daughter and go like a glove.")</f>
        <v>Present. I gave was the my daughter and go like a glove.</v>
      </c>
    </row>
    <row r="2795">
      <c r="A2795" s="1">
        <v>5.0</v>
      </c>
      <c r="B2795" s="1" t="s">
        <v>2781</v>
      </c>
      <c r="C2795" t="str">
        <f>IFERROR(__xludf.DUMMYFUNCTION("GOOGLETRANSLATE(B2795, ""es"", ""en"")"),"All right Little pendrive, which performs its function properly. Very small and very good design with these finlets that favor the insertion / removal of the device. It has a very elegant design. Recommended product 100%.")</f>
        <v>All right Little pendrive, which performs its function properly. Very small and very good design with these finlets that favor the insertion / removal of the device. It has a very elegant design. Recommended product 100%.</v>
      </c>
    </row>
    <row r="2796">
      <c r="A2796" s="1">
        <v>5.0</v>
      </c>
      <c r="B2796" s="1" t="s">
        <v>2782</v>
      </c>
      <c r="C2796" t="str">
        <f>IFERROR(__xludf.DUMMYFUNCTION("GOOGLETRANSLATE(B2796, ""es"", ""en"")"),"Good stuff super useful, can put many cables due to its high capacity, the material can be seen quite good and hardly damageable, size is adequate although a little left over can be cut. Very happy")</f>
        <v>Good stuff super useful, can put many cables due to its high capacity, the material can be seen quite good and hardly damageable, size is adequate although a little left over can be cut. Very happy</v>
      </c>
    </row>
    <row r="2797">
      <c r="A2797" s="1">
        <v>5.0</v>
      </c>
      <c r="B2797" s="1" t="s">
        <v>2783</v>
      </c>
      <c r="C2797" t="str">
        <f>IFERROR(__xludf.DUMMYFUNCTION("GOOGLETRANSLATE(B2797, ""es"", ""en"")"),"not ever take my love, very elegant, it looks great")</f>
        <v>not ever take my love, very elegant, it looks great</v>
      </c>
    </row>
    <row r="2798">
      <c r="A2798" s="1">
        <v>5.0</v>
      </c>
      <c r="B2798" s="1" t="s">
        <v>2784</v>
      </c>
      <c r="C2798" t="str">
        <f>IFERROR(__xludf.DUMMYFUNCTION("GOOGLETRANSLATE(B2798, ""es"", ""en"")"),"I repeat very happy with the purchase, according to my father the most comfortable shoes you've had in your life and it's not easy to please Mr. far as footwear is concerned")</f>
        <v>I repeat very happy with the purchase, according to my father the most comfortable shoes you've had in your life and it's not easy to please Mr. far as footwear is concerned</v>
      </c>
    </row>
    <row r="2799">
      <c r="A2799" s="1">
        <v>5.0</v>
      </c>
      <c r="B2799" s="1" t="s">
        <v>2785</v>
      </c>
      <c r="C2799" t="str">
        <f>IFERROR(__xludf.DUMMYFUNCTION("GOOGLETRANSLATE(B2799, ""es"", ""en"")"),"Comfortable and light quality good price Perfectas money my husband uses a 44 and van perfectas.comodas and light.")</f>
        <v>Comfortable and light quality good price Perfectas money my husband uses a 44 and van perfectas.comodas and light.</v>
      </c>
    </row>
    <row r="2800">
      <c r="A2800" s="1">
        <v>5.0</v>
      </c>
      <c r="B2800" s="1" t="s">
        <v>2786</v>
      </c>
      <c r="C2800" t="str">
        <f>IFERROR(__xludf.DUMMYFUNCTION("GOOGLETRANSLATE(B2800, ""es"", ""en"")"),"Good sound and comfort Very good! The. Buy for a walk in the mornings. 1'5 hs road 3-4 times a week and very good,. battery holds enough is heard quite well, and bring spare pads are. They adapt. Very good at. Ears, do not move, hardly feel. Of all the. I"&amp;" bought this headset is the best. 100% recommended.")</f>
        <v>Good sound and comfort Very good! The. Buy for a walk in the mornings. 1'5 hs road 3-4 times a week and very good,. battery holds enough is heard quite well, and bring spare pads are. They adapt. Very good at. Ears, do not move, hardly feel. Of all the. I bought this headset is the best. 100% recommended.</v>
      </c>
    </row>
    <row r="2801">
      <c r="A2801" s="1">
        <v>5.0</v>
      </c>
      <c r="B2801" s="1" t="s">
        <v>2787</v>
      </c>
      <c r="C2801" t="str">
        <f>IFERROR(__xludf.DUMMYFUNCTION("GOOGLETRANSLATE(B2801, ""es"", ""en"")"),"Perfect for any activity you do a lot of movement. I compared these bluetooth headphones because he was wearing a button, but when he made a move a little strong always I liked some, with this as it has a flexible rubber around the ear similar to that of "&amp;"the temples of the glasses is almost impossible to fall and I can do anything without fear of having to pick up from the ground or the handset worse places. They have a good sound both music and talking on the phone and microphone is heard perfectly witho"&amp;"ut strange noises. c beautifully designed black with a red circle in the bon that looks good aesthetically.")</f>
        <v>Perfect for any activity you do a lot of movement. I compared these bluetooth headphones because he was wearing a button, but when he made a move a little strong always I liked some, with this as it has a flexible rubber around the ear similar to that of the temples of the glasses is almost impossible to fall and I can do anything without fear of having to pick up from the ground or the handset worse places. They have a good sound both music and talking on the phone and microphone is heard perfectly without strange noises. c beautifully designed black with a red circle in the bon that looks good aesthetically.</v>
      </c>
    </row>
    <row r="2802">
      <c r="A2802" s="1">
        <v>5.0</v>
      </c>
      <c r="B2802" s="1" t="s">
        <v>2788</v>
      </c>
      <c r="C2802" t="str">
        <f>IFERROR(__xludf.DUMMYFUNCTION("GOOGLETRANSLATE(B2802, ""es"", ""en"")"),"Perfect good product, bun price squeezes fine, low noise, cleaned beautifully")</f>
        <v>Perfect good product, bun price squeezes fine, low noise, cleaned beautifully</v>
      </c>
    </row>
    <row r="2803">
      <c r="A2803" s="1">
        <v>2.0</v>
      </c>
      <c r="B2803" s="1" t="s">
        <v>2789</v>
      </c>
      <c r="C2803" t="str">
        <f>IFERROR(__xludf.DUMMYFUNCTION("GOOGLETRANSLATE(B2803, ""es"", ""en"")"),"Disappoin disappointed. It is very slow, even reading.")</f>
        <v>Disappoin disappointed. It is very slow, even reading.</v>
      </c>
    </row>
    <row r="2804">
      <c r="A2804" s="1">
        <v>3.0</v>
      </c>
      <c r="B2804" s="1" t="s">
        <v>2790</v>
      </c>
      <c r="C2804" t="str">
        <f>IFERROR(__xludf.DUMMYFUNCTION("GOOGLETRANSLATE(B2804, ""es"", ""en"")"),"It fits very loose very nice but the two halves are separated very easily be lost insurance.")</f>
        <v>It fits very loose very nice but the two halves are separated very easily be lost insurance.</v>
      </c>
    </row>
    <row r="2805">
      <c r="A2805" s="1">
        <v>1.0</v>
      </c>
      <c r="B2805" s="1" t="s">
        <v>2791</v>
      </c>
      <c r="C2805" t="str">
        <f>IFERROR(__xludf.DUMMYFUNCTION("GOOGLETRANSLATE(B2805, ""es"", ""en"")"),"I do not recommend not liked. little peeling effect makes and leaves your skin greasy. For my taste a peeling Nalo")</f>
        <v>I do not recommend not liked. little peeling effect makes and leaves your skin greasy. For my taste a peeling Nalo</v>
      </c>
    </row>
    <row r="2806">
      <c r="A2806" s="1">
        <v>1.0</v>
      </c>
      <c r="B2806" s="1" t="s">
        <v>2792</v>
      </c>
      <c r="C2806" t="str">
        <f>IFERROR(__xludf.DUMMYFUNCTION("GOOGLETRANSLATE(B2806, ""es"", ""en"")"),"Perfect comfortable size, which usually spindle. Very comfortable, they weigh nothing. Regular quality, to see how long I last.")</f>
        <v>Perfect comfortable size, which usually spindle. Very comfortable, they weigh nothing. Regular quality, to see how long I last.</v>
      </c>
    </row>
    <row r="2807">
      <c r="A2807" s="1">
        <v>4.0</v>
      </c>
      <c r="B2807" s="1" t="s">
        <v>2793</v>
      </c>
      <c r="C2807" t="str">
        <f>IFERROR(__xludf.DUMMYFUNCTION("GOOGLETRANSLATE(B2807, ""es"", ""en"")"),"Motivational stamps likes children. They have something in school. I use them to motivate and try to get the prize (seal). L happy with purchase")</f>
        <v>Motivational stamps likes children. They have something in school. I use them to motivate and try to get the prize (seal). L happy with purchase</v>
      </c>
    </row>
    <row r="2808">
      <c r="A2808" s="1">
        <v>4.0</v>
      </c>
      <c r="B2808" s="1" t="s">
        <v>2794</v>
      </c>
      <c r="C2808" t="str">
        <f>IFERROR(__xludf.DUMMYFUNCTION("GOOGLETRANSLATE(B2808, ""es"", ""en"")"),"Good quality product product of good quality. Good packaging to store your spare. Robust and resistant. Valid for electrical cables, video, PC, etc. both")</f>
        <v>Good quality product product of good quality. Good packaging to store your spare. Robust and resistant. Valid for electrical cables, video, PC, etc. both</v>
      </c>
    </row>
    <row r="2809">
      <c r="A2809" s="1">
        <v>4.0</v>
      </c>
      <c r="B2809" s="1" t="s">
        <v>2795</v>
      </c>
      <c r="C2809" t="str">
        <f>IFERROR(__xludf.DUMMYFUNCTION("GOOGLETRANSLATE(B2809, ""es"", ""en"")"),"Value Well well, handles the biggest or another color that they look more put")</f>
        <v>Value Well well, handles the biggest or another color that they look more put</v>
      </c>
    </row>
    <row r="2810">
      <c r="A2810" s="1">
        <v>4.0</v>
      </c>
      <c r="B2810" s="1" t="s">
        <v>2796</v>
      </c>
      <c r="C2810" t="str">
        <f>IFERROR(__xludf.DUMMYFUNCTION("GOOGLETRANSLATE(B2810, ""es"", ""en"")"),"priced right for the money, perfect")</f>
        <v>priced right for the money, perfect</v>
      </c>
    </row>
    <row r="2811">
      <c r="A2811" s="1">
        <v>4.0</v>
      </c>
      <c r="B2811" s="1" t="s">
        <v>42</v>
      </c>
      <c r="C2811" t="str">
        <f>IFERROR(__xludf.DUMMYFUNCTION("GOOGLETRANSLATE(B2811, ""es"", ""en"")"),"Well well")</f>
        <v>Well well</v>
      </c>
    </row>
    <row r="2812">
      <c r="A2812" s="1">
        <v>5.0</v>
      </c>
      <c r="B2812" s="1" t="s">
        <v>2797</v>
      </c>
      <c r="C2812" t="str">
        <f>IFERROR(__xludf.DUMMYFUNCTION("GOOGLETRANSLATE(B2812, ""es"", ""en"")"),"Very good before buying I had a lot of doubts price has well and works. Afinal but I am surprised when I tried to ami liked.")</f>
        <v>Very good before buying I had a lot of doubts price has well and works. Afinal but I am surprised when I tried to ami liked.</v>
      </c>
    </row>
    <row r="2813">
      <c r="A2813" s="1">
        <v>5.0</v>
      </c>
      <c r="B2813" s="1" t="s">
        <v>2798</v>
      </c>
      <c r="C2813" t="str">
        <f>IFERROR(__xludf.DUMMYFUNCTION("GOOGLETRANSLATE(B2813, ""es"", ""en"")"),"Fran Earrings are made of steel, are not light but not weigh much, adapt well to the earlobe, is a clip having a resistance that will not loosen, I am very happy with them.")</f>
        <v>Fran Earrings are made of steel, are not light but not weigh much, adapt well to the earlobe, is a clip having a resistance that will not loosen, I am very happy with them.</v>
      </c>
    </row>
    <row r="2814">
      <c r="A2814" s="1">
        <v>5.0</v>
      </c>
      <c r="B2814" s="1" t="s">
        <v>2799</v>
      </c>
      <c r="C2814" t="str">
        <f>IFERROR(__xludf.DUMMYFUNCTION("GOOGLETRANSLATE(B2814, ""es"", ""en"")"),"I leverage a good buy offer and bought it, and goes great. It heats up fast but makes some noise xo normal. 100% recommended.")</f>
        <v>I leverage a good buy offer and bought it, and goes great. It heats up fast but makes some noise xo normal. 100% recommended.</v>
      </c>
    </row>
    <row r="2815">
      <c r="A2815" s="1">
        <v>5.0</v>
      </c>
      <c r="B2815" s="1" t="s">
        <v>2800</v>
      </c>
      <c r="C2815" t="str">
        <f>IFERROR(__xludf.DUMMYFUNCTION("GOOGLETRANSLATE(B2815, ""es"", ""en"")"),"Great remain phenomenal. M for a 36 is a tad bigger, but for me it comfortable so")</f>
        <v>Great remain phenomenal. M for a 36 is a tad bigger, but for me it comfortable so</v>
      </c>
    </row>
    <row r="2816">
      <c r="A2816" s="1">
        <v>5.0</v>
      </c>
      <c r="B2816" s="1" t="s">
        <v>2801</v>
      </c>
      <c r="C2816" t="str">
        <f>IFERROR(__xludf.DUMMYFUNCTION("GOOGLETRANSLATE(B2816, ""es"", ""en"")"),"We use comfortable when we go to the gym and I usually wear them at home while doing other tasks. They are properly secured so you can move smoothly and the sound is good. Very easily they connected together and to the bluethoot. I enjoyed it to send me a"&amp;"n email with the instructions for connecting. Battery time is not exhausted me, but brings to load parts and accessories.")</f>
        <v>We use comfortable when we go to the gym and I usually wear them at home while doing other tasks. They are properly secured so you can move smoothly and the sound is good. Very easily they connected together and to the bluethoot. I enjoyed it to send me an email with the instructions for connecting. Battery time is not exhausted me, but brings to load parts and accessories.</v>
      </c>
    </row>
    <row r="2817">
      <c r="A2817" s="1">
        <v>5.0</v>
      </c>
      <c r="B2817" s="1" t="s">
        <v>2802</v>
      </c>
      <c r="C2817" t="str">
        <f>IFERROR(__xludf.DUMMYFUNCTION("GOOGLETRANSLATE(B2817, ""es"", ""en"")"),"Very useful nice and convenient, and also with its light gives a very nice touch waiting. It cleans very well if lemon juice and water is added and let boil, if necessary, come back several times to remove any stubborn dirt.")</f>
        <v>Very useful nice and convenient, and also with its light gives a very nice touch waiting. It cleans very well if lemon juice and water is added and let boil, if necessary, come back several times to remove any stubborn dirt.</v>
      </c>
    </row>
    <row r="2818">
      <c r="A2818" s="1">
        <v>5.0</v>
      </c>
      <c r="B2818" s="1" t="s">
        <v>2803</v>
      </c>
      <c r="C2818" t="str">
        <f>IFERROR(__xludf.DUMMYFUNCTION("GOOGLETRANSLATE(B2818, ""es"", ""en"")"),"I use correct price quality for the guitar, it is not bundled or make knots, it seems very resistant by coating nylon Write? leading outside")</f>
        <v>I use correct price quality for the guitar, it is not bundled or make knots, it seems very resistant by coating nylon Write? leading outside</v>
      </c>
    </row>
    <row r="2819">
      <c r="A2819" s="1">
        <v>5.0</v>
      </c>
      <c r="B2819" s="1" t="s">
        <v>2804</v>
      </c>
      <c r="C2819" t="str">
        <f>IFERROR(__xludf.DUMMYFUNCTION("GOOGLETRANSLATE(B2819, ""es"", ""en"")"),"Gregorio This watch is a wonder my concern was knowing that an automatic accuracy are not accurate as a quartz but I was very surprised because it works very well almost 2 seconds ahead of the day")</f>
        <v>Gregorio This watch is a wonder my concern was knowing that an automatic accuracy are not accurate as a quartz but I was very surprised because it works very well almost 2 seconds ahead of the day</v>
      </c>
    </row>
    <row r="2820">
      <c r="A2820" s="1">
        <v>5.0</v>
      </c>
      <c r="B2820" s="1" t="s">
        <v>2805</v>
      </c>
      <c r="C2820" t="str">
        <f>IFERROR(__xludf.DUMMYFUNCTION("GOOGLETRANSLATE(B2820, ""es"", ""en"")"),"Value perfect not expect great quality, but have surprised me. Obviously something just go audio quality, but perform their function. I bought them for use in the gym and go perfect.")</f>
        <v>Value perfect not expect great quality, but have surprised me. Obviously something just go audio quality, but perform their function. I bought them for use in the gym and go perfect.</v>
      </c>
    </row>
    <row r="2821">
      <c r="A2821" s="1">
        <v>5.0</v>
      </c>
      <c r="B2821" s="1" t="s">
        <v>2806</v>
      </c>
      <c r="C2821" t="str">
        <f>IFERROR(__xludf.DUMMYFUNCTION("GOOGLETRANSLATE(B2821, ""es"", ""en"")"),"I love super comfortable!")</f>
        <v>I love super comfortable!</v>
      </c>
    </row>
    <row r="2822">
      <c r="A2822" s="1">
        <v>5.0</v>
      </c>
      <c r="B2822" s="1" t="s">
        <v>2807</v>
      </c>
      <c r="C2822" t="str">
        <f>IFERROR(__xludf.DUMMYFUNCTION("GOOGLETRANSLATE(B2822, ""es"", ""en"")"),"Very satisfied I usually buy when this offer and have repeated several times. I use to glue metal miniatures wargames. Well used gives enough of itself. I have not used for other purposes, so my assessment is limited to the use that I give.")</f>
        <v>Very satisfied I usually buy when this offer and have repeated several times. I use to glue metal miniatures wargames. Well used gives enough of itself. I have not used for other purposes, so my assessment is limited to the use that I give.</v>
      </c>
    </row>
    <row r="2823">
      <c r="A2823" s="1">
        <v>5.0</v>
      </c>
      <c r="B2823" s="1" t="s">
        <v>2808</v>
      </c>
      <c r="C2823" t="str">
        <f>IFERROR(__xludf.DUMMYFUNCTION("GOOGLETRANSLATE(B2823, ""es"", ""en"")"),"Are very perfect, great fit")</f>
        <v>Are very perfect, great fit</v>
      </c>
    </row>
    <row r="2824">
      <c r="A2824" s="1">
        <v>5.0</v>
      </c>
      <c r="B2824" s="1" t="s">
        <v>2809</v>
      </c>
      <c r="C2824" t="str">
        <f>IFERROR(__xludf.DUMMYFUNCTION("GOOGLETRANSLATE(B2824, ""es"", ""en"")"),"Love Well, I can say they are vans are beautiful and I usually use size 37 but in this case have asked size 36 and I have been perfect")</f>
        <v>Love Well, I can say they are vans are beautiful and I usually use size 37 but in this case have asked size 36 and I have been perfect</v>
      </c>
    </row>
    <row r="2825">
      <c r="A2825" s="1">
        <v>5.0</v>
      </c>
      <c r="B2825" s="1" t="s">
        <v>2810</v>
      </c>
      <c r="C2825" t="str">
        <f>IFERROR(__xludf.DUMMYFUNCTION("GOOGLETRANSLATE(B2825, ""es"", ""en"")"),"Comfort I'm glad to have known this brand, and I bought several things and are a past of good and comfortable. No I fell when I asked the mop tiles with the stick, I thought that two other articles I have served but just today he came Mop and before the d"&amp;"ate ordered the suit. I used it a moment to test the tiles and old, left bright. Always delighted with these items.")</f>
        <v>Comfort I'm glad to have known this brand, and I bought several things and are a past of good and comfortable. No I fell when I asked the mop tiles with the stick, I thought that two other articles I have served but just today he came Mop and before the date ordered the suit. I used it a moment to test the tiles and old, left bright. Always delighted with these items.</v>
      </c>
    </row>
    <row r="2826">
      <c r="A2826" s="1">
        <v>5.0</v>
      </c>
      <c r="B2826" s="1" t="s">
        <v>2811</v>
      </c>
      <c r="C2826" t="str">
        <f>IFERROR(__xludf.DUMMYFUNCTION("GOOGLETRANSLATE(B2826, ""es"", ""en"")"),"Silver earrings Han arrived before the prescribed period, are very nice. They will not if they will be silver, but they hit well.")</f>
        <v>Silver earrings Han arrived before the prescribed period, are very nice. They will not if they will be silver, but they hit well.</v>
      </c>
    </row>
    <row r="2827">
      <c r="A2827" s="1">
        <v>5.0</v>
      </c>
      <c r="B2827" s="1" t="s">
        <v>2812</v>
      </c>
      <c r="C2827" t="str">
        <f>IFERROR(__xludf.DUMMYFUNCTION("GOOGLETRANSLATE(B2827, ""es"", ""en"")"),"They're good price super good shoes, weigh nothing, comfortable and Spanish are manufactured. Good price and just what q specifies the vendor. And then there try q, by the time I liked to")</f>
        <v>They're good price super good shoes, weigh nothing, comfortable and Spanish are manufactured. Good price and just what q specifies the vendor. And then there try q, by the time I liked to</v>
      </c>
    </row>
    <row r="2828">
      <c r="A2828" s="1">
        <v>5.0</v>
      </c>
      <c r="B2828" s="1" t="s">
        <v>2813</v>
      </c>
      <c r="C2828" t="str">
        <f>IFERROR(__xludf.DUMMYFUNCTION("GOOGLETRANSLATE(B2828, ""es"", ""en"")"),"Excellent sound bluetooth headphones, fits very well to the ears. The pads are very soft. They are extendable to the diameter being adjustable head. In addition they flex inwards to save, which reduces its size. It has buttons on one side to turn on and o"&amp;"ff and volume up and down. It includes cable for charging")</f>
        <v>Excellent sound bluetooth headphones, fits very well to the ears. The pads are very soft. They are extendable to the diameter being adjustable head. In addition they flex inwards to save, which reduces its size. It has buttons on one side to turn on and off and volume up and down. It includes cable for charging</v>
      </c>
    </row>
    <row r="2829">
      <c r="A2829" s="1">
        <v>5.0</v>
      </c>
      <c r="B2829" s="1" t="s">
        <v>2814</v>
      </c>
      <c r="C2829" t="str">
        <f>IFERROR(__xludf.DUMMYFUNCTION("GOOGLETRANSLATE(B2829, ""es"", ""en"")"),"Are as expected I recommend it as sneaker, h been pleased with the quality of the product and is a very good price, it was for a gift and I was right.")</f>
        <v>Are as expected I recommend it as sneaker, h been pleased with the quality of the product and is a very good price, it was for a gift and I was right.</v>
      </c>
    </row>
    <row r="2830">
      <c r="A2830" s="1">
        <v>5.0</v>
      </c>
      <c r="B2830" s="1" t="s">
        <v>2815</v>
      </c>
      <c r="C2830" t="str">
        <f>IFERROR(__xludf.DUMMYFUNCTION("GOOGLETRANSLATE(B2830, ""es"", ""en"")"),"Better ear. I like music at all hours, this device allows me to run potque it up very well. Also when I cook. It does not bother both fast as others I have. 10 sound.")</f>
        <v>Better ear. I like music at all hours, this device allows me to run potque it up very well. Also when I cook. It does not bother both fast as others I have. 10 sound.</v>
      </c>
    </row>
    <row r="2831">
      <c r="A2831" s="1">
        <v>2.0</v>
      </c>
      <c r="B2831" s="1" t="s">
        <v>2816</v>
      </c>
      <c r="C2831" t="str">
        <f>IFERROR(__xludf.DUMMYFUNCTION("GOOGLETRANSLATE(B2831, ""es"", ""en"")"),"Regular After 4 months, only 2 pairs of socks I have left. The others are broken. Very disappointed. Very comfortable and not as fine as expected. To my great. The colors are fine and it's like in the photos. Q Now let's hope they last.")</f>
        <v>Regular After 4 months, only 2 pairs of socks I have left. The others are broken. Very disappointed. Very comfortable and not as fine as expected. To my great. The colors are fine and it's like in the photos. Q Now let's hope they last.</v>
      </c>
    </row>
    <row r="2832">
      <c r="A2832" s="1">
        <v>3.0</v>
      </c>
      <c r="B2832" s="1" t="s">
        <v>2817</v>
      </c>
      <c r="C2832" t="str">
        <f>IFERROR(__xludf.DUMMYFUNCTION("GOOGLETRANSLATE(B2832, ""es"", ""en"")"),"Box Very nice, but me come without a box and put that came with box")</f>
        <v>Box Very nice, but me come without a box and put that came with box</v>
      </c>
    </row>
    <row r="2833">
      <c r="A2833" s="1">
        <v>3.0</v>
      </c>
      <c r="B2833" s="1" t="s">
        <v>2818</v>
      </c>
      <c r="C2833" t="str">
        <f>IFERROR(__xludf.DUMMYFUNCTION("GOOGLETRANSLATE(B2833, ""es"", ""en"")"),"Palo useless. Palo continuously dismantles short, not worth buying this set, another without a stick. I waited for something bigger mop and do not drain well, leaves the soil moist enough.")</f>
        <v>Palo useless. Palo continuously dismantles short, not worth buying this set, another without a stick. I waited for something bigger mop and do not drain well, leaves the soil moist enough.</v>
      </c>
    </row>
    <row r="2834">
      <c r="A2834" s="1">
        <v>1.0</v>
      </c>
      <c r="B2834" s="1" t="s">
        <v>2819</v>
      </c>
      <c r="C2834" t="str">
        <f>IFERROR(__xludf.DUMMYFUNCTION("GOOGLETRANSLATE(B2834, ""es"", ""en"")"),"A horror !!! I did not like anything nothing !!! Even expensive for what they are !!!!! Crappy quality finishes and all ... let's have returned")</f>
        <v>A horror !!! I did not like anything nothing !!! Even expensive for what they are !!!!! Crappy quality finishes and all ... let's have returned</v>
      </c>
    </row>
    <row r="2835">
      <c r="A2835" s="1">
        <v>1.0</v>
      </c>
      <c r="B2835" s="1" t="s">
        <v>2820</v>
      </c>
      <c r="C2835" t="str">
        <f>IFERROR(__xludf.DUMMYFUNCTION("GOOGLETRANSLATE(B2835, ""es"", ""en"")"),"Very poor quality The first day I dismantled everything, but good at the least as I arrived late made me a refund and I was free")</f>
        <v>Very poor quality The first day I dismantled everything, but good at the least as I arrived late made me a refund and I was free</v>
      </c>
    </row>
    <row r="2836">
      <c r="A2836" s="1">
        <v>1.0</v>
      </c>
      <c r="B2836" s="1" t="s">
        <v>2821</v>
      </c>
      <c r="C2836" t="str">
        <f>IFERROR(__xludf.DUMMYFUNCTION("GOOGLETRANSLATE(B2836, ""es"", ""en"")"),"They are false are false. Do not come or box. He went to the store and checked, was for a gift and was fatal. I would not pay more than € 20 for them. 20 € more I bought the original. They should warn that are a copy.")</f>
        <v>They are false are false. Do not come or box. He went to the store and checked, was for a gift and was fatal. I would not pay more than € 20 for them. 20 € more I bought the original. They should warn that are a copy.</v>
      </c>
    </row>
    <row r="2837">
      <c r="A2837" s="1">
        <v>4.0</v>
      </c>
      <c r="B2837" s="1" t="s">
        <v>2822</v>
      </c>
      <c r="C2837" t="str">
        <f>IFERROR(__xludf.DUMMYFUNCTION("GOOGLETRANSLATE(B2837, ""es"", ""en"")"),"I wear them almost every day I had already tasted the size but in another color. I wanted them burgundy and luckily I found them on Amazon. Calentitas so are not suitable for summer. SUPER comfortable!")</f>
        <v>I wear them almost every day I had already tasted the size but in another color. I wanted them burgundy and luckily I found them on Amazon. Calentitas so are not suitable for summer. SUPER comfortable!</v>
      </c>
    </row>
    <row r="2838">
      <c r="A2838" s="1">
        <v>4.0</v>
      </c>
      <c r="B2838" s="1" t="s">
        <v>2823</v>
      </c>
      <c r="C2838" t="str">
        <f>IFERROR(__xludf.DUMMYFUNCTION("GOOGLETRANSLATE(B2838, ""es"", ""en"")"),"Pretty good are pretty good. Comes with a chord of each color is the same as the stick (less purple, purple no rope q). But in reality there are 30 gigas.")</f>
        <v>Pretty good are pretty good. Comes with a chord of each color is the same as the stick (less purple, purple no rope q). But in reality there are 30 gigas.</v>
      </c>
    </row>
    <row r="2839">
      <c r="A2839" s="1">
        <v>4.0</v>
      </c>
      <c r="B2839" s="1" t="s">
        <v>2824</v>
      </c>
      <c r="C2839" t="str">
        <f>IFERROR(__xludf.DUMMYFUNCTION("GOOGLETRANSLATE(B2839, ""es"", ""en"")"),"Good product The pad is phenomenal, I do not get it 5 * because you can not remove the cover for washing. It covers the entire back and shoulders, is very soft and gives warmth in winter it comes in handy.")</f>
        <v>Good product The pad is phenomenal, I do not get it 5 * because you can not remove the cover for washing. It covers the entire back and shoulders, is very soft and gives warmth in winter it comes in handy.</v>
      </c>
    </row>
    <row r="2840">
      <c r="A2840" s="1">
        <v>4.0</v>
      </c>
      <c r="B2840" s="1" t="s">
        <v>2825</v>
      </c>
      <c r="C2840" t="str">
        <f>IFERROR(__xludf.DUMMYFUNCTION("GOOGLETRANSLATE(B2840, ""es"", ""en"")"),"The comfort I lacked practice for sizes. It is comfortable shopping with you. Graciad")</f>
        <v>The comfort I lacked practice for sizes. It is comfortable shopping with you. Graciad</v>
      </c>
    </row>
    <row r="2841">
      <c r="A2841" s="1">
        <v>5.0</v>
      </c>
      <c r="B2841" s="1" t="s">
        <v>2826</v>
      </c>
      <c r="C2841" t="str">
        <f>IFERROR(__xludf.DUMMYFUNCTION("GOOGLETRANSLATE(B2841, ""es"", ""en"")"),"A gift that fulfills Just as it seems")</f>
        <v>A gift that fulfills Just as it seems</v>
      </c>
    </row>
    <row r="2842">
      <c r="A2842" s="1">
        <v>5.0</v>
      </c>
      <c r="B2842" s="1" t="s">
        <v>2827</v>
      </c>
      <c r="C2842" t="str">
        <f>IFERROR(__xludf.DUMMYFUNCTION("GOOGLETRANSLATE(B2842, ""es"", ""en"")"),"Fast. One of the best memories USB 3.0, has a high transfer rate. The USB is hidden within himself.")</f>
        <v>Fast. One of the best memories USB 3.0, has a high transfer rate. The USB is hidden within himself.</v>
      </c>
    </row>
    <row r="2843">
      <c r="A2843" s="1">
        <v>5.0</v>
      </c>
      <c r="B2843" s="1" t="s">
        <v>2828</v>
      </c>
      <c r="C2843" t="str">
        <f>IFERROR(__xludf.DUMMYFUNCTION("GOOGLETRANSLATE(B2843, ""es"", ""en"")"),"They are amazing !! I love. I use them to make phone calls, listen to music, you can use with your oareja, each with an earpiece and listen to both music or a phone call. To save them directly enter the charging mode, so you always have to the 100x100. Du"&amp;"ran 4 hours call. And music at a normal volume about 6 hours.")</f>
        <v>They are amazing !! I love. I use them to make phone calls, listen to music, you can use with your oareja, each with an earpiece and listen to both music or a phone call. To save them directly enter the charging mode, so you always have to the 100x100. Duran 4 hours call. And music at a normal volume about 6 hours.</v>
      </c>
    </row>
    <row r="2844">
      <c r="A2844" s="1">
        <v>5.0</v>
      </c>
      <c r="B2844" s="1" t="s">
        <v>2829</v>
      </c>
      <c r="C2844" t="str">
        <f>IFERROR(__xludf.DUMMYFUNCTION("GOOGLETRANSLATE(B2844, ""es"", ""en"")"),"Highly recommended The presentation is excellent. The earrings have a pretty good quality and come as they appear in the photos.")</f>
        <v>Highly recommended The presentation is excellent. The earrings have a pretty good quality and come as they appear in the photos.</v>
      </c>
    </row>
    <row r="2845">
      <c r="A2845" s="1">
        <v>5.0</v>
      </c>
      <c r="B2845" s="1" t="s">
        <v>2830</v>
      </c>
      <c r="C2845" t="str">
        <f>IFERROR(__xludf.DUMMYFUNCTION("GOOGLETRANSLATE(B2845, ""es"", ""en"")"),"Excellent grip double-sided tape, ideal to hold the artificial turf")</f>
        <v>Excellent grip double-sided tape, ideal to hold the artificial turf</v>
      </c>
    </row>
    <row r="2846">
      <c r="A2846" s="1">
        <v>5.0</v>
      </c>
      <c r="B2846" s="1" t="s">
        <v>2831</v>
      </c>
      <c r="C2846" t="str">
        <f>IFERROR(__xludf.DUMMYFUNCTION("GOOGLETRANSLATE(B2846, ""es"", ""en"")"),"Perfect For now is as described on the publucacion, hopefully it stays lasting.")</f>
        <v>Perfect For now is as described on the publucacion, hopefully it stays lasting.</v>
      </c>
    </row>
    <row r="2847">
      <c r="A2847" s="1">
        <v>5.0</v>
      </c>
      <c r="B2847" s="1" t="s">
        <v>2832</v>
      </c>
      <c r="C2847" t="str">
        <f>IFERROR(__xludf.DUMMYFUNCTION("GOOGLETRANSLATE(B2847, ""es"", ""en"")"),"well, it was expected. Very good shoe, as described in the announcement. The only problem is I have not received the bill.")</f>
        <v>well, it was expected. Very good shoe, as described in the announcement. The only problem is I have not received the bill.</v>
      </c>
    </row>
    <row r="2848">
      <c r="A2848" s="1">
        <v>5.0</v>
      </c>
      <c r="B2848" s="1" t="s">
        <v>2833</v>
      </c>
      <c r="C2848" t="str">
        <f>IFERROR(__xludf.DUMMYFUNCTION("GOOGLETRANSLATE(B2848, ""es"", ""en"")"),"Excellent excellent as all bottles of the brand. In addition the colors are very nice and cordes with photo")</f>
        <v>Excellent excellent as all bottles of the brand. In addition the colors are very nice and cordes with photo</v>
      </c>
    </row>
    <row r="2849">
      <c r="A2849" s="1">
        <v>5.0</v>
      </c>
      <c r="B2849" s="1" t="s">
        <v>2834</v>
      </c>
      <c r="C2849" t="str">
        <f>IFERROR(__xludf.DUMMYFUNCTION("GOOGLETRANSLATE(B2849, ""es"", ""en"")"),"Practical and powerful The mixer fulfills its function very well. Liquefying the filter greatly reduces the ability of the glass, so there you go making several batches.")</f>
        <v>Practical and powerful The mixer fulfills its function very well. Liquefying the filter greatly reduces the ability of the glass, so there you go making several batches.</v>
      </c>
    </row>
    <row r="2850">
      <c r="A2850" s="1">
        <v>5.0</v>
      </c>
      <c r="B2850" s="1" t="s">
        <v>2835</v>
      </c>
      <c r="C2850" t="str">
        <f>IFERROR(__xludf.DUMMYFUNCTION("GOOGLETRANSLATE(B2850, ""es"", ""en"")"),"Useful and easy to use has the shape of a pencil and weighs very little and is thick like a pair of bolis.Es a detail that brings and put the AAA battery you need so nothing else could receive it a try. Top Remove the USB I put in my pc, nothing was insta"&amp;"lled just connect without anything. After turning the ignition he could already use it. The main buttons are for pp presentations on very interesting screen button to signal laser points anywhere in the room.")</f>
        <v>Useful and easy to use has the shape of a pencil and weighs very little and is thick like a pair of bolis.Es a detail that brings and put the AAA battery you need so nothing else could receive it a try. Top Remove the USB I put in my pc, nothing was installed just connect without anything. After turning the ignition he could already use it. The main buttons are for pp presentations on very interesting screen button to signal laser points anywhere in the room.</v>
      </c>
    </row>
    <row r="2851">
      <c r="A2851" s="1">
        <v>5.0</v>
      </c>
      <c r="B2851" s="1" t="s">
        <v>2836</v>
      </c>
      <c r="C2851" t="str">
        <f>IFERROR(__xludf.DUMMYFUNCTION("GOOGLETRANSLATE(B2851, ""es"", ""en"")"),"Good buy. Very pleased with areas of acquisition, for its caracteirsticas and its construction serves me totalmaente to connect to my iPhone without removing the protective cover. So totally recommended.")</f>
        <v>Good buy. Very pleased with areas of acquisition, for its caracteirsticas and its construction serves me totalmaente to connect to my iPhone without removing the protective cover. So totally recommended.</v>
      </c>
    </row>
    <row r="2852">
      <c r="A2852" s="1">
        <v>5.0</v>
      </c>
      <c r="B2852" s="1" t="s">
        <v>2837</v>
      </c>
      <c r="C2852" t="str">
        <f>IFERROR(__xludf.DUMMYFUNCTION("GOOGLETRANSLATE(B2852, ""es"", ""en"")"),"Very intelligent robot makes my whole house in 1 hour. Very fast and rarely it gets caught. sometimes you lost some time in the corners of the house, but no concern! Recommend, only got there a month, so far there are problems.")</f>
        <v>Very intelligent robot makes my whole house in 1 hour. Very fast and rarely it gets caught. sometimes you lost some time in the corners of the house, but no concern! Recommend, only got there a month, so far there are problems.</v>
      </c>
    </row>
    <row r="2853">
      <c r="A2853" s="1">
        <v>5.0</v>
      </c>
      <c r="B2853" s="1" t="s">
        <v>2838</v>
      </c>
      <c r="C2853" t="str">
        <f>IFERROR(__xludf.DUMMYFUNCTION("GOOGLETRANSLATE(B2853, ""es"", ""en"")"),"All right!!! All right, I chose white with black stripe, are very nice, comfortable and sizing is appropriate to its size.")</f>
        <v>All right!!! All right, I chose white with black stripe, are very nice, comfortable and sizing is appropriate to its size.</v>
      </c>
    </row>
    <row r="2854">
      <c r="A2854" s="1">
        <v>5.0</v>
      </c>
      <c r="B2854" s="1" t="s">
        <v>2839</v>
      </c>
      <c r="C2854" t="str">
        <f>IFERROR(__xludf.DUMMYFUNCTION("GOOGLETRANSLATE(B2854, ""es"", ""en"")"),"A 49 € is great Good product.")</f>
        <v>A 49 € is great Good product.</v>
      </c>
    </row>
    <row r="2855">
      <c r="A2855" s="1">
        <v>5.0</v>
      </c>
      <c r="B2855" s="1" t="s">
        <v>2840</v>
      </c>
      <c r="C2855" t="str">
        <f>IFERROR(__xludf.DUMMYFUNCTION("GOOGLETRANSLATE(B2855, ""es"", ""en"")"),"Good micro at a good price I dare say that today is the best choice for money, have good quality, and it sounds like much more expensive. I highly recommend it")</f>
        <v>Good micro at a good price I dare say that today is the best choice for money, have good quality, and it sounds like much more expensive. I highly recommend it</v>
      </c>
    </row>
    <row r="2856">
      <c r="A2856" s="1">
        <v>5.0</v>
      </c>
      <c r="B2856" s="1" t="s">
        <v>2841</v>
      </c>
      <c r="C2856" t="str">
        <f>IFERROR(__xludf.DUMMYFUNCTION("GOOGLETRANSLATE(B2856, ""es"", ""en"")"),"PERFECT are very comfortable, light, are fully expected.")</f>
        <v>PERFECT are very comfortable, light, are fully expected.</v>
      </c>
    </row>
    <row r="2857">
      <c r="A2857" s="1">
        <v>5.0</v>
      </c>
      <c r="B2857" s="1" t="s">
        <v>2842</v>
      </c>
      <c r="C2857" t="str">
        <f>IFERROR(__xludf.DUMMYFUNCTION("GOOGLETRANSLATE(B2857, ""es"", ""en"")"),"good good")</f>
        <v>good good</v>
      </c>
    </row>
    <row r="2858">
      <c r="A2858" s="1">
        <v>5.0</v>
      </c>
      <c r="B2858" s="1" t="s">
        <v>2843</v>
      </c>
      <c r="C2858" t="str">
        <f>IFERROR(__xludf.DUMMYFUNCTION("GOOGLETRANSLATE(B2858, ""es"", ""en"")"),"Genial very good quality, arrived very quickly")</f>
        <v>Genial very good quality, arrived very quickly</v>
      </c>
    </row>
    <row r="2859">
      <c r="A2859" s="1">
        <v>5.0</v>
      </c>
      <c r="B2859" s="1" t="s">
        <v>2844</v>
      </c>
      <c r="C2859" t="str">
        <f>IFERROR(__xludf.DUMMYFUNCTION("GOOGLETRANSLATE(B2859, ""es"", ""en"")"),"Price / quality ratio I gave it to a friend as a joke and the truth that has liked more than any other gift, lol. It comes in a very discreet black box inside the appliance, with his command, charging cable and velvet pouch to keep it. There are 12 modes "&amp;"of vibration, battery is charged through a small hole on one side. The quality is good, I do not think it's the typical breaking into a few uses.")</f>
        <v>Price / quality ratio I gave it to a friend as a joke and the truth that has liked more than any other gift, lol. It comes in a very discreet black box inside the appliance, with his command, charging cable and velvet pouch to keep it. There are 12 modes of vibration, battery is charged through a small hole on one side. The quality is good, I do not think it's the typical breaking into a few uses.</v>
      </c>
    </row>
    <row r="2860">
      <c r="A2860" s="1">
        <v>2.0</v>
      </c>
      <c r="B2860" s="1" t="s">
        <v>2845</v>
      </c>
      <c r="C2860" t="str">
        <f>IFERROR(__xludf.DUMMYFUNCTION("GOOGLETRANSLATE(B2860, ""es"", ""en"")"),"Too earrings pekes")</f>
        <v>Too earrings pekes</v>
      </c>
    </row>
    <row r="2861">
      <c r="A2861" s="1">
        <v>3.0</v>
      </c>
      <c r="B2861" s="1" t="s">
        <v>2846</v>
      </c>
      <c r="C2861" t="str">
        <f>IFERROR(__xludf.DUMMYFUNCTION("GOOGLETRANSLATE(B2861, ""es"", ""en"")"),"nice but ok. but for the price to buy a better brand outlet. I had to return because they were fair.")</f>
        <v>nice but ok. but for the price to buy a better brand outlet. I had to return because they were fair.</v>
      </c>
    </row>
    <row r="2862">
      <c r="A2862" s="1">
        <v>3.0</v>
      </c>
      <c r="B2862" s="1" t="s">
        <v>2847</v>
      </c>
      <c r="C2862" t="str">
        <f>IFERROR(__xludf.DUMMYFUNCTION("GOOGLETRANSLATE(B2862, ""es"", ""en"")"),"Okay, but hold well and support the foot is correct, the overall quality Nike normal, but ... I ordered the same size as other Nike have and these are somewhat narrower, after a few days of carrying some have adapted but do not quite fit. Another issue is"&amp;" that, perhaps for the material and shape, not perspire too well, you put it colloquially ""cook (something)"" feet. As for the order processing and shipping all right")</f>
        <v>Okay, but hold well and support the foot is correct, the overall quality Nike normal, but ... I ordered the same size as other Nike have and these are somewhat narrower, after a few days of carrying some have adapted but do not quite fit. Another issue is that, perhaps for the material and shape, not perspire too well, you put it colloquially "cook (something)" feet. As for the order processing and shipping all right</v>
      </c>
    </row>
    <row r="2863">
      <c r="A2863" s="1">
        <v>1.0</v>
      </c>
      <c r="B2863" s="1" t="s">
        <v>2848</v>
      </c>
      <c r="C2863" t="str">
        <f>IFERROR(__xludf.DUMMYFUNCTION("GOOGLETRANSLATE(B2863, ""es"", ""en"")"),"Very poor quality flimsy")</f>
        <v>Very poor quality flimsy</v>
      </c>
    </row>
    <row r="2864">
      <c r="A2864" s="1">
        <v>1.0</v>
      </c>
      <c r="B2864" s="1" t="s">
        <v>2849</v>
      </c>
      <c r="C2864" t="str">
        <f>IFERROR(__xludf.DUMMYFUNCTION("GOOGLETRANSLATE(B2864, ""es"", ""en"")"),"recording speed is the worst I've ever had. A film 3GB starts at 22,000 and 20 ""can get down to 5000KB. Total, 15 min thrown away, and I'm not kidding, about eating a file. As for reading, is phenomenal. But USB is for grabrar data (later read). A ruin.")</f>
        <v>recording speed is the worst I've ever had. A film 3GB starts at 22,000 and 20 "can get down to 5000KB. Total, 15 min thrown away, and I'm not kidding, about eating a file. As for reading, is phenomenal. But USB is for grabrar data (later read). A ruin.</v>
      </c>
    </row>
    <row r="2865">
      <c r="A2865" s="1">
        <v>4.0</v>
      </c>
      <c r="B2865" s="1" t="s">
        <v>2850</v>
      </c>
      <c r="C2865" t="str">
        <f>IFERROR(__xludf.DUMMYFUNCTION("GOOGLETRANSLATE(B2865, ""es"", ""en"")"),"Meets correct specifications seller")</f>
        <v>Meets correct specifications seller</v>
      </c>
    </row>
    <row r="2866">
      <c r="A2866" s="1">
        <v>4.0</v>
      </c>
      <c r="B2866" s="1" t="s">
        <v>2851</v>
      </c>
      <c r="C2866" t="str">
        <f>IFERROR(__xludf.DUMMYFUNCTION("GOOGLETRANSLATE(B2866, ""es"", ""en"")"),"very nice I thought it was bigger, but still is very good for the price you offer. Very nice for a detail.")</f>
        <v>very nice I thought it was bigger, but still is very good for the price you offer. Very nice for a detail.</v>
      </c>
    </row>
    <row r="2867">
      <c r="A2867" s="1">
        <v>4.0</v>
      </c>
      <c r="B2867" s="1" t="s">
        <v>2852</v>
      </c>
      <c r="C2867" t="str">
        <f>IFERROR(__xludf.DUMMYFUNCTION("GOOGLETRANSLATE(B2867, ""es"", ""en"")"),"Construction quality")</f>
        <v>Construction quality</v>
      </c>
    </row>
    <row r="2868">
      <c r="A2868" s="1">
        <v>4.0</v>
      </c>
      <c r="B2868" s="1" t="s">
        <v>2853</v>
      </c>
      <c r="C2868" t="str">
        <f>IFERROR(__xludf.DUMMYFUNCTION("GOOGLETRANSLATE(B2868, ""es"", ""en"")"),"Good product quality and I am satisfied with the purchase of this hard drive is small and large storage making it ideal for carrying travel. I would definitely buy.")</f>
        <v>Good product quality and I am satisfied with the purchase of this hard drive is small and large storage making it ideal for carrying travel. I would definitely buy.</v>
      </c>
    </row>
    <row r="2869">
      <c r="A2869" s="1">
        <v>4.0</v>
      </c>
      <c r="B2869" s="1" t="s">
        <v>2854</v>
      </c>
      <c r="C2869" t="str">
        <f>IFERROR(__xludf.DUMMYFUNCTION("GOOGLETRANSLATE(B2869, ""es"", ""en"")"),"1 I arrive in good condition, recommended product")</f>
        <v>1 I arrive in good condition, recommended product</v>
      </c>
    </row>
    <row r="2870">
      <c r="A2870" s="1">
        <v>5.0</v>
      </c>
      <c r="B2870" s="1" t="s">
        <v>2855</v>
      </c>
      <c r="C2870" t="str">
        <f>IFERROR(__xludf.DUMMYFUNCTION("GOOGLETRANSLATE(B2870, ""es"", ""en"")"),"Blue Yeti Microphone The microphone came in the estimated time, I have no complaint. In size, it is quite large, I did not expect it was, but I have no complaints. By putting some would say it takes much sound but will you put the ""gain"" to the minimum,"&amp;" so you have to use it in a quiet environment. 4 modes work perfectly: omni-directional, uni-directional, bi-directional and stereo, which gives you many utilities to the microphone beyond music as a podcast, etc. ASMR The recording quality is unquestiona"&amp;"ble, very good. You add a couple of effects and looks professional studio. Overall, I'm very happy.")</f>
        <v>Blue Yeti Microphone The microphone came in the estimated time, I have no complaint. In size, it is quite large, I did not expect it was, but I have no complaints. By putting some would say it takes much sound but will you put the "gain" to the minimum, so you have to use it in a quiet environment. 4 modes work perfectly: omni-directional, uni-directional, bi-directional and stereo, which gives you many utilities to the microphone beyond music as a podcast, etc. ASMR The recording quality is unquestionable, very good. You add a couple of effects and looks professional studio. Overall, I'm very happy.</v>
      </c>
    </row>
    <row r="2871">
      <c r="A2871" s="1">
        <v>5.0</v>
      </c>
      <c r="B2871" s="1" t="s">
        <v>2856</v>
      </c>
      <c r="C2871" t="str">
        <f>IFERROR(__xludf.DUMMYFUNCTION("GOOGLETRANSLATE(B2871, ""es"", ""en"")"),"Incredible quality / price adequately perform their function for more than competitive price. I recommend buying.")</f>
        <v>Incredible quality / price adequately perform their function for more than competitive price. I recommend buying.</v>
      </c>
    </row>
    <row r="2872">
      <c r="A2872" s="1">
        <v>5.0</v>
      </c>
      <c r="B2872" s="1" t="s">
        <v>2857</v>
      </c>
      <c r="C2872" t="str">
        <f>IFERROR(__xludf.DUMMYFUNCTION("GOOGLETRANSLATE(B2872, ""es"", ""en"")"),"Okay works.")</f>
        <v>Okay works.</v>
      </c>
    </row>
    <row r="2873">
      <c r="A2873" s="1">
        <v>5.0</v>
      </c>
      <c r="B2873" s="1" t="s">
        <v>2858</v>
      </c>
      <c r="C2873" t="str">
        <f>IFERROR(__xludf.DUMMYFUNCTION("GOOGLETRANSLATE(B2873, ""es"", ""en"")"),"happy happy")</f>
        <v>happy happy</v>
      </c>
    </row>
    <row r="2874">
      <c r="A2874" s="1">
        <v>5.0</v>
      </c>
      <c r="B2874" s="1" t="s">
        <v>2859</v>
      </c>
      <c r="C2874" t="str">
        <f>IFERROR(__xludf.DUMMYFUNCTION("GOOGLETRANSLATE(B2874, ""es"", ""en"")"),"So comfortable and good quality great purchase.")</f>
        <v>So comfortable and good quality great purchase.</v>
      </c>
    </row>
    <row r="2875">
      <c r="A2875" s="1">
        <v>5.0</v>
      </c>
      <c r="B2875" s="1" t="s">
        <v>2860</v>
      </c>
      <c r="C2875" t="str">
        <f>IFERROR(__xludf.DUMMYFUNCTION("GOOGLETRANSLATE(B2875, ""es"", ""en"")"),"Value can not say much about headphones. They do their role, and I think a very good buy Value")</f>
        <v>Value can not say much about headphones. They do their role, and I think a very good buy Value</v>
      </c>
    </row>
    <row r="2876">
      <c r="A2876" s="1">
        <v>5.0</v>
      </c>
      <c r="B2876" s="1" t="s">
        <v>2861</v>
      </c>
      <c r="C2876" t="str">
        <f>IFERROR(__xludf.DUMMYFUNCTION("GOOGLETRANSLATE(B2876, ""es"", ""en"")"),"Comfortable but a big little super comfortable, I ordered size 37 and I are a little big otherwise well")</f>
        <v>Comfortable but a big little super comfortable, I ordered size 37 and I are a little big otherwise well</v>
      </c>
    </row>
    <row r="2877">
      <c r="A2877" s="1">
        <v>5.0</v>
      </c>
      <c r="B2877" s="1" t="s">
        <v>2862</v>
      </c>
      <c r="C2877" t="str">
        <f>IFERROR(__xludf.DUMMYFUNCTION("GOOGLETRANSLATE(B2877, ""es"", ""en"")"),"Phenomenal great value! I always liked the Avent bottles for quality and comfort, along with the Natural range not give my baby colic. This pack brings 2 bottles of 330ml with Teat fast flow (6m +).")</f>
        <v>Phenomenal great value! I always liked the Avent bottles for quality and comfort, along with the Natural range not give my baby colic. This pack brings 2 bottles of 330ml with Teat fast flow (6m +).</v>
      </c>
    </row>
    <row r="2878">
      <c r="A2878" s="1">
        <v>5.0</v>
      </c>
      <c r="B2878" s="1" t="s">
        <v>2863</v>
      </c>
      <c r="C2878" t="str">
        <f>IFERROR(__xludf.DUMMYFUNCTION("GOOGLETRANSLATE(B2878, ""es"", ""en"")"),"Nice, stylish and very functional Excellent product for the price it has. ideal size, I have very thin wrist and is not excessively large. A larger person doll will be great too. Totally recommended if you want a functional and elegant watch without spend"&amp;"ing much.")</f>
        <v>Nice, stylish and very functional Excellent product for the price it has. ideal size, I have very thin wrist and is not excessively large. A larger person doll will be great too. Totally recommended if you want a functional and elegant watch without spending much.</v>
      </c>
    </row>
    <row r="2879">
      <c r="A2879" s="1">
        <v>5.0</v>
      </c>
      <c r="B2879" s="1" t="s">
        <v>2864</v>
      </c>
      <c r="C2879" t="str">
        <f>IFERROR(__xludf.DUMMYFUNCTION("GOOGLETRANSLATE(B2879, ""es"", ""en"")"),"TOP Sara 🔝🔝 very comfortable, much better than I expected, earn far more in person than in the picture. Recomendables least all the inhabitants of the Baleares because I've 😹😹")</f>
        <v>TOP Sara 🔝🔝 very comfortable, much better than I expected, earn far more in person than in the picture. Recomendables least all the inhabitants of the Baleares because I've 😹😹</v>
      </c>
    </row>
    <row r="2880">
      <c r="A2880" s="1">
        <v>5.0</v>
      </c>
      <c r="B2880" s="1" t="s">
        <v>2865</v>
      </c>
      <c r="C2880" t="str">
        <f>IFERROR(__xludf.DUMMYFUNCTION("GOOGLETRANSLATE(B2880, ""es"", ""en"")"),"Correct Correct Everything goes well for GoPro Hero 4 silver")</f>
        <v>Correct Correct Everything goes well for GoPro Hero 4 silver</v>
      </c>
    </row>
    <row r="2881">
      <c r="A2881" s="1">
        <v>5.0</v>
      </c>
      <c r="B2881" s="1" t="s">
        <v>2866</v>
      </c>
      <c r="C2881" t="str">
        <f>IFERROR(__xludf.DUMMYFUNCTION("GOOGLETRANSLATE(B2881, ""es"", ""en"")"),"Leggins! Buenos leggings. High waist, comfortable, valid for summer, is not for nothing transpires.")</f>
        <v>Leggins! Buenos leggings. High waist, comfortable, valid for summer, is not for nothing transpires.</v>
      </c>
    </row>
    <row r="2882">
      <c r="A2882" s="1">
        <v>5.0</v>
      </c>
      <c r="B2882" s="1" t="s">
        <v>2867</v>
      </c>
      <c r="C2882" t="str">
        <f>IFERROR(__xludf.DUMMYFUNCTION("GOOGLETRANSLATE(B2882, ""es"", ""en"")"),"quite correct functioning properly.")</f>
        <v>quite correct functioning properly.</v>
      </c>
    </row>
    <row r="2883">
      <c r="A2883" s="1">
        <v>5.0</v>
      </c>
      <c r="B2883" s="1" t="s">
        <v>2868</v>
      </c>
      <c r="C2883" t="str">
        <f>IFERROR(__xludf.DUMMYFUNCTION("GOOGLETRANSLATE(B2883, ""es"", ""en"")"),"Very good very good and very fast heating. I use it to heat water to make coffee in the truck. Recommended for sure.")</f>
        <v>Very good very good and very fast heating. I use it to heat water to make coffee in the truck. Recommended for sure.</v>
      </c>
    </row>
    <row r="2884">
      <c r="A2884" s="1">
        <v>5.0</v>
      </c>
      <c r="B2884" s="1" t="s">
        <v>2869</v>
      </c>
      <c r="C2884" t="str">
        <f>IFERROR(__xludf.DUMMYFUNCTION("GOOGLETRANSLATE(B2884, ""es"", ""en"")"),"I like very much!! If I really like going to buy me another one !!!")</f>
        <v>I like very much!! If I really like going to buy me another one !!!</v>
      </c>
    </row>
    <row r="2885">
      <c r="A2885" s="1">
        <v>5.0</v>
      </c>
      <c r="B2885" s="1" t="s">
        <v>2870</v>
      </c>
      <c r="C2885" t="str">
        <f>IFERROR(__xludf.DUMMYFUNCTION("GOOGLETRANSLATE(B2885, ""es"", ""en"")"),"Very good choice very good and very practical to adjust the position of the child. It is very easy for children with this adapter")</f>
        <v>Very good choice very good and very practical to adjust the position of the child. It is very easy for children with this adapter</v>
      </c>
    </row>
    <row r="2886">
      <c r="A2886" s="1">
        <v>5.0</v>
      </c>
      <c r="B2886" s="1" t="s">
        <v>2871</v>
      </c>
      <c r="C2886" t="str">
        <f>IFERROR(__xludf.DUMMYFUNCTION("GOOGLETRANSLATE(B2886, ""es"", ""en"")"),"Portability and speed. It is very comfortable to use Ableton, plug and pay, good weight and portability. Solid construction, from knobs to plastics.")</f>
        <v>Portability and speed. It is very comfortable to use Ableton, plug and pay, good weight and portability. Solid construction, from knobs to plastics.</v>
      </c>
    </row>
    <row r="2887">
      <c r="A2887" s="1">
        <v>5.0</v>
      </c>
      <c r="B2887" s="1" t="s">
        <v>2872</v>
      </c>
      <c r="C2887" t="str">
        <f>IFERROR(__xludf.DUMMYFUNCTION("GOOGLETRANSLATE(B2887, ""es"", ""en"")"),"Similar quality and cost good bag with very good acceptable capacity and the ability to add molle system thanks to the materials and finish both recommended")</f>
        <v>Similar quality and cost good bag with very good acceptable capacity and the ability to add molle system thanks to the materials and finish both recommended</v>
      </c>
    </row>
    <row r="2888">
      <c r="A2888" s="1">
        <v>2.0</v>
      </c>
      <c r="B2888" s="1" t="s">
        <v>2873</v>
      </c>
      <c r="C2888" t="str">
        <f>IFERROR(__xludf.DUMMYFUNCTION("GOOGLETRANSLATE(B2888, ""es"", ""en"")"),"I expected more being weak neodymium magnets. I have other neodymium magnets the same size with much more force but I also came out more expensive. At the end I've used for the fridge there if you are able to fasten tickets")</f>
        <v>I expected more being weak neodymium magnets. I have other neodymium magnets the same size with much more force but I also came out more expensive. At the end I've used for the fridge there if you are able to fasten tickets</v>
      </c>
    </row>
    <row r="2889">
      <c r="A2889" s="1">
        <v>3.0</v>
      </c>
      <c r="B2889" s="1" t="s">
        <v>2874</v>
      </c>
      <c r="C2889" t="str">
        <f>IFERROR(__xludf.DUMMYFUNCTION("GOOGLETRANSLATE(B2889, ""es"", ""en"")"),"It goes well but as you can put yourself in the ass stick works well I have left working hours and not broken, has endurance. But if you use it on long trips to the end is the motorcillos ... you dig a little uncomfortable if you're using it for many hour"&amp;"s. Saludos.marc")</f>
        <v>It goes well but as you can put yourself in the ass stick works well I have left working hours and not broken, has endurance. But if you use it on long trips to the end is the motorcillos ... you dig a little uncomfortable if you're using it for many hours. Saludos.marc</v>
      </c>
    </row>
    <row r="2890">
      <c r="A2890" s="1">
        <v>3.0</v>
      </c>
      <c r="B2890" s="1" t="s">
        <v>2875</v>
      </c>
      <c r="C2890" t="str">
        <f>IFERROR(__xludf.DUMMYFUNCTION("GOOGLETRANSLATE(B2890, ""es"", ""en"")"),"ENORMOUS sabots, ANTI-AESTHETIC, THE LAST SMALL IS THERE A NUMBER TO ASK WHY BE OVER USA Use THE number 42, I asked for that number, I remained rather small ..... and yet seemed Pulgarcito WITH ZUECOS OF 7 Leguas ..... ..... they were huge returned them")</f>
        <v>ENORMOUS sabots, ANTI-AESTHETIC, THE LAST SMALL IS THERE A NUMBER TO ASK WHY BE OVER USA Use THE number 42, I asked for that number, I remained rather small ..... and yet seemed Pulgarcito WITH ZUECOS OF 7 Leguas ..... ..... they were huge returned them</v>
      </c>
    </row>
    <row r="2891">
      <c r="A2891" s="1">
        <v>1.0</v>
      </c>
      <c r="B2891" s="1" t="s">
        <v>2876</v>
      </c>
      <c r="C2891" t="str">
        <f>IFERROR(__xludf.DUMMYFUNCTION("GOOGLETRANSLATE(B2891, ""es"", ""en"")"),"Super wide !!! Shame expected more from the product. They were very wide even as my very very loose number.")</f>
        <v>Super wide !!! Shame expected more from the product. They were very wide even as my very very loose number.</v>
      </c>
    </row>
    <row r="2892">
      <c r="A2892" s="1">
        <v>1.0</v>
      </c>
      <c r="B2892" s="1" t="s">
        <v>2877</v>
      </c>
      <c r="C2892" t="str">
        <f>IFERROR(__xludf.DUMMYFUNCTION("GOOGLETRANSLATE(B2892, ""es"", ""en"")"),"Very ugly very poor quality")</f>
        <v>Very ugly very poor quality</v>
      </c>
    </row>
    <row r="2893">
      <c r="A2893" s="1">
        <v>4.0</v>
      </c>
      <c r="B2893" s="1" t="s">
        <v>2878</v>
      </c>
      <c r="C2893" t="str">
        <f>IFERROR(__xludf.DUMMYFUNCTION("GOOGLETRANSLATE(B2893, ""es"", ""en"")"),"manolo I have bought to give it away. The person who was destined has liked him. I hope you like enough to be satisfied")</f>
        <v>manolo I have bought to give it away. The person who was destined has liked him. I hope you like enough to be satisfied</v>
      </c>
    </row>
    <row r="2894">
      <c r="A2894" s="1">
        <v>4.0</v>
      </c>
      <c r="B2894" s="1" t="s">
        <v>2879</v>
      </c>
      <c r="C2894" t="str">
        <f>IFERROR(__xludf.DUMMYFUNCTION("GOOGLETRANSLATE(B2894, ""es"", ""en"")"),"Well Pretty good")</f>
        <v>Well Pretty good</v>
      </c>
    </row>
    <row r="2895">
      <c r="A2895" s="1">
        <v>4.0</v>
      </c>
      <c r="B2895" s="1" t="s">
        <v>2880</v>
      </c>
      <c r="C2895" t="str">
        <f>IFERROR(__xludf.DUMMYFUNCTION("GOOGLETRANSLATE(B2895, ""es"", ""en"")"),"Basic but good watch very nice")</f>
        <v>Basic but good watch very nice</v>
      </c>
    </row>
    <row r="2896">
      <c r="A2896" s="1">
        <v>4.0</v>
      </c>
      <c r="B2896" s="1" t="s">
        <v>2881</v>
      </c>
      <c r="C2896" t="str">
        <f>IFERROR(__xludf.DUMMYFUNCTION("GOOGLETRANSLATE(B2896, ""es"", ""en"")"),"Compliant but without further comment I have a crucial in a nuc. I implemented a desktop with this. I thought I saw more quickly and surely has. But then you already know another ssd SSD not much surprises you. I've chosen my best start Windows. Obviously"&amp;" must have its other benefits that only technically known reading")</f>
        <v>Compliant but without further comment I have a crucial in a nuc. I implemented a desktop with this. I thought I saw more quickly and surely has. But then you already know another ssd SSD not much surprises you. I've chosen my best start Windows. Obviously must have its other benefits that only technically known reading</v>
      </c>
    </row>
    <row r="2897">
      <c r="A2897" s="1">
        <v>4.0</v>
      </c>
      <c r="B2897" s="1" t="s">
        <v>2882</v>
      </c>
      <c r="C2897" t="str">
        <f>IFERROR(__xludf.DUMMYFUNCTION("GOOGLETRANSLATE(B2897, ""es"", ""en"")"),"Delighted with recommended buying bottles that mark, the first bought my son a pharmacy for my granddaughter and do not change for anything")</f>
        <v>Delighted with recommended buying bottles that mark, the first bought my son a pharmacy for my granddaughter and do not change for anything</v>
      </c>
    </row>
    <row r="2898">
      <c r="A2898" s="1">
        <v>5.0</v>
      </c>
      <c r="B2898" s="1" t="s">
        <v>2883</v>
      </c>
      <c r="C2898" t="str">
        <f>IFERROR(__xludf.DUMMYFUNCTION("GOOGLETRANSLATE(B2898, ""es"", ""en"")"),"Great for sports very correct Headphones price you have. The price / quality ratio is very good. I was surprised that the bass is pretty good at this type of device. Happy with purchase. I have paired with the phone without problem and with Tomtom runner2"&amp;", and go perfectly.")</f>
        <v>Great for sports very correct Headphones price you have. The price / quality ratio is very good. I was surprised that the bass is pretty good at this type of device. Happy with purchase. I have paired with the phone without problem and with Tomtom runner2, and go perfectly.</v>
      </c>
    </row>
    <row r="2899">
      <c r="A2899" s="1">
        <v>5.0</v>
      </c>
      <c r="B2899" s="1" t="s">
        <v>2884</v>
      </c>
      <c r="C2899" t="str">
        <f>IFERROR(__xludf.DUMMYFUNCTION("GOOGLETRANSLATE(B2899, ""es"", ""en"")"),"Very good buy Labcalidad of the sound is lovely, it was for my son a gift and since we arrived not remove it. The battery lasts a lot is easy and quick to recharge. Also they arrived ahead of schedule. Very happy with the purchase")</f>
        <v>Very good buy Labcalidad of the sound is lovely, it was for my son a gift and since we arrived not remove it. The battery lasts a lot is easy and quick to recharge. Also they arrived ahead of schedule. Very happy with the purchase</v>
      </c>
    </row>
    <row r="2900">
      <c r="A2900" s="1">
        <v>5.0</v>
      </c>
      <c r="B2900" s="1" t="s">
        <v>2885</v>
      </c>
      <c r="C2900" t="str">
        <f>IFERROR(__xludf.DUMMYFUNCTION("GOOGLETRANSLATE(B2900, ""es"", ""en"")"),"Good reach and easy to use I'm using it in class daily, the others I had not much I could ward off the computer and with this I have much more scope besides being quite comfortable to carry and to use both. highly recommended")</f>
        <v>Good reach and easy to use I'm using it in class daily, the others I had not much I could ward off the computer and with this I have much more scope besides being quite comfortable to carry and to use both. highly recommended</v>
      </c>
    </row>
    <row r="2901">
      <c r="A2901" s="1">
        <v>5.0</v>
      </c>
      <c r="B2901" s="1" t="s">
        <v>2886</v>
      </c>
      <c r="C2901" t="str">
        <f>IFERROR(__xludf.DUMMYFUNCTION("GOOGLETRANSLATE(B2901, ""es"", ""en"")"),"There is a good quality price relation. Pants are soft and practical has used my son to basketball practice and to be at home because they were very comfortable. While others have bought the same.")</f>
        <v>There is a good quality price relation. Pants are soft and practical has used my son to basketball practice and to be at home because they were very comfortable. While others have bought the same.</v>
      </c>
    </row>
    <row r="2902">
      <c r="A2902" s="1">
        <v>5.0</v>
      </c>
      <c r="B2902" s="1" t="s">
        <v>2887</v>
      </c>
      <c r="C2902" t="str">
        <f>IFERROR(__xludf.DUMMYFUNCTION("GOOGLETRANSLATE(B2902, ""es"", ""en"")"),"They seem resistance quality. Comfortable and durable")</f>
        <v>They seem resistance quality. Comfortable and durable</v>
      </c>
    </row>
    <row r="2903">
      <c r="A2903" s="1">
        <v>5.0</v>
      </c>
      <c r="B2903" s="1" t="s">
        <v>2888</v>
      </c>
      <c r="C2903" t="str">
        <f>IFERROR(__xludf.DUMMYFUNCTION("GOOGLETRANSLATE(B2903, ""es"", ""en"")"),"Very good insulation, can listen to music in the office without my bother anyone :-) My office is super loud, is the reason I was looking for good headphones that would allow me to listen to music and simultaneously isolate the noise generated by my aroun"&amp;"d. Because of this, I knew from the start that I needed a tapasen whole ear. The main problem of this type of headphones that are often uncomfortable to take much time followed (by weight) and increasing the temperature of the ear. This model is not the m"&amp;"ost comfortable I've ever had, but being made of plastic materials light enough can take several hours without problems (maybe 8 hours straight would be too), in terms of temperature have not noticed anything unusual, but in my office there is conditioned"&amp;" air. A great detail is that the part that touches the ear is soft texture and comfortable. With a duration of battery refente I can attest that lasts many hours (more wired than Bluetooth). I could not say exactly how, but I worked several days without h"&amp;"aving to recharge. Regarding the bluetooth there are different versions, with the 5.0 the latest and highest quality, for those with a computer (or music player) with an older version of Bluetooth (which will give them a quality of very low sound) I recom"&amp;"mend using a cable directly. I tried both (I have bluetooth 5.0 on the pc) and what I like most are the calided of low (something you notice because of the size of the speakers). When storage is the expectations of the highest level, it brings a hard case"&amp;" in which to keep them without fear of blows that might damage. Generally I can emphasize with great value for money, although obviously would not be the most suitable option for audifilos, gamming professional (using bluethooth, at least. Wired I think w"&amp;"ould go well). They are suitable headphones for most users.")</f>
        <v>Very good insulation, can listen to music in the office without my bother anyone :-) My office is super loud, is the reason I was looking for good headphones that would allow me to listen to music and simultaneously isolate the noise generated by my around. Because of this, I knew from the start that I needed a tapasen whole ear. The main problem of this type of headphones that are often uncomfortable to take much time followed (by weight) and increasing the temperature of the ear. This model is not the most comfortable I've ever had, but being made of plastic materials light enough can take several hours without problems (maybe 8 hours straight would be too), in terms of temperature have not noticed anything unusual, but in my office there is conditioned air. A great detail is that the part that touches the ear is soft texture and comfortable. With a duration of battery refente I can attest that lasts many hours (more wired than Bluetooth). I could not say exactly how, but I worked several days without having to recharge. Regarding the bluetooth there are different versions, with the 5.0 the latest and highest quality, for those with a computer (or music player) with an older version of Bluetooth (which will give them a quality of very low sound) I recommend using a cable directly. I tried both (I have bluetooth 5.0 on the pc) and what I like most are the calided of low (something you notice because of the size of the speakers). When storage is the expectations of the highest level, it brings a hard case in which to keep them without fear of blows that might damage. Generally I can emphasize with great value for money, although obviously would not be the most suitable option for audifilos, gamming professional (using bluethooth, at least. Wired I think would go well). They are suitable headphones for most users.</v>
      </c>
    </row>
    <row r="2904">
      <c r="A2904" s="1">
        <v>5.0</v>
      </c>
      <c r="B2904" s="1" t="s">
        <v>2889</v>
      </c>
      <c r="C2904" t="str">
        <f>IFERROR(__xludf.DUMMYFUNCTION("GOOGLETRANSLATE(B2904, ""es"", ""en"")"),"Good Very simple elegant and comfortable")</f>
        <v>Good Very simple elegant and comfortable</v>
      </c>
    </row>
    <row r="2905">
      <c r="A2905" s="1">
        <v>5.0</v>
      </c>
      <c r="B2905" s="1" t="s">
        <v>2890</v>
      </c>
      <c r="C2905" t="str">
        <f>IFERROR(__xludf.DUMMYFUNCTION("GOOGLETRANSLATE(B2905, ""es"", ""en"")"),"Ideally what I wanted. Size as indicated.")</f>
        <v>Ideally what I wanted. Size as indicated.</v>
      </c>
    </row>
    <row r="2906">
      <c r="A2906" s="1">
        <v>5.0</v>
      </c>
      <c r="B2906" s="1" t="s">
        <v>2891</v>
      </c>
      <c r="C2906" t="str">
        <f>IFERROR(__xludf.DUMMYFUNCTION("GOOGLETRANSLATE(B2906, ""es"", ""en"")"),"I put a key ring is perfect. Factory gives 14,8GB and includes a pair of security applications inside. Although prays USB 2 and 3 package, memory is USB 2. You can use a USB 3 also port but the speed will be identical to that of USB 2. It is the smallest "&amp;"ever created pendrive. Almost only it occupies the connector itself, is perfectly concealed put it where you put it, when you want to remove it costs a little since have virtually no where to grab him but I put a keychain and is perfect.")</f>
        <v>I put a key ring is perfect. Factory gives 14,8GB and includes a pair of security applications inside. Although prays USB 2 and 3 package, memory is USB 2. You can use a USB 3 also port but the speed will be identical to that of USB 2. It is the smallest ever created pendrive. Almost only it occupies the connector itself, is perfectly concealed put it where you put it, when you want to remove it costs a little since have virtually no where to grab him but I put a keychain and is perfect.</v>
      </c>
    </row>
    <row r="2907">
      <c r="A2907" s="1">
        <v>5.0</v>
      </c>
      <c r="B2907" s="1" t="s">
        <v>2892</v>
      </c>
      <c r="C2907" t="str">
        <f>IFERROR(__xludf.DUMMYFUNCTION("GOOGLETRANSLATE(B2907, ""es"", ""en"")"),"Never Fail !!! It is known that a shoe is not the most stylish, but the colors have helped a lot. The crocs are very comfortable when you spend the day standing, either standing or walking and then not legs hurt me. I started buying me myself and already "&amp;"has a couple every member of my family! Definitely a good investment!")</f>
        <v>Never Fail !!! It is known that a shoe is not the most stylish, but the colors have helped a lot. The crocs are very comfortable when you spend the day standing, either standing or walking and then not legs hurt me. I started buying me myself and already has a couple every member of my family! Definitely a good investment!</v>
      </c>
    </row>
    <row r="2908">
      <c r="A2908" s="1">
        <v>5.0</v>
      </c>
      <c r="B2908" s="1" t="s">
        <v>2893</v>
      </c>
      <c r="C2908" t="str">
        <f>IFERROR(__xludf.DUMMYFUNCTION("GOOGLETRANSLATE(B2908, ""es"", ""en"")"),"It meets its mission perfectly correct, grief that light does not illuminate the whole sphere, it does so only on the digital display")</f>
        <v>It meets its mission perfectly correct, grief that light does not illuminate the whole sphere, it does so only on the digital display</v>
      </c>
    </row>
    <row r="2909">
      <c r="A2909" s="1">
        <v>5.0</v>
      </c>
      <c r="B2909" s="1" t="s">
        <v>2894</v>
      </c>
      <c r="C2909" t="str">
        <f>IFERROR(__xludf.DUMMYFUNCTION("GOOGLETRANSLATE(B2909, ""es"", ""en"")"),"good performance SD card storage use photography, with normal operation for these devices")</f>
        <v>good performance SD card storage use photography, with normal operation for these devices</v>
      </c>
    </row>
    <row r="2910">
      <c r="A2910" s="1">
        <v>5.0</v>
      </c>
      <c r="B2910" s="1" t="s">
        <v>2895</v>
      </c>
      <c r="C2910" t="str">
        <f>IFERROR(__xludf.DUMMYFUNCTION("GOOGLETRANSLATE(B2910, ""es"", ""en"")"),"Perfect is very well finished and fits very well, I am very happy with it.")</f>
        <v>Perfect is very well finished and fits very well, I am very happy with it.</v>
      </c>
    </row>
    <row r="2911">
      <c r="A2911" s="1">
        <v>5.0</v>
      </c>
      <c r="B2911" s="1" t="s">
        <v>2896</v>
      </c>
      <c r="C2911" t="str">
        <f>IFERROR(__xludf.DUMMYFUNCTION("GOOGLETRANSLATE(B2911, ""es"", ""en"")"),"Very happy Good shoes, comfortable, good material manufacturing and beautifully finished, it is true that following the advice of comments from other customers ordered a size smaller because they give a lot of size, I chock 43 and ordered a 42, I hit full"&amp;", they are also very comfortable. Had never used this brand has been a great discovery for me, plus I bought on sale so I can not ask for more, buy this brand again without a doubt.")</f>
        <v>Very happy Good shoes, comfortable, good material manufacturing and beautifully finished, it is true that following the advice of comments from other customers ordered a size smaller because they give a lot of size, I chock 43 and ordered a 42, I hit full, they are also very comfortable. Had never used this brand has been a great discovery for me, plus I bought on sale so I can not ask for more, buy this brand again without a doubt.</v>
      </c>
    </row>
    <row r="2912">
      <c r="A2912" s="1">
        <v>5.0</v>
      </c>
      <c r="B2912" s="1" t="s">
        <v>2897</v>
      </c>
      <c r="C2912" t="str">
        <f>IFERROR(__xludf.DUMMYFUNCTION("GOOGLETRANSLATE(B2912, ""es"", ""en"")"),"The best bottles! I'm a fan of Philips Avent! The quality of products is second to none! Use bottles for 2 drinks of different ages and have tried many more expensive brands but I'll take Avent.Mis children have not had colic with these bottles! Bottles o"&amp;"f very good quality, easy to screw, silicone nipples and various sizes depending on the age of the baby. Highly recommended!")</f>
        <v>The best bottles! I'm a fan of Philips Avent! The quality of products is second to none! Use bottles for 2 drinks of different ages and have tried many more expensive brands but I'll take Avent.Mis children have not had colic with these bottles! Bottles of very good quality, easy to screw, silicone nipples and various sizes depending on the age of the baby. Highly recommended!</v>
      </c>
    </row>
    <row r="2913">
      <c r="A2913" s="1">
        <v>5.0</v>
      </c>
      <c r="B2913" s="1" t="s">
        <v>2898</v>
      </c>
      <c r="C2913" t="str">
        <f>IFERROR(__xludf.DUMMYFUNCTION("GOOGLETRANSLATE(B2913, ""es"", ""en"")"),"An indestructible classic. A classic virtually indestructible model. It is not very nice, but has its charm. If you need a watch to accompany you whenever you do not need any ""glamor"" but perfectly resists any inclemency, this is for you.")</f>
        <v>An indestructible classic. A classic virtually indestructible model. It is not very nice, but has its charm. If you need a watch to accompany you whenever you do not need any "glamor" but perfectly resists any inclemency, this is for you.</v>
      </c>
    </row>
    <row r="2914">
      <c r="A2914" s="1">
        <v>5.0</v>
      </c>
      <c r="B2914" s="1" t="s">
        <v>2899</v>
      </c>
      <c r="C2914" t="str">
        <f>IFERROR(__xludf.DUMMYFUNCTION("GOOGLETRANSLATE(B2914, ""es"", ""en"")"),"10 As in every way Russell Hobbs has been crowned with this product range, retro style, encompassing from whisks, glass, and rods, toasters, coffee makers, kettles and snapper etc. The variability of this product range is very extensive, and quality, at l"&amp;"east I've had a chance to try, great. This time we have a mixer vessel in deep red, with a lever located at the bottom of its base with which we can regulate the intensity of the mixer to achieve a more or less homogeneous texture. Glass, glass screen pri"&amp;"nted volumes, a robust and heavy glass, is complemented with a black lid that sealingly positioned to prevent a beating / shred foods splashing and smearing. That very top, it has a small opening in the center / top if we require to take the ingredients g"&amp;"radually and we avoided completely remove the lid if it were stained, avoid spilling the contents, and in turn, makes meter . In short, a product with a design Vintage, very accomplished and aesthetically very appealing, but that not only in the aesthetic"&amp;", if not functional level has more than enough power, which will make us from milkshakes to gazpacho, or that what covers your imagination. Fully recommended !!")</f>
        <v>10 As in every way Russell Hobbs has been crowned with this product range, retro style, encompassing from whisks, glass, and rods, toasters, coffee makers, kettles and snapper etc. The variability of this product range is very extensive, and quality, at least I've had a chance to try, great. This time we have a mixer vessel in deep red, with a lever located at the bottom of its base with which we can regulate the intensity of the mixer to achieve a more or less homogeneous texture. Glass, glass screen printed volumes, a robust and heavy glass, is complemented with a black lid that sealingly positioned to prevent a beating / shred foods splashing and smearing. That very top, it has a small opening in the center / top if we require to take the ingredients gradually and we avoided completely remove the lid if it were stained, avoid spilling the contents, and in turn, makes meter . In short, a product with a design Vintage, very accomplished and aesthetically very appealing, but that not only in the aesthetic, if not functional level has more than enough power, which will make us from milkshakes to gazpacho, or that what covers your imagination. Fully recommended !!</v>
      </c>
    </row>
    <row r="2915">
      <c r="A2915" s="1">
        <v>5.0</v>
      </c>
      <c r="B2915" s="1" t="s">
        <v>2900</v>
      </c>
      <c r="C2915" t="str">
        <f>IFERROR(__xludf.DUMMYFUNCTION("GOOGLETRANSLATE(B2915, ""es"", ""en"")"),"Comfortable, convenient and good price almodilla Great is the gave my sister and was fascinated. Self-timer, not nailed to the sleep on, and heats well. Comfortable, convenient and good value / price.")</f>
        <v>Comfortable, convenient and good price almodilla Great is the gave my sister and was fascinated. Self-timer, not nailed to the sleep on, and heats well. Comfortable, convenient and good value / price.</v>
      </c>
    </row>
    <row r="2916">
      <c r="A2916" s="1">
        <v>5.0</v>
      </c>
      <c r="B2916" s="1" t="s">
        <v>2901</v>
      </c>
      <c r="C2916" t="str">
        <f>IFERROR(__xludf.DUMMYFUNCTION("GOOGLETRANSLATE(B2916, ""es"", ""en"")"),"Maria Mare shoes corresponds with the requested size. Very nice, good quality")</f>
        <v>Maria Mare shoes corresponds with the requested size. Very nice, good quality</v>
      </c>
    </row>
    <row r="2917">
      <c r="A2917" s="1">
        <v>2.0</v>
      </c>
      <c r="B2917" s="1" t="s">
        <v>2902</v>
      </c>
      <c r="C2917" t="str">
        <f>IFERROR(__xludf.DUMMYFUNCTION("GOOGLETRANSLATE(B2917, ""es"", ""en"")"),"Mui small are nice, but for a girl. I personally do not like so small. I did not expect so small. The I'll give.")</f>
        <v>Mui small are nice, but for a girl. I personally do not like so small. I did not expect so small. The I'll give.</v>
      </c>
    </row>
    <row r="2918">
      <c r="A2918" s="1">
        <v>3.0</v>
      </c>
      <c r="B2918" s="1" t="s">
        <v>2903</v>
      </c>
      <c r="C2918" t="str">
        <f>IFERROR(__xludf.DUMMYFUNCTION("GOOGLETRANSLATE(B2918, ""es"", ""en"")"),"Dan Dan size size of shoe if you spend 39 calls for a 38. always a number less than the usually spend. Regards.")</f>
        <v>Dan Dan size size of shoe if you spend 39 calls for a 38. always a number less than the usually spend. Regards.</v>
      </c>
    </row>
    <row r="2919">
      <c r="A2919" s="1">
        <v>1.0</v>
      </c>
      <c r="B2919" s="1" t="s">
        <v>2904</v>
      </c>
      <c r="C2919" t="str">
        <f>IFERROR(__xludf.DUMMYFUNCTION("GOOGLETRANSLATE(B2919, ""es"", ""en"")"),"Size shoes that sent me seemed used. The label was not hung on them as normal if he was not alone inside the box. And the sole back under the heel was a bit stained. Pity it did not know you could send them a photo. The big change because I left. This bra"&amp;"nd have to buy one size smaller than you wear. Well, in my case.")</f>
        <v>Size shoes that sent me seemed used. The label was not hung on them as normal if he was not alone inside the box. And the sole back under the heel was a bit stained. Pity it did not know you could send them a photo. The big change because I left. This brand have to buy one size smaller than you wear. Well, in my case.</v>
      </c>
    </row>
    <row r="2920">
      <c r="A2920" s="1">
        <v>1.0</v>
      </c>
      <c r="B2920" s="1" t="s">
        <v>2905</v>
      </c>
      <c r="C2920" t="str">
        <f>IFERROR(__xludf.DUMMYFUNCTION("GOOGLETRANSLATE(B2920, ""es"", ""en"")"),"They are not leather lie because in the description says Laa shoes are leather and I have come a cloth. A fraud.")</f>
        <v>They are not leather lie because in the description says Laa shoes are leather and I have come a cloth. A fraud.</v>
      </c>
    </row>
    <row r="2921">
      <c r="A2921" s="1">
        <v>4.0</v>
      </c>
      <c r="B2921" s="1" t="s">
        <v>2906</v>
      </c>
      <c r="C2921" t="str">
        <f>IFERROR(__xludf.DUMMYFUNCTION("GOOGLETRANSLATE(B2921, ""es"", ""en"")"),"Lightweight, small footprint and acceptable results First, indicate that the packaging of the product to the reach is good enough to not get damaged to your home, but yes, I recommend indicate when ordering the product is gift as a way to add an extra lay"&amp;"er of reinforcement in the form of ""Amazon box"" to the original box of the product, because otherwise it will be fully visible for everyone to see that you purchased (including messaging). The mixer is nice with this vintage minimalist finish (available"&amp;" in three pastel colors: green, blue or cream) and relatively small compared to others on the market of this type. This fact also is added its way to store, allowing catch the blender cup and fit face down on the mixer body, which occupies half the space "&amp;"occupied while mounted. Once engaged the vessel, the lid is placed on top of the assembly, turning ¼ turn which is the part placed normally fit into the mixer body. Its weight is also very content, since it is small and abundant as the plastic material us"&amp;"ed in its components. In fact, the glass and lid are made entirely of plastic. At first glance seem good quality and hopefully using surface will not degrade as small scratches. It is recommended to scrub with the soft part of the sponge of any scourer, b"&amp;"ecause if it is given with part rougher surely ruin the surface of the glass. When using it, fit the glass requires no more than align two small tabs on two similar notches body minimally blender and turn it clockwise. The main problem comes with the top "&amp;"of the top. Instructions on the product (wrong in my view) is indicated to be the cover and make a little twist to close: it is false. Place requires little learning and test mode in trial and error. After tasting several times believe that the best way t"&amp;"o close the lid is fit it a little part of the vessel in which you verterías the batter, and then fit the opposite some side, and go gradually tightening each side until it engages. The cap carries a flange which engages the handle of the cup with a ""cli"&amp;"ck"" when it is perfectly placed. This tab is the same plastic as the cover, and similar to that of the mixer body color. I think this should have been metal tab to ensure durability. So far I have not had any problems, but is perhaps part of the mixer wh"&amp;"ich have more reservations about its durability. Once finished churning, remove the cover also requires very careful not you get it fired. My advice is to remove the cover while it is still mounted the vessel in the body of the mixer, to have greater cont"&amp;"rol over the whole (helps maintain the stability of the four small suction cups that is the base of the mixer. To remove the cover must move a small sliding part and then carefully go disengaging the cap from the top of the vessel Lo said. carefully with "&amp;"this step the operation of the mixer is very simple addition to a position of ""pulses"" to the turn.. the dial left and functions as a turbo while holding dial rotated (to the release returns to the 0 position), its normal use is summarized using two dif"&amp;"ferent speeds, that you will use depending on the product you are beating. in my house, we usually start speed 1 and passed quickly to speed 2. the result of the batter is right. Coming to use a food that costs more than 10 times the price of this mixer c"&amp;"an not get what ecting the results, but they will not be as fine as food processors. I can not give opinion regarding purees because we have not tried. Keeping turning into something less than a minute over strawberries, banana, apple, on a liquid yogurt "&amp;"or milk, is quite likely to find a piece of fruit without beating. Surely if you increase the mixing time this effect is reduced, but do not know why I get the feeling it's not a blender to have it running many minutes. The noise level is acceptable for a"&amp;" mixer, but not silent. The blades are attached to the glass, so it can not be detached from it. I guess it is possible, if you ever wear change, removing the nut there in the back, but I do not know if that task can do for yourself (do not know if they s"&amp;"ell the replacement of loose blades) or necessary change the whole glass or the change in service. Cleaning the glass, and lid blades is very simple. While indicating that you can put the dishwasher has not yet been necessary. Simply rinse the glass with "&amp;"water and cover it goes almost all the remains, so then is quite simple and quick to finish cleaning with a sponge and soap dishes. It is true that, depending on the product you shake beech, may be some other area of ​​the vessel below the blades and requ"&amp;"ire more skill to remove it (happened with traces of blueberries), but the final out. Cleanability depends on product usage and small appliance tritures with this, but I dare say that in any case will be simple. What I recommend is that if used with acid "&amp;"products (tomato, orange, etc.) quickly clean the glass, because maybe the plastic which is made could catch some shade or smell. But I have to say this own assumptions are not based on my experience. In general, and for the price of the product, is a nic"&amp;"e mixer, small footprint and allows you to quickly shakes delicious (the use that we at home) without having to then think of processes tedious cleaning . It is a product that I recommend.")</f>
        <v>Lightweight, small footprint and acceptable results First, indicate that the packaging of the product to the reach is good enough to not get damaged to your home, but yes, I recommend indicate when ordering the product is gift as a way to add an extra layer of reinforcement in the form of "Amazon box" to the original box of the product, because otherwise it will be fully visible for everyone to see that you purchased (including messaging). The mixer is nice with this vintage minimalist finish (available in three pastel colors: green, blue or cream) and relatively small compared to others on the market of this type. This fact also is added its way to store, allowing catch the blender cup and fit face down on the mixer body, which occupies half the space occupied while mounted. Once engaged the vessel, the lid is placed on top of the assembly, turning ¼ turn which is the part placed normally fit into the mixer body. Its weight is also very content, since it is small and abundant as the plastic material used in its components. In fact, the glass and lid are made entirely of plastic. At first glance seem good quality and hopefully using surface will not degrade as small scratches. It is recommended to scrub with the soft part of the sponge of any scourer, because if it is given with part rougher surely ruin the surface of the glass. When using it, fit the glass requires no more than align two small tabs on two similar notches body minimally blender and turn it clockwise. The main problem comes with the top of the top. Instructions on the product (wrong in my view) is indicated to be the cover and make a little twist to close: it is false. Place requires little learning and test mode in trial and error. After tasting several times believe that the best way to close the lid is fit it a little part of the vessel in which you verterías the batter, and then fit the opposite some side, and go gradually tightening each side until it engages. The cap carries a flange which engages the handle of the cup with a "click" when it is perfectly placed. This tab is the same plastic as the cover, and similar to that of the mixer body color. I think this should have been metal tab to ensure durability. So far I have not had any problems, but is perhaps part of the mixer which have more reservations about its durability. Once finished churning, remove the cover also requires very careful not you get it fired. My advice is to remove the cover while it is still mounted the vessel in the body of the mixer, to have greater control over the whole (helps maintain the stability of the four small suction cups that is the base of the mixer. To remove the cover must move a small sliding part and then carefully go disengaging the cap from the top of the vessel Lo said. carefully with this step the operation of the mixer is very simple addition to a position of "pulses" to the turn.. the dial left and functions as a turbo while holding dial rotated (to the release returns to the 0 position), its normal use is summarized using two different speeds, that you will use depending on the product you are beating. in my house, we usually start speed 1 and passed quickly to speed 2. the result of the batter is right. Coming to use a food that costs more than 10 times the price of this mixer can not get what ecting the results, but they will not be as fine as food processors. I can not give opinion regarding purees because we have not tried. Keeping turning into something less than a minute over strawberries, banana, apple, on a liquid yogurt or milk, is quite likely to find a piece of fruit without beating. Surely if you increase the mixing time this effect is reduced, but do not know why I get the feeling it's not a blender to have it running many minutes. The noise level is acceptable for a mixer, but not silent. The blades are attached to the glass, so it can not be detached from it. I guess it is possible, if you ever wear change, removing the nut there in the back, but I do not know if that task can do for yourself (do not know if they sell the replacement of loose blades) or necessary change the whole glass or the change in service. Cleaning the glass, and lid blades is very simple. While indicating that you can put the dishwasher has not yet been necessary. Simply rinse the glass with water and cover it goes almost all the remains, so then is quite simple and quick to finish cleaning with a sponge and soap dishes. It is true that, depending on the product you shake beech, may be some other area of ​​the vessel below the blades and require more skill to remove it (happened with traces of blueberries), but the final out. Cleanability depends on product usage and small appliance tritures with this, but I dare say that in any case will be simple. What I recommend is that if used with acid products (tomato, orange, etc.) quickly clean the glass, because maybe the plastic which is made could catch some shade or smell. But I have to say this own assumptions are not based on my experience. In general, and for the price of the product, is a nice mixer, small footprint and allows you to quickly shakes delicious (the use that we at home) without having to then think of processes tedious cleaning . It is a product that I recommend.</v>
      </c>
    </row>
    <row r="2922">
      <c r="A2922" s="1">
        <v>4.0</v>
      </c>
      <c r="B2922" s="1" t="s">
        <v>2907</v>
      </c>
      <c r="C2922" t="str">
        <f>IFERROR(__xludf.DUMMYFUNCTION("GOOGLETRANSLATE(B2922, ""es"", ""en"")"),"Good blender is very complete, work well their accesoriios, responds well to speeds when used, and not use it splashes the power ..")</f>
        <v>Good blender is very complete, work well their accesoriios, responds well to speeds when used, and not use it splashes the power ..</v>
      </c>
    </row>
    <row r="2923">
      <c r="A2923" s="1">
        <v>4.0</v>
      </c>
      <c r="B2923" s="1" t="s">
        <v>2908</v>
      </c>
      <c r="C2923" t="str">
        <f>IFERROR(__xludf.DUMMYFUNCTION("GOOGLETRANSLATE(B2923, ""es"", ""en"")"),"Good value I chose the product because I found it very well priced and the reviews were good in general. It is true that need phantom power, but my sound card has it and it works perfectly !! Good choice!")</f>
        <v>Good value I chose the product because I found it very well priced and the reviews were good in general. It is true that need phantom power, but my sound card has it and it works perfectly !! Good choice!</v>
      </c>
    </row>
    <row r="2924">
      <c r="A2924" s="1">
        <v>4.0</v>
      </c>
      <c r="B2924" s="1" t="s">
        <v>2909</v>
      </c>
      <c r="C2924" t="str">
        <f>IFERROR(__xludf.DUMMYFUNCTION("GOOGLETRANSLATE(B2924, ""es"", ""en"")"),"Good product When using these smells a bit burnt")</f>
        <v>Good product When using these smells a bit burnt</v>
      </c>
    </row>
    <row r="2925">
      <c r="A2925" s="1">
        <v>5.0</v>
      </c>
      <c r="B2925" s="1" t="s">
        <v>2910</v>
      </c>
      <c r="C2925" t="str">
        <f>IFERROR(__xludf.DUMMYFUNCTION("GOOGLETRANSLATE(B2925, ""es"", ""en"")"),"Glass bottle always much better than plastic bottles have used glass from the beginning, they are much more hygienic than any plastic. The downside is that you have to be more careful because you can break the fall. Nuk recommend to avoid much less colic "&amp;"to the letting in air through a hole in one side. Very satisfied")</f>
        <v>Glass bottle always much better than plastic bottles have used glass from the beginning, they are much more hygienic than any plastic. The downside is that you have to be more careful because you can break the fall. Nuk recommend to avoid much less colic to the letting in air through a hole in one side. Very satisfied</v>
      </c>
    </row>
    <row r="2926">
      <c r="A2926" s="1">
        <v>5.0</v>
      </c>
      <c r="B2926" s="1" t="s">
        <v>2911</v>
      </c>
      <c r="C2926" t="str">
        <f>IFERROR(__xludf.DUMMYFUNCTION("GOOGLETRANSLATE(B2926, ""es"", ""en"")"),"ZODIACSIGN Very nice")</f>
        <v>ZODIACSIGN Very nice</v>
      </c>
    </row>
    <row r="2927">
      <c r="A2927" s="1">
        <v>5.0</v>
      </c>
      <c r="B2927" s="1" t="s">
        <v>2912</v>
      </c>
      <c r="C2927" t="str">
        <f>IFERROR(__xludf.DUMMYFUNCTION("GOOGLETRANSLATE(B2927, ""es"", ""en"")"),"Total beauty'm more than happy with this blender. I'm a big fan of everything nice, and this apparatus before anything else is beautiful, with a capital. Its retro design could not be more right for a product like this, so in that sense has won me complet"&amp;"ely. Then there is the functionality. Its 800 watts allow us to crush everything, including ice, no problem. There Blenders with a higher power but honestly, I do not see the need for any site. With 800 watts have plenty to get fruit smoothies, sauces, ga"&amp;"zpacho, cold soups or whatever comes to mind at a time, totally homogeneous, without having to be holding the device or by holding down the button as with blenders hand. On the other hand, cleaning is very simple. What is the basis simply needs to be a da"&amp;"mp cloth and pass is perfect. And the pitcher is a matter of separate unit of the blades (which I loved because another blender cup that had long ago, that do not could) and wash each piece by without leaving any residue not we can see. In the instruction"&amp;" book also are specified parts that can be put in the dishwasher. Another thing that you love me if only for aesthetics, is the lever of the speed control and indicator needle shows the speed of the blades in revolutions per minute. The truth is that all "&amp;"I can say about this device are good things. Perhaps the only thing that should be taken into account when deciding its acquisition is that it has a fairly generous dimensions, which is heavy (the pitcher is thick glass with a capacity of 1.5 l.) And do n"&amp;"ot need a mixer so great, maybe it can resultarnos somewhat cumbersome to handle. But that, in my opinion, is all that could be a negative because the rest think it's a wonderful product. I recommend a thousand times your purchase.")</f>
        <v>Total beauty'm more than happy with this blender. I'm a big fan of everything nice, and this apparatus before anything else is beautiful, with a capital. Its retro design could not be more right for a product like this, so in that sense has won me completely. Then there is the functionality. Its 800 watts allow us to crush everything, including ice, no problem. There Blenders with a higher power but honestly, I do not see the need for any site. With 800 watts have plenty to get fruit smoothies, sauces, gazpacho, cold soups or whatever comes to mind at a time, totally homogeneous, without having to be holding the device or by holding down the button as with blenders hand. On the other hand, cleaning is very simple. What is the basis simply needs to be a damp cloth and pass is perfect. And the pitcher is a matter of separate unit of the blades (which I loved because another blender cup that had long ago, that do not could) and wash each piece by without leaving any residue not we can see. In the instruction book also are specified parts that can be put in the dishwasher. Another thing that you love me if only for aesthetics, is the lever of the speed control and indicator needle shows the speed of the blades in revolutions per minute. The truth is that all I can say about this device are good things. Perhaps the only thing that should be taken into account when deciding its acquisition is that it has a fairly generous dimensions, which is heavy (the pitcher is thick glass with a capacity of 1.5 l.) And do not need a mixer so great, maybe it can resultarnos somewhat cumbersome to handle. But that, in my opinion, is all that could be a negative because the rest think it's a wonderful product. I recommend a thousand times your purchase.</v>
      </c>
    </row>
    <row r="2928">
      <c r="A2928" s="1">
        <v>5.0</v>
      </c>
      <c r="B2928" s="1" t="s">
        <v>2913</v>
      </c>
      <c r="C2928" t="str">
        <f>IFERROR(__xludf.DUMMYFUNCTION("GOOGLETRANSLATE(B2928, ""es"", ""en"")"),"Good product arrived on time and in good condition, good quality, durable after folding")</f>
        <v>Good product arrived on time and in good condition, good quality, durable after folding</v>
      </c>
    </row>
    <row r="2929">
      <c r="A2929" s="1">
        <v>5.0</v>
      </c>
      <c r="B2929" s="1" t="s">
        <v>2914</v>
      </c>
      <c r="C2929" t="str">
        <f>IFERROR(__xludf.DUMMYFUNCTION("GOOGLETRANSLATE(B2929, ""es"", ""en"")"),"The only use for photo honestly did not need that speed of writing, but for the price he preferred to invest in the future is not concerteza if I do not do something video, or timelapses, or bursts. To me it will be excellent in the FUJI XT2, I have not t"&amp;"ested megapixel cameras with sony A7R type ... I never failed me. Asique 5 stars.")</f>
        <v>The only use for photo honestly did not need that speed of writing, but for the price he preferred to invest in the future is not concerteza if I do not do something video, or timelapses, or bursts. To me it will be excellent in the FUJI XT2, I have not tested megapixel cameras with sony A7R type ... I never failed me. Asique 5 stars.</v>
      </c>
    </row>
    <row r="2930">
      <c r="A2930" s="1">
        <v>5.0</v>
      </c>
      <c r="B2930" s="1" t="s">
        <v>2915</v>
      </c>
      <c r="C2930" t="str">
        <f>IFERROR(__xludf.DUMMYFUNCTION("GOOGLETRANSLATE(B2930, ""es"", ""en"")"),"Super comfort comfortable and stretchy 100% cecomendable")</f>
        <v>Super comfort comfortable and stretchy 100% cecomendable</v>
      </c>
    </row>
    <row r="2931">
      <c r="A2931" s="1">
        <v>5.0</v>
      </c>
      <c r="B2931" s="1" t="s">
        <v>2916</v>
      </c>
      <c r="C2931" t="str">
        <f>IFERROR(__xludf.DUMMYFUNCTION("GOOGLETRANSLATE(B2931, ""es"", ""en"")"),"Good Very good quality")</f>
        <v>Good Very good quality</v>
      </c>
    </row>
    <row r="2932">
      <c r="A2932" s="1">
        <v>5.0</v>
      </c>
      <c r="B2932" s="1" t="s">
        <v>2917</v>
      </c>
      <c r="C2932" t="str">
        <f>IFERROR(__xludf.DUMMYFUNCTION("GOOGLETRANSLATE(B2932, ""es"", ""en"")"),"Beautiful!!! The necklace is lovely, delicate, elegant, has a small teddy bear :) closing the pendant is very nice, it stands far is glass with silver edges. I love it and carries Tous bag and certificate of guarantee. I am very happy :)")</f>
        <v>Beautiful!!! The necklace is lovely, delicate, elegant, has a small teddy bear :) closing the pendant is very nice, it stands far is glass with silver edges. I love it and carries Tous bag and certificate of guarantee. I am very happy :)</v>
      </c>
    </row>
    <row r="2933">
      <c r="A2933" s="1">
        <v>5.0</v>
      </c>
      <c r="B2933" s="1" t="s">
        <v>2918</v>
      </c>
      <c r="C2933" t="str">
        <f>IFERROR(__xludf.DUMMYFUNCTION("GOOGLETRANSLATE(B2933, ""es"", ""en"")"),"An honest opinion, highly recommended at this price Buy at the price of € 4.43 each, can not ask for more at this price, along with the SD adapter supplied and an important brand like Kingston. The camera used in Xiaomi action and are perfect. The velocit"&amp;"y is proportional to the product class (HC I - Class 10). Photos and movies recorded without slowing down or shoot. I recommend this card, at this price there is nothing better. I'm sorry if I do not write very well in Spanish but I'm Italian. This review"&amp;" is only the result of personal experience, as I have personally trained these cards and no one sent for free to write a positive review (s verified purchase). Therefore, if somehow I've helped in the purchase, indicate this review as helpful by clicking "&amp;"the button.")</f>
        <v>An honest opinion, highly recommended at this price Buy at the price of € 4.43 each, can not ask for more at this price, along with the SD adapter supplied and an important brand like Kingston. The camera used in Xiaomi action and are perfect. The velocity is proportional to the product class (HC I - Class 10). Photos and movies recorded without slowing down or shoot. I recommend this card, at this price there is nothing better. I'm sorry if I do not write very well in Spanish but I'm Italian. This review is only the result of personal experience, as I have personally trained these cards and no one sent for free to write a positive review (s verified purchase). Therefore, if somehow I've helped in the purchase, indicate this review as helpful by clicking the button.</v>
      </c>
    </row>
    <row r="2934">
      <c r="A2934" s="1">
        <v>5.0</v>
      </c>
      <c r="B2934" s="1" t="s">
        <v>2919</v>
      </c>
      <c r="C2934" t="str">
        <f>IFERROR(__xludf.DUMMYFUNCTION("GOOGLETRANSLATE(B2934, ""es"", ""en"")"),"Good presentation I love !! Buenisima quality price")</f>
        <v>Good presentation I love !! Buenisima quality price</v>
      </c>
    </row>
    <row r="2935">
      <c r="A2935" s="1">
        <v>5.0</v>
      </c>
      <c r="B2935" s="1" t="s">
        <v>2920</v>
      </c>
      <c r="C2935" t="str">
        <f>IFERROR(__xludf.DUMMYFUNCTION("GOOGLETRANSLATE(B2935, ""es"", ""en"")"),"Highly recommended for cold days is the best solution, you warm hands, bed and is great for any dolorcillo.El price and quality are great.")</f>
        <v>Highly recommended for cold days is the best solution, you warm hands, bed and is great for any dolorcillo.El price and quality are great.</v>
      </c>
    </row>
    <row r="2936">
      <c r="A2936" s="1">
        <v>5.0</v>
      </c>
      <c r="B2936" s="1" t="s">
        <v>2921</v>
      </c>
      <c r="C2936" t="str">
        <f>IFERROR(__xludf.DUMMYFUNCTION("GOOGLETRANSLATE(B2936, ""es"", ""en"")"),"Such high speed as described by the seller speed is excellent which is the main and goes perfectly on my Xiaomi mi8 so I am very happy.")</f>
        <v>Such high speed as described by the seller speed is excellent which is the main and goes perfectly on my Xiaomi mi8 so I am very happy.</v>
      </c>
    </row>
    <row r="2937">
      <c r="A2937" s="1">
        <v>5.0</v>
      </c>
      <c r="B2937" s="1" t="s">
        <v>2922</v>
      </c>
      <c r="C2937" t="str">
        <f>IFERROR(__xludf.DUMMYFUNCTION("GOOGLETRANSLATE(B2937, ""es"", ""en"")"),"Well does the job. Quality good price. Sound good. I recommend it")</f>
        <v>Well does the job. Quality good price. Sound good. I recommend it</v>
      </c>
    </row>
    <row r="2938">
      <c r="A2938" s="1">
        <v>5.0</v>
      </c>
      <c r="B2938" s="1" t="s">
        <v>2923</v>
      </c>
      <c r="C2938" t="str">
        <f>IFERROR(__xludf.DUMMYFUNCTION("GOOGLETRANSLATE(B2938, ""es"", ""en"")"),"Contenta with pruduct has a lot of space and capacity is not the first to buy and buy more and are very well")</f>
        <v>Contenta with pruduct has a lot of space and capacity is not the first to buy and buy more and are very well</v>
      </c>
    </row>
    <row r="2939">
      <c r="A2939" s="1">
        <v>5.0</v>
      </c>
      <c r="B2939" s="1" t="s">
        <v>2924</v>
      </c>
      <c r="C2939" t="str">
        <f>IFERROR(__xludf.DUMMYFUNCTION("GOOGLETRANSLATE(B2939, ""es"", ""en"")"),"Indispensable for money for my work eva rubber to give a perfect finish, I arrived earlier than expected and was able to complete the work and deliver sooner than expected")</f>
        <v>Indispensable for money for my work eva rubber to give a perfect finish, I arrived earlier than expected and was able to complete the work and deliver sooner than expected</v>
      </c>
    </row>
    <row r="2940">
      <c r="A2940" s="1">
        <v>5.0</v>
      </c>
      <c r="B2940" s="1" t="s">
        <v>2925</v>
      </c>
      <c r="C2940" t="str">
        <f>IFERROR(__xludf.DUMMYFUNCTION("GOOGLETRANSLATE(B2940, ""es"", ""en"")"),"perfect perfect")</f>
        <v>perfect perfect</v>
      </c>
    </row>
    <row r="2941">
      <c r="A2941" s="1">
        <v>5.0</v>
      </c>
      <c r="B2941" s="1" t="s">
        <v>2926</v>
      </c>
      <c r="C2941" t="str">
        <f>IFERROR(__xludf.DUMMYFUNCTION("GOOGLETRANSLATE(B2941, ""es"", ""en"")"),"How correctly described, satisfied")</f>
        <v>How correctly described, satisfied</v>
      </c>
    </row>
    <row r="2942">
      <c r="A2942" s="1">
        <v>5.0</v>
      </c>
      <c r="B2942" s="1" t="s">
        <v>2927</v>
      </c>
      <c r="C2942" t="str">
        <f>IFERROR(__xludf.DUMMYFUNCTION("GOOGLETRANSLATE(B2942, ""es"", ""en"")"),"Perfect!!! Very fast shipping and in perfect condition, it fulfills its mission and gives a superior quality audio, 1.5mm is more than enough for a lounge ""average"", with 2,5mm you risk not between good on you connectors ... speak for Logitech Z906.")</f>
        <v>Perfect!!! Very fast shipping and in perfect condition, it fulfills its mission and gives a superior quality audio, 1.5mm is more than enough for a lounge "average", with 2,5mm you risk not between good on you connectors ... speak for Logitech Z906.</v>
      </c>
    </row>
    <row r="2943">
      <c r="A2943" s="1">
        <v>5.0</v>
      </c>
      <c r="B2943" s="1" t="s">
        <v>2928</v>
      </c>
      <c r="C2943" t="str">
        <f>IFERROR(__xludf.DUMMYFUNCTION("GOOGLETRANSLATE(B2943, ""es"", ""en"")"),"A classic. I already had a watch like this with the black dial in my younger days and had the whim to have one again. It is perfect for women and very light. The size of the belt can be easily adjusted. The color of the dial and the combination with silve"&amp;"r belt I like a lot. I would buy")</f>
        <v>A classic. I already had a watch like this with the black dial in my younger days and had the whim to have one again. It is perfect for women and very light. The size of the belt can be easily adjusted. The color of the dial and the combination with silver belt I like a lot. I would buy</v>
      </c>
    </row>
    <row r="2944">
      <c r="A2944" s="1">
        <v>2.0</v>
      </c>
      <c r="B2944" s="1" t="s">
        <v>2929</v>
      </c>
      <c r="C2944" t="str">
        <f>IFERROR(__xludf.DUMMYFUNCTION("GOOGLETRANSLATE(B2944, ""es"", ""en"")"),"In conversation I did not hear very comfortable and plenty of battery life but in my case was not heard in the calls. I do not know if it will fail mine. But I returned him quickly and without problem. Very happy with the service received.")</f>
        <v>In conversation I did not hear very comfortable and plenty of battery life but in my case was not heard in the calls. I do not know if it will fail mine. But I returned him quickly and without problem. Very happy with the service received.</v>
      </c>
    </row>
    <row r="2945">
      <c r="A2945" s="1">
        <v>3.0</v>
      </c>
      <c r="B2945" s="1" t="s">
        <v>2930</v>
      </c>
      <c r="C2945" t="str">
        <f>IFERROR(__xludf.DUMMYFUNCTION("GOOGLETRANSLATE(B2945, ""es"", ""en"")"),"The small size is too small to carve that take into account normal shoe 37, grab one 39. Moreover the shoe is very cool")</f>
        <v>The small size is too small to carve that take into account normal shoe 37, grab one 39. Moreover the shoe is very cool</v>
      </c>
    </row>
    <row r="2946">
      <c r="A2946" s="1">
        <v>3.0</v>
      </c>
      <c r="B2946" s="1" t="s">
        <v>2931</v>
      </c>
      <c r="C2946" t="str">
        <f>IFERROR(__xludf.DUMMYFUNCTION("GOOGLETRANSLATE(B2946, ""es"", ""en"")"),"Very small are very tiny, to the wear them seem a mole")</f>
        <v>Very small are very tiny, to the wear them seem a mole</v>
      </c>
    </row>
    <row r="2947">
      <c r="A2947" s="1">
        <v>1.0</v>
      </c>
      <c r="B2947" s="1" t="s">
        <v>2932</v>
      </c>
      <c r="C2947" t="str">
        <f>IFERROR(__xludf.DUMMYFUNCTION("GOOGLETRANSLATE(B2947, ""es"", ""en"")"),"They break two months without great demands. Slippers very cool .... but are broken in two months, working as a professional driver means that they have not suffered much. No I'll buy this brand because they are of poor quality.")</f>
        <v>They break two months without great demands. Slippers very cool .... but are broken in two months, working as a professional driver means that they have not suffered much. No I'll buy this brand because they are of poor quality.</v>
      </c>
    </row>
    <row r="2948">
      <c r="A2948" s="1">
        <v>1.0</v>
      </c>
      <c r="B2948" s="1" t="s">
        <v>2933</v>
      </c>
      <c r="C2948" t="str">
        <f>IFERROR(__xludf.DUMMYFUNCTION("GOOGLETRANSLATE(B2948, ""es"", ""en"")"),"very small are small")</f>
        <v>very small are small</v>
      </c>
    </row>
    <row r="2949">
      <c r="A2949" s="1">
        <v>4.0</v>
      </c>
      <c r="B2949" s="1" t="s">
        <v>2934</v>
      </c>
      <c r="C2949" t="str">
        <f>IFERROR(__xludf.DUMMYFUNCTION("GOOGLETRANSLATE(B2949, ""es"", ""en"")"),"Pretty kettle The kettle works very nice and luxurious, the bad is that it takes me a couple of days longer than he owed, as it was premium.")</f>
        <v>Pretty kettle The kettle works very nice and luxurious, the bad is that it takes me a couple of days longer than he owed, as it was premium.</v>
      </c>
    </row>
    <row r="2950">
      <c r="A2950" s="1">
        <v>4.0</v>
      </c>
      <c r="B2950" s="1" t="s">
        <v>2935</v>
      </c>
      <c r="C2950" t="str">
        <f>IFERROR(__xludf.DUMMYFUNCTION("GOOGLETRANSLATE(B2950, ""es"", ""en"")"),"David Its value is optimal. Good adjustability, keeps moisture and sole behaves nobly on slippery surfaces. Durability surely be short. Since they have to withstand very extreme conditions (permanent moisture, continued movement and demanding, and saltpet"&amp;"er), but given my experience with this type of footwear, comfort and reliability is above durability. And its price compensates not have a very long life.")</f>
        <v>David Its value is optimal. Good adjustability, keeps moisture and sole behaves nobly on slippery surfaces. Durability surely be short. Since they have to withstand very extreme conditions (permanent moisture, continued movement and demanding, and saltpeter), but given my experience with this type of footwear, comfort and reliability is above durability. And its price compensates not have a very long life.</v>
      </c>
    </row>
    <row r="2951">
      <c r="A2951" s="1">
        <v>4.0</v>
      </c>
      <c r="B2951" s="1" t="s">
        <v>2936</v>
      </c>
      <c r="C2951" t="str">
        <f>IFERROR(__xludf.DUMMYFUNCTION("GOOGLETRANSLATE(B2951, ""es"", ""en"")"),"Muito bom bom Relógio muito.")</f>
        <v>Muito bom bom Relógio muito.</v>
      </c>
    </row>
    <row r="2952">
      <c r="A2952" s="1">
        <v>4.0</v>
      </c>
      <c r="B2952" s="1" t="s">
        <v>2937</v>
      </c>
      <c r="C2952" t="str">
        <f>IFERROR(__xludf.DUMMYFUNCTION("GOOGLETRANSLATE(B2952, ""es"", ""en"")"),"I love beautiful, the only but are a bit narrow in the toe for great rest, reference say that I walk the fine.")</f>
        <v>I love beautiful, the only but are a bit narrow in the toe for great rest, reference say that I walk the fine.</v>
      </c>
    </row>
    <row r="2953">
      <c r="A2953" s="1">
        <v>4.0</v>
      </c>
      <c r="B2953" s="1" t="s">
        <v>2938</v>
      </c>
      <c r="C2953" t="str">
        <f>IFERROR(__xludf.DUMMYFUNCTION("GOOGLETRANSLATE(B2953, ""es"", ""en"")"),"Highly recommended Since I received I have not had problems with noise level. The capacity is a little lower and all storage devices, but very good quality. And in my opinion, another point in its favor is the price. I recommend it.")</f>
        <v>Highly recommended Since I received I have not had problems with noise level. The capacity is a little lower and all storage devices, but very good quality. And in my opinion, another point in its favor is the price. I recommend it.</v>
      </c>
    </row>
    <row r="2954">
      <c r="A2954" s="1">
        <v>5.0</v>
      </c>
      <c r="B2954" s="1" t="s">
        <v>2939</v>
      </c>
      <c r="C2954" t="str">
        <f>IFERROR(__xludf.DUMMYFUNCTION("GOOGLETRANSLATE(B2954, ""es"", ""en"")"),"This massager lifting effect helps my penetrating creams, relax my muscles and relieves me a headache. I put it in the refrigerator before using.")</f>
        <v>This massager lifting effect helps my penetrating creams, relax my muscles and relieves me a headache. I put it in the refrigerator before using.</v>
      </c>
    </row>
    <row r="2955">
      <c r="A2955" s="1">
        <v>5.0</v>
      </c>
      <c r="B2955" s="1" t="s">
        <v>2940</v>
      </c>
      <c r="C2955" t="str">
        <f>IFERROR(__xludf.DUMMYFUNCTION("GOOGLETRANSLATE(B2955, ""es"", ""en"")"),"Fast delivery (earlier than expected) and correct product The product received corresponds to the displayed image. The size was expected according to size (large or small). Delivery was fast ... arriving sooner than expected.")</f>
        <v>Fast delivery (earlier than expected) and correct product The product received corresponds to the displayed image. The size was expected according to size (large or small). Delivery was fast ... arriving sooner than expected.</v>
      </c>
    </row>
    <row r="2956">
      <c r="A2956" s="1">
        <v>5.0</v>
      </c>
      <c r="B2956" s="1" t="s">
        <v>2941</v>
      </c>
      <c r="C2956" t="str">
        <f>IFERROR(__xludf.DUMMYFUNCTION("GOOGLETRANSLATE(B2956, ""es"", ""en"")"),"I loved and not me alone .... hehe ..... It's very cool to be clear way .... excellent quality ... buy the size that is what l use in other garments and perfect. ... comfortable ... dry very fast ... I stopped one of better quality than is ..... if you ha"&amp;"ve body wear it you will not regret ..... this really beautiful ...")</f>
        <v>I loved and not me alone .... hehe ..... It's very cool to be clear way .... excellent quality ... buy the size that is what l use in other garments and perfect. ... comfortable ... dry very fast ... I stopped one of better quality than is ..... if you have body wear it you will not regret ..... this really beautiful ...</v>
      </c>
    </row>
    <row r="2957">
      <c r="A2957" s="1">
        <v>5.0</v>
      </c>
      <c r="B2957" s="1" t="s">
        <v>2942</v>
      </c>
      <c r="C2957" t="str">
        <f>IFERROR(__xludf.DUMMYFUNCTION("GOOGLETRANSLATE(B2957, ""es"", ""en"")"),"Oscar is better than I expected I was surprised much more room price product quality recommend worth")</f>
        <v>Oscar is better than I expected I was surprised much more room price product quality recommend worth</v>
      </c>
    </row>
    <row r="2958">
      <c r="A2958" s="1">
        <v>5.0</v>
      </c>
      <c r="B2958" s="1" t="s">
        <v>2943</v>
      </c>
      <c r="C2958" t="str">
        <f>IFERROR(__xludf.DUMMYFUNCTION("GOOGLETRANSLATE(B2958, ""es"", ""en"")"),"Is everything as I bought it look good, they are good quality and taste my price even good enough to be bought in Spain. (I then seen the Gibraltar cheaper but ...) box is original, perfectly come individually wrapped with padding on the toe. Good buy.")</f>
        <v>Is everything as I bought it look good, they are good quality and taste my price even good enough to be bought in Spain. (I then seen the Gibraltar cheaper but ...) box is original, perfectly come individually wrapped with padding on the toe. Good buy.</v>
      </c>
    </row>
    <row r="2959">
      <c r="A2959" s="1">
        <v>5.0</v>
      </c>
      <c r="B2959" s="1" t="s">
        <v>2944</v>
      </c>
      <c r="C2959" t="str">
        <f>IFERROR(__xludf.DUMMYFUNCTION("GOOGLETRANSLATE(B2959, ""es"", ""en"")"),"Eco friendly 100%. 3 units very useful. Great! They come 3; 2 with the perfect size to put inside a shoe for ventilation and one for the room. I like everything natural and I feel great this invention to clean the air base bamboo charcoal. Even the exteri"&amp;"or material is natural. It is ""recharged"" by sunlight and says to throw him in the garden when you have finished your life: 100% eco friendly!")</f>
        <v>Eco friendly 100%. 3 units very useful. Great! They come 3; 2 with the perfect size to put inside a shoe for ventilation and one for the room. I like everything natural and I feel great this invention to clean the air base bamboo charcoal. Even the exterior material is natural. It is "recharged" by sunlight and says to throw him in the garden when you have finished your life: 100% eco friendly!</v>
      </c>
    </row>
    <row r="2960">
      <c r="A2960" s="1">
        <v>5.0</v>
      </c>
      <c r="B2960" s="1" t="s">
        <v>2945</v>
      </c>
      <c r="C2960" t="str">
        <f>IFERROR(__xludf.DUMMYFUNCTION("GOOGLETRANSLATE(B2960, ""es"", ""en"")"),"Perfect headset child. They arrived perfect. They are very pretty. nice touch. They are very lightweight and comfortable. As advertised. They are resistant to the way they have. They fit very well. The colors are attractive to children.")</f>
        <v>Perfect headset child. They arrived perfect. They are very pretty. nice touch. They are very lightweight and comfortable. As advertised. They are resistant to the way they have. They fit very well. The colors are attractive to children.</v>
      </c>
    </row>
    <row r="2961">
      <c r="A2961" s="1">
        <v>5.0</v>
      </c>
      <c r="B2961" s="1" t="s">
        <v>2946</v>
      </c>
      <c r="C2961" t="str">
        <f>IFERROR(__xludf.DUMMYFUNCTION("GOOGLETRANSLATE(B2961, ""es"", ""en"")"),"Good Rapido, all perfect")</f>
        <v>Good Rapido, all perfect</v>
      </c>
    </row>
    <row r="2962">
      <c r="A2962" s="1">
        <v>5.0</v>
      </c>
      <c r="B2962" s="1" t="s">
        <v>2947</v>
      </c>
      <c r="C2962" t="str">
        <f>IFERROR(__xludf.DUMMYFUNCTION("GOOGLETRANSLATE(B2962, ""es"", ""en"")"),"T-shirt to wear to gym doing sport. is well adjusted to the body, it is flexible and breathable. You can machine wash. Look at the table with measures to know what size to order.")</f>
        <v>T-shirt to wear to gym doing sport. is well adjusted to the body, it is flexible and breathable. You can machine wash. Look at the table with measures to know what size to order.</v>
      </c>
    </row>
    <row r="2963">
      <c r="A2963" s="1">
        <v>5.0</v>
      </c>
      <c r="B2963" s="1" t="s">
        <v>2948</v>
      </c>
      <c r="C2963" t="str">
        <f>IFERROR(__xludf.DUMMYFUNCTION("GOOGLETRANSLATE(B2963, ""es"", ""en"")"),"Very quiet For the money you have, it is fine. It is easy to use and has 7 colors each mode in bright and dim. I bought another humidifier very similar, with the most powerful lights, but it was water bubbles noise. This makes no noise, it seems a good bu"&amp;"y. Yes, to see how long it lasts, I have it for a week.")</f>
        <v>Very quiet For the money you have, it is fine. It is easy to use and has 7 colors each mode in bright and dim. I bought another humidifier very similar, with the most powerful lights, but it was water bubbles noise. This makes no noise, it seems a good buy. Yes, to see how long it lasts, I have it for a week.</v>
      </c>
    </row>
    <row r="2964">
      <c r="A2964" s="1">
        <v>5.0</v>
      </c>
      <c r="B2964" s="1" t="s">
        <v>2949</v>
      </c>
      <c r="C2964" t="str">
        <f>IFERROR(__xludf.DUMMYFUNCTION("GOOGLETRANSLATE(B2964, ""es"", ""en"")"),"White Album 22,5x22,5 I loved the album. It has 50 sheets for 200 photos 10x15 to insert into plastics. At the end dell all, a bag to put a CD. As negative perhaps (although it has not mattered to me) is that tapas are not very rigid and the inner leaves "&amp;"of the cases are somewhat soft as well.")</f>
        <v>White Album 22,5x22,5 I loved the album. It has 50 sheets for 200 photos 10x15 to insert into plastics. At the end dell all, a bag to put a CD. As negative perhaps (although it has not mattered to me) is that tapas are not very rigid and the inner leaves of the cases are somewhat soft as well.</v>
      </c>
    </row>
    <row r="2965">
      <c r="A2965" s="1">
        <v>5.0</v>
      </c>
      <c r="B2965" s="1" t="s">
        <v>2950</v>
      </c>
      <c r="C2965" t="str">
        <f>IFERROR(__xludf.DUMMYFUNCTION("GOOGLETRANSLATE(B2965, ""es"", ""en"")"),"A great quality, like all products of the brand I am a lover of teas and infusions, so this product seems like a maravilla.Y I have to admit I'm everything impartial as I can, but I love the products of this brand, so I have some difficulties because I'm "&amp;"quite a fan. In the box the product came the following: - Electric Kettle - Base with power cable - User Manual - Warranty Card This kettle or electric kettle, is made of stainless steel with heat insulating handle. The truth is that aesthetically has a s"&amp;"imple and discreet design, yet elegant, is in black with black. Has a capacity more than worthy of 1.7 liters with an output of 2400 vatios.Tiene measuring approximately 23,2x21,6x17,8 centimeters, it is somewhat smaller than I had and have the same capac"&amp;"ity water . The power button is right under the handle and a small lever with a red flag when in operation. Its use is very simple: connect the base to the outlet, fill the kettle with water until the amount need (always looking line not exceed ""max"", t"&amp;"hat is the 1.7 liter), we place on the base and press the power button to start heating. I love the detail of not having to be aware of the teapot, because once the water is hot and switches itself off. A positive point is that we can heat water for one c"&amp;"up, and indeed has a meter to heat water for two to three cups (a little red meter is located inside). Water for one cup heats in less than a minute. In addition, also has the positive point of the filter carrying the nozzle is removable and washable. I l"&amp;"oved the truth, although it is true that perhaps is a bit expensive for what it is, but the truth is that all I have this brand has great quality, and the final quality and beautiful design are paid.")</f>
        <v>A great quality, like all products of the brand I am a lover of teas and infusions, so this product seems like a maravilla.Y I have to admit I'm everything impartial as I can, but I love the products of this brand, so I have some difficulties because I'm quite a fan. In the box the product came the following: - Electric Kettle - Base with power cable - User Manual - Warranty Card This kettle or electric kettle, is made of stainless steel with heat insulating handle. The truth is that aesthetically has a simple and discreet design, yet elegant, is in black with black. Has a capacity more than worthy of 1.7 liters with an output of 2400 vatios.Tiene measuring approximately 23,2x21,6x17,8 centimeters, it is somewhat smaller than I had and have the same capacity water . The power button is right under the handle and a small lever with a red flag when in operation. Its use is very simple: connect the base to the outlet, fill the kettle with water until the amount need (always looking line not exceed "max", that is the 1.7 liter), we place on the base and press the power button to start heating. I love the detail of not having to be aware of the teapot, because once the water is hot and switches itself off. A positive point is that we can heat water for one cup, and indeed has a meter to heat water for two to three cups (a little red meter is located inside). Water for one cup heats in less than a minute. In addition, also has the positive point of the filter carrying the nozzle is removable and washable. I loved the truth, although it is true that perhaps is a bit expensive for what it is, but the truth is that all I have this brand has great quality, and the final quality and beautiful design are paid.</v>
      </c>
    </row>
    <row r="2966">
      <c r="A2966" s="1">
        <v>5.0</v>
      </c>
      <c r="B2966" s="1" t="s">
        <v>2951</v>
      </c>
      <c r="C2966" t="str">
        <f>IFERROR(__xludf.DUMMYFUNCTION("GOOGLETRANSLATE(B2966, ""es"", ""en"")"),"I like very much is expected, the classic CASIO watch. Very nice and works great at the moment I've bathed him without problems. I hope that as some stamina bathrooms pool because I want to use every day without take it off. The only downside I see is the"&amp;" size is a bit small, more style watches women, but it's like what we had in those days")</f>
        <v>I like very much is expected, the classic CASIO watch. Very nice and works great at the moment I've bathed him without problems. I hope that as some stamina bathrooms pool because I want to use every day without take it off. The only downside I see is the size is a bit small, more style watches women, but it's like what we had in those days</v>
      </c>
    </row>
    <row r="2967">
      <c r="A2967" s="1">
        <v>5.0</v>
      </c>
      <c r="B2967" s="1" t="s">
        <v>2952</v>
      </c>
      <c r="C2967" t="str">
        <f>IFERROR(__xludf.DUMMYFUNCTION("GOOGLETRANSLATE(B2967, ""es"", ""en"")"),"Good quality good quality and very practical, perfect for cooking quick and effortless")</f>
        <v>Good quality good quality and very practical, perfect for cooking quick and effortless</v>
      </c>
    </row>
    <row r="2968">
      <c r="A2968" s="1">
        <v>5.0</v>
      </c>
      <c r="B2968" s="1" t="s">
        <v>2953</v>
      </c>
      <c r="C2968" t="str">
        <f>IFERROR(__xludf.DUMMYFUNCTION("GOOGLETRANSLATE(B2968, ""es"", ""en"")"),"Just as I imagined all ok")</f>
        <v>Just as I imagined all ok</v>
      </c>
    </row>
    <row r="2969">
      <c r="A2969" s="1">
        <v>5.0</v>
      </c>
      <c r="B2969" s="1" t="s">
        <v>2954</v>
      </c>
      <c r="C2969" t="str">
        <f>IFERROR(__xludf.DUMMYFUNCTION("GOOGLETRANSLATE(B2969, ""es"", ""en"")"),"Good value is smaller and lighter than I thought. I have examined a program and its capacity is a Tera, as he had bought, and usage status is good. I think the price is very good and my son has been satisfied with the purchase")</f>
        <v>Good value is smaller and lighter than I thought. I have examined a program and its capacity is a Tera, as he had bought, and usage status is good. I think the price is very good and my son has been satisfied with the purchase</v>
      </c>
    </row>
    <row r="2970">
      <c r="A2970" s="1">
        <v>5.0</v>
      </c>
      <c r="B2970" s="1" t="s">
        <v>2955</v>
      </c>
      <c r="C2970" t="str">
        <f>IFERROR(__xludf.DUMMYFUNCTION("GOOGLETRANSLATE(B2970, ""es"", ""en"")"),"Very good adhesive glue high quality. And the packaging is undoubtedly the best of the market. It never is going to be obstructing big hole. The brush is lo.mejor. A product 10.")</f>
        <v>Very good adhesive glue high quality. And the packaging is undoubtedly the best of the market. It never is going to be obstructing big hole. The brush is lo.mejor. A product 10.</v>
      </c>
    </row>
    <row r="2971">
      <c r="A2971" s="1">
        <v>5.0</v>
      </c>
      <c r="B2971" s="1" t="s">
        <v>2956</v>
      </c>
      <c r="C2971" t="str">
        <f>IFERROR(__xludf.DUMMYFUNCTION("GOOGLETRANSLATE(B2971, ""es"", ""en"")"),"Very comfortable. They not released. Powerful sound. I bought them, after trying two other models, to play tennis. While others were falling all the time, they do not. IMPORTANT: If you adjust the small hook wires connecting the two just below your face a"&amp;"nd get a firmer subject to sudden head movements. The sound, as I read in other reviews, it's fucking serious, but sound great. What I have done is to purchase an app equalizer 10 tracks with adjustable bass and treble and much more (Poweramp) for 4 euros"&amp;" more, but worth it, although there are free too, as they insist that the sound it is serious and if you will use all the time and not just for sports for a while, it can be a bit annoying. The location of the buttons on the right ear is intuitive, simple"&amp;" to use and connects easily and quickly to bluetooth. Bring sponge pads, which although initially thought it would be more comfortable, at the end I left the rubber sponges bring default headphones. A few months ago I bought a Sennheiser CX 3.0 (cable) an"&amp;"d the truth is that these headphones MPOW give them many turns and a couple of euros less. I recommend purchase at 100%.")</f>
        <v>Very comfortable. They not released. Powerful sound. I bought them, after trying two other models, to play tennis. While others were falling all the time, they do not. IMPORTANT: If you adjust the small hook wires connecting the two just below your face and get a firmer subject to sudden head movements. The sound, as I read in other reviews, it's fucking serious, but sound great. What I have done is to purchase an app equalizer 10 tracks with adjustable bass and treble and much more (Poweramp) for 4 euros more, but worth it, although there are free too, as they insist that the sound it is serious and if you will use all the time and not just for sports for a while, it can be a bit annoying. The location of the buttons on the right ear is intuitive, simple to use and connects easily and quickly to bluetooth. Bring sponge pads, which although initially thought it would be more comfortable, at the end I left the rubber sponges bring default headphones. A few months ago I bought a Sennheiser CX 3.0 (cable) and the truth is that these headphones MPOW give them many turns and a couple of euros less. I recommend purchase at 100%.</v>
      </c>
    </row>
    <row r="2972">
      <c r="A2972" s="1">
        <v>2.0</v>
      </c>
      <c r="B2972" s="1" t="s">
        <v>2957</v>
      </c>
      <c r="C2972" t="str">
        <f>IFERROR(__xludf.DUMMYFUNCTION("GOOGLETRANSLATE(B2972, ""es"", ""en"")"),"Poor poor quality ""look"" curtres, thin ... plasticosas")</f>
        <v>Poor poor quality "look" curtres, thin ... plasticosas</v>
      </c>
    </row>
    <row r="2973">
      <c r="A2973" s="1">
        <v>3.0</v>
      </c>
      <c r="B2973" s="1" t="s">
        <v>2958</v>
      </c>
      <c r="C2973" t="str">
        <f>IFERROR(__xludf.DUMMYFUNCTION("GOOGLETRANSLATE(B2973, ""es"", ""en"")"),"Right Corrwcta considering the price either can not expect much more. I bought a small, no longer works after a week. The large works well, heated sufficiently and uniformly.")</f>
        <v>Right Corrwcta considering the price either can not expect much more. I bought a small, no longer works after a week. The large works well, heated sufficiently and uniformly.</v>
      </c>
    </row>
    <row r="2974">
      <c r="A2974" s="1">
        <v>3.0</v>
      </c>
      <c r="B2974" s="1" t="s">
        <v>2959</v>
      </c>
      <c r="C2974" t="str">
        <f>IFERROR(__xludf.DUMMYFUNCTION("GOOGLETRANSLATE(B2974, ""es"", ""en"")"),"It is not as optimal enough to have to make it look as you do at 2 or 3 washes remains a stain that is not readable name. and if some brands do not last many washings as saying.")</f>
        <v>It is not as optimal enough to have to make it look as you do at 2 or 3 washes remains a stain that is not readable name. and if some brands do not last many washings as saying.</v>
      </c>
    </row>
    <row r="2975">
      <c r="A2975" s="1">
        <v>1.0</v>
      </c>
      <c r="B2975" s="1" t="s">
        <v>2960</v>
      </c>
      <c r="C2975" t="str">
        <f>IFERROR(__xludf.DUMMYFUNCTION("GOOGLETRANSLATE(B2975, ""es"", ""en"")"),"BUY IT AS 5 star quality relationship IS NOT THAT I WISH I HAD QUALITY OF THIS PRODCTO, THE SCENT IS VERY LOW AND MIXING PONTECIA also very low")</f>
        <v>BUY IT AS 5 star quality relationship IS NOT THAT I WISH I HAD QUALITY OF THIS PRODCTO, THE SCENT IS VERY LOW AND MIXING PONTECIA also very low</v>
      </c>
    </row>
    <row r="2976">
      <c r="A2976" s="1">
        <v>1.0</v>
      </c>
      <c r="B2976" s="1" t="s">
        <v>2961</v>
      </c>
      <c r="C2976" t="str">
        <f>IFERROR(__xludf.DUMMYFUNCTION("GOOGLETRANSLATE(B2976, ""es"", ""en"")"),"It broke after sleazy used for 1 month only. Poor quality")</f>
        <v>It broke after sleazy used for 1 month only. Poor quality</v>
      </c>
    </row>
    <row r="2977">
      <c r="A2977" s="1">
        <v>1.0</v>
      </c>
      <c r="B2977" s="1" t="s">
        <v>2962</v>
      </c>
      <c r="C2977" t="str">
        <f>IFERROR(__xludf.DUMMYFUNCTION("GOOGLETRANSLATE(B2977, ""es"", ""en"")"),"Bag has not liked anything is like for girls")</f>
        <v>Bag has not liked anything is like for girls</v>
      </c>
    </row>
    <row r="2978">
      <c r="A2978" s="1">
        <v>4.0</v>
      </c>
      <c r="B2978" s="1" t="s">
        <v>2963</v>
      </c>
      <c r="C2978" t="str">
        <f>IFERROR(__xludf.DUMMYFUNCTION("GOOGLETRANSLATE(B2978, ""es"", ""en"")"),"Gift was a gift that had asked me and gladly. The color is like the photo and touch is nice. good capacity")</f>
        <v>Gift was a gift that had asked me and gladly. The color is like the photo and touch is nice. good capacity</v>
      </c>
    </row>
    <row r="2979">
      <c r="A2979" s="1">
        <v>4.0</v>
      </c>
      <c r="B2979" s="1" t="s">
        <v>2964</v>
      </c>
      <c r="C2979" t="str">
        <f>IFERROR(__xludf.DUMMYFUNCTION("GOOGLETRANSLATE(B2979, ""es"", ""en"")"),"Pick a size or height and a half Carve very fair, I took one more number and still are justitas. An average size for me and would have been ideal.")</f>
        <v>Pick a size or height and a half Carve very fair, I took one more number and still are justitas. An average size for me and would have been ideal.</v>
      </c>
    </row>
    <row r="2980">
      <c r="A2980" s="1">
        <v>4.0</v>
      </c>
      <c r="B2980" s="1" t="s">
        <v>2965</v>
      </c>
      <c r="C2980" t="str">
        <f>IFERROR(__xludf.DUMMYFUNCTION("GOOGLETRANSLATE(B2980, ""es"", ""en"")"),"Good design Very nice watch, the only downside is that the numbers being black screen is not much appreciated, otherwise perfect")</f>
        <v>Good design Very nice watch, the only downside is that the numbers being black screen is not much appreciated, otherwise perfect</v>
      </c>
    </row>
    <row r="2981">
      <c r="A2981" s="1">
        <v>4.0</v>
      </c>
      <c r="B2981" s="1" t="s">
        <v>2966</v>
      </c>
      <c r="C2981" t="str">
        <f>IFERROR(__xludf.DUMMYFUNCTION("GOOGLETRANSLATE(B2981, ""es"", ""en"")"),"Good juicer. This is a good juicer and very powerful. Only fault I find is that you need a fastening system that does not leave honking when working.")</f>
        <v>Good juicer. This is a good juicer and very powerful. Only fault I find is that you need a fastening system that does not leave honking when working.</v>
      </c>
    </row>
    <row r="2982">
      <c r="A2982" s="1">
        <v>4.0</v>
      </c>
      <c r="B2982" s="1" t="s">
        <v>2967</v>
      </c>
      <c r="C2982" t="str">
        <f>IFERROR(__xludf.DUMMYFUNCTION("GOOGLETRANSLATE(B2982, ""es"", ""en"")"),"Nice and good quality belt is a little tight for a ancha.Viene wrist with several sections to shorten and closing is safe and comfortable in finished steel. The pins are very fair, so I put the four stars .if it is true that brings parts and the presentat"&amp;"ion is good, but beware if you have a doll of 21 (which is mine) because there's nothing left")</f>
        <v>Nice and good quality belt is a little tight for a ancha.Viene wrist with several sections to shorten and closing is safe and comfortable in finished steel. The pins are very fair, so I put the four stars .if it is true that brings parts and the presentation is good, but beware if you have a doll of 21 (which is mine) because there's nothing left</v>
      </c>
    </row>
    <row r="2983">
      <c r="A2983" s="1">
        <v>5.0</v>
      </c>
      <c r="B2983" s="1" t="s">
        <v>2968</v>
      </c>
      <c r="C2983" t="str">
        <f>IFERROR(__xludf.DUMMYFUNCTION("GOOGLETRANSLATE(B2983, ""es"", ""en"")"),"Value Well done, and comfortable, weigh a little but very well")</f>
        <v>Value Well done, and comfortable, weigh a little but very well</v>
      </c>
    </row>
    <row r="2984">
      <c r="A2984" s="1">
        <v>5.0</v>
      </c>
      <c r="B2984" s="1" t="s">
        <v>2969</v>
      </c>
      <c r="C2984" t="str">
        <f>IFERROR(__xludf.DUMMYFUNCTION("GOOGLETRANSLATE(B2984, ""es"", ""en"")"),"Good service and fast Very nice design very practical and heats the water super fast shipping all very well")</f>
        <v>Good service and fast Very nice design very practical and heats the water super fast shipping all very well</v>
      </c>
    </row>
    <row r="2985">
      <c r="A2985" s="1">
        <v>5.0</v>
      </c>
      <c r="B2985" s="1" t="s">
        <v>2970</v>
      </c>
      <c r="C2985" t="str">
        <f>IFERROR(__xludf.DUMMYFUNCTION("GOOGLETRANSLATE(B2985, ""es"", ""en"")"),"There are very comfortable and are very comfortable")</f>
        <v>There are very comfortable and are very comfortable</v>
      </c>
    </row>
    <row r="2986">
      <c r="A2986" s="1">
        <v>5.0</v>
      </c>
      <c r="B2986" s="1" t="s">
        <v>2971</v>
      </c>
      <c r="C2986" t="str">
        <f>IFERROR(__xludf.DUMMYFUNCTION("GOOGLETRANSLATE(B2986, ""es"", ""en"")"),"Better than expected Q x the price so affordable I've bought my nephew and I xa Q You will love it. It works very well and is very intuitive and easy fun. See Q I just get the gift jijijiji")</f>
        <v>Better than expected Q x the price so affordable I've bought my nephew and I xa Q You will love it. It works very well and is very intuitive and easy fun. See Q I just get the gift jijijiji</v>
      </c>
    </row>
    <row r="2987">
      <c r="A2987" s="1">
        <v>5.0</v>
      </c>
      <c r="B2987" s="1" t="s">
        <v>2972</v>
      </c>
      <c r="C2987" t="str">
        <f>IFERROR(__xludf.DUMMYFUNCTION("GOOGLETRANSLATE(B2987, ""es"", ""en"")"),"Comfortable and warm, even use it to dress comfortable and warm, I use it to dress even")</f>
        <v>Comfortable and warm, even use it to dress comfortable and warm, I use it to dress even</v>
      </c>
    </row>
    <row r="2988">
      <c r="A2988" s="1">
        <v>5.0</v>
      </c>
      <c r="B2988" s="1" t="s">
        <v>2973</v>
      </c>
      <c r="C2988" t="str">
        <f>IFERROR(__xludf.DUMMYFUNCTION("GOOGLETRANSLATE(B2988, ""es"", ""en"")"),"time The set of options")</f>
        <v>time The set of options</v>
      </c>
    </row>
    <row r="2989">
      <c r="A2989" s="1">
        <v>5.0</v>
      </c>
      <c r="B2989" s="1" t="s">
        <v>2974</v>
      </c>
      <c r="C2989" t="str">
        <f>IFERROR(__xludf.DUMMYFUNCTION("GOOGLETRANSLATE(B2989, ""es"", ""en"")"),"Cool! Cool, super elastic, warm and comfortable. They give the exact size. I recommend it 100%. I'll buy clothing brand eata insurance.")</f>
        <v>Cool! Cool, super elastic, warm and comfortable. They give the exact size. I recommend it 100%. I'll buy clothing brand eata insurance.</v>
      </c>
    </row>
    <row r="2990">
      <c r="A2990" s="1">
        <v>5.0</v>
      </c>
      <c r="B2990" s="1" t="s">
        <v>2975</v>
      </c>
      <c r="C2990" t="str">
        <f>IFERROR(__xludf.DUMMYFUNCTION("GOOGLETRANSLATE(B2990, ""es"", ""en"")"),"Hit all with your purchase One of the best watches that I have in my collection for their incredible value. I recommend purchase for whom it is thinking.")</f>
        <v>Hit all with your purchase One of the best watches that I have in my collection for their incredible value. I recommend purchase for whom it is thinking.</v>
      </c>
    </row>
    <row r="2991">
      <c r="A2991" s="1">
        <v>5.0</v>
      </c>
      <c r="B2991" s="1" t="s">
        <v>2976</v>
      </c>
      <c r="C2991" t="str">
        <f>IFERROR(__xludf.DUMMYFUNCTION("GOOGLETRANSLATE(B2991, ""es"", ""en"")"),"Very good quality at a good price Incredibles, the sound is flat and crisp, buy it to use it with a Fiio-M3K and the couple is doing great. Includes a very stylish case in black, although perhaps just Pelin for size headphones, cables included are of very"&amp;" good quality and connection system with headphones is super effective for not disconnecting on yanking without want. Highly recommended.")</f>
        <v>Very good quality at a good price Incredibles, the sound is flat and crisp, buy it to use it with a Fiio-M3K and the couple is doing great. Includes a very stylish case in black, although perhaps just Pelin for size headphones, cables included are of very good quality and connection system with headphones is super effective for not disconnecting on yanking without want. Highly recommended.</v>
      </c>
    </row>
    <row r="2992">
      <c r="A2992" s="1">
        <v>5.0</v>
      </c>
      <c r="B2992" s="1" t="s">
        <v>2977</v>
      </c>
      <c r="C2992" t="str">
        <f>IFERROR(__xludf.DUMMYFUNCTION("GOOGLETRANSLATE(B2992, ""es"", ""en"")"),"Buy two beautiful ring as this one for my daughter and one for my daughter two contentisimas recommend buying such a nice ring")</f>
        <v>Buy two beautiful ring as this one for my daughter and one for my daughter two contentisimas recommend buying such a nice ring</v>
      </c>
    </row>
    <row r="2993">
      <c r="A2993" s="1">
        <v>5.0</v>
      </c>
      <c r="B2993" s="1" t="s">
        <v>2978</v>
      </c>
      <c r="C2993" t="str">
        <f>IFERROR(__xludf.DUMMYFUNCTION("GOOGLETRANSLATE(B2993, ""es"", ""en"")"),"Upgrade to having it in front quite honestly improvement to have him ahead. Sphere proper and elegant design. There is a good quality price relation. Strap good quality water-resistant, tested.")</f>
        <v>Upgrade to having it in front quite honestly improvement to have him ahead. Sphere proper and elegant design. There is a good quality price relation. Strap good quality water-resistant, tested.</v>
      </c>
    </row>
    <row r="2994">
      <c r="A2994" s="1">
        <v>5.0</v>
      </c>
      <c r="B2994" s="1" t="s">
        <v>2979</v>
      </c>
      <c r="C2994" t="str">
        <f>IFERROR(__xludf.DUMMYFUNCTION("GOOGLETRANSLATE(B2994, ""es"", ""en"")"),"Great watch is just what I needed, a robust clock to give me confidence to do cuakquier physical activity without concern that the clock broke, as I ran with others. It is true that the LED light does not illuminate the panel degital but the needles are p"&amp;"erfectly visible.")</f>
        <v>Great watch is just what I needed, a robust clock to give me confidence to do cuakquier physical activity without concern that the clock broke, as I ran with others. It is true that the LED light does not illuminate the panel degital but the needles are perfectly visible.</v>
      </c>
    </row>
    <row r="2995">
      <c r="A2995" s="1">
        <v>5.0</v>
      </c>
      <c r="B2995" s="1" t="s">
        <v>2980</v>
      </c>
      <c r="C2995" t="str">
        <f>IFERROR(__xludf.DUMMYFUNCTION("GOOGLETRANSLATE(B2995, ""es"", ""en"")"),"Victoria All right. I use to play paddle and do not move like those of other brands. I will repeat next.")</f>
        <v>Victoria All right. I use to play paddle and do not move like those of other brands. I will repeat next.</v>
      </c>
    </row>
    <row r="2996">
      <c r="A2996" s="1">
        <v>5.0</v>
      </c>
      <c r="B2996" s="1" t="s">
        <v>2981</v>
      </c>
      <c r="C2996" t="str">
        <f>IFERROR(__xludf.DUMMYFUNCTION("GOOGLETRANSLATE(B2996, ""es"", ""en"")"),"I used it a success for the candy bar baptism of my son and there was not one. I filled them with white anisitos and put them in a decorated wooden box. It was very nice.")</f>
        <v>I used it a success for the candy bar baptism of my son and there was not one. I filled them with white anisitos and put them in a decorated wooden box. It was very nice.</v>
      </c>
    </row>
    <row r="2997">
      <c r="A2997" s="1">
        <v>5.0</v>
      </c>
      <c r="B2997" s="1" t="s">
        <v>2982</v>
      </c>
      <c r="C2997" t="str">
        <f>IFERROR(__xludf.DUMMYFUNCTION("GOOGLETRANSLATE(B2997, ""es"", ""en"")"),"Value for money Ideal to make a nice gift. It is very smart and has a lot of stone that brings brightness")</f>
        <v>Value for money Ideal to make a nice gift. It is very smart and has a lot of stone that brings brightness</v>
      </c>
    </row>
    <row r="2998">
      <c r="A2998" s="1">
        <v>5.0</v>
      </c>
      <c r="B2998" s="1" t="s">
        <v>2983</v>
      </c>
      <c r="C2998" t="str">
        <f>IFERROR(__xludf.DUMMYFUNCTION("GOOGLETRANSLATE(B2998, ""es"", ""en"")"),"mouse mat I think this is not very good quality life for my taste a little thin")</f>
        <v>mouse mat I think this is not very good quality life for my taste a little thin</v>
      </c>
    </row>
    <row r="2999">
      <c r="A2999" s="1">
        <v>5.0</v>
      </c>
      <c r="B2999" s="1" t="s">
        <v>2984</v>
      </c>
      <c r="C2999" t="str">
        <f>IFERROR(__xludf.DUMMYFUNCTION("GOOGLETRANSLATE(B2999, ""es"", ""en"")"),"Ideal Ideal")</f>
        <v>Ideal Ideal</v>
      </c>
    </row>
    <row r="3000">
      <c r="A3000" s="1">
        <v>5.0</v>
      </c>
      <c r="B3000" s="1" t="s">
        <v>2985</v>
      </c>
      <c r="C3000" t="str">
        <f>IFERROR(__xludf.DUMMYFUNCTION("GOOGLETRANSLATE(B3000, ""es"", ""en"")"),"Blender with accessories and bowls. Hand mixer that comes with bowls, very comfortable to make the biscuit dough or whipping eggs or making juice for children.")</f>
        <v>Blender with accessories and bowls. Hand mixer that comes with bowls, very comfortable to make the biscuit dough or whipping eggs or making juice for children.</v>
      </c>
    </row>
    <row r="3001">
      <c r="A3001" s="1">
        <v>5.0</v>
      </c>
      <c r="B3001" s="1" t="s">
        <v>2986</v>
      </c>
      <c r="C3001" t="str">
        <f>IFERROR(__xludf.DUMMYFUNCTION("GOOGLETRANSLATE(B3001, ""es"", ""en"")"),"Slippers The product looks good, I tried it but the size is very fair so I chose to buy another pair and make the return, recommend ordering more numbers that you use")</f>
        <v>Slippers The product looks good, I tried it but the size is very fair so I chose to buy another pair and make the return, recommend ordering more numbers that you use</v>
      </c>
    </row>
    <row r="3002">
      <c r="A3002" s="1">
        <v>2.0</v>
      </c>
      <c r="B3002" s="1" t="s">
        <v>2987</v>
      </c>
      <c r="C3002" t="str">
        <f>IFERROR(__xludf.DUMMYFUNCTION("GOOGLETRANSLATE(B3002, ""es"", ""en"")"),"Small The photo does not it suggests that small.")</f>
        <v>Small The photo does not it suggests that small.</v>
      </c>
    </row>
    <row r="3003">
      <c r="A3003" s="1">
        <v>3.0</v>
      </c>
      <c r="B3003" s="1" t="s">
        <v>2988</v>
      </c>
      <c r="C3003" t="str">
        <f>IFERROR(__xludf.DUMMYFUNCTION("GOOGLETRANSLATE(B3003, ""es"", ""en"")"),"Rodemaca@gmail.com is a gift for someone you think will give very useful for his love of singing. The opinion must be given by that person when you have a chance to try.")</f>
        <v>Rodemaca@gmail.com is a gift for someone you think will give very useful for his love of singing. The opinion must be given by that person when you have a chance to try.</v>
      </c>
    </row>
    <row r="3004">
      <c r="A3004" s="1">
        <v>3.0</v>
      </c>
      <c r="B3004" s="1" t="s">
        <v>2989</v>
      </c>
      <c r="C3004" t="str">
        <f>IFERROR(__xludf.DUMMYFUNCTION("GOOGLETRANSLATE(B3004, ""es"", ""en"")"),"Elegant, strong and good quality watch is elegant and strong quality I give it 3 stars because the guarantee is not sealed")</f>
        <v>Elegant, strong and good quality watch is elegant and strong quality I give it 3 stars because the guarantee is not sealed</v>
      </c>
    </row>
    <row r="3005">
      <c r="A3005" s="1">
        <v>1.0</v>
      </c>
      <c r="B3005" s="1" t="s">
        <v>2990</v>
      </c>
      <c r="C3005" t="str">
        <f>IFERROR(__xludf.DUMMYFUNCTION("GOOGLETRANSLATE(B3005, ""es"", ""en"")"),"Material Barato Although I meet what I needed, the material is of poor quality and does not function calculator.")</f>
        <v>Material Barato Although I meet what I needed, the material is of poor quality and does not function calculator.</v>
      </c>
    </row>
    <row r="3006">
      <c r="A3006" s="1">
        <v>1.0</v>
      </c>
      <c r="B3006" s="1" t="s">
        <v>2991</v>
      </c>
      <c r="C3006" t="str">
        <f>IFERROR(__xludf.DUMMYFUNCTION("GOOGLETRANSLATE(B3006, ""es"", ""en"")"),"Poor quality for that price Big disappointment when received. They come in a plastic bag with Chinese letters, no box. When I had on hand they are plastic and smell it ... no skin. At the junction of the boot with the sole glue looked, I am convinced q I "&amp;"would have taken off a week and zipper snagged. Too bad ... I have I returned, and I tried them. good design, poor quality.")</f>
        <v>Poor quality for that price Big disappointment when received. They come in a plastic bag with Chinese letters, no box. When I had on hand they are plastic and smell it ... no skin. At the junction of the boot with the sole glue looked, I am convinced q I would have taken off a week and zipper snagged. Too bad ... I have I returned, and I tried them. good design, poor quality.</v>
      </c>
    </row>
    <row r="3007">
      <c r="A3007" s="1">
        <v>4.0</v>
      </c>
      <c r="B3007" s="1" t="s">
        <v>2992</v>
      </c>
      <c r="C3007" t="str">
        <f>IFERROR(__xludf.DUMMYFUNCTION("GOOGLETRANSLATE(B3007, ""es"", ""en"")"),"OK The metal is a bit dark. but they are comfortable.")</f>
        <v>OK The metal is a bit dark. but they are comfortable.</v>
      </c>
    </row>
    <row r="3008">
      <c r="A3008" s="1">
        <v>4.0</v>
      </c>
      <c r="B3008" s="1" t="s">
        <v>2993</v>
      </c>
      <c r="C3008" t="str">
        <f>IFERROR(__xludf.DUMMYFUNCTION("GOOGLETRANSLATE(B3008, ""es"", ""en"")"),"Operation meets the requirement does the job. On occasion it costs a little but convenient to connect to incorporate the camera wifi")</f>
        <v>Operation meets the requirement does the job. On occasion it costs a little but convenient to connect to incorporate the camera wifi</v>
      </c>
    </row>
    <row r="3009">
      <c r="A3009" s="1">
        <v>4.0</v>
      </c>
      <c r="B3009" s="1" t="s">
        <v>2994</v>
      </c>
      <c r="C3009" t="str">
        <f>IFERROR(__xludf.DUMMYFUNCTION("GOOGLETRANSLATE(B3009, ""es"", ""en"")"),"I like it comfortable, lightweight and meets expectations. The switch with long cable is fine to have it in bed. It desenfudable and the cover can be washed makes it more comfortable.")</f>
        <v>I like it comfortable, lightweight and meets expectations. The switch with long cable is fine to have it in bed. It desenfudable and the cover can be washed makes it more comfortable.</v>
      </c>
    </row>
    <row r="3010">
      <c r="A3010" s="1">
        <v>4.0</v>
      </c>
      <c r="B3010" s="1" t="s">
        <v>2995</v>
      </c>
      <c r="C3010" t="str">
        <f>IFERROR(__xludf.DUMMYFUNCTION("GOOGLETRANSLATE(B3010, ""es"", ""en"")"),"Pantall I use it for motorcycle microphone intercominicador")</f>
        <v>Pantall I use it for motorcycle microphone intercominicador</v>
      </c>
    </row>
    <row r="3011">
      <c r="A3011" s="1">
        <v>4.0</v>
      </c>
      <c r="B3011" s="1" t="s">
        <v>2996</v>
      </c>
      <c r="C3011" t="str">
        <f>IFERROR(__xludf.DUMMYFUNCTION("GOOGLETRANSLATE(B3011, ""es"", ""en"")"),"I like I like it, is like the picture, has a zipper protection or clavartelo not do you any chafe")</f>
        <v>I like I like it, is like the picture, has a zipper protection or clavartelo not do you any chafe</v>
      </c>
    </row>
    <row r="3012">
      <c r="A3012" s="1">
        <v>5.0</v>
      </c>
      <c r="B3012" s="1" t="s">
        <v>2997</v>
      </c>
      <c r="C3012" t="str">
        <f>IFERROR(__xludf.DUMMYFUNCTION("GOOGLETRANSLATE(B3012, ""es"", ""en"")"),"I recommend it has come too soon, it looks good and fits sizes.")</f>
        <v>I recommend it has come too soon, it looks good and fits sizes.</v>
      </c>
    </row>
    <row r="3013">
      <c r="A3013" s="1">
        <v>5.0</v>
      </c>
      <c r="B3013" s="1" t="s">
        <v>2998</v>
      </c>
      <c r="C3013" t="str">
        <f>IFERROR(__xludf.DUMMYFUNCTION("GOOGLETRANSLATE(B3013, ""es"", ""en"")"),"Fantastico I like it weighs little. gets no noise and when the water just turns itself I have it all night and going great")</f>
        <v>Fantastico I like it weighs little. gets no noise and when the water just turns itself I have it all night and going great</v>
      </c>
    </row>
    <row r="3014">
      <c r="A3014" s="1">
        <v>5.0</v>
      </c>
      <c r="B3014" s="1" t="s">
        <v>2999</v>
      </c>
      <c r="C3014" t="str">
        <f>IFERROR(__xludf.DUMMYFUNCTION("GOOGLETRANSLATE(B3014, ""es"", ""en"")"),"All right is the first time we use at home a device like this. And I was pleasantly surprised. It takes very little in boiling water. A ten")</f>
        <v>All right is the first time we use at home a device like this. And I was pleasantly surprised. It takes very little in boiling water. A ten</v>
      </c>
    </row>
    <row r="3015">
      <c r="A3015" s="1">
        <v>5.0</v>
      </c>
      <c r="B3015" s="1" t="s">
        <v>3000</v>
      </c>
      <c r="C3015" t="str">
        <f>IFERROR(__xludf.DUMMYFUNCTION("GOOGLETRANSLATE(B3015, ""es"", ""en"")"),"Anita sports bra is not the first time I buy Anita. The best brand bra big chest par. The sport is very comfortable for sports, sleep, take at home.")</f>
        <v>Anita sports bra is not the first time I buy Anita. The best brand bra big chest par. The sport is very comfortable for sports, sleep, take at home.</v>
      </c>
    </row>
    <row r="3016">
      <c r="A3016" s="1">
        <v>5.0</v>
      </c>
      <c r="B3016" s="1" t="s">
        <v>3001</v>
      </c>
      <c r="C3016" t="str">
        <f>IFERROR(__xludf.DUMMYFUNCTION("GOOGLETRANSLATE(B3016, ""es"", ""en"")"),"Magnifica value restaurant Coming from in-ear headphones, using a closed diadem has a certain adaptation process, once past few days from start to wonder why not use bought them before. The sound given is of very good quality, with good bass and crisp, th"&amp;"e foam is very comfortable and does not cause much fatigue to the after about 2 hours of use, the packaging is very right, with three wires of various lengths and bag transportation skin. A highly recommendable purchase")</f>
        <v>Magnifica value restaurant Coming from in-ear headphones, using a closed diadem has a certain adaptation process, once past few days from start to wonder why not use bought them before. The sound given is of very good quality, with good bass and crisp, the foam is very comfortable and does not cause much fatigue to the after about 2 hours of use, the packaging is very right, with three wires of various lengths and bag transportation skin. A highly recommendable purchase</v>
      </c>
    </row>
    <row r="3017">
      <c r="A3017" s="1">
        <v>5.0</v>
      </c>
      <c r="B3017" s="1" t="s">
        <v>3002</v>
      </c>
      <c r="C3017" t="str">
        <f>IFERROR(__xludf.DUMMYFUNCTION("GOOGLETRANSLATE(B3017, ""es"", ""en"")"),"Good quality and price Very nice buy for my granddaughter de5 years")</f>
        <v>Good quality and price Very nice buy for my granddaughter de5 years</v>
      </c>
    </row>
    <row r="3018">
      <c r="A3018" s="1">
        <v>5.0</v>
      </c>
      <c r="B3018" s="1" t="s">
        <v>3003</v>
      </c>
      <c r="C3018" t="str">
        <f>IFERROR(__xludf.DUMMYFUNCTION("GOOGLETRANSLATE(B3018, ""es"", ""en"")"),"Perfect just wants this bottle, and being Crystal is great.")</f>
        <v>Perfect just wants this bottle, and being Crystal is great.</v>
      </c>
    </row>
    <row r="3019">
      <c r="A3019" s="1">
        <v>5.0</v>
      </c>
      <c r="B3019" s="1" t="s">
        <v>3004</v>
      </c>
      <c r="C3019" t="str">
        <f>IFERROR(__xludf.DUMMYFUNCTION("GOOGLETRANSLATE(B3019, ""es"", ""en"")"),"Very good sweatshirt sweatshirt great price very good, well appreciated finish and quality, in addition to carrying a layer sheltering inside. The sizing in my perfect case Mido 1.76 and weight 77 kg and height M me is perfect.")</f>
        <v>Very good sweatshirt sweatshirt great price very good, well appreciated finish and quality, in addition to carrying a layer sheltering inside. The sizing in my perfect case Mido 1.76 and weight 77 kg and height M me is perfect.</v>
      </c>
    </row>
    <row r="3020">
      <c r="A3020" s="1">
        <v>5.0</v>
      </c>
      <c r="B3020" s="1" t="s">
        <v>3005</v>
      </c>
      <c r="C3020" t="str">
        <f>IFERROR(__xludf.DUMMYFUNCTION("GOOGLETRANSLATE(B3020, ""es"", ""en"")"),"Finishes, comfortable price and very warm jacket, with hair on the side of chest and back. It's nice and well finished and not seen to be of low quality, I liked it and I'm picky about clothes. Regarding the sizes, I measure 1.82 and weight 85kg, build st"&amp;"rong and no tummy, I usually use an L and here 3XL me is perfect a olgadita Pelin ideal for cycling without actually stretching sleeves and without being too big .")</f>
        <v>Finishes, comfortable price and very warm jacket, with hair on the side of chest and back. It's nice and well finished and not seen to be of low quality, I liked it and I'm picky about clothes. Regarding the sizes, I measure 1.82 and weight 85kg, build strong and no tummy, I usually use an L and here 3XL me is perfect a olgadita Pelin ideal for cycling without actually stretching sleeves and without being too big .</v>
      </c>
    </row>
    <row r="3021">
      <c r="A3021" s="1">
        <v>5.0</v>
      </c>
      <c r="B3021" s="1" t="s">
        <v>3006</v>
      </c>
      <c r="C3021" t="str">
        <f>IFERROR(__xludf.DUMMYFUNCTION("GOOGLETRANSLATE(B3021, ""es"", ""en"")"),"good fit and good compression good finish, with good pressure on the instep and ankle areas to help relax the foot and promote blood circulation. With good design. So if you are fine and for some sports like paddle, give a limited grip inside the shoe.")</f>
        <v>good fit and good compression good finish, with good pressure on the instep and ankle areas to help relax the foot and promote blood circulation. With good design. So if you are fine and for some sports like paddle, give a limited grip inside the shoe.</v>
      </c>
    </row>
    <row r="3022">
      <c r="A3022" s="1">
        <v>5.0</v>
      </c>
      <c r="B3022" s="1" t="s">
        <v>3007</v>
      </c>
      <c r="C3022" t="str">
        <f>IFERROR(__xludf.DUMMYFUNCTION("GOOGLETRANSLATE(B3022, ""es"", ""en"")"),"Siscutr Very good watch for, very happy with the price and nice watch, fast shipping hoping that last as long as the other I have")</f>
        <v>Siscutr Very good watch for, very happy with the price and nice watch, fast shipping hoping that last as long as the other I have</v>
      </c>
    </row>
    <row r="3023">
      <c r="A3023" s="1">
        <v>5.0</v>
      </c>
      <c r="B3023" s="1" t="s">
        <v>3008</v>
      </c>
      <c r="C3023" t="str">
        <f>IFERROR(__xludf.DUMMYFUNCTION("GOOGLETRANSLATE(B3023, ""es"", ""en"")"),"I like very much. My daughter is delighted with the book. And ami I find very interesting.")</f>
        <v>I like very much. My daughter is delighted with the book. And ami I find very interesting.</v>
      </c>
    </row>
    <row r="3024">
      <c r="A3024" s="1">
        <v>5.0</v>
      </c>
      <c r="B3024" s="1" t="s">
        <v>3009</v>
      </c>
      <c r="C3024" t="str">
        <f>IFERROR(__xludf.DUMMYFUNCTION("GOOGLETRANSLATE(B3024, ""es"", ""en"")"),"Good Good product")</f>
        <v>Good Good product</v>
      </c>
    </row>
    <row r="3025">
      <c r="A3025" s="1">
        <v>5.0</v>
      </c>
      <c r="B3025" s="1" t="s">
        <v>3010</v>
      </c>
      <c r="C3025" t="str">
        <f>IFERROR(__xludf.DUMMYFUNCTION("GOOGLETRANSLATE(B3025, ""es"", ""en"")"),"All very well design is very nice. Practical and my kids love to become the Colacao every day.")</f>
        <v>All very well design is very nice. Practical and my kids love to become the Colacao every day.</v>
      </c>
    </row>
    <row r="3026">
      <c r="A3026" s="1">
        <v>5.0</v>
      </c>
      <c r="B3026" s="1" t="s">
        <v>3011</v>
      </c>
      <c r="C3026" t="str">
        <f>IFERROR(__xludf.DUMMYFUNCTION("GOOGLETRANSLATE(B3026, ""es"", ""en"")"),"Fantastic! The watch comes perfectly wrapped and protected, with original box, warranty, etc ... It is as shown in the pictures! Maybe even better. It is the second watch brand G-Shock to buy through Amazon and have been delighted.")</f>
        <v>Fantastic! The watch comes perfectly wrapped and protected, with original box, warranty, etc ... It is as shown in the pictures! Maybe even better. It is the second watch brand G-Shock to buy through Amazon and have been delighted.</v>
      </c>
    </row>
    <row r="3027">
      <c r="A3027" s="1">
        <v>5.0</v>
      </c>
      <c r="B3027" s="1" t="s">
        <v>3012</v>
      </c>
      <c r="C3027" t="str">
        <f>IFERROR(__xludf.DUMMYFUNCTION("GOOGLETRANSLATE(B3027, ""es"", ""en"")"),"No fault exactly what it promises. more practical clock and guarantees of the market. He arrived in time and comes with the battery installed. I bought a Casio because I wanted a Casio and Casio is what I got and what I have since.")</f>
        <v>No fault exactly what it promises. more practical clock and guarantees of the market. He arrived in time and comes with the battery installed. I bought a Casio because I wanted a Casio and Casio is what I got and what I have since.</v>
      </c>
    </row>
    <row r="3028">
      <c r="A3028" s="1">
        <v>5.0</v>
      </c>
      <c r="B3028" s="1" t="s">
        <v>3013</v>
      </c>
      <c r="C3028" t="str">
        <f>IFERROR(__xludf.DUMMYFUNCTION("GOOGLETRANSLATE(B3028, ""es"", ""en"")"),"I love. It is perfect and very cómodo.me encantame")</f>
        <v>I love. It is perfect and very cómodo.me encantame</v>
      </c>
    </row>
    <row r="3029">
      <c r="A3029" s="1">
        <v>5.0</v>
      </c>
      <c r="B3029" s="1" t="s">
        <v>3014</v>
      </c>
      <c r="C3029" t="str">
        <f>IFERROR(__xludf.DUMMYFUNCTION("GOOGLETRANSLATE(B3029, ""es"", ""en"")"),"A great product at a great price. SUPER QUALITY, IS BRIGHT AND LASTING PRASTIFICACIÓN. BUT MAY DEPEND ON TYPE OF USE laminator, NOT ALL EQUAL WORK WELL.")</f>
        <v>A great product at a great price. SUPER QUALITY, IS BRIGHT AND LASTING PRASTIFICACIÓN. BUT MAY DEPEND ON TYPE OF USE laminator, NOT ALL EQUAL WORK WELL.</v>
      </c>
    </row>
    <row r="3030">
      <c r="A3030" s="1">
        <v>5.0</v>
      </c>
      <c r="B3030" s="1" t="s">
        <v>3015</v>
      </c>
      <c r="C3030" t="str">
        <f>IFERROR(__xludf.DUMMYFUNCTION("GOOGLETRANSLATE(B3030, ""es"", ""en"")"),"Sizes perfecro I used to tazos and metal gliders and go very well, do not go out and are of good quality")</f>
        <v>Sizes perfecro I used to tazos and metal gliders and go very well, do not go out and are of good quality</v>
      </c>
    </row>
    <row r="3031">
      <c r="A3031" s="1">
        <v>2.0</v>
      </c>
      <c r="B3031" s="1" t="s">
        <v>3016</v>
      </c>
      <c r="C3031" t="str">
        <f>IFERROR(__xludf.DUMMYFUNCTION("GOOGLETRANSLATE(B3031, ""es"", ""en"")"),"Not satisfied've finally had to buy another because with winter clothes and sleeping time was changed easily, the buttons are too sensitive to touch or movement of dolls and / or clothing.")</f>
        <v>Not satisfied've finally had to buy another because with winter clothes and sleeping time was changed easily, the buttons are too sensitive to touch or movement of dolls and / or clothing.</v>
      </c>
    </row>
    <row r="3032">
      <c r="A3032" s="1">
        <v>3.0</v>
      </c>
      <c r="B3032" s="1" t="s">
        <v>3017</v>
      </c>
      <c r="C3032" t="str">
        <f>IFERROR(__xludf.DUMMYFUNCTION("GOOGLETRANSLATE(B3032, ""es"", ""en"")"),"José María Well ... Not bad, expecting different, more like the picture, metal is more homely. But money ... not bad !!!")</f>
        <v>José María Well ... Not bad, expecting different, more like the picture, metal is more homely. But money ... not bad !!!</v>
      </c>
    </row>
    <row r="3033">
      <c r="A3033" s="1">
        <v>3.0</v>
      </c>
      <c r="B3033" s="1" t="s">
        <v>3018</v>
      </c>
      <c r="C3033" t="str">
        <f>IFERROR(__xludf.DUMMYFUNCTION("GOOGLETRANSLATE(B3033, ""es"", ""en"")"),"Well right")</f>
        <v>Well right</v>
      </c>
    </row>
    <row r="3034">
      <c r="A3034" s="1">
        <v>1.0</v>
      </c>
      <c r="B3034" s="1" t="s">
        <v>3019</v>
      </c>
      <c r="C3034" t="str">
        <f>IFERROR(__xludf.DUMMYFUNCTION("GOOGLETRANSLATE(B3034, ""es"", ""en"")"),"BAD LUCK?? Buy one WENT WRONG AND NOW IT SEEMS THAT THIS Or am outraged")</f>
        <v>BAD LUCK?? Buy one WENT WRONG AND NOW IT SEEMS THAT THIS Or am outraged</v>
      </c>
    </row>
    <row r="3035">
      <c r="A3035" s="1">
        <v>1.0</v>
      </c>
      <c r="B3035" s="1" t="s">
        <v>3020</v>
      </c>
      <c r="C3035" t="str">
        <f>IFERROR(__xludf.DUMMYFUNCTION("GOOGLETRANSLATE(B3035, ""es"", ""en"")"),"*** shoddy shoddy, I had to change cartridges being in half.")</f>
        <v>*** shoddy shoddy, I had to change cartridges being in half.</v>
      </c>
    </row>
    <row r="3036">
      <c r="A3036" s="1">
        <v>4.0</v>
      </c>
      <c r="B3036" s="1" t="s">
        <v>3021</v>
      </c>
      <c r="C3036" t="str">
        <f>IFERROR(__xludf.DUMMYFUNCTION("GOOGLETRANSLATE(B3036, ""es"", ""en"")"),"fast good capacity good price for the price it is going very well. It is quite fast and very discreet. the only problem is that surely the system to use a connector or the other end is failing because it seems to be very weak.")</f>
        <v>fast good capacity good price for the price it is going very well. It is quite fast and very discreet. the only problem is that surely the system to use a connector or the other end is failing because it seems to be very weak.</v>
      </c>
    </row>
    <row r="3037">
      <c r="A3037" s="1">
        <v>4.0</v>
      </c>
      <c r="B3037" s="1" t="s">
        <v>3022</v>
      </c>
      <c r="C3037" t="str">
        <f>IFERROR(__xludf.DUMMYFUNCTION("GOOGLETRANSLATE(B3037, ""es"", ""en"")"),"Boots with wedge Perfect !!! Comfort and style together lol")</f>
        <v>Boots with wedge Perfect !!! Comfort and style together lol</v>
      </c>
    </row>
    <row r="3038">
      <c r="A3038" s="1">
        <v>4.0</v>
      </c>
      <c r="B3038" s="1" t="s">
        <v>3023</v>
      </c>
      <c r="C3038" t="str">
        <f>IFERROR(__xludf.DUMMYFUNCTION("GOOGLETRANSLATE(B3038, ""es"", ""en"")"),"I liked the design that I find stylish design. Very easy to connect. Sound very good.")</f>
        <v>I liked the design that I find stylish design. Very easy to connect. Sound very good.</v>
      </c>
    </row>
    <row r="3039">
      <c r="A3039" s="1">
        <v>4.0</v>
      </c>
      <c r="B3039" s="1" t="s">
        <v>3024</v>
      </c>
      <c r="C3039" t="str">
        <f>IFERROR(__xludf.DUMMYFUNCTION("GOOGLETRANSLATE(B3039, ""es"", ""en"")"),"elegant version and daring the DW-5600 A nice version of the popular DW-5600, the most elegant and daring than the original model. Presentation box of metal, is simple and in line with the sporting spirit of the clock. The manual, in several languages, is"&amp;" very fair and terse, but it does. Finally the construction of the clock is correct, but the borders around the edge em Keypads are finished, and cao to wear very tight leash can cause a wound on his wrist. The set is resultón, but all offer and have purc"&amp;"hased something less than 70 €, it still seems a high price for this type of watch. Everything and that's an article well worth having as a classical piece, which appears in both movies (speed, Sgt iron, etc) and photographs from NASA space missions.")</f>
        <v>elegant version and daring the DW-5600 A nice version of the popular DW-5600, the most elegant and daring than the original model. Presentation box of metal, is simple and in line with the sporting spirit of the clock. The manual, in several languages, is very fair and terse, but it does. Finally the construction of the clock is correct, but the borders around the edge em Keypads are finished, and cao to wear very tight leash can cause a wound on his wrist. The set is resultón, but all offer and have purchased something less than 70 €, it still seems a high price for this type of watch. Everything and that's an article well worth having as a classical piece, which appears in both movies (speed, Sgt iron, etc) and photographs from NASA space missions.</v>
      </c>
    </row>
    <row r="3040">
      <c r="A3040" s="1">
        <v>5.0</v>
      </c>
      <c r="B3040" s="1" t="s">
        <v>3025</v>
      </c>
      <c r="C3040" t="str">
        <f>IFERROR(__xludf.DUMMYFUNCTION("GOOGLETRANSLATE(B3040, ""es"", ""en"")"),"Glass baby bottle is very clean i do well by gases")</f>
        <v>Glass baby bottle is very clean i do well by gases</v>
      </c>
    </row>
    <row r="3041">
      <c r="A3041" s="1">
        <v>5.0</v>
      </c>
      <c r="B3041" s="1" t="s">
        <v>3026</v>
      </c>
      <c r="C3041" t="str">
        <f>IFERROR(__xludf.DUMMYFUNCTION("GOOGLETRANSLATE(B3041, ""es"", ""en"")"),"Just what I needed, good quality price and just what I needed, good quality price")</f>
        <v>Just what I needed, good quality price and just what I needed, good quality price</v>
      </c>
    </row>
    <row r="3042">
      <c r="A3042" s="1">
        <v>5.0</v>
      </c>
      <c r="B3042" s="1" t="s">
        <v>3027</v>
      </c>
      <c r="C3042" t="str">
        <f>IFERROR(__xludf.DUMMYFUNCTION("GOOGLETRANSLATE(B3042, ""es"", ""en"")"),"This is the second pair I bought this brand and model sneakers Merrell overall for me the best I've had, in fact I have returned to a buy different color but same model as the previous ones along very agusto, comfortable and durable to the water without g"&amp;"etting moisture out, for me a 10.")</f>
        <v>This is the second pair I bought this brand and model sneakers Merrell overall for me the best I've had, in fact I have returned to a buy different color but same model as the previous ones along very agusto, comfortable and durable to the water without getting moisture out, for me a 10.</v>
      </c>
    </row>
    <row r="3043">
      <c r="A3043" s="1">
        <v>5.0</v>
      </c>
      <c r="B3043" s="1" t="s">
        <v>3028</v>
      </c>
      <c r="C3043" t="str">
        <f>IFERROR(__xludf.DUMMYFUNCTION("GOOGLETRANSLATE(B3043, ""es"", ""en"")"),"Good product, good service. The product according to the description, the size is the same as Converse normally use.")</f>
        <v>Good product, good service. The product according to the description, the size is the same as Converse normally use.</v>
      </c>
    </row>
    <row r="3044">
      <c r="A3044" s="1">
        <v>5.0</v>
      </c>
      <c r="B3044" s="1" t="s">
        <v>3029</v>
      </c>
      <c r="C3044" t="str">
        <f>IFERROR(__xludf.DUMMYFUNCTION("GOOGLETRANSLATE(B3044, ""es"", ""en"")"),"Great, cool")</f>
        <v>Great, cool</v>
      </c>
    </row>
    <row r="3045">
      <c r="A3045" s="1">
        <v>5.0</v>
      </c>
      <c r="B3045" s="1" t="s">
        <v>3030</v>
      </c>
      <c r="C3045" t="str">
        <f>IFERROR(__xludf.DUMMYFUNCTION("GOOGLETRANSLATE(B3045, ""es"", ""en"")"),"As I expected I expected, neither more nor less, looks good quality nice touch. Buy very correct. a greeting")</f>
        <v>As I expected I expected, neither more nor less, looks good quality nice touch. Buy very correct. a greeting</v>
      </c>
    </row>
    <row r="3046">
      <c r="A3046" s="1">
        <v>5.0</v>
      </c>
      <c r="B3046" s="1" t="s">
        <v>3031</v>
      </c>
      <c r="C3046" t="str">
        <f>IFERROR(__xludf.DUMMYFUNCTION("GOOGLETRANSLATE(B3046, ""es"", ""en"")"),"I ordered a size too perfect for the comments but I still bigger, I'm not sorry for what I have left me and n are out. I have el.pie width can someone else will come out fine if you have the walk. They are great, very light and do not hurt your feet. Very"&amp;" happy the recomiendo.😊")</f>
        <v>I ordered a size too perfect for the comments but I still bigger, I'm not sorry for what I have left me and n are out. I have el.pie width can someone else will come out fine if you have the walk. They are great, very light and do not hurt your feet. Very happy the recomiendo.😊</v>
      </c>
    </row>
    <row r="3047">
      <c r="A3047" s="1">
        <v>5.0</v>
      </c>
      <c r="B3047" s="1" t="s">
        <v>3032</v>
      </c>
      <c r="C3047" t="str">
        <f>IFERROR(__xludf.DUMMYFUNCTION("GOOGLETRANSLATE(B3047, ""es"", ""en"")"),"Fits smoothly is a good cover for microphone, fits perfectly without problem, makes use antipop when recording environment.")</f>
        <v>Fits smoothly is a good cover for microphone, fits perfectly without problem, makes use antipop when recording environment.</v>
      </c>
    </row>
    <row r="3048">
      <c r="A3048" s="1">
        <v>5.0</v>
      </c>
      <c r="B3048" s="1" t="s">
        <v>3033</v>
      </c>
      <c r="C3048" t="str">
        <f>IFERROR(__xludf.DUMMYFUNCTION("GOOGLETRANSLATE(B3048, ""es"", ""en"")"),"Very good at the beginning but then it becomes rare is very nice and comfortable")</f>
        <v>Very good at the beginning but then it becomes rare is very nice and comfortable</v>
      </c>
    </row>
    <row r="3049">
      <c r="A3049" s="1">
        <v>5.0</v>
      </c>
      <c r="B3049" s="1" t="s">
        <v>3034</v>
      </c>
      <c r="C3049" t="str">
        <f>IFERROR(__xludf.DUMMYFUNCTION("GOOGLETRANSLATE(B3049, ""es"", ""en"")"),"It is very elegant and shines brightly is very nice")</f>
        <v>It is very elegant and shines brightly is very nice</v>
      </c>
    </row>
    <row r="3050">
      <c r="A3050" s="1">
        <v>5.0</v>
      </c>
      <c r="B3050" s="1" t="s">
        <v>3035</v>
      </c>
      <c r="C3050" t="str">
        <f>IFERROR(__xludf.DUMMYFUNCTION("GOOGLETRANSLATE(B3050, ""es"", ""en"")"),"Full size Excellent value for money.")</f>
        <v>Full size Excellent value for money.</v>
      </c>
    </row>
    <row r="3051">
      <c r="A3051" s="1">
        <v>5.0</v>
      </c>
      <c r="B3051" s="1" t="s">
        <v>3036</v>
      </c>
      <c r="C3051" t="str">
        <f>IFERROR(__xludf.DUMMYFUNCTION("GOOGLETRANSLATE(B3051, ""es"", ""en"")"),"It has exceeded my expectations. It has worked better than expected. He had previously tried other mics slightly inferior quality, but in principle were not bad and always made it a bit of parasite background. I even think it was something of the plate so"&amp;" I had no hopes for a new device. It has exceeded my expectations now recording a Nitica hear form without the tedious parasite background. In my case I'm with a team with the Linux Mint operating system (equivalent to Ubuntu 18.04), so Linux users - at l"&amp;"east in my case - they should work properly. The gizmo is bigger than I expected (somewhat impressed the first time you see it), the weight does have very good stability. For those who move a lot of the same it is not so practical (by weight and volume), "&amp;"but in my case that's unimportant.")</f>
        <v>It has exceeded my expectations. It has worked better than expected. He had previously tried other mics slightly inferior quality, but in principle were not bad and always made it a bit of parasite background. I even think it was something of the plate so I had no hopes for a new device. It has exceeded my expectations now recording a Nitica hear form without the tedious parasite background. In my case I'm with a team with the Linux Mint operating system (equivalent to Ubuntu 18.04), so Linux users - at least in my case - they should work properly. The gizmo is bigger than I expected (somewhat impressed the first time you see it), the weight does have very good stability. For those who move a lot of the same it is not so practical (by weight and volume), but in my case that's unimportant.</v>
      </c>
    </row>
    <row r="3052">
      <c r="A3052" s="1">
        <v>5.0</v>
      </c>
      <c r="B3052" s="1" t="s">
        <v>3037</v>
      </c>
      <c r="C3052" t="str">
        <f>IFERROR(__xludf.DUMMYFUNCTION("GOOGLETRANSLATE(B3052, ""es"", ""en"")"),"Super perfect for my son. Good finishes and proper operation. The truth is that the user is happy with it.")</f>
        <v>Super perfect for my son. Good finishes and proper operation. The truth is that the user is happy with it.</v>
      </c>
    </row>
    <row r="3053">
      <c r="A3053" s="1">
        <v>5.0</v>
      </c>
      <c r="B3053" s="1" t="s">
        <v>3038</v>
      </c>
      <c r="C3053" t="str">
        <f>IFERROR(__xludf.DUMMYFUNCTION("GOOGLETRANSLATE(B3053, ""es"", ""en"")"),"Very beautiful and elegant necklace me a very nice and elegant looking, the truth is that it is the best I've had, the only disadvantage and had is that if you are allergic to bad metals, do not recommend it, because obviously it is no noble metal, but ot"&amp;"herwise 10")</f>
        <v>Very beautiful and elegant necklace me a very nice and elegant looking, the truth is that it is the best I've had, the only disadvantage and had is that if you are allergic to bad metals, do not recommend it, because obviously it is no noble metal, but otherwise 10</v>
      </c>
    </row>
    <row r="3054">
      <c r="A3054" s="1">
        <v>5.0</v>
      </c>
      <c r="B3054" s="1" t="s">
        <v>3039</v>
      </c>
      <c r="C3054" t="str">
        <f>IFERROR(__xludf.DUMMYFUNCTION("GOOGLETRANSLATE(B3054, ""es"", ""en"")"),"Go for it ... or buy it! Definitely my first purchase with Amazon has fulfilled exceeded my expectations, very fast data copy! I'm using it on my Xbox 360 and is ideal for film ... consoles and for a great price!")</f>
        <v>Go for it ... or buy it! Definitely my first purchase with Amazon has fulfilled exceeded my expectations, very fast data copy! I'm using it on my Xbox 360 and is ideal for film ... consoles and for a great price!</v>
      </c>
    </row>
    <row r="3055">
      <c r="A3055" s="1">
        <v>5.0</v>
      </c>
      <c r="B3055" s="1" t="s">
        <v>3040</v>
      </c>
      <c r="C3055" t="str">
        <f>IFERROR(__xludf.DUMMYFUNCTION("GOOGLETRANSLATE(B3055, ""es"", ""en"")"),"pendant fine chain")</f>
        <v>pendant fine chain</v>
      </c>
    </row>
    <row r="3056">
      <c r="A3056" s="1">
        <v>5.0</v>
      </c>
      <c r="B3056" s="1" t="s">
        <v>3041</v>
      </c>
      <c r="C3056" t="str">
        <f>IFERROR(__xludf.DUMMYFUNCTION("GOOGLETRANSLATE(B3056, ""es"", ""en"")"),"As I expected! As is the original that came in the box to buying mobile !!!! Have hands free and I love the piquito having the handset as it is more comfortable than the all round !!! Another advantage? The price !!")</f>
        <v>As I expected! As is the original that came in the box to buying mobile !!!! Have hands free and I love the piquito having the handset as it is more comfortable than the all round !!! Another advantage? The price !!</v>
      </c>
    </row>
    <row r="3057">
      <c r="A3057" s="1">
        <v>5.0</v>
      </c>
      <c r="B3057" s="1" t="s">
        <v>3042</v>
      </c>
      <c r="C3057" t="str">
        <f>IFERROR(__xludf.DUMMYFUNCTION("GOOGLETRANSLATE(B3057, ""es"", ""en"")"),"Very happy and resistant Value are the best I've had (and have tried many since I continually break) and finishing headphones metallic appearance give it a lot. The micro button works well and very comfortable, the audio quality for the price is more than"&amp;" good. Despite not having resistance I can say that I accidentally fell into the washing machine and still work perfectly !! Things that could be improved would be the cable could be like ""cord"" because the truth that closely bundled and also the fact t"&amp;"hat only has one button does not allow volume up and down songs. The official xiaomi the physical store I could find cheaper.")</f>
        <v>Very happy and resistant Value are the best I've had (and have tried many since I continually break) and finishing headphones metallic appearance give it a lot. The micro button works well and very comfortable, the audio quality for the price is more than good. Despite not having resistance I can say that I accidentally fell into the washing machine and still work perfectly !! Things that could be improved would be the cable could be like "cord" because the truth that closely bundled and also the fact that only has one button does not allow volume up and down songs. The official xiaomi the physical store I could find cheaper.</v>
      </c>
    </row>
    <row r="3058">
      <c r="A3058" s="1">
        <v>2.0</v>
      </c>
      <c r="B3058" s="1" t="s">
        <v>3043</v>
      </c>
      <c r="C3058" t="str">
        <f>IFERROR(__xludf.DUMMYFUNCTION("GOOGLETRANSLATE(B3058, ""es"", ""en"")"),"Colors disappear quickly despite having used enough, and I really liked the colors when purchased (months) now I'm realizing that vinyl exposed to outside, and cars and stuff like that, the colors whitish being almost completely off almost colorless, with"&amp;" just two months stuck, a pity the truth, because the price is very good, now I know why")</f>
        <v>Colors disappear quickly despite having used enough, and I really liked the colors when purchased (months) now I'm realizing that vinyl exposed to outside, and cars and stuff like that, the colors whitish being almost completely off almost colorless, with just two months stuck, a pity the truth, because the price is very good, now I know why</v>
      </c>
    </row>
    <row r="3059">
      <c r="A3059" s="1">
        <v>3.0</v>
      </c>
      <c r="B3059" s="1" t="s">
        <v>3044</v>
      </c>
      <c r="C3059" t="str">
        <f>IFERROR(__xludf.DUMMYFUNCTION("GOOGLETRANSLATE(B3059, ""es"", ""en"")"),"Disappointed not going very well and the smell is not very pleasant loose")</f>
        <v>Disappointed not going very well and the smell is not very pleasant loose</v>
      </c>
    </row>
    <row r="3060">
      <c r="A3060" s="1">
        <v>1.0</v>
      </c>
      <c r="B3060" s="1" t="s">
        <v>3045</v>
      </c>
      <c r="C3060" t="str">
        <f>IFERROR(__xludf.DUMMYFUNCTION("GOOGLETRANSLATE(B3060, ""es"", ""en"")"),"Stops working after two months ... hard to reclaim Amazon If you know, I do not buy here. It is the great advantage of buying local physical stores.")</f>
        <v>Stops working after two months ... hard to reclaim Amazon If you know, I do not buy here. It is the great advantage of buying local physical stores.</v>
      </c>
    </row>
    <row r="3061">
      <c r="A3061" s="1">
        <v>1.0</v>
      </c>
      <c r="B3061" s="1" t="s">
        <v>3046</v>
      </c>
      <c r="C3061" t="str">
        <f>IFERROR(__xludf.DUMMYFUNCTION("GOOGLETRANSLATE(B3061, ""es"", ""en"")"),"the casio watch is not what I expected. Open Packaging Packaging get me open, and it was not at all what I expected. I want to return and I will not let")</f>
        <v>the casio watch is not what I expected. Open Packaging Packaging get me open, and it was not at all what I expected. I want to return and I will not let</v>
      </c>
    </row>
    <row r="3062">
      <c r="A3062" s="1">
        <v>4.0</v>
      </c>
      <c r="B3062" s="1" t="s">
        <v>3047</v>
      </c>
      <c r="C3062" t="str">
        <f>IFERROR(__xludf.DUMMYFUNCTION("GOOGLETRANSLATE(B3062, ""es"", ""en"")"),"right it is very good as advertised, well heated, does its function to heat trapeze doing very well, serves for other areas")</f>
        <v>right it is very good as advertised, well heated, does its function to heat trapeze doing very well, serves for other areas</v>
      </c>
    </row>
    <row r="3063">
      <c r="A3063" s="1">
        <v>4.0</v>
      </c>
      <c r="B3063" s="1" t="s">
        <v>3048</v>
      </c>
      <c r="C3063" t="str">
        <f>IFERROR(__xludf.DUMMYFUNCTION("GOOGLETRANSLATE(B3063, ""es"", ""en"")"),"A detail unbeatable price a good presence and well finished, priced very tight.")</f>
        <v>A detail unbeatable price a good presence and well finished, priced very tight.</v>
      </c>
    </row>
    <row r="3064">
      <c r="A3064" s="1">
        <v>4.0</v>
      </c>
      <c r="B3064" s="1" t="s">
        <v>3049</v>
      </c>
      <c r="C3064" t="str">
        <f>IFERROR(__xludf.DUMMYFUNCTION("GOOGLETRANSLATE(B3064, ""es"", ""en"")"),"More durable than others generally in me like this product. I see it more resistant than those in turn (spiral and have had lasted me very little) l. Pegas: Pelin is a more awkward to use and that part to the teats does not serve much longer than having n"&amp;"o brush is not cleaned well. We must insist much to get the dregs of milk are sometimes. In fact for teats brush I use one that I chiquitín.")</f>
        <v>More durable than others generally in me like this product. I see it more resistant than those in turn (spiral and have had lasted me very little) l. Pegas: Pelin is a more awkward to use and that part to the teats does not serve much longer than having no brush is not cleaned well. We must insist much to get the dregs of milk are sometimes. In fact for teats brush I use one that I chiquitín.</v>
      </c>
    </row>
    <row r="3065">
      <c r="A3065" s="1">
        <v>4.0</v>
      </c>
      <c r="B3065" s="1" t="s">
        <v>3050</v>
      </c>
      <c r="C3065" t="str">
        <f>IFERROR(__xludf.DUMMYFUNCTION("GOOGLETRANSLATE(B3065, ""es"", ""en"")"),"Quality is a very strong footwear, waterproof, comfortable and is eternal. It is my third pair, even though previous use their appearance does not look new. RECOMMENDABLE!!!!")</f>
        <v>Quality is a very strong footwear, waterproof, comfortable and is eternal. It is my third pair, even though previous use their appearance does not look new. RECOMMENDABLE!!!!</v>
      </c>
    </row>
    <row r="3066">
      <c r="A3066" s="1">
        <v>4.0</v>
      </c>
      <c r="B3066" s="1" t="s">
        <v>3051</v>
      </c>
      <c r="C3066" t="str">
        <f>IFERROR(__xludf.DUMMYFUNCTION("GOOGLETRANSLATE(B3066, ""es"", ""en"")"),"Happy with the purchase price / quality ratio is very good. The shakes are perfect.")</f>
        <v>Happy with the purchase price / quality ratio is very good. The shakes are perfect.</v>
      </c>
    </row>
    <row r="3067">
      <c r="A3067" s="1">
        <v>5.0</v>
      </c>
      <c r="B3067" s="1" t="s">
        <v>3052</v>
      </c>
      <c r="C3067" t="str">
        <f>IFERROR(__xludf.DUMMYFUNCTION("GOOGLETRANSLATE(B3067, ""es"", ""en"")"),"Very good very good. It looks good quality")</f>
        <v>Very good very good. It looks good quality</v>
      </c>
    </row>
    <row r="3068">
      <c r="A3068" s="1">
        <v>5.0</v>
      </c>
      <c r="B3068" s="1" t="s">
        <v>3053</v>
      </c>
      <c r="C3068" t="str">
        <f>IFERROR(__xludf.DUMMYFUNCTION("GOOGLETRANSLATE(B3068, ""es"", ""en"")"),"Very comfortable, good quality very comfortable shoes. Good materials and finishes in my opinion.")</f>
        <v>Very comfortable, good quality very comfortable shoes. Good materials and finishes in my opinion.</v>
      </c>
    </row>
    <row r="3069">
      <c r="A3069" s="1">
        <v>5.0</v>
      </c>
      <c r="B3069" s="1" t="s">
        <v>3054</v>
      </c>
      <c r="C3069" t="str">
        <f>IFERROR(__xludf.DUMMYFUNCTION("GOOGLETRANSLATE(B3069, ""es"", ""en"")"),"Util used it to label the boxes and cans, packages etc cards")</f>
        <v>Util used it to label the boxes and cans, packages etc cards</v>
      </c>
    </row>
    <row r="3070">
      <c r="A3070" s="1">
        <v>5.0</v>
      </c>
      <c r="B3070" s="1" t="s">
        <v>3055</v>
      </c>
      <c r="C3070" t="str">
        <f>IFERROR(__xludf.DUMMYFUNCTION("GOOGLETRANSLATE(B3070, ""es"", ""en"")"),"Sound spectacular at a bargain price !!!!! Ago while spending headphones come this brand and I can say that are really good. So I decided to try these In-ear Airpod type of Apple and after use I can say that they have nothing to envy Apple headphones. The"&amp;" sound is very very good, perfect bass. It also comes with pads of different sizes to suit your comfort. I said, totally recommend it to anyone who wants a headset with a really great price and an even better sound.")</f>
        <v>Sound spectacular at a bargain price !!!!! Ago while spending headphones come this brand and I can say that are really good. So I decided to try these In-ear Airpod type of Apple and after use I can say that they have nothing to envy Apple headphones. The sound is very very good, perfect bass. It also comes with pads of different sizes to suit your comfort. I said, totally recommend it to anyone who wants a headset with a really great price and an even better sound.</v>
      </c>
    </row>
    <row r="3071">
      <c r="A3071" s="1">
        <v>5.0</v>
      </c>
      <c r="B3071" s="1" t="s">
        <v>3056</v>
      </c>
      <c r="C3071" t="str">
        <f>IFERROR(__xludf.DUMMYFUNCTION("GOOGLETRANSLATE(B3071, ""es"", ""en"")"),"Texture with leaves shakes is best, finite, finite !!! The only thing I did not like was that the recipe book is in French. For nowhere in Castilian or English.")</f>
        <v>Texture with leaves shakes is best, finite, finite !!! The only thing I did not like was that the recipe book is in French. For nowhere in Castilian or English.</v>
      </c>
    </row>
    <row r="3072">
      <c r="A3072" s="1">
        <v>5.0</v>
      </c>
      <c r="B3072" s="1" t="s">
        <v>3057</v>
      </c>
      <c r="C3072" t="str">
        <f>IFERROR(__xludf.DUMMYFUNCTION("GOOGLETRANSLATE(B3072, ""es"", ""en"")"),"Good. Good.")</f>
        <v>Good. Good.</v>
      </c>
    </row>
    <row r="3073">
      <c r="A3073" s="1">
        <v>5.0</v>
      </c>
      <c r="B3073" s="1" t="s">
        <v>3058</v>
      </c>
      <c r="C3073" t="str">
        <f>IFERROR(__xludf.DUMMYFUNCTION("GOOGLETRANSLATE(B3073, ""es"", ""en"")"),"It is worth good quality, I decided on this after making several comparisons and opinions decantarme made me this. I do not regret is just what I wanted and not make any noise and so far have not had any problems. A wise purchase")</f>
        <v>It is worth good quality, I decided on this after making several comparisons and opinions decantarme made me this. I do not regret is just what I wanted and not make any noise and so far have not had any problems. A wise purchase</v>
      </c>
    </row>
    <row r="3074">
      <c r="A3074" s="1">
        <v>5.0</v>
      </c>
      <c r="B3074" s="1" t="s">
        <v>3059</v>
      </c>
      <c r="C3074" t="str">
        <f>IFERROR(__xludf.DUMMYFUNCTION("GOOGLETRANSLATE(B3074, ""es"", ""en"")"),"Good material good material and comfortable place")</f>
        <v>Good material good material and comfortable place</v>
      </c>
    </row>
    <row r="3075">
      <c r="A3075" s="1">
        <v>5.0</v>
      </c>
      <c r="B3075" s="1" t="s">
        <v>3060</v>
      </c>
      <c r="C3075" t="str">
        <f>IFERROR(__xludf.DUMMYFUNCTION("GOOGLETRANSLATE(B3075, ""es"", ""en"")"),"Perfect well. Maybe a little smaller would have been enough. But it's my choice.")</f>
        <v>Perfect well. Maybe a little smaller would have been enough. But it's my choice.</v>
      </c>
    </row>
    <row r="3076">
      <c r="A3076" s="1">
        <v>5.0</v>
      </c>
      <c r="B3076" s="1" t="s">
        <v>3061</v>
      </c>
      <c r="C3076" t="str">
        <f>IFERROR(__xludf.DUMMYFUNCTION("GOOGLETRANSLATE(B3076, ""es"", ""en"")"),"comfortable shoes super comfortable slippers and very nice and weigh nothing seems to be wearing the very good buy shoes set")</f>
        <v>comfortable shoes super comfortable slippers and very nice and weigh nothing seems to be wearing the very good buy shoes set</v>
      </c>
    </row>
    <row r="3077">
      <c r="A3077" s="1">
        <v>5.0</v>
      </c>
      <c r="B3077" s="1" t="s">
        <v>3062</v>
      </c>
      <c r="C3077" t="str">
        <f>IFERROR(__xludf.DUMMYFUNCTION("GOOGLETRANSLATE(B3077, ""es"", ""en"")"),"Very practical The order has arrived perfect and on time. Handle sponges are very practical and we have not been broken, so I recommend!")</f>
        <v>Very practical The order has arrived perfect and on time. Handle sponges are very practical and we have not been broken, so I recommend!</v>
      </c>
    </row>
    <row r="3078">
      <c r="A3078" s="1">
        <v>5.0</v>
      </c>
      <c r="B3078" s="1" t="s">
        <v>3063</v>
      </c>
      <c r="C3078" t="str">
        <f>IFERROR(__xludf.DUMMYFUNCTION("GOOGLETRANSLATE(B3078, ""es"", ""en"")"),"Apple quality helmets 10. The only problem may be the price. But if you do not mind that for these helmets are very good for day to day, nothing professional from my point of view. My sister is the first generation and this year we decided to give them to"&amp;" my father. They seemed bullshit, has more wireless headphones but these are happy.")</f>
        <v>Apple quality helmets 10. The only problem may be the price. But if you do not mind that for these helmets are very good for day to day, nothing professional from my point of view. My sister is the first generation and this year we decided to give them to my father. They seemed bullshit, has more wireless headphones but these are happy.</v>
      </c>
    </row>
    <row r="3079">
      <c r="A3079" s="1">
        <v>5.0</v>
      </c>
      <c r="B3079" s="1" t="s">
        <v>3064</v>
      </c>
      <c r="C3079" t="str">
        <f>IFERROR(__xludf.DUMMYFUNCTION("GOOGLETRANSLATE(B3079, ""es"", ""en"")"),"good minipack I bought to replace a reticule small man. It is very comfortable to wear, enough space to carry, mobile, wallet, accessories, a book or tablet, keys and a sandwich if you want. The materials are of very good quality. Not a backpack, the abil"&amp;"ity think are about 4l. Has many pockets and shoulder type it, with a single handle, makes it more comfortable to wear (to put on and remove). I recommend it if you are carrying backpacks with a single handle, and do not need to be very large.")</f>
        <v>good minipack I bought to replace a reticule small man. It is very comfortable to wear, enough space to carry, mobile, wallet, accessories, a book or tablet, keys and a sandwich if you want. The materials are of very good quality. Not a backpack, the ability think are about 4l. Has many pockets and shoulder type it, with a single handle, makes it more comfortable to wear (to put on and remove). I recommend it if you are carrying backpacks with a single handle, and do not need to be very large.</v>
      </c>
    </row>
    <row r="3080">
      <c r="A3080" s="1">
        <v>5.0</v>
      </c>
      <c r="B3080" s="1" t="s">
        <v>3065</v>
      </c>
      <c r="C3080" t="str">
        <f>IFERROR(__xludf.DUMMYFUNCTION("GOOGLETRANSLATE(B3080, ""es"", ""en"")"),"Just what i was looking for!!! It does exactly what I needed, in any Word document, going from page to page ... or goes down while holding down, which frees you hands like home, to continue playing guitar, while raisins leaf in the score from the pedal, c"&amp;"onnected via Bluetooth, and has not given me a single fault")</f>
        <v>Just what i was looking for!!! It does exactly what I needed, in any Word document, going from page to page ... or goes down while holding down, which frees you hands like home, to continue playing guitar, while raisins leaf in the score from the pedal, connected via Bluetooth, and has not given me a single fault</v>
      </c>
    </row>
    <row r="3081">
      <c r="A3081" s="1">
        <v>5.0</v>
      </c>
      <c r="B3081" s="1" t="s">
        <v>3066</v>
      </c>
      <c r="C3081" t="str">
        <f>IFERROR(__xludf.DUMMYFUNCTION("GOOGLETRANSLATE(B3081, ""es"", ""en"")"),"Good were broken me several more expensive staplers (petrus, ...) due to heavy use with children. It resists this time of bien.y is good material. Price very tight")</f>
        <v>Good were broken me several more expensive staplers (petrus, ...) due to heavy use with children. It resists this time of bien.y is good material. Price very tight</v>
      </c>
    </row>
    <row r="3082">
      <c r="A3082" s="1">
        <v>5.0</v>
      </c>
      <c r="B3082" s="1" t="s">
        <v>3067</v>
      </c>
      <c r="C3082" t="str">
        <f>IFERROR(__xludf.DUMMYFUNCTION("GOOGLETRANSLATE(B3082, ""es"", ""en"")"),"THE QUALITY zapatilllas are as expected, very good quality and superb service. Thank you very much.")</f>
        <v>THE QUALITY zapatilllas are as expected, very good quality and superb service. Thank you very much.</v>
      </c>
    </row>
    <row r="3083">
      <c r="A3083" s="1">
        <v>5.0</v>
      </c>
      <c r="B3083" s="1" t="s">
        <v>3068</v>
      </c>
      <c r="C3083" t="str">
        <f>IFERROR(__xludf.DUMMYFUNCTION("GOOGLETRANSLATE(B3083, ""es"", ""en"")"),"It notes that headphones are quality Spectacular is a wonderful sound they give. Rivaling those of major brands. The sound is amazing, clear and enveloping. Bind very fast. You can talk to them and hear very well.")</f>
        <v>It notes that headphones are quality Spectacular is a wonderful sound they give. Rivaling those of major brands. The sound is amazing, clear and enveloping. Bind very fast. You can talk to them and hear very well.</v>
      </c>
    </row>
    <row r="3084">
      <c r="A3084" s="1">
        <v>5.0</v>
      </c>
      <c r="B3084" s="1" t="s">
        <v>3069</v>
      </c>
      <c r="C3084" t="str">
        <f>IFERROR(__xludf.DUMMYFUNCTION("GOOGLETRANSLATE(B3084, ""es"", ""en"")"),"The power of this good produccto is very good with this offer I got a terrific product at a bargain price. It has many useful for the confectioner appropriate")</f>
        <v>The power of this good produccto is very good with this offer I got a terrific product at a bargain price. It has many useful for the confectioner appropriate</v>
      </c>
    </row>
    <row r="3085">
      <c r="A3085" s="1">
        <v>5.0</v>
      </c>
      <c r="B3085" s="1" t="s">
        <v>3070</v>
      </c>
      <c r="C3085" t="str">
        <f>IFERROR(__xludf.DUMMYFUNCTION("GOOGLETRANSLATE(B3085, ""es"", ""en"")"),"What I was looking &lt;div id = ""video-block-R2N8WC67TNMIZF"" class = ""section a-a-a-spacing-small spacing-top-video mini-block""&gt; &lt;div tabindex = ""0"" class = ""airy airy- svg vmin-unsupported airy-skin-beacon ""style ="" background-color: rgb (0, 0, 0) "&amp;"position: relative; width: 100%; height: 100%; font-size: 0px; overflow: hidden; outline: none; ""&gt; &lt;div class ="" airy-renderer-container ""style ="" position: relative; height: 100%; width: 100%; ""&gt; &lt;video id ="" 15 ""preload ="" auto ""src = ""https:/"&amp;"/m.media-amazon.com/images/I/A1wtGS-lETS.mp4"" style = ""position: absolute; left: 0px; top: 0px; overflow: hidden; height: 1px; width: 1px; ""&gt; &lt;/ video&gt; &lt;/ div&gt; &lt;div id ="" airy-slate-preload ""style ="" background-color: rgb (0, 0, 0); background-image"&amp;": url (&amp; quot; https: // m .media-amazon.com / images / I / 61LYdwDqT1S.png &amp; quot;); background-size: Contain; background-position: center center; background-repeat: no-repeat; position: absolute; top: 0px; left: 0px; visibility: visible; width: 100%; he"&amp;"ight: 100%; ""&gt; &lt;/ div&gt; &lt;iframe scrolling ="" no ""frameborder ="" 0 ""src = ""About: blank"" style = ""display: none;""&gt; &lt;/ iframe&gt; &lt;div tabindex = ""- 1"" class = ""airy-controls-container"" style = ""opacity: 0; visibility: hidden; ""&gt; &lt;div tabindex ="&amp;""" - 1 ""class ="" airy-screen-size-toggle airy-fullscreen ""&gt; &lt;/ div&gt; &lt;div tabindex ="" - 1 ""class ="" airy-container-bottom "" &gt; &lt;div tabindex = ""- 1"" class = ""airy-track-bar-spacer-left"" style = ""width: 11px;""&gt; &lt;/ div&gt; &lt;div tabindex = ""- 1"" cl"&amp;"ass = ""airy-play- airy toggle-play ""style ="" width: 12px; margin-right: 12px; ""&gt; &lt;/ div&gt; &lt;div tabindex ="" - 1 ""class ="" airy-audio-elements ""style ="" float: right; width: 34px; ""&gt; &lt;div tabindex ="" - 1 ""class ="" airy-audio-toggle airy-on ""&gt; &lt;"&amp;"/ div&gt; &lt;div tabindex ="" - 1 ""class ="" airy-audio-container ""style = ""opacity: 0; visibility: hidden; ""&gt; &lt;div tabindex ="" - 1 ""class ="" airy-audio-track-bar ""style ="" height: 80%; ""&gt; &lt;div tabindex ="" - 1 ""class ="" airy-audio- Scrubber-bar """&amp;"style ="" height: 85%; ""&gt; &lt;/ div&gt; &lt;div tabindex ="" - 1 ""class ="" airy-audio-scrubber ""style ="" height: 12px; bottom: 85% ""&gt; &lt;/ div&gt; &lt;/ div&gt; &lt;/ div&gt; &lt;/ div&gt; &lt;div tabindex ="" - 1 ""class ="" airy-duration-label ""style ="" float: right; width: 26px;"&amp;" margin-right: 4px; text-align: center; ""&gt; 0:00 &lt;/ div&gt; &lt;div tabindex ="" - 1 ""class ="" airy-track-bar-spacer-right ""style ="" float: right; width: 11px; ""&gt; &lt;/ div&gt; &lt;div tabindex ="" - 1 ""class ="" airy-track-bar-container ""style ="" margin-left: 3"&amp;"5px; margin-right: 75px; ""&gt; &lt;div tabindex ="" - 1 ""class ="" airy-airy-track-bar vertically-centering-table ""&gt; &lt;div tabindex ="" - 1 ""class ="" airy-Vertical-centering- table-cell ""&gt; &lt;div tabindex ="" - 1 ""class ="" airy-track-bar-elements ""&gt; &lt;div "&amp;"tabindex ="" - 1 ""class ="" airy-progress-bar ""&gt; &lt;/ div&gt; &lt;div tabindex = ""- 1"" class = ""airy-scrubber-bar""&gt; &lt;/ div&gt; &lt;div tabindex = ""- 1"" class = ""airy-scrubber""&gt; &lt;div tabindex = ""- 1"" class = ""airy-scrubber- icon ""&gt; &lt;/ div&gt; &lt;div tabindex ="&amp;""" - 1 ""class ="" airy-adjusted-AUI-tooltip ""style ="" opacity: 0; visibility: hidden; ""&gt; &lt;div tabindex ="" - 1 ""class ="" airy-adjusted-aui-tooltip-inner ""&gt; &lt;div tabindex ="" - 1 ""class ="" airy-current-time-label ""&gt; 0: 00 &lt;/ div&gt; &lt;/ div&gt; &lt;div tab"&amp;"index = ""- 1"" class = ""airy-adjusted-AUI-arrow-border""&gt; &lt;div tabindex = ""- 1"" class = ""airy-adjusted-AUI-arrow"" &gt; &lt;/ div&gt; &lt;/ div&gt; &lt;/ div&gt; &lt;/ div&gt; &lt;/ div&gt; &lt;/ div&gt; &lt;/ div&gt; &lt;/ div&gt; &lt;/ div&gt; &lt;/ div&gt; &lt;div tabindex = ""- 1"" class = ""airy-age-gate airy-"&amp;"stage airy-Vertical-centering-table airy-dialog"" style = ""opacity: 0; visibility: hidden; ""&gt; &lt;div tabindex ="" - 1 ""class ="" airy-age-gate-Vertical-centering-table-cell airy-Vertical-centering-table-cell ""&gt; &lt;div tabindex ="" - 1 ""class = ""airy-Ver"&amp;"tical-centering-wrapper airy-age-gate-elements-wrapper""&gt; &lt;div tabindex = ""- 1"" class = ""airy-age-gate-elements airy-dialog-elements""&gt; &lt;div tabindex = "" -1 ""class ="" airy-age-gate-prompt ""&gt; This video is not Intended for all audiences What date we"&amp;"re you born &lt;/ div&gt; &lt;div tabindex =.?"" - 1 ""class ="" airy-age-gate -inputs airy-dialog-inner-elements ""&gt; &lt;select tabindex ="" - 1 ""class ="" airy-age-gate-month ""&gt; &lt;option value ="" 1 ""&gt; January &lt;/ option&gt; &lt;option value ="" 2 ""&gt; February &lt;/ option"&amp;"&gt; &lt;option value ="" 3 ""&gt; March &lt;/ option&gt; &lt;option value ="" 4 ""&gt; April &lt;/ option&gt; &lt;option value ="" 5 ""&gt; May &lt;/ option&gt; &lt;option value = ""6""&gt; June &lt;/ option&gt; &lt;option value = ""7""&gt; July &lt;/ option&gt; &lt;option value = ""8""&gt; August &lt;/ option&gt; &lt;option value"&amp;" = ""9""&gt; September &lt;/ option&gt; &lt;option value = ""10""&gt; October &lt;/ option&gt; &lt;option value = ""11""&gt; November &lt;/ option&gt; &lt;option value = ""12""&gt; December &lt;/ option&gt; &lt;/ select&gt; &lt;select tabindex = ""- 1"" class = ""airy-age-gate-day""&gt; &lt;opti on value = ""1""&gt; "&amp;"1 &lt;/ option&gt; &lt;option value = ""2""&gt; 2 &lt;/ option&gt; &lt;option value = ""3""&gt; 3 &lt;/ option&gt; &lt;option value = ""4""&gt; 4 &lt;/ option &gt; &lt;option value = ""5""&gt; 5 &lt;/ option&gt; &lt;option value = ""6""&gt; 6 &lt;/ option&gt; &lt;option value = ""7""&gt; 7 &lt;/ option&gt; &lt;option value = ""8""&gt; 8 "&amp;"&lt; / option&gt; &lt;option value = ""9""&gt; 9 &lt;/ option&gt; &lt;option value = ""10""&gt; 10 &lt;/ option&gt; &lt;option value = ""11""&gt; 11 &lt;/ option&gt; &lt;option value = ""12""&gt; 12 &lt;/ option&gt; &lt;option value = ""13""&gt; 13 &lt;/ option&gt; &lt;option value = ""14""&gt; 14 &lt;/ option&gt; &lt;option value = "&amp;"""15""&gt; 15 &lt;/ option&gt; &lt;option value = ""16 ""&gt; 16 &lt;/ option&gt; &lt;option value ="" 17 ""&gt; 17 &lt;/ option&gt; &lt;option value ="" 18 ""&gt; 18 &lt;/ option&gt; &lt;option value ="" 19 ""&gt; 19 &lt;/ option&gt; &lt;option value = ""20""&gt; 20 &lt;/ option&gt; &lt;option value = ""21""&gt; 21 &lt;/ option&gt; &lt;"&amp;"option value = ""22""&gt; 22 &lt;/ option&gt; &lt;option value = ""23""&gt; 23 &lt;/ option&gt; &lt;option value = ""24""&gt; 24 &lt;/ option&gt; &lt;option value = ""25""&gt; 25 &lt;/ option&gt; &lt;option value = ""26""&gt; 26 &lt;/ option&gt; &lt;option value = ""27""&gt; 27 &lt;/ option&gt; &lt;option value = ""28""&gt; 28 &lt;"&amp;"/ option&gt; &lt;option value = ""29""&gt; 29 &lt;/ option&gt; &lt;option value = ""30""&gt; 30 &lt;/ option&gt; &lt;option value = ""31""&gt; 31 &lt;/ option&gt; &lt;/ select&gt; &lt;select tabindex = ""- 1"" class = ""airy-age-gate-year""&gt; &lt;option value = ""2019""&gt; 2019 &lt;/ option&gt; &lt; option value = """&amp;"2018""&gt; 2018 &lt;/ option&gt; &lt;option value = ""2017""&gt; 2017 &lt;/ option&gt; &lt;option value = ""2016""&gt; ​​2016 &lt;/ option&gt; &lt;option value = ""2015""&gt; 2015 &lt;/ option &gt; &lt;option value = ""2014""&gt; 2014 &lt;/ option&gt; &lt;option value = ""2013""&gt; 2013 &lt;/ option&gt; &lt;option value = """&amp;"2012""&gt; 2012 &lt;/ option&gt; &lt;option value = ""2011""&gt; 2011 &lt; / option&gt; &lt;option value = ""2010""&gt; 2010 &lt;/ option&gt; &lt;option value = ""2009""&gt; 2009 &lt;/ option&gt; &lt;option value = ""2008""&gt; 2008 &lt;/ option&gt; &lt;option value = ""2007""&gt; 2007 &lt;/ option&gt; &lt;option value = ""20"&amp;"06""&gt; 2006 &lt;/ option&gt; &lt;option value = ""2005""&gt; 2005 &lt;/ option&gt; &lt;option value = ""2004""&gt; 2004 &lt;/ option&gt; &lt;option value = ""2003 ""&gt; 2003 &lt;/ option&gt; &lt;option value ="" 2002 ""&gt; 2002 &lt;/ option&gt; &lt;option value ="" 2001 ""&gt; 2001 &lt;/ option&gt; &lt;option value ="" 20"&amp;"00 ""&gt; 2000 &lt;/ option&gt; &lt;option value = ""1999""&gt; 1999 &lt;/ option&gt; &lt;option value = ""1998""&gt; 1998 &lt;/ option&gt; &lt;option value = ""1997""&gt; 1997 &lt;/ option&gt; &lt;option value = ""1996""&gt; 1996 &lt;/ option&gt; &lt;option value = ""1995""&gt; 1995 &lt;/ option&gt; &lt;option value = ""1994"&amp;"""&gt; 1994 &lt;/ option&gt; &lt;option value = ""1993""&gt; 1993 &lt;/ option&gt; &lt;option value = ""1992""&gt; 1992 &lt;/ option&gt; &lt;option value = ""1991""&gt; 1991 &lt;/ option&gt; &lt;option value = ""1990""&gt; 1990 &lt;/ option&gt; &lt;option value = "" 1989 ""&gt; 1989 &lt;/ option&gt; &lt;option value ="" 1988 "&amp;"""&gt; 1988 &lt;/ option&gt; &lt;option value ="" 1987 ""&gt; 1987 &lt;/ option&gt; &lt;option value ="" 1986 ""&gt; 1986 &lt;/ option&gt; &lt;value option = ""1985""&gt; 1985 &lt;/ option&gt; &lt;option value = ""1984""&gt; 1984 &lt;/ option&gt; &lt;option value = ""1983""&gt; 1983 &lt;/ option&gt; &lt;option value = ""1982"&amp;"""&gt; 1982 &lt;/ option&gt; &lt; option value = ""1981""&gt; 1981 &lt;/ option&gt; &lt;option value = ""1980""&gt; 1980 &lt;/ option&gt; &lt;option value = ""1979""&gt; 1979 &lt;/ option&gt; &lt;option value = ""1978""&gt; 1978 &lt;/ option &gt; &lt;option value = ""1977""&gt; 1977 &lt;/ option&gt; &lt;option value = ""1976"&amp;"""&gt; 1976 &lt;/ option&gt; &lt;option value = ""1975""&gt; 1975 &lt;/ option&gt; &lt;option value = ""1974""&gt; 1974 &lt; / option&gt; &lt;option value = ""1973""&gt; 1973 &lt;/ option&gt; &lt;option value = ""1972""&gt; 1972 &lt;/ option&gt; &lt;option value = ""1971""&gt; 1971 &lt;/ option&gt; &lt;option value = ""1970"""&amp;"&gt; 1970 &lt;/ option&gt; &lt;option value = ""1969""&gt; 1969 &lt;/ option&gt; &lt;option value = ""1968""&gt; 1968 &lt;/ option&gt; &lt;option value = ""1967""&gt; 1967 &lt;/ option&gt; &lt;option value = ""1966 ""&gt; 1966 &lt;/ option&gt; &lt;option value ="" 1965 ""&gt; 1965 &lt;/ option&gt; &lt;option value ="" 1964 """&amp;"&gt; 1964 &lt;/ option&gt; &lt;option value ="" 1963 ""&gt; 1963 &lt;/ option&gt; &lt;option value = ""1962""&gt; 1962 &lt;/ option&gt; &lt;option value = ""1961""&gt; 1961 &lt;/ option&gt; &lt;option value = ""1960""&gt; 1960 &lt;/ op tion&gt; &lt;option value = ""1959""&gt; 1959 &lt;/ option&gt; &lt;option value = ""1958""&gt;"&amp;" 1958 &lt;/ option&gt; &lt;option value = ""1957""&gt; 1957 &lt;/ option&gt; &lt;option value = ""1956""&gt; 1956 &lt;/ option&gt; &lt;option value = ""1955""&gt; 1955 &lt;/ option&gt; &lt;option value = ""1954""&gt; 1954 &lt;/ option&gt; &lt;option value = ""1953""&gt; 1953 &lt;/ option&gt; &lt;option value = ""1952"" &gt; 1"&amp;"952 &lt;/ option&gt; &lt;option value = ""1951""&gt; 1951 &lt;/ option&gt; &lt;option value = ""1950""&gt; 1950 &lt;/ option&gt; &lt;option value = ""1949""&gt; 1949 &lt;/ option&gt; &lt;option value = "" 1948 ""&gt; 1948 &lt;/ option&gt; &lt;option value ="" 1947 ""&gt; 1947 &lt;/ option&gt; &lt;option value ="" 1946 ""&gt; "&amp;"1946 &lt;/ option&gt; &lt;option value ="" 1945 ""&gt; 1945 &lt;/ option&gt; &lt;value option = ""1944""&gt; 1944 &lt;/ option&gt; &lt;option value = ""1943""&gt; 1943 &lt;/ option&gt; &lt;option value = ""1942""&gt; 1942 &lt;/ option&gt; &lt;option value = ""1941""&gt; 1941 &lt;/ option&gt; &lt; option value = ""1940""&gt; 1"&amp;"940 &lt;/ option&gt; &lt;option value = ""1939""&gt; 1939 &lt;/ option&gt; &lt;option value = ""1938""&gt; 1938 &lt;/ option&gt; &lt;option value = ""1937""&gt; 1937 &lt;/ option &gt; &lt;option value = ""1936""&gt; 1936 &lt;/ option&gt; &lt;option value = ""1935""&gt; 1935 &lt;/ option&gt; &lt;option value = ""1934""&gt; 193"&amp;"4 &lt;/ option&gt; &lt;option value = ""1933""&gt; 1933 &lt; / option&gt; &lt;option value = ""1932""&gt; 1932 &lt;/ option&gt; &lt;option value = ""1931""&gt; 1931 &lt;/ option&gt; &lt;option v alue = ""1930""&gt; 1930 &lt;/ option&gt; &lt;option value = ""1929""&gt; 1929 &lt;/ option&gt; &lt;option value = ""1928""&gt; 1928"&amp;" &lt;/ option&gt; &lt;option value = ""1927""&gt; 1927 &lt;/ option&gt; &lt;option value = ""1926""&gt; 1926 &lt;/ option&gt; &lt;option value = ""1925""&gt; 1925 &lt;/ option&gt; &lt;option value = ""1924""&gt; 1924 &lt;/ option&gt; &lt;option value = ""1923""&gt; 1923 &lt;/ option&gt; &lt;option value = ""1922""&gt; 1922 &lt;/"&amp;" option&gt; &lt;option value = ""1921""&gt; 1921 &lt;/ option&gt; &lt;option value = ""1920""&gt; 1920 &lt;/ option&gt; &lt;option value = ""1919""&gt; 1919 &lt;/ option&gt; &lt;option value = ""1918""&gt; 1918 &lt;/ option&gt; &lt;option value = ""1917""&gt; 1917 &lt;/ option&gt; &lt;option value = ""1916""&gt; 1916 &lt;/ op"&amp;"tion&gt; &lt;option value = ""1915"" &gt; 1915 &lt;/ option&gt; &lt;option value = ""1914""&gt; 1914 &lt;/ option&gt; &lt;option value = ""1913""&gt; 1913 &lt;/ option&gt; &lt;option value = ""1912""&gt; 1912 &lt;/ option&gt; &lt;option value = "" 1911 ""&gt; 1911 &lt;/ option&gt; &lt;option value ="" 1910 ""&gt; 1910 &lt;/ o"&amp;"ption&gt; &lt;option value ="" 1909 ""&gt; 1909 &lt;/ option&gt; &lt;option value ="" 1908 ""&gt; 1908 &lt;/ option&gt; &lt;value option = ""1907""&gt; 1907 &lt;/ option&gt; &lt;option value = ""1906""&gt; 1906 &lt;/ option&gt; &lt;option value = ""1905""&gt; 1905 &lt;/ option&gt; &lt;option value = ""1904""&gt; 1904 &lt;/ op"&amp;"tion&gt; &lt; option value = ""1903""&gt; 1903 &lt;/ option&gt; &lt;option value = ""1902""&gt; 1902 &lt;/ option&gt; &lt;option value = ""1901""&gt; 19 01 &lt;/ option&gt; &lt;option value = ""1900""&gt; 1900 &lt;/ option&gt; &lt;/ select&gt; &lt;div tabindex = ""- 1"" class = ""airy-age-gate-submit airy-submit-b"&amp;"utton airy airy-submit- disabled ""&gt; Submit &lt;/ div&gt; &lt;/ div&gt; &lt;/ div&gt; &lt;/ div&gt; &lt;/ div&gt; &lt;/ div&gt; &lt;div tabindex ="" - 1 ""class ="" airy-install-flash-dialog airy-stage airy -vertical-centering-table-dialog airy airy-denied ""style ="" opacity: 0; visibility: h"&amp;"idden; ""&gt; &lt;div tabindex ="" - 1 ""class ="" airy-install-flash-Vertical-centering-table-cell airy-Vertical-centering-table-cell ""&gt; &lt;div tabindex ="" - 1 ""class = ""airy-Vertical-centering-wrapper airy-install-flash-elements-wrapper""&gt; &lt;div tabindex = "&amp;"""- 1"" class = ""airy-install-flash-elements airy-dialog-elements""&gt; &lt;div tabindex = "" -1 ""class ="" airy-install-flash-prompt ""&gt; Adobe Flash Player is required to watch this video &lt;/ div&gt; &lt;div tabindex =."" - 1 ""class ="" airy-install-flash-button-w"&amp;"rapper airy -dialog-inner-elements ""&gt; &lt;div tabindex ="" - 1 ""class ="" airy-install-flash-button airy-button ""&gt; install Flash Player &lt;/ div&gt; &lt;/ div&gt; &lt;/ div&gt; &lt;/ div&gt; &lt;/ div&gt; &lt;/ div&gt; &lt;div tabindex = ""- 1"" class = ""airy-video-unsupported-dialog airy-st"&amp;"age airy-Vertical-centering-table airy-dialog airy-denied"" style = ""opacity: 0; visibility: hidden; ""&gt; &lt;div tabindex ="" - 1 ""class ="" airy-video-unsupported-Vertical-centering-table-cell airy-Vertical-centering-table-cell ""&gt; &lt;div tabindex ="" - 1 "&amp;"""class = ""airy-Vertical-centering-wrapper airy-video-unsupported-elements-wrapper""&gt; &lt;div tabindex = ""- 1"" class = ""airy-video-unsupported-elements airy-dialog-elements""&gt; &lt;div tabindex = "" -1 ""class ="" airy-video-unsupported-prompt ""&gt; &lt;/ div&gt; &lt;/"&amp;" div&gt; &lt;/ div&gt; &lt;/ div&gt; &lt;/ div&gt; &lt;div tabindex ="" - 1 ""class ="" airy-loading- spinner-stage airy-stage ""&gt; &lt;div tabindex ="" - 1 ""class ="" airy-loading-spinner-Vertical-centering-table-cell airy-Vertical-centering-table-cell ""&gt; &lt;div tabindex ="" - 1 """&amp;"class ="" airy-loading-spinner-container airy-scalable-hint-container ""&gt; &lt;div tabindex ="" - 1 ""class ="" airy-loading-spinner-dummy airy-scalable-dummy ""&gt; &lt;/ div&gt; &lt; div tabindex = ""- 1"" class = ""airy-loading-spinner airy-hint"" style = ""visibility"&amp;": hidden;""&gt; &lt;/ div&gt; &lt;/ div&gt; &lt;/ div&gt; &lt;/ div&gt; &lt;div tabindex = ""- 1 ""class ="" airy-ads-screen-size-toggle airy-screen-size-toggle-fullscreen airy ""style ="" visibility: hidden; ""&gt; &lt;/ div&gt; &lt;div tabindex = ""-1"" class = ""airy-ad-prompt-container"" styl"&amp;"e = ""visibility: hidden;""&gt; &lt;div tabindex = ""- 1"" class = ""airy-ad-prompt-Vertical-centering-table-vertically airy centering-table ""&gt; &lt;div tabindex ="" - 1 ""class ="" airy-ad-prompt-Vertical-centering-table-cell airy-Vertical-centering-table-cell """&amp;"&gt; &lt;div tabindex ="" - 1 ""class = ""airy-ad-prompt-label""&gt; &lt;/ div&gt; &lt;/ div&gt; &lt;/ div&gt; &lt;/ div&gt; &lt;div tabindex = ""- 1"" class = ""airy-ads-controls-container"" style = ""visibility: hidden; ""&gt; &lt;div tabindex ="" - 1 ""class ="" airy-ads-audio-toggle airy-audi"&amp;"o-toggle airy-on ""style ="" visibility: hidden; ""&gt; &lt;/ div&gt; &lt;div tabindex ="" - 1 ""class ="" airy-time-remaining-label-container ""&gt; &lt;div tabindex ="" - 1 ""class ="" airy-time-remaining-Vertical-centering-table airy-Vertical-centering-table ""&gt; &lt;div ta"&amp;"bindex = ""- 1"" class = ""airy-time-remaining-Vertical-centering-table-cell airy-Vertical-centering-table-cell""&gt; &lt;div tabindex = ""- 1"" class = ""airy-Vertical-centering-wrapper airy-time-remaining-label-wrapper ""&gt; &lt;div tabindex ="" - 1 ""class ="" ai"&amp;"ry-time-remaining-label ""style ="" visibility: hidden; ""&gt; &lt;/ div&gt; &lt;div tabi ndex = ""- 1"" class = ""airy-ad-skip"" style = ""visibility: hidden;""&gt; &lt;/ div&gt; &lt;div tabindex = ""- 1"" class = ""airy-ad-end"" style = ""visibility: hidden ""&gt; &lt;/ div&gt; &lt;/ div&gt;"&amp;" &lt;/ div&gt; &lt;/ div&gt; &lt;/ div&gt; &lt;div tabindex ="" - 1 ""class ="" airy-learn-more ""style ="" visibility: hidden; ""&gt; &lt;/ div&gt; &lt;/ div&gt; &lt;div tabindex = ""- 1"" class = ""airy-play-toggle-hint-stage airy-stage airy-cursor""&gt; &lt;div tabindex = ""- 1"" class = ""airy-p"&amp;"lay -toggle-hint-Vertical-centering-table-cell airy-Vertical-centering-table-cell airy-cursor ""&gt; &lt;div tabindex ="" - 1 ""class ="" airy-play-toggle-hint-container airy-scalable- Hint-container ""&gt; &lt;div tabindex ="" - 1 ""class ="" airy-play-toggle-hint-d"&amp;"ummy airy-scalable-dummy ""&gt; &lt;/ div&gt; &lt;div tabindex ="" - 1 ""class ="" airy-play -toggle-hint hint airy-airy-play-hint ""style ="" opacity: 1; visibility: visible; ""&gt; &lt;/ div&gt; &lt;/ div&gt; &lt;/ div&gt; &lt;/ div&gt; &lt;div tabindex ="" - 1 ""class ="" airy-replay-hint-stag"&amp;"e airy-stage ""style ="" visibility: hidden ; ""&gt; &lt;div tabindex ="" - 1 ""class ="" airy-replay-hint-Vertical-centering-table-cell airy-Vertical-centering-table-cell airy-cursor ""&gt; &lt;div tabindex ="" - 1 ""class = ""airy-replay-hint-container airy-scalabl"&amp;"e-hint-container""&gt; &lt;div tabindex = ""- 1"" class = ""airy-replay-hint-dummy airy-scalable-dummy""&gt; &lt;/ div&gt; &lt;div tabindex = ""- 1"" class = ""airy-replay-hint airy-hint""&gt; &lt;/ div&gt; &lt;/ div&gt; &lt;/ div&gt; &lt;/ div&gt; &lt;div tabindex = ""- 1"" class = ""airy-autoplay-hin"&amp;"t -stage airy-stage ""style ="" visibility: hidden; ""&gt; &lt;div tabindex ="" - 1 ""class ="" airy-autoplay-hint-Vertical-centering-table-cell airy-Vertical-centering-table-cell airy- cursor ""&gt; &lt;div tabindex ="" - 1 ""class ="" autoplay airy-airy-hint-contai"&amp;"ner-scalable-hint-container ""&gt; &lt;div tabindex ="" - 1 ""class ="" airy-autoplay-hint-dummy airy- scalable-dummy ""&gt; &lt;/ div&gt; &lt;/ div&gt; &lt;/ div&gt; &lt;/ div&gt; &lt;/ div&gt; &lt;/ div&gt; &lt;input type ="" hidden ""name ="" ""value ="" https://m.media -amazon.com/images/I/A1wtGS-l"&amp;"ETS.mp4 ""class ="" Vide o-url ""&gt; &lt;input type ="" hidden ""name ="" ""value ="" https://m.media-amazon.com/images/I/61LYdwDqT1S.png ""class ="" video-slate-img-url "" &gt; &amp; nbsp; perfect! A multifunctional pendrive! When I asked this pendrive I was just lo"&amp;"oking for a flash drive that has at least 32GB to move files both work and personal use. This pendrive course that meets my needs, but also has connectors to plug into any mobile. Really this, at least in my case, is not something you use every day, but i"&amp;"n my short time with him as I was helpful on a couple of occasions. Particularly when traveling and avoid having to take the computer to check a few things, because the mobile and usually carry it on. It comes in a very cool, perfect box to carry along wi"&amp;"th accessory to connect to phone connector ""Type C"" and that none of the pieces suffer any damage (comes with padding inside the Box: -. Pendrive with USB, Lightning (iphone) and michoUSB - Adapter USB-Type C - Instructions for IOS and Android'm very sa"&amp;"tisfied with the purchase and recommend it to everyone who needs a pendrive normal because it is a much more normal and pendrive")</f>
        <v>What I was looking &lt;div id = "video-block-R2N8WC67TNMIZF" class = "section a-a-a-spacing-small spacing-top-video mini-block"&gt; &lt;div tabindex = "0" class = "airy airy- svg vmin-unsupported airy-skin-beacon "style =" background-color: rgb (0, 0, 0) position: relative; width: 100%; height: 100%; font-size: 0px; overflow: hidden; outline: none; "&gt; &lt;div class =" airy-renderer-container "style =" position: relative; height: 100%; width: 100%; "&gt; &lt;video id =" 15 "preload =" auto "src = "https://m.media-amazon.com/images/I/A1wtGS-lETS.mp4" style = "position: absolute; left: 0px; top: 0px; overflow: hidden; height: 1px; width: 1px; "&gt; &lt;/ video&gt; &lt;/ div&gt; &lt;div id =" airy-slate-preload "style =" background-color: rgb (0, 0, 0); background-image: url (&amp; quot; https: // m .media-amazon.com / images / I / 61LYdwDqT1S.png &amp; quot;); background-size: Contain; background-position: center center; background-repeat: no-repeat; position: absolute; top: 0px; left: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https://m.media -amazon.com/images/I/A1wtGS-lETS.mp4 "class =" Vide o-url "&gt; &lt;input type =" hidden "name =" "value =" https://m.media-amazon.com/images/I/61LYdwDqT1S.png "class =" video-slate-img-url " &gt; &amp; nbsp; perfect! A multifunctional pendrive! When I asked this pendrive I was just looking for a flash drive that has at least 32GB to move files both work and personal use. This pendrive course that meets my needs, but also has connectors to plug into any mobile. Really this, at least in my case, is not something you use every day, but in my short time with him as I was helpful on a couple of occasions. Particularly when traveling and avoid having to take the computer to check a few things, because the mobile and usually carry it on. It comes in a very cool, perfect box to carry along with accessory to connect to phone connector "Type C" and that none of the pieces suffer any damage (comes with padding inside the Box: -. Pendrive with USB, Lightning (iphone) and michoUSB - Adapter USB-Type C - Instructions for IOS and Android'm very satisfied with the purchase and recommend it to everyone who needs a pendrive normal because it is a much more normal and pendrive</v>
      </c>
    </row>
    <row r="3086">
      <c r="A3086" s="1">
        <v>2.0</v>
      </c>
      <c r="B3086" s="1" t="s">
        <v>3071</v>
      </c>
      <c r="C3086" t="str">
        <f>IFERROR(__xludf.DUMMYFUNCTION("GOOGLETRANSLATE(B3086, ""es"", ""en"")"),"Product not suitable for city. Soled shoes are tacos, ie unless run down the mountain quickly wears the sole. Come on, that in one month are ready to throw away. Think about it.")</f>
        <v>Product not suitable for city. Soled shoes are tacos, ie unless run down the mountain quickly wears the sole. Come on, that in one month are ready to throw away. Think about it.</v>
      </c>
    </row>
    <row r="3087">
      <c r="A3087" s="1">
        <v>3.0</v>
      </c>
      <c r="B3087" s="1" t="s">
        <v>3072</v>
      </c>
      <c r="C3087" t="str">
        <f>IFERROR(__xludf.DUMMYFUNCTION("GOOGLETRANSLATE(B3087, ""es"", ""en"")"),"Well all good quality trekking")</f>
        <v>Well all good quality trekking</v>
      </c>
    </row>
    <row r="3088">
      <c r="A3088" s="1">
        <v>3.0</v>
      </c>
      <c r="B3088" s="1" t="s">
        <v>3073</v>
      </c>
      <c r="C3088" t="str">
        <f>IFERROR(__xludf.DUMMYFUNCTION("GOOGLETRANSLATE(B3088, ""es"", ""en"")"),"Well with the service but doubts Product durability is as it describes what the cable however it seems very thin and gives me the sensanción that soon will break me with any growth spurt. It came to me quickly and well packed.")</f>
        <v>Well with the service but doubts Product durability is as it describes what the cable however it seems very thin and gives me the sensanción that soon will break me with any growth spurt. It came to me quickly and well packed.</v>
      </c>
    </row>
    <row r="3089">
      <c r="A3089" s="1">
        <v>1.0</v>
      </c>
      <c r="B3089" s="1" t="s">
        <v>3074</v>
      </c>
      <c r="C3089" t="str">
        <f>IFERROR(__xludf.DUMMYFUNCTION("GOOGLETRANSLATE(B3089, ""es"", ""en"")"),"Hello Katia, buy boots for a specific trip to the cold and I put them 5 times I broke both evillas, as I contact? a greeting")</f>
        <v>Hello Katia, buy boots for a specific trip to the cold and I put them 5 times I broke both evillas, as I contact? a greeting</v>
      </c>
    </row>
    <row r="3090">
      <c r="A3090" s="1">
        <v>1.0</v>
      </c>
      <c r="B3090" s="1" t="s">
        <v>3075</v>
      </c>
      <c r="C3090" t="str">
        <f>IFERROR(__xludf.DUMMYFUNCTION("GOOGLETRANSLATE(B3090, ""es"", ""en"")"),"Do not buy the watch is fake. It IS NOT CASIO. I bought it in February and May no longer worked.")</f>
        <v>Do not buy the watch is fake. It IS NOT CASIO. I bought it in February and May no longer worked.</v>
      </c>
    </row>
    <row r="3091">
      <c r="A3091" s="1">
        <v>1.0</v>
      </c>
      <c r="B3091" s="1" t="s">
        <v>3076</v>
      </c>
      <c r="C3091" t="str">
        <f>IFERROR(__xludf.DUMMYFUNCTION("GOOGLETRANSLATE(B3091, ""es"", ""en"")"),"Crappy quality disappointment, or do not come in a plastic box")</f>
        <v>Crappy quality disappointment, or do not come in a plastic box</v>
      </c>
    </row>
    <row r="3092">
      <c r="A3092" s="1">
        <v>4.0</v>
      </c>
      <c r="B3092" s="1" t="s">
        <v>3077</v>
      </c>
      <c r="C3092" t="str">
        <f>IFERROR(__xludf.DUMMYFUNCTION("GOOGLETRANSLATE(B3092, ""es"", ""en"")"),"Good value The product has an excellent design. The termination also appears robust. The only but the rack is not retractable rolls and is not incorporated into the structure, but must be mounted above the groove and removed when not in use. Otherwise, ve"&amp;"ry good product.")</f>
        <v>Good value The product has an excellent design. The termination also appears robust. The only but the rack is not retractable rolls and is not incorporated into the structure, but must be mounted above the groove and removed when not in use. Otherwise, very good product.</v>
      </c>
    </row>
    <row r="3093">
      <c r="A3093" s="1">
        <v>4.0</v>
      </c>
      <c r="B3093" s="1" t="s">
        <v>3078</v>
      </c>
      <c r="C3093" t="str">
        <f>IFERROR(__xludf.DUMMYFUNCTION("GOOGLETRANSLATE(B3093, ""es"", ""en"")"),"Celo Very good product")</f>
        <v>Celo Very good product</v>
      </c>
    </row>
    <row r="3094">
      <c r="A3094" s="1">
        <v>4.0</v>
      </c>
      <c r="B3094" s="1" t="s">
        <v>3079</v>
      </c>
      <c r="C3094" t="str">
        <f>IFERROR(__xludf.DUMMYFUNCTION("GOOGLETRANSLATE(B3094, ""es"", ""en"")"),"It's a great wonder, for daily maintenance there is something better, not only you ""sweeps"" but you take all the dust of the ground, it is appreciated when you have at home people who go barefoot all day. No significant staining of the removed soil, oil"&amp;" stains, spills of soft drinks and other dry, dust and small pisaditas water. By putting a but, I expected quieter but really, is not something that you consider problematic if you will not let cleaning while you sleep.")</f>
        <v>It's a great wonder, for daily maintenance there is something better, not only you "sweeps" but you take all the dust of the ground, it is appreciated when you have at home people who go barefoot all day. No significant staining of the removed soil, oil stains, spills of soft drinks and other dry, dust and small pisaditas water. By putting a but, I expected quieter but really, is not something that you consider problematic if you will not let cleaning while you sleep.</v>
      </c>
    </row>
    <row r="3095">
      <c r="A3095" s="1">
        <v>4.0</v>
      </c>
      <c r="B3095" s="1" t="s">
        <v>3080</v>
      </c>
      <c r="C3095" t="str">
        <f>IFERROR(__xludf.DUMMYFUNCTION("GOOGLETRANSLATE(B3095, ""es"", ""en"")"),"SD cheap, none of the other world [If this review has been helpful, appreciate it if you give a helpful vote, thanks] The truth is that it is a normal SD, none of the other world, has a pretty good price (I I bought a 5.72 €), the actual space is a little"&amp;" more than 14GB, but hey, for the price it is not going to fault it. Very pleased with it, I recommend it to everyone.")</f>
        <v>SD cheap, none of the other world [If this review has been helpful, appreciate it if you give a helpful vote, thanks] The truth is that it is a normal SD, none of the other world, has a pretty good price (I I bought a 5.72 €), the actual space is a little more than 14GB, but hey, for the price it is not going to fault it. Very pleased with it, I recommend it to everyone.</v>
      </c>
    </row>
    <row r="3096">
      <c r="A3096" s="1">
        <v>4.0</v>
      </c>
      <c r="B3096" s="1" t="s">
        <v>3081</v>
      </c>
      <c r="C3096" t="str">
        <f>IFERROR(__xludf.DUMMYFUNCTION("GOOGLETRANSLATE(B3096, ""es"", ""en"")"),"Very good cards Happy cards. Fast and with enough capacity for my camera at a very reasonable price. Satisfied with the purchase that delivers what it promises. The would buy")</f>
        <v>Very good cards Happy cards. Fast and with enough capacity for my camera at a very reasonable price. Satisfied with the purchase that delivers what it promises. The would buy</v>
      </c>
    </row>
    <row r="3097">
      <c r="A3097" s="1">
        <v>5.0</v>
      </c>
      <c r="B3097" s="1" t="s">
        <v>3082</v>
      </c>
      <c r="C3097" t="str">
        <f>IFERROR(__xludf.DUMMYFUNCTION("GOOGLETRANSLATE(B3097, ""es"", ""en"")"),"Used very practical and good and great resultsfo ago RT = redultafo")</f>
        <v>Used very practical and good and great resultsfo ago RT = redultafo</v>
      </c>
    </row>
    <row r="3098">
      <c r="A3098" s="1">
        <v>5.0</v>
      </c>
      <c r="B3098" s="1" t="s">
        <v>3083</v>
      </c>
      <c r="C3098" t="str">
        <f>IFERROR(__xludf.DUMMYFUNCTION("GOOGLETRANSLATE(B3098, ""es"", ""en"")"),"Advisable to buy a pair for me and one for my sister and are perfect. And had a before and knew they would be comfortable, but to my surprise the model is improved and the sole is more enhanced and more comfortable yet. As for size, I use a 36/37 normally"&amp;" but I do better with Superga 36, ​​and my sister the same, using 37/38 and asked the 37 and remain perfect. In addition, the shipping was very fast. 100% recommended.")</f>
        <v>Advisable to buy a pair for me and one for my sister and are perfect. And had a before and knew they would be comfortable, but to my surprise the model is improved and the sole is more enhanced and more comfortable yet. As for size, I use a 36/37 normally but I do better with Superga 36, ​​and my sister the same, using 37/38 and asked the 37 and remain perfect. In addition, the shipping was very fast. 100% recommended.</v>
      </c>
    </row>
    <row r="3099">
      <c r="A3099" s="1">
        <v>5.0</v>
      </c>
      <c r="B3099" s="1" t="s">
        <v>3084</v>
      </c>
      <c r="C3099" t="str">
        <f>IFERROR(__xludf.DUMMYFUNCTION("GOOGLETRANSLATE(B3099, ""es"", ""en"")"),"I wanted what I expected, comfortable wear them and walk with them")</f>
        <v>I wanted what I expected, comfortable wear them and walk with them</v>
      </c>
    </row>
    <row r="3100">
      <c r="A3100" s="1">
        <v>5.0</v>
      </c>
      <c r="B3100" s="1" t="s">
        <v>3085</v>
      </c>
      <c r="C3100" t="str">
        <f>IFERROR(__xludf.DUMMYFUNCTION("GOOGLETRANSLATE(B3100, ""es"", ""en"")"),"Album perfect size for photos 20x25 applies whether they are horizontal and vertical. Enter a large number of photos, and the presentation is great to say it has a reasonable price")</f>
        <v>Album perfect size for photos 20x25 applies whether they are horizontal and vertical. Enter a large number of photos, and the presentation is great to say it has a reasonable price</v>
      </c>
    </row>
    <row r="3101">
      <c r="A3101" s="1">
        <v>5.0</v>
      </c>
      <c r="B3101" s="1" t="s">
        <v>3086</v>
      </c>
      <c r="C3101" t="str">
        <f>IFERROR(__xludf.DUMMYFUNCTION("GOOGLETRANSLATE(B3101, ""es"", ""en"")"),"Very resistant very resistant and comfortable")</f>
        <v>Very resistant very resistant and comfortable</v>
      </c>
    </row>
    <row r="3102">
      <c r="A3102" s="1">
        <v>5.0</v>
      </c>
      <c r="B3102" s="1" t="s">
        <v>3087</v>
      </c>
      <c r="C3102" t="str">
        <f>IFERROR(__xludf.DUMMYFUNCTION("GOOGLETRANSLATE(B3102, ""es"", ""en"")"),"Very happy with the product I bought the ssd suggestion of a co-worker, since he had already made this purchase. And the truth is that it came super fast, the right size for my laptop and it is light. I put as the main disk and install the w10 home and th"&amp;"e truth is that there muuuuucha difference, my pc has 2 years and I had never been soooooo fast. To put it as the main drive in a laptop is much better to be more capable, but first wanted to try it, I have also storage which came from series 1 tb.")</f>
        <v>Very happy with the product I bought the ssd suggestion of a co-worker, since he had already made this purchase. And the truth is that it came super fast, the right size for my laptop and it is light. I put as the main disk and install the w10 home and the truth is that there muuuuucha difference, my pc has 2 years and I had never been soooooo fast. To put it as the main drive in a laptop is much better to be more capable, but first wanted to try it, I have also storage which came from series 1 tb.</v>
      </c>
    </row>
    <row r="3103">
      <c r="A3103" s="1">
        <v>5.0</v>
      </c>
      <c r="B3103" s="1" t="s">
        <v>3088</v>
      </c>
      <c r="C3103" t="str">
        <f>IFERROR(__xludf.DUMMYFUNCTION("GOOGLETRANSLATE(B3103, ""es"", ""en"")"),"Very good sound and good sound design and beautiful design, very good price for the product, I liked it for the moment. I recommend it.")</f>
        <v>Very good sound and good sound design and beautiful design, very good price for the product, I liked it for the moment. I recommend it.</v>
      </c>
    </row>
    <row r="3104">
      <c r="A3104" s="1">
        <v>5.0</v>
      </c>
      <c r="B3104" s="1" t="s">
        <v>3089</v>
      </c>
      <c r="C3104" t="str">
        <f>IFERROR(__xludf.DUMMYFUNCTION("GOOGLETRANSLATE(B3104, ""es"", ""en"")"),"Excellent quality / price They sound great with ANC. Time will tell if the switch buttons and ANC are sufficiently strong enough to last. Regarding the ""not changeable"" battery will also be the time who put things in place. Anyway by the quality / price"&amp;" they can not ask for more. Yes, if whole lasted long and it would be Monda.")</f>
        <v>Excellent quality / price They sound great with ANC. Time will tell if the switch buttons and ANC are sufficiently strong enough to last. Regarding the "not changeable" battery will also be the time who put things in place. Anyway by the quality / price they can not ask for more. Yes, if whole lasted long and it would be Monda.</v>
      </c>
    </row>
    <row r="3105">
      <c r="A3105" s="1">
        <v>5.0</v>
      </c>
      <c r="B3105" s="1" t="s">
        <v>3090</v>
      </c>
      <c r="C3105" t="str">
        <f>IFERROR(__xludf.DUMMYFUNCTION("GOOGLETRANSLATE(B3105, ""es"", ""en"")"),"Rr. Martens 1460 Back Smooth days ago I received size 43 boots and am very satisfied. And had some time ago Martens and although I use a size 43, decided to stop before a shop to prove the size 42. Very rarely chock 42 and wanted to make sure you buy the "&amp;"right number. 42 I was just the rather tight and considering that the boots will put thick socks in winter, it was clear that my size was 43. My recommendation it is to buy boots your usual size, and if you are a little big fat you put a sock to wear foot"&amp;" tight. The've bought at an attractive price, 86 €. In the street are 136 € about 10% in rebates (as the store clerk where I tested). My other question was whether the boots would be Black - Smooth (original) or Black (other black) as described on the web"&amp;". Although web-described ""Black Color"" are finally color Original Black Smooth as it is well marked on the outside of the box. In this sense, I think Amazon should be more specific descriptions. Also they describe ""Men"" and in the store they said they"&amp;" are unisex boots. The truth is that on the website of Martens distinguish between boots for men and women but opinion does not differ at all, only in size ... Regarding doubts whether they are original or not, (as I read in comments) me hard to believe t"&amp;"hat not be ... Amazon sells boots and sends that guarantees Amazon buying.")</f>
        <v>Rr. Martens 1460 Back Smooth days ago I received size 43 boots and am very satisfied. And had some time ago Martens and although I use a size 43, decided to stop before a shop to prove the size 42. Very rarely chock 42 and wanted to make sure you buy the right number. 42 I was just the rather tight and considering that the boots will put thick socks in winter, it was clear that my size was 43. My recommendation it is to buy boots your usual size, and if you are a little big fat you put a sock to wear foot tight. The've bought at an attractive price, 86 €. In the street are 136 € about 10% in rebates (as the store clerk where I tested). My other question was whether the boots would be Black - Smooth (original) or Black (other black) as described on the web. Although web-described "Black Color" are finally color Original Black Smooth as it is well marked on the outside of the box. In this sense, I think Amazon should be more specific descriptions. Also they describe "Men" and in the store they said they are unisex boots. The truth is that on the website of Martens distinguish between boots for men and women but opinion does not differ at all, only in size ... Regarding doubts whether they are original or not, (as I read in comments) me hard to believe that not be ... Amazon sells boots and sends that guarantees Amazon buying.</v>
      </c>
    </row>
    <row r="3106">
      <c r="A3106" s="1">
        <v>5.0</v>
      </c>
      <c r="B3106" s="1" t="s">
        <v>3091</v>
      </c>
      <c r="C3106" t="str">
        <f>IFERROR(__xludf.DUMMYFUNCTION("GOOGLETRANSLATE(B3106, ""es"", ""en"")"),"Nice and cheap rings rings 100% recommended. Nice and a good price. Sending fast and on time.")</f>
        <v>Nice and cheap rings rings 100% recommended. Nice and a good price. Sending fast and on time.</v>
      </c>
    </row>
    <row r="3107">
      <c r="A3107" s="1">
        <v>5.0</v>
      </c>
      <c r="B3107" s="1" t="s">
        <v>3092</v>
      </c>
      <c r="C3107" t="str">
        <f>IFERROR(__xludf.DUMMYFUNCTION("GOOGLETRANSLATE(B3107, ""es"", ""en"")"),"AVENT bottle This bottle is great. My son does not want another tetina")</f>
        <v>AVENT bottle This bottle is great. My son does not want another tetina</v>
      </c>
    </row>
    <row r="3108">
      <c r="A3108" s="1">
        <v>5.0</v>
      </c>
      <c r="B3108" s="1" t="s">
        <v>3093</v>
      </c>
      <c r="C3108" t="str">
        <f>IFERROR(__xludf.DUMMYFUNCTION("GOOGLETRANSLATE(B3108, ""es"", ""en"")"),"Perfect I have found it very economical, it is a well-known brand and quantity have forever as they are many.")</f>
        <v>Perfect I have found it very economical, it is a well-known brand and quantity have forever as they are many.</v>
      </c>
    </row>
    <row r="3109">
      <c r="A3109" s="1">
        <v>5.0</v>
      </c>
      <c r="B3109" s="1" t="s">
        <v>3094</v>
      </c>
      <c r="C3109" t="str">
        <f>IFERROR(__xludf.DUMMYFUNCTION("GOOGLETRANSLATE(B3109, ""es"", ""en"")"),"Excellent watch casio! As he expected light and functional! Casio quality is legit I'll buy it again in another color")</f>
        <v>Excellent watch casio! As he expected light and functional! Casio quality is legit I'll buy it again in another color</v>
      </c>
    </row>
    <row r="3110">
      <c r="A3110" s="1">
        <v>5.0</v>
      </c>
      <c r="B3110" s="1" t="s">
        <v>3095</v>
      </c>
      <c r="C3110" t="str">
        <f>IFERROR(__xludf.DUMMYFUNCTION("GOOGLETRANSLATE(B3110, ""es"", ""en"")"),"Perfect What I I expected")</f>
        <v>Perfect What I I expected</v>
      </c>
    </row>
    <row r="3111">
      <c r="A3111" s="1">
        <v>5.0</v>
      </c>
      <c r="B3111" s="1" t="s">
        <v>3096</v>
      </c>
      <c r="C3111" t="str">
        <f>IFERROR(__xludf.DUMMYFUNCTION("GOOGLETRANSLATE(B3111, ""es"", ""en"")"),"Summer tracksuit tracksuit is a lightweight, ideal for summer or to train with him. It takes tight and looks good. Nike gives enough size so if, as in my case usually use the M on clothes, you have to buy a S.")</f>
        <v>Summer tracksuit tracksuit is a lightweight, ideal for summer or to train with him. It takes tight and looks good. Nike gives enough size so if, as in my case usually use the M on clothes, you have to buy a S.</v>
      </c>
    </row>
    <row r="3112">
      <c r="A3112" s="1">
        <v>5.0</v>
      </c>
      <c r="B3112" s="1" t="s">
        <v>3097</v>
      </c>
      <c r="C3112" t="str">
        <f>IFERROR(__xludf.DUMMYFUNCTION("GOOGLETRANSLATE(B3112, ""es"", ""en"")"),"Good choice for PS4 Pro! And I have almost a year and I'm fine. In the event that the performance exceeds normal hdd and below a ssd.")</f>
        <v>Good choice for PS4 Pro! And I have almost a year and I'm fine. In the event that the performance exceeds normal hdd and below a ssd.</v>
      </c>
    </row>
    <row r="3113">
      <c r="A3113" s="1">
        <v>5.0</v>
      </c>
      <c r="B3113" s="1" t="s">
        <v>3098</v>
      </c>
      <c r="C3113" t="str">
        <f>IFERROR(__xludf.DUMMYFUNCTION("GOOGLETRANSLATE(B3113, ""es"", ""en"")"),"Good product value The use several hours a day and now they are working well (other brands do not usually last me many hours), and in principle value are fine")</f>
        <v>Good product value The use several hours a day and now they are working well (other brands do not usually last me many hours), and in principle value are fine</v>
      </c>
    </row>
    <row r="3114">
      <c r="A3114" s="1">
        <v>5.0</v>
      </c>
      <c r="B3114" s="1" t="s">
        <v>3099</v>
      </c>
      <c r="C3114" t="str">
        <f>IFERROR(__xludf.DUMMYFUNCTION("GOOGLETRANSLATE(B3114, ""es"", ""en"")"),"Average Not bad")</f>
        <v>Average Not bad</v>
      </c>
    </row>
    <row r="3115">
      <c r="A3115" s="1">
        <v>5.0</v>
      </c>
      <c r="B3115" s="1" t="s">
        <v>3100</v>
      </c>
      <c r="C3115" t="str">
        <f>IFERROR(__xludf.DUMMYFUNCTION("GOOGLETRANSLATE(B3115, ""es"", ""en"")"),"good quality and very nice big thing. I put spending by a template because they were big slgo. They are comfortable and good quality. They are very pretty.")</f>
        <v>good quality and very nice big thing. I put spending by a template because they were big slgo. They are comfortable and good quality. They are very pretty.</v>
      </c>
    </row>
    <row r="3116">
      <c r="A3116" s="1">
        <v>2.0</v>
      </c>
      <c r="B3116" s="1" t="s">
        <v>3101</v>
      </c>
      <c r="C3116" t="str">
        <f>IFERROR(__xludf.DUMMYFUNCTION("GOOGLETRANSLATE(B3116, ""es"", ""en"")"),"Bate wrong. But it's nice and easy to use. Lovely. Simple to use. The propeller can not be removed to wash it separately. Not bat well especially green leaves mind")</f>
        <v>Bate wrong. But it's nice and easy to use. Lovely. Simple to use. The propeller can not be removed to wash it separately. Not bat well especially green leaves mind</v>
      </c>
    </row>
    <row r="3117">
      <c r="A3117" s="1">
        <v>3.0</v>
      </c>
      <c r="B3117" s="1" t="s">
        <v>3102</v>
      </c>
      <c r="C3117" t="str">
        <f>IFERROR(__xludf.DUMMYFUNCTION("GOOGLETRANSLATE(B3117, ""es"", ""en"")"),"Box damaged bottles are good I give it 3 stars because it seems that the case happened a trailer above the rest by some very good bottles")</f>
        <v>Box damaged bottles are good I give it 3 stars because it seems that the case happened a trailer above the rest by some very good bottles</v>
      </c>
    </row>
    <row r="3118">
      <c r="A3118" s="1">
        <v>3.0</v>
      </c>
      <c r="B3118" s="1" t="s">
        <v>3103</v>
      </c>
      <c r="C3118" t="str">
        <f>IFERROR(__xludf.DUMMYFUNCTION("GOOGLETRANSLATE(B3118, ""es"", ""en"")"),"The great machine, the instructions leave much to be desired. Very useful and works well. Too bad the manufacturer instructions that leave much to be desired. They do not show them how to program areas where you do not want to enter the machine, although "&amp;"the manual says that since the app can do (and the app also indicated mode). If it were not for these things I would give five stars.")</f>
        <v>The great machine, the instructions leave much to be desired. Very useful and works well. Too bad the manufacturer instructions that leave much to be desired. They do not show them how to program areas where you do not want to enter the machine, although the manual says that since the app can do (and the app also indicated mode). If it were not for these things I would give five stars.</v>
      </c>
    </row>
    <row r="3119">
      <c r="A3119" s="1">
        <v>1.0</v>
      </c>
      <c r="B3119" s="1" t="s">
        <v>3104</v>
      </c>
      <c r="C3119" t="str">
        <f>IFERROR(__xludf.DUMMYFUNCTION("GOOGLETRANSLATE(B3119, ""es"", ""en"")"),"Poor quality Very poor quality, they will soon color")</f>
        <v>Poor quality Very poor quality, they will soon color</v>
      </c>
    </row>
    <row r="3120">
      <c r="A3120" s="1">
        <v>1.0</v>
      </c>
      <c r="B3120" s="1" t="s">
        <v>3105</v>
      </c>
      <c r="C3120" t="str">
        <f>IFERROR(__xludf.DUMMYFUNCTION("GOOGLETRANSLATE(B3120, ""es"", ""en"")"),"To me it did not work. I could not use it with new batteries failed a lot. Put on the shirt near the mouth, the sound between cortava.")</f>
        <v>To me it did not work. I could not use it with new batteries failed a lot. Put on the shirt near the mouth, the sound between cortava.</v>
      </c>
    </row>
    <row r="3121">
      <c r="A3121" s="1">
        <v>4.0</v>
      </c>
      <c r="B3121" s="1" t="s">
        <v>3106</v>
      </c>
      <c r="C3121" t="str">
        <f>IFERROR(__xludf.DUMMYFUNCTION("GOOGLETRANSLATE(B3121, ""es"", ""en"")"),"Bonito is well")</f>
        <v>Bonito is well</v>
      </c>
    </row>
    <row r="3122">
      <c r="A3122" s="1">
        <v>4.0</v>
      </c>
      <c r="B3122" s="1" t="s">
        <v>3107</v>
      </c>
      <c r="C3122" t="str">
        <f>IFERROR(__xludf.DUMMYFUNCTION("GOOGLETRANSLATE(B3122, ""es"", ""en"")"),"Luis arrived well and works perfectly, the movements of the excellent machine for those who like to note that the clock are")</f>
        <v>Luis arrived well and works perfectly, the movements of the excellent machine for those who like to note that the clock are</v>
      </c>
    </row>
    <row r="3123">
      <c r="A3123" s="1">
        <v>4.0</v>
      </c>
      <c r="B3123" s="1" t="s">
        <v>3108</v>
      </c>
      <c r="C3123" t="str">
        <f>IFERROR(__xludf.DUMMYFUNCTION("GOOGLETRANSLATE(B3123, ""es"", ""en"")"),"Its size smooth operation")</f>
        <v>Its size smooth operation</v>
      </c>
    </row>
    <row r="3124">
      <c r="A3124" s="1">
        <v>4.0</v>
      </c>
      <c r="B3124" s="1" t="s">
        <v>3109</v>
      </c>
      <c r="C3124" t="str">
        <f>IFERROR(__xludf.DUMMYFUNCTION("GOOGLETRANSLATE(B3124, ""es"", ""en"")"),"It's very nice is comfortable and as seen in the photo. Even plastic is very tough, I take daily and is such as Casios. Very good value for money.")</f>
        <v>It's very nice is comfortable and as seen in the photo. Even plastic is very tough, I take daily and is such as Casios. Very good value for money.</v>
      </c>
    </row>
    <row r="3125">
      <c r="A3125" s="1">
        <v>5.0</v>
      </c>
      <c r="B3125" s="1" t="s">
        <v>3110</v>
      </c>
      <c r="C3125" t="str">
        <f>IFERROR(__xludf.DUMMYFUNCTION("GOOGLETRANSLATE(B3125, ""es"", ""en"")"),"I like Value is great. Very pretty. Perhaps the chain having a tad long but the rest have nothing to say. We must wait its duration")</f>
        <v>I like Value is great. Very pretty. Perhaps the chain having a tad long but the rest have nothing to say. We must wait its duration</v>
      </c>
    </row>
    <row r="3126">
      <c r="A3126" s="1">
        <v>5.0</v>
      </c>
      <c r="B3126" s="1" t="s">
        <v>3111</v>
      </c>
      <c r="C3126" t="str">
        <f>IFERROR(__xludf.DUMMYFUNCTION("GOOGLETRANSLATE(B3126, ""es"", ""en"")"),"Quality unbeatable price When asked did not expect for the price they had to be as comfortable and as good quality also brings a case to keep they can be, quality unbeatable price.")</f>
        <v>Quality unbeatable price When asked did not expect for the price they had to be as comfortable and as good quality also brings a case to keep they can be, quality unbeatable price.</v>
      </c>
    </row>
    <row r="3127">
      <c r="A3127" s="1">
        <v>5.0</v>
      </c>
      <c r="B3127" s="1" t="s">
        <v>3112</v>
      </c>
      <c r="C3127" t="str">
        <f>IFERROR(__xludf.DUMMYFUNCTION("GOOGLETRANSLATE(B3127, ""es"", ""en"")"),"I will buy more! I bought it for a gift and I'm thinking of buy it for me! Perfect")</f>
        <v>I will buy more! I bought it for a gift and I'm thinking of buy it for me! Perfect</v>
      </c>
    </row>
    <row r="3128">
      <c r="A3128" s="1">
        <v>5.0</v>
      </c>
      <c r="B3128" s="1" t="s">
        <v>3113</v>
      </c>
      <c r="C3128" t="str">
        <f>IFERROR(__xludf.DUMMYFUNCTION("GOOGLETRANSLATE(B3128, ""es"", ""en"")"),"Excellent Blender both power and accessories, has two bottles that we use to create the desired smoothie or drink, we just have to put the knife in the glass and press it to start working. Another thing that caught my attention is that brings two bars to "&amp;"fill with water and freeze them and coupling them with thread to the top of the pot to stay cold drink and not a wise move especially in summer water down. It has enough power to chop any thing even ice. It also has a rubber sleeve to put it to the glass "&amp;"and better grip")</f>
        <v>Excellent Blender both power and accessories, has two bottles that we use to create the desired smoothie or drink, we just have to put the knife in the glass and press it to start working. Another thing that caught my attention is that brings two bars to fill with water and freeze them and coupling them with thread to the top of the pot to stay cold drink and not a wise move especially in summer water down. It has enough power to chop any thing even ice. It also has a rubber sleeve to put it to the glass and better grip</v>
      </c>
    </row>
    <row r="3129">
      <c r="A3129" s="1">
        <v>5.0</v>
      </c>
      <c r="B3129" s="1" t="s">
        <v>3114</v>
      </c>
      <c r="C3129" t="str">
        <f>IFERROR(__xludf.DUMMYFUNCTION("GOOGLETRANSLATE(B3129, ""es"", ""en"")"),"Electric jug Good product and good service delivery")</f>
        <v>Electric jug Good product and good service delivery</v>
      </c>
    </row>
    <row r="3130">
      <c r="A3130" s="1">
        <v>5.0</v>
      </c>
      <c r="B3130" s="1" t="s">
        <v>3115</v>
      </c>
      <c r="C3130" t="str">
        <f>IFERROR(__xludf.DUMMYFUNCTION("GOOGLETRANSLATE(B3130, ""es"", ""en"")"),"It pleased with the purchase I arrived at the date indicated. The stretcher is very easy to assemble and practice. Very happy with the purchase. It is comfortable and hold a lot of weight. It is very stable and does not move. Ideal for massage, reiki sess"&amp;"ions, etc. The only fault I can have is when moving it from place. It weighs a bit and it's great.")</f>
        <v>It pleased with the purchase I arrived at the date indicated. The stretcher is very easy to assemble and practice. Very happy with the purchase. It is comfortable and hold a lot of weight. It is very stable and does not move. Ideal for massage, reiki sessions, etc. The only fault I can have is when moving it from place. It weighs a bit and it's great.</v>
      </c>
    </row>
    <row r="3131">
      <c r="A3131" s="1">
        <v>5.0</v>
      </c>
      <c r="B3131" s="1" t="s">
        <v>3116</v>
      </c>
      <c r="C3131" t="str">
        <f>IFERROR(__xludf.DUMMYFUNCTION("GOOGLETRANSLATE(B3131, ""es"", ""en"")"),"A Kingston 32GB SDHC card always received 32GB in the original blister in Kingston, works perfectly, it's fast. Worth to wait a little to buy some of them for less than 8 euros, when there was no immediate need.")</f>
        <v>A Kingston 32GB SDHC card always received 32GB in the original blister in Kingston, works perfectly, it's fast. Worth to wait a little to buy some of them for less than 8 euros, when there was no immediate need.</v>
      </c>
    </row>
    <row r="3132">
      <c r="A3132" s="1">
        <v>5.0</v>
      </c>
      <c r="B3132" s="1" t="s">
        <v>3117</v>
      </c>
      <c r="C3132" t="str">
        <f>IFERROR(__xludf.DUMMYFUNCTION("GOOGLETRANSLATE(B3132, ""es"", ""en"")"),"Shoulder bag. Perfecto..es I expected. Thank you.")</f>
        <v>Shoulder bag. Perfecto..es I expected. Thank you.</v>
      </c>
    </row>
    <row r="3133">
      <c r="A3133" s="1">
        <v>5.0</v>
      </c>
      <c r="B3133" s="1" t="s">
        <v>3118</v>
      </c>
      <c r="C3133" t="str">
        <f>IFERROR(__xludf.DUMMYFUNCTION("GOOGLETRANSLATE(B3133, ""es"", ""en"")"),"stockings socks best. They are very good, without disturbing hold both foot and calf, I repeated the purchase, value for money unbeatable.")</f>
        <v>stockings socks best. They are very good, without disturbing hold both foot and calf, I repeated the purchase, value for money unbeatable.</v>
      </c>
    </row>
    <row r="3134">
      <c r="A3134" s="1">
        <v>5.0</v>
      </c>
      <c r="B3134" s="1" t="s">
        <v>3119</v>
      </c>
      <c r="C3134" t="str">
        <f>IFERROR(__xludf.DUMMYFUNCTION("GOOGLETRANSLATE(B3134, ""es"", ""en"")"),"perfect perfect")</f>
        <v>perfect perfect</v>
      </c>
    </row>
    <row r="3135">
      <c r="A3135" s="1">
        <v>5.0</v>
      </c>
      <c r="B3135" s="1" t="s">
        <v>3120</v>
      </c>
      <c r="C3135" t="str">
        <f>IFERROR(__xludf.DUMMYFUNCTION("GOOGLETRANSLATE(B3135, ""es"", ""en"")"),"attractive design and quality description corresponds to the product, very fast water boils and turns off by itself and maintains the temperature of the water alone so you do not have to worry about anything ... Goodbye dawdle. The last I had that I was n"&amp;"ot electric burned in the fire while doing other things ... The lacquer is of high quality. 100% satisfied with the purchase, I recommend it.")</f>
        <v>attractive design and quality description corresponds to the product, very fast water boils and turns off by itself and maintains the temperature of the water alone so you do not have to worry about anything ... Goodbye dawdle. The last I had that I was not electric burned in the fire while doing other things ... The lacquer is of high quality. 100% satisfied with the purchase, I recommend it.</v>
      </c>
    </row>
    <row r="3136">
      <c r="A3136" s="1">
        <v>5.0</v>
      </c>
      <c r="B3136" s="1" t="s">
        <v>3121</v>
      </c>
      <c r="C3136" t="str">
        <f>IFERROR(__xludf.DUMMYFUNCTION("GOOGLETRANSLATE(B3136, ""es"", ""en"")"),"The crown is perfect metal with rounded edges and smooth finish. The crystals are in close contact and it is a complete metal but does not weigh too much. My daughter has loved being a princess with her forever ..... The plastic crowns says they are not r"&amp;"eally .....")</f>
        <v>The crown is perfect metal with rounded edges and smooth finish. The crystals are in close contact and it is a complete metal but does not weigh too much. My daughter has loved being a princess with her forever ..... The plastic crowns says they are not really .....</v>
      </c>
    </row>
    <row r="3137">
      <c r="A3137" s="1">
        <v>5.0</v>
      </c>
      <c r="B3137" s="1" t="s">
        <v>3122</v>
      </c>
      <c r="C3137" t="str">
        <f>IFERROR(__xludf.DUMMYFUNCTION("GOOGLETRANSLATE(B3137, ""es"", ""en"")"),"Good shoes look great, very comfortable shoes and stylish, fabulous brand of shoes. BUY A recommended")</f>
        <v>Good shoes look great, very comfortable shoes and stylish, fabulous brand of shoes. BUY A recommended</v>
      </c>
    </row>
    <row r="3138">
      <c r="A3138" s="1">
        <v>5.0</v>
      </c>
      <c r="B3138" s="1" t="s">
        <v>3123</v>
      </c>
      <c r="C3138" t="str">
        <f>IFERROR(__xludf.DUMMYFUNCTION("GOOGLETRANSLATE(B3138, ""es"", ""en"")"),"very good gel to me in particular that I have multiple fractures do very well. an application in the morning and relieves pain me all day")</f>
        <v>very good gel to me in particular that I have multiple fractures do very well. an application in the morning and relieves pain me all day</v>
      </c>
    </row>
    <row r="3139">
      <c r="A3139" s="1">
        <v>5.0</v>
      </c>
      <c r="B3139" s="1" t="s">
        <v>3124</v>
      </c>
      <c r="C3139" t="str">
        <f>IFERROR(__xludf.DUMMYFUNCTION("GOOGLETRANSLATE(B3139, ""es"", ""en"")"),"Incredible power without spending a lot I think the best value. Super powerful, I crushed cashews and leaves super good. Only thing is the shape of the glass in my case (nuts) does not allow rotational movement of the product from top to bottom, but to ma"&amp;"ke smoothie and anything else is perfect without spending much. Fast delivery. perfect service.")</f>
        <v>Incredible power without spending a lot I think the best value. Super powerful, I crushed cashews and leaves super good. Only thing is the shape of the glass in my case (nuts) does not allow rotational movement of the product from top to bottom, but to make smoothie and anything else is perfect without spending much. Fast delivery. perfect service.</v>
      </c>
    </row>
    <row r="3140">
      <c r="A3140" s="1">
        <v>5.0</v>
      </c>
      <c r="B3140" s="1" t="s">
        <v>3125</v>
      </c>
      <c r="C3140" t="str">
        <f>IFERROR(__xludf.DUMMYFUNCTION("GOOGLETRANSLATE(B3140, ""es"", ""en"")"),"Fit nicely into vileda Perfectas stick, like the vileda fit in the same suit and not so expensive, the same quality and the same perfect function")</f>
        <v>Fit nicely into vileda Perfectas stick, like the vileda fit in the same suit and not so expensive, the same quality and the same perfect function</v>
      </c>
    </row>
    <row r="3141">
      <c r="A3141" s="1">
        <v>5.0</v>
      </c>
      <c r="B3141" s="1" t="s">
        <v>3126</v>
      </c>
      <c r="C3141" t="str">
        <f>IFERROR(__xludf.DUMMYFUNCTION("GOOGLETRANSLATE(B3141, ""es"", ""en"")"),"Nice small humidifier Easy to use and intuitive, have much variety of colors and modes, also has a remote control with which you can change all the functions.")</f>
        <v>Nice small humidifier Easy to use and intuitive, have much variety of colors and modes, also has a remote control with which you can change all the functions.</v>
      </c>
    </row>
    <row r="3142">
      <c r="A3142" s="1">
        <v>5.0</v>
      </c>
      <c r="B3142" s="1" t="s">
        <v>3127</v>
      </c>
      <c r="C3142" t="str">
        <f>IFERROR(__xludf.DUMMYFUNCTION("GOOGLETRANSLATE(B3142, ""es"", ""en"")"),"Elegant is very nice, very fine ideal to dress or sport ... perfect purchase. Basstante seems tough.")</f>
        <v>Elegant is very nice, very fine ideal to dress or sport ... perfect purchase. Basstante seems tough.</v>
      </c>
    </row>
    <row r="3143">
      <c r="A3143" s="1">
        <v>2.0</v>
      </c>
      <c r="B3143" s="1" t="s">
        <v>3128</v>
      </c>
      <c r="C3143" t="str">
        <f>IFERROR(__xludf.DUMMYFUNCTION("GOOGLETRANSLATE(B3143, ""es"", ""en"")"),"Very simple and sometimes useless Not what I expected, is very small, according to food nor short. an empty strange ago and heated easily.")</f>
        <v>Very simple and sometimes useless Not what I expected, is very small, according to food nor short. an empty strange ago and heated easily.</v>
      </c>
    </row>
    <row r="3144">
      <c r="A3144" s="1">
        <v>3.0</v>
      </c>
      <c r="B3144" s="1" t="s">
        <v>3129</v>
      </c>
      <c r="C3144" t="str">
        <f>IFERROR(__xludf.DUMMYFUNCTION("GOOGLETRANSLATE(B3144, ""es"", ""en"")"),"Fulfills its function. The value is not the best, plastic is an improved quality for the price and € 5 plus there are many better options.")</f>
        <v>Fulfills its function. The value is not the best, plastic is an improved quality for the price and € 5 plus there are many better options.</v>
      </c>
    </row>
    <row r="3145">
      <c r="A3145" s="1">
        <v>3.0</v>
      </c>
      <c r="B3145" s="1" t="s">
        <v>3130</v>
      </c>
      <c r="C3145" t="str">
        <f>IFERROR(__xludf.DUMMYFUNCTION("GOOGLETRANSLATE(B3145, ""es"", ""en"")"),"Pretty small but very small.")</f>
        <v>Pretty small but very small.</v>
      </c>
    </row>
    <row r="3146">
      <c r="A3146" s="1">
        <v>1.0</v>
      </c>
      <c r="B3146" s="1" t="s">
        <v>3131</v>
      </c>
      <c r="C3146" t="str">
        <f>IFERROR(__xludf.DUMMYFUNCTION("GOOGLETRANSLATE(B3146, ""es"", ""en"")"),"Terrible measurement holes does not match the standard rhythms rings.")</f>
        <v>Terrible measurement holes does not match the standard rhythms rings.</v>
      </c>
    </row>
    <row r="3147">
      <c r="A3147" s="1">
        <v>1.0</v>
      </c>
      <c r="B3147" s="1" t="s">
        <v>3132</v>
      </c>
      <c r="C3147" t="str">
        <f>IFERROR(__xludf.DUMMYFUNCTION("GOOGLETRANSLATE(B3147, ""es"", ""en"")"),"NOT to buy it! Bad purchase. I should heed the negative reviews of this product. The packaging was fine but the board came a vertical line, bossing it difficult writing. I can not return it because I need it urgently.")</f>
        <v>NOT to buy it! Bad purchase. I should heed the negative reviews of this product. The packaging was fine but the board came a vertical line, bossing it difficult writing. I can not return it because I need it urgently.</v>
      </c>
    </row>
    <row r="3148">
      <c r="A3148" s="1">
        <v>4.0</v>
      </c>
      <c r="B3148" s="1" t="s">
        <v>3133</v>
      </c>
      <c r="C3148" t="str">
        <f>IFERROR(__xludf.DUMMYFUNCTION("GOOGLETRANSLATE(B3148, ""es"", ""en"")"),"WELL, SOMETHING BUT THE FACE OF MALFUNCTION found something PERFORMANCE FACE FOR GIVING. THE APP FOR CONNECTING TO OTHER DEVICES, SUCH AS A MOBILE PHONE, is a little confusing and not always connected to the first.")</f>
        <v>WELL, SOMETHING BUT THE FACE OF MALFUNCTION found something PERFORMANCE FACE FOR GIVING. THE APP FOR CONNECTING TO OTHER DEVICES, SUCH AS A MOBILE PHONE, is a little confusing and not always connected to the first.</v>
      </c>
    </row>
    <row r="3149">
      <c r="A3149" s="1">
        <v>4.0</v>
      </c>
      <c r="B3149" s="1" t="s">
        <v>3134</v>
      </c>
      <c r="C3149" t="str">
        <f>IFERROR(__xludf.DUMMYFUNCTION("GOOGLETRANSLATE(B3149, ""es"", ""en"")"),"Very good timer Excellent product. Value in terms of automatic watches is the best. The bezel rotates perfectly, with a rattle achieved. The date can choose between two languages: Spanish / English. The automatic movement of the watch works perfectly. The"&amp;" mechanics of the watch is visible from the rear of the same. Generally it has a very good perceived quality for a watch its price. The only room for improvement would highlight, and which do not put 5 stars, it is that the crown will not threaded.")</f>
        <v>Very good timer Excellent product. Value in terms of automatic watches is the best. The bezel rotates perfectly, with a rattle achieved. The date can choose between two languages: Spanish / English. The automatic movement of the watch works perfectly. The mechanics of the watch is visible from the rear of the same. Generally it has a very good perceived quality for a watch its price. The only room for improvement would highlight, and which do not put 5 stars, it is that the crown will not threaded.</v>
      </c>
    </row>
    <row r="3150">
      <c r="A3150" s="1">
        <v>4.0</v>
      </c>
      <c r="B3150" s="1" t="s">
        <v>3135</v>
      </c>
      <c r="C3150" t="str">
        <f>IFERROR(__xludf.DUMMYFUNCTION("GOOGLETRANSLATE(B3150, ""es"", ""en"")"),"For my taste size is too small.")</f>
        <v>For my taste size is too small.</v>
      </c>
    </row>
    <row r="3151">
      <c r="A3151" s="1">
        <v>4.0</v>
      </c>
      <c r="B3151" s="1" t="s">
        <v>3136</v>
      </c>
      <c r="C3151" t="str">
        <f>IFERROR(__xludf.DUMMYFUNCTION("GOOGLETRANSLATE(B3151, ""es"", ""en"")"),"The only bad bad closing the closing of the clock does not close very well and can risk getting lost.")</f>
        <v>The only bad bad closing the closing of the clock does not close very well and can risk getting lost.</v>
      </c>
    </row>
    <row r="3152">
      <c r="A3152" s="1">
        <v>4.0</v>
      </c>
      <c r="B3152" s="1" t="s">
        <v>3137</v>
      </c>
      <c r="C3152" t="str">
        <f>IFERROR(__xludf.DUMMYFUNCTION("GOOGLETRANSLATE(B3152, ""es"", ""en"")"),"The small carved returned because you have to ask a number or average number plus at least, otherwise very beautiful, the back to buy.")</f>
        <v>The small carved returned because you have to ask a number or average number plus at least, otherwise very beautiful, the back to buy.</v>
      </c>
    </row>
    <row r="3153">
      <c r="A3153" s="1">
        <v>5.0</v>
      </c>
      <c r="B3153" s="1" t="s">
        <v>3138</v>
      </c>
      <c r="C3153" t="str">
        <f>IFERROR(__xludf.DUMMYFUNCTION("GOOGLETRANSLATE(B3153, ""es"", ""en"")"),"Well had the EXPLORER 500 and asked to have it this spare and not much difference in sound with the other and this battery lasts longer. The Explorer 500 worth almost double ...")</f>
        <v>Well had the EXPLORER 500 and asked to have it this spare and not much difference in sound with the other and this battery lasts longer. The Explorer 500 worth almost double ...</v>
      </c>
    </row>
    <row r="3154">
      <c r="A3154" s="1">
        <v>5.0</v>
      </c>
      <c r="B3154" s="1" t="s">
        <v>3139</v>
      </c>
      <c r="C3154" t="str">
        <f>IFERROR(__xludf.DUMMYFUNCTION("GOOGLETRANSLATE(B3154, ""es"", ""en"")"),"Cover perfectly I tried other brands, but the liquid has always works for me perfectly, so I repeat with. I took several months without replenish it and I bought not stay without it. 1L format saving worth.")</f>
        <v>Cover perfectly I tried other brands, but the liquid has always works for me perfectly, so I repeat with. I took several months without replenish it and I bought not stay without it. 1L format saving worth.</v>
      </c>
    </row>
    <row r="3155">
      <c r="A3155" s="1">
        <v>5.0</v>
      </c>
      <c r="B3155" s="1" t="s">
        <v>3140</v>
      </c>
      <c r="C3155" t="str">
        <f>IFERROR(__xludf.DUMMYFUNCTION("GOOGLETRANSLATE(B3155, ""es"", ""en"")"),"sheaths inside if looking covers not see that they are not transparent, and are somewhat rigid these are perfect. not seen the interior and the quality is great")</f>
        <v>sheaths inside if looking covers not see that they are not transparent, and are somewhat rigid these are perfect. not seen the interior and the quality is great</v>
      </c>
    </row>
    <row r="3156">
      <c r="A3156" s="1">
        <v>5.0</v>
      </c>
      <c r="B3156" s="1" t="s">
        <v>3141</v>
      </c>
      <c r="C3156" t="str">
        <f>IFERROR(__xludf.DUMMYFUNCTION("GOOGLETRANSLATE(B3156, ""es"", ""en"")"),"Very nice color chiflan me! They are very nice, same as in the photo. The colors are beautiful. Great value can not ask for more!")</f>
        <v>Very nice color chiflan me! They are very nice, same as in the photo. The colors are beautiful. Great value can not ask for more!</v>
      </c>
    </row>
    <row r="3157">
      <c r="A3157" s="1">
        <v>5.0</v>
      </c>
      <c r="B3157" s="1" t="s">
        <v>3142</v>
      </c>
      <c r="C3157" t="str">
        <f>IFERROR(__xludf.DUMMYFUNCTION("GOOGLETRANSLATE(B3157, ""es"", ""en"")"),"Very very light weight bien.Es a fantastic gift")</f>
        <v>Very very light weight bien.Es a fantastic gift</v>
      </c>
    </row>
    <row r="3158">
      <c r="A3158" s="1">
        <v>5.0</v>
      </c>
      <c r="B3158" s="1" t="s">
        <v>3143</v>
      </c>
      <c r="C3158" t="str">
        <f>IFERROR(__xludf.DUMMYFUNCTION("GOOGLETRANSLATE(B3158, ""es"", ""en"")"),"Plug and ready I wanted to have a humidor and I decided on this and so far quite happy with the purchase. Simple operation, you have several options to turn off at a certain time or continuous. The aroma is right without being pretentious. Odor mild for s"&amp;"mall rooms. If you want a very large room perfuming I think this is not enough. In short, more than happy with the purchase.")</f>
        <v>Plug and ready I wanted to have a humidor and I decided on this and so far quite happy with the purchase. Simple operation, you have several options to turn off at a certain time or continuous. The aroma is right without being pretentious. Odor mild for small rooms. If you want a very large room perfuming I think this is not enough. In short, more than happy with the purchase.</v>
      </c>
    </row>
    <row r="3159">
      <c r="A3159" s="1">
        <v>5.0</v>
      </c>
      <c r="B3159" s="1" t="s">
        <v>3144</v>
      </c>
      <c r="C3159" t="str">
        <f>IFERROR(__xludf.DUMMYFUNCTION("GOOGLETRANSLATE(B3159, ""es"", ""en"")"),"Good support and sound certainly seemed to me the most comfortable headphones I've bought so far. The sound quality is good, generally has good treble and bass. Something I hate about some headphones esque slip and fall off, instead these not remain perfe"&amp;"ctly adherent. The case is tiny, perfect to carry in your pocket. The connection is 5.0 and has a good battery, so far there I ran out of battery at the exit. Touch controls allow play / pause, volume up / down, previous / next song and I think you can re"&amp;"ject calls and activate assistant. Very pleased with purchase, good money.")</f>
        <v>Good support and sound certainly seemed to me the most comfortable headphones I've bought so far. The sound quality is good, generally has good treble and bass. Something I hate about some headphones esque slip and fall off, instead these not remain perfectly adherent. The case is tiny, perfect to carry in your pocket. The connection is 5.0 and has a good battery, so far there I ran out of battery at the exit. Touch controls allow play / pause, volume up / down, previous / next song and I think you can reject calls and activate assistant. Very pleased with purchase, good money.</v>
      </c>
    </row>
    <row r="3160">
      <c r="A3160" s="1">
        <v>5.0</v>
      </c>
      <c r="B3160" s="1" t="s">
        <v>3145</v>
      </c>
      <c r="C3160" t="str">
        <f>IFERROR(__xludf.DUMMYFUNCTION("GOOGLETRANSLATE(B3160, ""es"", ""en"")"),"Excellent Good product.")</f>
        <v>Excellent Good product.</v>
      </c>
    </row>
    <row r="3161">
      <c r="A3161" s="1">
        <v>5.0</v>
      </c>
      <c r="B3161" s="1" t="s">
        <v>3146</v>
      </c>
      <c r="C3161" t="str">
        <f>IFERROR(__xludf.DUMMYFUNCTION("GOOGLETRANSLATE(B3161, ""es"", ""en"")"),"Very comfortable I use to go running. Endure well in the ear also comes with 3 different sizes of each piece. It takes a clip that can be removed to hold the cable in the back of the shirt. It is extremely useful as well not move anything. They sound pret"&amp;"ty good. I'm happy.")</f>
        <v>Very comfortable I use to go running. Endure well in the ear also comes with 3 different sizes of each piece. It takes a clip that can be removed to hold the cable in the back of the shirt. It is extremely useful as well not move anything. They sound pretty good. I'm happy.</v>
      </c>
    </row>
    <row r="3162">
      <c r="A3162" s="1">
        <v>5.0</v>
      </c>
      <c r="B3162" s="1" t="s">
        <v>42</v>
      </c>
      <c r="C3162" t="str">
        <f>IFERROR(__xludf.DUMMYFUNCTION("GOOGLETRANSLATE(B3162, ""es"", ""en"")"),"Well well")</f>
        <v>Well well</v>
      </c>
    </row>
    <row r="3163">
      <c r="A3163" s="1">
        <v>5.0</v>
      </c>
      <c r="B3163" s="1" t="s">
        <v>3147</v>
      </c>
      <c r="C3163" t="str">
        <f>IFERROR(__xludf.DUMMYFUNCTION("GOOGLETRANSLATE(B3163, ""es"", ""en"")"),"Very good Ideal for any type of audio plug them and see the result, for computers, home theater Tables table mezclas.Jose Maria")</f>
        <v>Very good Ideal for any type of audio plug them and see the result, for computers, home theater Tables table mezclas.Jose Maria</v>
      </c>
    </row>
    <row r="3164">
      <c r="A3164" s="1">
        <v>5.0</v>
      </c>
      <c r="B3164" s="1" t="s">
        <v>3148</v>
      </c>
      <c r="C3164" t="str">
        <f>IFERROR(__xludf.DUMMYFUNCTION("GOOGLETRANSLATE(B3164, ""es"", ""en"")"),"Super comfy fit.")</f>
        <v>Super comfy fit.</v>
      </c>
    </row>
    <row r="3165">
      <c r="A3165" s="1">
        <v>5.0</v>
      </c>
      <c r="B3165" s="1" t="s">
        <v>3149</v>
      </c>
      <c r="C3165" t="str">
        <f>IFERROR(__xludf.DUMMYFUNCTION("GOOGLETRANSLATE(B3165, ""es"", ""en"")"),"Conchi very good quality sweatshirt and give size. They are spacious. I have reached the intended day. Very happy with my order")</f>
        <v>Conchi very good quality sweatshirt and give size. They are spacious. I have reached the intended day. Very happy with my order</v>
      </c>
    </row>
    <row r="3166">
      <c r="A3166" s="1">
        <v>5.0</v>
      </c>
      <c r="B3166" s="1" t="s">
        <v>3150</v>
      </c>
      <c r="C3166" t="str">
        <f>IFERROR(__xludf.DUMMYFUNCTION("GOOGLETRANSLATE(B3166, ""es"", ""en"")"),"Pretty good shoes, comfortable, economical and always ask for a full size to yours")</f>
        <v>Pretty good shoes, comfortable, economical and always ask for a full size to yours</v>
      </c>
    </row>
    <row r="3167">
      <c r="A3167" s="1">
        <v>5.0</v>
      </c>
      <c r="B3167" s="1" t="s">
        <v>3151</v>
      </c>
      <c r="C3167" t="str">
        <f>IFERROR(__xludf.DUMMYFUNCTION("GOOGLETRANSLATE(B3167, ""es"", ""en"")"),"very comfortable slippers. Buy them for my son and is very comfortable with them so volvo to buy to have a chance for another n if any. The size commonly used.")</f>
        <v>very comfortable slippers. Buy them for my son and is very comfortable with them so volvo to buy to have a chance for another n if any. The size commonly used.</v>
      </c>
    </row>
    <row r="3168">
      <c r="A3168" s="1">
        <v>5.0</v>
      </c>
      <c r="B3168" s="1" t="s">
        <v>3152</v>
      </c>
      <c r="C3168" t="str">
        <f>IFERROR(__xludf.DUMMYFUNCTION("GOOGLETRANSLATE(B3168, ""es"", ""en"")"),"This terrific very good, it is very easy to use and viend with instructions and an app. The material is firm and good quality, I've used it for college without any problem, and tried to connect it to my mac, my iphone and pc to college. So far very good p"&amp;"roduct.")</f>
        <v>This terrific very good, it is very easy to use and viend with instructions and an app. The material is firm and good quality, I've used it for college without any problem, and tried to connect it to my mac, my iphone and pc to college. So far very good product.</v>
      </c>
    </row>
    <row r="3169">
      <c r="A3169" s="1">
        <v>5.0</v>
      </c>
      <c r="B3169" s="1" t="s">
        <v>3153</v>
      </c>
      <c r="C3169" t="str">
        <f>IFERROR(__xludf.DUMMYFUNCTION("GOOGLETRANSLATE(B3169, ""es"", ""en"")"),"ANDIE was looking for a handsfree compatible with my smartphone. I opted for this to be a brand more or less known, because I can not well say anything other than a success in the making. Lights and binds to the cell in a second, listening to perfection c"&amp;"alls and music the cell, small and fits well to the ear, the battery lasts much about 6 hours, and does not fall as with others. Delivery is very fast and then it is put into operation because it is very quick to understand operation. In my case my work w"&amp;"ith my cell phone is a Samsung galaxy s7. A good buy without question.")</f>
        <v>ANDIE was looking for a handsfree compatible with my smartphone. I opted for this to be a brand more or less known, because I can not well say anything other than a success in the making. Lights and binds to the cell in a second, listening to perfection calls and music the cell, small and fits well to the ear, the battery lasts much about 6 hours, and does not fall as with others. Delivery is very fast and then it is put into operation because it is very quick to understand operation. In my case my work with my cell phone is a Samsung galaxy s7. A good buy without question.</v>
      </c>
    </row>
    <row r="3170">
      <c r="A3170" s="1">
        <v>5.0</v>
      </c>
      <c r="B3170" s="1" t="s">
        <v>3154</v>
      </c>
      <c r="C3170" t="str">
        <f>IFERROR(__xludf.DUMMYFUNCTION("GOOGLETRANSLATE(B3170, ""es"", ""en"")"),"It works very practical and reliable")</f>
        <v>It works very practical and reliable</v>
      </c>
    </row>
    <row r="3171">
      <c r="A3171" s="1">
        <v>5.0</v>
      </c>
      <c r="B3171" s="1" t="s">
        <v>3155</v>
      </c>
      <c r="C3171" t="str">
        <f>IFERROR(__xludf.DUMMYFUNCTION("GOOGLETRANSLATE(B3171, ""es"", ""en"")"),"I love quito.me not love me")</f>
        <v>I love quito.me not love me</v>
      </c>
    </row>
    <row r="3172">
      <c r="A3172" s="1">
        <v>2.0</v>
      </c>
      <c r="B3172" s="1" t="s">
        <v>3156</v>
      </c>
      <c r="C3172" t="str">
        <f>IFERROR(__xludf.DUMMYFUNCTION("GOOGLETRANSLATE(B3172, ""es"", ""en"")"),"Robot Vacuum Aspira pretty good but the map does not do well, to make areas there is no way to do separate rooms. Several board. The suction power is lower than the xiaomi")</f>
        <v>Robot Vacuum Aspira pretty good but the map does not do well, to make areas there is no way to do separate rooms. Several board. The suction power is lower than the xiaomi</v>
      </c>
    </row>
    <row r="3173">
      <c r="A3173" s="1">
        <v>3.0</v>
      </c>
      <c r="B3173" s="1" t="s">
        <v>3157</v>
      </c>
      <c r="C3173" t="str">
        <f>IFERROR(__xludf.DUMMYFUNCTION("GOOGLETRANSLATE(B3173, ""es"", ""en"")"),"Ok precious Son, the only thing is that the smallest are not plump for the whole. But otherwise everything OK")</f>
        <v>Ok precious Son, the only thing is that the smallest are not plump for the whole. But otherwise everything OK</v>
      </c>
    </row>
    <row r="3174">
      <c r="A3174" s="1">
        <v>3.0</v>
      </c>
      <c r="B3174" s="1" t="s">
        <v>3158</v>
      </c>
      <c r="C3174" t="str">
        <f>IFERROR(__xludf.DUMMYFUNCTION("GOOGLETRANSLATE(B3174, ""es"", ""en"")"),"I ordered a wrong size 43/44 and came a 41/42. I was no longer time to return them and take them on time so I left me and I went with small flip-flops. Otherwise as expected")</f>
        <v>I ordered a wrong size 43/44 and came a 41/42. I was no longer time to return them and take them on time so I left me and I went with small flip-flops. Otherwise as expected</v>
      </c>
    </row>
    <row r="3175">
      <c r="A3175" s="1">
        <v>1.0</v>
      </c>
      <c r="B3175" s="1" t="s">
        <v>3159</v>
      </c>
      <c r="C3175" t="str">
        <f>IFERROR(__xludf.DUMMYFUNCTION("GOOGLETRANSLATE(B3175, ""es"", ""en"")"),"Tomorrow crappy quality, bad finishes, they look tatty. But to what cost you can not ask for more.")</f>
        <v>Tomorrow crappy quality, bad finishes, they look tatty. But to what cost you can not ask for more.</v>
      </c>
    </row>
    <row r="3176">
      <c r="A3176" s="1">
        <v>1.0</v>
      </c>
      <c r="B3176" s="1" t="s">
        <v>3160</v>
      </c>
      <c r="C3176" t="str">
        <f>IFERROR(__xludf.DUMMYFUNCTION("GOOGLETRANSLATE(B3176, ""es"", ""en"")"),"Bad connection Bluetooth Sound is good. What is ominous is the Bluetooth connection, which stutters talks even if you're a mobile centimeters. Too bad because they are very comfortable. But for calls do not go well, so I returned. I will try the top model"&amp;" to see if they have solved that ruling, because for the rest the quality is not bad.")</f>
        <v>Bad connection Bluetooth Sound is good. What is ominous is the Bluetooth connection, which stutters talks even if you're a mobile centimeters. Too bad because they are very comfortable. But for calls do not go well, so I returned. I will try the top model to see if they have solved that ruling, because for the rest the quality is not bad.</v>
      </c>
    </row>
    <row r="3177">
      <c r="A3177" s="1">
        <v>4.0</v>
      </c>
      <c r="B3177" s="1" t="s">
        <v>3161</v>
      </c>
      <c r="C3177" t="str">
        <f>IFERROR(__xludf.DUMMYFUNCTION("GOOGLETRANSLATE(B3177, ""es"", ""en"")"),"Heats water good buy super fast and indicators are perfect for indoor amount not take more water than desired. Aesthetically it is nice and put a but I will say that touch once the water has warmed, if you touch the outside is hot and can get to burn. In "&amp;"short I will say that I recommend it to 100%, and if you hook flash as it offers better yet.")</f>
        <v>Heats water good buy super fast and indicators are perfect for indoor amount not take more water than desired. Aesthetically it is nice and put a but I will say that touch once the water has warmed, if you touch the outside is hot and can get to burn. In short I will say that I recommend it to 100%, and if you hook flash as it offers better yet.</v>
      </c>
    </row>
    <row r="3178">
      <c r="A3178" s="1">
        <v>4.0</v>
      </c>
      <c r="B3178" s="1" t="s">
        <v>3162</v>
      </c>
      <c r="C3178" t="str">
        <f>IFERROR(__xludf.DUMMYFUNCTION("GOOGLETRANSLATE(B3178, ""es"", ""en"")"),"Comfortable, basic comfortable shoes and basic sport of the day.")</f>
        <v>Comfortable, basic comfortable shoes and basic sport of the day.</v>
      </c>
    </row>
    <row r="3179">
      <c r="A3179" s="1">
        <v>4.0</v>
      </c>
      <c r="B3179" s="1" t="s">
        <v>3163</v>
      </c>
      <c r="C3179" t="str">
        <f>IFERROR(__xludf.DUMMYFUNCTION("GOOGLETRANSLATE(B3179, ""es"", ""en"")"),"Very comfortable really comfortable and warm. Perhaps the only but I see that transpire rather little and the insole has to move and get away because they are somewhat fair.")</f>
        <v>Very comfortable really comfortable and warm. Perhaps the only but I see that transpire rather little and the insole has to move and get away because they are somewhat fair.</v>
      </c>
    </row>
    <row r="3180">
      <c r="A3180" s="1">
        <v>4.0</v>
      </c>
      <c r="B3180" s="1" t="s">
        <v>3164</v>
      </c>
      <c r="C3180" t="str">
        <f>IFERROR(__xludf.DUMMYFUNCTION("GOOGLETRANSLATE(B3180, ""es"", ""en"")"),"Quality and value of good quality for the price of a couple in any store here have 8 different pairs arrive beautifully presented in a nice box and packaged in pairs.")</f>
        <v>Quality and value of good quality for the price of a couple in any store here have 8 different pairs arrive beautifully presented in a nice box and packaged in pairs.</v>
      </c>
    </row>
    <row r="3181">
      <c r="A3181" s="1">
        <v>4.0</v>
      </c>
      <c r="B3181" s="1" t="s">
        <v>3165</v>
      </c>
      <c r="C3181" t="str">
        <f>IFERROR(__xludf.DUMMYFUNCTION("GOOGLETRANSLATE(B3181, ""es"", ""en"")"),"practice and small is fine for home use or little use is small and not very powerful but perfectly fulfills its mission. purees, mayonnaise, milkshakes ...... Pratica and comfortable to use a single button.")</f>
        <v>practice and small is fine for home use or little use is small and not very powerful but perfectly fulfills its mission. purees, mayonnaise, milkshakes ...... Pratica and comfortable to use a single button.</v>
      </c>
    </row>
    <row r="3182">
      <c r="A3182" s="1">
        <v>5.0</v>
      </c>
      <c r="B3182" s="1" t="s">
        <v>3166</v>
      </c>
      <c r="C3182" t="str">
        <f>IFERROR(__xludf.DUMMYFUNCTION("GOOGLETRANSLATE(B3182, ""es"", ""en"")"),"Great fun. The micro hear very well and the music sounds like a normal speaker. It is perfect for parties and karaoke mount very quickly. It is connected by bloothoot and also the battery is very durable.")</f>
        <v>Great fun. The micro hear very well and the music sounds like a normal speaker. It is perfect for parties and karaoke mount very quickly. It is connected by bloothoot and also the battery is very durable.</v>
      </c>
    </row>
    <row r="3183">
      <c r="A3183" s="1">
        <v>5.0</v>
      </c>
      <c r="B3183" s="1" t="s">
        <v>3167</v>
      </c>
      <c r="C3183" t="str">
        <f>IFERROR(__xludf.DUMMYFUNCTION("GOOGLETRANSLATE(B3183, ""es"", ""en"")"),"My favorite brand Super very comfortable and light, it is like being in a cloud. The use of both winter and spring, I love are the third I buy.")</f>
        <v>My favorite brand Super very comfortable and light, it is like being in a cloud. The use of both winter and spring, I love are the third I buy.</v>
      </c>
    </row>
    <row r="3184">
      <c r="A3184" s="1">
        <v>5.0</v>
      </c>
      <c r="B3184" s="1" t="s">
        <v>3168</v>
      </c>
      <c r="C3184" t="str">
        <f>IFERROR(__xludf.DUMMYFUNCTION("GOOGLETRANSLATE(B3184, ""es"", ""en"")"),"USB metal tiny with a great price is smaller than I figured that for some things go well and others not so much, ideal to carry on keychain, sturdy its metal casing, and so far very well, since I had many USB many brands and ultimately fail, but it still "&amp;"took some time, the only downside is that leads led operation, but in this size and already many models of USB, do not carry it, which for me is useful to see if this reading or writing, otherwise quality unbeatable price. super fast delivery, always happ"&amp;"y with Amazon")</f>
        <v>USB metal tiny with a great price is smaller than I figured that for some things go well and others not so much, ideal to carry on keychain, sturdy its metal casing, and so far very well, since I had many USB many brands and ultimately fail, but it still took some time, the only downside is that leads led operation, but in this size and already many models of USB, do not carry it, which for me is useful to see if this reading or writing, otherwise quality unbeatable price. super fast delivery, always happy with Amazon</v>
      </c>
    </row>
    <row r="3185">
      <c r="A3185" s="1">
        <v>5.0</v>
      </c>
      <c r="B3185" s="1" t="s">
        <v>3169</v>
      </c>
      <c r="C3185" t="str">
        <f>IFERROR(__xludf.DUMMYFUNCTION("GOOGLETRANSLATE(B3185, ""es"", ""en"")"),". It is elegant liked it a lot")</f>
        <v>. It is elegant liked it a lot</v>
      </c>
    </row>
    <row r="3186">
      <c r="A3186" s="1">
        <v>5.0</v>
      </c>
      <c r="B3186" s="1" t="s">
        <v>3170</v>
      </c>
      <c r="C3186" t="str">
        <f>IFERROR(__xludf.DUMMYFUNCTION("GOOGLETRANSLATE(B3186, ""es"", ""en"")"),"POSITIVE ASPECTS mini version + brings 2 bottles equal laptops. + The finish and design. + Security Lock. NEGATIVE ASPECTS - In the first uses gives off a slight odor.")</f>
        <v>POSITIVE ASPECTS mini version + brings 2 bottles equal laptops. + The finish and design. + Security Lock. NEGATIVE ASPECTS - In the first uses gives off a slight odor.</v>
      </c>
    </row>
    <row r="3187">
      <c r="A3187" s="1">
        <v>5.0</v>
      </c>
      <c r="B3187" s="1" t="s">
        <v>3171</v>
      </c>
      <c r="C3187" t="str">
        <f>IFERROR(__xludf.DUMMYFUNCTION("GOOGLETRANSLATE(B3187, ""es"", ""en"")"),"Great watch price Angel warm color is gorgeous to being a matte black tactico it makes it very comfortable and fits perfectly to the wrist.")</f>
        <v>Great watch price Angel warm color is gorgeous to being a matte black tactico it makes it very comfortable and fits perfectly to the wrist.</v>
      </c>
    </row>
    <row r="3188">
      <c r="A3188" s="1">
        <v>5.0</v>
      </c>
      <c r="B3188" s="1" t="s">
        <v>3172</v>
      </c>
      <c r="C3188" t="str">
        <f>IFERROR(__xludf.DUMMYFUNCTION("GOOGLETRANSLATE(B3188, ""es"", ""en"")"),"Very comfortable very comfortable and nicely carved this model. I use to walk x city and are great. For all seasons, perhaps in the summer if you sweat a lot the foot does not perspire a lot, I do not sweat, not me off. They look great. I'd definitely rec"&amp;"ommend. And a invatible price.")</f>
        <v>Very comfortable very comfortable and nicely carved this model. I use to walk x city and are great. For all seasons, perhaps in the summer if you sweat a lot the foot does not perspire a lot, I do not sweat, not me off. They look great. I'd definitely recommend. And a invatible price.</v>
      </c>
    </row>
    <row r="3189">
      <c r="A3189" s="1">
        <v>5.0</v>
      </c>
      <c r="B3189" s="1" t="s">
        <v>3173</v>
      </c>
      <c r="C3189" t="str">
        <f>IFERROR(__xludf.DUMMYFUNCTION("GOOGLETRANSLATE(B3189, ""es"", ""en"")"),"I love to me is one of the most accurate of the brand, even greater than the brush, because you can measure the amount of product and apply the exact place to do it. The price is good and adhesion further.")</f>
        <v>I love to me is one of the most accurate of the brand, even greater than the brush, because you can measure the amount of product and apply the exact place to do it. The price is good and adhesion further.</v>
      </c>
    </row>
    <row r="3190">
      <c r="A3190" s="1">
        <v>5.0</v>
      </c>
      <c r="B3190" s="1" t="s">
        <v>3174</v>
      </c>
      <c r="C3190" t="str">
        <f>IFERROR(__xludf.DUMMYFUNCTION("GOOGLETRANSLATE(B3190, ""es"", ""en"")"),"I bought very successful pendants and both relics like the very cool turner. Relics I was expecting something bigger but has very good finish and consistent, I mean, it's not breaking finite. Very happy")</f>
        <v>I bought very successful pendants and both relics like the very cool turner. Relics I was expecting something bigger but has very good finish and consistent, I mean, it's not breaking finite. Very happy</v>
      </c>
    </row>
    <row r="3191">
      <c r="A3191" s="1">
        <v>5.0</v>
      </c>
      <c r="B3191" s="1" t="s">
        <v>3175</v>
      </c>
      <c r="C3191" t="str">
        <f>IFERROR(__xludf.DUMMYFUNCTION("GOOGLETRANSLATE(B3191, ""es"", ""en"")"),"Pending right size originals are large but not excessively, light, not heavy, the colors are as is seen in the photo. Very happy with the purchase, they are very nice")</f>
        <v>Pending right size originals are large but not excessively, light, not heavy, the colors are as is seen in the photo. Very happy with the purchase, they are very nice</v>
      </c>
    </row>
    <row r="3192">
      <c r="A3192" s="1">
        <v>5.0</v>
      </c>
      <c r="B3192" s="1" t="s">
        <v>3176</v>
      </c>
      <c r="C3192" t="str">
        <f>IFERROR(__xludf.DUMMYFUNCTION("GOOGLETRANSLATE(B3192, ""es"", ""en"")"),"I regret NOT HAVE DONE THIS PURCHASE delayed 8 seconds DIARIES MORE OR LESS BUT IS NORMAL IN ESTES WATCH THE REST PERFECT")</f>
        <v>I regret NOT HAVE DONE THIS PURCHASE delayed 8 seconds DIARIES MORE OR LESS BUT IS NORMAL IN ESTES WATCH THE REST PERFECT</v>
      </c>
    </row>
    <row r="3193">
      <c r="A3193" s="1">
        <v>5.0</v>
      </c>
      <c r="B3193" s="1" t="s">
        <v>3177</v>
      </c>
      <c r="C3193" t="str">
        <f>IFERROR(__xludf.DUMMYFUNCTION("GOOGLETRANSLATE(B3193, ""es"", ""en"")"),"Excellent blender After a week of use almost daily, I must say I am delighted with the product I emphasize: - Ease of use and automatic mode - Power (good ice pica) - Cleanability")</f>
        <v>Excellent blender After a week of use almost daily, I must say I am delighted with the product I emphasize: - Ease of use and automatic mode - Power (good ice pica) - Cleanability</v>
      </c>
    </row>
    <row r="3194">
      <c r="A3194" s="1">
        <v>5.0</v>
      </c>
      <c r="B3194" s="1" t="s">
        <v>3178</v>
      </c>
      <c r="C3194" t="str">
        <f>IFERROR(__xludf.DUMMYFUNCTION("GOOGLETRANSLATE(B3194, ""es"", ""en"")"),"Ideal and very well achieved. I liked much, the material is fairly rigid, size, very suitable, fit 4 bolis perfectly.")</f>
        <v>Ideal and very well achieved. I liked much, the material is fairly rigid, size, very suitable, fit 4 bolis perfectly.</v>
      </c>
    </row>
    <row r="3195">
      <c r="A3195" s="1">
        <v>5.0</v>
      </c>
      <c r="B3195" s="1" t="s">
        <v>3179</v>
      </c>
      <c r="C3195" t="str">
        <f>IFERROR(__xludf.DUMMYFUNCTION("GOOGLETRANSLATE(B3195, ""es"", ""en"")"),"Aesthetically Just brutal than expected, as the photos, fits our decor, unhas hold 4 hours with 100 ml and with a few drops of oil Ambienta a room of about 20 square meters perfectly, humidity nor appreciated. Regarding allergies .... Currently there appr"&amp;"eciate positive or negative effects")</f>
        <v>Aesthetically Just brutal than expected, as the photos, fits our decor, unhas hold 4 hours with 100 ml and with a few drops of oil Ambienta a room of about 20 square meters perfectly, humidity nor appreciated. Regarding allergies .... Currently there appreciate positive or negative effects</v>
      </c>
    </row>
    <row r="3196">
      <c r="A3196" s="1">
        <v>5.0</v>
      </c>
      <c r="B3196" s="1" t="s">
        <v>3180</v>
      </c>
      <c r="C3196" t="str">
        <f>IFERROR(__xludf.DUMMYFUNCTION("GOOGLETRANSLATE(B3196, ""es"", ""en"")"),"Very good quality / price The truth is that for the price are very good. Good sound and I do not think they are bad qualities of the materials it is made. I have not tried doing sports, I can not score in that regard. I have glasses and you have to place "&amp;"it well so that does not hurt to put 2 things, which is done without problem. I recommend it.")</f>
        <v>Very good quality / price The truth is that for the price are very good. Good sound and I do not think they are bad qualities of the materials it is made. I have not tried doing sports, I can not score in that regard. I have glasses and you have to place it well so that does not hurt to put 2 things, which is done without problem. I recommend it.</v>
      </c>
    </row>
    <row r="3197">
      <c r="A3197" s="1">
        <v>5.0</v>
      </c>
      <c r="B3197" s="1" t="s">
        <v>3181</v>
      </c>
      <c r="C3197" t="str">
        <f>IFERROR(__xludf.DUMMYFUNCTION("GOOGLETRANSLATE(B3197, ""es"", ""en"")"),"more hydrated and smooth skin I wear a month using the oil on the face, morning and night and I already notice the best long face, has gone virtually peeling my chin and I notice a lot smoother. The hair also noticed softer and very bright. It also apprec"&amp;"iates the mail informing the company uses and application form of the product")</f>
        <v>more hydrated and smooth skin I wear a month using the oil on the face, morning and night and I already notice the best long face, has gone virtually peeling my chin and I notice a lot smoother. The hair also noticed softer and very bright. It also appreciates the mail informing the company uses and application form of the product</v>
      </c>
    </row>
    <row r="3198">
      <c r="A3198" s="1">
        <v>5.0</v>
      </c>
      <c r="B3198" s="1" t="s">
        <v>3182</v>
      </c>
      <c r="C3198" t="str">
        <f>IFERROR(__xludf.DUMMYFUNCTION("GOOGLETRANSLATE(B3198, ""es"", ""en"")"),"He came from a piece whole 24 days later I arrive in one piece .. The product is as expected. He received 24 days after the purchase, but within the time promised by the seller.")</f>
        <v>He came from a piece whole 24 days later I arrive in one piece .. The product is as expected. He received 24 days after the purchase, but within the time promised by the seller.</v>
      </c>
    </row>
    <row r="3199">
      <c r="A3199" s="1">
        <v>5.0</v>
      </c>
      <c r="B3199" s="1" t="s">
        <v>3183</v>
      </c>
      <c r="C3199" t="str">
        <f>IFERROR(__xludf.DUMMYFUNCTION("GOOGLETRANSLATE(B3199, ""es"", ""en"")"),"can be improved is a good way to make teas but it would be wonderful spices that best fit when closed to keep spices")</f>
        <v>can be improved is a good way to make teas but it would be wonderful spices that best fit when closed to keep spices</v>
      </c>
    </row>
    <row r="3200">
      <c r="A3200" s="1">
        <v>5.0</v>
      </c>
      <c r="B3200" s="1" t="s">
        <v>3184</v>
      </c>
      <c r="C3200" t="str">
        <f>IFERROR(__xludf.DUMMYFUNCTION("GOOGLETRANSLATE(B3200, ""es"", ""en"")"),"Loved excellent buy very punctual delivery and truth materials are of very good quality and size with sufficient capacity, a good buy! Thanks exceeded my expectations!")</f>
        <v>Loved excellent buy very punctual delivery and truth materials are of very good quality and size with sufficient capacity, a good buy! Thanks exceeded my expectations!</v>
      </c>
    </row>
    <row r="3201">
      <c r="A3201" s="1">
        <v>2.0</v>
      </c>
      <c r="B3201" s="1" t="s">
        <v>3185</v>
      </c>
      <c r="C3201" t="str">
        <f>IFERROR(__xludf.DUMMYFUNCTION("GOOGLETRANSLATE(B3201, ""es"", ""en"")"),"Some disappointing low and medium frequencies are heard very little sharpness, causing a dirty sound and unpleasant. I expected more quality of a product that is supposedly for professional use. Some parts of strings are heard as if behind a wall and the "&amp;"bass have much more presence than I would like. Even in recordings of conversations bass of the sound environment in a very unpleasant they are accentuated. I had occasion to compare with his older brother, K271, and the latter provides a much cleaner sou"&amp;"nd. I have returned because experience has been very disappointing.")</f>
        <v>Some disappointing low and medium frequencies are heard very little sharpness, causing a dirty sound and unpleasant. I expected more quality of a product that is supposedly for professional use. Some parts of strings are heard as if behind a wall and the bass have much more presence than I would like. Even in recordings of conversations bass of the sound environment in a very unpleasant they are accentuated. I had occasion to compare with his older brother, K271, and the latter provides a much cleaner sound. I have returned because experience has been very disappointing.</v>
      </c>
    </row>
    <row r="3202">
      <c r="A3202" s="1">
        <v>3.0</v>
      </c>
      <c r="B3202" s="1" t="s">
        <v>3186</v>
      </c>
      <c r="C3202" t="str">
        <f>IFERROR(__xludf.DUMMYFUNCTION("GOOGLETRANSLATE(B3202, ""es"", ""en"")"),"Good size")</f>
        <v>Good size</v>
      </c>
    </row>
    <row r="3203">
      <c r="A3203" s="1">
        <v>1.0</v>
      </c>
      <c r="B3203" s="1" t="s">
        <v>3187</v>
      </c>
      <c r="C3203" t="str">
        <f>IFERROR(__xludf.DUMMYFUNCTION("GOOGLETRANSLATE(B3203, ""es"", ""en"")"),"Misleading description of the product just received the watch and neither has light and the box is not stainless steel but cardboard ... I'm disappointed because it was for a gift and give away a watch carton as not.")</f>
        <v>Misleading description of the product just received the watch and neither has light and the box is not stainless steel but cardboard ... I'm disappointed because it was for a gift and give away a watch carton as not.</v>
      </c>
    </row>
    <row r="3204">
      <c r="A3204" s="1">
        <v>1.0</v>
      </c>
      <c r="B3204" s="1" t="s">
        <v>3188</v>
      </c>
      <c r="C3204" t="str">
        <f>IFERROR(__xludf.DUMMYFUNCTION("GOOGLETRANSLATE(B3204, ""es"", ""en"")"),"Termine not use is not practical and I do not like are the shakes, lumpy and wrong. I best q blender cup. I did not use it. Shame.")</f>
        <v>Termine not use is not practical and I do not like are the shakes, lumpy and wrong. I best q blender cup. I did not use it. Shame.</v>
      </c>
    </row>
    <row r="3205">
      <c r="A3205" s="1">
        <v>4.0</v>
      </c>
      <c r="B3205" s="1" t="s">
        <v>3189</v>
      </c>
      <c r="C3205" t="str">
        <f>IFERROR(__xludf.DUMMYFUNCTION("GOOGLETRANSLATE(B3205, ""es"", ""en"")"),"As to size too small in the picture but too small to size, I ordered a m and looks like a xs")</f>
        <v>As to size too small in the picture but too small to size, I ordered a m and looks like a xs</v>
      </c>
    </row>
    <row r="3206">
      <c r="A3206" s="1">
        <v>4.0</v>
      </c>
      <c r="B3206" s="1" t="s">
        <v>3190</v>
      </c>
      <c r="C3206" t="str">
        <f>IFERROR(__xludf.DUMMYFUNCTION("GOOGLETRANSLATE(B3206, ""es"", ""en"")"),"Quality and very good performance for over 60 eur. It is the best option pci-e SSD. Reliability and performance, 500 gb therefore it took me 1 year ago a basic 250GB SSD")</f>
        <v>Quality and very good performance for over 60 eur. It is the best option pci-e SSD. Reliability and performance, 500 gb therefore it took me 1 year ago a basic 250GB SSD</v>
      </c>
    </row>
    <row r="3207">
      <c r="A3207" s="1">
        <v>4.0</v>
      </c>
      <c r="B3207" s="1" t="s">
        <v>3191</v>
      </c>
      <c r="C3207" t="str">
        <f>IFERROR(__xludf.DUMMYFUNCTION("GOOGLETRANSLATE(B3207, ""es"", ""en"")"),"Twin sounds too. For the price, size and practicality, nothing to say, very good for practicing with headphones. You can also connect to a powered speaker. Sounds much closer to Twin Reverb with three degrees of saturation: clean, bluesy overdrive and ove"&amp;"rdrive (classic rock, not metal), and three effects: off, reverb and a kind of reverb + chorus. Volume, tone and drive in which you have to have good eyesight to see what you shtick, so I remove a star. I would buy.")</f>
        <v>Twin sounds too. For the price, size and practicality, nothing to say, very good for practicing with headphones. You can also connect to a powered speaker. Sounds much closer to Twin Reverb with three degrees of saturation: clean, bluesy overdrive and overdrive (classic rock, not metal), and three effects: off, reverb and a kind of reverb + chorus. Volume, tone and drive in which you have to have good eyesight to see what you shtick, so I remove a star. I would buy.</v>
      </c>
    </row>
    <row r="3208">
      <c r="A3208" s="1">
        <v>4.0</v>
      </c>
      <c r="B3208" s="1" t="s">
        <v>3192</v>
      </c>
      <c r="C3208" t="str">
        <f>IFERROR(__xludf.DUMMYFUNCTION("GOOGLETRANSLATE(B3208, ""es"", ""en"")"),"It is practical for the size and make music")</f>
        <v>It is practical for the size and make music</v>
      </c>
    </row>
    <row r="3209">
      <c r="A3209" s="1">
        <v>4.0</v>
      </c>
      <c r="B3209" s="1" t="s">
        <v>3193</v>
      </c>
      <c r="C3209" t="str">
        <f>IFERROR(__xludf.DUMMYFUNCTION("GOOGLETRANSLATE(B3209, ""es"", ""en"")"),"I used myri other of the Dead Sea and is not dry like other masks, but has a pleasant smell and leaves no bad skin")</f>
        <v>I used myri other of the Dead Sea and is not dry like other masks, but has a pleasant smell and leaves no bad skin</v>
      </c>
    </row>
    <row r="3210">
      <c r="A3210" s="1">
        <v>5.0</v>
      </c>
      <c r="B3210" s="1" t="s">
        <v>3194</v>
      </c>
      <c r="C3210" t="str">
        <f>IFERROR(__xludf.DUMMYFUNCTION("GOOGLETRANSLATE(B3210, ""es"", ""en"")"),"Easy Reader counterfeits to use and will save more than a disappointment")</f>
        <v>Easy Reader counterfeits to use and will save more than a disappointment</v>
      </c>
    </row>
    <row r="3211">
      <c r="A3211" s="1">
        <v>5.0</v>
      </c>
      <c r="B3211" s="1" t="s">
        <v>3195</v>
      </c>
      <c r="C3211" t="str">
        <f>IFERROR(__xludf.DUMMYFUNCTION("GOOGLETRANSLATE(B3211, ""es"", ""en"")"),"Very nice everything as photo !!!!!")</f>
        <v>Very nice everything as photo !!!!!</v>
      </c>
    </row>
    <row r="3212">
      <c r="A3212" s="1">
        <v>5.0</v>
      </c>
      <c r="B3212" s="1" t="s">
        <v>3196</v>
      </c>
      <c r="C3212" t="str">
        <f>IFERROR(__xludf.DUMMYFUNCTION("GOOGLETRANSLATE(B3212, ""es"", ""en"")"),"Incredible Light The only fault laces")</f>
        <v>Incredible Light The only fault laces</v>
      </c>
    </row>
    <row r="3213">
      <c r="A3213" s="1">
        <v>5.0</v>
      </c>
      <c r="B3213" s="1" t="s">
        <v>3197</v>
      </c>
      <c r="C3213" t="str">
        <f>IFERROR(__xludf.DUMMYFUNCTION("GOOGLETRANSLATE(B3213, ""es"", ""en"")"),"HI. YOU ALWAYS HAVE HAD PLASTIC AND METAL THIS IS FANTASTIC. HELLO AGAIN, HE THREE BROKEN PLASTIC PURSES AND FINALLY, THE MEETING OF METAL. ALSO THE PRICE IS UNBEATABLE. Another thing to mention is shipping WAS IN LESS THAN 48 HOURS. THANKS.")</f>
        <v>HI. YOU ALWAYS HAVE HAD PLASTIC AND METAL THIS IS FANTASTIC. HELLO AGAIN, HE THREE BROKEN PLASTIC PURSES AND FINALLY, THE MEETING OF METAL. ALSO THE PRICE IS UNBEATABLE. Another thing to mention is shipping WAS IN LESS THAN 48 HOURS. THANKS.</v>
      </c>
    </row>
    <row r="3214">
      <c r="A3214" s="1">
        <v>5.0</v>
      </c>
      <c r="B3214" s="1" t="s">
        <v>3198</v>
      </c>
      <c r="C3214" t="str">
        <f>IFERROR(__xludf.DUMMYFUNCTION("GOOGLETRANSLATE(B3214, ""es"", ""en"")"),"Good buy comfortable and beautiful, carved well")</f>
        <v>Good buy comfortable and beautiful, carved well</v>
      </c>
    </row>
    <row r="3215">
      <c r="A3215" s="1">
        <v>5.0</v>
      </c>
      <c r="B3215" s="1" t="s">
        <v>3199</v>
      </c>
      <c r="C3215" t="str">
        <f>IFERROR(__xludf.DUMMYFUNCTION("GOOGLETRANSLATE(B3215, ""es"", ""en"")"),"Jose Angel The clock works great and is accurate to the description of the product made. The strap is very comfortable and perfectly suited to different wrist sizes by multiple holes that brings aborcharla. Good screen format, with digital numbers to a pr"&amp;"oper size and suitable LED lighting. The functions are described in the product, highlighting 5 programmable alarms think are very useful. I am 100% satisfied.")</f>
        <v>Jose Angel The clock works great and is accurate to the description of the product made. The strap is very comfortable and perfectly suited to different wrist sizes by multiple holes that brings aborcharla. Good screen format, with digital numbers to a proper size and suitable LED lighting. The functions are described in the product, highlighting 5 programmable alarms think are very useful. I am 100% satisfied.</v>
      </c>
    </row>
    <row r="3216">
      <c r="A3216" s="1">
        <v>5.0</v>
      </c>
      <c r="B3216" s="1" t="s">
        <v>3200</v>
      </c>
      <c r="C3216" t="str">
        <f>IFERROR(__xludf.DUMMYFUNCTION("GOOGLETRANSLATE(B3216, ""es"", ""en"")"),"Very elegant and it perfectly for sport and dress well watch elegant and striking, black with metallic accents. It is of metal and rubber. I really like position and can serve perfectly for sport and to dress. The strap is soft to the touch, do not bother"&amp;". Has several functions, such as date with weeks and months, day, LED light, stopwatch, timer, display to mark the time digitally, sound the hours o'clock alarm is resistant to water .. In short, I am very happy with the watch, as it has many useful and v"&amp;"alue things it is great.")</f>
        <v>Very elegant and it perfectly for sport and dress well watch elegant and striking, black with metallic accents. It is of metal and rubber. I really like position and can serve perfectly for sport and to dress. The strap is soft to the touch, do not bother. Has several functions, such as date with weeks and months, day, LED light, stopwatch, timer, display to mark the time digitally, sound the hours o'clock alarm is resistant to water .. In short, I am very happy with the watch, as it has many useful and value things it is great.</v>
      </c>
    </row>
    <row r="3217">
      <c r="A3217" s="1">
        <v>5.0</v>
      </c>
      <c r="B3217" s="1" t="s">
        <v>3201</v>
      </c>
      <c r="C3217" t="str">
        <f>IFERROR(__xludf.DUMMYFUNCTION("GOOGLETRANSLATE(B3217, ""es"", ""en"")"),"Van great right ... my salvation !!")</f>
        <v>Van great right ... my salvation !!</v>
      </c>
    </row>
    <row r="3218">
      <c r="A3218" s="1">
        <v>5.0</v>
      </c>
      <c r="B3218" s="1" t="s">
        <v>3202</v>
      </c>
      <c r="C3218" t="str">
        <f>IFERROR(__xludf.DUMMYFUNCTION("GOOGLETRANSLATE(B3218, ""es"", ""en"")"),"It is compatible with my pandora bracelet I liked much what I expected. I arrive on time, well packaged.")</f>
        <v>It is compatible with my pandora bracelet I liked much what I expected. I arrive on time, well packaged.</v>
      </c>
    </row>
    <row r="3219">
      <c r="A3219" s="1">
        <v>5.0</v>
      </c>
      <c r="B3219" s="1" t="s">
        <v>3203</v>
      </c>
      <c r="C3219" t="str">
        <f>IFERROR(__xludf.DUMMYFUNCTION("GOOGLETRANSLATE(B3219, ""es"", ""en"")"),"An excellent choice if you are looking for a Bluetooth headset. A great product, very good quality materials, for storage box is a very detail to keep in mind to avoid breakage of the headphones. I have used for sports and never have modido ears with move"&amp;"ment. Pairing Android and iOS very fast with no delay at any time and the sound quality is excellent. 10h battery that gives an excellent autonomy especially need 1-2 hours to charge. Definitely a great bet for sports headphones backed by a great brand wi"&amp;"th a perfect after-sales service. I definitely keep buying products soundpeats.")</f>
        <v>An excellent choice if you are looking for a Bluetooth headset. A great product, very good quality materials, for storage box is a very detail to keep in mind to avoid breakage of the headphones. I have used for sports and never have modido ears with movement. Pairing Android and iOS very fast with no delay at any time and the sound quality is excellent. 10h battery that gives an excellent autonomy especially need 1-2 hours to charge. Definitely a great bet for sports headphones backed by a great brand with a perfect after-sales service. I definitely keep buying products soundpeats.</v>
      </c>
    </row>
    <row r="3220">
      <c r="A3220" s="1">
        <v>5.0</v>
      </c>
      <c r="B3220" s="1" t="s">
        <v>3204</v>
      </c>
      <c r="C3220" t="str">
        <f>IFERROR(__xludf.DUMMYFUNCTION("GOOGLETRANSLATE(B3220, ""es"", ""en"")"),"Very handsome, and light are very cool, as is the photo. If it is true that ordered a 43 and 44 came less bad about that come right.")</f>
        <v>Very handsome, and light are very cool, as is the photo. If it is true that ordered a 43 and 44 came less bad about that come right.</v>
      </c>
    </row>
    <row r="3221">
      <c r="A3221" s="1">
        <v>5.0</v>
      </c>
      <c r="B3221" s="1" t="s">
        <v>3205</v>
      </c>
      <c r="C3221" t="str">
        <f>IFERROR(__xludf.DUMMYFUNCTION("GOOGLETRANSLATE(B3221, ""es"", ""en"")"),"beautiful and quality headphones come equipped within a translucent plastic box with several measures to hearing. They are comfortable and are of good quality. I have no complaints from them")</f>
        <v>beautiful and quality headphones come equipped within a translucent plastic box with several measures to hearing. They are comfortable and are of good quality. I have no complaints from them</v>
      </c>
    </row>
    <row r="3222">
      <c r="A3222" s="1">
        <v>5.0</v>
      </c>
      <c r="B3222" s="1" t="s">
        <v>3206</v>
      </c>
      <c r="C3222" t="str">
        <f>IFERROR(__xludf.DUMMYFUNCTION("GOOGLETRANSLATE(B3222, ""es"", ""en"")"),"Perfect. I love these bottles, and nipple I think it's the best there is.")</f>
        <v>Perfect. I love these bottles, and nipple I think it's the best there is.</v>
      </c>
    </row>
    <row r="3223">
      <c r="A3223" s="1">
        <v>5.0</v>
      </c>
      <c r="B3223" s="1" t="s">
        <v>3207</v>
      </c>
      <c r="C3223" t="str">
        <f>IFERROR(__xludf.DUMMYFUNCTION("GOOGLETRANSLATE(B3223, ""es"", ""en"")"),"Elasticity The fabric of this shorts is the best it has because it is very elastic and appears to be resistant to all kinds of sharks plus it has a very strategic pockets on the front. Without a doubt would buy.")</f>
        <v>Elasticity The fabric of this shorts is the best it has because it is very elastic and appears to be resistant to all kinds of sharks plus it has a very strategic pockets on the front. Without a doubt would buy.</v>
      </c>
    </row>
    <row r="3224">
      <c r="A3224" s="1">
        <v>5.0</v>
      </c>
      <c r="B3224" s="1" t="s">
        <v>3208</v>
      </c>
      <c r="C3224" t="str">
        <f>IFERROR(__xludf.DUMMYFUNCTION("GOOGLETRANSLATE(B3224, ""es"", ""en"")"),"It works really works well with plastic screen watches, automatic watch repair a nearly 20 years, it has been the bright as new screen")</f>
        <v>It works really works well with plastic screen watches, automatic watch repair a nearly 20 years, it has been the bright as new screen</v>
      </c>
    </row>
    <row r="3225">
      <c r="A3225" s="1">
        <v>5.0</v>
      </c>
      <c r="B3225" s="1" t="s">
        <v>3209</v>
      </c>
      <c r="C3225" t="str">
        <f>IFERROR(__xludf.DUMMYFUNCTION("GOOGLETRANSLATE(B3225, ""es"", ""en"")"),"I already knew. Good. I like boots. I have other different color and they seem more rigid. But all satisfactory.")</f>
        <v>I already knew. Good. I like boots. I have other different color and they seem more rigid. But all satisfactory.</v>
      </c>
    </row>
    <row r="3226">
      <c r="A3226" s="1">
        <v>5.0</v>
      </c>
      <c r="B3226" s="1" t="s">
        <v>3210</v>
      </c>
      <c r="C3226" t="str">
        <f>IFERROR(__xludf.DUMMYFUNCTION("GOOGLETRANSLATE(B3226, ""es"", ""en"")"),"Buenos Only shoes wanted ratify most views on these shoes, very comfortable (essential for some jobs daily), in this sense a success its rubber sole EVA giving the impression of going on sneakers (also help isolated from the cold, important for me because"&amp;" I work in an office without parquet), anatomical footbed, very lightweight and after more than a year of use are almost like the first day, so I understand that they are made with good quality materials . My positive for Clarks, the will consider for fut"&amp;"ure purchases.")</f>
        <v>Buenos Only shoes wanted ratify most views on these shoes, very comfortable (essential for some jobs daily), in this sense a success its rubber sole EVA giving the impression of going on sneakers (also help isolated from the cold, important for me because I work in an office without parquet), anatomical footbed, very lightweight and after more than a year of use are almost like the first day, so I understand that they are made with good quality materials . My positive for Clarks, the will consider for future purchases.</v>
      </c>
    </row>
    <row r="3227">
      <c r="A3227" s="1">
        <v>5.0</v>
      </c>
      <c r="B3227" s="1" t="s">
        <v>3211</v>
      </c>
      <c r="C3227" t="str">
        <f>IFERROR(__xludf.DUMMYFUNCTION("GOOGLETRANSLATE(B3227, ""es"", ""en"")"),"Perfect with the description, the perfect size.")</f>
        <v>Perfect with the description, the perfect size.</v>
      </c>
    </row>
    <row r="3228">
      <c r="A3228" s="1">
        <v>2.0</v>
      </c>
      <c r="B3228" s="1" t="s">
        <v>3212</v>
      </c>
      <c r="C3228" t="str">
        <f>IFERROR(__xludf.DUMMYFUNCTION("GOOGLETRANSLATE(B3228, ""es"", ""en"")"),"Was too big The truth is that possibly I should have expected, it has a capacity of 2.2 liters but not expected to be so great. I had to return.")</f>
        <v>Was too big The truth is that possibly I should have expected, it has a capacity of 2.2 liters but not expected to be so great. I had to return.</v>
      </c>
    </row>
    <row r="3229">
      <c r="A3229" s="1">
        <v>3.0</v>
      </c>
      <c r="B3229" s="1" t="s">
        <v>3213</v>
      </c>
      <c r="C3229" t="str">
        <f>IFERROR(__xludf.DUMMYFUNCTION("GOOGLETRANSLATE(B3229, ""es"", ""en"")"),"Almost total absence of serious From a technical and functional are optimal, pairing with other devices is intuitive and almost automatic, the use is comfortable and safe to be very difficult to loosen. Sound is another thing, it is very sharp in the midd"&amp;"le frequencies, in high is not bright but acepatable, in just low lacks practitioner them, any handset in ear cable that comes with mobile midrange exceeds the quality of sound of low frequencies or amply")</f>
        <v>Almost total absence of serious From a technical and functional are optimal, pairing with other devices is intuitive and almost automatic, the use is comfortable and safe to be very difficult to loosen. Sound is another thing, it is very sharp in the middle frequencies, in high is not bright but acepatable, in just low lacks practitioner them, any handset in ear cable that comes with mobile midrange exceeds the quality of sound of low frequencies or amply</v>
      </c>
    </row>
    <row r="3230">
      <c r="A3230" s="1">
        <v>3.0</v>
      </c>
      <c r="B3230" s="1" t="s">
        <v>3214</v>
      </c>
      <c r="C3230" t="str">
        <f>IFERROR(__xludf.DUMMYFUNCTION("GOOGLETRANSLATE(B3230, ""es"", ""en"")"),"Miniland keeps heat very well. Usually it leaves some water despite being tightly closed.")</f>
        <v>Miniland keeps heat very well. Usually it leaves some water despite being tightly closed.</v>
      </c>
    </row>
    <row r="3231">
      <c r="A3231" s="1">
        <v>1.0</v>
      </c>
      <c r="B3231" s="1" t="s">
        <v>3215</v>
      </c>
      <c r="C3231" t="str">
        <f>IFERROR(__xludf.DUMMYFUNCTION("GOOGLETRANSLATE(B3231, ""es"", ""en"")"),"Listen loose and CAEE are heard too loose and fall")</f>
        <v>Listen loose and CAEE are heard too loose and fall</v>
      </c>
    </row>
    <row r="3232">
      <c r="A3232" s="1">
        <v>1.0</v>
      </c>
      <c r="B3232" s="1" t="s">
        <v>3216</v>
      </c>
      <c r="C3232" t="str">
        <f>IFERROR(__xludf.DUMMYFUNCTION("GOOGLETRANSLATE(B3232, ""es"", ""en"")"),"Decepcion have been using HD this brand since I have use of reason but with this purchase have been completely disappointed, after 2 months of use and is giving me problems such as slowdowns in file transfer and annoying noise MECHANIC always coming one r"&amp;"upture disk. I must say that the single disk I use to have a backup, I have given very little use to have these problems. That's why I'm totally disappointed and proceed to the return of the product.")</f>
        <v>Decepcion have been using HD this brand since I have use of reason but with this purchase have been completely disappointed, after 2 months of use and is giving me problems such as slowdowns in file transfer and annoying noise MECHANIC always coming one rupture disk. I must say that the single disk I use to have a backup, I have given very little use to have these problems. That's why I'm totally disappointed and proceed to the return of the product.</v>
      </c>
    </row>
    <row r="3233">
      <c r="A3233" s="1">
        <v>1.0</v>
      </c>
      <c r="B3233" s="1" t="s">
        <v>3217</v>
      </c>
      <c r="C3233" t="str">
        <f>IFERROR(__xludf.DUMMYFUNCTION("GOOGLETRANSLATE(B3233, ""es"", ""en"")"),"Raya glass used it to polish the glass of a watch with a cotton cloth and water, has pebbles that line the glass, there is no way to polish that is not finely ground dust and particles produce these stripes.")</f>
        <v>Raya glass used it to polish the glass of a watch with a cotton cloth and water, has pebbles that line the glass, there is no way to polish that is not finely ground dust and particles produce these stripes.</v>
      </c>
    </row>
    <row r="3234">
      <c r="A3234" s="1">
        <v>4.0</v>
      </c>
      <c r="B3234" s="1" t="s">
        <v>3218</v>
      </c>
      <c r="C3234" t="str">
        <f>IFERROR(__xludf.DUMMYFUNCTION("GOOGLETRANSLATE(B3234, ""es"", ""en"")"),"Precious little witch remain.")</f>
        <v>Precious little witch remain.</v>
      </c>
    </row>
    <row r="3235">
      <c r="A3235" s="1">
        <v>4.0</v>
      </c>
      <c r="B3235" s="1" t="s">
        <v>3219</v>
      </c>
      <c r="C3235" t="str">
        <f>IFERROR(__xludf.DUMMYFUNCTION("GOOGLETRANSLATE(B3235, ""es"", ""en"")"),"Good value for money is given much use and still remains as the first day.")</f>
        <v>Good value for money is given much use and still remains as the first day.</v>
      </c>
    </row>
    <row r="3236">
      <c r="A3236" s="1">
        <v>4.0</v>
      </c>
      <c r="B3236" s="1" t="s">
        <v>3220</v>
      </c>
      <c r="C3236" t="str">
        <f>IFERROR(__xludf.DUMMYFUNCTION("GOOGLETRANSLATE(B3236, ""es"", ""en"")"),"The sizing is somewhat small My height in this type of footwear is 46 and I ordered. When I arrived at the probármelas with a normal sock me were superjustas in length. I asked for change for other size 46.5. These me are already much better but better wo"&amp;"uld have been a size 47.")</f>
        <v>The sizing is somewhat small My height in this type of footwear is 46 and I ordered. When I arrived at the probármelas with a normal sock me were superjustas in length. I asked for change for other size 46.5. These me are already much better but better would have been a size 47.</v>
      </c>
    </row>
    <row r="3237">
      <c r="A3237" s="1">
        <v>4.0</v>
      </c>
      <c r="B3237" s="1" t="s">
        <v>3221</v>
      </c>
      <c r="C3237" t="str">
        <f>IFERROR(__xludf.DUMMYFUNCTION("GOOGLETRANSLATE(B3237, ""es"", ""en"")"),"Good value for money Product correct. Good material")</f>
        <v>Good value for money Product correct. Good material</v>
      </c>
    </row>
    <row r="3238">
      <c r="A3238" s="1">
        <v>5.0</v>
      </c>
      <c r="B3238" s="1" t="s">
        <v>3222</v>
      </c>
      <c r="C3238" t="str">
        <f>IFERROR(__xludf.DUMMYFUNCTION("GOOGLETRANSLATE(B3238, ""es"", ""en"")"),"Ok quickly")</f>
        <v>Ok quickly</v>
      </c>
    </row>
    <row r="3239">
      <c r="A3239" s="1">
        <v>5.0</v>
      </c>
      <c r="B3239" s="1" t="s">
        <v>3223</v>
      </c>
      <c r="C3239" t="str">
        <f>IFERROR(__xludf.DUMMYFUNCTION("GOOGLETRANSLATE(B3239, ""es"", ""en"")"),"Good quality and good quality finishes and comes more than it seems. Perhaps he would be more reliable color in the photos. Like meets my expectations.")</f>
        <v>Good quality and good quality finishes and comes more than it seems. Perhaps he would be more reliable color in the photos. Like meets my expectations.</v>
      </c>
    </row>
    <row r="3240">
      <c r="A3240" s="1">
        <v>5.0</v>
      </c>
      <c r="B3240" s="1" t="s">
        <v>3224</v>
      </c>
      <c r="C3240" t="str">
        <f>IFERROR(__xludf.DUMMYFUNCTION("GOOGLETRANSLATE(B3240, ""es"", ""en"")"),"Very good very good buy. My son perfectly suited to this type of nipple. Resistant and very safe. Very happy with the purchase.")</f>
        <v>Very good very good buy. My son perfectly suited to this type of nipple. Resistant and very safe. Very happy with the purchase.</v>
      </c>
    </row>
    <row r="3241">
      <c r="A3241" s="1">
        <v>5.0</v>
      </c>
      <c r="B3241" s="1" t="s">
        <v>3225</v>
      </c>
      <c r="C3241" t="str">
        <f>IFERROR(__xludf.DUMMYFUNCTION("GOOGLETRANSLATE(B3241, ""es"", ""en"")"),"fast heat works well, is good for neck pain, it seems to be good material and durable.")</f>
        <v>fast heat works well, is good for neck pain, it seems to be good material and durable.</v>
      </c>
    </row>
    <row r="3242">
      <c r="A3242" s="1">
        <v>5.0</v>
      </c>
      <c r="B3242" s="1" t="s">
        <v>3226</v>
      </c>
      <c r="C3242" t="str">
        <f>IFERROR(__xludf.DUMMYFUNCTION("GOOGLETRANSLATE(B3242, ""es"", ""en"")"),"Perfect. Good budget pack to meet the needs of a baby. Among the bottles daycare, reserve the car home and I'm using it every day almost all of the pack. Good quality.")</f>
        <v>Perfect. Good budget pack to meet the needs of a baby. Among the bottles daycare, reserve the car home and I'm using it every day almost all of the pack. Good quality.</v>
      </c>
    </row>
    <row r="3243">
      <c r="A3243" s="1">
        <v>5.0</v>
      </c>
      <c r="B3243" s="1" t="s">
        <v>3227</v>
      </c>
      <c r="C3243" t="str">
        <f>IFERROR(__xludf.DUMMYFUNCTION("GOOGLETRANSLATE(B3243, ""es"", ""en"")"),"I loved ergonomic bottles. My first child's tested and approved, among other forms of Teat, he chose, and bought it for my second child, although not wanted or testing the milk bottle or pacifiers recommend Tommie Tippie.")</f>
        <v>I loved ergonomic bottles. My first child's tested and approved, among other forms of Teat, he chose, and bought it for my second child, although not wanted or testing the milk bottle or pacifiers recommend Tommie Tippie.</v>
      </c>
    </row>
    <row r="3244">
      <c r="A3244" s="1">
        <v>5.0</v>
      </c>
      <c r="B3244" s="1" t="s">
        <v>3228</v>
      </c>
      <c r="C3244" t="str">
        <f>IFERROR(__xludf.DUMMYFUNCTION("GOOGLETRANSLATE(B3244, ""es"", ""en"")"),"Samsung first series PRO is a symbol of security and reliability. Installed the first on my motherboard without any problems. At the moment, perfect performance. I use it for loading heavy weight games (Witcher 3 Battlefield I Call od Futy WWII, PUBG, etc"&amp;".). From my point of view, highly recommended, especially for the addition of the Samsung Magician software, which is very well developed and offers many possibilities to maintain and optimize your drive.")</f>
        <v>Samsung first series PRO is a symbol of security and reliability. Installed the first on my motherboard without any problems. At the moment, perfect performance. I use it for loading heavy weight games (Witcher 3 Battlefield I Call od Futy WWII, PUBG, etc.). From my point of view, highly recommended, especially for the addition of the Samsung Magician software, which is very well developed and offers many possibilities to maintain and optimize your drive.</v>
      </c>
    </row>
    <row r="3245">
      <c r="A3245" s="1">
        <v>5.0</v>
      </c>
      <c r="B3245" s="1" t="s">
        <v>3229</v>
      </c>
      <c r="C3245" t="str">
        <f>IFERROR(__xludf.DUMMYFUNCTION("GOOGLETRANSLATE(B3245, ""es"", ""en"")"),"A paper cutter cutter precise and plain paper that does not occupy much space. According to its specifications can be cut up to 12 sheets 80gramos. I have used with plain paper and some cardboard and all good. Has cutting guides and the blade will be chan"&amp;"ged in the bottom has a rubber to move not making the cut.")</f>
        <v>A paper cutter cutter precise and plain paper that does not occupy much space. According to its specifications can be cut up to 12 sheets 80gramos. I have used with plain paper and some cardboard and all good. Has cutting guides and the blade will be changed in the bottom has a rubber to move not making the cut.</v>
      </c>
    </row>
    <row r="3246">
      <c r="A3246" s="1">
        <v>5.0</v>
      </c>
      <c r="B3246" s="1" t="s">
        <v>3230</v>
      </c>
      <c r="C3246" t="str">
        <f>IFERROR(__xludf.DUMMYFUNCTION("GOOGLETRANSLATE(B3246, ""es"", ""en"")"),"Rayen Mery works well and saves strive.")</f>
        <v>Rayen Mery works well and saves strive.</v>
      </c>
    </row>
    <row r="3247">
      <c r="A3247" s="1">
        <v>5.0</v>
      </c>
      <c r="B3247" s="1" t="s">
        <v>3231</v>
      </c>
      <c r="C3247" t="str">
        <f>IFERROR(__xludf.DUMMYFUNCTION("GOOGLETRANSLATE(B3247, ""es"", ""en"")"),"Brutales Best wired headphones I've ever had. Sound quality, insulation materials, various sizes of pads and a bag with tie strings to take saved. Simply the best cable I've had so far (and there have been few).")</f>
        <v>Brutales Best wired headphones I've ever had. Sound quality, insulation materials, various sizes of pads and a bag with tie strings to take saved. Simply the best cable I've had so far (and there have been few).</v>
      </c>
    </row>
    <row r="3248">
      <c r="A3248" s="1">
        <v>5.0</v>
      </c>
      <c r="B3248" s="1" t="s">
        <v>3232</v>
      </c>
      <c r="C3248" t="str">
        <f>IFERROR(__xludf.DUMMYFUNCTION("GOOGLETRANSLATE(B3248, ""es"", ""en"")"),"Good toy Super fun!")</f>
        <v>Good toy Super fun!</v>
      </c>
    </row>
    <row r="3249">
      <c r="A3249" s="1">
        <v>5.0</v>
      </c>
      <c r="B3249" s="1" t="s">
        <v>3233</v>
      </c>
      <c r="C3249" t="str">
        <f>IFERROR(__xludf.DUMMYFUNCTION("GOOGLETRANSLATE(B3249, ""es"", ""en"")"),"Exquisite and durable Very good quality and consistency, I took it for my humidor that lasts 8hras on and keeps its aromas from the first minute to the last, 5 drops for 200ml water are sufficient for perfuming the whole atmosphere lemon, love it! !!")</f>
        <v>Exquisite and durable Very good quality and consistency, I took it for my humidor that lasts 8hras on and keeps its aromas from the first minute to the last, 5 drops for 200ml water are sufficient for perfuming the whole atmosphere lemon, love it! !!</v>
      </c>
    </row>
    <row r="3250">
      <c r="A3250" s="1">
        <v>5.0</v>
      </c>
      <c r="B3250" s="1" t="s">
        <v>3234</v>
      </c>
      <c r="C3250" t="str">
        <f>IFERROR(__xludf.DUMMYFUNCTION("GOOGLETRANSLATE(B3250, ""es"", ""en"")"),"His good investment QC25 are also great for quality and noise reduction. The battery lasts a lot and also the bluetooth can be connected to the least 2 computers at once so you do not need to have to walk turning off the bluetooth mobile if I want to use "&amp;"with your computer or tablet. The much use for air travel and are amazing. It's an investment worth.")</f>
        <v>His good investment QC25 are also great for quality and noise reduction. The battery lasts a lot and also the bluetooth can be connected to the least 2 computers at once so you do not need to have to walk turning off the bluetooth mobile if I want to use with your computer or tablet. The much use for air travel and are amazing. It's an investment worth.</v>
      </c>
    </row>
    <row r="3251">
      <c r="A3251" s="1">
        <v>5.0</v>
      </c>
      <c r="B3251" s="1" t="s">
        <v>3235</v>
      </c>
      <c r="C3251" t="str">
        <f>IFERROR(__xludf.DUMMYFUNCTION("GOOGLETRANSLATE(B3251, ""es"", ""en"")"),"Its price / quality is good. Generally this product is good.")</f>
        <v>Its price / quality is good. Generally this product is good.</v>
      </c>
    </row>
    <row r="3252">
      <c r="A3252" s="1">
        <v>5.0</v>
      </c>
      <c r="B3252" s="1" t="s">
        <v>3236</v>
      </c>
      <c r="C3252" t="str">
        <f>IFERROR(__xludf.DUMMYFUNCTION("GOOGLETRANSLATE(B3252, ""es"", ""en"")"),"The 10-year battery and waterproof 100 meters'm quite happy with all that as I use to work already scratch a bit but otherwise all good")</f>
        <v>The 10-year battery and waterproof 100 meters'm quite happy with all that as I use to work already scratch a bit but otherwise all good</v>
      </c>
    </row>
    <row r="3253">
      <c r="A3253" s="1">
        <v>5.0</v>
      </c>
      <c r="B3253" s="1" t="s">
        <v>3237</v>
      </c>
      <c r="C3253" t="str">
        <f>IFERROR(__xludf.DUMMYFUNCTION("GOOGLETRANSLATE(B3253, ""es"", ""en"")"),"The best prices are the same as in any store but cheaper.")</f>
        <v>The best prices are the same as in any store but cheaper.</v>
      </c>
    </row>
    <row r="3254">
      <c r="A3254" s="1">
        <v>5.0</v>
      </c>
      <c r="B3254" s="1" t="s">
        <v>3238</v>
      </c>
      <c r="C3254" t="str">
        <f>IFERROR(__xludf.DUMMYFUNCTION("GOOGLETRANSLATE(B3254, ""es"", ""en"")"),"Perfect remain great!")</f>
        <v>Perfect remain great!</v>
      </c>
    </row>
    <row r="3255">
      <c r="A3255" s="1">
        <v>5.0</v>
      </c>
      <c r="B3255" s="1" t="s">
        <v>3239</v>
      </c>
      <c r="C3255" t="str">
        <f>IFERROR(__xludf.DUMMYFUNCTION("GOOGLETRANSLATE(B3255, ""es"", ""en"")"),"You sound great late, but I have received, are great and sound great")</f>
        <v>You sound great late, but I have received, are great and sound great</v>
      </c>
    </row>
    <row r="3256">
      <c r="A3256" s="1">
        <v>5.0</v>
      </c>
      <c r="B3256" s="1" t="s">
        <v>3240</v>
      </c>
      <c r="C3256" t="str">
        <f>IFERROR(__xludf.DUMMYFUNCTION("GOOGLETRANSLATE(B3256, ""es"", ""en"")"),"Nice and functional. It is a very good watch, has many functions, the only bad thing that can not be immersed in water otherwise the best watch I've bought so far.")</f>
        <v>Nice and functional. It is a very good watch, has many functions, the only bad thing that can not be immersed in water otherwise the best watch I've bought so far.</v>
      </c>
    </row>
    <row r="3257">
      <c r="A3257" s="1">
        <v>2.0</v>
      </c>
      <c r="B3257" s="1" t="s">
        <v>3241</v>
      </c>
      <c r="C3257" t="str">
        <f>IFERROR(__xludf.DUMMYFUNCTION("GOOGLETRANSLATE(B3257, ""es"", ""en"")"),"The instructions are not in Spanish right, but do not understand the instructions do not come in Spanish")</f>
        <v>The instructions are not in Spanish right, but do not understand the instructions do not come in Spanish</v>
      </c>
    </row>
    <row r="3258">
      <c r="A3258" s="1">
        <v>3.0</v>
      </c>
      <c r="B3258" s="1" t="s">
        <v>3242</v>
      </c>
      <c r="C3258" t="str">
        <f>IFERROR(__xludf.DUMMYFUNCTION("GOOGLETRANSLATE(B3258, ""es"", ""en"")"),"It does not have such good quality all too well not crushed")</f>
        <v>It does not have such good quality all too well not crushed</v>
      </c>
    </row>
    <row r="3259">
      <c r="A3259" s="1">
        <v>3.0</v>
      </c>
      <c r="B3259" s="1" t="s">
        <v>3243</v>
      </c>
      <c r="C3259" t="str">
        <f>IFERROR(__xludf.DUMMYFUNCTION("GOOGLETRANSLATE(B3259, ""es"", ""en"")"),"The problem always While I think that the sound quality is acceptable with this method, still does not correct the unbridgeable error of crosstalk: the signal seeps through the circuit causing unwanted feedback and making it unsuitable for high gain if we"&amp;" use with headphones (to be normal). After stumbling twice with the same stone, I'm sorry but I shot the USB interfaces.")</f>
        <v>The problem always While I think that the sound quality is acceptable with this method, still does not correct the unbridgeable error of crosstalk: the signal seeps through the circuit causing unwanted feedback and making it unsuitable for high gain if we use with headphones (to be normal). After stumbling twice with the same stone, I'm sorry but I shot the USB interfaces.</v>
      </c>
    </row>
    <row r="3260">
      <c r="A3260" s="1">
        <v>1.0</v>
      </c>
      <c r="B3260" s="1" t="s">
        <v>3244</v>
      </c>
      <c r="C3260" t="str">
        <f>IFERROR(__xludf.DUMMYFUNCTION("GOOGLETRANSLATE(B3260, ""es"", ""en"")"),"I can not comment No comment. I had to return because it came evil; I did not recognize any operating system (Windows, Linus, IOS) and, of course, nor would I recognized the NAS. It could be a hit in transport; the Post does not stand out precisely becaus"&amp;"e they are the most careful.")</f>
        <v>I can not comment No comment. I had to return because it came evil; I did not recognize any operating system (Windows, Linus, IOS) and, of course, nor would I recognized the NAS. It could be a hit in transport; the Post does not stand out precisely because they are the most careful.</v>
      </c>
    </row>
    <row r="3261">
      <c r="A3261" s="1">
        <v>1.0</v>
      </c>
      <c r="B3261" s="1" t="s">
        <v>3245</v>
      </c>
      <c r="C3261" t="str">
        <f>IFERROR(__xludf.DUMMYFUNCTION("GOOGLETRANSLATE(B3261, ""es"", ""en"")"),"Headphones nefarious quality headphones Crappy. In less than a month one of the handsets was not going and just he stopped working the other. The seller said it would send another but it's been more than three months and nothing. I do not recommend at all"&amp;" this seller.")</f>
        <v>Headphones nefarious quality headphones Crappy. In less than a month one of the handsets was not going and just he stopped working the other. The seller said it would send another but it's been more than three months and nothing. I do not recommend at all this seller.</v>
      </c>
    </row>
    <row r="3262">
      <c r="A3262" s="1">
        <v>4.0</v>
      </c>
      <c r="B3262" s="1" t="s">
        <v>3246</v>
      </c>
      <c r="C3262" t="str">
        <f>IFERROR(__xludf.DUMMYFUNCTION("GOOGLETRANSLATE(B3262, ""es"", ""en"")"),"Fulfills its mission perfectly Imagi'ne it would be a poorer quality velcro but it works perfectly in some cables I use it daily for winding and unwinding and really do not lose grip, it is true that sometimes comes somewhat short but thanks to the holed "&amp;"buckle, can be spliced ​​smoothly velcro other greetings !!!")</f>
        <v>Fulfills its mission perfectly Imagi'ne it would be a poorer quality velcro but it works perfectly in some cables I use it daily for winding and unwinding and really do not lose grip, it is true that sometimes comes somewhat short but thanks to the holed buckle, can be spliced ​​smoothly velcro other greetings !!!</v>
      </c>
    </row>
    <row r="3263">
      <c r="A3263" s="1">
        <v>4.0</v>
      </c>
      <c r="B3263" s="1" t="s">
        <v>3247</v>
      </c>
      <c r="C3263" t="str">
        <f>IFERROR(__xludf.DUMMYFUNCTION("GOOGLETRANSLATE(B3263, ""es"", ""en"")"),"Very happy")</f>
        <v>Very happy</v>
      </c>
    </row>
    <row r="3264">
      <c r="A3264" s="1">
        <v>4.0</v>
      </c>
      <c r="B3264" s="1" t="s">
        <v>3248</v>
      </c>
      <c r="C3264" t="str">
        <f>IFERROR(__xludf.DUMMYFUNCTION("GOOGLETRANSLATE(B3264, ""es"", ""en"")"),"It works perfectly perfect, I took a month with them and have not given me any problems, I use daily.")</f>
        <v>It works perfectly perfect, I took a month with them and have not given me any problems, I use daily.</v>
      </c>
    </row>
    <row r="3265">
      <c r="A3265" s="1">
        <v>4.0</v>
      </c>
      <c r="B3265" s="1" t="s">
        <v>3249</v>
      </c>
      <c r="C3265" t="str">
        <f>IFERROR(__xludf.DUMMYFUNCTION("GOOGLETRANSLATE(B3265, ""es"", ""en"")"),"Meets for the price do not look very good quality, but do not weigh much and sizing is good.")</f>
        <v>Meets for the price do not look very good quality, but do not weigh much and sizing is good.</v>
      </c>
    </row>
    <row r="3266">
      <c r="A3266" s="1">
        <v>4.0</v>
      </c>
      <c r="B3266" s="1" t="s">
        <v>3250</v>
      </c>
      <c r="C3266" t="str">
        <f>IFERROR(__xludf.DUMMYFUNCTION("GOOGLETRANSLATE(B3266, ""es"", ""en"")"),"What I expected good product, very fast shipping and very worth the article for cable. To have used for cable TV ... that tenianun disorder. How bad must have patience for braiding. But otherwise everything ok")</f>
        <v>What I expected good product, very fast shipping and very worth the article for cable. To have used for cable TV ... that tenianun disorder. How bad must have patience for braiding. But otherwise everything ok</v>
      </c>
    </row>
    <row r="3267">
      <c r="A3267" s="1">
        <v>5.0</v>
      </c>
      <c r="B3267" s="1" t="s">
        <v>3251</v>
      </c>
      <c r="C3267" t="str">
        <f>IFERROR(__xludf.DUMMYFUNCTION("GOOGLETRANSLATE(B3267, ""es"", ""en"")"),"Very nice very nice, much better than I expected q. I hope q be so with the passage of time and not put ugly")</f>
        <v>Very nice very nice, much better than I expected q. I hope q be so with the passage of time and not put ugly</v>
      </c>
    </row>
    <row r="3268">
      <c r="A3268" s="1">
        <v>5.0</v>
      </c>
      <c r="B3268" s="1" t="s">
        <v>3252</v>
      </c>
      <c r="C3268" t="str">
        <f>IFERROR(__xludf.DUMMYFUNCTION("GOOGLETRANSLATE(B3268, ""es"", ""en"")"),"evolutionary thermos bottle and bottle aluminum with different nozzles according to the evolution of the child. The nozzle is silicone bottle and also brings the nozzle straw silicone or normal cover. It can be used to heat, for example to keep warm milk "&amp;"bottle or for water. Has. A capacity of 180 ml.")</f>
        <v>evolutionary thermos bottle and bottle aluminum with different nozzles according to the evolution of the child. The nozzle is silicone bottle and also brings the nozzle straw silicone or normal cover. It can be used to heat, for example to keep warm milk bottle or for water. Has. A capacity of 180 ml.</v>
      </c>
    </row>
    <row r="3269">
      <c r="A3269" s="1">
        <v>5.0</v>
      </c>
      <c r="B3269" s="1" t="s">
        <v>3253</v>
      </c>
      <c r="C3269" t="str">
        <f>IFERROR(__xludf.DUMMYFUNCTION("GOOGLETRANSLATE(B3269, ""es"", ""en"")"),"INCREDIBLE I love everything leads to warranty, is super nice. I use it for everything and it is incredible. It can be better but not much time. I recommend it to you")</f>
        <v>INCREDIBLE I love everything leads to warranty, is super nice. I use it for everything and it is incredible. It can be better but not much time. I recommend it to you</v>
      </c>
    </row>
    <row r="3270">
      <c r="A3270" s="1">
        <v>5.0</v>
      </c>
      <c r="B3270" s="1" t="s">
        <v>3254</v>
      </c>
      <c r="C3270" t="str">
        <f>IFERROR(__xludf.DUMMYFUNCTION("GOOGLETRANSLATE(B3270, ""es"", ""en"")"),"Very good buy very good sound, good connection. Good buy for college. For school parties, to play music during recess .... fast and safe transportation.")</f>
        <v>Very good buy very good sound, good connection. Good buy for college. For school parties, to play music during recess .... fast and safe transportation.</v>
      </c>
    </row>
    <row r="3271">
      <c r="A3271" s="1">
        <v>5.0</v>
      </c>
      <c r="B3271" s="1" t="s">
        <v>3255</v>
      </c>
      <c r="C3271" t="str">
        <f>IFERROR(__xludf.DUMMYFUNCTION("GOOGLETRANSLATE(B3271, ""es"", ""en"")"),"Perfect is cheaper but is perfect. It has a good size, is coupled to the support either, in my case, the Andoer, and I came relatively quickly (I think Belgium)")</f>
        <v>Perfect is cheaper but is perfect. It has a good size, is coupled to the support either, in my case, the Andoer, and I came relatively quickly (I think Belgium)</v>
      </c>
    </row>
    <row r="3272">
      <c r="A3272" s="1">
        <v>5.0</v>
      </c>
      <c r="B3272" s="1" t="s">
        <v>3256</v>
      </c>
      <c r="C3272" t="str">
        <f>IFERROR(__xludf.DUMMYFUNCTION("GOOGLETRANSLATE(B3272, ""es"", ""en"")"),"The size is very fair I chock 42 and asked for the size 42/43 Brazil and heel stays a little out")</f>
        <v>The size is very fair I chock 42 and asked for the size 42/43 Brazil and heel stays a little out</v>
      </c>
    </row>
    <row r="3273">
      <c r="A3273" s="1">
        <v>5.0</v>
      </c>
      <c r="B3273" s="1" t="s">
        <v>3257</v>
      </c>
      <c r="C3273" t="str">
        <f>IFERROR(__xludf.DUMMYFUNCTION("GOOGLETRANSLATE(B3273, ""es"", ""en"")"),"FEELING GOOD IN THE FIRST USE The feeling was very positive. Comfortable and with a very good stiffness. EXPECT THE DURABILITY RESPOND expected. IF MEETS EXPECTATIONS, UNBEATABLE QUALITY / PRICE.")</f>
        <v>FEELING GOOD IN THE FIRST USE The feeling was very positive. Comfortable and with a very good stiffness. EXPECT THE DURABILITY RESPOND expected. IF MEETS EXPECTATIONS, UNBEATABLE QUALITY / PRICE.</v>
      </c>
    </row>
    <row r="3274">
      <c r="A3274" s="1">
        <v>5.0</v>
      </c>
      <c r="B3274" s="1" t="s">
        <v>3258</v>
      </c>
      <c r="C3274" t="str">
        <f>IFERROR(__xludf.DUMMYFUNCTION("GOOGLETRANSLATE(B3274, ""es"", ""en"")"),"Jordi Perfect !! Perfectly fulfills its function. I have already arranged three punctures by nails and is very simple to repair, which is logically suggest a compressor for later hinflar")</f>
        <v>Jordi Perfect !! Perfectly fulfills its function. I have already arranged three punctures by nails and is very simple to repair, which is logically suggest a compressor for later hinflar</v>
      </c>
    </row>
    <row r="3275">
      <c r="A3275" s="1">
        <v>5.0</v>
      </c>
      <c r="B3275" s="1" t="s">
        <v>3259</v>
      </c>
      <c r="C3275" t="str">
        <f>IFERROR(__xludf.DUMMYFUNCTION("GOOGLETRANSLATE(B3275, ""es"", ""en"")"),"Perfect value, good bass and good sound definition. By putting a snag in the diadem they are stuck a bit, otherwise pefect. It also has a function with the Assistant google that pressing the power button twice in a row can say commands. Very useful.")</f>
        <v>Perfect value, good bass and good sound definition. By putting a snag in the diadem they are stuck a bit, otherwise pefect. It also has a function with the Assistant google that pressing the power button twice in a row can say commands. Very useful.</v>
      </c>
    </row>
    <row r="3276">
      <c r="A3276" s="1">
        <v>5.0</v>
      </c>
      <c r="B3276" s="1" t="s">
        <v>3260</v>
      </c>
      <c r="C3276" t="str">
        <f>IFERROR(__xludf.DUMMYFUNCTION("GOOGLETRANSLATE(B3276, ""es"", ""en"")"),"A good quality cable that works perfectly good cable. Recommendable.")</f>
        <v>A good quality cable that works perfectly good cable. Recommendable.</v>
      </c>
    </row>
    <row r="3277">
      <c r="A3277" s="1">
        <v>5.0</v>
      </c>
      <c r="B3277" s="1" t="s">
        <v>3261</v>
      </c>
      <c r="C3277" t="str">
        <f>IFERROR(__xludf.DUMMYFUNCTION("GOOGLETRANSLATE(B3277, ""es"", ""en"")"),"Stapled staples. Nothing more can be said.")</f>
        <v>Stapled staples. Nothing more can be said.</v>
      </c>
    </row>
    <row r="3278">
      <c r="A3278" s="1">
        <v>5.0</v>
      </c>
      <c r="B3278" s="1" t="s">
        <v>3262</v>
      </c>
      <c r="C3278" t="str">
        <f>IFERROR(__xludf.DUMMYFUNCTION("GOOGLETRANSLATE(B3278, ""es"", ""en"")"),"The battery lasts much Although I have highlighted in the title battery, I must say that lasts much porq me to take the weekend and use them a lot, I forgot the little box is where you store and automatically loaded and no battery is just and even putting"&amp;" them he had so much and was pleasantly surprised, they adapt very well and the sound quality is quite good and absequible price. It comes apart from being a bag in his box as seen in the picture for even better save, your charging cable and other pads")</f>
        <v>The battery lasts much Although I have highlighted in the title battery, I must say that lasts much porq me to take the weekend and use them a lot, I forgot the little box is where you store and automatically loaded and no battery is just and even putting them he had so much and was pleasantly surprised, they adapt very well and the sound quality is quite good and absequible price. It comes apart from being a bag in his box as seen in the picture for even better save, your charging cable and other pads</v>
      </c>
    </row>
    <row r="3279">
      <c r="A3279" s="1">
        <v>5.0</v>
      </c>
      <c r="B3279" s="1" t="s">
        <v>3263</v>
      </c>
      <c r="C3279" t="str">
        <f>IFERROR(__xludf.DUMMYFUNCTION("GOOGLETRANSLATE(B3279, ""es"", ""en"")"),"Unbeatable value for money. The headphones come packaged nicely in its sealed box. In the protected inside a bag is headphones. In a separate bag the micro USB cable for charging and two-pin type cable with Jack. They hear very well and has a good autonom"&amp;"y. Today I tried connecting it to the PC for Skype conversation and go very well. The pads are large and not put pressure on the ears preventing harm you. A good product at a price even better. I recommend it")</f>
        <v>Unbeatable value for money. The headphones come packaged nicely in its sealed box. In the protected inside a bag is headphones. In a separate bag the micro USB cable for charging and two-pin type cable with Jack. They hear very well and has a good autonomy. Today I tried connecting it to the PC for Skype conversation and go very well. The pads are large and not put pressure on the ears preventing harm you. A good product at a price even better. I recommend it</v>
      </c>
    </row>
    <row r="3280">
      <c r="A3280" s="1">
        <v>5.0</v>
      </c>
      <c r="B3280" s="1" t="s">
        <v>3264</v>
      </c>
      <c r="C3280" t="str">
        <f>IFERROR(__xludf.DUMMYFUNCTION("GOOGLETRANSLATE(B3280, ""es"", ""en"")"),"pretty good and meets indicated, good price")</f>
        <v>pretty good and meets indicated, good price</v>
      </c>
    </row>
    <row r="3281">
      <c r="A3281" s="1">
        <v>5.0</v>
      </c>
      <c r="B3281" s="1" t="s">
        <v>3265</v>
      </c>
      <c r="C3281" t="str">
        <f>IFERROR(__xludf.DUMMYFUNCTION("GOOGLETRANSLATE(B3281, ""es"", ""en"")"),"Pack essential oils virgin I love how easy it is to replace the humidifier. Are 6 different boats, among which you find Mentha, Clavero, Lavender, Hand of Buddha and frankincense. To me that is more like me lavender, hidden odors and also when you put it "&amp;"before bedtime helps you relax a lot.")</f>
        <v>Pack essential oils virgin I love how easy it is to replace the humidifier. Are 6 different boats, among which you find Mentha, Clavero, Lavender, Hand of Buddha and frankincense. To me that is more like me lavender, hidden odors and also when you put it before bedtime helps you relax a lot.</v>
      </c>
    </row>
    <row r="3282">
      <c r="A3282" s="1">
        <v>5.0</v>
      </c>
      <c r="B3282" s="1" t="s">
        <v>3266</v>
      </c>
      <c r="C3282" t="str">
        <f>IFERROR(__xludf.DUMMYFUNCTION("GOOGLETRANSLATE(B3282, ""es"", ""en"")"),"Very good Easy to connect and great to have connected the cables.")</f>
        <v>Very good Easy to connect and great to have connected the cables.</v>
      </c>
    </row>
    <row r="3283">
      <c r="A3283" s="1">
        <v>5.0</v>
      </c>
      <c r="B3283" s="1" t="s">
        <v>3267</v>
      </c>
      <c r="C3283" t="str">
        <f>IFERROR(__xludf.DUMMYFUNCTION("GOOGLETRANSLATE(B3283, ""es"", ""en"")"),"Warm and comfortable good buy")</f>
        <v>Warm and comfortable good buy</v>
      </c>
    </row>
    <row r="3284">
      <c r="A3284" s="1">
        <v>5.0</v>
      </c>
      <c r="B3284" s="1" t="s">
        <v>3268</v>
      </c>
      <c r="C3284" t="str">
        <f>IFERROR(__xludf.DUMMYFUNCTION("GOOGLETRANSLATE(B3284, ""es"", ""en"")"),"Is fine I bought for my son and so far meets the specifications well without staining problems or having to do anything special to remove writing, just with a simple cloth, using it with black bic pen velleda.")</f>
        <v>Is fine I bought for my son and so far meets the specifications well without staining problems or having to do anything special to remove writing, just with a simple cloth, using it with black bic pen velleda.</v>
      </c>
    </row>
    <row r="3285">
      <c r="A3285" s="1">
        <v>5.0</v>
      </c>
      <c r="B3285" s="1" t="s">
        <v>3269</v>
      </c>
      <c r="C3285" t="str">
        <f>IFERROR(__xludf.DUMMYFUNCTION("GOOGLETRANSLATE(B3285, ""es"", ""en"")"),"Price quality very good. Sounds very good. He missed such a good sound. After several use wireless sound quality has nothing to do with this. Awesome. In addition they isolate highly of the sound of the street. I come without good micro volume control so "&amp;"perhaps worth that price. But really they sound great. Low molan much. I hear a lot of electronic music that is appreciated but right now I'm listening to korn and those low is appreciated. Very happy.")</f>
        <v>Price quality very good. Sounds very good. He missed such a good sound. After several use wireless sound quality has nothing to do with this. Awesome. In addition they isolate highly of the sound of the street. I come without good micro volume control so perhaps worth that price. But really they sound great. Low molan much. I hear a lot of electronic music that is appreciated but right now I'm listening to korn and those low is appreciated. Very happy.</v>
      </c>
    </row>
    <row r="3286">
      <c r="A3286" s="1">
        <v>2.0</v>
      </c>
      <c r="B3286" s="1" t="s">
        <v>3270</v>
      </c>
      <c r="C3286" t="str">
        <f>IFERROR(__xludf.DUMMYFUNCTION("GOOGLETRANSLATE(B3286, ""es"", ""en"")"),"Good price. Too low. In principle I like the bass, but these headphones have too much presence, ""eating"" a little midrange and treble. Otherwise, well, have a good price, they are nice, they seem comfortable and are foldable (for those interested).")</f>
        <v>Good price. Too low. In principle I like the bass, but these headphones have too much presence, "eating" a little midrange and treble. Otherwise, well, have a good price, they are nice, they seem comfortable and are foldable (for those interested).</v>
      </c>
    </row>
    <row r="3287">
      <c r="A3287" s="1">
        <v>3.0</v>
      </c>
      <c r="B3287" s="1" t="s">
        <v>3271</v>
      </c>
      <c r="C3287" t="str">
        <f>IFERROR(__xludf.DUMMYFUNCTION("GOOGLETRANSLATE(B3287, ""es"", ""en"")"),"Pretty good physical design of the cabochon is not what I expected but for that price you can not ask for more")</f>
        <v>Pretty good physical design of the cabochon is not what I expected but for that price you can not ask for more</v>
      </c>
    </row>
    <row r="3288">
      <c r="A3288" s="1">
        <v>3.0</v>
      </c>
      <c r="B3288" s="1" t="s">
        <v>3272</v>
      </c>
      <c r="C3288" t="str">
        <f>IFERROR(__xludf.DUMMYFUNCTION("GOOGLETRANSLATE(B3288, ""es"", ""en"")"),"Validis I liked the price and speed in sending")</f>
        <v>Validis I liked the price and speed in sending</v>
      </c>
    </row>
    <row r="3289">
      <c r="A3289" s="1">
        <v>1.0</v>
      </c>
      <c r="B3289" s="1" t="s">
        <v>3273</v>
      </c>
      <c r="C3289" t="str">
        <f>IFERROR(__xludf.DUMMYFUNCTION("GOOGLETRANSLATE(B3289, ""es"", ""en"")"),"Bad experience with the WD brand As indicated in the header of the comment, I had a bad experience with this particular hard drive. I bought this hard drive for its price and backed by a well-known brand. It does not incorporate any program to clone anoth"&amp;"er hard drive in it, and yet always find one program or another for this purpose. On the other hand, to the dump all my data on the hard drive, after 3 days on the hard disk unbootable. It turns on my computer, but the OS is very slow. This operation happ"&amp;"ened with two identical hard drives of this brand. I tried with Seagate in the same capacity and price and all excellent.")</f>
        <v>Bad experience with the WD brand As indicated in the header of the comment, I had a bad experience with this particular hard drive. I bought this hard drive for its price and backed by a well-known brand. It does not incorporate any program to clone another hard drive in it, and yet always find one program or another for this purpose. On the other hand, to the dump all my data on the hard drive, after 3 days on the hard disk unbootable. It turns on my computer, but the OS is very slow. This operation happened with two identical hard drives of this brand. I tried with Seagate in the same capacity and price and all excellent.</v>
      </c>
    </row>
    <row r="3290">
      <c r="A3290" s="1">
        <v>1.0</v>
      </c>
      <c r="B3290" s="1" t="s">
        <v>3274</v>
      </c>
      <c r="C3290" t="str">
        <f>IFERROR(__xludf.DUMMYFUNCTION("GOOGLETRANSLATE(B3290, ""es"", ""en"")"),"Horrible do not recommend it to anyone, it sounds tinny and went without micros or command. Made in China, Quality China.")</f>
        <v>Horrible do not recommend it to anyone, it sounds tinny and went without micros or command. Made in China, Quality China.</v>
      </c>
    </row>
    <row r="3291">
      <c r="A3291" s="1">
        <v>4.0</v>
      </c>
      <c r="B3291" s="1" t="s">
        <v>3275</v>
      </c>
      <c r="C3291" t="str">
        <f>IFERROR(__xludf.DUMMYFUNCTION("GOOGLETRANSLATE(B3291, ""es"", ""en"")"),"This complies described well and does the job. Miss one tab to carry the bag open and not to move within the bag.")</f>
        <v>This complies described well and does the job. Miss one tab to carry the bag open and not to move within the bag.</v>
      </c>
    </row>
    <row r="3292">
      <c r="A3292" s="1">
        <v>4.0</v>
      </c>
      <c r="B3292" s="1" t="s">
        <v>3276</v>
      </c>
      <c r="C3292" t="str">
        <f>IFERROR(__xludf.DUMMYFUNCTION("GOOGLETRANSLATE(B3292, ""es"", ""en"")"),"fast delivery easy to handle")</f>
        <v>fast delivery easy to handle</v>
      </c>
    </row>
    <row r="3293">
      <c r="A3293" s="1">
        <v>4.0</v>
      </c>
      <c r="B3293" s="1" t="s">
        <v>3277</v>
      </c>
      <c r="C3293" t="str">
        <f>IFERROR(__xludf.DUMMYFUNCTION("GOOGLETRANSLATE(B3293, ""es"", ""en"")"),"Good watch speaker fulfills its function, it uses an older person who is poor vision and meets perfectly worst time is it in")</f>
        <v>Good watch speaker fulfills its function, it uses an older person who is poor vision and meets perfectly worst time is it in</v>
      </c>
    </row>
    <row r="3294">
      <c r="A3294" s="1">
        <v>4.0</v>
      </c>
      <c r="B3294" s="1" t="s">
        <v>3278</v>
      </c>
      <c r="C3294" t="str">
        <f>IFERROR(__xludf.DUMMYFUNCTION("GOOGLETRANSLATE(B3294, ""es"", ""en"")"),"ok for the price well it is transparent enough")</f>
        <v>ok for the price well it is transparent enough</v>
      </c>
    </row>
    <row r="3295">
      <c r="A3295" s="1">
        <v>4.0</v>
      </c>
      <c r="B3295" s="1" t="s">
        <v>3279</v>
      </c>
      <c r="C3295" t="str">
        <f>IFERROR(__xludf.DUMMYFUNCTION("GOOGLETRANSLATE(B3295, ""es"", ""en"")"),"Yes but not for what it cost she hoped the golden metal part out yet is plastic, but still gives the trick is not the same. The good thing about this Casio with these colors is that you do not have anyone else and I like is enough.")</f>
        <v>Yes but not for what it cost she hoped the golden metal part out yet is plastic, but still gives the trick is not the same. The good thing about this Casio with these colors is that you do not have anyone else and I like is enough.</v>
      </c>
    </row>
    <row r="3296">
      <c r="A3296" s="1">
        <v>5.0</v>
      </c>
      <c r="B3296" s="1" t="s">
        <v>3280</v>
      </c>
      <c r="C3296" t="str">
        <f>IFERROR(__xludf.DUMMYFUNCTION("GOOGLETRANSLATE(B3296, ""es"", ""en"")"),"Brilliant brilliant. They smell great and I arrived perfect.")</f>
        <v>Brilliant brilliant. They smell great and I arrived perfect.</v>
      </c>
    </row>
    <row r="3297">
      <c r="A3297" s="1">
        <v>5.0</v>
      </c>
      <c r="B3297" s="1" t="s">
        <v>3281</v>
      </c>
      <c r="C3297" t="str">
        <f>IFERROR(__xludf.DUMMYFUNCTION("GOOGLETRANSLATE(B3297, ""es"", ""en"")"),"Sounds good value for money, the battery lasts quite well. Comfortable and I have not yet fallen into the gym. For the price they are great. I am having bought bought these headphones and again, for the price I have been very happy")</f>
        <v>Sounds good value for money, the battery lasts quite well. Comfortable and I have not yet fallen into the gym. For the price they are great. I am having bought bought these headphones and again, for the price I have been very happy</v>
      </c>
    </row>
    <row r="3298">
      <c r="A3298" s="1">
        <v>5.0</v>
      </c>
      <c r="B3298" s="1" t="s">
        <v>3282</v>
      </c>
      <c r="C3298" t="str">
        <f>IFERROR(__xludf.DUMMYFUNCTION("GOOGLETRANSLATE(B3298, ""es"", ""en"")"),"Well Perfect as always. Of the best brands of small appliances")</f>
        <v>Well Perfect as always. Of the best brands of small appliances</v>
      </c>
    </row>
    <row r="3299">
      <c r="A3299" s="1">
        <v>5.0</v>
      </c>
      <c r="B3299" s="1" t="s">
        <v>3283</v>
      </c>
      <c r="C3299" t="str">
        <f>IFERROR(__xludf.DUMMYFUNCTION("GOOGLETRANSLATE(B3299, ""es"", ""en"")"),"As delighted that my parents had! The lifetime, but more modern. Super nice touch")</f>
        <v>As delighted that my parents had! The lifetime, but more modern. Super nice touch</v>
      </c>
    </row>
    <row r="3300">
      <c r="A3300" s="1">
        <v>5.0</v>
      </c>
      <c r="B3300" s="1" t="s">
        <v>3284</v>
      </c>
      <c r="C3300" t="str">
        <f>IFERROR(__xludf.DUMMYFUNCTION("GOOGLETRANSLATE(B3300, ""es"", ""en"")"),"Great for After time to return some of the LIDL were worth 5 times less but had the removable liner which came out every time I pulled foot I decided on this and are very very comfortable and the lining is sewn for without problem. If the liner is not bro"&amp;"ken before two or three years (I do not wear them all day, just for a while) I will have paid what they are worth. If it breaks before they have gone expensive.")</f>
        <v>Great for After time to return some of the LIDL were worth 5 times less but had the removable liner which came out every time I pulled foot I decided on this and are very very comfortable and the lining is sewn for without problem. If the liner is not broken before two or three years (I do not wear them all day, just for a while) I will have paid what they are worth. If it breaks before they have gone expensive.</v>
      </c>
    </row>
    <row r="3301">
      <c r="A3301" s="1">
        <v>5.0</v>
      </c>
      <c r="B3301" s="1" t="s">
        <v>3285</v>
      </c>
      <c r="C3301" t="str">
        <f>IFERROR(__xludf.DUMMYFUNCTION("GOOGLETRANSLATE(B3301, ""es"", ""en"")"),"Work and are very sharp are as good as outras most famous brands.")</f>
        <v>Work and are very sharp are as good as outras most famous brands.</v>
      </c>
    </row>
    <row r="3302">
      <c r="A3302" s="1">
        <v>5.0</v>
      </c>
      <c r="B3302" s="1" t="s">
        <v>3286</v>
      </c>
      <c r="C3302" t="str">
        <f>IFERROR(__xludf.DUMMYFUNCTION("GOOGLETRANSLATE(B3302, ""es"", ""en"")"),"Cristina Jiménez Morcillo excellent rule for patronaje in sewing ... and to increase and decrease the sizes Very happy with purchase thanks Satisfied")</f>
        <v>Cristina Jiménez Morcillo excellent rule for patronaje in sewing ... and to increase and decrease the sizes Very happy with purchase thanks Satisfied</v>
      </c>
    </row>
    <row r="3303">
      <c r="A3303" s="1">
        <v>5.0</v>
      </c>
      <c r="B3303" s="1" t="s">
        <v>3287</v>
      </c>
      <c r="C3303" t="str">
        <f>IFERROR(__xludf.DUMMYFUNCTION("GOOGLETRANSLATE(B3303, ""es"", ""en"")"),"Perfect had doubts about the size but I remain perfect")</f>
        <v>Perfect had doubts about the size but I remain perfect</v>
      </c>
    </row>
    <row r="3304">
      <c r="A3304" s="1">
        <v>5.0</v>
      </c>
      <c r="B3304" s="1" t="s">
        <v>3288</v>
      </c>
      <c r="C3304" t="str">
        <f>IFERROR(__xludf.DUMMYFUNCTION("GOOGLETRANSLATE(B3304, ""es"", ""en"")"),"Optimal Very good price / quality. Comfortable, although a little hot. They are also a bit larger than other safety shoes of the same size.")</f>
        <v>Optimal Very good price / quality. Comfortable, although a little hot. They are also a bit larger than other safety shoes of the same size.</v>
      </c>
    </row>
    <row r="3305">
      <c r="A3305" s="1">
        <v>5.0</v>
      </c>
      <c r="B3305" s="1" t="s">
        <v>3289</v>
      </c>
      <c r="C3305" t="str">
        <f>IFERROR(__xludf.DUMMYFUNCTION("GOOGLETRANSLATE(B3305, ""es"", ""en"")"),"Very useful. Had a couple of dirty gardening tools and have polished this citric acid. It is a good home remedy for these cases, in my family we have used for a long time.")</f>
        <v>Very useful. Had a couple of dirty gardening tools and have polished this citric acid. It is a good home remedy for these cases, in my family we have used for a long time.</v>
      </c>
    </row>
    <row r="3306">
      <c r="A3306" s="1">
        <v>5.0</v>
      </c>
      <c r="B3306" s="1" t="s">
        <v>3290</v>
      </c>
      <c r="C3306" t="str">
        <f>IFERROR(__xludf.DUMMYFUNCTION("GOOGLETRANSLATE(B3306, ""es"", ""en"")"),"Very comfortable very comfortable, and very beautiful Same color in the photo. Ideal to spend hours standing, note that the foot rests much more. I recommend.")</f>
        <v>Very comfortable very comfortable, and very beautiful Same color in the photo. Ideal to spend hours standing, note that the foot rests much more. I recommend.</v>
      </c>
    </row>
    <row r="3307">
      <c r="A3307" s="1">
        <v>5.0</v>
      </c>
      <c r="B3307" s="1" t="s">
        <v>3291</v>
      </c>
      <c r="C3307" t="str">
        <f>IFERROR(__xludf.DUMMYFUNCTION("GOOGLETRANSLATE(B3307, ""es"", ""en"")"),"The perfect complement to my room &lt;div id = ""video-block-RSAHVMHNOC8HD"" class = ""a-section a-spacing-small a-spacing-top mini video-block""&gt; &lt;div tabindex = ""0"" class = "" airy airy-svg vmin-unsupported airy-skin-beacon ""style ="" background-color: "&amp;"rgb (0, 0, 0) position: relative; width: 100%; height: 100%; font-size: 0px; overflow : hidden; outline: none; ""&gt; &lt;div class ="" airy-renderer-container ""style ="" position: relative; height: 100%; width: 100%; ""&gt; &lt;video id ="" 59 ""preload ="" auto """&amp;"src ="" https://images-eu.ssl-images-amazon.com/images/I/91Sj9nL6R-S.mp4 ""style ="" position: absolute; left: 0px; top: 0px; overflow: hidden; height : 1px; width: 1px; ""&gt; &lt;/ video&gt; &lt;/ div&gt; &lt;div id ="" airy-slate-preload ""style ="" background-color: rg"&amp;"b (0, 0, 0); background-image: url ( &amp; quot; https: //images-eu.ssl-images-amazon.com/images/I/71S5TqcSxbS.png&amp;quot;); background-size: Contain; background-position: center center; background-repeat: no-repeat; position : absolute; top: 0px; left: 0px; vi"&amp;"sibility: visible; width: 100%; height: 10 0%; ""&gt; &lt;/ div&gt; &lt;iframe scrolling ="" no ""frameborder ="" 0 ""src ="" about: blank ""style ="" display: none; ""&gt; &lt;/ iframe&gt; &lt;div tabindex ="" - 1 ""class = ""airy-controls-container"" style = ""opacity: 0; visi"&amp;"bility: hidden; ""&gt; &lt;div tabindex ="" - 1 ""class ="" airy-screen-size-toggle airy-fullscreen ""&gt; &lt;/ div&gt; &lt;div tabindex ="" - 1 ""class ="" airy-container-bottom "" &gt; &lt;div tabindex = ""- 1"" class = ""airy-track-bar-spacer-left"" style = ""width: 11px;""&gt;"&amp;" &lt;/ div&gt; &lt;div tabindex = ""- 1"" class = ""airy-play- airy toggle-play ""style ="" width: 12px; margin-right: 12px; ""&gt; &lt;/ div&gt; &lt;div tabindex ="" - 1 ""class ="" airy-audio-elements ""style ="" float: right; width: 34px; ""&gt; &lt;div tabindex ="" - 1 ""class "&amp;"="" airy-audio-toggle airy-on ""&gt; &lt;/ div&gt; &lt;div tabindex ="" - 1 ""class ="" airy-audio-container ""style = ""opacity: 0; visibility: hidden; ""&gt; &lt;div tabindex ="" - 1 ""class ="" airy-audio-track-bar ""style ="" height: 80%; ""&gt; &lt;div tabindex ="" - 1 ""cl"&amp;"ass ="" airy-audio- Scrubber-bar ""style ="" height: 85%; ""&gt; &lt;/ div&gt; &lt;div tabindex ="" - 1 ""class ="" airy-audio-scrubber ""style ="" height: 12px; bottom: 85% ""&gt; &lt;/ div&gt; &lt;/ div&gt; &lt;/ div&gt; &lt;/ div&gt; &lt;div tabindex ="" - 1 ""class ="" airy-duration-label ""s"&amp;"tyle ="" float: right; width: 26px; margin-right: 4px; text-align: center; ""&gt; 0:00 &lt;/ div&gt; &lt;div tabindex ="" - 1 ""class ="" airy-track-bar-spacer-right ""style ="" float: right; width: 11px; ""&gt; &lt;/ div&gt; &lt;div tabindex ="" - 1 ""class ="" airy-track-bar-c"&amp;"ontainer ""style ="" margin-left: 35px; margin-right: 75px; ""&gt; &lt;div tabindex ="" - 1 ""class ="" airy-airy-track-bar vertically-centering-table ""&gt; &lt;div tabindex ="" - 1 ""class ="" airy-Vertical-centering- table-cell ""&gt; &lt;div tabindex ="" - 1 ""class ="&amp;""" airy-track-bar-elements ""&gt; &lt;div tabindex ="" - 1 ""class ="" airy-progress-bar ""&gt; &lt;/ div&gt; &lt;div tabindex = ""- 1"" class = ""airy-scrubber-bar""&gt; &lt;/ div&gt; &lt;div tabindex = ""- 1"" class = ""airy-scrubber""&gt; &lt;div tabindex = ""- 1"" class = ""airy-scrubbe"&amp;"r- icon ""&gt; &lt;/ div&gt; &lt;div tabindex ="" - 1 ""class ="" airy-adjusted-AUI-tooltip ""style ="" opacity: 0; visibility: hidden; ""&gt; &lt;div tabindex ="" - 1 ""class ="" airy-adjusted-aui-tooltip-inner ""&gt; &lt;div tabindex ="" - 1 ""class ="" airy-current-time-label"&amp;" ""&gt; 0: 00 &lt;/ div&gt; &lt;/ div&gt; &lt;div tabindex = ""- 1"" class = ""airy-adjusted-AUI-arrow-border""&gt; &lt;div tabindex = ""- 1"" class = ""airy-adjusted-AUI-arrow"" &gt; &lt;/ div&gt; &lt;/ div&gt; &lt;/ div&gt; &lt;/ div&gt; &lt;/ div&gt; &lt;/ div&gt; &lt;/ div&gt; &lt;/ div&gt; &lt;/ div&gt; &lt;/ div&gt; &lt;div tabindex = """&amp;"- 1"" class = ""airy-age-gate airy-stage airy-Vertical-centering-table airy-dialog"" style = ""opacity: 0; visibility: hidden; ""&gt; &lt;div tabindex ="" - 1 ""class ="" airy-age-gate-Vertical-centering-table-cell airy-Vertical-centering-table-cell ""&gt; &lt;div ta"&amp;"bindex ="" - 1 ""class = ""airy-Vertical-centering-wrapper airy-age-gate-elements-wrapper""&gt; &lt;div tabindex = ""- 1"" class = ""airy-age-gate-elements airy-dialog-elements""&gt; &lt;div tabindex = "" -1 ""class ="" airy-age-gate-prompt ""&gt; This video is not Inte"&amp;"nded for all audiences What date were you born &lt;/ div&gt; &lt;div tabindex =.?"" - 1 ""class ="" airy-age-gate -inputs airy-dialog-inner-elements ""&gt; &lt;select tabindex ="" - 1 ""class ="" airy-age-gate-month ""&gt; &lt;option value ="" 1 ""&gt; January &lt;/ option&gt; &lt;option"&amp;" value ="" 2 ""&gt; February &lt;/ option&gt; &lt;option value ="" 3 ""&gt; March &lt;/ option&gt; &lt;option value ="" 4 ""&gt; April &lt;/ option&gt; &lt;option value ="" 5 ""&gt; May &lt;/ option&gt; &lt;option value = ""6""&gt; June &lt;/ option&gt; &lt;option value = ""7""&gt; July &lt;/ option&gt; &lt;option value = ""8"&amp;"""&gt; August &lt;/ option&gt; &lt;option value = ""9""&gt; September &lt;/ option&gt; &lt;option value = ""10""&gt; October &lt;/ option&gt; &lt;option value = ""11""&gt; November &lt;/ option&gt; &lt;option value = ""12""&gt; December &lt;/ option&gt; &lt;/ select&gt; &lt;select tabindex = ""- 1"" class = ""airy-age-g"&amp;"ate-day""&gt; &lt;opti on value = ""1""&gt; 1 &lt;/ option&gt; &lt;option value = ""2""&gt; 2 &lt;/ option&gt; &lt;option value = ""3""&gt; 3 &lt;/ option&gt; &lt;option value = ""4""&gt; 4 &lt;/ option &gt; &lt;option value = ""5""&gt; 5 &lt;/ option&gt; &lt;option value = ""6""&gt; 6 &lt;/ option&gt; &lt;option value = ""7""&gt; 7 &lt;"&amp;"/ option&gt; &lt;option value = ""8""&gt; 8 &lt; / option&gt; &lt;option value = ""9""&gt; 9 &lt;/ option&gt; &lt;option value = ""10""&gt; 10 &lt;/ option&gt; &lt;option value = ""11""&gt; 11 &lt;/ option&gt; &lt;option value = ""12""&gt; 12 &lt;/ option&gt; &lt;option value = ""13""&gt; 13 &lt;/ option&gt; &lt;option value = ""14"&amp;"""&gt; 14 &lt;/ option&gt; &lt;option value = ""15""&gt; 15 &lt;/ option&gt; &lt;option value = ""16 ""&gt; 16 &lt;/ option&gt; &lt;option value ="" 17 ""&gt; 17 &lt;/ option&gt; &lt;option value ="" 18 ""&gt; 18 &lt;/ option&gt; &lt;option value ="" 19 ""&gt; 19 &lt;/ option&gt; &lt;option value = ""20""&gt; 20 &lt;/ option&gt; &lt;opti"&amp;"on value = ""21""&gt; 21 &lt;/ option&gt; &lt;option value = ""22""&gt; 22 &lt;/ option&gt; &lt;option value = ""23""&gt; 23 &lt;/ option&gt; &lt;option value = ""24""&gt; 24 &lt;/ option&gt; &lt;option value = ""25""&gt; 25 &lt;/ option&gt; &lt;option value = ""26""&gt; 26 &lt;/ option&gt; &lt;option value = ""27""&gt; 27 &lt;/ op"&amp;"tion&gt; &lt;option value = ""28""&gt; 28 &lt;/ option&gt; &lt;option value = ""29""&gt; 29 &lt;/ option&gt; &lt;option value = ""30""&gt; 30 &lt;/ option&gt; &lt;option value = ""31""&gt; 31 &lt;/ option&gt; &lt;/ select&gt; &lt;select tabindex = ""- 1"" class = ""airy-age-gate-year""&gt; &lt;option value = ""2019""&gt; 2"&amp;"019 &lt;/ option&gt; &lt; option value = ""2018""&gt; 2018 &lt;/ option&gt; &lt;option value = ""2017""&gt; 2017 &lt;/ option&gt; &lt;option value = ""2016""&gt; ​​2016 &lt;/ option&gt; &lt;option value = ""2015""&gt; 2015 &lt;/ option &gt; &lt;option value = ""2014""&gt; 2014 &lt;/ option&gt; &lt;option value = ""2013""&gt; "&amp;"2013 &lt;/ option&gt; &lt;option value = ""2012""&gt; 2012 &lt;/ option&gt; &lt;option value = ""2011""&gt; 2011 &lt; / option&gt; &lt;option value = ""2010""&gt; 2010 &lt;/ option&gt; &lt;option value = ""2009""&gt; 2009 &lt;/ option&gt; &lt;option value = ""2008""&gt; 2008 &lt;/ option&gt; &lt;option value = ""2007""&gt; 20"&amp;"07 &lt;/ option&gt; &lt;option value = ""2006""&gt; 2006 &lt;/ option&gt; &lt;option value = ""2005""&gt; 2005 &lt;/ option&gt; &lt;option value = ""2004""&gt; 2004 &lt;/ option&gt; &lt;option value = ""2003 ""&gt; 2003 &lt;/ option&gt; &lt;option value ="" 2002 ""&gt; 2002 &lt;/ option&gt; &lt;option value ="" 2001 ""&gt; 20"&amp;"01 &lt;/ option&gt; &lt;option value ="" 2000 ""&gt; 2000 &lt;/ option&gt; &lt;option value = ""1999""&gt; 1999 &lt;/ option&gt; &lt;option value = ""1998""&gt; 1998 &lt;/ option&gt; &lt;option value = ""1997""&gt; 1997 &lt;/ option&gt; &lt;option value = ""1996""&gt; 1996 &lt;/ option&gt; &lt;option value = ""1995""&gt; 1995"&amp;" &lt;/ option&gt; &lt;option value = ""1994""&gt; 1994 &lt;/ option&gt; &lt;option value = ""1993""&gt; 1993 &lt;/ option&gt; &lt;option value = ""1992""&gt; 1992 &lt;/ option&gt; &lt;option value = ""1991""&gt; 1991 &lt;/ option&gt; &lt;option value = ""1990""&gt; 1990 &lt;/ option&gt; &lt;option value = "" 1989 ""&gt; 1989 "&amp;"&lt;/ option&gt; &lt;option value ="" 1988 ""&gt; 1988 &lt;/ option&gt; &lt;option value ="" 1987 ""&gt; 1987 &lt;/ option&gt; &lt;option value ="" 1986 ""&gt; 1986 &lt;/ option&gt; &lt;value option = ""1985""&gt; 1985 &lt;/ option&gt; &lt;option value = ""1984""&gt; 1984 &lt;/ option&gt; &lt;option value = ""1983""&gt; 1983 "&amp;"&lt;/ option&gt; &lt;option value = ""1982""&gt; 1982 &lt;/ option&gt; &lt; option value = ""1981""&gt; 1981 &lt;/ option&gt; &lt;option value = ""1980""&gt; 1980 &lt;/ option&gt; &lt;option value = ""1979""&gt; 1979 &lt;/ option&gt; &lt;option value = ""1978""&gt; 1978 &lt;/ option &gt; &lt;option value = ""1977""&gt; 1977 &lt;"&amp;"/ option&gt; &lt;option value = ""1976""&gt; 1976 &lt;/ option&gt; &lt;option value = ""1975""&gt; 1975 &lt;/ option&gt; &lt;option value = ""1974""&gt; 1974 &lt; / option&gt; &lt;option value = ""1973""&gt; 1973 &lt;/ option&gt; &lt;option value = ""1972""&gt; 1972 &lt;/ option&gt; &lt;option value = ""1971""&gt; 1971 &lt;/ "&amp;"option&gt; &lt;option value = ""1970""&gt; 1970 &lt;/ option&gt; &lt;option value = ""1969""&gt; 1969 &lt;/ option&gt; &lt;option value = ""1968""&gt; 1968 &lt;/ option&gt; &lt;option value = ""1967""&gt; 1967 &lt;/ option&gt; &lt;option value = ""1966 ""&gt; 1966 &lt;/ option&gt; &lt;option value ="" 1965 ""&gt; 1965 &lt;/ o"&amp;"ption&gt; &lt;option value ="" 1964 ""&gt; 1964 &lt;/ option&gt; &lt;option value ="" 1963 ""&gt; 1963 &lt;/ option&gt; &lt;option value = ""1962""&gt; 1962 &lt;/ option&gt; &lt;option value = ""1961""&gt; 1961 &lt;/ option&gt; &lt;option value = ""1960""&gt; 1960 &lt;/ op tion&gt; &lt;option value = ""1959""&gt; 1959 &lt;/ o"&amp;"ption&gt; &lt;option value = ""1958""&gt; 1958 &lt;/ option&gt; &lt;option value = ""1957""&gt; 1957 &lt;/ option&gt; &lt;option value = ""1956""&gt; 1956 &lt;/ option&gt; &lt;option value = ""1955""&gt; 1955 &lt;/ option&gt; &lt;option value = ""1954""&gt; 1954 &lt;/ option&gt; &lt;option value = ""1953""&gt; 1953 &lt;/ opti"&amp;"on&gt; &lt;option value = ""1952"" &gt; 1952 &lt;/ option&gt; &lt;option value = ""1951""&gt; 1951 &lt;/ option&gt; &lt;option value = ""1950""&gt; 1950 &lt;/ option&gt; &lt;option value = ""1949""&gt; 1949 &lt;/ option&gt; &lt;option value = "" 1948 ""&gt; 1948 &lt;/ option&gt; &lt;option value ="" 1947 ""&gt; 1947 &lt;/ opt"&amp;"ion&gt; &lt;option value ="" 1946 ""&gt; 1946 &lt;/ option&gt; &lt;option value ="" 1945 ""&gt; 1945 &lt;/ option&gt; &lt;value option = ""1944""&gt; 1944 &lt;/ option&gt; &lt;option value = ""1943""&gt; 1943 &lt;/ option&gt; &lt;option value = ""1942""&gt; 1942 &lt;/ option&gt; &lt;option value = ""1941""&gt; 1941 &lt;/ opti"&amp;"on&gt; &lt; option value = ""1940""&gt; 1940 &lt;/ option&gt; &lt;option value = ""1939""&gt; 1939 &lt;/ option&gt; &lt;option value = ""1938""&gt; 1938 &lt;/ option&gt; &lt;option value = ""1937""&gt; 1937 &lt;/ option &gt; &lt;option value = ""1936""&gt; 1936 &lt;/ option&gt; &lt;option value = ""1935""&gt; 1935 &lt;/ optio"&amp;"n&gt; &lt;option value = ""1934""&gt; 1934 &lt;/ option&gt; &lt;option value = ""1933""&gt; 1933 &lt; / option&gt; &lt;option value = ""1932""&gt; 1932 &lt;/ option&gt; &lt;option value = ""1931""&gt; 1931 &lt;/ option&gt; &lt;option v alue = ""1930""&gt; 1930 &lt;/ option&gt; &lt;option value = ""1929""&gt; 1929 &lt;/ option"&amp;"&gt; &lt;option value = ""1928""&gt; 1928 &lt;/ option&gt; &lt;option value = ""1927""&gt; 1927 &lt;/ option&gt; &lt;option value = ""1926""&gt; 1926 &lt;/ option&gt; &lt;option value = ""1925""&gt; 1925 &lt;/ option&gt; &lt;option value = ""1924""&gt; 1924 &lt;/ option&gt; &lt;option value = ""1923""&gt; 1923 &lt;/ option&gt; &lt;"&amp;"option value = ""1922""&gt; 1922 &lt;/ option&gt; &lt;option value = ""1921""&gt; 1921 &lt;/ option&gt; &lt;option value = ""1920""&gt; 1920 &lt;/ option&gt; &lt;option value = ""1919""&gt; 1919 &lt;/ option&gt; &lt;option value = ""1918""&gt; 1918 &lt;/ option&gt; &lt;option value = ""1917""&gt; 1917 &lt;/ option&gt; &lt;opt"&amp;"ion value = ""1916""&gt; 1916 &lt;/ option&gt; &lt;option value = ""1915"" &gt; 1915 &lt;/ option&gt; &lt;option value = ""1914""&gt; 1914 &lt;/ option&gt; &lt;option value = ""1913""&gt; 1913 &lt;/ option&gt; &lt;option value = ""1912""&gt; 1912 &lt;/ option&gt; &lt;option value = "" 1911 ""&gt; 1911 &lt;/ option&gt; &lt;opt"&amp;"ion value ="" 1910 ""&gt; 1910 &lt;/ option&gt; &lt;option value ="" 1909 ""&gt; 1909 &lt;/ option&gt; &lt;option value ="" 1908 ""&gt; 1908 &lt;/ option&gt; &lt;value option = ""1907""&gt; 1907 &lt;/ option&gt; &lt;option value = ""1906""&gt; 1906 &lt;/ option&gt; &lt;option value = ""1905""&gt; 1905 &lt;/ option&gt; &lt;opt"&amp;"ion value = ""1904""&gt; 1904 &lt;/ option&gt; &lt; option value = ""1903""&gt; 1903 &lt;/ option&gt; &lt;option value = ""1902""&gt; 1902 &lt;/ option&gt; &lt;option value = ""1901""&gt; 19 01 &lt;/ option&gt; &lt;option value = ""1900""&gt; 1900 &lt;/ option&gt; &lt;/ select&gt; &lt;div tabindex = ""- 1"" class = ""ai"&amp;"ry-age-gate-submit airy-submit-button airy airy-submit- disabled ""&gt; Submit &lt;/ div&gt; &lt;/ div&gt; &lt;/ div&gt; &lt;/ div&gt; &lt;/ div&gt; &lt;/ div&gt; &lt;div tabindex ="" - 1 ""class ="" airy-install-flash-dialog airy-stage airy -vertical-centering-table-dialog airy airy-denied ""sty"&amp;"le ="" opacity: 0; visibility: hidden; ""&gt; &lt;div tabindex ="" - 1 ""class ="" airy-install-flash-Vertical-centering-table-cell airy-Vertical-centering-table-cell ""&gt; &lt;div tabindex ="" - 1 ""class = ""airy-Vertical-centering-wrapper airy-install-flash-eleme"&amp;"nts-wrapper""&gt; &lt;div tabindex = ""- 1"" class = ""airy-install-flash-elements airy-dialog-elements""&gt; &lt;div tabindex = "" -1 ""class ="" airy-install-flash-prompt ""&gt; Adobe Flash Player is required to watch this video &lt;/ div&gt; &lt;div tabindex =."" - 1 ""class "&amp;"="" airy-install-flash-button-wrapper airy -dialog-inner-elements ""&gt; &lt;div tabindex ="" - 1 ""class ="" airy-install-flash-button airy-button ""&gt; install Flash Player &lt;/ div&gt; &lt;/ div&gt; &lt;/ div&gt; &lt;/ div&gt; &lt;/ div&gt; &lt;/ div&gt; &lt;div tabindex = ""- 1"" class = ""airy-v"&amp;"ideo-unsupported-dialog airy-stage airy-Vertical-centering-table airy-dialog airy-denied"" style = ""opacity: 0; visibility: hidden; ""&gt; &lt;div tabindex ="" - 1 ""class ="" airy-video-unsupported-Vertical-centering-table-cell airy-Vertical-centering-table-c"&amp;"ell ""&gt; &lt;div tabindex ="" - 1 ""class = ""airy-Vertical-centering-wrapper airy-video-unsupported-elements-wrapper""&gt; &lt;div tabindex = ""- 1"" class = ""airy-video-unsupported-elements airy-dialog-elements""&gt; &lt;div tabindex = "" -1 ""class ="" airy-video-uns"&amp;"upported-prompt ""&gt; &lt;/ div&gt; &lt;/ div&gt; &lt;/ div&gt; &lt;/ div&gt; &lt;/ div&gt; &lt;div tabindex ="" - 1 ""class ="" airy-loading- spinner-stage airy-stage ""&gt; &lt;div tabindex ="" - 1 ""class ="" airy-loading-spinner-Vertical-centering-table-cell airy-Vertical-centering-table-cel"&amp;"l ""&gt; &lt;div tabindex ="" - 1 ""class ="" airy-loading-spinner-container airy-scalable-hint-container ""&gt; &lt;div tabindex ="" - 1 ""class ="" airy-loading-spinner-dummy airy-scalable-dummy ""&gt; &lt;/ div&gt; &lt; div tabindex = ""- 1"" class = ""airy-loading-spinner ai"&amp;"ry-hint"" style = ""visibility: hidden;""&gt; &lt;/ div&gt; &lt;/ div&gt; &lt;/ div&gt; &lt;/ div&gt; &lt;div tabindex = ""- 1 ""class ="" airy-ads-screen-size-toggle airy-screen-size-toggle-fullscreen airy ""style ="" visibility: hidden; ""&gt; &lt;/ div&gt; &lt;div tabindex = ""-1"" class = ""a"&amp;"iry-ad-prompt-container"" style = ""visibility: hidden;""&gt; &lt;div tabindex = ""- 1"" class = ""airy-ad-prompt-Vertical-centering-table-vertically airy centering-table ""&gt; &lt;div tabindex ="" - 1 ""class ="" airy-ad-prompt-Vertical-centering-table-cell airy-Ve"&amp;"rtical-centering-table-cell ""&gt; &lt;div tabindex ="" - 1 ""class = ""airy-ad-prompt-label""&gt; &lt;/ div&gt; &lt;/ div&gt; &lt;/ div&gt; &lt;/ div&gt; &lt;div tabindex = ""- 1"" class = ""airy-ads-controls-container"" style = ""visibility: hidden; ""&gt; &lt;div tabindex ="" - 1 ""class ="" a"&amp;"iry-ads-audio-toggle airy-audio-toggle airy-on ""style ="" visibility: hidden; ""&gt; &lt;/ div&gt; &lt;div tabindex ="" - 1 ""class ="" airy-time-remaining-label-container ""&gt; &lt;div tabindex ="" - 1 ""class ="" airy-time-remaining-Vertical-centering-table airy-Vertic"&amp;"al-centering-table ""&gt; &lt;div tabindex = ""- 1"" class = ""airy-time-remaining-Vertical-centering-table-cell airy-Vertical-centering-table-cell""&gt; &lt;div tabindex = ""- 1"" class = ""airy-Vertical-centering-wrapper airy-time-remaining-label-wrapper ""&gt; &lt;div t"&amp;"abindex ="" - 1 ""class ="" airy-time-remaining-label ""style ="" visibility: hidden; ""&gt; &lt;/ div&gt; &lt;div tabi ndex = ""- 1"" class = ""airy-ad-skip"" style = ""visibility: hidden;""&gt; &lt;/ div&gt; &lt;div tabindex = ""- 1"" class = ""airy-ad-end"" style = ""visibili"&amp;"ty: hidden ""&gt; &lt;/ div&gt; &lt;/ div&gt; &lt;/ div&gt; &lt;/ div&gt; &lt;/ div&gt; &lt;div tabindex ="" - 1 ""class ="" airy-learn-more ""style ="" visibility: hidden; ""&gt; &lt;/ div&gt; &lt;/ div&gt; &lt;div tabindex = ""- 1"" class = ""airy-play-toggle-hint-stage airy-stage airy-cursor""&gt; &lt;div tabin"&amp;"dex = ""- 1"" class = ""airy-play -toggle-hint-Vertical-centering-table-cell airy-Vertical-centering-table-cell airy-cursor ""&gt; &lt;div tabindex ="" - 1 ""class ="" airy-play-toggle-hint-container airy-scalable- Hint-container ""&gt; &lt;div tabindex ="" - 1 ""cla"&amp;"ss ="" airy-play-toggle-hint-dummy airy-scalable-dummy ""&gt; &lt;/ div&gt; &lt;div tabindex ="" - 1 ""class ="" airy-play -toggle-hint hint airy-airy-play-hint ""style ="" opacity: 1; visibility: visible; ""&gt; &lt;/ div&gt; &lt;/ div&gt; &lt;/ div&gt; &lt;/ div&gt; &lt;div tabindex ="" - 1 ""c"&amp;"lass ="" airy-replay-hint-stage airy-stage ""style ="" visibility: hidden ; ""&gt; &lt;div tabindex ="" - 1 ""class ="" airy-replay-hint-Vertical-centering-table-cell airy-Vertical-centering-table-cell airy-cursor ""&gt; &lt;div tabindex ="" - 1 ""class = ""airy-repl"&amp;"ay-hint-container airy-scalable-hint-container""&gt; &lt;div tabindex = ""- 1"" class = ""airy-replay-hint-dummy airy-scalable-dummy""&gt; &lt;/ div&gt; &lt;div tabindex = ""- 1"" class = ""airy-replay-hint airy-hint""&gt; &lt;/ div&gt; &lt;/ div&gt; &lt;/ div&gt; &lt;/ div&gt; &lt;div tabindex = ""- 1"&amp;""" class = ""airy-autoplay-hint -stage airy-stage ""style ="" visibility: hidden; ""&gt; &lt;div tabindex ="" - 1 ""class ="" airy-autoplay-hint-Vertical-centering-table-cell airy-Vertical-centering-table-cell airy- cursor ""&gt; &lt;div tabindex ="" - 1 ""class ="" "&amp;"autoplay airy-airy-hint-container-scalable-hint-container ""&gt; &lt;div tabindex ="" - 1 ""class ="" airy-autoplay-hint-dummy airy- scalable-dummy ""&gt; &lt;/ div&gt; &lt;/ div&gt; &lt;/ div&gt; &lt;/ div&gt; &lt;/ div&gt; &lt;/ div&gt; &lt;input type ="" hidden ""name ="" ""value ="" https: // image"&amp;"s-eu .ssl-images-amazon.com / images / I / 91Sj9nL6R-S.mp4 ""Class ="" video-url ""&gt; &lt;input type ="" hidden ""name ="" ""value ="" https://images-eu.ssl-images-amazon.com/images/I/71S5TqcSxbS.png ""class ="" video-slate-img-url ""&gt; &amp; nbsp; the truth is th"&amp;"at surprised me for good, good product super quiet and easy to use, the remote control is a punch and you can operate it from the same couch giving a nice scent to stay with one click. The touch of color change (you can also leave fixed one) is something "&amp;"I like for my room gamer led by highly recommended the truth")</f>
        <v>The perfect complement to my room &lt;div id = "video-block-RSAHVMHNOC8HD" class = "a-section a-spacing-small a-spacing-top mini video-block"&gt; &lt;div tabindex = "0" class = " airy airy-svg vmin-unsupported airy-skin-beacon "style =" background-color: rgb (0, 0, 0) position: relative; width: 100%; height: 100%; font-size: 0px; overflow : hidden; outline: none; "&gt; &lt;div class =" airy-renderer-container "style =" position: relative; height: 100%; width: 100%; "&gt; &lt;video id =" 59 "preload =" auto "src =" https://images-eu.ssl-images-amazon.com/images/I/91Sj9nL6R-S.mp4 "style =" position: absolute; left: 0px; top: 0px; overflow: hidden; height : 1px; width: 1px; "&gt; &lt;/ video&gt; &lt;/ div&gt; &lt;div id =" airy-slate-preload "style =" background-color: rgb (0, 0, 0); background-image: url ( &amp; quot; https: //images-eu.ssl-images-amazon.com/images/I/71S5TqcSxbS.png&amp;quot;); background-size: Contain; background-position: center center; background-repeat: no-repeat; position : absolute; top: 0px; left: 0px; visibility: visible; width: 100%; height: 10 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91Sj9nL6R-S.mp4 "Class =" video-url "&gt; &lt;input type =" hidden "name =" "value =" https://images-eu.ssl-images-amazon.com/images/I/71S5TqcSxbS.png "class =" video-slate-img-url "&gt; &amp; nbsp; the truth is that surprised me for good, good product super quiet and easy to use, the remote control is a punch and you can operate it from the same couch giving a nice scent to stay with one click. The touch of color change (you can also leave fixed one) is something I like for my room gamer led by highly recommended the truth</v>
      </c>
    </row>
    <row r="3308">
      <c r="A3308" s="1">
        <v>5.0</v>
      </c>
      <c r="B3308" s="1" t="s">
        <v>3292</v>
      </c>
      <c r="C3308" t="str">
        <f>IFERROR(__xludf.DUMMYFUNCTION("GOOGLETRANSLATE(B3308, ""es"", ""en"")"),"I have come in good condition. They are very nice, but for my taste, small ..")</f>
        <v>I have come in good condition. They are very nice, but for my taste, small ..</v>
      </c>
    </row>
    <row r="3309">
      <c r="A3309" s="1">
        <v>5.0</v>
      </c>
      <c r="B3309" s="1" t="s">
        <v>3293</v>
      </c>
      <c r="C3309" t="str">
        <f>IFERROR(__xludf.DUMMYFUNCTION("GOOGLETRANSLATE(B3309, ""es"", ""en"")"),"Comfort nice, comfortable and light")</f>
        <v>Comfort nice, comfortable and light</v>
      </c>
    </row>
    <row r="3310">
      <c r="A3310" s="1">
        <v>5.0</v>
      </c>
      <c r="B3310" s="1" t="s">
        <v>3294</v>
      </c>
      <c r="C3310" t="str">
        <f>IFERROR(__xludf.DUMMYFUNCTION("GOOGLETRANSLATE(B3310, ""es"", ""en"")"),"I chock the perfect fit one 43, that asked for and left me as a robust guante.Zapato también.Me came almost a week earlier than they had been told.")</f>
        <v>I chock the perfect fit one 43, that asked for and left me as a robust guante.Zapato también.Me came almost a week earlier than they had been told.</v>
      </c>
    </row>
    <row r="3311">
      <c r="A3311" s="1">
        <v>5.0</v>
      </c>
      <c r="B3311" s="1" t="s">
        <v>3295</v>
      </c>
      <c r="C3311" t="str">
        <f>IFERROR(__xludf.DUMMYFUNCTION("GOOGLETRANSLATE(B3311, ""es"", ""en"")"),"Perfect!! Is beautiful. I love. As it looks in the photos!!!! I love!!! Very happy with the purchase. Thank you!!!!")</f>
        <v>Perfect!! Is beautiful. I love. As it looks in the photos!!!! I love!!! Very happy with the purchase. Thank you!!!!</v>
      </c>
    </row>
    <row r="3312">
      <c r="A3312" s="1">
        <v>5.0</v>
      </c>
      <c r="B3312" s="1" t="s">
        <v>3296</v>
      </c>
      <c r="C3312" t="str">
        <f>IFERROR(__xludf.DUMMYFUNCTION("GOOGLETRANSLATE(B3312, ""es"", ""en"")"),"Good sound Tested on Ibanez srx350 gives an acceptable quality of bass,")</f>
        <v>Good sound Tested on Ibanez srx350 gives an acceptable quality of bass,</v>
      </c>
    </row>
    <row r="3313">
      <c r="A3313" s="1">
        <v>5.0</v>
      </c>
      <c r="B3313" s="1" t="s">
        <v>3297</v>
      </c>
      <c r="C3313" t="str">
        <f>IFERROR(__xludf.DUMMYFUNCTION("GOOGLETRANSLATE(B3313, ""es"", ""en"")"),"Convenient and comfortable bonitod")</f>
        <v>Convenient and comfortable bonitod</v>
      </c>
    </row>
    <row r="3314">
      <c r="A3314" s="1">
        <v>2.0</v>
      </c>
      <c r="B3314" s="1" t="s">
        <v>3298</v>
      </c>
      <c r="C3314" t="str">
        <f>IFERROR(__xludf.DUMMYFUNCTION("GOOGLETRANSLATE(B3314, ""es"", ""en"")"),"Pretty elegant but smaller than esperado.para gift")</f>
        <v>Pretty elegant but smaller than esperado.para gift</v>
      </c>
    </row>
    <row r="3315">
      <c r="A3315" s="1">
        <v>3.0</v>
      </c>
      <c r="B3315" s="1" t="s">
        <v>3299</v>
      </c>
      <c r="C3315" t="str">
        <f>IFERROR(__xludf.DUMMYFUNCTION("GOOGLETRANSLATE(B3315, ""es"", ""en"")"),"Incomplete I could not use because I did not enter the cell. I could not fully appreciate the description of the product")</f>
        <v>Incomplete I could not use because I did not enter the cell. I could not fully appreciate the description of the product</v>
      </c>
    </row>
    <row r="3316">
      <c r="A3316" s="1">
        <v>3.0</v>
      </c>
      <c r="B3316" s="1" t="s">
        <v>3300</v>
      </c>
      <c r="C3316" t="str">
        <f>IFERROR(__xludf.DUMMYFUNCTION("GOOGLETRANSLATE(B3316, ""es"", ""en"")"),"not clean not only clean the leather polishes")</f>
        <v>not clean not only clean the leather polishes</v>
      </c>
    </row>
    <row r="3317">
      <c r="A3317" s="1">
        <v>1.0</v>
      </c>
      <c r="B3317" s="1" t="s">
        <v>3301</v>
      </c>
      <c r="C3317" t="str">
        <f>IFERROR(__xludf.DUMMYFUNCTION("GOOGLETRANSLATE(B3317, ""es"", ""en"")"),"If it not was this not buy if you buy shoulder was")</f>
        <v>If it not was this not buy if you buy shoulder was</v>
      </c>
    </row>
    <row r="3318">
      <c r="A3318" s="1">
        <v>1.0</v>
      </c>
      <c r="B3318" s="1" t="s">
        <v>3302</v>
      </c>
      <c r="C3318" t="str">
        <f>IFERROR(__xludf.DUMMYFUNCTION("GOOGLETRANSLATE(B3318, ""es"", ""en"")"),"I would not just convinced Although it increased the speed of my laptop I did not just convince, sometimes does strange things and hangs about 40 seconds until it restarts.")</f>
        <v>I would not just convinced Although it increased the speed of my laptop I did not just convince, sometimes does strange things and hangs about 40 seconds until it restarts.</v>
      </c>
    </row>
    <row r="3319">
      <c r="A3319" s="1">
        <v>4.0</v>
      </c>
      <c r="B3319" s="1" t="s">
        <v>3303</v>
      </c>
      <c r="C3319" t="str">
        <f>IFERROR(__xludf.DUMMYFUNCTION("GOOGLETRANSLATE(B3319, ""es"", ""en"")"),"Heat perfect soft comfortable winter evenings")</f>
        <v>Heat perfect soft comfortable winter evenings</v>
      </c>
    </row>
    <row r="3320">
      <c r="A3320" s="1">
        <v>4.0</v>
      </c>
      <c r="B3320" s="1" t="s">
        <v>3304</v>
      </c>
      <c r="C3320" t="str">
        <f>IFERROR(__xludf.DUMMYFUNCTION("GOOGLETRANSLATE(B3320, ""es"", ""en"")"),"Very practical. very handy for when you go Sport bag has a small size but with much capacity, has 4 outside pockets and one inside allows ordenado.Estoy carry all very pleased with my purchase.")</f>
        <v>Very practical. very handy for when you go Sport bag has a small size but with much capacity, has 4 outside pockets and one inside allows ordenado.Estoy carry all very pleased with my purchase.</v>
      </c>
    </row>
    <row r="3321">
      <c r="A3321" s="1">
        <v>4.0</v>
      </c>
      <c r="B3321" s="1" t="s">
        <v>3305</v>
      </c>
      <c r="C3321" t="str">
        <f>IFERROR(__xludf.DUMMYFUNCTION("GOOGLETRANSLATE(B3321, ""es"", ""en"")"),"Javier GC Right, right and right. Ok ok ok ok ok ok ok ok ok ok ok ok ok ok ok .... ok perfect")</f>
        <v>Javier GC Right, right and right. Ok ok ok ok ok ok ok ok ok ok ok ok ok ok ok .... ok perfect</v>
      </c>
    </row>
    <row r="3322">
      <c r="A3322" s="1">
        <v>4.0</v>
      </c>
      <c r="B3322" s="1" t="s">
        <v>3306</v>
      </c>
      <c r="C3322" t="str">
        <f>IFERROR(__xludf.DUMMYFUNCTION("GOOGLETRANSLATE(B3322, ""es"", ""en"")"),"Good humidor &lt;div id = ""video-block-R32FUZ1S4QRJEE"" class = ""a-section a-spacing-small a-spacing-top mini video-block""&gt; &lt;div tabindex = ""0"" class = ""airy airy-svg vmin-supported airy-skin-beacon ""style ="" background-color: rgb (0, 0, 0) position:"&amp;" relative; width: 100%; height: 100%; font-size: 0px; overflow: hidden; outline : none; ""&gt; &lt;div class ="" airy-renderer-container ""style ="" position: relative; height: 100%; width: 100%; ""&gt; &lt;video id ="" 23 ""preload ="" auto ""src ="" https://images-"&amp;"eu.ssl-images-amazon.com/images/I/B1FM8pPI+QS.mp4 ""style ="" position: absolute; left: 0px; top: 0px; overflow: hidden; height: 1px; width : 1px; ""&gt; &lt;/ video&gt; &lt;/ div&gt; &lt;div id ="" airy-slate-preload ""style ="" background-color: rgb (0, 0, 0); background"&amp;"-image: url (&amp; quot; https: //images-eu.ssl-images-amazon.com/images/I/81hRDIT+MpS.png&amp;quot;); background-size: Contain; background-position: center center; background-repeat: no-repeat; position: absolute ; top: 0px; left: 0px; visibility: visible; width"&amp;": 100%; height: 100%; ""&gt; &lt;/ div&gt; &lt;iframe scrolling = ""No"" frameborder = ""0"" src = ""about: blank"" style = ""display: none;""&gt; &lt;/ iframe&gt; &lt;div tabindex = ""- 1"" class = ""airy-controls-container"" style = ""opacity : 0; visibility: hidden; ""&gt; &lt;div "&amp;"tabindex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air"&amp;"y-on ""&gt; &lt;/ div&gt; &lt;div tabindex ="" - 1 ""class ="" airy-audio-container ""style = ""opacity: 0; visibility: hidden; ""&gt; &lt;div tabindex ="" - 1 ""class ="" airy-audio-track-bar ""style ="" height: 80%; ""&gt; &lt;div tabindex ="" - 1 ""class ="" airy-audio- Scrub"&amp;"ber-bar ""style ="" height: 85%; ""&gt; &lt;/ div&gt; &lt;div tabindex ="" - 1 ""class ="" airy-audio-scrubber ""style ="" height: 12px; bottom: 85% ""&gt; &lt;/ div&gt; &lt;/ div&gt; &lt;/ div&gt; &lt;/ div&gt; &lt;div tabindex ="" - 1 ""class ="" airy-duration-label ""style ="" float: right; wi"&amp;"dth: 26px; margin-right: 4px; text-align: center; ""&gt; 0:00 &lt;/ div&gt; &lt;div tabindex ="" - 1 ""class ="" airy-track-bar-spacer-right ""style ="" float: right; width: 11px; ""&gt; &lt;/ div&gt; &lt;div tabindex ="" - 1 ""class ="" airy-track-bar-container ""style ="" marg"&amp;"in-left: 35px; margin-right: 75px; ""&gt; &lt;div tabindex ="" - 1 ""class ="" airy-airy-track-bar vertically-centering-table ""&gt; &lt;div tabindex ="" - 1 ""class ="" airy-Vertical-centering- table-cell ""&gt; &lt;div tabindex ="" - 1 ""class ="" airy-track-bar-elements"&amp;" ""&gt; &lt;div tabindex ="" - 1 ""class ="" airy-progress-bar ""&gt; &lt;/ div&gt; &lt;div tabindex = ""- 1"" class = ""airy-scrubber-bar""&gt; &lt;/ div&gt; &lt;div tabindex = ""- 1"" class = ""airy-scrubber""&gt; &lt;div tabindex = ""- 1"" class = ""airy-scrubber- icon ""&gt; &lt;/ div&gt; &lt;div t"&amp;"abindex ="" - 1 ""class ="" airy-adjusted-AUI-tooltip ""style ="" opacity: 0; visibility: hidden; ""&gt; &lt;div tabindex ="" - 1 ""class ="" airy-adjusted-aui-tooltip-inner ""&gt; &lt;div tabindex ="" - 1 ""class ="" airy-current-time-label ""&gt; 0: 00 &lt;/ div&gt; &lt;/ div&gt;"&amp;" &lt;div tabindex = ""- 1"" class = ""airy-adjusted-AUI-arrow-border""&gt; &lt;div tabindex = ""- 1"" class = ""airy-adjusted-AUI-arrow"" &gt; &lt;/ div&gt; &lt;/ div&gt; &lt;/ div&gt; &lt;/ div&gt; &lt;/ div&gt; &lt;/ div&gt; &lt;/ div&gt; &lt;/ div&gt; &lt;/ div&gt; &lt;/ div&gt; &lt;div tabindex = ""- 1"" class = ""airy-age-g"&amp;"ate airy-stage airy-Vertical-centering-table airy-dialog"" style = ""opacity: 0; visibility: hidden; ""&gt; &lt;div tabindex ="" - 1 ""class ="" airy-age-gate-Vertical-centering-table-cell airy-Vertical-centering-table-cell ""&gt; &lt;div tabindex ="" - 1 ""class = "&amp;"""airy-Vertical-centering-wrapper airy-age-gate-elements-wrapper""&gt; &lt;div tabindex = ""- 1"" class = ""airy-age-gate-elements airy-dialog-elements""&gt; &lt;div tabindex = "" -1 ""class ="" airy-age-gate-prompt ""&gt; This video is not Intended for all audiences Wh"&amp;"at date were you born &lt;/ div&gt; &lt;div tabindex =.?"" - 1 ""class ="" airy-age-gate -inputs airy-dialog-inner-elements ""&gt; &lt;select tabindex ="" - 1 ""class ="" airy-age-gate-month ""&gt; &lt;option value ="" 1 ""&gt; January &lt;/ option&gt; &lt;option value ="" 2 ""&gt; February"&amp;" &lt;/ option&gt; &lt;option value ="" 3 ""&gt; March &lt;/ option&gt; &lt;option value ="" 4 ""&gt; April &lt;/ option&gt; &lt;option value ="" 5 ""&gt; May &lt;/ option&gt; &lt;option value = ""6""&gt; June &lt;/ option&gt; &lt;option value = ""7""&gt; July &lt;/ option&gt; &lt;option value = ""8""&gt; August &lt;/ option&gt; &lt;op"&amp;"tion value = ""9""&gt; September &lt;/ option&gt; &lt;option value = ""10""&gt; October &lt;/ option&gt; &lt;option value = ""11""&gt; November &lt;/ option&gt; &lt;option value = ""12""&gt; December &lt;/ option&gt; &lt;/ select&gt; &lt;select tabindex = ""- 1"" class = ""airy-age-gate-day""&gt; &lt;opti on value"&amp;" = ""1""&gt; 1 &lt;/ option&gt; &lt;option value = ""2""&gt; 2 &lt;/ option&gt; &lt;option value = ""3""&gt; 3 &lt;/ option&gt; &lt;option value = ""4""&gt; 4 &lt;/ option &gt; &lt;option value = ""5""&gt; 5 &lt;/ option&gt; &lt;option value = ""6""&gt; 6 &lt;/ option&gt; &lt;option value = ""7""&gt; 7 &lt;/ option&gt; &lt;option value ="&amp;" ""8""&gt; 8 &lt; / option&gt; &lt;option value = ""9""&gt; 9 &lt;/ option&gt; &lt;option value = ""10""&gt; 10 &lt;/ option&gt; &lt;option value = ""11""&gt; 11 &lt;/ option&gt; &lt;option value = ""12""&gt; 12 &lt;/ option&gt; &lt;option value = ""13""&gt; 13 &lt;/ option&gt; &lt;option value = ""14""&gt; 14 &lt;/ option&gt; &lt;option"&amp;" value = ""15""&gt; 15 &lt;/ option&gt; &lt;option value = ""16 ""&gt; 16 &lt;/ option&gt; &lt;option value ="" 17 ""&gt; 17 &lt;/ option&gt; &lt;option value ="" 18 ""&gt; 18 &lt;/ option&gt; &lt;option value ="" 19 ""&gt; 19 &lt;/ option&gt; &lt;option value = ""20""&gt; 20 &lt;/ option&gt; &lt;option value = ""21""&gt; 21 &lt;/ "&amp;"option&gt; &lt;option value = ""22""&gt; 22 &lt;/ option&gt; &lt;option value = ""23""&gt; 23 &lt;/ option&gt; &lt;option value = ""24""&gt; 24 &lt;/ option&gt; &lt;option value = ""25""&gt; 25 &lt;/ option&gt; &lt;option value = ""26""&gt; 26 &lt;/ option&gt; &lt;option value = ""27""&gt; 27 &lt;/ option&gt; &lt;option value = ""2"&amp;"8""&gt; 28 &lt;/ option&gt; &lt;option value = ""29""&gt; 29 &lt;/ option&gt; &lt;option value = ""30""&gt; 30 &lt;/ option&gt; &lt;option value = ""31""&gt; 31 &lt;/ option&gt; &lt;/ select&gt; &lt;select tabindex = ""- 1"" class = ""airy-age-gate-year""&gt; &lt;option value = ""2019""&gt; 2019 &lt;/ option&gt; &lt; option v"&amp;"alue = ""2018""&gt; 2018 &lt;/ option&gt; &lt;option value = ""2017""&gt; 2017 &lt;/ option&gt; &lt;option value = ""2016""&gt; ​​2016 &lt;/ option&gt; &lt;option value = ""2015""&gt; 2015 &lt;/ option &gt; &lt;option value = ""2014""&gt; 2014 &lt;/ option&gt; &lt;option value = ""2013""&gt; 2013 &lt;/ option&gt; &lt;option v"&amp;"alue = ""2012""&gt; 2012 &lt;/ option&gt; &lt;option value = ""2011""&gt; 2011 &lt; / option&gt; &lt;option value = ""2010""&gt; 2010 &lt;/ option&gt; &lt;option value = ""2009""&gt; 2009 &lt;/ option&gt; &lt;option value = ""2008""&gt; 2008 &lt;/ option&gt; &lt;option value = ""2007""&gt; 2007 &lt;/ option&gt; &lt;option val"&amp;"ue = ""2006""&gt; 2006 &lt;/ option&gt; &lt;option value = ""2005""&gt; 2005 &lt;/ option&gt; &lt;option value = ""2004""&gt; 2004 &lt;/ option&gt; &lt;option value = ""2003 ""&gt; 2003 &lt;/ option&gt; &lt;option value ="" 2002 ""&gt; 2002 &lt;/ option&gt; &lt;option value ="" 2001 ""&gt; 2001 &lt;/ option&gt; &lt;option val"&amp;"ue ="" 2000 ""&gt; 2000 &lt;/ option&gt; &lt;option value = ""1999""&gt; 1999 &lt;/ option&gt; &lt;option value = ""1998""&gt; 1998 &lt;/ option&gt; &lt;option value = ""1997""&gt; 1997 &lt;/ option&gt; &lt;option value = ""1996""&gt; 1996 &lt;/ option&gt; &lt;option value = ""1995""&gt; 1995 &lt;/ option&gt; &lt;option value"&amp;" = ""1994""&gt;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"&amp;"= ""1982""&gt; 1982 &lt;/ option&gt; &lt; option value = ""1981""&gt; 1981 &lt;/ option&gt; &lt;option value = ""1980""&gt; 1980 &lt;/ option&gt; &lt;option value = ""1979""&gt; 1979 &lt;/ option&gt; &lt;option value = ""1978""&gt; 1978 &lt;/ option &gt; &lt;option value = ""1977""&gt; 1977 &lt;/ option&gt; &lt;option value ="&amp;" ""1976""&gt;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 "&amp;"""1958""&gt; 1958 &lt;/ option&gt; &lt;option value = ""1957""&gt; 1957 &lt;/ option&gt; &lt;option value = ""1956""&gt; 1956 &lt;/ option&gt; &lt;option value = ""1955""&gt; 1955 &lt;/ option&gt; &lt;option value = ""1954""&gt; 1954 &lt;/ option&gt; &lt;option value = ""1953""&gt; 1953 &lt;/ option&gt; &lt;option value = ""1"&amp;"952"" &gt; 1952 &lt;/ option&gt; &lt;option value = ""1951""&gt; 1951 &lt;/ option&gt; &lt;option value = ""1950""&gt; 1950 &lt;/ option&gt; &lt;option value = ""1949""&gt; 1949 &lt;/ option&gt; &lt;option value = "" 1948 ""&gt; 1948 &lt;/ option&gt; &lt;option value ="" 1947 ""&gt; 1947 &lt;/ option&gt; &lt;option value ="" "&amp;"1946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""19"&amp;"34""&gt; 1934 &lt;/ option&gt; &lt;option value = ""1933""&gt; 1933 &lt; / option&gt; &lt;option value = ""1932""&gt; 1932 &lt;/ option&gt; &lt;option value = ""1931""&gt; 1931 &lt;/ option&gt; &lt;option v alue = ""1930""&gt; 1930 &lt;/ option&gt; &lt;option value = ""1929""&gt; 1929 &lt;/ option&gt; &lt;option value = ""192"&amp;"8""&gt;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 1"&amp;"916 &lt;/ option&gt; &lt;option value = ""1915"" &gt; 1915 &lt;/ option&gt; &lt;option value = ""1914""&gt; 1914 &lt;/ option&gt; &lt;option value = ""1913""&gt; 1913 &lt;/ option&gt; &lt;option value = ""1912""&gt; 1912 &lt;/ option&gt; &lt;option value = "" 1911 ""&gt; 1911 &lt;/ option&gt; &lt;option value ="" 1910 ""&gt; "&amp;"1910 &lt;/ option&gt; &lt;option value ="" 1909 ""&gt; 1909 &lt;/ option&gt; &lt;option value ="" 1908 ""&gt; 1908 &lt;/ option&gt; &lt;value option = ""1907""&gt; 1907 &lt;/ option&gt; &lt;option value = ""1906""&gt; 1906 &lt;/ option&gt; &lt;option value = ""1905""&gt; 1905 &lt;/ option&gt; &lt;option value = ""1904""&gt; 1"&amp;"904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tabindex =."" - 1 ""class ="" airy-install-flash-"&amp;"button-wrapper airy -dialog-inner-elements ""&gt; &lt;div tabindex ="" - 1 ""class ="" airy-install-flash-button airy-button ""&gt; install Flash Player &lt;/ div&gt; &lt;/ div&gt; &lt;/ div&gt; &lt;/ div&gt; &lt;/ div&gt; &lt;/ div&gt; &lt;div tabindex = ""- 1"" class = ""airy-video-unsupported-dialog"&amp;" 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B1FM8pPI + QS.mp4 ""Class ="" video-url ""&gt; &lt;input type ="" hidden ""name ="" ""value ="" https://images-eu.ssl-images-amazon.com/images/I/81hRDIT+MpS.png ""class = ""video-slate-img-url""&gt; &amp; nbsp; good humidifier for the house smell "&amp;"good. I silent capacity, convina fragrances to smell as you like. I very satisfied with the very comfortable control.")</f>
        <v>Good humidor &lt;div id = "video-block-R32FUZ1S4QRJEE" class = "a-section a-spacing-small a-spacing-top mini video-block"&gt; &lt;div tabindex = "0" class = "airy airy-svg vmin-supported airy-skin-beacon "style =" background-color: rgb (0, 0, 0) position: relative; width: 100%; height: 100%; font-size: 0px; overflow: hidden; outline : none; "&gt; &lt;div class =" airy-renderer-container "style =" position: relative; height: 100%; width: 100%; "&gt; &lt;video id =" 23 "preload =" auto "src =" https://images-eu.ssl-images-amazon.com/images/I/B1FM8pPI+QS.mp4 "style =" position: absolute; left: 0px; top: 0px; overflow: hidden; height: 1px; width : 1px; "&gt; &lt;/ video&gt; &lt;/ div&gt; &lt;div id =" airy-slate-preload "style =" background-color: rgb (0, 0, 0); background-image: url (&amp; quot; https: //images-eu.ssl-images-amazon.com/images/I/81hRDIT+MpS.png&amp;quot;); background-size: Contain; background-position: center center; background-repeat: no-repeat; position: absolute ; top: 0px; left: 0px; visibility: visible; width: 100%; height: 100%; "&gt; &lt;/ div&gt; &lt;iframe scrolling = "No" frameborder = "0" src = "about: blank" style = "display: none;"&gt; &lt;/ iframe&gt; &lt;div tabindex = "- 1" class = "airy-controls-container" style = "opacity :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B1FM8pPI + QS.mp4 "Class =" video-url "&gt; &lt;input type =" hidden "name =" "value =" https://images-eu.ssl-images-amazon.com/images/I/81hRDIT+MpS.png "class = "video-slate-img-url"&gt; &amp; nbsp; good humidifier for the house smell good. I silent capacity, convina fragrances to smell as you like. I very satisfied with the very comfortable control.</v>
      </c>
    </row>
    <row r="3323">
      <c r="A3323" s="1">
        <v>5.0</v>
      </c>
      <c r="B3323" s="1" t="s">
        <v>3307</v>
      </c>
      <c r="C3323" t="str">
        <f>IFERROR(__xludf.DUMMYFUNCTION("GOOGLETRANSLATE(B3323, ""es"", ""en"")"),"Good sound The charging base has a lot of autonomy. They have good sound quality. At the beginning you have to get used to them, but once you get used without problem.")</f>
        <v>Good sound The charging base has a lot of autonomy. They have good sound quality. At the beginning you have to get used to them, but once you get used without problem.</v>
      </c>
    </row>
    <row r="3324">
      <c r="A3324" s="1">
        <v>5.0</v>
      </c>
      <c r="B3324" s="1" t="s">
        <v>3308</v>
      </c>
      <c r="C3324" t="str">
        <f>IFERROR(__xludf.DUMMYFUNCTION("GOOGLETRANSLATE(B3324, ""es"", ""en"")"),"Great product and quality. As it looks in the photos. Very good quality production and materials. Great brand of undergarments.")</f>
        <v>Great product and quality. As it looks in the photos. Very good quality production and materials. Great brand of undergarments.</v>
      </c>
    </row>
    <row r="3325">
      <c r="A3325" s="1">
        <v>5.0</v>
      </c>
      <c r="B3325" s="1" t="s">
        <v>3309</v>
      </c>
      <c r="C3325" t="str">
        <f>IFERROR(__xludf.DUMMYFUNCTION("GOOGLETRANSLATE(B3325, ""es"", ""en"")"),"Clock clock performance and super practical and very comfortable. It weighs nothing, has several functions and looks great in the dark. For everyday is very good option even when you're more settled.")</f>
        <v>Clock clock performance and super practical and very comfortable. It weighs nothing, has several functions and looks great in the dark. For everyday is very good option even when you're more settled.</v>
      </c>
    </row>
    <row r="3326">
      <c r="A3326" s="1">
        <v>5.0</v>
      </c>
      <c r="B3326" s="1" t="s">
        <v>3310</v>
      </c>
      <c r="C3326" t="str">
        <f>IFERROR(__xludf.DUMMYFUNCTION("GOOGLETRANSLATE(B3326, ""es"", ""en"")"),"Quality and comfort perfect and very toasty!")</f>
        <v>Quality and comfort perfect and very toasty!</v>
      </c>
    </row>
    <row r="3327">
      <c r="A3327" s="1">
        <v>5.0</v>
      </c>
      <c r="B3327" s="1" t="s">
        <v>3311</v>
      </c>
      <c r="C3327" t="str">
        <f>IFERROR(__xludf.DUMMYFUNCTION("GOOGLETRANSLATE(B3327, ""es"", ""en"")"),"Incredible quality incredible quality for the price")</f>
        <v>Incredible quality incredible quality for the price</v>
      </c>
    </row>
    <row r="3328">
      <c r="A3328" s="1">
        <v>5.0</v>
      </c>
      <c r="B3328" s="1" t="s">
        <v>3312</v>
      </c>
      <c r="C3328" t="str">
        <f>IFERROR(__xludf.DUMMYFUNCTION("GOOGLETRANSLATE(B3328, ""es"", ""en"")"),"Good helmets are very good value for money, sound great, I have no complaint and quite high, soon I became deaf, are comfortable, and the battery lasts enough, start to load when I remember and I do not usually get me out of battery the only ""catch"" is "&amp;"that you would put as much use for the gym, working, etc do not have earmarks of being too tough and I possibly lasting less than what would last, but that's my case. The truth that is a great comfort to be wireless and they work quite a distance from the"&amp;" device which is connected. I recommend it.")</f>
        <v>Good helmets are very good value for money, sound great, I have no complaint and quite high, soon I became deaf, are comfortable, and the battery lasts enough, start to load when I remember and I do not usually get me out of battery the only "catch" is that you would put as much use for the gym, working, etc do not have earmarks of being too tough and I possibly lasting less than what would last, but that's my case. The truth that is a great comfort to be wireless and they work quite a distance from the device which is connected. I recommend it.</v>
      </c>
    </row>
    <row r="3329">
      <c r="A3329" s="1">
        <v>5.0</v>
      </c>
      <c r="B3329" s="1" t="s">
        <v>3313</v>
      </c>
      <c r="C3329" t="str">
        <f>IFERROR(__xludf.DUMMYFUNCTION("GOOGLETRANSLATE(B3329, ""es"", ""en"")"),"Quality and price the speed of the process")</f>
        <v>Quality and price the speed of the process</v>
      </c>
    </row>
    <row r="3330">
      <c r="A3330" s="1">
        <v>5.0</v>
      </c>
      <c r="B3330" s="1" t="s">
        <v>3314</v>
      </c>
      <c r="C3330" t="str">
        <f>IFERROR(__xludf.DUMMYFUNCTION("GOOGLETRANSLATE(B3330, ""es"", ""en"")"),"A good product and with the expected quality is just what I wanted and is perfect")</f>
        <v>A good product and with the expected quality is just what I wanted and is perfect</v>
      </c>
    </row>
    <row r="3331">
      <c r="A3331" s="1">
        <v>5.0</v>
      </c>
      <c r="B3331" s="1" t="s">
        <v>3315</v>
      </c>
      <c r="C3331" t="str">
        <f>IFERROR(__xludf.DUMMYFUNCTION("GOOGLETRANSLATE(B3331, ""es"", ""en"")"),"Powerful and balanced sound for portable devices and good fit in the ear Just what I expected from this brand and for that price range. I'm used to a Sennheiser studio and I am not satisfied with anything. These MX 365 offer a clean sound, without striden"&amp;"t treble and bass with good presence. Regarding the latter, of course, you do not expect the same response as in a standard headset helmets 25-30 euros, but get used to listening to electronic music and drums and bass are very present and without distorti"&amp;"on. Logically, the bass also lost a bit in environments with traffic or wind. I recommend especially for mp3 and mobile, which is what they are designed. Connected to the audio output of a PC, for example, the sound is weaker appreciated that portable dev"&amp;"ices mentioned. The adjustment in the ear is pretty good. I've used to run and, with pads placed, not one iota move. Not transmit noise and vibrations of internal components, as some users say the Sennheiser MX 170 in the elbow end of the pin see it a lit"&amp;"tle thin, although it seems tough. The pair of pads included is also fine, and if the headphones are not removed carefully, can fall. For these reasons, I recommend buying replacement pads (I bought a batch of 30 per € 0.90). In short, perfect in value.")</f>
        <v>Powerful and balanced sound for portable devices and good fit in the ear Just what I expected from this brand and for that price range. I'm used to a Sennheiser studio and I am not satisfied with anything. These MX 365 offer a clean sound, without strident treble and bass with good presence. Regarding the latter, of course, you do not expect the same response as in a standard headset helmets 25-30 euros, but get used to listening to electronic music and drums and bass are very present and without distortion. Logically, the bass also lost a bit in environments with traffic or wind. I recommend especially for mp3 and mobile, which is what they are designed. Connected to the audio output of a PC, for example, the sound is weaker appreciated that portable devices mentioned. The adjustment in the ear is pretty good. I've used to run and, with pads placed, not one iota move. Not transmit noise and vibrations of internal components, as some users say the Sennheiser MX 170 in the elbow end of the pin see it a little thin, although it seems tough. The pair of pads included is also fine, and if the headphones are not removed carefully, can fall. For these reasons, I recommend buying replacement pads (I bought a batch of 30 per € 0.90). In short, perfect in value.</v>
      </c>
    </row>
    <row r="3332">
      <c r="A3332" s="1">
        <v>5.0</v>
      </c>
      <c r="B3332" s="1" t="s">
        <v>3316</v>
      </c>
      <c r="C3332" t="str">
        <f>IFERROR(__xludf.DUMMYFUNCTION("GOOGLETRANSLATE(B3332, ""es"", ""en"")"),"The comfort. They are very comfortable!")</f>
        <v>The comfort. They are very comfortable!</v>
      </c>
    </row>
    <row r="3333">
      <c r="A3333" s="1">
        <v>5.0</v>
      </c>
      <c r="B3333" s="1" t="s">
        <v>3317</v>
      </c>
      <c r="C3333" t="str">
        <f>IFERROR(__xludf.DUMMYFUNCTION("GOOGLETRANSLATE(B3333, ""es"", ""en"")"),"Better than expected Much better than I expected. Quiet, and very effective. I have a query I use massage and 10 minutes before each massage. I used to have one that cost me 150 euros and burned. It's clear that if this burns me buy another the same. I am"&amp;" very satisfied.")</f>
        <v>Better than expected Much better than I expected. Quiet, and very effective. I have a query I use massage and 10 minutes before each massage. I used to have one that cost me 150 euros and burned. It's clear that if this burns me buy another the same. I am very satisfied.</v>
      </c>
    </row>
    <row r="3334">
      <c r="A3334" s="1">
        <v>5.0</v>
      </c>
      <c r="B3334" s="1" t="s">
        <v>3318</v>
      </c>
      <c r="C3334" t="str">
        <f>IFERROR(__xludf.DUMMYFUNCTION("GOOGLETRANSLATE(B3334, ""es"", ""en"")"),"Recistente Very nice and beautiful and very recistente tube to return the vape but the case charm me,")</f>
        <v>Recistente Very nice and beautiful and very recistente tube to return the vape but the case charm me,</v>
      </c>
    </row>
    <row r="3335">
      <c r="A3335" s="1">
        <v>5.0</v>
      </c>
      <c r="B3335" s="1" t="s">
        <v>3319</v>
      </c>
      <c r="C3335" t="str">
        <f>IFERROR(__xludf.DUMMYFUNCTION("GOOGLETRANSLATE(B3335, ""es"", ""en"")"),"They are very comfortable perfect. The Embio very fast and resist all kinds of liquid")</f>
        <v>They are very comfortable perfect. The Embio very fast and resist all kinds of liquid</v>
      </c>
    </row>
    <row r="3336">
      <c r="A3336" s="1">
        <v>5.0</v>
      </c>
      <c r="B3336" s="1" t="s">
        <v>3320</v>
      </c>
      <c r="C3336" t="str">
        <f>IFERROR(__xludf.DUMMYFUNCTION("GOOGLETRANSLATE(B3336, ""es"", ""en"")"),"THE JOY OF MY DRINK my baby is 5 months old and I played incorporme work was alone with exclusive breastfeeding spent a week trying to cogiese biberon but a brand that utilize cuandi born who did not know even my nipple (4 days until I climbed milk) and a"&amp;"s queeeeva that tetina not like him much crying her pediatrician recommended me this brand and was uman asierto total and the first two or three shots takes his bottle apacionadamente .lo RECOMIENDO")</f>
        <v>THE JOY OF MY DRINK my baby is 5 months old and I played incorporme work was alone with exclusive breastfeeding spent a week trying to cogiese biberon but a brand that utilize cuandi born who did not know even my nipple (4 days until I climbed milk) and as queeeeva that tetina not like him much crying her pediatrician recommended me this brand and was uman asierto total and the first two or three shots takes his bottle apacionadamente .lo RECOMIENDO</v>
      </c>
    </row>
    <row r="3337">
      <c r="A3337" s="1">
        <v>5.0</v>
      </c>
      <c r="B3337" s="1" t="s">
        <v>3321</v>
      </c>
      <c r="C3337" t="str">
        <f>IFERROR(__xludf.DUMMYFUNCTION("GOOGLETRANSLATE(B3337, ""es"", ""en"")"),"Joma All products in perfect condition have time and are very comfortable. Yes you measure 180 or more have to buy the XXL on for a perfect fit because")</f>
        <v>Joma All products in perfect condition have time and are very comfortable. Yes you measure 180 or more have to buy the XXL on for a perfect fit because</v>
      </c>
    </row>
    <row r="3338">
      <c r="A3338" s="1">
        <v>5.0</v>
      </c>
      <c r="B3338" s="1" t="s">
        <v>3322</v>
      </c>
      <c r="C3338" t="str">
        <f>IFERROR(__xludf.DUMMYFUNCTION("GOOGLETRANSLATE(B3338, ""es"", ""en"")"),"May I use daily and is perfect")</f>
        <v>May I use daily and is perfect</v>
      </c>
    </row>
    <row r="3339">
      <c r="A3339" s="1">
        <v>5.0</v>
      </c>
      <c r="B3339" s="1" t="s">
        <v>3323</v>
      </c>
      <c r="C3339" t="str">
        <f>IFERROR(__xludf.DUMMYFUNCTION("GOOGLETRANSLATE(B3339, ""es"", ""en"")"),"Well presented and very good aroma Las bought for the humidifier and leave very good whiff in the room throwing a 3 drops per 100ml is enough. There are 3 soft aroma and 3 other fairly intense aroma; 6 boats come in a box very well presented and have a co"&amp;"nsiderable size.")</f>
        <v>Well presented and very good aroma Las bought for the humidifier and leave very good whiff in the room throwing a 3 drops per 100ml is enough. There are 3 soft aroma and 3 other fairly intense aroma; 6 boats come in a box very well presented and have a considerable size.</v>
      </c>
    </row>
    <row r="3340">
      <c r="A3340" s="1">
        <v>5.0</v>
      </c>
      <c r="B3340" s="1" t="s">
        <v>3324</v>
      </c>
      <c r="C3340" t="str">
        <f>IFERROR(__xludf.DUMMYFUNCTION("GOOGLETRANSLATE(B3340, ""es"", ""en"")"),"Staples High Quality No rust. Took several boxes bought and certainly no problem with staplers. It is not clogged and the result is firm.")</f>
        <v>Staples High Quality No rust. Took several boxes bought and certainly no problem with staplers. It is not clogged and the result is firm.</v>
      </c>
    </row>
    <row r="3341">
      <c r="A3341" s="1">
        <v>5.0</v>
      </c>
      <c r="B3341" s="1" t="s">
        <v>3325</v>
      </c>
      <c r="C3341" t="str">
        <f>IFERROR(__xludf.DUMMYFUNCTION("GOOGLETRANSLATE(B3341, ""es"", ""en"")"),"Simply excellent!!! It is one of these articles in paragraph value is second to none. You can hardly believe that just over 25 € get a headset well done in terms of materials, outstanding sound (always considering the price), bluetooth, hands-free, super "&amp;"comfortable and a long battery. Come on .., at that price .. impossible! The first had bought for my son. I arrived today and after trying other feel free to ask for me. I had many ... today was wearing a JBL C45BT (I cost 69 €). Well I prefer MPOW H7, no"&amp;" doubt!")</f>
        <v>Simply excellent!!! It is one of these articles in paragraph value is second to none. You can hardly believe that just over 25 € get a headset well done in terms of materials, outstanding sound (always considering the price), bluetooth, hands-free, super comfortable and a long battery. Come on .., at that price .. impossible! The first had bought for my son. I arrived today and after trying other feel free to ask for me. I had many ... today was wearing a JBL C45BT (I cost 69 €). Well I prefer MPOW H7, no doubt!</v>
      </c>
    </row>
    <row r="3342">
      <c r="A3342" s="1">
        <v>2.0</v>
      </c>
      <c r="B3342" s="1" t="s">
        <v>3326</v>
      </c>
      <c r="C3342" t="str">
        <f>IFERROR(__xludf.DUMMYFUNCTION("GOOGLETRANSLATE(B3342, ""es"", ""en"")"),"The I requested disappointed thinking I was going to be useful and have a bit disappointed because I thought I would give more heat. Take to a temperature hot but I see a lot, I'm used to be a sack I have to heat it in the microwave, which gets hotter and"&amp;" also spread around the sack. And in this pad, it takes on some areas and too low, even setting it to the maximum.")</f>
        <v>The I requested disappointed thinking I was going to be useful and have a bit disappointed because I thought I would give more heat. Take to a temperature hot but I see a lot, I'm used to be a sack I have to heat it in the microwave, which gets hotter and also spread around the sack. And in this pad, it takes on some areas and too low, even setting it to the maximum.</v>
      </c>
    </row>
    <row r="3343">
      <c r="A3343" s="1">
        <v>3.0</v>
      </c>
      <c r="B3343" s="1" t="s">
        <v>3327</v>
      </c>
      <c r="C3343" t="str">
        <f>IFERROR(__xludf.DUMMYFUNCTION("GOOGLETRANSLATE(B3343, ""es"", ""en"")"),"No harsh odor in the diffuser I sincerely buy Diffuser and the first 5-10 min smells pretty but no longer ... then put it drops to 5 but I made at least 15 and no .... smell and hard as I applied it if the body is not hydrated or not ....")</f>
        <v>No harsh odor in the diffuser I sincerely buy Diffuser and the first 5-10 min smells pretty but no longer ... then put it drops to 5 but I made at least 15 and no .... smell and hard as I applied it if the body is not hydrated or not ....</v>
      </c>
    </row>
    <row r="3344">
      <c r="A3344" s="1">
        <v>1.0</v>
      </c>
      <c r="B3344" s="1" t="s">
        <v>3328</v>
      </c>
      <c r="C3344" t="str">
        <f>IFERROR(__xludf.DUMMYFUNCTION("GOOGLETRANSLATE(B3344, ""es"", ""en"")"),"Until he stopped working very well worked one month; then he stopped working, without more. Or USB, or changing batteries ... nothing. It is connected and turned on but no longer works. Does nothing. Until it stopped working was perfect. Shame is picked w"&amp;"ell, it worked quite a distance, very convenient for presentations ... they only hold one month !!!!")</f>
        <v>Until he stopped working very well worked one month; then he stopped working, without more. Or USB, or changing batteries ... nothing. It is connected and turned on but no longer works. Does nothing. Until it stopped working was perfect. Shame is picked well, it worked quite a distance, very convenient for presentations ... they only hold one month !!!!</v>
      </c>
    </row>
    <row r="3345">
      <c r="A3345" s="1">
        <v>1.0</v>
      </c>
      <c r="B3345" s="1" t="s">
        <v>3329</v>
      </c>
      <c r="C3345" t="str">
        <f>IFERROR(__xludf.DUMMYFUNCTION("GOOGLETRANSLATE(B3345, ""es"", ""en"")"),"Failures wheel adjustment wheel adjustment (which is the most important of this article) fails regularly and makes it difficult securing compass.")</f>
        <v>Failures wheel adjustment wheel adjustment (which is the most important of this article) fails regularly and makes it difficult securing compass.</v>
      </c>
    </row>
    <row r="3346">
      <c r="A3346" s="1">
        <v>4.0</v>
      </c>
      <c r="B3346" s="1" t="s">
        <v>3330</v>
      </c>
      <c r="C3346" t="str">
        <f>IFERROR(__xludf.DUMMYFUNCTION("GOOGLETRANSLATE(B3346, ""es"", ""en"")"),"A little weak but well priced. I see a little shaky at the least the connectors although the price is not more you can ask.")</f>
        <v>A little weak but well priced. I see a little shaky at the least the connectors although the price is not more you can ask.</v>
      </c>
    </row>
    <row r="3347">
      <c r="A3347" s="1">
        <v>4.0</v>
      </c>
      <c r="B3347" s="1" t="s">
        <v>3331</v>
      </c>
      <c r="C3347" t="str">
        <f>IFERROR(__xludf.DUMMYFUNCTION("GOOGLETRANSLATE(B3347, ""es"", ""en"")"),"Do their job like I have a perfect medium to stay connected with helmets to the computer, so far they have not given me any failure")</f>
        <v>Do their job like I have a perfect medium to stay connected with helmets to the computer, so far they have not given me any failure</v>
      </c>
    </row>
    <row r="3348">
      <c r="A3348" s="1">
        <v>4.0</v>
      </c>
      <c r="B3348" s="1" t="s">
        <v>3332</v>
      </c>
      <c r="C3348" t="str">
        <f>IFERROR(__xludf.DUMMYFUNCTION("GOOGLETRANSLATE(B3348, ""es"", ""en"")"),"The best you can get at that price are very good headphones for the price they have, their case is very practical and small, but I struggled out of their magnetic base and hit the button are wanting, also putting them in the ears, and wanting to further a"&amp;"djust the bottom, push the button to turn off. they are still very good.")</f>
        <v>The best you can get at that price are very good headphones for the price they have, their case is very practical and small, but I struggled out of their magnetic base and hit the button are wanting, also putting them in the ears, and wanting to further adjust the bottom, push the button to turn off. they are still very good.</v>
      </c>
    </row>
    <row r="3349">
      <c r="A3349" s="1">
        <v>4.0</v>
      </c>
      <c r="B3349" s="1" t="s">
        <v>3333</v>
      </c>
      <c r="C3349" t="str">
        <f>IFERROR(__xludf.DUMMYFUNCTION("GOOGLETRANSLATE(B3349, ""es"", ""en"")"),"Good product met expectations. Good design. Comfortable.")</f>
        <v>Good product met expectations. Good design. Comfortable.</v>
      </c>
    </row>
    <row r="3350">
      <c r="A3350" s="1">
        <v>4.0</v>
      </c>
      <c r="B3350" s="1" t="s">
        <v>3334</v>
      </c>
      <c r="C3350" t="str">
        <f>IFERROR(__xludf.DUMMYFUNCTION("GOOGLETRANSLATE(B3350, ""es"", ""en"")"),"By recomendabiles very Prieco are two best phines of the market! Excellent! I recommend! No Isolan noise, perhaps the only falha !!")</f>
        <v>By recomendabiles very Prieco are two best phines of the market! Excellent! I recommend! No Isolan noise, perhaps the only falha !!</v>
      </c>
    </row>
    <row r="3351">
      <c r="A3351" s="1">
        <v>5.0</v>
      </c>
      <c r="B3351" s="1" t="s">
        <v>3335</v>
      </c>
      <c r="C3351" t="str">
        <f>IFERROR(__xludf.DUMMYFUNCTION("GOOGLETRANSLATE(B3351, ""es"", ""en"")"),"Perfect Very good")</f>
        <v>Perfect Very good</v>
      </c>
    </row>
    <row r="3352">
      <c r="A3352" s="1">
        <v>5.0</v>
      </c>
      <c r="B3352" s="1" t="s">
        <v>3336</v>
      </c>
      <c r="C3352" t="str">
        <f>IFERROR(__xludf.DUMMYFUNCTION("GOOGLETRANSLATE(B3352, ""es"", ""en"")"),"They are very discrete perfect headphones, I used while doing sports and it seems neither that you shall bear positions. The design and the cargo box are very elegant.")</f>
        <v>They are very discrete perfect headphones, I used while doing sports and it seems neither that you shall bear positions. The design and the cargo box are very elegant.</v>
      </c>
    </row>
    <row r="3353">
      <c r="A3353" s="1">
        <v>5.0</v>
      </c>
      <c r="B3353" s="1" t="s">
        <v>3337</v>
      </c>
      <c r="C3353" t="str">
        <f>IFERROR(__xludf.DUMMYFUNCTION("GOOGLETRANSLATE(B3353, ""es"", ""en"")"),"Successful gift I bought for a gift. The addressee was encantanda both the jewel design as the presentation of the product, and after using it two weeks, almost every day, has not had any type of allergy, has not obscured the chain, and stones continue th"&amp;"e same brightness. Therefore, I give full marks but I must admit that I personally thought it was a little bigger.")</f>
        <v>Successful gift I bought for a gift. The addressee was encantanda both the jewel design as the presentation of the product, and after using it two weeks, almost every day, has not had any type of allergy, has not obscured the chain, and stones continue the same brightness. Therefore, I give full marks but I must admit that I personally thought it was a little bigger.</v>
      </c>
    </row>
    <row r="3354">
      <c r="A3354" s="1">
        <v>5.0</v>
      </c>
      <c r="B3354" s="1" t="s">
        <v>3338</v>
      </c>
      <c r="C3354" t="str">
        <f>IFERROR(__xludf.DUMMYFUNCTION("GOOGLETRANSLATE(B3354, ""es"", ""en"")"),"Excellent photo studio is perfect for items or if you have a web page upload photos of products etc. A good photo studio for a small price Intercambiamles comes with various backgrounds and lamps are very good. I am delighted with the product.")</f>
        <v>Excellent photo studio is perfect for items or if you have a web page upload photos of products etc. A good photo studio for a small price Intercambiamles comes with various backgrounds and lamps are very good. I am delighted with the product.</v>
      </c>
    </row>
    <row r="3355">
      <c r="A3355" s="1">
        <v>5.0</v>
      </c>
      <c r="B3355" s="1" t="s">
        <v>3339</v>
      </c>
      <c r="C3355" t="str">
        <f>IFERROR(__xludf.DUMMYFUNCTION("GOOGLETRANSLATE(B3355, ""es"", ""en"")"),"Good proportion finishes and size. I bought it for the lobe and it's just perfect. I is what I wanted.")</f>
        <v>Good proportion finishes and size. I bought it for the lobe and it's just perfect. I is what I wanted.</v>
      </c>
    </row>
    <row r="3356">
      <c r="A3356" s="1">
        <v>5.0</v>
      </c>
      <c r="B3356" s="1" t="s">
        <v>3340</v>
      </c>
      <c r="C3356" t="str">
        <f>IFERROR(__xludf.DUMMYFUNCTION("GOOGLETRANSLATE(B3356, ""es"", ""en"")"),"Fast and quality With I not see very competitive price best choice. After a few months of use she did not give me a single problem, and I can no longer use a computer without this fluidity and speed when turning and opening applications")</f>
        <v>Fast and quality With I not see very competitive price best choice. After a few months of use she did not give me a single problem, and I can no longer use a computer without this fluidity and speed when turning and opening applications</v>
      </c>
    </row>
    <row r="3357">
      <c r="A3357" s="1">
        <v>5.0</v>
      </c>
      <c r="B3357" s="1" t="s">
        <v>3341</v>
      </c>
      <c r="C3357" t="str">
        <f>IFERROR(__xludf.DUMMYFUNCTION("GOOGLETRANSLATE(B3357, ""es"", ""en"")"),"Excellent Very good all")</f>
        <v>Excellent Very good all</v>
      </c>
    </row>
    <row r="3358">
      <c r="A3358" s="1">
        <v>5.0</v>
      </c>
      <c r="B3358" s="1" t="s">
        <v>3342</v>
      </c>
      <c r="C3358" t="str">
        <f>IFERROR(__xludf.DUMMYFUNCTION("GOOGLETRANSLATE(B3358, ""es"", ""en"")"),"Very good buy. It is very small and once set in an almost does not protrude port that is what I wanted because I drive a bus and passing people had already broken me 2. To this without that problem until it breaks by itself. I usually only use for music, "&amp;"it warmed a bit but it should be normal with this size. It is scratching a little because it is very tight but not too much notice. From now on whenever you need a skewer of this capacity certainly I buy this.")</f>
        <v>Very good buy. It is very small and once set in an almost does not protrude port that is what I wanted because I drive a bus and passing people had already broken me 2. To this without that problem until it breaks by itself. I usually only use for music, it warmed a bit but it should be normal with this size. It is scratching a little because it is very tight but not too much notice. From now on whenever you need a skewer of this capacity certainly I buy this.</v>
      </c>
    </row>
    <row r="3359">
      <c r="A3359" s="1">
        <v>5.0</v>
      </c>
      <c r="B3359" s="1" t="s">
        <v>3343</v>
      </c>
      <c r="C3359" t="str">
        <f>IFERROR(__xludf.DUMMYFUNCTION("GOOGLETRANSLATE(B3359, ""es"", ""en"")"),"He was looking for ice symbol symbol pendant ice as Frozen drawings for my niece and I found this and perfect. This delighted to wear it and think of it as the wrist! Very satisfied with this brand.")</f>
        <v>He was looking for ice symbol symbol pendant ice as Frozen drawings for my niece and I found this and perfect. This delighted to wear it and think of it as the wrist! Very satisfied with this brand.</v>
      </c>
    </row>
    <row r="3360">
      <c r="A3360" s="1">
        <v>5.0</v>
      </c>
      <c r="B3360" s="1" t="s">
        <v>3344</v>
      </c>
      <c r="C3360" t="str">
        <f>IFERROR(__xludf.DUMMYFUNCTION("GOOGLETRANSLATE(B3360, ""es"", ""en"")"),"The great produto! I use it to calientar my bed, and it works very well.")</f>
        <v>The great produto! I use it to calientar my bed, and it works very well.</v>
      </c>
    </row>
    <row r="3361">
      <c r="A3361" s="1">
        <v>5.0</v>
      </c>
      <c r="B3361" s="1" t="s">
        <v>3345</v>
      </c>
      <c r="C3361" t="str">
        <f>IFERROR(__xludf.DUMMYFUNCTION("GOOGLETRANSLATE(B3361, ""es"", ""en"")"),"Very good product good buy, everyone who has tried my happy family, I know more than one gift for his birthday jejejej. The massage gives the pressure as you efectúes to the couch gets you well contractures, I recommend good buy.")</f>
        <v>Very good product good buy, everyone who has tried my happy family, I know more than one gift for his birthday jejejej. The massage gives the pressure as you efectúes to the couch gets you well contractures, I recommend good buy.</v>
      </c>
    </row>
    <row r="3362">
      <c r="A3362" s="1">
        <v>5.0</v>
      </c>
      <c r="B3362" s="1" t="s">
        <v>3346</v>
      </c>
      <c r="C3362" t="str">
        <f>IFERROR(__xludf.DUMMYFUNCTION("GOOGLETRANSLATE(B3362, ""es"", ""en"")"),"Light and strong grip. The battery lasts long, with the advantage of being loaded into the same box where are stored when not in use (you just have to be aware of burdening box, of course). You can use both or only one (being the right the principal), whi"&amp;"ch sometimes is appreciated if you do not want / can isolate much. I have connected to the phone, a computer and the SMART TV. When the power of the cargo is less than 20%, the indicator light load box flash red every 3 seconds. Load the cargo in time and"&amp;" can be fully charged in about 1.5 hours. A Load the cargo box, the indicator of the cargo will continue lit red, and full light will become a steady blue light. HD stereo headphones provide a truly natural sound with powerful bass response. These headpho"&amp;"nes will make you enjoy music with great sound quality. They are very good headphones, as I have understood, this is an update of the headset.")</f>
        <v>Light and strong grip. The battery lasts long, with the advantage of being loaded into the same box where are stored when not in use (you just have to be aware of burdening box, of course). You can use both or only one (being the right the principal), which sometimes is appreciated if you do not want / can isolate much. I have connected to the phone, a computer and the SMART TV. When the power of the cargo is less than 20%, the indicator light load box flash red every 3 seconds. Load the cargo in time and can be fully charged in about 1.5 hours. A Load the cargo box, the indicator of the cargo will continue lit red, and full light will become a steady blue light. HD stereo headphones provide a truly natural sound with powerful bass response. These headphones will make you enjoy music with great sound quality. They are very good headphones, as I have understood, this is an update of the headset.</v>
      </c>
    </row>
    <row r="3363">
      <c r="A3363" s="1">
        <v>5.0</v>
      </c>
      <c r="B3363" s="1" t="s">
        <v>3347</v>
      </c>
      <c r="C3363" t="str">
        <f>IFERROR(__xludf.DUMMYFUNCTION("GOOGLETRANSLATE(B3363, ""es"", ""en"")"),"Great value Just what I expected")</f>
        <v>Great value Just what I expected</v>
      </c>
    </row>
    <row r="3364">
      <c r="A3364" s="1">
        <v>5.0</v>
      </c>
      <c r="B3364" s="1" t="s">
        <v>3348</v>
      </c>
      <c r="C3364" t="str">
        <f>IFERROR(__xludf.DUMMYFUNCTION("GOOGLETRANSLATE(B3364, ""es"", ""en"")"),"Good value for money Easy to install, amazing value for money")</f>
        <v>Good value for money Easy to install, amazing value for money</v>
      </c>
    </row>
    <row r="3365">
      <c r="A3365" s="1">
        <v>5.0</v>
      </c>
      <c r="B3365" s="1" t="s">
        <v>3349</v>
      </c>
      <c r="C3365" t="str">
        <f>IFERROR(__xludf.DUMMYFUNCTION("GOOGLETRANSLATE(B3365, ""es"", ""en"")"),"Recommended Quin loves to the massage is great. Massage that gives pleasure. It has two balls on each side as seen in the photo. It has two positions, fixed with heat light or rotating giving a massage with light. Who would love massages, I recommend")</f>
        <v>Recommended Quin loves to the massage is great. Massage that gives pleasure. It has two balls on each side as seen in the photo. It has two positions, fixed with heat light or rotating giving a massage with light. Who would love massages, I recommend</v>
      </c>
    </row>
    <row r="3366">
      <c r="A3366" s="1">
        <v>5.0</v>
      </c>
      <c r="B3366" s="1" t="s">
        <v>3350</v>
      </c>
      <c r="C3366" t="str">
        <f>IFERROR(__xludf.DUMMYFUNCTION("GOOGLETRANSLATE(B3366, ""es"", ""en"")"),"Velcro adhesive, and Buenos tots. Velcro adhesives come in 10 sheets, 5 of each. They are smaller than I expected, but the velcro is quality, as well as are small they can get better and if necessary can 2. They are good.")</f>
        <v>Velcro adhesive, and Buenos tots. Velcro adhesives come in 10 sheets, 5 of each. They are smaller than I expected, but the velcro is quality, as well as are small they can get better and if necessary can 2. They are good.</v>
      </c>
    </row>
    <row r="3367">
      <c r="A3367" s="1">
        <v>5.0</v>
      </c>
      <c r="B3367" s="1" t="s">
        <v>3351</v>
      </c>
      <c r="C3367" t="str">
        <f>IFERROR(__xludf.DUMMYFUNCTION("GOOGLETRANSLATE(B3367, ""es"", ""en"")"),"Good buy The purchase was very good and very fast. The book came in excellent condition, so if you're worried about sending in my case I had no problem with. About the Book there is little to say, it was exactly what I wanted.")</f>
        <v>Good buy The purchase was very good and very fast. The book came in excellent condition, so if you're worried about sending in my case I had no problem with. About the Book there is little to say, it was exactly what I wanted.</v>
      </c>
    </row>
    <row r="3368">
      <c r="A3368" s="1">
        <v>5.0</v>
      </c>
      <c r="B3368" s="1" t="s">
        <v>3352</v>
      </c>
      <c r="C3368" t="str">
        <f>IFERROR(__xludf.DUMMYFUNCTION("GOOGLETRANSLATE(B3368, ""es"", ""en"")"),"Perfect, good quality. It just works.")</f>
        <v>Perfect, good quality. It just works.</v>
      </c>
    </row>
    <row r="3369">
      <c r="A3369" s="1">
        <v>5.0</v>
      </c>
      <c r="B3369" s="1" t="s">
        <v>3353</v>
      </c>
      <c r="C3369" t="str">
        <f>IFERROR(__xludf.DUMMYFUNCTION("GOOGLETRANSLATE(B3369, ""es"", ""en"")"),"Very comfortable very comfortable, ideal for the beach, to be at home or walking in summer. They dry in a minute and do not sweat the feet. They are not plastic like the Chinese. Thanks very well allow you to walk back to the tape. Would buy them.")</f>
        <v>Very comfortable very comfortable, ideal for the beach, to be at home or walking in summer. They dry in a minute and do not sweat the feet. They are not plastic like the Chinese. Thanks very well allow you to walk back to the tape. Would buy them.</v>
      </c>
    </row>
    <row r="3370">
      <c r="A3370" s="1">
        <v>2.0</v>
      </c>
      <c r="B3370" s="1" t="s">
        <v>3354</v>
      </c>
      <c r="C3370" t="str">
        <f>IFERROR(__xludf.DUMMYFUNCTION("GOOGLETRANSLATE(B3370, ""es"", ""en"")"),"Cable takes turns chose the product by customer feedback, but I think I overlooked if one of them said he was taking turns. And take them. It is away a bit of the amplifier, and back away again and I have to disconnect that has taken many turns. So you ca"&amp;"n not touch. No I've put fewer stars because the sound is good (of course) but initially not recommend it.")</f>
        <v>Cable takes turns chose the product by customer feedback, but I think I overlooked if one of them said he was taking turns. And take them. It is away a bit of the amplifier, and back away again and I have to disconnect that has taken many turns. So you can not touch. No I've put fewer stars because the sound is good (of course) but initially not recommend it.</v>
      </c>
    </row>
    <row r="3371">
      <c r="A3371" s="1">
        <v>3.0</v>
      </c>
      <c r="B3371" s="1" t="s">
        <v>3355</v>
      </c>
      <c r="C3371" t="str">
        <f>IFERROR(__xludf.DUMMYFUNCTION("GOOGLETRANSLATE(B3371, ""es"", ""en"")"),"I did not like the order as it was sent did not like to come every trinket separately, I would have liked to have Biera come all together in a box")</f>
        <v>I did not like the order as it was sent did not like to come every trinket separately, I would have liked to have Biera come all together in a box</v>
      </c>
    </row>
    <row r="3372">
      <c r="A3372" s="1">
        <v>3.0</v>
      </c>
      <c r="B3372" s="1" t="s">
        <v>3356</v>
      </c>
      <c r="C3372" t="str">
        <f>IFERROR(__xludf.DUMMYFUNCTION("GOOGLETRANSLATE(B3372, ""es"", ""en"")"),"Smart For the price it is very well ...")</f>
        <v>Smart For the price it is very well ...</v>
      </c>
    </row>
    <row r="3373">
      <c r="A3373" s="1">
        <v>1.0</v>
      </c>
      <c r="B3373" s="1" t="s">
        <v>3357</v>
      </c>
      <c r="C3373" t="str">
        <f>IFERROR(__xludf.DUMMYFUNCTION("GOOGLETRANSLATE(B3373, ""es"", ""en"")"),"Everything bad choice will ironing is leaving adhered to its board had some, then mancharte the next garment. Very unhappy with it.")</f>
        <v>Everything bad choice will ironing is leaving adhered to its board had some, then mancharte the next garment. Very unhappy with it.</v>
      </c>
    </row>
    <row r="3374">
      <c r="A3374" s="1">
        <v>1.0</v>
      </c>
      <c r="B3374" s="1" t="s">
        <v>3358</v>
      </c>
      <c r="C3374" t="str">
        <f>IFERROR(__xludf.DUMMYFUNCTION("GOOGLETRANSLATE(B3374, ""es"", ""en"")"),"one is awful light it is heated and it reaches 60 °. With a little work remains in fixed 65and that temperature never drops. Copying a file from a USB hard drive you reach the 69th so automatically transfer rate rising from 128 mb / s to 1.4 mb / s is low"&amp;". It is a useless and slow disk M.2 on the subject of temperature, so you always will have to be constantly monitoring the temperature. Adding an even lower temperature sink. DO NOT RECOMMEND TO PURCHASE.")</f>
        <v>one is awful light it is heated and it reaches 60 °. With a little work remains in fixed 65and that temperature never drops. Copying a file from a USB hard drive you reach the 69th so automatically transfer rate rising from 128 mb / s to 1.4 mb / s is low. It is a useless and slow disk M.2 on the subject of temperature, so you always will have to be constantly monitoring the temperature. Adding an even lower temperature sink. DO NOT RECOMMEND TO PURCHASE.</v>
      </c>
    </row>
    <row r="3375">
      <c r="A3375" s="1">
        <v>1.0</v>
      </c>
      <c r="B3375" s="1" t="s">
        <v>3359</v>
      </c>
      <c r="C3375" t="str">
        <f>IFERROR(__xludf.DUMMYFUNCTION("GOOGLETRANSLATE(B3375, ""es"", ""en"")"),"IPhone is not worth not work for iPhone !!!!!")</f>
        <v>IPhone is not worth not work for iPhone !!!!!</v>
      </c>
    </row>
    <row r="3376">
      <c r="A3376" s="1">
        <v>4.0</v>
      </c>
      <c r="B3376" s="1" t="s">
        <v>3360</v>
      </c>
      <c r="C3376" t="str">
        <f>IFERROR(__xludf.DUMMYFUNCTION("GOOGLETRANSLATE(B3376, ""es"", ""en"")"),"Very correct very complete and economical. perfectly meets")</f>
        <v>Very correct very complete and economical. perfectly meets</v>
      </c>
    </row>
    <row r="3377">
      <c r="A3377" s="1">
        <v>4.0</v>
      </c>
      <c r="B3377" s="1" t="s">
        <v>3361</v>
      </c>
      <c r="C3377" t="str">
        <f>IFERROR(__xludf.DUMMYFUNCTION("GOOGLETRANSLATE(B3377, ""es"", ""en"")"),"They are nice and pretty good size and good quality, have a good size")</f>
        <v>They are nice and pretty good size and good quality, have a good size</v>
      </c>
    </row>
    <row r="3378">
      <c r="A3378" s="1">
        <v>4.0</v>
      </c>
      <c r="B3378" s="1" t="s">
        <v>3362</v>
      </c>
      <c r="C3378" t="str">
        <f>IFERROR(__xludf.DUMMYFUNCTION("GOOGLETRANSLATE(B3378, ""es"", ""en"")"),"Good quality and design. Although I had some timing issues, I've tried I found a quality article. Good materials and finished feeling good. Remarkable sound quality, although that everyone is very subjective. The microphone works reasonably well. modern d"&amp;"esign and is striking for elegance. The box with leather finish adds a little elegance. Buy recommended 100%")</f>
        <v>Good quality and design. Although I had some timing issues, I've tried I found a quality article. Good materials and finished feeling good. Remarkable sound quality, although that everyone is very subjective. The microphone works reasonably well. modern design and is striking for elegance. The box with leather finish adds a little elegance. Buy recommended 100%</v>
      </c>
    </row>
    <row r="3379">
      <c r="A3379" s="1">
        <v>4.0</v>
      </c>
      <c r="B3379" s="1" t="s">
        <v>3363</v>
      </c>
      <c r="C3379" t="str">
        <f>IFERROR(__xludf.DUMMYFUNCTION("GOOGLETRANSLATE(B3379, ""es"", ""en"")"),"Handy was a gift for my wife, liked")</f>
        <v>Handy was a gift for my wife, liked</v>
      </c>
    </row>
    <row r="3380">
      <c r="A3380" s="1">
        <v>4.0</v>
      </c>
      <c r="B3380" s="1" t="s">
        <v>3364</v>
      </c>
      <c r="C3380" t="str">
        <f>IFERROR(__xludf.DUMMYFUNCTION("GOOGLETRANSLATE(B3380, ""es"", ""en"")"),"Ideal massage I liked how powerful is the only drawback the cable should be longer.")</f>
        <v>Ideal massage I liked how powerful is the only drawback the cable should be longer.</v>
      </c>
    </row>
    <row r="3381">
      <c r="A3381" s="1">
        <v>5.0</v>
      </c>
      <c r="B3381" s="1" t="s">
        <v>3365</v>
      </c>
      <c r="C3381" t="str">
        <f>IFERROR(__xludf.DUMMYFUNCTION("GOOGLETRANSLATE(B3381, ""es"", ""en"")"),"Very good buy I bought it to get started in learning synthesizers and perfectly meets my expectations. The finish, even though plastic is more than good. I would recommend it for those who want to start in this world, but if you already mastered surely fa"&amp;"ll short.")</f>
        <v>Very good buy I bought it to get started in learning synthesizers and perfectly meets my expectations. The finish, even though plastic is more than good. I would recommend it for those who want to start in this world, but if you already mastered surely fall short.</v>
      </c>
    </row>
    <row r="3382">
      <c r="A3382" s="1">
        <v>5.0</v>
      </c>
      <c r="B3382" s="1" t="s">
        <v>3366</v>
      </c>
      <c r="C3382" t="str">
        <f>IFERROR(__xludf.DUMMYFUNCTION("GOOGLETRANSLATE(B3382, ""es"", ""en"")"),"Perfect good buy pants good quality and aesthetic October 1")</f>
        <v>Perfect good buy pants good quality and aesthetic October 1</v>
      </c>
    </row>
    <row r="3383">
      <c r="A3383" s="1">
        <v>5.0</v>
      </c>
      <c r="B3383" s="1" t="s">
        <v>3367</v>
      </c>
      <c r="C3383" t="str">
        <f>IFERROR(__xludf.DUMMYFUNCTION("GOOGLETRANSLATE(B3383, ""es"", ""en"")"),"the microphone came perfect perfect")</f>
        <v>the microphone came perfect perfect</v>
      </c>
    </row>
    <row r="3384">
      <c r="A3384" s="1">
        <v>5.0</v>
      </c>
      <c r="B3384" s="1" t="s">
        <v>3368</v>
      </c>
      <c r="C3384" t="str">
        <f>IFERROR(__xludf.DUMMYFUNCTION("GOOGLETRANSLATE(B3384, ""es"", ""en"")"),"pretty Cool")</f>
        <v>pretty Cool</v>
      </c>
    </row>
    <row r="3385">
      <c r="A3385" s="1">
        <v>5.0</v>
      </c>
      <c r="B3385" s="1" t="s">
        <v>3369</v>
      </c>
      <c r="C3385" t="str">
        <f>IFERROR(__xludf.DUMMYFUNCTION("GOOGLETRANSLATE(B3385, ""es"", ""en"")"),"Nothing seen so far in blenders. Fantastic. It is not comparable with mixer apparatus fantastic currents. Leave the food finely ground and in record time. I recommend it without any hesitation.")</f>
        <v>Nothing seen so far in blenders. Fantastic. It is not comparable with mixer apparatus fantastic currents. Leave the food finely ground and in record time. I recommend it without any hesitation.</v>
      </c>
    </row>
    <row r="3386">
      <c r="A3386" s="1">
        <v>5.0</v>
      </c>
      <c r="B3386" s="1" t="s">
        <v>3370</v>
      </c>
      <c r="C3386" t="str">
        <f>IFERROR(__xludf.DUMMYFUNCTION("GOOGLETRANSLATE(B3386, ""es"", ""en"")"),"Value Hi. I bought these headphones, despite initially having some reticence for not being a known brand. After seeing the views I encouraged me, as the price seems more than good. I arrived a few days ago and I could try with an iPhone 8. They are comfor"&amp;"table to wear and the music is heard with a correct volume. I think the maximum volume is more than enough and more knowing that they are wireless, but equally at fault anyone can take more power if there is a lot of noise environment (as with any handset"&amp;", I think). I use to work in an office and I look correct. To me I have not moved from the ears or walking down the street or doing household chores. I found the packaging very carefully. The box where everything comes, takes a correct presentation and th"&amp;"e box where you store is quite small (remember we're talking about a headset 50 €) and also has loads while protected from shocks. They are fixed to the box by magnet, so do not move easily. In short, I think they are a very good buy if you do not want to"&amp;" spend that cost 180 € each brand. Surely I repeat purchase for a gift this Christmas.")</f>
        <v>Value Hi. I bought these headphones, despite initially having some reticence for not being a known brand. After seeing the views I encouraged me, as the price seems more than good. I arrived a few days ago and I could try with an iPhone 8. They are comfortable to wear and the music is heard with a correct volume. I think the maximum volume is more than enough and more knowing that they are wireless, but equally at fault anyone can take more power if there is a lot of noise environment (as with any handset, I think). I use to work in an office and I look correct. To me I have not moved from the ears or walking down the street or doing household chores. I found the packaging very carefully. The box where everything comes, takes a correct presentation and the box where you store is quite small (remember we're talking about a headset 50 €) and also has loads while protected from shocks. They are fixed to the box by magnet, so do not move easily. In short, I think they are a very good buy if you do not want to spend that cost 180 € each brand. Surely I repeat purchase for a gift this Christmas.</v>
      </c>
    </row>
    <row r="3387">
      <c r="A3387" s="1">
        <v>5.0</v>
      </c>
      <c r="B3387" s="1" t="s">
        <v>3371</v>
      </c>
      <c r="C3387" t="str">
        <f>IFERROR(__xludf.DUMMYFUNCTION("GOOGLETRANSLATE(B3387, ""es"", ""en"")"),"A perfect my girlfriend have him encantado.Un month later and still perfect.")</f>
        <v>A perfect my girlfriend have him encantado.Un month later and still perfect.</v>
      </c>
    </row>
    <row r="3388">
      <c r="A3388" s="1">
        <v>5.0</v>
      </c>
      <c r="B3388" s="1" t="s">
        <v>3372</v>
      </c>
      <c r="C3388" t="str">
        <f>IFERROR(__xludf.DUMMYFUNCTION("GOOGLETRANSLATE(B3388, ""es"", ""en"")"),"I recommend it 100% recommended for exercise! It has been custom-made and the material is good and strong")</f>
        <v>I recommend it 100% recommended for exercise! It has been custom-made and the material is good and strong</v>
      </c>
    </row>
    <row r="3389">
      <c r="A3389" s="1">
        <v>5.0</v>
      </c>
      <c r="B3389" s="1" t="s">
        <v>3373</v>
      </c>
      <c r="C3389" t="str">
        <f>IFERROR(__xludf.DUMMYFUNCTION("GOOGLETRANSLATE(B3389, ""es"", ""en"")"),"MAGNIFICENT EXCEED MY EXPECTATIONS both quality DESIGN AND CONVENIENCE AND FINISHES.")</f>
        <v>MAGNIFICENT EXCEED MY EXPECTATIONS both quality DESIGN AND CONVENIENCE AND FINISHES.</v>
      </c>
    </row>
    <row r="3390">
      <c r="A3390" s="1">
        <v>5.0</v>
      </c>
      <c r="B3390" s="1" t="s">
        <v>3374</v>
      </c>
      <c r="C3390" t="str">
        <f>IFERROR(__xludf.DUMMYFUNCTION("GOOGLETRANSLATE(B3390, ""es"", ""en"")"),"I guided by the opinions and am very happy so far, I've tried on a couple of occasions and I can tell that is a very good product. Its power is more than enough to use that I'm going to give. That itself is not a good choice if you want a grinder ice.")</f>
        <v>I guided by the opinions and am very happy so far, I've tried on a couple of occasions and I can tell that is a very good product. Its power is more than enough to use that I'm going to give. That itself is not a good choice if you want a grinder ice.</v>
      </c>
    </row>
    <row r="3391">
      <c r="A3391" s="1">
        <v>5.0</v>
      </c>
      <c r="B3391" s="1" t="s">
        <v>3375</v>
      </c>
      <c r="C3391" t="str">
        <f>IFERROR(__xludf.DUMMYFUNCTION("GOOGLETRANSLATE(B3391, ""es"", ""en"")"),"Cloud Domestic affordable I've purchased to control the fate of my photos, documents and other items to decha venain being stuck in the dropbox or OneDrive. Not that unreliable but more info more you pay, this system turns a while to give your functions a"&amp;"nd startup you set up your cloud the size you want and expandable addition to backing RAID. I totally recommend it")</f>
        <v>Cloud Domestic affordable I've purchased to control the fate of my photos, documents and other items to decha venain being stuck in the dropbox or OneDrive. Not that unreliable but more info more you pay, this system turns a while to give your functions and startup you set up your cloud the size you want and expandable addition to backing RAID. I totally recommend it</v>
      </c>
    </row>
    <row r="3392">
      <c r="A3392" s="1">
        <v>5.0</v>
      </c>
      <c r="B3392" s="1" t="s">
        <v>3376</v>
      </c>
      <c r="C3392" t="str">
        <f>IFERROR(__xludf.DUMMYFUNCTION("GOOGLETRANSLATE(B3392, ""es"", ""en"")"),"Very handy is very convenient because most trays of this type have only three compartments and stay small. Very good finish and easy to assemble.")</f>
        <v>Very handy is very convenient because most trays of this type have only three compartments and stay small. Very good finish and easy to assemble.</v>
      </c>
    </row>
    <row r="3393">
      <c r="A3393" s="1">
        <v>5.0</v>
      </c>
      <c r="B3393" s="1" t="s">
        <v>3377</v>
      </c>
      <c r="C3393" t="str">
        <f>IFERROR(__xludf.DUMMYFUNCTION("GOOGLETRANSLATE(B3393, ""es"", ""en"")"),"Good quality. I liked to design and looks even more like all their inner mechanism. The quality is good and corresponds to its price.")</f>
        <v>Good quality. I liked to design and looks even more like all their inner mechanism. The quality is good and corresponds to its price.</v>
      </c>
    </row>
    <row r="3394">
      <c r="A3394" s="1">
        <v>5.0</v>
      </c>
      <c r="B3394" s="1" t="s">
        <v>3378</v>
      </c>
      <c r="C3394" t="str">
        <f>IFERROR(__xludf.DUMMYFUNCTION("GOOGLETRANSLATE(B3394, ""es"", ""en"")"),"right right")</f>
        <v>right right</v>
      </c>
    </row>
    <row r="3395">
      <c r="A3395" s="1">
        <v>5.0</v>
      </c>
      <c r="B3395" s="1" t="s">
        <v>3379</v>
      </c>
      <c r="C3395" t="str">
        <f>IFERROR(__xludf.DUMMYFUNCTION("GOOGLETRANSLATE(B3395, ""es"", ""en"")"),"With voltage selection. It works quickly and takes up little room no objection. Performs its functions perfectly.")</f>
        <v>With voltage selection. It works quickly and takes up little room no objection. Performs its functions perfectly.</v>
      </c>
    </row>
    <row r="3396">
      <c r="A3396" s="1">
        <v>5.0</v>
      </c>
      <c r="B3396" s="1" t="s">
        <v>3380</v>
      </c>
      <c r="C3396" t="str">
        <f>IFERROR(__xludf.DUMMYFUNCTION("GOOGLETRANSLATE(B3396, ""es"", ""en"")"),"They're perfect super comfortable perhaps a little big")</f>
        <v>They're perfect super comfortable perhaps a little big</v>
      </c>
    </row>
    <row r="3397">
      <c r="A3397" s="1">
        <v>5.0</v>
      </c>
      <c r="B3397" s="1" t="s">
        <v>3381</v>
      </c>
      <c r="C3397" t="str">
        <f>IFERROR(__xludf.DUMMYFUNCTION("GOOGLETRANSLATE(B3397, ""es"", ""en"")"),"I expected was what I expected and arrived within stated !! After several weeks of operation I have not noticed any problems!")</f>
        <v>I expected was what I expected and arrived within stated !! After several weeks of operation I have not noticed any problems!</v>
      </c>
    </row>
    <row r="3398">
      <c r="A3398" s="1">
        <v>5.0</v>
      </c>
      <c r="B3398" s="1" t="s">
        <v>3382</v>
      </c>
      <c r="C3398" t="str">
        <f>IFERROR(__xludf.DUMMYFUNCTION("GOOGLETRANSLATE(B3398, ""es"", ""en"")"),"Very good and advisable. It is a plate that covers all the needs I need. Easy to use, it slides well on all surfaces. Very good.")</f>
        <v>Very good and advisable. It is a plate that covers all the needs I need. Easy to use, it slides well on all surfaces. Very good.</v>
      </c>
    </row>
    <row r="3399">
      <c r="A3399" s="1">
        <v>2.0</v>
      </c>
      <c r="B3399" s="1" t="s">
        <v>3383</v>
      </c>
      <c r="C3399" t="str">
        <f>IFERROR(__xludf.DUMMYFUNCTION("GOOGLETRANSLATE(B3399, ""es"", ""en"")"),"Poor quality for the price so exaggerated I bought this product for its ""good reputation"". I did not mind the price, but when before two years, I warmed one of the containers and left parts of me the products in my food, I talked to Amazon, and I got a "&amp;"new one. A few days ago doing a gazpacho, he grabbed my husband, in this case, the mixer and stopped working. Amazon no longer takes care of it for having spent over 2 years, and I am left with a lot of packaging that can no longer use. The problem with t"&amp;"his is that what turns a lot of packaging is a piece of plastic that easily gives way with a little heat. Really, not to buy it because it is done to stop working in a few months.")</f>
        <v>Poor quality for the price so exaggerated I bought this product for its "good reputation". I did not mind the price, but when before two years, I warmed one of the containers and left parts of me the products in my food, I talked to Amazon, and I got a new one. A few days ago doing a gazpacho, he grabbed my husband, in this case, the mixer and stopped working. Amazon no longer takes care of it for having spent over 2 years, and I am left with a lot of packaging that can no longer use. The problem with this is that what turns a lot of packaging is a piece of plastic that easily gives way with a little heat. Really, not to buy it because it is done to stop working in a few months.</v>
      </c>
    </row>
    <row r="3400">
      <c r="A3400" s="1">
        <v>3.0</v>
      </c>
      <c r="B3400" s="1" t="s">
        <v>3384</v>
      </c>
      <c r="C3400" t="str">
        <f>IFERROR(__xludf.DUMMYFUNCTION("GOOGLETRANSLATE(B3400, ""es"", ""en"")"),"Uncomfortable heavy and uncomfortable. The bezel moves with difficulty")</f>
        <v>Uncomfortable heavy and uncomfortable. The bezel moves with difficulty</v>
      </c>
    </row>
    <row r="3401">
      <c r="A3401" s="1">
        <v>3.0</v>
      </c>
      <c r="B3401" s="1" t="s">
        <v>3385</v>
      </c>
      <c r="C3401" t="str">
        <f>IFERROR(__xludf.DUMMYFUNCTION("GOOGLETRANSLATE(B3401, ""es"", ""en"")"),"Very nice watch but difficult to read. Good quality. Good size, but an insurmountable problem for me, the area is completely black and there is no other color marks for hours. Plus digital screens are black also makes them difficult to see and little ligh"&amp;"t. very nice but difficult to read a clock is not very useful time. Excellent seller to the managing shipping and return.")</f>
        <v>Very nice watch but difficult to read. Good quality. Good size, but an insurmountable problem for me, the area is completely black and there is no other color marks for hours. Plus digital screens are black also makes them difficult to see and little light. very nice but difficult to read a clock is not very useful time. Excellent seller to the managing shipping and return.</v>
      </c>
    </row>
    <row r="3402">
      <c r="A3402" s="1">
        <v>1.0</v>
      </c>
      <c r="B3402" s="1" t="s">
        <v>3386</v>
      </c>
      <c r="C3402" t="str">
        <f>IFERROR(__xludf.DUMMYFUNCTION("GOOGLETRANSLATE(B3402, ""es"", ""en"")"),"Estafais swindle photos with photos")</f>
        <v>Estafais swindle photos with photos</v>
      </c>
    </row>
    <row r="3403">
      <c r="A3403" s="1">
        <v>1.0</v>
      </c>
      <c r="B3403" s="1" t="s">
        <v>3387</v>
      </c>
      <c r="C3403" t="str">
        <f>IFERROR(__xludf.DUMMYFUNCTION("GOOGLETRANSLATE(B3403, ""es"", ""en"")"),"Blender is comfortable and powerful, but his arm fell to the ground and immediately broke the insert to the mixer, I lasted a week.")</f>
        <v>Blender is comfortable and powerful, but his arm fell to the ground and immediately broke the insert to the mixer, I lasted a week.</v>
      </c>
    </row>
    <row r="3404">
      <c r="A3404" s="1">
        <v>4.0</v>
      </c>
      <c r="B3404" s="1" t="s">
        <v>3388</v>
      </c>
      <c r="C3404" t="str">
        <f>IFERROR(__xludf.DUMMYFUNCTION("GOOGLETRANSLATE(B3404, ""es"", ""en"")"),"FLOCK OF SUB Overall a good design bag for people looking to have several separate compartments, with slots for pens, notebooks, tarjetas..o what you think of. The fabric is not bad, it is quite robust, and the like zippers. The belt is a little short for"&amp;" my taste, but can be changed for one more suited to your needs. The only downside would you be the color of the fabric. My purchase was negro.pero version is not an intense black, gray strip and fabric style sight it seems aged, not at all like a new bag"&amp;", it's not a good black uniform. Regarding the price, it is at the limit of what seems to me consistent pay for a bag of this size and features.")</f>
        <v>FLOCK OF SUB Overall a good design bag for people looking to have several separate compartments, with slots for pens, notebooks, tarjetas..o what you think of. The fabric is not bad, it is quite robust, and the like zippers. The belt is a little short for my taste, but can be changed for one more suited to your needs. The only downside would you be the color of the fabric. My purchase was negro.pero version is not an intense black, gray strip and fabric style sight it seems aged, not at all like a new bag, it's not a good black uniform. Regarding the price, it is at the limit of what seems to me consistent pay for a bag of this size and features.</v>
      </c>
    </row>
    <row r="3405">
      <c r="A3405" s="1">
        <v>4.0</v>
      </c>
      <c r="B3405" s="1" t="s">
        <v>3389</v>
      </c>
      <c r="C3405" t="str">
        <f>IFERROR(__xludf.DUMMYFUNCTION("GOOGLETRANSLATE(B3405, ""es"", ""en"")"),"great is fine, ordered a full size case, and the truth is I'm very happy, even subject very well and I greatly reduced chest certainly repeat.")</f>
        <v>great is fine, ordered a full size case, and the truth is I'm very happy, even subject very well and I greatly reduced chest certainly repeat.</v>
      </c>
    </row>
    <row r="3406">
      <c r="A3406" s="1">
        <v>4.0</v>
      </c>
      <c r="B3406" s="1" t="s">
        <v>3390</v>
      </c>
      <c r="C3406" t="str">
        <f>IFERROR(__xludf.DUMMYFUNCTION("GOOGLETRANSLATE(B3406, ""es"", ""en"")"),"It is my favorite milk falls into its proper place, with others it stuck, and others went too fast and choked, the nipple is very comfortable for the child.")</f>
        <v>It is my favorite milk falls into its proper place, with others it stuck, and others went too fast and choked, the nipple is very comfortable for the child.</v>
      </c>
    </row>
    <row r="3407">
      <c r="A3407" s="1">
        <v>4.0</v>
      </c>
      <c r="B3407" s="1" t="s">
        <v>3391</v>
      </c>
      <c r="C3407" t="str">
        <f>IFERROR(__xludf.DUMMYFUNCTION("GOOGLETRANSLATE(B3407, ""es"", ""en"")"),"Good choice My size is 43, the well ordered and perfect as a glove. You comfortable! See qtal the winter prxmo behave em twice but I'm happy I have put")</f>
        <v>Good choice My size is 43, the well ordered and perfect as a glove. You comfortable! See qtal the winter prxmo behave em twice but I'm happy I have put</v>
      </c>
    </row>
    <row r="3408">
      <c r="A3408" s="1">
        <v>5.0</v>
      </c>
      <c r="B3408" s="1" t="s">
        <v>3392</v>
      </c>
      <c r="C3408" t="str">
        <f>IFERROR(__xludf.DUMMYFUNCTION("GOOGLETRANSLATE(B3408, ""es"", ""en"")"),"comfortable, warm. Comfortable, rain also go well and shelter and do not imbibe. I caught another number in the subject of socks fat.")</f>
        <v>comfortable, warm. Comfortable, rain also go well and shelter and do not imbibe. I caught another number in the subject of socks fat.</v>
      </c>
    </row>
    <row r="3409">
      <c r="A3409" s="1">
        <v>5.0</v>
      </c>
      <c r="B3409" s="1" t="s">
        <v>3393</v>
      </c>
      <c r="C3409" t="str">
        <f>IFERROR(__xludf.DUMMYFUNCTION("GOOGLETRANSLATE(B3409, ""es"", ""en"")"),"Light Good product")</f>
        <v>Light Good product</v>
      </c>
    </row>
    <row r="3410">
      <c r="A3410" s="1">
        <v>5.0</v>
      </c>
      <c r="B3410" s="1" t="s">
        <v>3394</v>
      </c>
      <c r="C3410" t="str">
        <f>IFERROR(__xludf.DUMMYFUNCTION("GOOGLETRANSLATE(B3410, ""es"", ""en"")"),"handsome is what I expected")</f>
        <v>handsome is what I expected</v>
      </c>
    </row>
    <row r="3411">
      <c r="A3411" s="1">
        <v>5.0</v>
      </c>
      <c r="B3411" s="1" t="s">
        <v>3395</v>
      </c>
      <c r="C3411" t="str">
        <f>IFERROR(__xludf.DUMMYFUNCTION("GOOGLETRANSLATE(B3411, ""es"", ""en"")"),"o.k O.k very functional")</f>
        <v>o.k O.k very functional</v>
      </c>
    </row>
    <row r="3412">
      <c r="A3412" s="1">
        <v>5.0</v>
      </c>
      <c r="B3412" s="1" t="s">
        <v>3396</v>
      </c>
      <c r="C3412" t="str">
        <f>IFERROR(__xludf.DUMMYFUNCTION("GOOGLETRANSLATE(B3412, ""es"", ""en"")"),"I struggled to find them in store A classic no surprises. Carve brand like always (does not match other carvings)")</f>
        <v>I struggled to find them in store A classic no surprises. Carve brand like always (does not match other carvings)</v>
      </c>
    </row>
    <row r="3413">
      <c r="A3413" s="1">
        <v>5.0</v>
      </c>
      <c r="B3413" s="1" t="s">
        <v>3397</v>
      </c>
      <c r="C3413" t="str">
        <f>IFERROR(__xludf.DUMMYFUNCTION("GOOGLETRANSLATE(B3413, ""es"", ""en"")"),"Good record and very good speed Good investment bottle eliminates coello formed by the magnetic disks and much faster than sata port. Once you give the power button for 5 to 6 seconds you have windows already operational. To play very fast loading.")</f>
        <v>Good record and very good speed Good investment bottle eliminates coello formed by the magnetic disks and much faster than sata port. Once you give the power button for 5 to 6 seconds you have windows already operational. To play very fast loading.</v>
      </c>
    </row>
    <row r="3414">
      <c r="A3414" s="1">
        <v>5.0</v>
      </c>
      <c r="B3414" s="1" t="s">
        <v>3398</v>
      </c>
      <c r="C3414" t="str">
        <f>IFERROR(__xludf.DUMMYFUNCTION("GOOGLETRANSLATE(B3414, ""es"", ""en"")"),"Is what was ordered and shipping was right I really liked the color, I used to essential oils to carry in your bag")</f>
        <v>Is what was ordered and shipping was right I really liked the color, I used to essential oils to carry in your bag</v>
      </c>
    </row>
    <row r="3415">
      <c r="A3415" s="1">
        <v>5.0</v>
      </c>
      <c r="B3415" s="1" t="s">
        <v>3399</v>
      </c>
      <c r="C3415" t="str">
        <f>IFERROR(__xludf.DUMMYFUNCTION("GOOGLETRANSLATE(B3415, ""es"", ""en"")"),"Perfect Very good product")</f>
        <v>Perfect Very good product</v>
      </c>
    </row>
    <row r="3416">
      <c r="A3416" s="1">
        <v>5.0</v>
      </c>
      <c r="B3416" s="1" t="s">
        <v>3400</v>
      </c>
      <c r="C3416" t="str">
        <f>IFERROR(__xludf.DUMMYFUNCTION("GOOGLETRANSLATE(B3416, ""es"", ""en"")"),"Excellent Perfecto.")</f>
        <v>Excellent Perfecto.</v>
      </c>
    </row>
    <row r="3417">
      <c r="A3417" s="1">
        <v>5.0</v>
      </c>
      <c r="B3417" s="1" t="s">
        <v>3401</v>
      </c>
      <c r="C3417" t="str">
        <f>IFERROR(__xludf.DUMMYFUNCTION("GOOGLETRANSLATE(B3417, ""es"", ""en"")"),"Great for such a price as expected")</f>
        <v>Great for such a price as expected</v>
      </c>
    </row>
    <row r="3418">
      <c r="A3418" s="1">
        <v>5.0</v>
      </c>
      <c r="B3418" s="1" t="s">
        <v>3402</v>
      </c>
      <c r="C3418" t="str">
        <f>IFERROR(__xludf.DUMMYFUNCTION("GOOGLETRANSLATE(B3418, ""es"", ""en"")"),"good buy right storage without problems and I use it for my mobile Sony also and meets all my expectations")</f>
        <v>good buy right storage without problems and I use it for my mobile Sony also and meets all my expectations</v>
      </c>
    </row>
    <row r="3419">
      <c r="A3419" s="1">
        <v>5.0</v>
      </c>
      <c r="B3419" s="1" t="s">
        <v>3403</v>
      </c>
      <c r="C3419" t="str">
        <f>IFERROR(__xludf.DUMMYFUNCTION("GOOGLETRANSLATE(B3419, ""es"", ""en"")"),"Super interesting bag for price Product very interesting and practical. For its unbeatable price.")</f>
        <v>Super interesting bag for price Product very interesting and practical. For its unbeatable price.</v>
      </c>
    </row>
    <row r="3420">
      <c r="A3420" s="1">
        <v>5.0</v>
      </c>
      <c r="B3420" s="1" t="s">
        <v>3404</v>
      </c>
      <c r="C3420" t="str">
        <f>IFERROR(__xludf.DUMMYFUNCTION("GOOGLETRANSLATE(B3420, ""es"", ""en"")"),"Everything makes its function well")</f>
        <v>Everything makes its function well</v>
      </c>
    </row>
    <row r="3421">
      <c r="A3421" s="1">
        <v>5.0</v>
      </c>
      <c r="B3421" s="1" t="s">
        <v>3405</v>
      </c>
      <c r="C3421" t="str">
        <f>IFERROR(__xludf.DUMMYFUNCTION("GOOGLETRANSLATE(B3421, ""es"", ""en"")"),"Powerful and effective. Blender Taurus Bapi Unic 900 is a small appliance very robust, easy to use, with good power. The entire assembly is in contact with the elements to beat or sting are made of stainless steel so the quality of them are insured. With "&amp;"900W power connected to the system we can perfectly ice crushing blades. This whole system works by having two buttons at the top, one to beat with the speed we have put you in the gear selector we can see at the top of the mixer, we select 20 different s"&amp;"peeds. The use is very comfortable and ergonomic, in testing I've done so I found. Also highlight the simplicity for disassembling the cutter system and subsequently cleaned, simply turning the bottom. The dimensions are approximately 39 c 5'5 cm, with a "&amp;"controlled weight for the power having 798 grams. Rotation System Turbo system helps enormously to the Unic Taurus Bapi 900 to leave any food chopped smooth and very smooth. In the test at full power thing you notice is their strength, have to grab the mi"&amp;"xer and container glass for food, or yes, because otherwise it will shoot. In short, an excellent small appliances that will be very useful in your kitchen, and priced very tight.")</f>
        <v>Powerful and effective. Blender Taurus Bapi Unic 900 is a small appliance very robust, easy to use, with good power. The entire assembly is in contact with the elements to beat or sting are made of stainless steel so the quality of them are insured. With 900W power connected to the system we can perfectly ice crushing blades. This whole system works by having two buttons at the top, one to beat with the speed we have put you in the gear selector we can see at the top of the mixer, we select 20 different speeds. The use is very comfortable and ergonomic, in testing I've done so I found. Also highlight the simplicity for disassembling the cutter system and subsequently cleaned, simply turning the bottom. The dimensions are approximately 39 c 5'5 cm, with a controlled weight for the power having 798 grams. Rotation System Turbo system helps enormously to the Unic Taurus Bapi 900 to leave any food chopped smooth and very smooth. In the test at full power thing you notice is their strength, have to grab the mixer and container glass for food, or yes, because otherwise it will shoot. In short, an excellent small appliances that will be very useful in your kitchen, and priced very tight.</v>
      </c>
    </row>
    <row r="3422">
      <c r="A3422" s="1">
        <v>5.0</v>
      </c>
      <c r="B3422" s="1" t="s">
        <v>3406</v>
      </c>
      <c r="C3422" t="str">
        <f>IFERROR(__xludf.DUMMYFUNCTION("GOOGLETRANSLATE(B3422, ""es"", ""en"")"),"Fashion Comfortable")</f>
        <v>Fashion Comfortable</v>
      </c>
    </row>
    <row r="3423">
      <c r="A3423" s="1">
        <v>5.0</v>
      </c>
      <c r="B3423" s="1" t="s">
        <v>3407</v>
      </c>
      <c r="C3423" t="str">
        <f>IFERROR(__xludf.DUMMYFUNCTION("GOOGLETRANSLATE(B3423, ""es"", ""en"")"),"Hello necessary functional and good afternoon, files are functional and necessary to have the important things sorted and classified")</f>
        <v>Hello necessary functional and good afternoon, files are functional and necessary to have the important things sorted and classified</v>
      </c>
    </row>
    <row r="3424">
      <c r="A3424" s="1">
        <v>5.0</v>
      </c>
      <c r="B3424" s="1" t="s">
        <v>3408</v>
      </c>
      <c r="C3424" t="str">
        <f>IFERROR(__xludf.DUMMYFUNCTION("GOOGLETRANSLATE(B3424, ""es"", ""en"")"),"Brutal sounds mb")</f>
        <v>Brutal sounds mb</v>
      </c>
    </row>
    <row r="3425">
      <c r="A3425" s="1">
        <v>5.0</v>
      </c>
      <c r="B3425" s="1" t="s">
        <v>3409</v>
      </c>
      <c r="C3425" t="str">
        <f>IFERROR(__xludf.DUMMYFUNCTION("GOOGLETRANSLATE(B3425, ""es"", ""en"")"),"Pretty good price")</f>
        <v>Pretty good price</v>
      </c>
    </row>
    <row r="3426">
      <c r="A3426" s="1">
        <v>5.0</v>
      </c>
      <c r="B3426" s="1" t="s">
        <v>3410</v>
      </c>
      <c r="C3426" t="str">
        <f>IFERROR(__xludf.DUMMYFUNCTION("GOOGLETRANSLATE(B3426, ""es"", ""en"")"),"Light and sound I bought this amp with the idea of ​​not letting me voice at the summer camp for classes that give children as an instructor. I see that will serve my purposes, it achieves high-volume and sound quality, and while it weighs nothing.")</f>
        <v>Light and sound I bought this amp with the idea of ​​not letting me voice at the summer camp for classes that give children as an instructor. I see that will serve my purposes, it achieves high-volume and sound quality, and while it weighs nothing.</v>
      </c>
    </row>
    <row r="3427">
      <c r="A3427" s="1">
        <v>2.0</v>
      </c>
      <c r="B3427" s="1" t="s">
        <v>3411</v>
      </c>
      <c r="C3427" t="str">
        <f>IFERROR(__xludf.DUMMYFUNCTION("GOOGLETRANSLATE(B3427, ""es"", ""en"")"),"I can not wear them by the end I was a autoregalo gustaro much but unfortunately I arrived without a closure")</f>
        <v>I can not wear them by the end I was a autoregalo gustaro much but unfortunately I arrived without a closure</v>
      </c>
    </row>
    <row r="3428">
      <c r="A3428" s="1">
        <v>3.0</v>
      </c>
      <c r="B3428" s="1" t="s">
        <v>3412</v>
      </c>
      <c r="C3428" t="str">
        <f>IFERROR(__xludf.DUMMYFUNCTION("GOOGLETRANSLATE(B3428, ""es"", ""en"")"),"Price uncompetitive and fall. The I returned because they fell in the gym. I imagine that this type are all more or less alike. On the other hand they are very expensive for what they are.")</f>
        <v>Price uncompetitive and fall. The I returned because they fell in the gym. I imagine that this type are all more or less alike. On the other hand they are very expensive for what they are.</v>
      </c>
    </row>
    <row r="3429">
      <c r="A3429" s="1">
        <v>3.0</v>
      </c>
      <c r="B3429" s="1" t="s">
        <v>3413</v>
      </c>
      <c r="C3429" t="str">
        <f>IFERROR(__xludf.DUMMYFUNCTION("GOOGLETRANSLATE(B3429, ""es"", ""en"")"),"very well and bought at a great price recommended amazon buy them without knowing but I really like use for work are very comodas.se me spoiling them the template to the month and a half without bone exaggeration that cheaper not know if are imitation but"&amp;" I like to come repair 25e")</f>
        <v>very well and bought at a great price recommended amazon buy them without knowing but I really like use for work are very comodas.se me spoiling them the template to the month and a half without bone exaggeration that cheaper not know if are imitation but I like to come repair 25e</v>
      </c>
    </row>
    <row r="3430">
      <c r="A3430" s="1">
        <v>1.0</v>
      </c>
      <c r="B3430" s="1" t="s">
        <v>3414</v>
      </c>
      <c r="C3430" t="str">
        <f>IFERROR(__xludf.DUMMYFUNCTION("GOOGLETRANSLATE(B3430, ""es"", ""en"")"),"I had to return it because I had to devoverlo got me a different box in which the glass is not included to grind seeds. I asked another of different brand.")</f>
        <v>I had to return it because I had to devoverlo got me a different box in which the glass is not included to grind seeds. I asked another of different brand.</v>
      </c>
    </row>
    <row r="3431">
      <c r="A3431" s="1">
        <v>1.0</v>
      </c>
      <c r="B3431" s="1" t="s">
        <v>3415</v>
      </c>
      <c r="C3431" t="str">
        <f>IFERROR(__xludf.DUMMYFUNCTION("GOOGLETRANSLATE(B3431, ""es"", ""en"")"),"And now that? It has come up with the old battery 😡")</f>
        <v>And now that? It has come up with the old battery 😡</v>
      </c>
    </row>
    <row r="3432">
      <c r="A3432" s="1">
        <v>4.0</v>
      </c>
      <c r="B3432" s="1" t="s">
        <v>3416</v>
      </c>
      <c r="C3432" t="str">
        <f>IFERROR(__xludf.DUMMYFUNCTION("GOOGLETRANSLATE(B3432, ""es"", ""en"")"),"Perfect Everything perfect, arrived quickly and in perfect condition. Vans quality of life The only downside is that with time and use the sole comes off a bit on the fingers fold foot. But this is something Vans design in all models passes")</f>
        <v>Perfect Everything perfect, arrived quickly and in perfect condition. Vans quality of life The only downside is that with time and use the sole comes off a bit on the fingers fold foot. But this is something Vans design in all models passes</v>
      </c>
    </row>
    <row r="3433">
      <c r="A3433" s="1">
        <v>4.0</v>
      </c>
      <c r="B3433" s="1" t="s">
        <v>3417</v>
      </c>
      <c r="C3433" t="str">
        <f>IFERROR(__xludf.DUMMYFUNCTION("GOOGLETRANSLATE(B3433, ""es"", ""en"")"),"Good product can not comment because for reasons beyond my voluntat, I have it on camera but feel estrenar.Lo")</f>
        <v>Good product can not comment because for reasons beyond my voluntat, I have it on camera but feel estrenar.Lo</v>
      </c>
    </row>
    <row r="3434">
      <c r="A3434" s="1">
        <v>4.0</v>
      </c>
      <c r="B3434" s="1" t="s">
        <v>3418</v>
      </c>
      <c r="C3434" t="str">
        <f>IFERROR(__xludf.DUMMYFUNCTION("GOOGLETRANSLATE(B3434, ""es"", ""en"")"),"It looks good looks good, but is somewhat complicated to put on. At the end, we had to lead to a watchmaker to adjust it.")</f>
        <v>It looks good looks good, but is somewhat complicated to put on. At the end, we had to lead to a watchmaker to adjust it.</v>
      </c>
    </row>
    <row r="3435">
      <c r="A3435" s="1">
        <v>4.0</v>
      </c>
      <c r="B3435" s="1" t="s">
        <v>3419</v>
      </c>
      <c r="C3435" t="str">
        <f>IFERROR(__xludf.DUMMYFUNCTION("GOOGLETRANSLATE(B3435, ""es"", ""en"")"),"the truth that a great fit me very well. and I had tried them in the store, physically, so I expected but very cool sn weigh no walks and very comfortable.")</f>
        <v>the truth that a great fit me very well. and I had tried them in the store, physically, so I expected but very cool sn weigh no walks and very comfortable.</v>
      </c>
    </row>
    <row r="3436">
      <c r="A3436" s="1">
        <v>4.0</v>
      </c>
      <c r="B3436" s="1" t="s">
        <v>3420</v>
      </c>
      <c r="C3436" t="str">
        <f>IFERROR(__xludf.DUMMYFUNCTION("GOOGLETRANSLATE(B3436, ""es"", ""en"")"),"Earrings I liked to go all placed in a box, was a gift for my niece and liked it.")</f>
        <v>Earrings I liked to go all placed in a box, was a gift for my niece and liked it.</v>
      </c>
    </row>
    <row r="3437">
      <c r="A3437" s="1">
        <v>5.0</v>
      </c>
      <c r="B3437" s="1" t="s">
        <v>3421</v>
      </c>
      <c r="C3437" t="str">
        <f>IFERROR(__xludf.DUMMYFUNCTION("GOOGLETRANSLATE(B3437, ""es"", ""en"")"),"Good buy The boat is not much the amount but is ideal for putting glue directly on the edges of the screens.")</f>
        <v>Good buy The boat is not much the amount but is ideal for putting glue directly on the edges of the screens.</v>
      </c>
    </row>
    <row r="3438">
      <c r="A3438" s="1">
        <v>5.0</v>
      </c>
      <c r="B3438" s="1" t="s">
        <v>3422</v>
      </c>
      <c r="C3438" t="str">
        <f>IFERROR(__xludf.DUMMYFUNCTION("GOOGLETRANSLATE(B3438, ""es"", ""en"")"),"Precious. I love! Precious. I love! Prettier than the picture. I even asked for another gift. I loved and much use.")</f>
        <v>Precious. I love! Precious. I love! Prettier than the picture. I even asked for another gift. I loved and much use.</v>
      </c>
    </row>
    <row r="3439">
      <c r="A3439" s="1">
        <v>5.0</v>
      </c>
      <c r="B3439" s="1" t="s">
        <v>3423</v>
      </c>
      <c r="C3439" t="str">
        <f>IFERROR(__xludf.DUMMYFUNCTION("GOOGLETRANSLATE(B3439, ""es"", ""en"")"),"Highly recommended sneakers very cool, as in the photo. Are the original, very fast came in the box and very well priced and perfect q all")</f>
        <v>Highly recommended sneakers very cool, as in the photo. Are the original, very fast came in the box and very well priced and perfect q all</v>
      </c>
    </row>
    <row r="3440">
      <c r="A3440" s="1">
        <v>5.0</v>
      </c>
      <c r="B3440" s="1" t="s">
        <v>3424</v>
      </c>
      <c r="C3440" t="str">
        <f>IFERROR(__xludf.DUMMYFUNCTION("GOOGLETRANSLATE(B3440, ""es"", ""en"")"),"Coat comfortable coat is very comfortable because while it is light abruga much. Here it is very cold in winter is perfect for staying warm. For its outer fabric also it makes waterproof when it rains.")</f>
        <v>Coat comfortable coat is very comfortable because while it is light abruga much. Here it is very cold in winter is perfect for staying warm. For its outer fabric also it makes waterproof when it rains.</v>
      </c>
    </row>
    <row r="3441">
      <c r="A3441" s="1">
        <v>5.0</v>
      </c>
      <c r="B3441" s="1" t="s">
        <v>3425</v>
      </c>
      <c r="C3441" t="str">
        <f>IFERROR(__xludf.DUMMYFUNCTION("GOOGLETRANSLATE(B3441, ""es"", ""en"")"),"I expected. Right. It conforms to the description. Good.")</f>
        <v>I expected. Right. It conforms to the description. Good.</v>
      </c>
    </row>
    <row r="3442">
      <c r="A3442" s="1">
        <v>5.0</v>
      </c>
      <c r="B3442" s="1" t="s">
        <v>3426</v>
      </c>
      <c r="C3442" t="str">
        <f>IFERROR(__xludf.DUMMYFUNCTION("GOOGLETRANSLATE(B3442, ""es"", ""en"")"),"MICROWAVE MILECTRIC MIW-20LB Perfect quality - price. Very fast delivery.")</f>
        <v>MICROWAVE MILECTRIC MIW-20LB Perfect quality - price. Very fast delivery.</v>
      </c>
    </row>
    <row r="3443">
      <c r="A3443" s="1">
        <v>5.0</v>
      </c>
      <c r="B3443" s="1" t="s">
        <v>3427</v>
      </c>
      <c r="C3443" t="str">
        <f>IFERROR(__xludf.DUMMYFUNCTION("GOOGLETRANSLATE(B3443, ""es"", ""en"")"),"Hdd Play 4 I bought to replace the hard drive of a Play4, and is perfect")</f>
        <v>Hdd Play 4 I bought to replace the hard drive of a Play4, and is perfect</v>
      </c>
    </row>
    <row r="3444">
      <c r="A3444" s="1">
        <v>5.0</v>
      </c>
      <c r="B3444" s="1" t="s">
        <v>3428</v>
      </c>
      <c r="C3444" t="str">
        <f>IFERROR(__xludf.DUMMYFUNCTION("GOOGLETRANSLATE(B3444, ""es"", ""en"")"),"Encantada everything perfect and fast shipping")</f>
        <v>Encantada everything perfect and fast shipping</v>
      </c>
    </row>
    <row r="3445">
      <c r="A3445" s="1">
        <v>5.0</v>
      </c>
      <c r="B3445" s="1" t="s">
        <v>3429</v>
      </c>
      <c r="C3445" t="str">
        <f>IFERROR(__xludf.DUMMYFUNCTION("GOOGLETRANSLATE(B3445, ""es"", ""en"")"),"It was a very nice gift and charm")</f>
        <v>It was a very nice gift and charm</v>
      </c>
    </row>
    <row r="3446">
      <c r="A3446" s="1">
        <v>5.0</v>
      </c>
      <c r="B3446" s="1" t="s">
        <v>3430</v>
      </c>
      <c r="C3446" t="str">
        <f>IFERROR(__xludf.DUMMYFUNCTION("GOOGLETRANSLATE(B3446, ""es"", ""en"")"),"quality Guitar")</f>
        <v>quality Guitar</v>
      </c>
    </row>
    <row r="3447">
      <c r="A3447" s="1">
        <v>5.0</v>
      </c>
      <c r="B3447" s="1" t="s">
        <v>3431</v>
      </c>
      <c r="C3447" t="str">
        <f>IFERROR(__xludf.DUMMYFUNCTION("GOOGLETRANSLATE(B3447, ""es"", ""en"")"),"sd great")</f>
        <v>sd great</v>
      </c>
    </row>
    <row r="3448">
      <c r="A3448" s="1">
        <v>5.0</v>
      </c>
      <c r="B3448" s="1" t="s">
        <v>3432</v>
      </c>
      <c r="C3448" t="str">
        <f>IFERROR(__xludf.DUMMYFUNCTION("GOOGLETRANSLATE(B3448, ""es"", ""en"")"),"Surprising for the price For the price we have I do not think there headphones such that sound better. I took almost a month with them and last about 15 hours. The only downside I find them is you can not raise or lower the volume with them, but you have "&amp;"to do it from your mobile. Of course, for 30 € and would be too. With a discount coupon on the day of the father she left me for 22 €.")</f>
        <v>Surprising for the price For the price we have I do not think there headphones such that sound better. I took almost a month with them and last about 15 hours. The only downside I find them is you can not raise or lower the volume with them, but you have to do it from your mobile. Of course, for 30 € and would be too. With a discount coupon on the day of the father she left me for 22 €.</v>
      </c>
    </row>
    <row r="3449">
      <c r="A3449" s="1">
        <v>5.0</v>
      </c>
      <c r="B3449" s="1" t="s">
        <v>3433</v>
      </c>
      <c r="C3449" t="str">
        <f>IFERROR(__xludf.DUMMYFUNCTION("GOOGLETRANSLATE(B3449, ""es"", ""en"")"),"+ Q right for value work perfectly, worth. The use karaoke and give me more than 8 meters away. all ok")</f>
        <v>+ Q right for value work perfectly, worth. The use karaoke and give me more than 8 meters away. all ok</v>
      </c>
    </row>
    <row r="3450">
      <c r="A3450" s="1">
        <v>5.0</v>
      </c>
      <c r="B3450" s="1" t="s">
        <v>3434</v>
      </c>
      <c r="C3450" t="str">
        <f>IFERROR(__xludf.DUMMYFUNCTION("GOOGLETRANSLATE(B3450, ""es"", ""en"")"),"Perfect. I struggled to find the exact number because the tables where the measures in cm are not exactly match the size EU. After using them for a few months and make the road to Santiago with them, I can say that they are very comfortable, perfect walki"&amp;"ng boots long periods. I have saved more than a sprained ankle on paved roads. In addition, after passing ponds, streams, and withstand rain, the feet were dry, they are completely waterproof. Pleased with them.")</f>
        <v>Perfect. I struggled to find the exact number because the tables where the measures in cm are not exactly match the size EU. After using them for a few months and make the road to Santiago with them, I can say that they are very comfortable, perfect walking boots long periods. I have saved more than a sprained ankle on paved roads. In addition, after passing ponds, streams, and withstand rain, the feet were dry, they are completely waterproof. Pleased with them.</v>
      </c>
    </row>
    <row r="3451">
      <c r="A3451" s="1">
        <v>5.0</v>
      </c>
      <c r="B3451" s="1" t="s">
        <v>3435</v>
      </c>
      <c r="C3451" t="str">
        <f>IFERROR(__xludf.DUMMYFUNCTION("GOOGLETRANSLATE(B3451, ""es"", ""en"")"),"The soft and warm cap fits well and closes strong enough so that the water does not come out. The fabric is soft and comes with an extra wrapping cash them. It fulfills its function, keeps the heat for quite some time and warms the bed.")</f>
        <v>The soft and warm cap fits well and closes strong enough so that the water does not come out. The fabric is soft and comes with an extra wrapping cash them. It fulfills its function, keeps the heat for quite some time and warms the bed.</v>
      </c>
    </row>
    <row r="3452">
      <c r="A3452" s="1">
        <v>5.0</v>
      </c>
      <c r="B3452" s="1" t="s">
        <v>3436</v>
      </c>
      <c r="C3452" t="str">
        <f>IFERROR(__xludf.DUMMYFUNCTION("GOOGLETRANSLATE(B3452, ""es"", ""en"")"),"See recommended these oils smell great, I'm really very happy with the product goes great with just a droplet acclimate any interior.")</f>
        <v>See recommended these oils smell great, I'm really very happy with the product goes great with just a droplet acclimate any interior.</v>
      </c>
    </row>
    <row r="3453">
      <c r="A3453" s="1">
        <v>5.0</v>
      </c>
      <c r="B3453" s="1" t="s">
        <v>3437</v>
      </c>
      <c r="C3453" t="str">
        <f>IFERROR(__xludf.DUMMYFUNCTION("GOOGLETRANSLATE(B3453, ""es"", ""en"")"),"MARVELOUS am delighted with ella.Yo I am nothing skilled with mayonnaise and accessory smoothly and I make at a time. It has become my ally in the kitchen to do everything, sauces, meringues, etc. Fast shipping, and perfect")</f>
        <v>MARVELOUS am delighted with ella.Yo I am nothing skilled with mayonnaise and accessory smoothly and I make at a time. It has become my ally in the kitchen to do everything, sauces, meringues, etc. Fast shipping, and perfect</v>
      </c>
    </row>
    <row r="3454">
      <c r="A3454" s="1">
        <v>5.0</v>
      </c>
      <c r="B3454" s="1" t="s">
        <v>3438</v>
      </c>
      <c r="C3454" t="str">
        <f>IFERROR(__xludf.DUMMYFUNCTION("GOOGLETRANSLATE(B3454, ""es"", ""en"")"),"Great I loved so much that I returned to buy another gift.")</f>
        <v>Great I loved so much that I returned to buy another gift.</v>
      </c>
    </row>
    <row r="3455">
      <c r="A3455" s="1">
        <v>5.0</v>
      </c>
      <c r="B3455" s="1" t="s">
        <v>3439</v>
      </c>
      <c r="C3455" t="str">
        <f>IFERROR(__xludf.DUMMYFUNCTION("GOOGLETRANSLATE(B3455, ""es"", ""en"")"),"perfect the best shoes I've worn")</f>
        <v>perfect the best shoes I've worn</v>
      </c>
    </row>
    <row r="3456">
      <c r="A3456" s="1">
        <v>2.0</v>
      </c>
      <c r="B3456" s="1" t="s">
        <v>3440</v>
      </c>
      <c r="C3456" t="str">
        <f>IFERROR(__xludf.DUMMYFUNCTION("GOOGLETRANSLATE(B3456, ""es"", ""en"")"),"The case was expecting more as average. Material is not very thick. Expected more robust and resistant for 7 €. The zipper should be the bomb but does not justify the purchase.")</f>
        <v>The case was expecting more as average. Material is not very thick. Expected more robust and resistant for 7 €. The zipper should be the bomb but does not justify the purchase.</v>
      </c>
    </row>
    <row r="3457">
      <c r="A3457" s="1">
        <v>3.0</v>
      </c>
      <c r="B3457" s="1" t="s">
        <v>3441</v>
      </c>
      <c r="C3457" t="str">
        <f>IFERROR(__xludf.DUMMYFUNCTION("GOOGLETRANSLATE(B3457, ""es"", ""en"")"),"Quitapelusa roll very average I was disappointed enough. From the comments it seemed to be very good, but I do not think so. I bought it to remove cat hairs on my clothes and my first pass more or less removed, but in the next pass, as is the roller full "&amp;"of hair and fluff, hardly detracts. It is quite difficult to remove the used paper roll because you have to pull a corner of the paper and is not easy. Then yes all the paper out easily used and is new. I recommend it only for specific cases and not to cl"&amp;"ean every day.")</f>
        <v>Quitapelusa roll very average I was disappointed enough. From the comments it seemed to be very good, but I do not think so. I bought it to remove cat hairs on my clothes and my first pass more or less removed, but in the next pass, as is the roller full of hair and fluff, hardly detracts. It is quite difficult to remove the used paper roll because you have to pull a corner of the paper and is not easy. Then yes all the paper out easily used and is new. I recommend it only for specific cases and not to clean every day.</v>
      </c>
    </row>
    <row r="3458">
      <c r="A3458" s="1">
        <v>3.0</v>
      </c>
      <c r="B3458" s="1" t="s">
        <v>3442</v>
      </c>
      <c r="C3458" t="str">
        <f>IFERROR(__xludf.DUMMYFUNCTION("GOOGLETRANSLATE(B3458, ""es"", ""en"")"),"Good Good Value")</f>
        <v>Good Good Value</v>
      </c>
    </row>
    <row r="3459">
      <c r="A3459" s="1">
        <v>1.0</v>
      </c>
      <c r="B3459" s="1" t="s">
        <v>3443</v>
      </c>
      <c r="C3459" t="str">
        <f>IFERROR(__xludf.DUMMYFUNCTION("GOOGLETRANSLATE(B3459, ""es"", ""en"")"),"Fatal malisima quality, we went to spend the day at a water park and buy not to burn the ground and we have lasted one day. Buy 5 and all have cast holes, for what they're worth a scam.")</f>
        <v>Fatal malisima quality, we went to spend the day at a water park and buy not to burn the ground and we have lasted one day. Buy 5 and all have cast holes, for what they're worth a scam.</v>
      </c>
    </row>
    <row r="3460">
      <c r="A3460" s="1">
        <v>1.0</v>
      </c>
      <c r="B3460" s="1" t="s">
        <v>3444</v>
      </c>
      <c r="C3460" t="str">
        <f>IFERROR(__xludf.DUMMYFUNCTION("GOOGLETRANSLATE(B3460, ""es"", ""en"")"),"Disgusted with the quality I lasted 4 months. No shock, always cover. Suddenly one day stop reading your computer. I lost some very important information about my work. I am disgusted with this product")</f>
        <v>Disgusted with the quality I lasted 4 months. No shock, always cover. Suddenly one day stop reading your computer. I lost some very important information about my work. I am disgusted with this product</v>
      </c>
    </row>
    <row r="3461">
      <c r="A3461" s="1">
        <v>4.0</v>
      </c>
      <c r="B3461" s="1" t="s">
        <v>3445</v>
      </c>
      <c r="C3461" t="str">
        <f>IFERROR(__xludf.DUMMYFUNCTION("GOOGLETRANSLATE(B3461, ""es"", ""en"")"),"Very good buy for that price is fine. The connectors are quality, though possibly cable material itself does not last long in conditions concert. To play at home or studio is fine.")</f>
        <v>Very good buy for that price is fine. The connectors are quality, though possibly cable material itself does not last long in conditions concert. To play at home or studio is fine.</v>
      </c>
    </row>
    <row r="3462">
      <c r="A3462" s="1">
        <v>4.0</v>
      </c>
      <c r="B3462" s="1" t="s">
        <v>3446</v>
      </c>
      <c r="C3462" t="str">
        <f>IFERROR(__xludf.DUMMYFUNCTION("GOOGLETRANSLATE(B3462, ""es"", ""en"")"),"Original Replacement Strap original so without objection. But comes without screwdriver for special screws ... That can be a problem and the price has to include the screwdriver is not crazy ...")</f>
        <v>Original Replacement Strap original so without objection. But comes without screwdriver for special screws ... That can be a problem and the price has to include the screwdriver is not crazy ...</v>
      </c>
    </row>
    <row r="3463">
      <c r="A3463" s="1">
        <v>4.0</v>
      </c>
      <c r="B3463" s="1" t="s">
        <v>3447</v>
      </c>
      <c r="C3463" t="str">
        <f>IFERROR(__xludf.DUMMYFUNCTION("GOOGLETRANSLATE(B3463, ""es"", ""en"")"),"Good shoes to wear. Dress shoes, beautiful and good quality. If given use (for all) are broken and ripped, but in my case will remain small before not to use them.")</f>
        <v>Good shoes to wear. Dress shoes, beautiful and good quality. If given use (for all) are broken and ripped, but in my case will remain small before not to use them.</v>
      </c>
    </row>
    <row r="3464">
      <c r="A3464" s="1">
        <v>4.0</v>
      </c>
      <c r="B3464" s="1" t="s">
        <v>3448</v>
      </c>
      <c r="C3464" t="str">
        <f>IFERROR(__xludf.DUMMYFUNCTION("GOOGLETRANSLATE(B3464, ""es"", ""en"")"),"Good buy The size and fabric, right. The only downside is that it is very thin, so if it's cold, does not harbor. It is better to wait until spring to put it")</f>
        <v>Good buy The size and fabric, right. The only downside is that it is very thin, so if it's cold, does not harbor. It is better to wait until spring to put it</v>
      </c>
    </row>
    <row r="3465">
      <c r="A3465" s="1">
        <v>4.0</v>
      </c>
      <c r="B3465" s="1" t="s">
        <v>3449</v>
      </c>
      <c r="C3465" t="str">
        <f>IFERROR(__xludf.DUMMYFUNCTION("GOOGLETRANSLATE(B3465, ""es"", ""en"")"),"Almost perfect style and quality of an unassailable level. Q All functions may be asked to watch this style. Q only thing I do not liked and why not give the 5, q is the fact lacquered box has a very different silvery metal strap and plastic unveiling its"&amp;" architecture and style ... If lowering the metal box outside or the finish was more remembered, I did not give him 4 gave 10 star. A shame there cheaper casios where everything is metal ... Anyway, I'll look for a good metallic spray q I would like a hac"&amp;"k. By the way, look for all the mods on Youtube. q is be made, missed;)")</f>
        <v>Almost perfect style and quality of an unassailable level. Q All functions may be asked to watch this style. Q only thing I do not liked and why not give the 5, q is the fact lacquered box has a very different silvery metal strap and plastic unveiling its architecture and style ... If lowering the metal box outside or the finish was more remembered, I did not give him 4 gave 10 star. A shame there cheaper casios where everything is metal ... Anyway, I'll look for a good metallic spray q I would like a hack. By the way, look for all the mods on Youtube. q is be made, missed;)</v>
      </c>
    </row>
    <row r="3466">
      <c r="A3466" s="1">
        <v>5.0</v>
      </c>
      <c r="B3466" s="1" t="s">
        <v>3450</v>
      </c>
      <c r="C3466" t="str">
        <f>IFERROR(__xludf.DUMMYFUNCTION("GOOGLETRANSLATE(B3466, ""es"", ""en"")"),"Very positive Very good quality price.")</f>
        <v>Very positive Very good quality price.</v>
      </c>
    </row>
    <row r="3467">
      <c r="A3467" s="1">
        <v>5.0</v>
      </c>
      <c r="B3467" s="1" t="s">
        <v>3451</v>
      </c>
      <c r="C3467" t="str">
        <f>IFERROR(__xludf.DUMMYFUNCTION("GOOGLETRANSLATE(B3467, ""es"", ""en"")"),"Highly recommended. A pleasure to spend the winter with this hell. Two separate commands to the temperature on both sides. You have to try it.")</f>
        <v>Highly recommended. A pleasure to spend the winter with this hell. Two separate commands to the temperature on both sides. You have to try it.</v>
      </c>
    </row>
    <row r="3468">
      <c r="A3468" s="1">
        <v>5.0</v>
      </c>
      <c r="B3468" s="1" t="s">
        <v>3452</v>
      </c>
      <c r="C3468" t="str">
        <f>IFERROR(__xludf.DUMMYFUNCTION("GOOGLETRANSLATE(B3468, ""es"", ""en"")"),"Perfect in design and performance. Watch very combinable for sport or out and both very nice aesthetic. I gave him my son a while ago and actually several people have looked at the clock and ask that brand is. It seems more than you paid for it. It is wor"&amp;"king properly and recommend tiempo.Lo ago if someone has to make a gift.")</f>
        <v>Perfect in design and performance. Watch very combinable for sport or out and both very nice aesthetic. I gave him my son a while ago and actually several people have looked at the clock and ask that brand is. It seems more than you paid for it. It is working properly and recommend tiempo.Lo ago if someone has to make a gift.</v>
      </c>
    </row>
    <row r="3469">
      <c r="A3469" s="1">
        <v>5.0</v>
      </c>
      <c r="B3469" s="1" t="s">
        <v>3453</v>
      </c>
      <c r="C3469" t="str">
        <f>IFERROR(__xludf.DUMMYFUNCTION("GOOGLETRANSLATE(B3469, ""es"", ""en"")"),"Cracking has been a gift, and my partner has blown away when I taught what I had glass. In addition the impeccable presentation and is very thin.")</f>
        <v>Cracking has been a gift, and my partner has blown away when I taught what I had glass. In addition the impeccable presentation and is very thin.</v>
      </c>
    </row>
    <row r="3470">
      <c r="A3470" s="1">
        <v>5.0</v>
      </c>
      <c r="B3470" s="1" t="s">
        <v>3454</v>
      </c>
      <c r="C3470" t="str">
        <f>IFERROR(__xludf.DUMMYFUNCTION("GOOGLETRANSLATE(B3470, ""es"", ""en"")"),"Good product and many possible uses. Good product. I've used it to reinforce a dog bed and gave me good result.")</f>
        <v>Good product and many possible uses. Good product. I've used it to reinforce a dog bed and gave me good result.</v>
      </c>
    </row>
    <row r="3471">
      <c r="A3471" s="1">
        <v>5.0</v>
      </c>
      <c r="B3471" s="1" t="s">
        <v>3455</v>
      </c>
      <c r="C3471" t="str">
        <f>IFERROR(__xludf.DUMMYFUNCTION("GOOGLETRANSLATE(B3471, ""es"", ""en"")"),"A good fabric garment ideal, really doubted if I would be fine but the truth is that the fabric is very good and very fresh especially, really like and fits well with ankles as it should be")</f>
        <v>A good fabric garment ideal, really doubted if I would be fine but the truth is that the fabric is very good and very fresh especially, really like and fits well with ankles as it should be</v>
      </c>
    </row>
    <row r="3472">
      <c r="A3472" s="1">
        <v>5.0</v>
      </c>
      <c r="B3472" s="1" t="s">
        <v>3456</v>
      </c>
      <c r="C3472" t="str">
        <f>IFERROR(__xludf.DUMMYFUNCTION("GOOGLETRANSLATE(B3472, ""es"", ""en"")"),"GOOD BUY &lt;div id = ""video-block-RJQM9ZW8V810L"" class = ""a-section a-spacing-small a-spacing-top mini video-block""&gt; &lt;div tabindex = ""0"" class = ""airy airy-svg vmin-supported airy-skin-beacon ""style ="" background-color: rgb (0, 0, 0) position: rela"&amp;"tive; width: 100%; height: 100%; font-size: 0px; overflow: hidden; outline : none; ""&gt; &lt;div class ="" airy-renderer-container ""style ="" position: relative; height: 100%; width: 100%; ""&gt; &lt;video id ="" 31 ""preload ="" auto ""src ="" https://images-eu.ss"&amp;"l-images-amazon.com/images/I/91cKaa36RSS.mp4 ""style ="" position: absolute; left: 0px; top: 0px; overflow: hidden; height: 1px; width: 1px ; ""&gt; &lt;/ video&gt; &lt;/ div&gt; &lt;div id ="" airy-slate-preload ""style ="" background-color: rgb (0, 0, 0); background-imag"&amp;"e: url (&amp; quot; https: // images-eu.ssl-images-amazon.com/images/I/91epgd89D1S.png&amp;quot;); background-size: Contain; background-position: center center; background-repeat: no-repeat; position: absolute; top: 0px ; left: 0px; visibility: visible; width: 10"&amp;"0%; height: 100%; ""&gt; &lt;/ div&gt; &lt;iframe scrolling ="" no "" frameborder = ""0"" src = ""about: blank"" style = ""display: none;""&gt; &lt;/ iframe&gt; &lt;div tabindex = ""- 1"" class = ""airy-controls-container"" style = ""opacity: 0; visibility: hidden; ""&gt; &lt;div tabi"&amp;"ndex ="" - 1 ""class ="" airy-screen-size-toggle airy-fullscreen ""&gt; &lt;/ div&gt; &lt;div tabindex ="" - 1 ""class ="" airy-container-bottom "" &gt; &lt;div tabindex = ""- 1"" class = ""airy-track-bar-spacer-left"" style = ""width: 11px;""&gt; &lt;/ div&gt; &lt;div tabindex = ""- "&amp;"1"" class = ""airy-play- airy toggle-play ""style ="" width: 12px; margin-right: 12px; ""&gt; &lt;/ div&gt; &lt;div tabindex ="" - 1 ""class ="" airy-audio-elements ""style ="" float: right; width: 34px; ""&gt; &lt;div tabindex ="" - 1 ""class ="" airy-audio-toggle airy-on"&amp;" ""&gt; &lt;/ div&gt; &lt;div tabindex ="" - 1 ""class ="" airy-audio-container ""style = ""opacity: 0; visibility: hidden; ""&gt; &lt;div tabindex ="" - 1 ""class ="" airy-audio-track-bar ""style ="" height: 80%; ""&gt; &lt;div tabindex ="" - 1 ""class ="" airy-audio- Scrubber-"&amp;"bar ""style ="" height: 85%; ""&gt; &lt;/ div&gt; &lt;div tabindex ="" - 1 ""class ="" airy-audio-scrubber ""style ="" height: 12px; bottom: 85% ""&gt; &lt;/ div&gt; &lt;/ div&gt; &lt;/ div&gt; &lt;/ div&gt; &lt;div tabindex ="" - 1 ""class ="" airy-duration-label ""style ="" float: right; width:"&amp;" 26px; margin-right: 4px; text-align: center; ""&gt; 0:00 &lt;/ div&gt; &lt;div tabindex ="" - 1 ""class ="" airy-track-bar-spacer-right ""style ="" float: right; width: 11px; ""&gt; &lt;/ div&gt; &lt;div tabindex ="" - 1 ""class ="" airy-track-bar-container ""style ="" margin-l"&amp;"eft: 35px; margin-right: 75px; ""&gt; &lt;div tabindex ="" - 1 ""class ="" airy-airy-track-bar vertically-centering-table ""&gt; &lt;div tabindex ="" - 1 ""class ="" airy-Vertical-centering- table-cell ""&gt; &lt;div tabindex ="" - 1 ""class ="" airy-track-bar-elements ""&gt;"&amp;" &lt;div tabindex ="" - 1 ""class ="" airy-progress-bar ""&gt; &lt;/ div&gt; &lt;div tabindex = ""- 1"" class = ""airy-scrubber-bar""&gt; &lt;/ div&gt; &lt;div tabindex = ""- 1"" class = ""airy-scrubber""&gt; &lt;div tabindex = ""- 1"" class = ""airy-scrubber- icon ""&gt; &lt;/ div&gt; &lt;div tabin"&amp;"dex ="" - 1 ""class ="" airy-adjusted-AUI-tooltip ""style ="" opacity: 0; visibility: hidden; ""&gt; &lt;div tabindex ="" - 1 ""class ="" airy-adjusted-aui-tooltip-inner ""&gt; &lt;div tabindex ="" - 1 ""class ="" airy-current-time-label ""&gt; 0: 00 &lt;/ div&gt; &lt;/ div&gt; &lt;di"&amp;"v tabindex = ""- 1"" class = ""airy-adjusted-AUI-arrow-border""&gt; &lt;div tabindex = ""- 1"" class = ""airy-adjusted-AUI-arrow"" &gt; &lt;/ div&gt; &lt;/ div&gt; &lt;/ div&gt; &lt;/ div&gt; &lt;/ div&gt; &lt;/ div&gt; &lt;/ div&gt; &lt;/ div&gt; &lt;/ div&gt; &lt;/ div&gt; &lt;div tabindex = ""- 1"" class = ""airy-age-gate "&amp;"airy-stage airy-Vertical-centering-table airy-dialog"" style = ""opacity: 0; visibility: hidden; ""&gt; &lt;div tabindex ="" - 1 ""class ="" airy-age-gate-Vertical-centering-table-cell airy-Vertical-centering-table-cell ""&gt; &lt;div tabindex ="" - 1 ""class = ""air"&amp;"y-Vertical-centering-wrapper airy-age-gate-elements-wrapper""&gt; &lt;div tabindex = ""- 1"" class = ""airy-age-gate-elements airy-dialog-elements""&gt; &lt;div tabindex = "" -1 ""class ="" airy-age-gate-prompt ""&gt; This video is not Intended for all audiences What da"&amp;"te were you born &lt;/ div&gt; &lt;div tabindex =.?"" - 1 ""class ="" airy-age-gate -inputs airy-dialog-inner-elements ""&gt; &lt;select tabindex ="" - 1 ""class ="" airy-age-gate-month ""&gt; &lt;option value ="" 1 ""&gt; January &lt;/ option&gt; &lt;option value ="" 2 ""&gt; February &lt;/ o"&amp;"ption&gt; &lt;option value ="" 3 ""&gt; March &lt;/ option&gt; &lt;option value ="" 4 ""&gt; April &lt;/ option&gt; &lt;option value ="" 5 ""&gt; May &lt;/ option&gt; &lt;option value = ""6""&gt; June &lt;/ option&gt; &lt;option value = ""7""&gt; July &lt;/ option&gt; &lt;option value = ""8""&gt; August &lt;/ option&gt; &lt;option "&amp;"value = ""9""&gt; September &lt;/ option&gt; &lt;option value = ""10""&gt; October &lt;/ option&gt; &lt;option value = ""11""&gt; November &lt;/ option&gt; &lt;option value = ""12""&gt; December &lt;/ option&gt; &lt;/ select&gt; &lt;select tabindex = ""- 1"" class = ""airy-age-gate-day""&gt; &lt;opti on value = """&amp;"1""&gt; 1 &lt;/ option&gt; &lt;option value = ""2""&gt; 2 &lt;/ option&gt; &lt;option value = ""3""&gt; 3 &lt;/ option&gt; &lt;option value = ""4""&gt; 4 &lt;/ option &gt; &lt;option value = ""5""&gt; 5 &lt;/ option&gt; &lt;option value = ""6""&gt; 6 &lt;/ option&gt; &lt;option value = ""7""&gt; 7 &lt;/ option&gt; &lt;option value = ""8"&amp;"""&gt; 8 &lt; / option&gt; &lt;option value = ""9""&gt; 9 &lt;/ option&gt; &lt;option value = ""10""&gt; 10 &lt;/ option&gt; &lt;option value = ""11""&gt; 11 &lt;/ option&gt; &lt;option value = ""12""&gt; 12 &lt;/ option&gt; &lt;option value = ""13""&gt; 13 &lt;/ option&gt; &lt;option value = ""14""&gt; 14 &lt;/ option&gt; &lt;option val"&amp;"ue = ""15""&gt; 15 &lt;/ option&gt; &lt;option value = ""16 ""&gt; 16 &lt;/ option&gt; &lt;option value ="" 17 ""&gt; 17 &lt;/ option&gt; &lt;option value ="" 18 ""&gt; 18 &lt;/ option&gt; &lt;option value ="" 19 ""&gt; 19 &lt;/ option&gt; &lt;option value = ""20""&gt; 20 &lt;/ option&gt; &lt;option value = ""21""&gt; 21 &lt;/ opti"&amp;"on&gt; &lt;option value = ""22""&gt; 22 &lt;/ option&gt; &lt;option value = ""23""&gt; 23 &lt;/ option&gt; &lt;option value = ""24""&gt; 24 &lt;/ option&gt; &lt;option value = ""25""&gt; 25 &lt;/ option&gt; &lt;option value = ""26""&gt; 26 &lt;/ option&gt; &lt;option value = ""27""&gt; 27 &lt;/ option&gt; &lt;option value = ""28""&gt;"&amp;" 28 &lt;/ option&gt; &lt;option value = ""29""&gt; 29 &lt;/ option&gt; &lt;option value = ""30""&gt; 30 &lt;/ option&gt; &lt;option value = ""31""&gt; 31 &lt;/ option&gt; &lt;/ select&gt; &lt;select tabindex = ""- 1"" class = ""airy-age-gate-year""&gt; &lt;option value = ""2019""&gt; 2019 &lt;/ option&gt; &lt; option value"&amp;" = ""2018""&gt; 2018 &lt;/ option&gt; &lt;option value = ""2017""&gt; 2017 &lt;/ option&gt; &lt;option value = ""2016""&gt; ​​2016 &lt;/ option&gt; &lt;option value = ""2015""&gt; 2015 &lt;/ option &gt; &lt;option value = ""2014""&gt; 2014 &lt;/ option&gt; &lt;option value = ""2013""&gt; 2013 &lt;/ option&gt; &lt;option value"&amp;" = ""2012""&gt; 2012 &lt;/ option&gt; &lt;option value = ""2011""&gt; 2011 &lt; / option&gt; &lt;option value = ""2010""&gt; 2010 &lt;/ option&gt; &lt;option value = ""2009""&gt; 2009 &lt;/ option&gt; &lt;option value = ""2008""&gt; 2008 &lt;/ option&gt; &lt;option value = ""2007""&gt; 2007 &lt;/ option&gt; &lt;option value ="&amp;" ""2006""&gt; 2006 &lt;/ option&gt; &lt;option value = ""2005""&gt; 2005 &lt;/ option&gt; &lt;option value = ""2004""&gt; 2004 &lt;/ option&gt; &lt;option value = ""2003 ""&gt; 2003 &lt;/ option&gt; &lt;option value ="" 2002 ""&gt; 2002 &lt;/ option&gt; &lt;option value ="" 2001 ""&gt; 2001 &lt;/ option&gt; &lt;option value ="&amp;""" 2000 ""&gt; 2000 &lt;/ option&gt; &lt;option value = ""1999""&gt; 1999 &lt;/ option&gt; &lt;option value = ""1998""&gt; 1998 &lt;/ option&gt; &lt;option value = ""1997""&gt; 1997 &lt;/ option&gt; &lt;option value = ""1996""&gt; 1996 &lt;/ option&gt; &lt;option value = ""1995""&gt; 1995 &lt;/ option&gt; &lt;option value = "&amp;"""1994""&gt;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 "&amp;"""1982""&gt;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&lt;value option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&lt;value option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visib"&amp;"ility: hidden; ""&gt; &lt;div tabindex ="" - 1 ""class ="" airy-install-flash-Vertical-centering-table-cell airy-Vertical-centering-table-cell ""&gt; &lt;div tabindex ="" - 1 ""class = ""airy-Vertical-centering-wrapper airy-install-flash-elements-wrapper""&gt; &lt;div tabi"&amp;"ndex = ""- 1"" class = ""airy-install-flash-elements airy-dialog-elements""&gt; &lt;div tabindex = "" -1 ""class ="" airy-install-flash-prompt ""&gt; Adobe Flash Player is required to watch this video &lt;/ div&gt; &lt;div tabindex =."" - 1 ""class ="" airy-install-flash-b"&amp;"utton-wrapper airy -dialog-inner-elements ""&gt; &lt;div tabindex ="" - 1 ""class ="" airy-install-flash-button airy-button ""&gt; install Flash Player &lt;/ div&gt; &lt;/ div&gt; &lt;/ div&gt; &lt;/ div&gt; &lt;/ div&gt; &lt;/ div&gt; &lt;div tabindex = ""- 1"" class = ""airy-video-unsupported-dialog "&amp;"airy-stage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91cKaa36RSS.mp4 ""Class ="" video-url ""&gt; &lt;input type ="" hidden ""name ="" ""value ="" https://images-eu.ssl-images-amazon.com/images/I/91epgd89D1S.png ""class ="" video-slate-img-url ""&gt; &amp; nbsp; works perfect, very easy to operate a"&amp;"nd as such the description.")</f>
        <v>GOOD BUY &lt;div id = "video-block-RJQM9ZW8V810L" class = "a-section a-spacing-small a-spacing-top mini video-block"&gt; &lt;div tabindex = "0" class = "airy airy-svg vmin-supported airy-skin-beacon "style =" background-color: rgb (0, 0, 0) position: relative; width: 100%; height: 100%; font-size: 0px; overflow: hidden; outline : none; "&gt; &lt;div class =" airy-renderer-container "style =" position: relative; height: 100%; width: 100%; "&gt; &lt;video id =" 31 "preload =" auto "src =" https://images-eu.ssl-images-amazon.com/images/I/91cKaa36RSS.mp4 "style =" position: absolute; left: 0px; top: 0px; overflow: hidden; height: 1px; width: 1px ; "&gt; &lt;/ video&gt; &lt;/ div&gt; &lt;div id =" airy-slate-preload "style =" background-color: rgb (0, 0, 0); background-image: url (&amp; quot; https: // images-eu.ssl-images-amazon.com/images/I/91epgd89D1S.png&amp;quot;); background-size: Contain; background-position: center center; background-repeat: no-repeat; position: absolute; top: 0px ; left: 0px; visibility: visible; width: 100%; height: 100%; "&gt; &lt;/ div&gt; &lt;iframe scrolling =" no "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91cKaa36RSS.mp4 "Class =" video-url "&gt; &lt;input type =" hidden "name =" "value =" https://images-eu.ssl-images-amazon.com/images/I/91epgd89D1S.png "class =" video-slate-img-url "&gt; &amp; nbsp; works perfect, very easy to operate and as such the description.</v>
      </c>
    </row>
    <row r="3473">
      <c r="A3473" s="1">
        <v>5.0</v>
      </c>
      <c r="B3473" s="1" t="s">
        <v>3457</v>
      </c>
      <c r="C3473" t="str">
        <f>IFERROR(__xludf.DUMMYFUNCTION("GOOGLETRANSLATE(B3473, ""es"", ""en"")"),"A perfect gift gift very nice and not very expensive it was for my wife, and she loved it. It is simple to yet elegant and very well finished. It comes in its box and a bag with a cloth.")</f>
        <v>A perfect gift gift very nice and not very expensive it was for my wife, and she loved it. It is simple to yet elegant and very well finished. It comes in its box and a bag with a cloth.</v>
      </c>
    </row>
    <row r="3474">
      <c r="A3474" s="1">
        <v>5.0</v>
      </c>
      <c r="B3474" s="1" t="s">
        <v>3458</v>
      </c>
      <c r="C3474" t="str">
        <f>IFERROR(__xludf.DUMMYFUNCTION("GOOGLETRANSLATE(B3474, ""es"", ""en"")"),"Very nice very fine and nice, recommended.")</f>
        <v>Very nice very fine and nice, recommended.</v>
      </c>
    </row>
    <row r="3475">
      <c r="A3475" s="1">
        <v>5.0</v>
      </c>
      <c r="B3475" s="1" t="s">
        <v>3459</v>
      </c>
      <c r="C3475" t="str">
        <f>IFERROR(__xludf.DUMMYFUNCTION("GOOGLETRANSLATE(B3475, ""es"", ""en"")"),"Like in the picture Very nice")</f>
        <v>Like in the picture Very nice</v>
      </c>
    </row>
    <row r="3476">
      <c r="A3476" s="1">
        <v>5.0</v>
      </c>
      <c r="B3476" s="1" t="s">
        <v>3460</v>
      </c>
      <c r="C3476" t="str">
        <f>IFERROR(__xludf.DUMMYFUNCTION("GOOGLETRANSLATE(B3476, ""es"", ""en"")"),"Very good value for money The SSD is going very well for now, (I've only been with mounted 6 days) Value is very good, although it is true that are already out SSD PCIe 4.0 to a 1TB for 150 €, still deserves shame, because it's not being noticed in realit"&amp;"y when carrying loads, provided that stemmata talking about games, I said, for now very well, time will tell if it was worth it.")</f>
        <v>Very good value for money The SSD is going very well for now, (I've only been with mounted 6 days) Value is very good, although it is true that are already out SSD PCIe 4.0 to a 1TB for 150 €, still deserves shame, because it's not being noticed in reality when carrying loads, provided that stemmata talking about games, I said, for now very well, time will tell if it was worth it.</v>
      </c>
    </row>
    <row r="3477">
      <c r="A3477" s="1">
        <v>5.0</v>
      </c>
      <c r="B3477" s="1" t="s">
        <v>3461</v>
      </c>
      <c r="C3477" t="str">
        <f>IFERROR(__xludf.DUMMYFUNCTION("GOOGLETRANSLATE(B3477, ""es"", ""en"")"),"Quiet and powerful The product is as expected, has quality is quiet, powerful -in a plis plas you squeeze one pomelo- and very easy to clean. The only drawback that has at its base, are the two fixed plastic taquitos anteriorly could slip on the bench, I'"&amp;"ve solved it by putting two rubber.")</f>
        <v>Quiet and powerful The product is as expected, has quality is quiet, powerful -in a plis plas you squeeze one pomelo- and very easy to clean. The only drawback that has at its base, are the two fixed plastic taquitos anteriorly could slip on the bench, I've solved it by putting two rubber.</v>
      </c>
    </row>
    <row r="3478">
      <c r="A3478" s="1">
        <v>5.0</v>
      </c>
      <c r="B3478" s="1" t="s">
        <v>3462</v>
      </c>
      <c r="C3478" t="str">
        <f>IFERROR(__xludf.DUMMYFUNCTION("GOOGLETRANSLATE(B3478, ""es"", ""en"")"),"Fully recommended Super nice")</f>
        <v>Fully recommended Super nice</v>
      </c>
    </row>
    <row r="3479">
      <c r="A3479" s="1">
        <v>5.0</v>
      </c>
      <c r="B3479" s="1" t="s">
        <v>3463</v>
      </c>
      <c r="C3479" t="str">
        <f>IFERROR(__xludf.DUMMYFUNCTION("GOOGLETRANSLATE(B3479, ""es"", ""en"")"),"They are a perfect gift for my husband, the number is perfect, just a block with another couple having already home of the same model. The color is fine, it is almost brown very dark red.")</f>
        <v>They are a perfect gift for my husband, the number is perfect, just a block with another couple having already home of the same model. The color is fine, it is almost brown very dark red.</v>
      </c>
    </row>
    <row r="3480">
      <c r="A3480" s="1">
        <v>5.0</v>
      </c>
      <c r="B3480" s="1" t="s">
        <v>3464</v>
      </c>
      <c r="C3480" t="str">
        <f>IFERROR(__xludf.DUMMYFUNCTION("GOOGLETRANSLATE(B3480, ""es"", ""en"")"),"The kids good buy are delighted, good buy. I recommend")</f>
        <v>The kids good buy are delighted, good buy. I recommend</v>
      </c>
    </row>
    <row r="3481">
      <c r="A3481" s="1">
        <v>5.0</v>
      </c>
      <c r="B3481" s="1" t="s">
        <v>3465</v>
      </c>
      <c r="C3481" t="str">
        <f>IFERROR(__xludf.DUMMYFUNCTION("GOOGLETRANSLATE(B3481, ""es"", ""en"")"),"Always 1 Mustang size more comfortable. I use a tall 42 and I have asked the 43 and perfect")</f>
        <v>Always 1 Mustang size more comfortable. I use a tall 42 and I have asked the 43 and perfect</v>
      </c>
    </row>
    <row r="3482">
      <c r="A3482" s="1">
        <v>5.0</v>
      </c>
      <c r="B3482" s="1" t="s">
        <v>3466</v>
      </c>
      <c r="C3482" t="str">
        <f>IFERROR(__xludf.DUMMYFUNCTION("GOOGLETRANSLATE(B3482, ""es"", ""en"")"),"Ideal has arrived at the expected time. My daughter is delighted with the shoes. The perfect size. A good buy.")</f>
        <v>Ideal has arrived at the expected time. My daughter is delighted with the shoes. The perfect size. A good buy.</v>
      </c>
    </row>
    <row r="3483">
      <c r="A3483" s="1">
        <v>5.0</v>
      </c>
      <c r="B3483" s="1" t="s">
        <v>3467</v>
      </c>
      <c r="C3483" t="str">
        <f>IFERROR(__xludf.DUMMYFUNCTION("GOOGLETRANSLATE(B3483, ""es"", ""en"")"),"Impressive I satisfied with my Casio very well at all satisfied with this purchase the bracelet is very well finished and precise nor as normal or as large.")</f>
        <v>Impressive I satisfied with my Casio very well at all satisfied with this purchase the bracelet is very well finished and precise nor as normal or as large.</v>
      </c>
    </row>
    <row r="3484">
      <c r="A3484" s="1">
        <v>2.0</v>
      </c>
      <c r="B3484" s="1" t="s">
        <v>3468</v>
      </c>
      <c r="C3484" t="str">
        <f>IFERROR(__xludf.DUMMYFUNCTION("GOOGLETRANSLATE(B3484, ""es"", ""en"")"),"Product makes noise quite well presented, but sometimes does not connect well and makes enough noise. No repeat purchase")</f>
        <v>Product makes noise quite well presented, but sometimes does not connect well and makes enough noise. No repeat purchase</v>
      </c>
    </row>
    <row r="3485">
      <c r="A3485" s="1">
        <v>3.0</v>
      </c>
      <c r="B3485" s="1" t="s">
        <v>3469</v>
      </c>
      <c r="C3485" t="str">
        <f>IFERROR(__xludf.DUMMYFUNCTION("GOOGLETRANSLATE(B3485, ""es"", ""en"")"),"Microphone Pop Filter InnoGear Double Layer A filter like any other, nothing to makes its function, but probably would do the same with another cheaper.")</f>
        <v>Microphone Pop Filter InnoGear Double Layer A filter like any other, nothing to makes its function, but probably would do the same with another cheaper.</v>
      </c>
    </row>
    <row r="3486">
      <c r="A3486" s="1">
        <v>1.0</v>
      </c>
      <c r="B3486" s="1" t="s">
        <v>3470</v>
      </c>
      <c r="C3486" t="str">
        <f>IFERROR(__xludf.DUMMYFUNCTION("GOOGLETRANSLATE(B3486, ""es"", ""en"")"),"Poor quality poor")</f>
        <v>Poor quality poor</v>
      </c>
    </row>
    <row r="3487">
      <c r="A3487" s="1">
        <v>1.0</v>
      </c>
      <c r="B3487" s="1" t="s">
        <v>3471</v>
      </c>
      <c r="C3487" t="str">
        <f>IFERROR(__xludf.DUMMYFUNCTION("GOOGLETRANSLATE(B3487, ""es"", ""en"")"),"It's not new is not new. Clearly it has been used. Some scratched parts and plastic guards were dirty and broken old")</f>
        <v>It's not new is not new. Clearly it has been used. Some scratched parts and plastic guards were dirty and broken old</v>
      </c>
    </row>
    <row r="3488">
      <c r="A3488" s="1">
        <v>1.0</v>
      </c>
      <c r="B3488" s="1" t="s">
        <v>3472</v>
      </c>
      <c r="C3488" t="str">
        <f>IFERROR(__xludf.DUMMYFUNCTION("GOOGLETRANSLATE(B3488, ""es"", ""en"")"),"Bad product I purchased the product and the plastic part of the glass is broken in less than 5 months of use. I do not recommend buying.")</f>
        <v>Bad product I purchased the product and the plastic part of the glass is broken in less than 5 months of use. I do not recommend buying.</v>
      </c>
    </row>
    <row r="3489">
      <c r="A3489" s="1">
        <v>4.0</v>
      </c>
      <c r="B3489" s="1" t="s">
        <v>3473</v>
      </c>
      <c r="C3489" t="str">
        <f>IFERROR(__xludf.DUMMYFUNCTION("GOOGLETRANSLATE(B3489, ""es"", ""en"")"),"correct the product is well packaged and arrived in perfect condition. All usb work perfectly although they are a bit slow writing, but the quality / price assessment is positive. I would give 5 stars if they had come before. Communication with the seller"&amp;" very good. There are some that if you enter wrong (reverse), sinks inward and does not read well, but removing the device solves the cork and propping well. Deve be a defect in manufacturing but easy to fix.")</f>
        <v>correct the product is well packaged and arrived in perfect condition. All usb work perfectly although they are a bit slow writing, but the quality / price assessment is positive. I would give 5 stars if they had come before. Communication with the seller very good. There are some that if you enter wrong (reverse), sinks inward and does not read well, but removing the device solves the cork and propping well. Deve be a defect in manufacturing but easy to fix.</v>
      </c>
    </row>
    <row r="3490">
      <c r="A3490" s="1">
        <v>4.0</v>
      </c>
      <c r="B3490" s="1" t="s">
        <v>3474</v>
      </c>
      <c r="C3490" t="str">
        <f>IFERROR(__xludf.DUMMYFUNCTION("GOOGLETRANSLATE(B3490, ""es"", ""en"")"),"Superb design I like its design and quality; the price is not justified.")</f>
        <v>Superb design I like its design and quality; the price is not justified.</v>
      </c>
    </row>
    <row r="3491">
      <c r="A3491" s="1">
        <v>4.0</v>
      </c>
      <c r="B3491" s="1" t="s">
        <v>3475</v>
      </c>
      <c r="C3491" t="str">
        <f>IFERROR(__xludf.DUMMYFUNCTION("GOOGLETRANSLATE(B3491, ""es"", ""en"")"),"Ideal for hiking. It's great for hiking. I miss a little more zoom in Traks. Robust and aesthetically beautiful.")</f>
        <v>Ideal for hiking. It's great for hiking. I miss a little more zoom in Traks. Robust and aesthetically beautiful.</v>
      </c>
    </row>
    <row r="3492">
      <c r="A3492" s="1">
        <v>4.0</v>
      </c>
      <c r="B3492" s="1" t="s">
        <v>3476</v>
      </c>
      <c r="C3492" t="str">
        <f>IFERROR(__xludf.DUMMYFUNCTION("GOOGLETRANSLATE(B3492, ""es"", ""en"")"),"The sole is very good. I needed shoes with a sole grip. They meet to spare. They are strong as expected. In principle all right we will have to do with sending use.The arrived in the allotted time, and perfect. I ordered a size 44, as measured in cm of my"&amp;" foot a 27,10cm, pretty good size.")</f>
        <v>The sole is very good. I needed shoes with a sole grip. They meet to spare. They are strong as expected. In principle all right we will have to do with sending use.The arrived in the allotted time, and perfect. I ordered a size 44, as measured in cm of my foot a 27,10cm, pretty good size.</v>
      </c>
    </row>
    <row r="3493">
      <c r="A3493" s="1">
        <v>5.0</v>
      </c>
      <c r="B3493" s="1" t="s">
        <v>3477</v>
      </c>
      <c r="C3493" t="str">
        <f>IFERROR(__xludf.DUMMYFUNCTION("GOOGLETRANSLATE(B3493, ""es"", ""en"")"),"thank you note I thank you for the interest you have shown AT ALL TIMES TO MY PROBLEM. It IS fair to say that when something bad is solved with interest is welcome. THANK YOU FOR PROVE THAT YOU HAVE BEEN THERE. BRACELET IS ELEGANT AND ORIGINAL. AGAIN THAN"&amp;"KS")</f>
        <v>thank you note I thank you for the interest you have shown AT ALL TIMES TO MY PROBLEM. It IS fair to say that when something bad is solved with interest is welcome. THANK YOU FOR PROVE THAT YOU HAVE BEEN THERE. BRACELET IS ELEGANT AND ORIGINAL. AGAIN THANKS</v>
      </c>
    </row>
    <row r="3494">
      <c r="A3494" s="1">
        <v>5.0</v>
      </c>
      <c r="B3494" s="1" t="s">
        <v>3478</v>
      </c>
      <c r="C3494" t="str">
        <f>IFERROR(__xludf.DUMMYFUNCTION("GOOGLETRANSLATE(B3494, ""es"", ""en"")"),"Sincerely Audio quality of the best microphones on the market! I recommend 100x100! One last! and there is enough variety of colors to choose: P")</f>
        <v>Sincerely Audio quality of the best microphones on the market! I recommend 100x100! One last! and there is enough variety of colors to choose: P</v>
      </c>
    </row>
    <row r="3495">
      <c r="A3495" s="1">
        <v>5.0</v>
      </c>
      <c r="B3495" s="1" t="s">
        <v>3479</v>
      </c>
      <c r="C3495" t="str">
        <f>IFERROR(__xludf.DUMMYFUNCTION("GOOGLETRANSLATE(B3495, ""es"", ""en"")"),"Gloves This is the shoe that I use almost every day to go to work, to go for a walk, are too comodos.La only downside is that are difficult to clean and just get wet, (as when a light drizzle falls) the stained shoes and famous brands of water form on sue"&amp;"de shoes. Fat is not tolerated at all. But overall pretty happy")</f>
        <v>Gloves This is the shoe that I use almost every day to go to work, to go for a walk, are too comodos.La only downside is that are difficult to clean and just get wet, (as when a light drizzle falls) the stained shoes and famous brands of water form on suede shoes. Fat is not tolerated at all. But overall pretty happy</v>
      </c>
    </row>
    <row r="3496">
      <c r="A3496" s="1">
        <v>5.0</v>
      </c>
      <c r="B3496" s="1" t="s">
        <v>3480</v>
      </c>
      <c r="C3496" t="str">
        <f>IFERROR(__xludf.DUMMYFUNCTION("GOOGLETRANSLATE(B3496, ""es"", ""en"")"),"I expected Perfect")</f>
        <v>I expected Perfect</v>
      </c>
    </row>
    <row r="3497">
      <c r="A3497" s="1">
        <v>5.0</v>
      </c>
      <c r="B3497" s="1" t="s">
        <v>3481</v>
      </c>
      <c r="C3497" t="str">
        <f>IFERROR(__xludf.DUMMYFUNCTION("GOOGLETRANSLATE(B3497, ""es"", ""en"")"),"Minimalism For now, simply spectacular")</f>
        <v>Minimalism For now, simply spectacular</v>
      </c>
    </row>
    <row r="3498">
      <c r="A3498" s="1">
        <v>5.0</v>
      </c>
      <c r="B3498" s="1" t="s">
        <v>3482</v>
      </c>
      <c r="C3498" t="str">
        <f>IFERROR(__xludf.DUMMYFUNCTION("GOOGLETRANSLATE(B3498, ""es"", ""en"")"),"Excellent memory and I have used just about a month and going great, very fast speed and good capacity and resouesta. It behaves well in my Note 8, for the price you and your specifications is a great buy. They are already recommend that 256GB is priced m"&amp;"adness.")</f>
        <v>Excellent memory and I have used just about a month and going great, very fast speed and good capacity and resouesta. It behaves well in my Note 8, for the price you and your specifications is a great buy. They are already recommend that 256GB is priced madness.</v>
      </c>
    </row>
    <row r="3499">
      <c r="A3499" s="1">
        <v>5.0</v>
      </c>
      <c r="B3499" s="1" t="s">
        <v>3483</v>
      </c>
      <c r="C3499" t="str">
        <f>IFERROR(__xludf.DUMMYFUNCTION("GOOGLETRANSLATE(B3499, ""es"", ""en"")"),"Good quality. All very well.")</f>
        <v>Good quality. All very well.</v>
      </c>
    </row>
    <row r="3500">
      <c r="A3500" s="1">
        <v>5.0</v>
      </c>
      <c r="B3500" s="1" t="s">
        <v>3484</v>
      </c>
      <c r="C3500" t="str">
        <f>IFERROR(__xludf.DUMMYFUNCTION("GOOGLETRANSLATE(B3500, ""es"", ""en"")"),"Ideals very comfortable to be at home and comfortable sleeping. They have the effect of not wearing suje, natural breast with clothes on. Pleasant sensation on the skin, soft touch.")</f>
        <v>Ideals very comfortable to be at home and comfortable sleeping. They have the effect of not wearing suje, natural breast with clothes on. Pleasant sensation on the skin, soft touch.</v>
      </c>
    </row>
    <row r="3501">
      <c r="A3501" s="1">
        <v>5.0</v>
      </c>
      <c r="B3501" s="1" t="s">
        <v>3485</v>
      </c>
      <c r="C3501" t="str">
        <f>IFERROR(__xludf.DUMMYFUNCTION("GOOGLETRANSLATE(B3501, ""es"", ""en"")"),"OUTSTANDING. Very fast delivery!. Solcitado Saturday and Sunday delivered !. The clock meets all expectations. Muyyy very nice and comfortable. In its original packaging and with all the guarantees Casio. VERY HAPPY. impeccable company.")</f>
        <v>OUTSTANDING. Very fast delivery!. Solcitado Saturday and Sunday delivered !. The clock meets all expectations. Muyyy very nice and comfortable. In its original packaging and with all the guarantees Casio. VERY HAPPY. impeccable company.</v>
      </c>
    </row>
    <row r="3502">
      <c r="A3502" s="1">
        <v>5.0</v>
      </c>
      <c r="B3502" s="1" t="s">
        <v>3486</v>
      </c>
      <c r="C3502" t="str">
        <f>IFERROR(__xludf.DUMMYFUNCTION("GOOGLETRANSLATE(B3502, ""es"", ""en"")"),"Quality and quantity is large amount of product, the format is very comfortable thanks to the dropper. The idea was to use it to make soaps but with that smell and quantity I will use it for everything.")</f>
        <v>Quality and quantity is large amount of product, the format is very comfortable thanks to the dropper. The idea was to use it to make soaps but with that smell and quantity I will use it for everything.</v>
      </c>
    </row>
    <row r="3503">
      <c r="A3503" s="1">
        <v>5.0</v>
      </c>
      <c r="B3503" s="1" t="s">
        <v>3487</v>
      </c>
      <c r="C3503" t="str">
        <f>IFERROR(__xludf.DUMMYFUNCTION("GOOGLETRANSLATE(B3503, ""es"", ""en"")"),"Very good product good money. Hear really well, you can adjust the volume from the headphones themselves. You can also answer calls and forward and rewind songs, or pause a video. Matching is very easy and quick. With them out of the charging base are aut"&amp;"omatically connected to the mobile. They have very good autonomy and what I like is that it has its own charging base that you can take it anywhere and can recharge without wires. Just load the base from time to time. Does not extinguish missing, since th"&amp;"ey themselves go off when you leave the box. If you do not want to leave in the box you can also be turned off by pressing the button with each handset. Very satisfied with the purchase")</f>
        <v>Very good product good money. Hear really well, you can adjust the volume from the headphones themselves. You can also answer calls and forward and rewind songs, or pause a video. Matching is very easy and quick. With them out of the charging base are automatically connected to the mobile. They have very good autonomy and what I like is that it has its own charging base that you can take it anywhere and can recharge without wires. Just load the base from time to time. Does not extinguish missing, since they themselves go off when you leave the box. If you do not want to leave in the box you can also be turned off by pressing the button with each handset. Very satisfied with the purchase</v>
      </c>
    </row>
    <row r="3504">
      <c r="A3504" s="1">
        <v>5.0</v>
      </c>
      <c r="B3504" s="1" t="s">
        <v>3488</v>
      </c>
      <c r="C3504" t="str">
        <f>IFERROR(__xludf.DUMMYFUNCTION("GOOGLETRANSLATE(B3504, ""es"", ""en"")"),"Comfortable, with good sound and docking station that lets you load your mobile Very happy with this purchase. The important thing for me, the sound, very good. The second in importance, comfort in my ear fits perfectly and I have taken several hours work"&amp;"ing without problems. It comes with various pads, but I put that came to me have been good. Autonomy, quite good, the longest session usage has been about 4 hours and smoothly, have failed to exhaust them. This struck me to come with a charging station th"&amp;"at allowed ""give"" charge to your mobile, I see it very useful. This advantage makes the charging station despite more than others bought and that has finally been my daughter. The controls are on the hulls themselves as usual and are quite sensitive. Ar"&amp;"e protected for moisture, and less in the gym with sweat have held up well and are easy to clean. The instructions come in Castilian and other languages. I recommend it.")</f>
        <v>Comfortable, with good sound and docking station that lets you load your mobile Very happy with this purchase. The important thing for me, the sound, very good. The second in importance, comfort in my ear fits perfectly and I have taken several hours working without problems. It comes with various pads, but I put that came to me have been good. Autonomy, quite good, the longest session usage has been about 4 hours and smoothly, have failed to exhaust them. This struck me to come with a charging station that allowed "give" charge to your mobile, I see it very useful. This advantage makes the charging station despite more than others bought and that has finally been my daughter. The controls are on the hulls themselves as usual and are quite sensitive. Are protected for moisture, and less in the gym with sweat have held up well and are easy to clean. The instructions come in Castilian and other languages. I recommend it.</v>
      </c>
    </row>
    <row r="3505">
      <c r="A3505" s="1">
        <v>5.0</v>
      </c>
      <c r="B3505" s="1" t="s">
        <v>3489</v>
      </c>
      <c r="C3505" t="str">
        <f>IFERROR(__xludf.DUMMYFUNCTION("GOOGLETRANSLATE(B3505, ""es"", ""en"")"),"Flexible and comfortable flexible and comfortable for work. Nothing to do with traditional work boots, they also reinforced, so protect your feet from being struck or crushed but do not produce chafing or weigh as much")</f>
        <v>Flexible and comfortable flexible and comfortable for work. Nothing to do with traditional work boots, they also reinforced, so protect your feet from being struck or crushed but do not produce chafing or weigh as much</v>
      </c>
    </row>
    <row r="3506">
      <c r="A3506" s="1">
        <v>5.0</v>
      </c>
      <c r="B3506" s="1" t="s">
        <v>3490</v>
      </c>
      <c r="C3506" t="str">
        <f>IFERROR(__xludf.DUMMYFUNCTION("GOOGLETRANSLATE(B3506, ""es"", ""en"")"),"Love Love")</f>
        <v>Love Love</v>
      </c>
    </row>
    <row r="3507">
      <c r="A3507" s="1">
        <v>5.0</v>
      </c>
      <c r="B3507" s="1" t="s">
        <v>3491</v>
      </c>
      <c r="C3507" t="str">
        <f>IFERROR(__xludf.DUMMYFUNCTION("GOOGLETRANSLATE(B3507, ""es"", ""en"")"),"Good product always use another brand of bottle, and advice have changed this bottle is great, and you will change all this brand. It has a nipple with easy grip and good anti-colic")</f>
        <v>Good product always use another brand of bottle, and advice have changed this bottle is great, and you will change all this brand. It has a nipple with easy grip and good anti-colic</v>
      </c>
    </row>
    <row r="3508">
      <c r="A3508" s="1">
        <v>5.0</v>
      </c>
      <c r="B3508" s="1" t="s">
        <v>3492</v>
      </c>
      <c r="C3508" t="str">
        <f>IFERROR(__xludf.DUMMYFUNCTION("GOOGLETRANSLATE(B3508, ""es"", ""en"")"),"All very well Product arrived on the indicated day me and in perfect condition. Plus I love these shoes, favor much! The only thing is that I get a little big (but I can put smoothly and probably a size less I would not have been worth)")</f>
        <v>All very well Product arrived on the indicated day me and in perfect condition. Plus I love these shoes, favor much! The only thing is that I get a little big (but I can put smoothly and probably a size less I would not have been worth)</v>
      </c>
    </row>
    <row r="3509">
      <c r="A3509" s="1">
        <v>5.0</v>
      </c>
      <c r="B3509" s="1" t="s">
        <v>3493</v>
      </c>
      <c r="C3509" t="str">
        <f>IFERROR(__xludf.DUMMYFUNCTION("GOOGLETRANSLATE(B3509, ""es"", ""en"")"),"Useful clean")</f>
        <v>Useful clean</v>
      </c>
    </row>
    <row r="3510">
      <c r="A3510" s="1">
        <v>5.0</v>
      </c>
      <c r="B3510" s="1" t="s">
        <v>3494</v>
      </c>
      <c r="C3510" t="str">
        <f>IFERROR(__xludf.DUMMYFUNCTION("GOOGLETRANSLATE(B3510, ""es"", ""en"")"),"Quality good value for money Casio, good product. Does not give problems")</f>
        <v>Quality good value for money Casio, good product. Does not give problems</v>
      </c>
    </row>
    <row r="3511">
      <c r="A3511" s="1">
        <v>5.0</v>
      </c>
      <c r="B3511" s="1" t="s">
        <v>3495</v>
      </c>
      <c r="C3511" t="str">
        <f>IFERROR(__xludf.DUMMYFUNCTION("GOOGLETRANSLATE(B3511, ""es"", ""en"")"),"Haunted! I'm delighted! As well as size, how convenience is the first time I bought, and if I last volvere to buy them")</f>
        <v>Haunted! I'm delighted! As well as size, how convenience is the first time I bought, and if I last volvere to buy them</v>
      </c>
    </row>
    <row r="3512">
      <c r="A3512" s="1">
        <v>2.0</v>
      </c>
      <c r="B3512" s="1" t="s">
        <v>3496</v>
      </c>
      <c r="C3512" t="str">
        <f>IFERROR(__xludf.DUMMYFUNCTION("GOOGLETRANSLATE(B3512, ""es"", ""en"")"),"It does not support any weight almost bought them to hang some pictures of foam board, very little heavy, 30x45 cm, unframed. The third time I hung up, began to fall off the wall. If the surface is not perfectly flat, no longer endure. I ended up pulling "&amp;"the cuelgafácil lifetime. A disappointment.")</f>
        <v>It does not support any weight almost bought them to hang some pictures of foam board, very little heavy, 30x45 cm, unframed. The third time I hung up, began to fall off the wall. If the surface is not perfectly flat, no longer endure. I ended up pulling the cuelgafácil lifetime. A disappointment.</v>
      </c>
    </row>
    <row r="3513">
      <c r="A3513" s="1">
        <v>3.0</v>
      </c>
      <c r="B3513" s="1" t="s">
        <v>3497</v>
      </c>
      <c r="C3513" t="str">
        <f>IFERROR(__xludf.DUMMYFUNCTION("GOOGLETRANSLATE(B3513, ""es"", ""en"")"),"Taurus Ultimated Lithium Vacuum broom Taurus is not a Dyson nor a Xiaomi ROidmi, but for its price suckling well and looking forward, the wheels glide well on all types of soil, it is well built and the battery lasts long enough to aspirate a 60mª floor, "&amp;"the adapter to hang on the wall next makes it pretty easy to keep it unobtrusively.")</f>
        <v>Taurus Ultimated Lithium Vacuum broom Taurus is not a Dyson nor a Xiaomi ROidmi, but for its price suckling well and looking forward, the wheels glide well on all types of soil, it is well built and the battery lasts long enough to aspirate a 60mª floor, the adapter to hang on the wall next makes it pretty easy to keep it unobtrusively.</v>
      </c>
    </row>
    <row r="3514">
      <c r="A3514" s="1">
        <v>3.0</v>
      </c>
      <c r="B3514" s="1" t="s">
        <v>3498</v>
      </c>
      <c r="C3514" t="str">
        <f>IFERROR(__xludf.DUMMYFUNCTION("GOOGLETRANSLATE(B3514, ""es"", ""en"")"),"micro Micro has been for my daughter's birthday 6 years, surprised by the quality of the sound of the speaker, although the quality of the micro is different. You have to stick the mouth to the top to be heard. For children and for the money you have, it'"&amp;"s OK, it's fun and does the job.")</f>
        <v>micro Micro has been for my daughter's birthday 6 years, surprised by the quality of the sound of the speaker, although the quality of the micro is different. You have to stick the mouth to the top to be heard. For children and for the money you have, it's OK, it's fun and does the job.</v>
      </c>
    </row>
    <row r="3515">
      <c r="A3515" s="1">
        <v>3.0</v>
      </c>
      <c r="B3515" s="1" t="s">
        <v>3499</v>
      </c>
      <c r="C3515" t="str">
        <f>IFERROR(__xludf.DUMMYFUNCTION("GOOGLETRANSLATE(B3515, ""es"", ""en"")"),"the product is correct but did not meet my expectations returned it has few departments and I do not Serbia, as to the fabric well if you have to blink often is not very practical for their 2 locks")</f>
        <v>the product is correct but did not meet my expectations returned it has few departments and I do not Serbia, as to the fabric well if you have to blink often is not very practical for their 2 locks</v>
      </c>
    </row>
    <row r="3516">
      <c r="A3516" s="1">
        <v>1.0</v>
      </c>
      <c r="B3516" s="1" t="s">
        <v>3500</v>
      </c>
      <c r="C3516" t="str">
        <f>IFERROR(__xludf.DUMMYFUNCTION("GOOGLETRANSLATE(B3516, ""es"", ""en"")"),"a piece of rubber was released and triturated with beaten. Dangerous product is useful, easy to use in general was quite happy until I noticed something odd while doing a shake, and then I saw pieces of loose plastic. He had dropped a rubber band, if I fa"&amp;"il to realize the might have ingested .. Of course, I will return and I suppose that since Amazon will not put any hits, because I have less than 1 month.")</f>
        <v>a piece of rubber was released and triturated with beaten. Dangerous product is useful, easy to use in general was quite happy until I noticed something odd while doing a shake, and then I saw pieces of loose plastic. He had dropped a rubber band, if I fail to realize the might have ingested .. Of course, I will return and I suppose that since Amazon will not put any hits, because I have less than 1 month.</v>
      </c>
    </row>
    <row r="3517">
      <c r="A3517" s="1">
        <v>1.0</v>
      </c>
      <c r="B3517" s="1" t="s">
        <v>3501</v>
      </c>
      <c r="C3517" t="str">
        <f>IFERROR(__xludf.DUMMYFUNCTION("GOOGLETRANSLATE(B3517, ""es"", ""en"")"),"Compact, but after using it one month apare oxide. Compact, as expected. But after use some began to appear oxide on the inside, in the joining area of ​​the base and the side wall weeks. I bought at the same time another stainless steel kettle another br"&amp;"and to have it in my office, which also use daily, and that there is no change in oxidation, when the type of water I use is similar. This model H.Koenig was disappointed.")</f>
        <v>Compact, but after using it one month apare oxide. Compact, as expected. But after use some began to appear oxide on the inside, in the joining area of ​​the base and the side wall weeks. I bought at the same time another stainless steel kettle another brand to have it in my office, which also use daily, and that there is no change in oxidation, when the type of water I use is similar. This model H.Koenig was disappointed.</v>
      </c>
    </row>
    <row r="3518">
      <c r="A3518" s="1">
        <v>4.0</v>
      </c>
      <c r="B3518" s="1" t="s">
        <v>3502</v>
      </c>
      <c r="C3518" t="str">
        <f>IFERROR(__xludf.DUMMYFUNCTION("GOOGLETRANSLATE(B3518, ""es"", ""en"")"),"Good size is useful and has good size, enough to carry a tablet")</f>
        <v>Good size is useful and has good size, enough to carry a tablet</v>
      </c>
    </row>
    <row r="3519">
      <c r="A3519" s="1">
        <v>4.0</v>
      </c>
      <c r="B3519" s="1" t="s">
        <v>3503</v>
      </c>
      <c r="C3519" t="str">
        <f>IFERROR(__xludf.DUMMYFUNCTION("GOOGLETRANSLATE(B3519, ""es"", ""en"")"),"That the child will have the recommended age piano is great, very good quality material and the idea is great. I returned because it is from age indicating yes or yes. My daughter, smaller, not yet identified as colors and have extra melodies did not call"&amp;" his attention, but buy it again in a couple of years, for sure.")</f>
        <v>That the child will have the recommended age piano is great, very good quality material and the idea is great. I returned because it is from age indicating yes or yes. My daughter, smaller, not yet identified as colors and have extra melodies did not call his attention, but buy it again in a couple of years, for sure.</v>
      </c>
    </row>
    <row r="3520">
      <c r="A3520" s="1">
        <v>4.0</v>
      </c>
      <c r="B3520" s="1" t="s">
        <v>3504</v>
      </c>
      <c r="C3520" t="str">
        <f>IFERROR(__xludf.DUMMYFUNCTION("GOOGLETRANSLATE(B3520, ""es"", ""en"")"),"The valuation fabric seems too loose, but I guess the sale amount is value for money. I used to give away.")</f>
        <v>The valuation fabric seems too loose, but I guess the sale amount is value for money. I used to give away.</v>
      </c>
    </row>
    <row r="3521">
      <c r="A3521" s="1">
        <v>4.0</v>
      </c>
      <c r="B3521" s="1" t="s">
        <v>3505</v>
      </c>
      <c r="C3521" t="str">
        <f>IFERROR(__xludf.DUMMYFUNCTION("GOOGLETRANSLATE(B3521, ""es"", ""en"")"),"use as many times as you like I love I feel great and very comfortable")</f>
        <v>use as many times as you like I love I feel great and very comfortable</v>
      </c>
    </row>
    <row r="3522">
      <c r="A3522" s="1">
        <v>4.0</v>
      </c>
      <c r="B3522" s="1" t="s">
        <v>3506</v>
      </c>
      <c r="C3522" t="str">
        <f>IFERROR(__xludf.DUMMYFUNCTION("GOOGLETRANSLATE(B3522, ""es"", ""en"")"),"Not bad!!! hello, goes well !! It is not a big thing!! At the moment works and very lijera.")</f>
        <v>Not bad!!! hello, goes well !! It is not a big thing!! At the moment works and very lijera.</v>
      </c>
    </row>
    <row r="3523">
      <c r="A3523" s="1">
        <v>5.0</v>
      </c>
      <c r="B3523" s="1" t="s">
        <v>3507</v>
      </c>
      <c r="C3523" t="str">
        <f>IFERROR(__xludf.DUMMYFUNCTION("GOOGLETRANSLATE(B3523, ""es"", ""en"")"),"I like to travel well")</f>
        <v>I like to travel well</v>
      </c>
    </row>
    <row r="3524">
      <c r="A3524" s="1">
        <v>5.0</v>
      </c>
      <c r="B3524" s="1" t="s">
        <v>3508</v>
      </c>
      <c r="C3524" t="str">
        <f>IFERROR(__xludf.DUMMYFUNCTION("GOOGLETRANSLATE(B3524, ""es"", ""en"")"),"Very good are good quality but cuabdo use it for a lot of tienpo tends to hurt the ears a bit")</f>
        <v>Very good are good quality but cuabdo use it for a lot of tienpo tends to hurt the ears a bit</v>
      </c>
    </row>
    <row r="3525">
      <c r="A3525" s="1">
        <v>5.0</v>
      </c>
      <c r="B3525" s="1" t="s">
        <v>3509</v>
      </c>
      <c r="C3525" t="str">
        <f>IFERROR(__xludf.DUMMYFUNCTION("GOOGLETRANSLATE(B3525, ""es"", ""en"")"),"Exceptional quality adjusted price As no objection sound, the bass is amazing. If you have a orejotas like me these headphones are somewhat uncomfortable The diameter of the almoadillas is smaller than other models more or less equivalent to AKG as the K6"&amp;"01, K701. The band also tightens. Otherwise I have no complaints, I hope that will last me a lot.")</f>
        <v>Exceptional quality adjusted price As no objection sound, the bass is amazing. If you have a orejotas like me these headphones are somewhat uncomfortable The diameter of the almoadillas is smaller than other models more or less equivalent to AKG as the K601, K701. The band also tightens. Otherwise I have no complaints, I hope that will last me a lot.</v>
      </c>
    </row>
    <row r="3526">
      <c r="A3526" s="1">
        <v>5.0</v>
      </c>
      <c r="B3526" s="1" t="s">
        <v>3510</v>
      </c>
      <c r="C3526" t="str">
        <f>IFERROR(__xludf.DUMMYFUNCTION("GOOGLETRANSLATE(B3526, ""es"", ""en"")"),"A recogemigas works worked very well, and the finish is fine, not like those plastic open as soon as the push")</f>
        <v>A recogemigas works worked very well, and the finish is fine, not like those plastic open as soon as the push</v>
      </c>
    </row>
    <row r="3527">
      <c r="A3527" s="1">
        <v>5.0</v>
      </c>
      <c r="B3527" s="1" t="s">
        <v>3511</v>
      </c>
      <c r="C3527" t="str">
        <f>IFERROR(__xludf.DUMMYFUNCTION("GOOGLETRANSLATE(B3527, ""es"", ""en"")"),"Brutal, sound very clean, highly recommended brutal, very easy to connect and a very clean sound. I guess that will be much better, but I have found it perfect. I have a school finance and I have to make the videos of the course and, frankly, spectacular "&amp;"sound. If you are looking for something simple, easy to use and connect, this is your micro.")</f>
        <v>Brutal, sound very clean, highly recommended brutal, very easy to connect and a very clean sound. I guess that will be much better, but I have found it perfect. I have a school finance and I have to make the videos of the course and, frankly, spectacular sound. If you are looking for something simple, easy to use and connect, this is your micro.</v>
      </c>
    </row>
    <row r="3528">
      <c r="A3528" s="1">
        <v>5.0</v>
      </c>
      <c r="B3528" s="1" t="s">
        <v>3512</v>
      </c>
      <c r="C3528" t="str">
        <f>IFERROR(__xludf.DUMMYFUNCTION("GOOGLETRANSLATE(B3528, ""es"", ""en"")"),"I'm wonderful ecantada with the purchase, carved as expected and are very nice and very good quality. My daughter is delighted")</f>
        <v>I'm wonderful ecantada with the purchase, carved as expected and are very nice and very good quality. My daughter is delighted</v>
      </c>
    </row>
    <row r="3529">
      <c r="A3529" s="1">
        <v>5.0</v>
      </c>
      <c r="B3529" s="1" t="s">
        <v>3513</v>
      </c>
      <c r="C3529" t="str">
        <f>IFERROR(__xludf.DUMMYFUNCTION("GOOGLETRANSLATE(B3529, ""es"", ""en"")"),"Fulfills its function I like this brand for memory cards, the truth that gives me enough confidence.")</f>
        <v>Fulfills its function I like this brand for memory cards, the truth that gives me enough confidence.</v>
      </c>
    </row>
    <row r="3530">
      <c r="A3530" s="1">
        <v>5.0</v>
      </c>
      <c r="B3530" s="1" t="s">
        <v>3514</v>
      </c>
      <c r="C3530" t="str">
        <f>IFERROR(__xludf.DUMMYFUNCTION("GOOGLETRANSLATE(B3530, ""es"", ""en"")"),"100% recommended've been using 3 weeks and am very happy. It leaves a feeling of being in the ideal face. I advise you cold use. I do not know if I will improve dark circles (is why I bought it), but I like it.")</f>
        <v>100% recommended've been using 3 weeks and am very happy. It leaves a feeling of being in the ideal face. I advise you cold use. I do not know if I will improve dark circles (is why I bought it), but I like it.</v>
      </c>
    </row>
    <row r="3531">
      <c r="A3531" s="1">
        <v>5.0</v>
      </c>
      <c r="B3531" s="1" t="s">
        <v>3515</v>
      </c>
      <c r="C3531" t="str">
        <f>IFERROR(__xludf.DUMMYFUNCTION("GOOGLETRANSLATE(B3531, ""es"", ""en"")"),"Location surprisingly useful coastal area, and according to some indications commented that had not cleaned well because here the water is somewhat harder. And the truth, which has surprised us. We put something more than the recommended amount of the abo"&amp;"ve, and although skeptical, smells clean clothes !!! Sure, I stopped using any detergent or fabric softener, the clothes are clean and with a subtle scent of the essential oil that you put into the cloth bag (includes two).")</f>
        <v>Location surprisingly useful coastal area, and according to some indications commented that had not cleaned well because here the water is somewhat harder. And the truth, which has surprised us. We put something more than the recommended amount of the above, and although skeptical, smells clean clothes !!! Sure, I stopped using any detergent or fabric softener, the clothes are clean and with a subtle scent of the essential oil that you put into the cloth bag (includes two).</v>
      </c>
    </row>
    <row r="3532">
      <c r="A3532" s="1">
        <v>5.0</v>
      </c>
      <c r="B3532" s="1" t="s">
        <v>3480</v>
      </c>
      <c r="C3532" t="str">
        <f>IFERROR(__xludf.DUMMYFUNCTION("GOOGLETRANSLATE(B3532, ""es"", ""en"")"),"I expected Perfect")</f>
        <v>I expected Perfect</v>
      </c>
    </row>
    <row r="3533">
      <c r="A3533" s="1">
        <v>5.0</v>
      </c>
      <c r="B3533" s="1" t="s">
        <v>3516</v>
      </c>
      <c r="C3533" t="str">
        <f>IFERROR(__xludf.DUMMYFUNCTION("GOOGLETRANSLATE(B3533, ""es"", ""en"")"),"Quick and not very noisy. Very good product and better value. It is powerful, fast, makes creams very thin and not too noisy. I'm happy with the purchase although it is too early to comment since I bought it recently and I have not given much use. For now"&amp;" I give very good note.")</f>
        <v>Quick and not very noisy. Very good product and better value. It is powerful, fast, makes creams very thin and not too noisy. I'm happy with the purchase although it is too early to comment since I bought it recently and I have not given much use. For now I give very good note.</v>
      </c>
    </row>
    <row r="3534">
      <c r="A3534" s="1">
        <v>5.0</v>
      </c>
      <c r="B3534" s="1" t="s">
        <v>3517</v>
      </c>
      <c r="C3534" t="str">
        <f>IFERROR(__xludf.DUMMYFUNCTION("GOOGLETRANSLATE(B3534, ""es"", ""en"")"),"Perfect for LG G3 not know if I would serve as the only mobile indicates that accepts SD up to 128GB and puts nothing SD XC. Nothing else get her to the phone the has recognized, including the brand. The counsel without fear. It's fast but not the most, b"&amp;"ut more than enough to record videos and photos in high definition. After days of little use card it has become very slow, slow to record every photo and return to let you take another.")</f>
        <v>Perfect for LG G3 not know if I would serve as the only mobile indicates that accepts SD up to 128GB and puts nothing SD XC. Nothing else get her to the phone the has recognized, including the brand. The counsel without fear. It's fast but not the most, but more than enough to record videos and photos in high definition. After days of little use card it has become very slow, slow to record every photo and return to let you take another.</v>
      </c>
    </row>
    <row r="3535">
      <c r="A3535" s="1">
        <v>5.0</v>
      </c>
      <c r="B3535" s="1" t="s">
        <v>3518</v>
      </c>
      <c r="C3535" t="str">
        <f>IFERROR(__xludf.DUMMYFUNCTION("GOOGLETRANSLATE(B3535, ""es"", ""en"")"),"professional Perfect")</f>
        <v>professional Perfect</v>
      </c>
    </row>
    <row r="3536">
      <c r="A3536" s="1">
        <v>5.0</v>
      </c>
      <c r="B3536" s="1" t="s">
        <v>3519</v>
      </c>
      <c r="C3536" t="str">
        <f>IFERROR(__xludf.DUMMYFUNCTION("GOOGLETRANSLATE(B3536, ""es"", ""en"")"),"The Ferrari of Encantada blenders with mixer. Has a lot of power that makes everything is well beaten.")</f>
        <v>The Ferrari of Encantada blenders with mixer. Has a lot of power that makes everything is well beaten.</v>
      </c>
    </row>
    <row r="3537">
      <c r="A3537" s="1">
        <v>5.0</v>
      </c>
      <c r="B3537" s="1" t="s">
        <v>3520</v>
      </c>
      <c r="C3537" t="str">
        <f>IFERROR(__xludf.DUMMYFUNCTION("GOOGLETRANSLATE(B3537, ""es"", ""en"")"),"phenomenal For the price we have so cheap, a great buy, because quality is more than enough for what they serve. Very useful for holding and have always ordered the hanging and annoying loose straps of my backpack. I also have served to keep cords tied to"&amp;"gether, or to hold them at fixed points, it is true that the May release some hair, but not serious, in any case I am happy with the purchase.")</f>
        <v>phenomenal For the price we have so cheap, a great buy, because quality is more than enough for what they serve. Very useful for holding and have always ordered the hanging and annoying loose straps of my backpack. I also have served to keep cords tied together, or to hold them at fixed points, it is true that the May release some hair, but not serious, in any case I am happy with the purchase.</v>
      </c>
    </row>
    <row r="3538">
      <c r="A3538" s="1">
        <v>5.0</v>
      </c>
      <c r="B3538" s="1" t="s">
        <v>3521</v>
      </c>
      <c r="C3538" t="str">
        <f>IFERROR(__xludf.DUMMYFUNCTION("GOOGLETRANSLATE(B3538, ""es"", ""en"")"),"You are perfect! Very nice and comfortable. Wash and dry very fast.")</f>
        <v>You are perfect! Very nice and comfortable. Wash and dry very fast.</v>
      </c>
    </row>
    <row r="3539">
      <c r="A3539" s="1">
        <v>5.0</v>
      </c>
      <c r="B3539" s="1" t="s">
        <v>3522</v>
      </c>
      <c r="C3539" t="str">
        <f>IFERROR(__xludf.DUMMYFUNCTION("GOOGLETRANSLATE(B3539, ""es"", ""en"")"),"Fantastic is perfect, weightless and is super easy to use. Everything prepared very quick and easy to clean")</f>
        <v>Fantastic is perfect, weightless and is super easy to use. Everything prepared very quick and easy to clean</v>
      </c>
    </row>
    <row r="3540">
      <c r="A3540" s="1">
        <v>5.0</v>
      </c>
      <c r="B3540" s="1" t="s">
        <v>3523</v>
      </c>
      <c r="C3540" t="str">
        <f>IFERROR(__xludf.DUMMYFUNCTION("GOOGLETRANSLATE(B3540, ""es"", ""en"")"),"Well all right")</f>
        <v>Well all right</v>
      </c>
    </row>
    <row r="3541">
      <c r="A3541" s="1">
        <v>5.0</v>
      </c>
      <c r="B3541" s="1" t="s">
        <v>3524</v>
      </c>
      <c r="C3541" t="str">
        <f>IFERROR(__xludf.DUMMYFUNCTION("GOOGLETRANSLATE(B3541, ""es"", ""en"")"),"Perfect Although they say is silent noise, but bearable ago. As for the design is very nice and very nice lights. He arrived the next day to ask and am very happy with the purchase. Just what I expected")</f>
        <v>Perfect Although they say is silent noise, but bearable ago. As for the design is very nice and very nice lights. He arrived the next day to ask and am very happy with the purchase. Just what I expected</v>
      </c>
    </row>
    <row r="3542">
      <c r="A3542" s="1">
        <v>2.0</v>
      </c>
      <c r="B3542" s="1" t="s">
        <v>3525</v>
      </c>
      <c r="C3542" t="str">
        <f>IFERROR(__xludf.DUMMYFUNCTION("GOOGLETRANSLATE(B3542, ""es"", ""en"")"),"Sound, for the price they have is not enough for what it cost, little more can you ask. Link correctly and emits sound. Do not think that clarity or tone will be fairly decent, because they are not going to be")</f>
        <v>Sound, for the price they have is not enough for what it cost, little more can you ask. Link correctly and emits sound. Do not think that clarity or tone will be fairly decent, because they are not going to be</v>
      </c>
    </row>
    <row r="3543">
      <c r="A3543" s="1">
        <v>3.0</v>
      </c>
      <c r="B3543" s="1" t="s">
        <v>3526</v>
      </c>
      <c r="C3543" t="str">
        <f>IFERROR(__xludf.DUMMYFUNCTION("GOOGLETRANSLATE(B3543, ""es"", ""en"")"),"Mediocre strip holding the backpack was poorly finished and out threads. The design is not bad but the quality improved.")</f>
        <v>Mediocre strip holding the backpack was poorly finished and out threads. The design is not bad but the quality improved.</v>
      </c>
    </row>
    <row r="3544">
      <c r="A3544" s="1">
        <v>1.0</v>
      </c>
      <c r="B3544" s="1" t="s">
        <v>3527</v>
      </c>
      <c r="C3544" t="str">
        <f>IFERROR(__xludf.DUMMYFUNCTION("GOOGLETRANSLATE(B3544, ""es"", ""en"")"),"Poor quality not worth it, I broke the first day.")</f>
        <v>Poor quality not worth it, I broke the first day.</v>
      </c>
    </row>
    <row r="3545">
      <c r="A3545" s="1">
        <v>1.0</v>
      </c>
      <c r="B3545" s="1" t="s">
        <v>3528</v>
      </c>
      <c r="C3545" t="str">
        <f>IFERROR(__xludf.DUMMYFUNCTION("GOOGLETRANSLATE(B3545, ""es"", ""en"")"),"Very improvable is very heavy. The connection cable is uncomfortable and although the fabric is soft does not counteract the discomfort of how heavy it is")</f>
        <v>Very improvable is very heavy. The connection cable is uncomfortable and although the fabric is soft does not counteract the discomfort of how heavy it is</v>
      </c>
    </row>
    <row r="3546">
      <c r="A3546" s="1">
        <v>4.0</v>
      </c>
      <c r="B3546" s="1" t="s">
        <v>3529</v>
      </c>
      <c r="C3546" t="str">
        <f>IFERROR(__xludf.DUMMYFUNCTION("GOOGLETRANSLATE(B3546, ""es"", ""en"")"),"They ARE BEST Good quality but somewhat expensive.")</f>
        <v>They ARE BEST Good quality but somewhat expensive.</v>
      </c>
    </row>
    <row r="3547">
      <c r="A3547" s="1">
        <v>4.0</v>
      </c>
      <c r="B3547" s="1" t="s">
        <v>3530</v>
      </c>
      <c r="C3547" t="str">
        <f>IFERROR(__xludf.DUMMYFUNCTION("GOOGLETRANSLATE(B3547, ""es"", ""en"")"),"Good price expected")</f>
        <v>Good price expected</v>
      </c>
    </row>
    <row r="3548">
      <c r="A3548" s="1">
        <v>4.0</v>
      </c>
      <c r="B3548" s="1" t="s">
        <v>3531</v>
      </c>
      <c r="C3548" t="str">
        <f>IFERROR(__xludf.DUMMYFUNCTION("GOOGLETRANSLATE(B3548, ""es"", ""en"")"),"Substitute for classical baize I like are like dishcloths but biodegradable. Although I do not think they will last as long as traditional.")</f>
        <v>Substitute for classical baize I like are like dishcloths but biodegradable. Although I do not think they will last as long as traditional.</v>
      </c>
    </row>
    <row r="3549">
      <c r="A3549" s="1">
        <v>4.0</v>
      </c>
      <c r="B3549" s="1" t="s">
        <v>3532</v>
      </c>
      <c r="C3549" t="str">
        <f>IFERROR(__xludf.DUMMYFUNCTION("GOOGLETRANSLATE(B3549, ""es"", ""en"")"),"VERY GOOD SIZE USB REDUCED few days I have it and goes perfectly ago. The quality-price rate is good. I do not score excellent because it lacks a cap or closure to the USB so that no dust or water him if he falls. Although it depends on each case and in a"&amp;"ddition to the price, especially I consider for a normal user thinking about a possible loss or misplacement may be better to have 2 64 G albeit a little more expensive.")</f>
        <v>VERY GOOD SIZE USB REDUCED few days I have it and goes perfectly ago. The quality-price rate is good. I do not score excellent because it lacks a cap or closure to the USB so that no dust or water him if he falls. Although it depends on each case and in addition to the price, especially I consider for a normal user thinking about a possible loss or misplacement may be better to have 2 64 G albeit a little more expensive.</v>
      </c>
    </row>
    <row r="3550">
      <c r="A3550" s="1">
        <v>4.0</v>
      </c>
      <c r="B3550" s="1" t="s">
        <v>3533</v>
      </c>
      <c r="C3550" t="str">
        <f>IFERROR(__xludf.DUMMYFUNCTION("GOOGLETRANSLATE(B3550, ""es"", ""en"")"),"The brand gives confidence All good, just a tad narrow in size. Comfortable to wear and walk.")</f>
        <v>The brand gives confidence All good, just a tad narrow in size. Comfortable to wear and walk.</v>
      </c>
    </row>
    <row r="3551">
      <c r="A3551" s="1">
        <v>5.0</v>
      </c>
      <c r="B3551" s="1" t="s">
        <v>3534</v>
      </c>
      <c r="C3551" t="str">
        <f>IFERROR(__xludf.DUMMYFUNCTION("GOOGLETRANSLATE(B3551, ""es"", ""en"")"),"Comfortable and with good reach Headphones are comfortable and have a range of about 15m. In the case we can see that we still have the battery to charge helmets and on both sides of the battery remaining for each handset. It can be charged with USB or US"&amp;"B C")</f>
        <v>Comfortable and with good reach Headphones are comfortable and have a range of about 15m. In the case we can see that we still have the battery to charge helmets and on both sides of the battery remaining for each handset. It can be charged with USB or USB C</v>
      </c>
    </row>
    <row r="3552">
      <c r="A3552" s="1">
        <v>5.0</v>
      </c>
      <c r="B3552" s="1" t="s">
        <v>3535</v>
      </c>
      <c r="C3552" t="str">
        <f>IFERROR(__xludf.DUMMYFUNCTION("GOOGLETRANSLATE(B3552, ""es"", ""en"")"),"Quality more than acceptable image. Recommended I feared that a device as low offered a poor image quality. But at all. It offers high quality. Recommendable.")</f>
        <v>Quality more than acceptable image. Recommended I feared that a device as low offered a poor image quality. But at all. It offers high quality. Recommendable.</v>
      </c>
    </row>
    <row r="3553">
      <c r="A3553" s="1">
        <v>5.0</v>
      </c>
      <c r="B3553" s="1" t="s">
        <v>3536</v>
      </c>
      <c r="C3553" t="str">
        <f>IFERROR(__xludf.DUMMYFUNCTION("GOOGLETRANSLATE(B3553, ""es"", ""en"")"),"Fast shipping and product flipflops ok")</f>
        <v>Fast shipping and product flipflops ok</v>
      </c>
    </row>
    <row r="3554">
      <c r="A3554" s="1">
        <v>5.0</v>
      </c>
      <c r="B3554" s="1" t="s">
        <v>3537</v>
      </c>
      <c r="C3554" t="str">
        <f>IFERROR(__xludf.DUMMYFUNCTION("GOOGLETRANSLATE(B3554, ""es"", ""en"")"),"Price and protection of the package is very nice as my wife to be happy")</f>
        <v>Price and protection of the package is very nice as my wife to be happy</v>
      </c>
    </row>
    <row r="3555">
      <c r="A3555" s="1">
        <v>5.0</v>
      </c>
      <c r="B3555" s="1" t="s">
        <v>3538</v>
      </c>
      <c r="C3555" t="str">
        <f>IFERROR(__xludf.DUMMYFUNCTION("GOOGLETRANSLATE(B3555, ""es"", ""en"")"),"WELL A USB BARATO")</f>
        <v>WELL A USB BARATO</v>
      </c>
    </row>
    <row r="3556">
      <c r="A3556" s="1">
        <v>5.0</v>
      </c>
      <c r="B3556" s="1" t="s">
        <v>3539</v>
      </c>
      <c r="C3556" t="str">
        <f>IFERROR(__xludf.DUMMYFUNCTION("GOOGLETRANSLATE(B3556, ""es"", ""en"")"),"From 10! The best gift I've ever done! Very happy with the result")</f>
        <v>From 10! The best gift I've ever done! Very happy with the result</v>
      </c>
    </row>
    <row r="3557">
      <c r="A3557" s="1">
        <v>5.0</v>
      </c>
      <c r="B3557" s="1" t="s">
        <v>3540</v>
      </c>
      <c r="C3557" t="str">
        <f>IFERROR(__xludf.DUMMYFUNCTION("GOOGLETRANSLATE(B3557, ""es"", ""en"")"),"Order well perfect, good seller, recommended +++")</f>
        <v>Order well perfect, good seller, recommended +++</v>
      </c>
    </row>
    <row r="3558">
      <c r="A3558" s="1">
        <v>5.0</v>
      </c>
      <c r="B3558" s="1" t="s">
        <v>3541</v>
      </c>
      <c r="C3558" t="str">
        <f>IFERROR(__xludf.DUMMYFUNCTION("GOOGLETRANSLATE(B3558, ""es"", ""en"")"),"Very light. Good product and comfortable")</f>
        <v>Very light. Good product and comfortable</v>
      </c>
    </row>
    <row r="3559">
      <c r="A3559" s="1">
        <v>5.0</v>
      </c>
      <c r="B3559" s="1" t="s">
        <v>3542</v>
      </c>
      <c r="C3559" t="str">
        <f>IFERROR(__xludf.DUMMYFUNCTION("GOOGLETRANSLATE(B3559, ""es"", ""en"")"),"It glass bottle is 120 ml This bottle glass heat resistant; silicone nipple is wide, soft and flexible and has a petal-shaped design that mimics the natural shape of the breast to facilitate engagement. It is anti-colic but does not stop the crying baby.")</f>
        <v>It glass bottle is 120 ml This bottle glass heat resistant; silicone nipple is wide, soft and flexible and has a petal-shaped design that mimics the natural shape of the breast to facilitate engagement. It is anti-colic but does not stop the crying baby.</v>
      </c>
    </row>
    <row r="3560">
      <c r="A3560" s="1">
        <v>5.0</v>
      </c>
      <c r="B3560" s="1" t="s">
        <v>3543</v>
      </c>
      <c r="C3560" t="str">
        <f>IFERROR(__xludf.DUMMYFUNCTION("GOOGLETRANSLATE(B3560, ""es"", ""en"")"),"Right earrings beautiful and quality")</f>
        <v>Right earrings beautiful and quality</v>
      </c>
    </row>
    <row r="3561">
      <c r="A3561" s="1">
        <v>5.0</v>
      </c>
      <c r="B3561" s="1" t="s">
        <v>3544</v>
      </c>
      <c r="C3561" t="str">
        <f>IFERROR(__xludf.DUMMYFUNCTION("GOOGLETRANSLATE(B3561, ""es"", ""en"")"),"Saray PERFECT! Have arrived well packed in its original box, label, limpitas and brand-new! They are very comfortable and, best, super value! To guide, I use 37 and 36 2/3 asked me! And they stuck me! 👌🏻 A 10!")</f>
        <v>Saray PERFECT! Have arrived well packed in its original box, label, limpitas and brand-new! They are very comfortable and, best, super value! To guide, I use 37 and 36 2/3 asked me! And they stuck me! 👌🏻 A 10!</v>
      </c>
    </row>
    <row r="3562">
      <c r="A3562" s="1">
        <v>5.0</v>
      </c>
      <c r="B3562" s="1" t="s">
        <v>3545</v>
      </c>
      <c r="C3562" t="str">
        <f>IFERROR(__xludf.DUMMYFUNCTION("GOOGLETRANSLATE(B3562, ""es"", ""en"")"),"Judit Barcelona is very comfortable. Vans of the best I've had. They fit perfectly and look good with everything. Highly recommended. ;)")</f>
        <v>Judit Barcelona is very comfortable. Vans of the best I've had. They fit perfectly and look good with everything. Highly recommended. ;)</v>
      </c>
    </row>
    <row r="3563">
      <c r="A3563" s="1">
        <v>5.0</v>
      </c>
      <c r="B3563" s="1" t="s">
        <v>3546</v>
      </c>
      <c r="C3563" t="str">
        <f>IFERROR(__xludf.DUMMYFUNCTION("GOOGLETRANSLATE(B3563, ""es"", ""en"")"),"Es.muy cool cart, my baby love Encantada")</f>
        <v>Es.muy cool cart, my baby love Encantada</v>
      </c>
    </row>
    <row r="3564">
      <c r="A3564" s="1">
        <v>5.0</v>
      </c>
      <c r="B3564" s="1" t="s">
        <v>3547</v>
      </c>
      <c r="C3564" t="str">
        <f>IFERROR(__xludf.DUMMYFUNCTION("GOOGLETRANSLATE(B3564, ""es"", ""en"")"),"Memory card BBB- best memory cards market, large capacity, does not fail and will not let you pulled, the storage rate is not high, I use to photograph and not doing bursts, spare me this.")</f>
        <v>Memory card BBB- best memory cards market, large capacity, does not fail and will not let you pulled, the storage rate is not high, I use to photograph and not doing bursts, spare me this.</v>
      </c>
    </row>
    <row r="3565">
      <c r="A3565" s="1">
        <v>5.0</v>
      </c>
      <c r="B3565" s="1" t="s">
        <v>3548</v>
      </c>
      <c r="C3565" t="str">
        <f>IFERROR(__xludf.DUMMYFUNCTION("GOOGLETRANSLATE(B3565, ""es"", ""en"")"),"Good perfect and cheap, comfortable and hold.")</f>
        <v>Good perfect and cheap, comfortable and hold.</v>
      </c>
    </row>
    <row r="3566">
      <c r="A3566" s="1">
        <v>5.0</v>
      </c>
      <c r="B3566" s="1" t="s">
        <v>3549</v>
      </c>
      <c r="C3566" t="str">
        <f>IFERROR(__xludf.DUMMYFUNCTION("GOOGLETRANSLATE(B3566, ""es"", ""en"")"),"just what I expected no more")</f>
        <v>just what I expected no more</v>
      </c>
    </row>
    <row r="3567">
      <c r="A3567" s="1">
        <v>5.0</v>
      </c>
      <c r="B3567" s="1" t="s">
        <v>3550</v>
      </c>
      <c r="C3567" t="str">
        <f>IFERROR(__xludf.DUMMYFUNCTION("GOOGLETRANSLATE(B3567, ""es"", ""en"")"),"yolizoe All right, all perfect and time to receive very fast. The clock works very well and the presentation box with very good camouflage.")</f>
        <v>yolizoe All right, all perfect and time to receive very fast. The clock works very well and the presentation box with very good camouflage.</v>
      </c>
    </row>
    <row r="3568">
      <c r="A3568" s="1">
        <v>5.0</v>
      </c>
      <c r="B3568" s="1" t="s">
        <v>3551</v>
      </c>
      <c r="C3568" t="str">
        <f>IFERROR(__xludf.DUMMYFUNCTION("GOOGLETRANSLATE(B3568, ""es"", ""en"")"),"Dr Improvement seen in the photograph is super comfortable to wear and for a gift that are tremendous for your presence")</f>
        <v>Dr Improvement seen in the photograph is super comfortable to wear and for a gift that are tremendous for your presence</v>
      </c>
    </row>
    <row r="3569">
      <c r="A3569" s="1">
        <v>2.0</v>
      </c>
      <c r="B3569" s="1" t="s">
        <v>3552</v>
      </c>
      <c r="C3569" t="str">
        <f>IFERROR(__xludf.DUMMYFUNCTION("GOOGLETRANSLATE(B3569, ""es"", ""en"")"),"Sponges more ""cheap"" I've seen are of the bad quality you can find in the supermarket, if not worth it, but I bought it was very cheap I'm not convinced I'd rather pay a little more for ones that last longer and We do not create so much garbage")</f>
        <v>Sponges more "cheap" I've seen are of the bad quality you can find in the supermarket, if not worth it, but I bought it was very cheap I'm not convinced I'd rather pay a little more for ones that last longer and We do not create so much garbage</v>
      </c>
    </row>
    <row r="3570">
      <c r="A3570" s="1">
        <v>3.0</v>
      </c>
      <c r="B3570" s="1" t="s">
        <v>3553</v>
      </c>
      <c r="C3570" t="str">
        <f>IFERROR(__xludf.DUMMYFUNCTION("GOOGLETRANSLATE(B3570, ""es"", ""en"")"),"Hello I do not add any invoice or waybill")</f>
        <v>Hello I do not add any invoice or waybill</v>
      </c>
    </row>
    <row r="3571">
      <c r="A3571" s="1">
        <v>3.0</v>
      </c>
      <c r="B3571" s="1" t="s">
        <v>3554</v>
      </c>
      <c r="C3571" t="str">
        <f>IFERROR(__xludf.DUMMYFUNCTION("GOOGLETRANSLATE(B3571, ""es"", ""en"")"),"SUPER SMALL mop, as such, is very good, is lightweight, flexible and comfortable. Its paste is that it is tiny, measuring 24cm largo.No should recommend therefore, should be measured at the least 30 or 35 cm. Next time I will read to find the measures. Ch"&amp;"eers!")</f>
        <v>SUPER SMALL mop, as such, is very good, is lightweight, flexible and comfortable. Its paste is that it is tiny, measuring 24cm largo.No should recommend therefore, should be measured at the least 30 or 35 cm. Next time I will read to find the measures. Cheers!</v>
      </c>
    </row>
    <row r="3572">
      <c r="A3572" s="1">
        <v>1.0</v>
      </c>
      <c r="B3572" s="1" t="s">
        <v>3555</v>
      </c>
      <c r="C3572" t="str">
        <f>IFERROR(__xludf.DUMMYFUNCTION("GOOGLETRANSLATE(B3572, ""es"", ""en"")"),"Dissatisfaction The outstanding well but do not serve nuts and other claims and sent me the same so k can put me")</f>
        <v>Dissatisfaction The outstanding well but do not serve nuts and other claims and sent me the same so k can put me</v>
      </c>
    </row>
    <row r="3573">
      <c r="A3573" s="1">
        <v>1.0</v>
      </c>
      <c r="B3573" s="1" t="s">
        <v>3556</v>
      </c>
      <c r="C3573" t="str">
        <f>IFERROR(__xludf.DUMMYFUNCTION("GOOGLETRANSLATE(B3573, ""es"", ""en"")"),"Do not buy my god The color does not match entered belt and watch. Repay sending urgent is a scam, I'm still waiting rwspuesta meanwhile for my money back by sending")</f>
        <v>Do not buy my god The color does not match entered belt and watch. Repay sending urgent is a scam, I'm still waiting rwspuesta meanwhile for my money back by sending</v>
      </c>
    </row>
    <row r="3574">
      <c r="A3574" s="1">
        <v>4.0</v>
      </c>
      <c r="B3574" s="1" t="s">
        <v>3557</v>
      </c>
      <c r="C3574" t="str">
        <f>IFERROR(__xludf.DUMMYFUNCTION("GOOGLETRANSLATE(B3574, ""es"", ""en"")"),"Exactly what I was perfect. Good quality boots, warm and offering good protection to the foot in the crudest of this cold spell. However just as much technical mountain shoe, in urban use can slip in some very smooth surfaces occurs. It notes that they ar"&amp;"e more oriented use of external")</f>
        <v>Exactly what I was perfect. Good quality boots, warm and offering good protection to the foot in the crudest of this cold spell. However just as much technical mountain shoe, in urban use can slip in some very smooth surfaces occurs. It notes that they are more oriented use of external</v>
      </c>
    </row>
    <row r="3575">
      <c r="A3575" s="1">
        <v>4.0</v>
      </c>
      <c r="B3575" s="1" t="s">
        <v>3558</v>
      </c>
      <c r="C3575" t="str">
        <f>IFERROR(__xludf.DUMMYFUNCTION("GOOGLETRANSLATE(B3575, ""es"", ""en"")"),"Good very happy with them slippers. After a few weeks of use remain as the first day. Still retain the drawing of the logo of the sole thing that is often quickly disappearing.")</f>
        <v>Good very happy with them slippers. After a few weeks of use remain as the first day. Still retain the drawing of the logo of the sole thing that is often quickly disappearing.</v>
      </c>
    </row>
    <row r="3576">
      <c r="A3576" s="1">
        <v>4.0</v>
      </c>
      <c r="B3576" s="1" t="s">
        <v>3559</v>
      </c>
      <c r="C3576" t="str">
        <f>IFERROR(__xludf.DUMMYFUNCTION("GOOGLETRANSLATE(B3576, ""es"", ""en"")"),"material and not allergic good service nothing good ..")</f>
        <v>material and not allergic good service nothing good ..</v>
      </c>
    </row>
    <row r="3577">
      <c r="A3577" s="1">
        <v>4.0</v>
      </c>
      <c r="B3577" s="1" t="s">
        <v>3560</v>
      </c>
      <c r="C3577" t="str">
        <f>IFERROR(__xludf.DUMMYFUNCTION("GOOGLETRANSLATE(B3577, ""es"", ""en"")"),"Trusting the brand I chose this brand because it is the same as it was which lasted more than 10 years, so far so good but I'm a little afraid the sockets as the lid is not tight. The container is small but well ... it's the model. Until today I am satisf"&amp;"ied with its performance.")</f>
        <v>Trusting the brand I chose this brand because it is the same as it was which lasted more than 10 years, so far so good but I'm a little afraid the sockets as the lid is not tight. The container is small but well ... it's the model. Until today I am satisfied with its performance.</v>
      </c>
    </row>
    <row r="3578">
      <c r="A3578" s="1">
        <v>4.0</v>
      </c>
      <c r="B3578" s="1" t="s">
        <v>3561</v>
      </c>
      <c r="C3578" t="str">
        <f>IFERROR(__xludf.DUMMYFUNCTION("GOOGLETRANSLATE(B3578, ""es"", ""en"")"),"Meets the price and is very nice and flattering Well this xed is very nice carving is abundant if they have lame doubt one size smaller is my appreciation of color is not the same as the one that appears on the screen but still nice and very flattering to"&amp;" quality of the garment is what I expected and is finite which like least is me their small side pockets that do not like not having good shape in pockets is my sticks only, so do not give 5 extrellas anyway I'm happy greetings and happy holidays and new "&amp;"year")</f>
        <v>Meets the price and is very nice and flattering Well this xed is very nice carving is abundant if they have lame doubt one size smaller is my appreciation of color is not the same as the one that appears on the screen but still nice and very flattering to quality of the garment is what I expected and is finite which like least is me their small side pockets that do not like not having good shape in pockets is my sticks only, so do not give 5 extrellas anyway I'm happy greetings and happy holidays and new year</v>
      </c>
    </row>
    <row r="3579">
      <c r="A3579" s="1">
        <v>5.0</v>
      </c>
      <c r="B3579" s="1" t="s">
        <v>3562</v>
      </c>
      <c r="C3579" t="str">
        <f>IFERROR(__xludf.DUMMYFUNCTION("GOOGLETRANSLATE(B3579, ""es"", ""en"")"),"Identical to the original Good product")</f>
        <v>Identical to the original Good product</v>
      </c>
    </row>
    <row r="3580">
      <c r="A3580" s="1">
        <v>5.0</v>
      </c>
      <c r="B3580" s="1" t="s">
        <v>3563</v>
      </c>
      <c r="C3580" t="str">
        <f>IFERROR(__xludf.DUMMYFUNCTION("GOOGLETRANSLATE(B3580, ""es"", ""en"")"),"ANGOOL Sports Bra Yoga Run Bra Removable Pads Women've used to practice pilates and I must say they are comfortable and give the perfect fit. Something against you, give, very hot, but winter should be wonderful")</f>
        <v>ANGOOL Sports Bra Yoga Run Bra Removable Pads Women've used to practice pilates and I must say they are comfortable and give the perfect fit. Something against you, give, very hot, but winter should be wonderful</v>
      </c>
    </row>
    <row r="3581">
      <c r="A3581" s="1">
        <v>5.0</v>
      </c>
      <c r="B3581" s="1" t="s">
        <v>3564</v>
      </c>
      <c r="C3581" t="str">
        <f>IFERROR(__xludf.DUMMYFUNCTION("GOOGLETRANSLATE(B3581, ""es"", ""en"")"),"Original saw that were original as I had read in reviews that some vendors sold them fake. Usually these boots carve big, I use a 40 and had to take a 39, the best is try them on in store and then take advantage of Amazon's offer. They are hard, so you'll"&amp;" need a few weeks to make a foot.")</f>
        <v>Original saw that were original as I had read in reviews that some vendors sold them fake. Usually these boots carve big, I use a 40 and had to take a 39, the best is try them on in store and then take advantage of Amazon's offer. They are hard, so you'll need a few weeks to make a foot.</v>
      </c>
    </row>
    <row r="3582">
      <c r="A3582" s="1">
        <v>5.0</v>
      </c>
      <c r="B3582" s="1" t="s">
        <v>3565</v>
      </c>
      <c r="C3582" t="str">
        <f>IFERROR(__xludf.DUMMYFUNCTION("GOOGLETRANSLATE(B3582, ""es"", ""en"")"),"Very good product quality and punctual delivery.")</f>
        <v>Very good product quality and punctual delivery.</v>
      </c>
    </row>
    <row r="3583">
      <c r="A3583" s="1">
        <v>5.0</v>
      </c>
      <c r="B3583" s="1" t="s">
        <v>3566</v>
      </c>
      <c r="C3583" t="str">
        <f>IFERROR(__xludf.DUMMYFUNCTION("GOOGLETRANSLATE(B3583, ""es"", ""en"")"),"It's what I needed So I ended up buying five equal. True, did I miss because I have a small bed and wanted to add the tea in the room. The kettle is sufficient to heat the water for a couple of cups. It is robust. The lid is removed from the whole and so "&amp;"is easier to clean the interior. And above all, you have the possibility to choose the water temperature seems like a great idea, he had never seen. Certainly there are much cheaper small kettles, but not of the same quality. If I need more I'll sure buy.")</f>
        <v>It's what I needed So I ended up buying five equal. True, did I miss because I have a small bed and wanted to add the tea in the room. The kettle is sufficient to heat the water for a couple of cups. It is robust. The lid is removed from the whole and so is easier to clean the interior. And above all, you have the possibility to choose the water temperature seems like a great idea, he had never seen. Certainly there are much cheaper small kettles, but not of the same quality. If I need more I'll sure buy.</v>
      </c>
    </row>
    <row r="3584">
      <c r="A3584" s="1">
        <v>5.0</v>
      </c>
      <c r="B3584" s="1" t="s">
        <v>3567</v>
      </c>
      <c r="C3584" t="str">
        <f>IFERROR(__xludf.DUMMYFUNCTION("GOOGLETRANSLATE(B3584, ""es"", ""en"")"),"super comfortable High above my prespective, good quality for money. Very satisfied")</f>
        <v>super comfortable High above my prespective, good quality for money. Very satisfied</v>
      </c>
    </row>
    <row r="3585">
      <c r="A3585" s="1">
        <v>5.0</v>
      </c>
      <c r="B3585" s="1" t="s">
        <v>3568</v>
      </c>
      <c r="C3585" t="str">
        <f>IFERROR(__xludf.DUMMYFUNCTION("GOOGLETRANSLATE(B3585, ""es"", ""en"")"),"Using all ok salomon the table for measures comes as a guante.Y have more than fulfilled my expectations.")</f>
        <v>Using all ok salomon the table for measures comes as a guante.Y have more than fulfilled my expectations.</v>
      </c>
    </row>
    <row r="3586">
      <c r="A3586" s="1">
        <v>5.0</v>
      </c>
      <c r="B3586" s="1" t="s">
        <v>3569</v>
      </c>
      <c r="C3586" t="str">
        <f>IFERROR(__xludf.DUMMYFUNCTION("GOOGLETRANSLATE(B3586, ""es"", ""en"")"),"Jon Value fine. I bought it for the comments and has not let me down. Looks very crisp. My companion looks even with astigmatism.")</f>
        <v>Jon Value fine. I bought it for the comments and has not let me down. Looks very crisp. My companion looks even with astigmatism.</v>
      </c>
    </row>
    <row r="3587">
      <c r="A3587" s="1">
        <v>5.0</v>
      </c>
      <c r="B3587" s="1" t="s">
        <v>3570</v>
      </c>
      <c r="C3587" t="str">
        <f>IFERROR(__xludf.DUMMYFUNCTION("GOOGLETRANSLATE(B3587, ""es"", ""en"")"),"Value are fine but excellent harbor, and are breathable. Happy with purchase.")</f>
        <v>Value are fine but excellent harbor, and are breathable. Happy with purchase.</v>
      </c>
    </row>
    <row r="3588">
      <c r="A3588" s="1">
        <v>5.0</v>
      </c>
      <c r="B3588" s="1" t="s">
        <v>3571</v>
      </c>
      <c r="C3588" t="str">
        <f>IFERROR(__xludf.DUMMYFUNCTION("GOOGLETRANSLATE(B3588, ""es"", ""en"")"),"Inma P Useful for school. I always buy this brand items: pencils, for example, when my children start the school year because they give me quality assurance.")</f>
        <v>Inma P Useful for school. I always buy this brand items: pencils, for example, when my children start the school year because they give me quality assurance.</v>
      </c>
    </row>
    <row r="3589">
      <c r="A3589" s="1">
        <v>5.0</v>
      </c>
      <c r="B3589" s="1" t="s">
        <v>3572</v>
      </c>
      <c r="C3589" t="str">
        <f>IFERROR(__xludf.DUMMYFUNCTION("GOOGLETRANSLATE(B3589, ""es"", ""en"")"),"Exceptional Prenda perfect, completely suits you, being as your own skin. I'll buy it.")</f>
        <v>Exceptional Prenda perfect, completely suits you, being as your own skin. I'll buy it.</v>
      </c>
    </row>
    <row r="3590">
      <c r="A3590" s="1">
        <v>5.0</v>
      </c>
      <c r="B3590" s="1" t="s">
        <v>3573</v>
      </c>
      <c r="C3590" t="str">
        <f>IFERROR(__xludf.DUMMYFUNCTION("GOOGLETRANSLATE(B3590, ""es"", ""en"")"),"OROGINALES are the real, quality / price amazon insuperable, the return to buy other colors when the lower back;) comfortable and versatile. As a side note, I picked average number less than my usual size and I are perfect.")</f>
        <v>OROGINALES are the real, quality / price amazon insuperable, the return to buy other colors when the lower back;) comfortable and versatile. As a side note, I picked average number less than my usual size and I are perfect.</v>
      </c>
    </row>
    <row r="3591">
      <c r="A3591" s="1">
        <v>5.0</v>
      </c>
      <c r="B3591" s="1" t="s">
        <v>3574</v>
      </c>
      <c r="C3591" t="str">
        <f>IFERROR(__xludf.DUMMYFUNCTION("GOOGLETRANSLATE(B3591, ""es"", ""en"")"),"Very good very good bottles, is of the best prices I've found. Great brand and the best anti-colic. No definitely repeat.")</f>
        <v>Very good very good bottles, is of the best prices I've found. Great brand and the best anti-colic. No definitely repeat.</v>
      </c>
    </row>
    <row r="3592">
      <c r="A3592" s="1">
        <v>5.0</v>
      </c>
      <c r="B3592" s="1" t="s">
        <v>3575</v>
      </c>
      <c r="C3592" t="str">
        <f>IFERROR(__xludf.DUMMYFUNCTION("GOOGLETRANSLATE(B3592, ""es"", ""en"")"),"Dr. Martens 1460 - Men's lace-up boots, black color, size 43 How could it be otherwise fulfilled all expectations. All in a timely manner. I hope that will last many winters.")</f>
        <v>Dr. Martens 1460 - Men's lace-up boots, black color, size 43 How could it be otherwise fulfilled all expectations. All in a timely manner. I hope that will last many winters.</v>
      </c>
    </row>
    <row r="3593">
      <c r="A3593" s="1">
        <v>5.0</v>
      </c>
      <c r="B3593" s="1" t="s">
        <v>3576</v>
      </c>
      <c r="C3593" t="str">
        <f>IFERROR(__xludf.DUMMYFUNCTION("GOOGLETRANSLATE(B3593, ""es"", ""en"")"),"Always great buy, know the brand and works very well.")</f>
        <v>Always great buy, know the brand and works very well.</v>
      </c>
    </row>
    <row r="3594">
      <c r="A3594" s="1">
        <v>5.0</v>
      </c>
      <c r="B3594" s="1" t="s">
        <v>3577</v>
      </c>
      <c r="C3594" t="str">
        <f>IFERROR(__xludf.DUMMYFUNCTION("GOOGLETRANSLATE(B3594, ""es"", ""en"")"),"Comfort Very conodas for trsbajar all la.noche")</f>
        <v>Comfort Very conodas for trsbajar all la.noche</v>
      </c>
    </row>
    <row r="3595">
      <c r="A3595" s="1">
        <v>5.0</v>
      </c>
      <c r="B3595" s="1" t="s">
        <v>3578</v>
      </c>
      <c r="C3595" t="str">
        <f>IFERROR(__xludf.DUMMYFUNCTION("GOOGLETRANSLATE(B3595, ""es"", ""en"")"),"SIMPLY EXTRAORDINARY! The item is beautiful, the presentation very good, fast shipping and has met my expectations. I would recommend it to anyone, the article and how to buy. Thanks for everything")</f>
        <v>SIMPLY EXTRAORDINARY! The item is beautiful, the presentation very good, fast shipping and has met my expectations. I would recommend it to anyone, the article and how to buy. Thanks for everything</v>
      </c>
    </row>
    <row r="3596">
      <c r="A3596" s="1">
        <v>5.0</v>
      </c>
      <c r="B3596" s="1" t="s">
        <v>3579</v>
      </c>
      <c r="C3596" t="str">
        <f>IFERROR(__xludf.DUMMYFUNCTION("GOOGLETRANSLATE(B3596, ""es"", ""en"")"),"Great good buy, very happy. The battery copes perfectly to clean my floor (100m2). Easy to clean and very manageable. By putting a stick, sometimes it does not get well with some edges, but otherwise fine.")</f>
        <v>Great good buy, very happy. The battery copes perfectly to clean my floor (100m2). Easy to clean and very manageable. By putting a stick, sometimes it does not get well with some edges, but otherwise fine.</v>
      </c>
    </row>
    <row r="3597">
      <c r="A3597" s="1">
        <v>5.0</v>
      </c>
      <c r="B3597" s="1" t="s">
        <v>3580</v>
      </c>
      <c r="C3597" t="str">
        <f>IFERROR(__xludf.DUMMYFUNCTION("GOOGLETRANSLATE(B3597, ""es"", ""en"")"),"Cool I'm not a great understanding in sound, but something purist. Seeking quality components, decent low, autonomy and reliability. These JBL comply with the above. After a few weeks of use I can not say anything negative. We recomendadísimos.")</f>
        <v>Cool I'm not a great understanding in sound, but something purist. Seeking quality components, decent low, autonomy and reliability. These JBL comply with the above. After a few weeks of use I can not say anything negative. We recomendadísimos.</v>
      </c>
    </row>
    <row r="3598">
      <c r="A3598" s="1">
        <v>2.0</v>
      </c>
      <c r="B3598" s="1" t="s">
        <v>3581</v>
      </c>
      <c r="C3598" t="str">
        <f>IFERROR(__xludf.DUMMYFUNCTION("GOOGLETRANSLATE(B3598, ""es"", ""en"")"),"Good product normalillo normalillo headphones are not perfect but good to hear the price already known can be acceptable")</f>
        <v>Good product normalillo normalillo headphones are not perfect but good to hear the price already known can be acceptable</v>
      </c>
    </row>
    <row r="3599">
      <c r="A3599" s="1">
        <v>3.0</v>
      </c>
      <c r="B3599" s="1" t="s">
        <v>3582</v>
      </c>
      <c r="C3599" t="str">
        <f>IFERROR(__xludf.DUMMYFUNCTION("GOOGLETRANSLATE(B3599, ""es"", ""en"")"),"Well as a gift of Mother's Day Perfect for Mother's Day that comes in an elegant box, but the collar is a little classic. I'm not sure if I'll stay because I do not just convinced the chain is a bit rough for my taste. But for 10 € I bought on sale can no"&amp;"t ask for much more, for that price it is great as a gift. PROS: Packaging elegant Price / quality aspect CONS: Some classic string a little ugly")</f>
        <v>Well as a gift of Mother's Day Perfect for Mother's Day that comes in an elegant box, but the collar is a little classic. I'm not sure if I'll stay because I do not just convinced the chain is a bit rough for my taste. But for 10 € I bought on sale can not ask for much more, for that price it is great as a gift. PROS: Packaging elegant Price / quality aspect CONS: Some classic string a little ugly</v>
      </c>
    </row>
    <row r="3600">
      <c r="A3600" s="1">
        <v>3.0</v>
      </c>
      <c r="B3600" s="1" t="s">
        <v>3583</v>
      </c>
      <c r="C3600" t="str">
        <f>IFERROR(__xludf.DUMMYFUNCTION("GOOGLETRANSLATE(B3600, ""es"", ""en"")"),"Basic quality does not convince me quality")</f>
        <v>Basic quality does not convince me quality</v>
      </c>
    </row>
    <row r="3601">
      <c r="A3601" s="1">
        <v>1.0</v>
      </c>
      <c r="B3601" s="1" t="s">
        <v>3584</v>
      </c>
      <c r="C3601" t="str">
        <f>IFERROR(__xludf.DUMMYFUNCTION("GOOGLETRANSLATE(B3601, ""es"", ""en"")"),"Vaso, specifically the lid does not close and is a real problem The mixer very well, but the laptop cover glass does not close and you lose all the functionality you have. I contacted Philipis and tells me that the warranty does not cover ""accessories"" "&amp;"to which I replied that the ""accessory"" is practically the most important of this mixer, and emotional for which I opted for this model and not another . The contents of the glass and spilled me repeatedly that the lid is opened suddenly and caused me p"&amp;"roblems. Also tell me from Philips is the seller who is responsible for covering regarding accessories, but I get contact the seller.")</f>
        <v>Vaso, specifically the lid does not close and is a real problem The mixer very well, but the laptop cover glass does not close and you lose all the functionality you have. I contacted Philipis and tells me that the warranty does not cover "accessories" to which I replied that the "accessory" is practically the most important of this mixer, and emotional for which I opted for this model and not another . The contents of the glass and spilled me repeatedly that the lid is opened suddenly and caused me problems. Also tell me from Philips is the seller who is responsible for covering regarding accessories, but I get contact the seller.</v>
      </c>
    </row>
    <row r="3602">
      <c r="A3602" s="1">
        <v>1.0</v>
      </c>
      <c r="B3602" s="1" t="s">
        <v>3585</v>
      </c>
      <c r="C3602" t="str">
        <f>IFERROR(__xludf.DUMMYFUNCTION("GOOGLETRANSLATE(B3602, ""es"", ""en"")"),"I sent a microphone used sent me a microphone and used and clearly defective with a noise like constant background vibration, which only touched options was impossible to mitigate. The box was not sealed. I ordered a replacement product and the micro that"&amp;" came to me yes it was new, nothing worked plug everything perfectly.")</f>
        <v>I sent a microphone used sent me a microphone and used and clearly defective with a noise like constant background vibration, which only touched options was impossible to mitigate. The box was not sealed. I ordered a replacement product and the micro that came to me yes it was new, nothing worked plug everything perfectly.</v>
      </c>
    </row>
    <row r="3603">
      <c r="A3603" s="1">
        <v>1.0</v>
      </c>
      <c r="B3603" s="1" t="s">
        <v>3586</v>
      </c>
      <c r="C3603" t="str">
        <f>IFERROR(__xludf.DUMMYFUNCTION("GOOGLETRANSLATE(B3603, ""es"", ""en"")"),"Mar is short leg length and the first wash I have already discarded; I do not understand because I bought this model in green and is a tad star largo.Una by precio.Gracias")</f>
        <v>Mar is short leg length and the first wash I have already discarded; I do not understand because I bought this model in green and is a tad star largo.Una by precio.Gracias</v>
      </c>
    </row>
    <row r="3604">
      <c r="A3604" s="1">
        <v>4.0</v>
      </c>
      <c r="B3604" s="1" t="s">
        <v>3378</v>
      </c>
      <c r="C3604" t="str">
        <f>IFERROR(__xludf.DUMMYFUNCTION("GOOGLETRANSLATE(B3604, ""es"", ""en"")"),"right right")</f>
        <v>right right</v>
      </c>
    </row>
    <row r="3605">
      <c r="A3605" s="1">
        <v>4.0</v>
      </c>
      <c r="B3605" s="1" t="s">
        <v>3587</v>
      </c>
      <c r="C3605" t="str">
        <f>IFERROR(__xludf.DUMMYFUNCTION("GOOGLETRANSLATE(B3605, ""es"", ""en"")"),"The whole life I've been using these dvds about 15 years, and I find no fault them. It is true that with the light end up breaking down, but after many years. Within albums, they do not have to have any problems. And yet I have not encountered any defecti"&amp;"ve dvd.")</f>
        <v>The whole life I've been using these dvds about 15 years, and I find no fault them. It is true that with the light end up breaking down, but after many years. Within albums, they do not have to have any problems. And yet I have not encountered any defective dvd.</v>
      </c>
    </row>
    <row r="3606">
      <c r="A3606" s="1">
        <v>4.0</v>
      </c>
      <c r="B3606" s="1" t="s">
        <v>3588</v>
      </c>
      <c r="C3606" t="str">
        <f>IFERROR(__xludf.DUMMYFUNCTION("GOOGLETRANSLATE(B3606, ""es"", ""en"")"),"Good value for money, high-capacity I put it to backup the most sensitive data from my nas and it works perfect. As to say that 8TB capacity is a little larger than other discs and need power adapter, but it is normal for this capability, yet the size is "&amp;"not too large")</f>
        <v>Good value for money, high-capacity I put it to backup the most sensitive data from my nas and it works perfect. As to say that 8TB capacity is a little larger than other discs and need power adapter, but it is normal for this capability, yet the size is not too large</v>
      </c>
    </row>
    <row r="3607">
      <c r="A3607" s="1">
        <v>4.0</v>
      </c>
      <c r="B3607" s="1" t="s">
        <v>3589</v>
      </c>
      <c r="C3607" t="str">
        <f>IFERROR(__xludf.DUMMYFUNCTION("GOOGLETRANSLATE(B3607, ""es"", ""en"")"),"Very good helmets in the lower middle range I use to go to work for an hour with them jobs do not bother at all since they are lightweight. I already had the old model and I liked their sound, very crisp, powerful bass and midrange and treble acceptable. "&amp;"Insulates quite well abroad without having to put the volume too high and no annoying cable because it is neither too long nor too short. I do not know what will last me but for this price surely will repeat when they fail or whatever. 8/10")</f>
        <v>Very good helmets in the lower middle range I use to go to work for an hour with them jobs do not bother at all since they are lightweight. I already had the old model and I liked their sound, very crisp, powerful bass and midrange and treble acceptable. Insulates quite well abroad without having to put the volume too high and no annoying cable because it is neither too long nor too short. I do not know what will last me but for this price surely will repeat when they fail or whatever. 8/10</v>
      </c>
    </row>
    <row r="3608">
      <c r="A3608" s="1">
        <v>5.0</v>
      </c>
      <c r="B3608" s="1" t="s">
        <v>3590</v>
      </c>
      <c r="C3608" t="str">
        <f>IFERROR(__xludf.DUMMYFUNCTION("GOOGLETRANSLATE(B3608, ""es"", ""en"")"),"Mu good We have satisfied the product. We had one like it but over the years has been deteriorating, and this is the perfect replacement. I chose only the model wearing the cut potatoes and spare us, otherwise it's perfect.")</f>
        <v>Mu good We have satisfied the product. We had one like it but over the years has been deteriorating, and this is the perfect replacement. I chose only the model wearing the cut potatoes and spare us, otherwise it's perfect.</v>
      </c>
    </row>
    <row r="3609">
      <c r="A3609" s="1">
        <v>5.0</v>
      </c>
      <c r="B3609" s="1" t="s">
        <v>3591</v>
      </c>
      <c r="C3609" t="str">
        <f>IFERROR(__xludf.DUMMYFUNCTION("GOOGLETRANSLATE(B3609, ""es"", ""en"")"),"Super They are very comfortable, easy to connect and go very well.")</f>
        <v>Super They are very comfortable, easy to connect and go very well.</v>
      </c>
    </row>
    <row r="3610">
      <c r="A3610" s="1">
        <v>5.0</v>
      </c>
      <c r="B3610" s="1" t="s">
        <v>3592</v>
      </c>
      <c r="C3610" t="str">
        <f>IFERROR(__xludf.DUMMYFUNCTION("GOOGLETRANSLATE(B3610, ""es"", ""en"")"),"Excellent quality shoes Great quality. It is the second time I buy them by the good results.")</f>
        <v>Excellent quality shoes Great quality. It is the second time I buy them by the good results.</v>
      </c>
    </row>
    <row r="3611">
      <c r="A3611" s="1">
        <v>5.0</v>
      </c>
      <c r="B3611" s="1" t="s">
        <v>3593</v>
      </c>
      <c r="C3611" t="str">
        <f>IFERROR(__xludf.DUMMYFUNCTION("GOOGLETRANSLATE(B3611, ""es"", ""en"")"),"Beautiful and nice quality sweatshirt. My son loves it.")</f>
        <v>Beautiful and nice quality sweatshirt. My son loves it.</v>
      </c>
    </row>
    <row r="3612">
      <c r="A3612" s="1">
        <v>5.0</v>
      </c>
      <c r="B3612" s="1" t="s">
        <v>3594</v>
      </c>
      <c r="C3612" t="str">
        <f>IFERROR(__xludf.DUMMYFUNCTION("GOOGLETRANSLATE(B3612, ""es"", ""en"")"),"Small but practical is small, just what we wanted. A material that seems indestructible. I liked it because I always went with one of a larger size and there were times it was unnecessary.")</f>
        <v>Small but practical is small, just what we wanted. A material that seems indestructible. I liked it because I always went with one of a larger size and there were times it was unnecessary.</v>
      </c>
    </row>
    <row r="3613">
      <c r="A3613" s="1">
        <v>5.0</v>
      </c>
      <c r="B3613" s="1" t="s">
        <v>3595</v>
      </c>
      <c r="C3613" t="str">
        <f>IFERROR(__xludf.DUMMYFUNCTION("GOOGLETRANSLATE(B3613, ""es"", ""en"")"),"Great product are perfect and gone jogging with them and are perfect, yes beware sizes I use a 47 and picked up a 48 and I will perfect")</f>
        <v>Great product are perfect and gone jogging with them and are perfect, yes beware sizes I use a 47 and picked up a 48 and I will perfect</v>
      </c>
    </row>
    <row r="3614">
      <c r="A3614" s="1">
        <v>5.0</v>
      </c>
      <c r="B3614" s="1" t="s">
        <v>3596</v>
      </c>
      <c r="C3614" t="str">
        <f>IFERROR(__xludf.DUMMYFUNCTION("GOOGLETRANSLATE(B3614, ""es"", ""en"")"),"Very simple, you plug and it works wing pressure sensitive keyboard. Very useful volume key. Maybe add some system to indicate in which area of ​​the keyboard you are because with the + and - keys you move easily through it but the sound is only when you "&amp;"place yourself.")</f>
        <v>Very simple, you plug and it works wing pressure sensitive keyboard. Very useful volume key. Maybe add some system to indicate in which area of ​​the keyboard you are because with the + and - keys you move easily through it but the sound is only when you place yourself.</v>
      </c>
    </row>
    <row r="3615">
      <c r="A3615" s="1">
        <v>5.0</v>
      </c>
      <c r="B3615" s="1" t="s">
        <v>3597</v>
      </c>
      <c r="C3615" t="str">
        <f>IFERROR(__xludf.DUMMYFUNCTION("GOOGLETRANSLATE(B3615, ""es"", ""en"")"),"The very bonitad I bought for a gift and I was lucky full, they are nicer than on the photo and bring two different strands to put taste")</f>
        <v>The very bonitad I bought for a gift and I was lucky full, they are nicer than on the photo and bring two different strands to put taste</v>
      </c>
    </row>
    <row r="3616">
      <c r="A3616" s="1">
        <v>5.0</v>
      </c>
      <c r="B3616" s="1" t="s">
        <v>3598</v>
      </c>
      <c r="C3616" t="str">
        <f>IFERROR(__xludf.DUMMYFUNCTION("GOOGLETRANSLATE(B3616, ""es"", ""en"")"),"Helmets good quality and price I was looking for a bluetooth helmets for the last time and saw these that caught my attention and good price and I was right because helmets are great truth. For my part they are 100% recommended. - The sound is quite good "&amp;"and clean. - They're pretty comfortable. - it comes with various gums of different sizes. - Very easy to match them to the phone. - Note that you can use only one of them without being required to use both at the same time as both have microphone and can "&amp;"use both hands free. Definitely a great helmets, comfortable at a very good price and easy to carry as the box is small and comfortable.")</f>
        <v>Helmets good quality and price I was looking for a bluetooth helmets for the last time and saw these that caught my attention and good price and I was right because helmets are great truth. For my part they are 100% recommended. - The sound is quite good and clean. - They're pretty comfortable. - it comes with various gums of different sizes. - Very easy to match them to the phone. - Note that you can use only one of them without being required to use both at the same time as both have microphone and can use both hands free. Definitely a great helmets, comfortable at a very good price and easy to carry as the box is small and comfortable.</v>
      </c>
    </row>
    <row r="3617">
      <c r="A3617" s="1">
        <v>5.0</v>
      </c>
      <c r="B3617" s="1" t="s">
        <v>3599</v>
      </c>
      <c r="C3617" t="str">
        <f>IFERROR(__xludf.DUMMYFUNCTION("GOOGLETRANSLATE(B3617, ""es"", ""en"")"),"Maybe I bought !!!! My house has no heating so it is always cold. With this blanket'm always hot and warm bed super good! excellent buy and super soft.")</f>
        <v>Maybe I bought !!!! My house has no heating so it is always cold. With this blanket'm always hot and warm bed super good! excellent buy and super soft.</v>
      </c>
    </row>
    <row r="3618">
      <c r="A3618" s="1">
        <v>5.0</v>
      </c>
      <c r="B3618" s="1" t="s">
        <v>3600</v>
      </c>
      <c r="C3618" t="str">
        <f>IFERROR(__xludf.DUMMYFUNCTION("GOOGLETRANSLATE(B3618, ""es"", ""en"")"),"Excellent bag skin is very elegant, easy to carry and genuine leather with many compartments. I fits all. as indicated technical sheet size. Very good compra.Desearía add that I bought on 24 November 2018 and today (04/05/2019) still impeccable.")</f>
        <v>Excellent bag skin is very elegant, easy to carry and genuine leather with many compartments. I fits all. as indicated technical sheet size. Very good compra.Desearía add that I bought on 24 November 2018 and today (04/05/2019) still impeccable.</v>
      </c>
    </row>
    <row r="3619">
      <c r="A3619" s="1">
        <v>5.0</v>
      </c>
      <c r="B3619" s="1" t="s">
        <v>3601</v>
      </c>
      <c r="C3619" t="str">
        <f>IFERROR(__xludf.DUMMYFUNCTION("GOOGLETRANSLATE(B3619, ""es"", ""en"")"),"Unlike the better then buy another, costing half and believing that would give me the expected result, I had to buy it. has nothing to do, look no further. Spanish language, autonomy of 11 hours of talk time, do not waste your money on this .Comprate expe"&amp;"riments, you will not regret.")</f>
        <v>Unlike the better then buy another, costing half and believing that would give me the expected result, I had to buy it. has nothing to do, look no further. Spanish language, autonomy of 11 hours of talk time, do not waste your money on this .Comprate experiments, you will not regret.</v>
      </c>
    </row>
    <row r="3620">
      <c r="A3620" s="1">
        <v>5.0</v>
      </c>
      <c r="B3620" s="1" t="s">
        <v>3602</v>
      </c>
      <c r="C3620" t="str">
        <f>IFERROR(__xludf.DUMMYFUNCTION("GOOGLETRANSLATE(B3620, ""es"", ""en"")"),"Espectaculars Pel preu worth not crec that n'hi Hagi sonin millor. Molt bons Greus, mitjos Aguts i, i a spectacular scene, sembla that siguin d'un molt preu superior. recomanables molt.")</f>
        <v>Espectaculars Pel preu worth not crec that n'hi Hagi sonin millor. Molt bons Greus, mitjos Aguts i, i a spectacular scene, sembla that siguin d'un molt preu superior. recomanables molt.</v>
      </c>
    </row>
    <row r="3621">
      <c r="A3621" s="1">
        <v>5.0</v>
      </c>
      <c r="B3621" s="1" t="s">
        <v>3603</v>
      </c>
      <c r="C3621" t="str">
        <f>IFERROR(__xludf.DUMMYFUNCTION("GOOGLETRANSLATE(B3621, ""es"", ""en"")"),"Comfortable and good value. Good sound pickup. Easy setup, directly to mobile via minijack, works with the recorder basic phone with no problem. Good for a second audio track when recording remotely.")</f>
        <v>Comfortable and good value. Good sound pickup. Easy setup, directly to mobile via minijack, works with the recorder basic phone with no problem. Good for a second audio track when recording remotely.</v>
      </c>
    </row>
    <row r="3622">
      <c r="A3622" s="1">
        <v>5.0</v>
      </c>
      <c r="B3622" s="1" t="s">
        <v>1425</v>
      </c>
      <c r="C3622" t="str">
        <f>IFERROR(__xludf.DUMMYFUNCTION("GOOGLETRANSLATE(B3622, ""es"", ""en"")"),"perfect perfect")</f>
        <v>perfect perfect</v>
      </c>
    </row>
    <row r="3623">
      <c r="A3623" s="1">
        <v>5.0</v>
      </c>
      <c r="B3623" s="1" t="s">
        <v>3604</v>
      </c>
      <c r="C3623" t="str">
        <f>IFERROR(__xludf.DUMMYFUNCTION("GOOGLETRANSLATE(B3623, ""es"", ""en"")"),"Miguel Angel Moles Rey Very nice, elegant and nothing to envy to other brands I've tried in pools, sea, shower, perfect, time perfect, just say the bracelet watch is inferior to the clock ... but for its price more can you ask I am very happy")</f>
        <v>Miguel Angel Moles Rey Very nice, elegant and nothing to envy to other brands I've tried in pools, sea, shower, perfect, time perfect, just say the bracelet watch is inferior to the clock ... but for its price more can you ask I am very happy</v>
      </c>
    </row>
    <row r="3624">
      <c r="A3624" s="1">
        <v>5.0</v>
      </c>
      <c r="B3624" s="1" t="s">
        <v>3605</v>
      </c>
      <c r="C3624" t="str">
        <f>IFERROR(__xludf.DUMMYFUNCTION("GOOGLETRANSLATE(B3624, ""es"", ""en"")"),"Comfort is a comfortable shoe ligueras")</f>
        <v>Comfort is a comfortable shoe ligueras</v>
      </c>
    </row>
    <row r="3625">
      <c r="A3625" s="1">
        <v>5.0</v>
      </c>
      <c r="B3625" s="1" t="s">
        <v>3606</v>
      </c>
      <c r="C3625" t="str">
        <f>IFERROR(__xludf.DUMMYFUNCTION("GOOGLETRANSLATE(B3625, ""es"", ""en"")"),"CHULA SUPER !!! Completely like that of older but small. With the same functions, the two-speed spinning blade (plastic, of course) and side buttons that dismantled in two parts (it is known that part of the controls can not scrub ... ha ha, ja, ....), it"&amp;" includes glass for mixtures. I said very complete and quite the same as that of adults.")</f>
        <v>CHULA SUPER !!! Completely like that of older but small. With the same functions, the two-speed spinning blade (plastic, of course) and side buttons that dismantled in two parts (it is known that part of the controls can not scrub ... ha ha, ja, ....), it includes glass for mixtures. I said very complete and quite the same as that of adults.</v>
      </c>
    </row>
    <row r="3626">
      <c r="A3626" s="1">
        <v>5.0</v>
      </c>
      <c r="B3626" s="1" t="s">
        <v>3607</v>
      </c>
      <c r="C3626" t="str">
        <f>IFERROR(__xludf.DUMMYFUNCTION("GOOGLETRANSLATE(B3626, ""es"", ""en"")"),"Product quality product highly recommendable, a very good buy. So expensive for my taste but the market is what it is.")</f>
        <v>Product quality product highly recommendable, a very good buy. So expensive for my taste but the market is what it is.</v>
      </c>
    </row>
    <row r="3627">
      <c r="A3627" s="1">
        <v>2.0</v>
      </c>
      <c r="B3627" s="1" t="s">
        <v>3608</v>
      </c>
      <c r="C3627" t="str">
        <f>IFERROR(__xludf.DUMMYFUNCTION("GOOGLETRANSLATE(B3627, ""es"", ""en"")"),"manageable Normal")</f>
        <v>manageable Normal</v>
      </c>
    </row>
    <row r="3628">
      <c r="A3628" s="1">
        <v>3.0</v>
      </c>
      <c r="B3628" s="1" t="s">
        <v>3609</v>
      </c>
      <c r="C3628" t="str">
        <f>IFERROR(__xludf.DUMMYFUNCTION("GOOGLETRANSLATE(B3628, ""es"", ""en"")"),"Correct Good shirt to always sport that is not running. At the causes sweat stains until it takes even tone. In general and the price I bought it fulfills its function.")</f>
        <v>Correct Good shirt to always sport that is not running. At the causes sweat stains until it takes even tone. In general and the price I bought it fulfills its function.</v>
      </c>
    </row>
    <row r="3629">
      <c r="A3629" s="1">
        <v>3.0</v>
      </c>
      <c r="B3629" s="1" t="s">
        <v>3610</v>
      </c>
      <c r="C3629" t="str">
        <f>IFERROR(__xludf.DUMMYFUNCTION("GOOGLETRANSLATE(B3629, ""es"", ""en"")"),"good price but contains much alcohol is very well priced even more noticeable alcohol")</f>
        <v>good price but contains much alcohol is very well priced even more noticeable alcohol</v>
      </c>
    </row>
    <row r="3630">
      <c r="A3630" s="1">
        <v>1.0</v>
      </c>
      <c r="B3630" s="1" t="s">
        <v>3611</v>
      </c>
      <c r="C3630" t="str">
        <f>IFERROR(__xludf.DUMMYFUNCTION("GOOGLETRANSLATE(B3630, ""es"", ""en"")"),"pesimo gum bottom squeeze well but what is the cup has nothing clamping. fabric are very thin and uncomfortable")</f>
        <v>pesimo gum bottom squeeze well but what is the cup has nothing clamping. fabric are very thin and uncomfortable</v>
      </c>
    </row>
    <row r="3631">
      <c r="A3631" s="1">
        <v>1.0</v>
      </c>
      <c r="B3631" s="1" t="s">
        <v>3612</v>
      </c>
      <c r="C3631" t="str">
        <f>IFERROR(__xludf.DUMMYFUNCTION("GOOGLETRANSLATE(B3631, ""es"", ""en"")"),"Terrible fatal stopped working month will not buy anymore. Q I hope you help serve greetings")</f>
        <v>Terrible fatal stopped working month will not buy anymore. Q I hope you help serve greetings</v>
      </c>
    </row>
    <row r="3632">
      <c r="A3632" s="1">
        <v>4.0</v>
      </c>
      <c r="B3632" s="1" t="s">
        <v>3613</v>
      </c>
      <c r="C3632" t="str">
        <f>IFERROR(__xludf.DUMMYFUNCTION("GOOGLETRANSLATE(B3632, ""es"", ""en"")"),"Good value for money .. All good ... just wet floor not worth!")</f>
        <v>Good value for money .. All good ... just wet floor not worth!</v>
      </c>
    </row>
    <row r="3633">
      <c r="A3633" s="1">
        <v>4.0</v>
      </c>
      <c r="B3633" s="1" t="s">
        <v>3614</v>
      </c>
      <c r="C3633" t="str">
        <f>IFERROR(__xludf.DUMMYFUNCTION("GOOGLETRANSLATE(B3633, ""es"", ""en"")"),"It increases the capacity of the iPad or iPhone Convenient to download photos from iPhone or iPad on trips and archive documents when you do not want or can not do in the cloud. Gift seems a wise move, it looks as shown in the photo is nice, tiny and prac"&amp;"tical")</f>
        <v>It increases the capacity of the iPad or iPhone Convenient to download photos from iPhone or iPad on trips and archive documents when you do not want or can not do in the cloud. Gift seems a wise move, it looks as shown in the photo is nice, tiny and practical</v>
      </c>
    </row>
    <row r="3634">
      <c r="A3634" s="1">
        <v>4.0</v>
      </c>
      <c r="B3634" s="1" t="s">
        <v>3615</v>
      </c>
      <c r="C3634" t="str">
        <f>IFERROR(__xludf.DUMMYFUNCTION("GOOGLETRANSLATE(B3634, ""es"", ""en"")"),"Earrings Very nice and despite its price look great")</f>
        <v>Earrings Very nice and despite its price look great</v>
      </c>
    </row>
    <row r="3635">
      <c r="A3635" s="1">
        <v>4.0</v>
      </c>
      <c r="B3635" s="1" t="s">
        <v>3616</v>
      </c>
      <c r="C3635" t="str">
        <f>IFERROR(__xludf.DUMMYFUNCTION("GOOGLETRANSLATE(B3635, ""es"", ""en"")"),"Estrecha's fine. The size corresponds but elastic bottom is exaggeratedly narrow compared to the rest. I had no problem because it was for someone quite thin")</f>
        <v>Estrecha's fine. The size corresponds but elastic bottom is exaggeratedly narrow compared to the rest. I had no problem because it was for someone quite thin</v>
      </c>
    </row>
    <row r="3636">
      <c r="A3636" s="1">
        <v>4.0</v>
      </c>
      <c r="B3636" s="1" t="s">
        <v>3617</v>
      </c>
      <c r="C3636" t="str">
        <f>IFERROR(__xludf.DUMMYFUNCTION("GOOGLETRANSLATE(B3636, ""es"", ""en"")"),"Beautiful and functional but something big. They are calentitas, comfortable and nice but are big in my size. It should be a number less.")</f>
        <v>Beautiful and functional but something big. They are calentitas, comfortable and nice but are big in my size. It should be a number less.</v>
      </c>
    </row>
    <row r="3637">
      <c r="A3637" s="1">
        <v>5.0</v>
      </c>
      <c r="B3637" s="1" t="s">
        <v>3618</v>
      </c>
      <c r="C3637" t="str">
        <f>IFERROR(__xludf.DUMMYFUNCTION("GOOGLETRANSLATE(B3637, ""es"", ""en"")"),"* Very good")</f>
        <v>* Very good</v>
      </c>
    </row>
    <row r="3638">
      <c r="A3638" s="1">
        <v>5.0</v>
      </c>
      <c r="B3638" s="1" t="s">
        <v>3619</v>
      </c>
      <c r="C3638" t="str">
        <f>IFERROR(__xludf.DUMMYFUNCTION("GOOGLETRANSLATE(B3638, ""es"", ""en"")"),"NUERNS QUALITY / PRICE Good item value and worth. I recommend it so much I made another request.")</f>
        <v>NUERNS QUALITY / PRICE Good item value and worth. I recommend it so much I made another request.</v>
      </c>
    </row>
    <row r="3639">
      <c r="A3639" s="1">
        <v>5.0</v>
      </c>
      <c r="B3639" s="1" t="s">
        <v>3620</v>
      </c>
      <c r="C3639" t="str">
        <f>IFERROR(__xludf.DUMMYFUNCTION("GOOGLETRANSLATE(B3639, ""es"", ""en"")"),"GOOD PRODUCT The package arrived well, the product is good and very economical, The covers are of good quality and stick perfectly. We will definitely buy this product.")</f>
        <v>GOOD PRODUCT The package arrived well, the product is good and very economical, The covers are of good quality and stick perfectly. We will definitely buy this product.</v>
      </c>
    </row>
    <row r="3640">
      <c r="A3640" s="1">
        <v>5.0</v>
      </c>
      <c r="B3640" s="1" t="s">
        <v>3621</v>
      </c>
      <c r="C3640" t="str">
        <f>IFERROR(__xludf.DUMMYFUNCTION("GOOGLETRANSLATE(B3640, ""es"", ""en"")"),"Good buy. The pad is very comfortable and the feel is very soft. It works perfectly and can be adjusted by clasps")</f>
        <v>Good buy. The pad is very comfortable and the feel is very soft. It works perfectly and can be adjusted by clasps</v>
      </c>
    </row>
    <row r="3641">
      <c r="A3641" s="1">
        <v>5.0</v>
      </c>
      <c r="B3641" s="1" t="s">
        <v>3622</v>
      </c>
      <c r="C3641" t="str">
        <f>IFERROR(__xludf.DUMMYFUNCTION("GOOGLETRANSLATE(B3641, ""es"", ""en"")"),"They are for gift and is sure to love. It is very comfortable for my daughter a lot like his style. Thanks greetings.")</f>
        <v>They are for gift and is sure to love. It is very comfortable for my daughter a lot like his style. Thanks greetings.</v>
      </c>
    </row>
    <row r="3642">
      <c r="A3642" s="1">
        <v>5.0</v>
      </c>
      <c r="B3642" s="1" t="s">
        <v>3623</v>
      </c>
      <c r="C3642" t="str">
        <f>IFERROR(__xludf.DUMMYFUNCTION("GOOGLETRANSLATE(B3642, ""es"", ""en"")"),"Clarks never fails Since I met this brand have repeated twice. Shoes comfortable, durable and reasonably priced. Very happy the truth.")</f>
        <v>Clarks never fails Since I met this brand have repeated twice. Shoes comfortable, durable and reasonably priced. Very happy the truth.</v>
      </c>
    </row>
    <row r="3643">
      <c r="A3643" s="1">
        <v>5.0</v>
      </c>
      <c r="B3643" s="1" t="s">
        <v>3624</v>
      </c>
      <c r="C3643" t="str">
        <f>IFERROR(__xludf.DUMMYFUNCTION("GOOGLETRANSLATE(B3643, ""es"", ""en"")"),"I love I've been very pleased with this purchase. Hard water tank lot. The only thing that I consider good for a bedroom because it is no noisier than others I have another model. I have it in the hall, and is perfect for this site.")</f>
        <v>I love I've been very pleased with this purchase. Hard water tank lot. The only thing that I consider good for a bedroom because it is no noisier than others I have another model. I have it in the hall, and is perfect for this site.</v>
      </c>
    </row>
    <row r="3644">
      <c r="A3644" s="1">
        <v>5.0</v>
      </c>
      <c r="B3644" s="1" t="s">
        <v>3625</v>
      </c>
      <c r="C3644" t="str">
        <f>IFERROR(__xludf.DUMMYFUNCTION("GOOGLETRANSLATE(B3644, ""es"", ""en"")"),"They were very good for a gift, liked a lot. They are very calentitas and striking, size as expected.")</f>
        <v>They were very good for a gift, liked a lot. They are very calentitas and striking, size as expected.</v>
      </c>
    </row>
    <row r="3645">
      <c r="A3645" s="1">
        <v>5.0</v>
      </c>
      <c r="B3645" s="1" t="s">
        <v>3626</v>
      </c>
      <c r="C3645" t="str">
        <f>IFERROR(__xludf.DUMMYFUNCTION("GOOGLETRANSLATE(B3645, ""es"", ""en"")"),"Buyer My 5 year old daughter is in love. Meets expectations. Very comfortable and lightweight. Also connected in various ways with any mobile or computer. You can sing in playback and children have a great time.")</f>
        <v>Buyer My 5 year old daughter is in love. Meets expectations. Very comfortable and lightweight. Also connected in various ways with any mobile or computer. You can sing in playback and children have a great time.</v>
      </c>
    </row>
    <row r="3646">
      <c r="A3646" s="1">
        <v>5.0</v>
      </c>
      <c r="B3646" s="1" t="s">
        <v>3627</v>
      </c>
      <c r="C3646" t="str">
        <f>IFERROR(__xludf.DUMMYFUNCTION("GOOGLETRANSLATE(B3646, ""es"", ""en"")"),"Super small size'm very happy with the purchase. It is a very small USB, so you can take it anywhere. Having the 2 USB (3.1 C) makes it very comfortable to use on any computer / device.")</f>
        <v>Super small size'm very happy with the purchase. It is a very small USB, so you can take it anywhere. Having the 2 USB (3.1 C) makes it very comfortable to use on any computer / device.</v>
      </c>
    </row>
    <row r="3647">
      <c r="A3647" s="1">
        <v>5.0</v>
      </c>
      <c r="B3647" s="1" t="s">
        <v>3628</v>
      </c>
      <c r="C3647" t="str">
        <f>IFERROR(__xludf.DUMMYFUNCTION("GOOGLETRANSLATE(B3647, ""es"", ""en"")"),"I like are very nice and comfortable ... Carve well")</f>
        <v>I like are very nice and comfortable ... Carve well</v>
      </c>
    </row>
    <row r="3648">
      <c r="A3648" s="1">
        <v>5.0</v>
      </c>
      <c r="B3648" s="1" t="s">
        <v>3629</v>
      </c>
      <c r="C3648" t="str">
        <f>IFERROR(__xludf.DUMMYFUNCTION("GOOGLETRANSLATE(B3648, ""es"", ""en"")"),"Good buy is very good. The size is faithful. Very comfortable, waterproof, super lightweight and very hot feet. Good buy at a better price than high street stores.")</f>
        <v>Good buy is very good. The size is faithful. Very comfortable, waterproof, super lightweight and very hot feet. Good buy at a better price than high street stores.</v>
      </c>
    </row>
    <row r="3649">
      <c r="A3649" s="1">
        <v>5.0</v>
      </c>
      <c r="B3649" s="1" t="s">
        <v>3630</v>
      </c>
      <c r="C3649" t="str">
        <f>IFERROR(__xludf.DUMMYFUNCTION("GOOGLETRANSLATE(B3649, ""es"", ""en"")"),"Good product Calentitos a bit harsh")</f>
        <v>Good product Calentitos a bit harsh</v>
      </c>
    </row>
    <row r="3650">
      <c r="A3650" s="1">
        <v>5.0</v>
      </c>
      <c r="B3650" s="1" t="s">
        <v>3631</v>
      </c>
      <c r="C3650" t="str">
        <f>IFERROR(__xludf.DUMMYFUNCTION("GOOGLETRANSLATE(B3650, ""es"", ""en"")"),"Casio never disappoints Quality assured at a bargain price and timeless aesthetics. It does not matter what decade we are, these models never go out of fashion. Casio always bet good materials both in the field and in the straps, which makes getting tired"&amp;" of the clock finish before you break it. I had another siilar model this with but the smallest and say screen and are virtually indestructible. The screen is scratched, like all clocks, but you have to hit him very hard for it to end noticing.")</f>
        <v>Casio never disappoints Quality assured at a bargain price and timeless aesthetics. It does not matter what decade we are, these models never go out of fashion. Casio always bet good materials both in the field and in the straps, which makes getting tired of the clock finish before you break it. I had another siilar model this with but the smallest and say screen and are virtually indestructible. The screen is scratched, like all clocks, but you have to hit him very hard for it to end noticing.</v>
      </c>
    </row>
    <row r="3651">
      <c r="A3651" s="1">
        <v>5.0</v>
      </c>
      <c r="B3651" s="1" t="s">
        <v>3632</v>
      </c>
      <c r="C3651" t="str">
        <f>IFERROR(__xludf.DUMMYFUNCTION("GOOGLETRANSLATE(B3651, ""es"", ""en"")"),"Such fulfill its purpose and as described. Very happy with the product.")</f>
        <v>Such fulfill its purpose and as described. Very happy with the product.</v>
      </c>
    </row>
    <row r="3652">
      <c r="A3652" s="1">
        <v>5.0</v>
      </c>
      <c r="B3652" s="1" t="s">
        <v>3633</v>
      </c>
      <c r="C3652" t="str">
        <f>IFERROR(__xludf.DUMMYFUNCTION("GOOGLETRANSLATE(B3652, ""es"", ""en"")"),"Good fabric and comfortable! I needed a mat of this kind, with pillow, as happened long hours on the computer and sometimes part of the wrist and carpal tunnel caused me discomfort. I've been trying for a while and the truth that the mouse slides very wel"&amp;"l and wrist protection is super soft and comfortable. Maybe a little ""high"" foam but safe use that flattens a bit so well. I also have to say that adheres well to the table and nothing moves! At the moment very happy both for the quality of the material"&amp;" as the rest for my doll!")</f>
        <v>Good fabric and comfortable! I needed a mat of this kind, with pillow, as happened long hours on the computer and sometimes part of the wrist and carpal tunnel caused me discomfort. I've been trying for a while and the truth that the mouse slides very well and wrist protection is super soft and comfortable. Maybe a little "high" foam but safe use that flattens a bit so well. I also have to say that adheres well to the table and nothing moves! At the moment very happy both for the quality of the material as the rest for my doll!</v>
      </c>
    </row>
    <row r="3653">
      <c r="A3653" s="1">
        <v>5.0</v>
      </c>
      <c r="B3653" s="1" t="s">
        <v>3634</v>
      </c>
      <c r="C3653" t="str">
        <f>IFERROR(__xludf.DUMMYFUNCTION("GOOGLETRANSLATE(B3653, ""es"", ""en"")"),"Does the job The product fulfills its function. It's very easy operation. I had to return for other people's problems, but the article itself is highly recommended.")</f>
        <v>Does the job The product fulfills its function. It's very easy operation. I had to return for other people's problems, but the article itself is highly recommended.</v>
      </c>
    </row>
    <row r="3654">
      <c r="A3654" s="1">
        <v>5.0</v>
      </c>
      <c r="B3654" s="1" t="s">
        <v>3635</v>
      </c>
      <c r="C3654" t="str">
        <f>IFERROR(__xludf.DUMMYFUNCTION("GOOGLETRANSLATE(B3654, ""es"", ""en"")"),"Value for money excellent value for money excellent")</f>
        <v>Value for money excellent value for money excellent</v>
      </c>
    </row>
    <row r="3655">
      <c r="A3655" s="1">
        <v>2.0</v>
      </c>
      <c r="B3655" s="1" t="s">
        <v>3636</v>
      </c>
      <c r="C3655" t="str">
        <f>IFERROR(__xludf.DUMMYFUNCTION("GOOGLETRANSLATE(B3655, ""es"", ""en"")"),"They did not work I do not understand what happened has but 25 DVD's carrying the case just 2 I could use the rest I always came out recording error, and I know that the error was due to the disks because tried with others and recording out well .. I hone"&amp;"stly do not understand why Verbatim is good brand.")</f>
        <v>They did not work I do not understand what happened has but 25 DVD's carrying the case just 2 I could use the rest I always came out recording error, and I know that the error was due to the disks because tried with others and recording out well .. I honestly do not understand why Verbatim is good brand.</v>
      </c>
    </row>
    <row r="3656">
      <c r="A3656" s="1">
        <v>3.0</v>
      </c>
      <c r="B3656" s="1" t="s">
        <v>3637</v>
      </c>
      <c r="C3656" t="str">
        <f>IFERROR(__xludf.DUMMYFUNCTION("GOOGLETRANSLATE(B3656, ""es"", ""en"")"),"Acceptable but with faults The product is generally acceptable, however in my opinion has three faults. The first is that it takes a lot of noise. If you live alone without problem but but ... The second is that the buttons are so discreet they can not fi"&amp;"nd them by touch. Although they have light, to find the button often have to stop and get a look. Finally and most importantly at its lowest intensity it is quite strong. For women sensitive clitoris becomes painful. However if you have many sensitivity i"&amp;"t is perfect.")</f>
        <v>Acceptable but with faults The product is generally acceptable, however in my opinion has three faults. The first is that it takes a lot of noise. If you live alone without problem but but ... The second is that the buttons are so discreet they can not find them by touch. Although they have light, to find the button often have to stop and get a look. Finally and most importantly at its lowest intensity it is quite strong. For women sensitive clitoris becomes painful. However if you have many sensitivity it is perfect.</v>
      </c>
    </row>
    <row r="3657">
      <c r="A3657" s="1">
        <v>3.0</v>
      </c>
      <c r="B3657" s="1" t="s">
        <v>3638</v>
      </c>
      <c r="C3657" t="str">
        <f>IFERROR(__xludf.DUMMYFUNCTION("GOOGLETRANSLATE(B3657, ""es"", ""en"")"),"The right product gem though I came from a different color to which it is advertised. It came to me magenta, its performance is good, and includes clips on shipping.")</f>
        <v>The right product gem though I came from a different color to which it is advertised. It came to me magenta, its performance is good, and includes clips on shipping.</v>
      </c>
    </row>
    <row r="3658">
      <c r="A3658" s="1">
        <v>1.0</v>
      </c>
      <c r="B3658" s="1" t="s">
        <v>3639</v>
      </c>
      <c r="C3658" t="str">
        <f>IFERROR(__xludf.DUMMYFUNCTION("GOOGLETRANSLATE(B3658, ""es"", ""en"")"),"Failure to recharge the other day estrenarlos, one of the earphones stopped charging and not even be linked automatically try but not loaded, the sound can say okay, only I heard the first day, therefore the I returned, I bought some another brand and so "&amp;"far going very well.")</f>
        <v>Failure to recharge the other day estrenarlos, one of the earphones stopped charging and not even be linked automatically try but not loaded, the sound can say okay, only I heard the first day, therefore the I returned, I bought some another brand and so far going very well.</v>
      </c>
    </row>
    <row r="3659">
      <c r="A3659" s="1">
        <v>1.0</v>
      </c>
      <c r="B3659" s="1" t="s">
        <v>3640</v>
      </c>
      <c r="C3659" t="str">
        <f>IFERROR(__xludf.DUMMYFUNCTION("GOOGLETRANSLATE(B3659, ""es"", ""en"")"),"Timo Without your case or certificate indicating that it is original. The only similar with the real is the price. A scam, as requested reimbursement have arrived.")</f>
        <v>Timo Without your case or certificate indicating that it is original. The only similar with the real is the price. A scam, as requested reimbursement have arrived.</v>
      </c>
    </row>
    <row r="3660">
      <c r="A3660" s="1">
        <v>4.0</v>
      </c>
      <c r="B3660" s="1" t="s">
        <v>3641</v>
      </c>
      <c r="C3660" t="str">
        <f>IFERROR(__xludf.DUMMYFUNCTION("GOOGLETRANSLATE(B3660, ""es"", ""en"")"),"The drawer is fine for the markers is small and fragile")</f>
        <v>The drawer is fine for the markers is small and fragile</v>
      </c>
    </row>
    <row r="3661">
      <c r="A3661" s="1">
        <v>4.0</v>
      </c>
      <c r="B3661" s="1" t="s">
        <v>3642</v>
      </c>
      <c r="C3661" t="str">
        <f>IFERROR(__xludf.DUMMYFUNCTION("GOOGLETRANSLATE(B3661, ""es"", ""en"")"),"special and recommended Teat The baby accepted very well the nipple, which is intended to have to try to suctioning as if the mother's breast were, but it is unclear if anti-colic or not, so that aspect can be improved. At the end we finished with another"&amp;" brand to vary the teat and does not get used, but the experience was good.")</f>
        <v>special and recommended Teat The baby accepted very well the nipple, which is intended to have to try to suctioning as if the mother's breast were, but it is unclear if anti-colic or not, so that aspect can be improved. At the end we finished with another brand to vary the teat and does not get used, but the experience was good.</v>
      </c>
    </row>
    <row r="3662">
      <c r="A3662" s="1">
        <v>4.0</v>
      </c>
      <c r="B3662" s="1" t="s">
        <v>3643</v>
      </c>
      <c r="C3662" t="str">
        <f>IFERROR(__xludf.DUMMYFUNCTION("GOOGLETRANSLATE(B3662, ""es"", ""en"")"),"Dishcloths are good, use them to clean bathrooms, kitchen, etc. Occasionally a washer and like new.")</f>
        <v>Dishcloths are good, use them to clean bathrooms, kitchen, etc. Occasionally a washer and like new.</v>
      </c>
    </row>
    <row r="3663">
      <c r="A3663" s="1">
        <v>4.0</v>
      </c>
      <c r="B3663" s="1" t="s">
        <v>3644</v>
      </c>
      <c r="C3663" t="str">
        <f>IFERROR(__xludf.DUMMYFUNCTION("GOOGLETRANSLATE(B3663, ""es"", ""en"")"),"I have gudtadi Good product but is a bit difficult to place")</f>
        <v>I have gudtadi Good product but is a bit difficult to place</v>
      </c>
    </row>
    <row r="3664">
      <c r="A3664" s="1">
        <v>4.0</v>
      </c>
      <c r="B3664" s="1" t="s">
        <v>3645</v>
      </c>
      <c r="C3664" t="str">
        <f>IFERROR(__xludf.DUMMYFUNCTION("GOOGLETRANSLATE(B3664, ""es"", ""en"")"),"Bella I like the Practice of use")</f>
        <v>Bella I like the Practice of use</v>
      </c>
    </row>
    <row r="3665">
      <c r="A3665" s="1">
        <v>5.0</v>
      </c>
      <c r="B3665" s="1" t="s">
        <v>3646</v>
      </c>
      <c r="C3665" t="str">
        <f>IFERROR(__xludf.DUMMYFUNCTION("GOOGLETRANSLATE(B3665, ""es"", ""en"")"),"Jade roller This roller is perfect for massaging the muscles of the face and help smooth out age marks. Daily treatment decongests massaged areas and also cools the skin. It is very well done in material and assembly, with a very good finish and perfectly"&amp;" polished Jade. He comes stored in a hermetically sealed bag and a vacuum with stone gua sha. Very happy with this product.")</f>
        <v>Jade roller This roller is perfect for massaging the muscles of the face and help smooth out age marks. Daily treatment decongests massaged areas and also cools the skin. It is very well done in material and assembly, with a very good finish and perfectly polished Jade. He comes stored in a hermetically sealed bag and a vacuum with stone gua sha. Very happy with this product.</v>
      </c>
    </row>
    <row r="3666">
      <c r="A3666" s="1">
        <v>5.0</v>
      </c>
      <c r="B3666" s="1" t="s">
        <v>3647</v>
      </c>
      <c r="C3666" t="str">
        <f>IFERROR(__xludf.DUMMYFUNCTION("GOOGLETRANSLATE(B3666, ""es"", ""en"")"),"Smells very natural I liked the pack much. The aromas smell very natural, unlike others that seem more synthetic ... Normal Durannlo, when you turn the smell can last until the end of the day if you put it in a small room and poorly ventilated. For the pr"&amp;"ice it is very good buy.")</f>
        <v>Smells very natural I liked the pack much. The aromas smell very natural, unlike others that seem more synthetic ... Normal Durannlo, when you turn the smell can last until the end of the day if you put it in a small room and poorly ventilated. For the price it is very good buy.</v>
      </c>
    </row>
    <row r="3667">
      <c r="A3667" s="1">
        <v>5.0</v>
      </c>
      <c r="B3667" s="1" t="s">
        <v>3648</v>
      </c>
      <c r="C3667" t="str">
        <f>IFERROR(__xludf.DUMMYFUNCTION("GOOGLETRANSLATE(B3667, ""es"", ""en"")"),"Perfect nice, comfortable")</f>
        <v>Perfect nice, comfortable</v>
      </c>
    </row>
    <row r="3668">
      <c r="A3668" s="1">
        <v>5.0</v>
      </c>
      <c r="B3668" s="1" t="s">
        <v>3649</v>
      </c>
      <c r="C3668" t="str">
        <f>IFERROR(__xludf.DUMMYFUNCTION("GOOGLETRANSLATE(B3668, ""es"", ""en"")"),"Worth the price is as is in the photo, waisted trousers and sport. It serves both for sport and for putting it under skirts. The shipment was correct and arrived in perfect condition. The quality also looks good, I have not found any loose thread or anyth"&amp;"ing let me think otherwise. There have not been any problems with the vendor.")</f>
        <v>Worth the price is as is in the photo, waisted trousers and sport. It serves both for sport and for putting it under skirts. The shipment was correct and arrived in perfect condition. The quality also looks good, I have not found any loose thread or anything let me think otherwise. There have not been any problems with the vendor.</v>
      </c>
    </row>
    <row r="3669">
      <c r="A3669" s="1">
        <v>5.0</v>
      </c>
      <c r="B3669" s="1" t="s">
        <v>3650</v>
      </c>
      <c r="C3669" t="str">
        <f>IFERROR(__xludf.DUMMYFUNCTION("GOOGLETRANSLATE(B3669, ""es"", ""en"")"),"Super Fantastic USB drive with a fantastic finish aluminum. Ideal for connection to TV movies without showing the USB or forever carry it as a keychain")</f>
        <v>Super Fantastic USB drive with a fantastic finish aluminum. Ideal for connection to TV movies without showing the USB or forever carry it as a keychain</v>
      </c>
    </row>
    <row r="3670">
      <c r="A3670" s="1">
        <v>5.0</v>
      </c>
      <c r="B3670" s="1" t="s">
        <v>3651</v>
      </c>
      <c r="C3670" t="str">
        <f>IFERROR(__xludf.DUMMYFUNCTION("GOOGLETRANSLATE(B3670, ""es"", ""en"")"),"Perfect Perfect. Both delivery and product. What I have seen is what I received, which in some other cases the image does not fit the reality of the product received.")</f>
        <v>Perfect Perfect. Both delivery and product. What I have seen is what I received, which in some other cases the image does not fit the reality of the product received.</v>
      </c>
    </row>
    <row r="3671">
      <c r="A3671" s="1">
        <v>5.0</v>
      </c>
      <c r="B3671" s="1" t="s">
        <v>3652</v>
      </c>
      <c r="C3671" t="str">
        <f>IFERROR(__xludf.DUMMYFUNCTION("GOOGLETRANSLATE(B3671, ""es"", ""en"")"),"Practical for kids are fine, but you have to turn up the volume butt")</f>
        <v>Practical for kids are fine, but you have to turn up the volume butt</v>
      </c>
    </row>
    <row r="3672">
      <c r="A3672" s="1">
        <v>5.0</v>
      </c>
      <c r="B3672" s="1" t="s">
        <v>3653</v>
      </c>
      <c r="C3672" t="str">
        <f>IFERROR(__xludf.DUMMYFUNCTION("GOOGLETRANSLATE(B3672, ""es"", ""en"")"),"Fantastic. And comfortable at the same chulas From that I tried ... I do not want other footwear. Super comfortable super !!!")</f>
        <v>Fantastic. And comfortable at the same chulas From that I tried ... I do not want other footwear. Super comfortable super !!!</v>
      </c>
    </row>
    <row r="3673">
      <c r="A3673" s="1">
        <v>5.0</v>
      </c>
      <c r="B3673" s="1" t="s">
        <v>3654</v>
      </c>
      <c r="C3673" t="str">
        <f>IFERROR(__xludf.DUMMYFUNCTION("GOOGLETRANSLATE(B3673, ""es"", ""en"")"),"Perfect is everything I expected it is a wonder this gizmo works me perfectly all right very happy")</f>
        <v>Perfect is everything I expected it is a wonder this gizmo works me perfectly all right very happy</v>
      </c>
    </row>
    <row r="3674">
      <c r="A3674" s="1">
        <v>5.0</v>
      </c>
      <c r="B3674" s="1" t="s">
        <v>3655</v>
      </c>
      <c r="C3674" t="str">
        <f>IFERROR(__xludf.DUMMYFUNCTION("GOOGLETRANSLATE(B3674, ""es"", ""en"")"),"Recommendable! Although a kettle of considerable size, it is very light and very well finished with quality materials. It is really pretty and looks good in the kitchen. As for its function, performs well and is very useful thermometer as there are teas t"&amp;"hat do not need the kettle boiling water ... with this you can control the temperature of the water.")</f>
        <v>Recommendable! Although a kettle of considerable size, it is very light and very well finished with quality materials. It is really pretty and looks good in the kitchen. As for its function, performs well and is very useful thermometer as there are teas that do not need the kettle boiling water ... with this you can control the temperature of the water.</v>
      </c>
    </row>
    <row r="3675">
      <c r="A3675" s="1">
        <v>5.0</v>
      </c>
      <c r="B3675" s="1" t="s">
        <v>3656</v>
      </c>
      <c r="C3675" t="str">
        <f>IFERROR(__xludf.DUMMYFUNCTION("GOOGLETRANSLATE(B3675, ""es"", ""en"")"),"As it is as they describe and photo.")</f>
        <v>As it is as they describe and photo.</v>
      </c>
    </row>
    <row r="3676">
      <c r="A3676" s="1">
        <v>5.0</v>
      </c>
      <c r="B3676" s="1" t="s">
        <v>3657</v>
      </c>
      <c r="C3676" t="str">
        <f>IFERROR(__xludf.DUMMYFUNCTION("GOOGLETRANSLATE(B3676, ""es"", ""en"")"),"Cool sweat pants Best I've had to be very special floor with his pants and they've loved Son Comodisimos and price are bararisimos. The use until pajama how comfortable they are Comprare again this product in another color if you could")</f>
        <v>Cool sweat pants Best I've had to be very special floor with his pants and they've loved Son Comodisimos and price are bararisimos. The use until pajama how comfortable they are Comprare again this product in another color if you could</v>
      </c>
    </row>
    <row r="3677">
      <c r="A3677" s="1">
        <v>5.0</v>
      </c>
      <c r="B3677" s="1" t="s">
        <v>3658</v>
      </c>
      <c r="C3677" t="str">
        <f>IFERROR(__xludf.DUMMYFUNCTION("GOOGLETRANSLATE(B3677, ""es"", ""en"")"),"Good Very good sound simple and comfortable, they are comfortable to wear with their ears are great and sound great. Cables are not snared. They have an advantage of high price and are very durable. Control from the remote control on the cord is very usef"&amp;"ul, you can answer the call or hang up the phone without touching it, and use this command to move from one song to another. They are almost abandoned by the price and quality they have. Very good buy")</f>
        <v>Good Very good sound simple and comfortable, they are comfortable to wear with their ears are great and sound great. Cables are not snared. They have an advantage of high price and are very durable. Control from the remote control on the cord is very useful, you can answer the call or hang up the phone without touching it, and use this command to move from one song to another. They are almost abandoned by the price and quality they have. Very good buy</v>
      </c>
    </row>
    <row r="3678">
      <c r="A3678" s="1">
        <v>5.0</v>
      </c>
      <c r="B3678" s="1" t="s">
        <v>3659</v>
      </c>
      <c r="C3678" t="str">
        <f>IFERROR(__xludf.DUMMYFUNCTION("GOOGLETRANSLATE(B3678, ""es"", ""en"")"),"Quick Amreico")</f>
        <v>Quick Amreico</v>
      </c>
    </row>
    <row r="3679">
      <c r="A3679" s="1">
        <v>5.0</v>
      </c>
      <c r="B3679" s="1" t="s">
        <v>3660</v>
      </c>
      <c r="C3679" t="str">
        <f>IFERROR(__xludf.DUMMYFUNCTION("GOOGLETRANSLATE(B3679, ""es"", ""en"")"),"5 stars Pros: - sound clear, without interference, - flawless connectivity (I've tested on iOS, Android, Windows and Linux) - noise canceling somewhat higher than the previous model - comfortable even if worn for many hours - ergonomic design, a little he"&amp;"avier than the previous model - buttons fairly intuitive - quick loading and good autonomy (reached last 8-9 hours with the battery charged to 100%) - audio cable very good quality with robust plug - flexible speakers They are rotated easily and hinges gi"&amp;"ve the impression of being durable and well made. - they have their small briefcase to carry wherever Cons - a lot of plastic (although good quality) and some metal - very short charging cable")</f>
        <v>5 stars Pros: - sound clear, without interference, - flawless connectivity (I've tested on iOS, Android, Windows and Linux) - noise canceling somewhat higher than the previous model - comfortable even if worn for many hours - ergonomic design, a little heavier than the previous model - buttons fairly intuitive - quick loading and good autonomy (reached last 8-9 hours with the battery charged to 100%) - audio cable very good quality with robust plug - flexible speakers They are rotated easily and hinges give the impression of being durable and well made. - they have their small briefcase to carry wherever Cons - a lot of plastic (although good quality) and some metal - very short charging cable</v>
      </c>
    </row>
    <row r="3680">
      <c r="A3680" s="1">
        <v>5.0</v>
      </c>
      <c r="B3680" s="1" t="s">
        <v>3661</v>
      </c>
      <c r="C3680" t="str">
        <f>IFERROR(__xludf.DUMMYFUNCTION("GOOGLETRANSLATE(B3680, ""es"", ""en"")"),"Good product delivery time correct. Good product. Good quality. I recommend it")</f>
        <v>Good product delivery time correct. Good product. Good quality. I recommend it</v>
      </c>
    </row>
    <row r="3681">
      <c r="A3681" s="1">
        <v>5.0</v>
      </c>
      <c r="B3681" s="1" t="s">
        <v>3662</v>
      </c>
      <c r="C3681" t="str">
        <f>IFERROR(__xludf.DUMMYFUNCTION("GOOGLETRANSLATE(B3681, ""es"", ""en"")"),"It harbors good enough")</f>
        <v>It harbors good enough</v>
      </c>
    </row>
    <row r="3682">
      <c r="A3682" s="1">
        <v>5.0</v>
      </c>
      <c r="B3682" s="1" t="s">
        <v>3663</v>
      </c>
      <c r="C3682" t="str">
        <f>IFERROR(__xludf.DUMMYFUNCTION("GOOGLETRANSLATE(B3682, ""es"", ""en"")"),"Converse All right, shipping ahead of schedule, I'm happy")</f>
        <v>Converse All right, shipping ahead of schedule, I'm happy</v>
      </c>
    </row>
    <row r="3683">
      <c r="A3683" s="1">
        <v>5.0</v>
      </c>
      <c r="B3683" s="1" t="s">
        <v>3664</v>
      </c>
      <c r="C3683" t="str">
        <f>IFERROR(__xludf.DUMMYFUNCTION("GOOGLETRANSLATE(B3683, ""es"", ""en"")"),"Very good price for the size of the blanket and good brand I loved this brand and its electric blanket, large size. Excellent value for money. Very soft and versatility.")</f>
        <v>Very good price for the size of the blanket and good brand I loved this brand and its electric blanket, large size. Excellent value for money. Very soft and versatility.</v>
      </c>
    </row>
    <row r="3684">
      <c r="A3684" s="1">
        <v>2.0</v>
      </c>
      <c r="B3684" s="1" t="s">
        <v>3665</v>
      </c>
      <c r="C3684" t="str">
        <f>IFERROR(__xludf.DUMMYFUNCTION("GOOGLETRANSLATE(B3684, ""es"", ""en"")"),"I overtightening not tried it. I had to return because too tight contour back. Seemed good quality. Maybe for skinny girls is fine.")</f>
        <v>I overtightening not tried it. I had to return because too tight contour back. Seemed good quality. Maybe for skinny girls is fine.</v>
      </c>
    </row>
    <row r="3685">
      <c r="A3685" s="1">
        <v>3.0</v>
      </c>
      <c r="B3685" s="1" t="s">
        <v>3666</v>
      </c>
      <c r="C3685" t="str">
        <f>IFERROR(__xludf.DUMMYFUNCTION("GOOGLETRANSLATE(B3685, ""es"", ""en"")"),"This it seems tough, good stuff. good size. I q by value is fine. incluiye regulator properly locate holes. recommended.")</f>
        <v>This it seems tough, good stuff. good size. I q by value is fine. incluiye regulator properly locate holes. recommended.</v>
      </c>
    </row>
    <row r="3686">
      <c r="A3686" s="1">
        <v>1.0</v>
      </c>
      <c r="B3686" s="1" t="s">
        <v>3667</v>
      </c>
      <c r="C3686" t="str">
        <f>IFERROR(__xludf.DUMMYFUNCTION("GOOGLETRANSLATE(B3686, ""es"", ""en"")"),"Low quality and bad attention to the customer The product is of low quality. Printing letters it is not adequate and the quality of the finishing of the product is very very low for kingston. Packaging is not always of this brand, it is poor quality and i"&amp;"t shows the naked eye. the clueless are also made with the bill and ask and you have excuses ....")</f>
        <v>Low quality and bad attention to the customer The product is of low quality. Printing letters it is not adequate and the quality of the finishing of the product is very very low for kingston. Packaging is not always of this brand, it is poor quality and it shows the naked eye. the clueless are also made with the bill and ask and you have excuses ....</v>
      </c>
    </row>
    <row r="3687">
      <c r="A3687" s="1">
        <v>1.0</v>
      </c>
      <c r="B3687" s="1" t="s">
        <v>3668</v>
      </c>
      <c r="C3687" t="str">
        <f>IFERROR(__xludf.DUMMYFUNCTION("GOOGLETRANSLATE(B3687, ""es"", ""en"")"),"Inflexible, maladaptive, DECEPCION impossible to wash a cup, let alone a drink or a cup, everything is contoured impossible to clean with these pads, only apply to base pans, not molded, not adapted or adjusted, I'll see using them to shower before throwi"&amp;"ng them ...")</f>
        <v>Inflexible, maladaptive, DECEPCION impossible to wash a cup, let alone a drink or a cup, everything is contoured impossible to clean with these pads, only apply to base pans, not molded, not adapted or adjusted, I'll see using them to shower before throwing them ...</v>
      </c>
    </row>
    <row r="3688">
      <c r="A3688" s="1">
        <v>4.0</v>
      </c>
      <c r="B3688" s="1" t="s">
        <v>3669</v>
      </c>
      <c r="C3688" t="str">
        <f>IFERROR(__xludf.DUMMYFUNCTION("GOOGLETRANSLATE(B3688, ""es"", ""en"")"),"good quality bags are sturdy, easy handling perfectly fulfilling its mission. Transparency is good and the thickness of the bags suitable for their function")</f>
        <v>good quality bags are sturdy, easy handling perfectly fulfilling its mission. Transparency is good and the thickness of the bags suitable for their function</v>
      </c>
    </row>
    <row r="3689">
      <c r="A3689" s="1">
        <v>4.0</v>
      </c>
      <c r="B3689" s="1" t="s">
        <v>3670</v>
      </c>
      <c r="C3689" t="str">
        <f>IFERROR(__xludf.DUMMYFUNCTION("GOOGLETRANSLATE(B3689, ""es"", ""en"")"),"Quality / Price very good to the mess! It is a USB memory brand SANDISK 128GB total in my case (115 GB usable in FAT 32), USB 3.1 standard with plastic body without fully writing LED reading. It includes in its memory the SanDisk Secure Access software. A"&amp;"nd some more ... I leave a picture comparing the previous model with this in terms of read / write latencies. In my case the previous model is 32GB. Regards.")</f>
        <v>Quality / Price very good to the mess! It is a USB memory brand SANDISK 128GB total in my case (115 GB usable in FAT 32), USB 3.1 standard with plastic body without fully writing LED reading. It includes in its memory the SanDisk Secure Access software. And some more ... I leave a picture comparing the previous model with this in terms of read / write latencies. In my case the previous model is 32GB. Regards.</v>
      </c>
    </row>
    <row r="3690">
      <c r="A3690" s="1">
        <v>4.0</v>
      </c>
      <c r="B3690" s="1" t="s">
        <v>3671</v>
      </c>
      <c r="C3690" t="str">
        <f>IFERROR(__xludf.DUMMYFUNCTION("GOOGLETRANSLATE(B3690, ""es"", ""en"")"),"Quality good quality like the originals that came with the DishMatic. Easy to install. For now it is like the first day of use. But I try not to wash covered with because it is just wearing what.")</f>
        <v>Quality good quality like the originals that came with the DishMatic. Easy to install. For now it is like the first day of use. But I try not to wash covered with because it is just wearing what.</v>
      </c>
    </row>
    <row r="3691">
      <c r="A3691" s="1">
        <v>4.0</v>
      </c>
      <c r="B3691" s="1" t="s">
        <v>3672</v>
      </c>
      <c r="C3691" t="str">
        <f>IFERROR(__xludf.DUMMYFUNCTION("GOOGLETRANSLATE(B3691, ""es"", ""en"")"),"Q Better than I expected I have two days with them without being a great professional audio treble and bass you hear and isolate outside noise pretty well. For now great .... From the day I bought it I have not reloaded and still works perfectly. q I took"&amp;" about 3 months and I hear almost every day hour-hour and a half")</f>
        <v>Q Better than I expected I have two days with them without being a great professional audio treble and bass you hear and isolate outside noise pretty well. For now great .... From the day I bought it I have not reloaded and still works perfectly. q I took about 3 months and I hear almost every day hour-hour and a half</v>
      </c>
    </row>
    <row r="3692">
      <c r="A3692" s="1">
        <v>4.0</v>
      </c>
      <c r="B3692" s="1" t="s">
        <v>3673</v>
      </c>
      <c r="C3692" t="str">
        <f>IFERROR(__xludf.DUMMYFUNCTION("GOOGLETRANSLATE(B3692, ""es"", ""en"")"),"I carry good stapler using it a while and fulfills its function. It is robust, and carries the metal body where brown is hard plastic. Recommendable.")</f>
        <v>I carry good stapler using it a while and fulfills its function. It is robust, and carries the metal body where brown is hard plastic. Recommendable.</v>
      </c>
    </row>
    <row r="3693">
      <c r="A3693" s="1">
        <v>5.0</v>
      </c>
      <c r="B3693" s="1" t="s">
        <v>3674</v>
      </c>
      <c r="C3693" t="str">
        <f>IFERROR(__xludf.DUMMYFUNCTION("GOOGLETRANSLATE(B3693, ""es"", ""en"")"),"All good as ever! Comfort and quality at a very good price")</f>
        <v>All good as ever! Comfort and quality at a very good price</v>
      </c>
    </row>
    <row r="3694">
      <c r="A3694" s="1">
        <v>5.0</v>
      </c>
      <c r="B3694" s="1" t="s">
        <v>3675</v>
      </c>
      <c r="C3694" t="str">
        <f>IFERROR(__xludf.DUMMYFUNCTION("GOOGLETRANSLATE(B3694, ""es"", ""en"")"),"Very nice pandora bracelet")</f>
        <v>Very nice pandora bracelet</v>
      </c>
    </row>
    <row r="3695">
      <c r="A3695" s="1">
        <v>5.0</v>
      </c>
      <c r="B3695" s="1" t="s">
        <v>3676</v>
      </c>
      <c r="C3695" t="str">
        <f>IFERROR(__xludf.DUMMYFUNCTION("GOOGLETRANSLATE(B3695, ""es"", ""en"")"),"Durable oils smell great, I use aromatherapy both the home environment as clothes and they are fantastic.")</f>
        <v>Durable oils smell great, I use aromatherapy both the home environment as clothes and they are fantastic.</v>
      </c>
    </row>
    <row r="3696">
      <c r="A3696" s="1">
        <v>5.0</v>
      </c>
      <c r="B3696" s="1" t="s">
        <v>3677</v>
      </c>
      <c r="C3696" t="str">
        <f>IFERROR(__xludf.DUMMYFUNCTION("GOOGLETRANSLATE(B3696, ""es"", ""en"")"),"Stereo sound headphones I have proven effective and are a great stereo sound helmets. I have tried several days and are as they are, how they look in the pictures, easy to use, manageable, simply plug into the jack and voila, you have to raise and lower t"&amp;"he volume, it is best to listen to our favorite music. Sound hooves are heard perfectly, very comfortable adapt perfectly to the ear. Efectúes recommend that you purchase at 100%, you'll be great, and not going to want to change. I give my score: (From 1 "&amp;"to 10) Quality: 10 Price: 10 Usability 10 Packaging 10 Design: 10 Termination: 10 If you have served you my comment would appreciate you that marcases as ""useful"" to the end of this text. Thank you!")</f>
        <v>Stereo sound headphones I have proven effective and are a great stereo sound helmets. I have tried several days and are as they are, how they look in the pictures, easy to use, manageable, simply plug into the jack and voila, you have to raise and lower the volume, it is best to listen to our favorite music. Sound hooves are heard perfectly, very comfortable adapt perfectly to the ear. Efectúes recommend that you purchase at 100%, you'll be great, and not going to want to change. I give my score: (From 1 to 10) Quality: 10 Price: 10 Usability 10 Packaging 10 Design: 10 Termination: 10 If you have served you my comment would appreciate you that marcases as "useful" to the end of this text. Thank you!</v>
      </c>
    </row>
    <row r="3697">
      <c r="A3697" s="1">
        <v>5.0</v>
      </c>
      <c r="B3697" s="1" t="s">
        <v>3678</v>
      </c>
      <c r="C3697" t="str">
        <f>IFERROR(__xludf.DUMMYFUNCTION("GOOGLETRANSLATE(B3697, ""es"", ""en"")"),"Comfortable and very well made calentitas These boots have a very high quality, are completely waterproof for the sole and the design is really nice. One of the strengths is that they are very hot inside as they have an internal borreguito. very sturdy bo"&amp;"ots look, I've been using for several trips, both as mountain city, he has never entered my water inside and what is most important, have not had sore feet during use. My chosen size is the same as any shoe / sneaker purchased in a shoe store. The rubber "&amp;"sole is of very good quality, I have been walking between stones and some moisture and at no time have I slipped, so they are very stable. A perfect buy for fall / winter.")</f>
        <v>Comfortable and very well made calentitas These boots have a very high quality, are completely waterproof for the sole and the design is really nice. One of the strengths is that they are very hot inside as they have an internal borreguito. very sturdy boots look, I've been using for several trips, both as mountain city, he has never entered my water inside and what is most important, have not had sore feet during use. My chosen size is the same as any shoe / sneaker purchased in a shoe store. The rubber sole is of very good quality, I have been walking between stones and some moisture and at no time have I slipped, so they are very stable. A perfect buy for fall / winter.</v>
      </c>
    </row>
    <row r="3698">
      <c r="A3698" s="1">
        <v>5.0</v>
      </c>
      <c r="B3698" s="1" t="s">
        <v>3679</v>
      </c>
      <c r="C3698" t="str">
        <f>IFERROR(__xludf.DUMMYFUNCTION("GOOGLETRANSLATE(B3698, ""es"", ""en"")"),"large hard drive and fast I have a SSD 250GB for games and I was short, I decided to catch this much more capacity and tried games I'm playing in the ssd in this and the truth that load quite fast and not notice much difference. It is somewhat slower but "&amp;"no comparison with the ancients had.")</f>
        <v>large hard drive and fast I have a SSD 250GB for games and I was short, I decided to catch this much more capacity and tried games I'm playing in the ssd in this and the truth that load quite fast and not notice much difference. It is somewhat slower but no comparison with the ancients had.</v>
      </c>
    </row>
    <row r="3699">
      <c r="A3699" s="1">
        <v>5.0</v>
      </c>
      <c r="B3699" s="1" t="s">
        <v>3680</v>
      </c>
      <c r="C3699" t="str">
        <f>IFERROR(__xludf.DUMMYFUNCTION("GOOGLETRANSLATE(B3699, ""es"", ""en"")"),"He walked right room behind a time t of this style to ""retire"" a Nike Dart IV had and they had given me a fantastic result. They are simple, beautiful and without fanfare. They seem very sturdy and the finish is good. I hope last long!")</f>
        <v>He walked right room behind a time t of this style to "retire" a Nike Dart IV had and they had given me a fantastic result. They are simple, beautiful and without fanfare. They seem very sturdy and the finish is good. I hope last long!</v>
      </c>
    </row>
    <row r="3700">
      <c r="A3700" s="1">
        <v>5.0</v>
      </c>
      <c r="B3700" s="1" t="s">
        <v>3681</v>
      </c>
      <c r="C3700" t="str">
        <f>IFERROR(__xludf.DUMMYFUNCTION("GOOGLETRANSLATE(B3700, ""es"", ""en"")"),"Cheap, nice, and keeps time. He was tired of the appearance of my super-rugged and reliable digital casio and want something more elegant (but cheap). It is basic (no alarm, no date, of course) but I love the simplicity of its aesthetics. The strap is com"&amp;"fortable and durable. It makes no noise unless you hit your ear and hear a faint tic. I have three months with him every day since and I have not had to adjust the time. It came fast and well protected. At this price (less than € 10) unbeatable.")</f>
        <v>Cheap, nice, and keeps time. He was tired of the appearance of my super-rugged and reliable digital casio and want something more elegant (but cheap). It is basic (no alarm, no date, of course) but I love the simplicity of its aesthetics. The strap is comfortable and durable. It makes no noise unless you hit your ear and hear a faint tic. I have three months with him every day since and I have not had to adjust the time. It came fast and well protected. At this price (less than € 10) unbeatable.</v>
      </c>
    </row>
    <row r="3701">
      <c r="A3701" s="1">
        <v>5.0</v>
      </c>
      <c r="B3701" s="1" t="s">
        <v>3682</v>
      </c>
      <c r="C3701" t="str">
        <f>IFERROR(__xludf.DUMMYFUNCTION("GOOGLETRANSLATE(B3701, ""es"", ""en"")"),"The speed All good")</f>
        <v>The speed All good</v>
      </c>
    </row>
    <row r="3702">
      <c r="A3702" s="1">
        <v>5.0</v>
      </c>
      <c r="B3702" s="1" t="s">
        <v>3683</v>
      </c>
      <c r="C3702" t="str">
        <f>IFERROR(__xludf.DUMMYFUNCTION("GOOGLETRANSLATE(B3702, ""es"", ""en"")"),"Card with the correct quality A very cheap like all the cards have standard size and standard capacity declared (in my case 32Gb). Without doing a speed test and writing I can say that I've used to record video in high quality and goes perfectly, which is"&amp;" the most that can be asked (except for professional use). The reason for such a good valuation is the cheap price.")</f>
        <v>Card with the correct quality A very cheap like all the cards have standard size and standard capacity declared (in my case 32Gb). Without doing a speed test and writing I can say that I've used to record video in high quality and goes perfectly, which is the most that can be asked (except for professional use). The reason for such a good valuation is the cheap price.</v>
      </c>
    </row>
    <row r="3703">
      <c r="A3703" s="1">
        <v>5.0</v>
      </c>
      <c r="B3703" s="1" t="s">
        <v>3684</v>
      </c>
      <c r="C3703" t="str">
        <f>IFERROR(__xludf.DUMMYFUNCTION("GOOGLETRANSLATE(B3703, ""es"", ""en"")"),"Ideal for relaxing muscles ideal for tired, tense muscles.")</f>
        <v>Ideal for relaxing muscles ideal for tired, tense muscles.</v>
      </c>
    </row>
    <row r="3704">
      <c r="A3704" s="1">
        <v>5.0</v>
      </c>
      <c r="B3704" s="1" t="s">
        <v>3685</v>
      </c>
      <c r="C3704" t="str">
        <f>IFERROR(__xludf.DUMMYFUNCTION("GOOGLETRANSLATE(B3704, ""es"", ""en"")"),"I like bottle that did not cause colic my baby and I use frequently, I like glass because it does not stick both flavors")</f>
        <v>I like bottle that did not cause colic my baby and I use frequently, I like glass because it does not stick both flavors</v>
      </c>
    </row>
    <row r="3705">
      <c r="A3705" s="1">
        <v>5.0</v>
      </c>
      <c r="B3705" s="1" t="s">
        <v>3686</v>
      </c>
      <c r="C3705" t="str">
        <f>IFERROR(__xludf.DUMMYFUNCTION("GOOGLETRANSLATE(B3705, ""es"", ""en"")"),"Good product bought several times. good presentation and especially the product complies. Used mainly for blemishes / pimples and helps a lot to have better skin. I recommend purchase because the quality / price is very good")</f>
        <v>Good product bought several times. good presentation and especially the product complies. Used mainly for blemishes / pimples and helps a lot to have better skin. I recommend purchase because the quality / price is very good</v>
      </c>
    </row>
    <row r="3706">
      <c r="A3706" s="1">
        <v>5.0</v>
      </c>
      <c r="B3706" s="1" t="s">
        <v>3687</v>
      </c>
      <c r="C3706" t="str">
        <f>IFERROR(__xludf.DUMMYFUNCTION("GOOGLETRANSLATE(B3706, ""es"", ""en"")"),"Sami Encantada with the product and service received. perfect sizing, very comfortable, modern. Both they serve every day to see you as what clothes trimmed with. Thank you ;)")</f>
        <v>Sami Encantada with the product and service received. perfect sizing, very comfortable, modern. Both they serve every day to see you as what clothes trimmed with. Thank you ;)</v>
      </c>
    </row>
    <row r="3707">
      <c r="A3707" s="1">
        <v>5.0</v>
      </c>
      <c r="B3707" s="1" t="s">
        <v>3688</v>
      </c>
      <c r="C3707" t="str">
        <f>IFERROR(__xludf.DUMMYFUNCTION("GOOGLETRANSLATE(B3707, ""es"", ""en"")"),"Quality is an HDD disk I replaced this type ssd on a HP laptop. I am doing very well and the speed of the laptop is 5 times higher. When you use the disk for the first time the computer does not recognize but if you go to Control Panel, safety, defragment"&amp;"ation yen the same option appears you the option to set the new record. I have Windows 10. I hope it lasts me, but I hacertado full.")</f>
        <v>Quality is an HDD disk I replaced this type ssd on a HP laptop. I am doing very well and the speed of the laptop is 5 times higher. When you use the disk for the first time the computer does not recognize but if you go to Control Panel, safety, defragmentation yen the same option appears you the option to set the new record. I have Windows 10. I hope it lasts me, but I hacertado full.</v>
      </c>
    </row>
    <row r="3708">
      <c r="A3708" s="1">
        <v>5.0</v>
      </c>
      <c r="B3708" s="1" t="s">
        <v>3689</v>
      </c>
      <c r="C3708" t="str">
        <f>IFERROR(__xludf.DUMMYFUNCTION("GOOGLETRANSLATE(B3708, ""es"", ""en"")"),"Very comfortable Ever since I tried always I use them for everything. Although it has a defect that taught in the second picture .... but gives no problem if you stretch a lot can reach descoserse in my case I came so.")</f>
        <v>Very comfortable Ever since I tried always I use them for everything. Although it has a defect that taught in the second picture .... but gives no problem if you stretch a lot can reach descoserse in my case I came so.</v>
      </c>
    </row>
    <row r="3709">
      <c r="A3709" s="1">
        <v>5.0</v>
      </c>
      <c r="B3709" s="1" t="s">
        <v>3690</v>
      </c>
      <c r="C3709" t="str">
        <f>IFERROR(__xludf.DUMMYFUNCTION("GOOGLETRANSLATE(B3709, ""es"", ""en"")"),"Excellent performance and took more than a year since I bought it and meets its goal has good performance. fully recommended")</f>
        <v>Excellent performance and took more than a year since I bought it and meets its goal has good performance. fully recommended</v>
      </c>
    </row>
    <row r="3710">
      <c r="A3710" s="1">
        <v>5.0</v>
      </c>
      <c r="B3710" s="1" t="s">
        <v>3691</v>
      </c>
      <c r="C3710" t="str">
        <f>IFERROR(__xludf.DUMMYFUNCTION("GOOGLETRANSLATE(B3710, ""es"", ""en"")"),"Recommended that say this boot is very recognized brand that says it all")</f>
        <v>Recommended that say this boot is very recognized brand that says it all</v>
      </c>
    </row>
    <row r="3711">
      <c r="A3711" s="1">
        <v>5.0</v>
      </c>
      <c r="B3711" s="1" t="s">
        <v>3692</v>
      </c>
      <c r="C3711" t="str">
        <f>IFERROR(__xludf.DUMMYFUNCTION("GOOGLETRANSLATE(B3711, ""es"", ""en"")"),"Good product I like everything. It works very well and is easy to use and clean")</f>
        <v>Good product I like everything. It works very well and is easy to use and clean</v>
      </c>
    </row>
    <row r="3712">
      <c r="A3712" s="1">
        <v>2.0</v>
      </c>
      <c r="B3712" s="1" t="s">
        <v>3693</v>
      </c>
      <c r="C3712" t="str">
        <f>IFERROR(__xludf.DUMMYFUNCTION("GOOGLETRANSLATE(B3712, ""es"", ""en"")"),"I would not buy To begin not give too hot. And then no clamping neck, which is a little uncomfortable. It's short. I lay for neck and lower back, but I covers or one thing or the other. I do not recommend purchase.")</f>
        <v>I would not buy To begin not give too hot. And then no clamping neck, which is a little uncomfortable. It's short. I lay for neck and lower back, but I covers or one thing or the other. I do not recommend purchase.</v>
      </c>
    </row>
    <row r="3713">
      <c r="A3713" s="1">
        <v>3.0</v>
      </c>
      <c r="B3713" s="1" t="s">
        <v>3694</v>
      </c>
      <c r="C3713" t="str">
        <f>IFERROR(__xludf.DUMMYFUNCTION("GOOGLETRANSLATE(B3713, ""es"", ""en"")"),"Lavender least for now and not even all ... probe Very good Good testing generally not yet even all essences .... should have a larger format for price and performance were evenly matched ...")</f>
        <v>Lavender least for now and not even all ... probe Very good Good testing generally not yet even all essences .... should have a larger format for price and performance were evenly matched ...</v>
      </c>
    </row>
    <row r="3714">
      <c r="A3714" s="1">
        <v>3.0</v>
      </c>
      <c r="B3714" s="1" t="s">
        <v>3695</v>
      </c>
      <c r="C3714" t="str">
        <f>IFERROR(__xludf.DUMMYFUNCTION("GOOGLETRANSLATE(B3714, ""es"", ""en"")"),"It works well. The device works well. Downsides are that the ear does not fit fully in the space provided, and also, in my case, it seems that I have intolerance to the cover material pads, so that in a few minutes gives me acute pain in skin contact him."&amp;" Contacted the service to the customer, they have failed to give me solution or recommendation. The apparatus is light and fully absorbs serious noises. As a solution to get locate intolerance material, it will be perfect.")</f>
        <v>It works well. The device works well. Downsides are that the ear does not fit fully in the space provided, and also, in my case, it seems that I have intolerance to the cover material pads, so that in a few minutes gives me acute pain in skin contact him. Contacted the service to the customer, they have failed to give me solution or recommendation. The apparatus is light and fully absorbs serious noises. As a solution to get locate intolerance material, it will be perfect.</v>
      </c>
    </row>
    <row r="3715">
      <c r="A3715" s="1">
        <v>1.0</v>
      </c>
      <c r="B3715" s="1" t="s">
        <v>3696</v>
      </c>
      <c r="C3715" t="str">
        <f>IFERROR(__xludf.DUMMYFUNCTION("GOOGLETRANSLATE(B3715, ""es"", ""en"")"),"The Corona bad experience came fully folded and with some fallen stones")</f>
        <v>The Corona bad experience came fully folded and with some fallen stones</v>
      </c>
    </row>
    <row r="3716">
      <c r="A3716" s="1">
        <v>1.0</v>
      </c>
      <c r="B3716" s="1" t="s">
        <v>3697</v>
      </c>
      <c r="C3716" t="str">
        <f>IFERROR(__xludf.DUMMYFUNCTION("GOOGLETRANSLATE(B3716, ""es"", ""en"")"),"They are not good are nice but I weeklong break for the sole")</f>
        <v>They are not good are nice but I weeklong break for the sole</v>
      </c>
    </row>
    <row r="3717">
      <c r="A3717" s="1">
        <v>1.0</v>
      </c>
      <c r="B3717" s="1" t="s">
        <v>3698</v>
      </c>
      <c r="C3717" t="str">
        <f>IFERROR(__xludf.DUMMYFUNCTION("GOOGLETRANSLATE(B3717, ""es"", ""en"")"),"It does not fit as requested I bought 320 GB hard drive and actually has 32 GB. I have not served me for what I wanted. In the box it has a huge picture that says 320 GB wrong to the least I get me")</f>
        <v>It does not fit as requested I bought 320 GB hard drive and actually has 32 GB. I have not served me for what I wanted. In the box it has a huge picture that says 320 GB wrong to the least I get me</v>
      </c>
    </row>
    <row r="3718">
      <c r="A3718" s="1">
        <v>4.0</v>
      </c>
      <c r="B3718" s="1" t="s">
        <v>3699</v>
      </c>
      <c r="C3718" t="str">
        <f>IFERROR(__xludf.DUMMYFUNCTION("GOOGLETRANSLATE(B3718, ""es"", ""en"")"),"WATCH GORGEOUS BUT ME CAME WITH CONTAINER ROTO This watch is unbeatable for its value and give it a five star rating if it were not because the box it came in was broken and scratched. When you buy a new product expected to reach you in optimum condition,"&amp;" and has not been the case.")</f>
        <v>WATCH GORGEOUS BUT ME CAME WITH CONTAINER ROTO This watch is unbeatable for its value and give it a five star rating if it were not because the box it came in was broken and scratched. When you buy a new product expected to reach you in optimum condition, and has not been the case.</v>
      </c>
    </row>
    <row r="3719">
      <c r="A3719" s="1">
        <v>4.0</v>
      </c>
      <c r="B3719" s="1" t="s">
        <v>3700</v>
      </c>
      <c r="C3719" t="str">
        <f>IFERROR(__xludf.DUMMYFUNCTION("GOOGLETRANSLATE(B3719, ""es"", ""en"")"),"Very good buy good buy, only negative I would say is too heavy. Otherwise the stretcher and perfect accessories. Charmed")</f>
        <v>Very good buy good buy, only negative I would say is too heavy. Otherwise the stretcher and perfect accessories. Charmed</v>
      </c>
    </row>
    <row r="3720">
      <c r="A3720" s="1">
        <v>4.0</v>
      </c>
      <c r="B3720" s="1" t="s">
        <v>3701</v>
      </c>
      <c r="C3720" t="str">
        <f>IFERROR(__xludf.DUMMYFUNCTION("GOOGLETRANSLATE(B3720, ""es"", ""en"")"),"Ignacio Generally the product meets my expectations are however sometimes it is difficult to perceive clearly the needles on the background of dark sphere.")</f>
        <v>Ignacio Generally the product meets my expectations are however sometimes it is difficult to perceive clearly the needles on the background of dark sphere.</v>
      </c>
    </row>
    <row r="3721">
      <c r="A3721" s="1">
        <v>4.0</v>
      </c>
      <c r="B3721" s="1" t="s">
        <v>3702</v>
      </c>
      <c r="C3721" t="str">
        <f>IFERROR(__xludf.DUMMYFUNCTION("GOOGLETRANSLATE(B3721, ""es"", ""en"")"),"Well done Good quality and fast shipping, one day")</f>
        <v>Well done Good quality and fast shipping, one day</v>
      </c>
    </row>
    <row r="3722">
      <c r="A3722" s="1">
        <v>5.0</v>
      </c>
      <c r="B3722" s="1" t="s">
        <v>3703</v>
      </c>
      <c r="C3722" t="str">
        <f>IFERROR(__xludf.DUMMYFUNCTION("GOOGLETRANSLATE(B3722, ""es"", ""en"")"),"Perfect, the best Value For for 9 € which cost me a flash deal is the best there is. I have installed a Samson Meteor.")</f>
        <v>Perfect, the best Value For for 9 € which cost me a flash deal is the best there is. I have installed a Samson Meteor.</v>
      </c>
    </row>
    <row r="3723">
      <c r="A3723" s="1">
        <v>5.0</v>
      </c>
      <c r="B3723" s="1" t="s">
        <v>3704</v>
      </c>
      <c r="C3723" t="str">
        <f>IFERROR(__xludf.DUMMYFUNCTION("GOOGLETRANSLATE(B3723, ""es"", ""en"")"),"It was cheap for my granddaughter was not expecting much and the truth is q it is extraordinary")</f>
        <v>It was cheap for my granddaughter was not expecting much and the truth is q it is extraordinary</v>
      </c>
    </row>
    <row r="3724">
      <c r="A3724" s="1">
        <v>5.0</v>
      </c>
      <c r="B3724" s="1" t="s">
        <v>3705</v>
      </c>
      <c r="C3724" t="str">
        <f>IFERROR(__xludf.DUMMYFUNCTION("GOOGLETRANSLATE(B3724, ""es"", ""en"")"),"Fantastica Love")</f>
        <v>Fantastica Love</v>
      </c>
    </row>
    <row r="3725">
      <c r="A3725" s="1">
        <v>5.0</v>
      </c>
      <c r="B3725" s="1" t="s">
        <v>3706</v>
      </c>
      <c r="C3725" t="str">
        <f>IFERROR(__xludf.DUMMYFUNCTION("GOOGLETRANSLATE(B3725, ""es"", ""en"")"),"Great!!! I put 3 star to work out why it is very cool to utizarlo doing sport, otherwise it is great and fits like a glove. Perfect.")</f>
        <v>Great!!! I put 3 star to work out why it is very cool to utizarlo doing sport, otherwise it is great and fits like a glove. Perfect.</v>
      </c>
    </row>
    <row r="3726">
      <c r="A3726" s="1">
        <v>5.0</v>
      </c>
      <c r="B3726" s="1" t="s">
        <v>3707</v>
      </c>
      <c r="C3726" t="str">
        <f>IFERROR(__xludf.DUMMYFUNCTION("GOOGLETRANSLATE(B3726, ""es"", ""en"")"),"The best are perfect")</f>
        <v>The best are perfect</v>
      </c>
    </row>
    <row r="3727">
      <c r="A3727" s="1">
        <v>5.0</v>
      </c>
      <c r="B3727" s="1" t="s">
        <v>3708</v>
      </c>
      <c r="C3727" t="str">
        <f>IFERROR(__xludf.DUMMYFUNCTION("GOOGLETRANSLATE(B3727, ""es"", ""en"")"),"Perfect for athletes. a very good subject for sport. Very comfortable. very soft fabric that fits perfectly. Breathable evacuates sweat.")</f>
        <v>Perfect for athletes. a very good subject for sport. Very comfortable. very soft fabric that fits perfectly. Breathable evacuates sweat.</v>
      </c>
    </row>
    <row r="3728">
      <c r="A3728" s="1">
        <v>5.0</v>
      </c>
      <c r="B3728" s="1" t="s">
        <v>3709</v>
      </c>
      <c r="C3728" t="str">
        <f>IFERROR(__xludf.DUMMYFUNCTION("GOOGLETRANSLATE(B3728, ""es"", ""en"")"),"Super comfortable I bought them for work, because the need to make the shows and others slip super good, not even the estrenarlos made me rubbing of some sort. Haunted")</f>
        <v>Super comfortable I bought them for work, because the need to make the shows and others slip super good, not even the estrenarlos made me rubbing of some sort. Haunted</v>
      </c>
    </row>
    <row r="3729">
      <c r="A3729" s="1">
        <v>5.0</v>
      </c>
      <c r="B3729" s="1" t="s">
        <v>3710</v>
      </c>
      <c r="C3729" t="str">
        <f>IFERROR(__xludf.DUMMYFUNCTION("GOOGLETRANSLATE(B3729, ""es"", ""en"")"),"meets my expectations easy to install, capacity")</f>
        <v>meets my expectations easy to install, capacity</v>
      </c>
    </row>
    <row r="3730">
      <c r="A3730" s="1">
        <v>5.0</v>
      </c>
      <c r="B3730" s="1" t="s">
        <v>3711</v>
      </c>
      <c r="C3730" t="str">
        <f>IFERROR(__xludf.DUMMYFUNCTION("GOOGLETRANSLATE(B3730, ""es"", ""en"")"),"shirt Well")</f>
        <v>shirt Well</v>
      </c>
    </row>
    <row r="3731">
      <c r="A3731" s="1">
        <v>5.0</v>
      </c>
      <c r="B3731" s="1" t="s">
        <v>3712</v>
      </c>
      <c r="C3731" t="str">
        <f>IFERROR(__xludf.DUMMYFUNCTION("GOOGLETRANSLATE(B3731, ""es"", ""en"")"),"incredible Perfect")</f>
        <v>incredible Perfect</v>
      </c>
    </row>
    <row r="3732">
      <c r="A3732" s="1">
        <v>5.0</v>
      </c>
      <c r="B3732" s="1" t="s">
        <v>3713</v>
      </c>
      <c r="C3732" t="str">
        <f>IFERROR(__xludf.DUMMYFUNCTION("GOOGLETRANSLATE(B3732, ""es"", ""en"")"),"Best Very impressed with the packaging and what you get for your money. Build quality also looks good. The sound is much richer than my old headphones (Coloud) with deeper bass and, more importantly, are much more comfortable. The package includes a bag s"&amp;"torage cute and a protector for the jack.")</f>
        <v>Best Very impressed with the packaging and what you get for your money. Build quality also looks good. The sound is much richer than my old headphones (Coloud) with deeper bass and, more importantly, are much more comfortable. The package includes a bag storage cute and a protector for the jack.</v>
      </c>
    </row>
    <row r="3733">
      <c r="A3733" s="1">
        <v>5.0</v>
      </c>
      <c r="B3733" s="1" t="s">
        <v>3714</v>
      </c>
      <c r="C3733" t="str">
        <f>IFERROR(__xludf.DUMMYFUNCTION("GOOGLETRANSLATE(B3733, ""es"", ""en"")"),"Precious Super nice and very comfortable .... I love me")</f>
        <v>Precious Super nice and very comfortable .... I love me</v>
      </c>
    </row>
    <row r="3734">
      <c r="A3734" s="1">
        <v>5.0</v>
      </c>
      <c r="B3734" s="1" t="s">
        <v>3715</v>
      </c>
      <c r="C3734" t="str">
        <f>IFERROR(__xludf.DUMMYFUNCTION("GOOGLETRANSLATE(B3734, ""es"", ""en"")"),"Precious pendant is beautiful, my wife loved him. In addition tucked it came in a box, so it came well protected. It is silver, and one of the pieces of heart is tone pink gold.")</f>
        <v>Precious pendant is beautiful, my wife loved him. In addition tucked it came in a box, so it came well protected. It is silver, and one of the pieces of heart is tone pink gold.</v>
      </c>
    </row>
    <row r="3735">
      <c r="A3735" s="1">
        <v>5.0</v>
      </c>
      <c r="B3735" s="1" t="s">
        <v>3716</v>
      </c>
      <c r="C3735" t="str">
        <f>IFERROR(__xludf.DUMMYFUNCTION("GOOGLETRANSLATE(B3735, ""es"", ""en"")"),"Great Fantastico")</f>
        <v>Great Fantastico</v>
      </c>
    </row>
    <row r="3736">
      <c r="A3736" s="1">
        <v>5.0</v>
      </c>
      <c r="B3736" s="1" t="s">
        <v>3717</v>
      </c>
      <c r="C3736" t="str">
        <f>IFERROR(__xludf.DUMMYFUNCTION("GOOGLETRANSLATE(B3736, ""es"", ""en"")"),"I would buy without hesitation I bought one (USB version 2.0) in 2014 that lasted two years hanging from my key chain full of keys. Stopped working in the summer of 2016. Between that falls to the ground and I have very careful with this, I think it has l"&amp;"asted long enough. When I stopped working, I bought a new one (USB version 3.0) without thinking about it and I'm just as happy. I bought one as a gift but in October 2016 and my friend is very happy. It is small and cute, fit a lot of data and very well "&amp;"priced.")</f>
        <v>I would buy without hesitation I bought one (USB version 2.0) in 2014 that lasted two years hanging from my key chain full of keys. Stopped working in the summer of 2016. Between that falls to the ground and I have very careful with this, I think it has lasted long enough. When I stopped working, I bought a new one (USB version 3.0) without thinking about it and I'm just as happy. I bought one as a gift but in October 2016 and my friend is very happy. It is small and cute, fit a lot of data and very well priced.</v>
      </c>
    </row>
    <row r="3737">
      <c r="A3737" s="1">
        <v>5.0</v>
      </c>
      <c r="B3737" s="1" t="s">
        <v>3718</v>
      </c>
      <c r="C3737" t="str">
        <f>IFERROR(__xludf.DUMMYFUNCTION("GOOGLETRANSLATE(B3737, ""es"", ""en"")"),"Comfortable and modern I love these shoes because they are comfortable and with a very special design. You can put them to turn around or to go to the office. They are very breathable so I do not recommend its use in winter or autumn. Ideally, countries u"&amp;"se in summer because although they are closed, the foot will be very cool.")</f>
        <v>Comfortable and modern I love these shoes because they are comfortable and with a very special design. You can put them to turn around or to go to the office. They are very breathable so I do not recommend its use in winter or autumn. Ideally, countries use in summer because although they are closed, the foot will be very cool.</v>
      </c>
    </row>
    <row r="3738">
      <c r="A3738" s="1">
        <v>5.0</v>
      </c>
      <c r="B3738" s="1" t="s">
        <v>3719</v>
      </c>
      <c r="C3738" t="str">
        <f>IFERROR(__xludf.DUMMYFUNCTION("GOOGLETRANSLATE(B3738, ""es"", ""en"")"),"Good product Perfect for a little old cameras. This is the best option for quality / price, speed is quite acceptable.")</f>
        <v>Good product Perfect for a little old cameras. This is the best option for quality / price, speed is quite acceptable.</v>
      </c>
    </row>
    <row r="3739">
      <c r="A3739" s="1">
        <v>5.0</v>
      </c>
      <c r="B3739" s="1" t="s">
        <v>3720</v>
      </c>
      <c r="C3739" t="str">
        <f>IFERROR(__xludf.DUMMYFUNCTION("GOOGLETRANSLATE(B3739, ""es"", ""en"")"),"Small and large space for carry-key, always good and compatible with my Samsung S8 +, you'll need that if an adapter to USB-C, are worth very little on Amazon, but you cover all types of terminals of this type. Very good to go photos to USB and then to th"&amp;"e computer without middleware or faster.")</f>
        <v>Small and large space for carry-key, always good and compatible with my Samsung S8 +, you'll need that if an adapter to USB-C, are worth very little on Amazon, but you cover all types of terminals of this type. Very good to go photos to USB and then to the computer without middleware or faster.</v>
      </c>
    </row>
    <row r="3740">
      <c r="A3740" s="1">
        <v>2.0</v>
      </c>
      <c r="B3740" s="1" t="s">
        <v>3721</v>
      </c>
      <c r="C3740" t="str">
        <f>IFERROR(__xludf.DUMMYFUNCTION("GOOGLETRANSLATE(B3740, ""es"", ""en"")"),"3 I have gone into disrepair, for the price, not devolvor.")</f>
        <v>3 I have gone into disrepair, for the price, not devolvor.</v>
      </c>
    </row>
    <row r="3741">
      <c r="A3741" s="1">
        <v>3.0</v>
      </c>
      <c r="B3741" s="1" t="s">
        <v>3722</v>
      </c>
      <c r="C3741" t="str">
        <f>IFERROR(__xludf.DUMMYFUNCTION("GOOGLETRANSLATE(B3741, ""es"", ""en"")"),"Fulfilled but lasted little pads are heard well and to date take about two years without any problems. The paste having the pads are manufactured in an imitation leather. They cracked and quartered a few months (without going outdoors or to give them the "&amp;"sun), and the outer layer of the pad, which is a kind of plastic that mimics the skin began to peel into small squares that They left in the hair, shoulders or sofa. A bit cumbersome.")</f>
        <v>Fulfilled but lasted little pads are heard well and to date take about two years without any problems. The paste having the pads are manufactured in an imitation leather. They cracked and quartered a few months (without going outdoors or to give them the sun), and the outer layer of the pad, which is a kind of plastic that mimics the skin began to peel into small squares that They left in the hair, shoulders or sofa. A bit cumbersome.</v>
      </c>
    </row>
    <row r="3742">
      <c r="A3742" s="1">
        <v>3.0</v>
      </c>
      <c r="B3742" s="1" t="s">
        <v>3723</v>
      </c>
      <c r="C3742" t="str">
        <f>IFERROR(__xludf.DUMMYFUNCTION("GOOGLETRANSLATE(B3742, ""es"", ""en"")"),"Like the other. Not work on my tablet. It works fine and all, but nothing remarkable about others, including reading speed. I do not know where they get it from 80MB / s. And yes, I have not been able to rularla on my tablet BQ Aquaris M10 do not know why"&amp;", since the rest of micro SDXC I have both the 64GB and the 32GB, also Class 10 UHS 1, but other brands, work perfectly in this tablet (and I've tried to format it in different file systems, with different cluster sizes and more, but nothing, no way). Eye"&amp;" if want for that tablet. Otherwise, I'm using it on my phone and it works pretty well, like others of its kind.")</f>
        <v>Like the other. Not work on my tablet. It works fine and all, but nothing remarkable about others, including reading speed. I do not know where they get it from 80MB / s. And yes, I have not been able to rularla on my tablet BQ Aquaris M10 do not know why, since the rest of micro SDXC I have both the 64GB and the 32GB, also Class 10 UHS 1, but other brands, work perfectly in this tablet (and I've tried to format it in different file systems, with different cluster sizes and more, but nothing, no way). Eye if want for that tablet. Otherwise, I'm using it on my phone and it works pretty well, like others of its kind.</v>
      </c>
    </row>
    <row r="3743">
      <c r="A3743" s="1">
        <v>1.0</v>
      </c>
      <c r="B3743" s="1" t="s">
        <v>3724</v>
      </c>
      <c r="C3743" t="str">
        <f>IFERROR(__xludf.DUMMYFUNCTION("GOOGLETRANSLATE(B3743, ""es"", ""en"")"),"Do not treat us to return! Good morning, I really was not what I expected, it does not absorb much as it seems and almost prefer a Dyson. I also think he needs more utensils so I decided to give the opportunity to mark up buying the next model surprise th"&amp;"at has more utensils though the engine power is the same. I'm trying to return but no one comes to my house so if you want to call out to return it for a pasta and is that I have not even a message sad when they will happen. Osea super bad with Amazon.")</f>
        <v>Do not treat us to return! Good morning, I really was not what I expected, it does not absorb much as it seems and almost prefer a Dyson. I also think he needs more utensils so I decided to give the opportunity to mark up buying the next model surprise that has more utensils though the engine power is the same. I'm trying to return but no one comes to my house so if you want to call out to return it for a pasta and is that I have not even a message sad when they will happen. Osea super bad with Amazon.</v>
      </c>
    </row>
    <row r="3744">
      <c r="A3744" s="1">
        <v>4.0</v>
      </c>
      <c r="B3744" s="1" t="s">
        <v>3725</v>
      </c>
      <c r="C3744" t="str">
        <f>IFERROR(__xludf.DUMMYFUNCTION("GOOGLETRANSLATE(B3744, ""es"", ""en"")"),"Good product for the price good product for the price. It is true that a large logo has not seen in the picture, but neither bothered nor is scandalous. I would buy.")</f>
        <v>Good product for the price good product for the price. It is true that a large logo has not seen in the picture, but neither bothered nor is scandalous. I would buy.</v>
      </c>
    </row>
    <row r="3745">
      <c r="A3745" s="1">
        <v>4.0</v>
      </c>
      <c r="B3745" s="1" t="s">
        <v>3726</v>
      </c>
      <c r="C3745" t="str">
        <f>IFERROR(__xludf.DUMMYFUNCTION("GOOGLETRANSLATE(B3745, ""es"", ""en"")"),"Cheap and does the job. For the price you have plenty fulfills its function. It is a rather flimsy plastic clip but withstands weight, I used to catch micros and other items for photo shoots and no problem. But I will insist that it is very simple and has"&amp;" no excessive force at certain angles.")</f>
        <v>Cheap and does the job. For the price you have plenty fulfills its function. It is a rather flimsy plastic clip but withstands weight, I used to catch micros and other items for photo shoots and no problem. But I will insist that it is very simple and has no excessive force at certain angles.</v>
      </c>
    </row>
    <row r="3746">
      <c r="A3746" s="1">
        <v>4.0</v>
      </c>
      <c r="B3746" s="1" t="s">
        <v>3727</v>
      </c>
      <c r="C3746" t="str">
        <f>IFERROR(__xludf.DUMMYFUNCTION("GOOGLETRANSLATE(B3746, ""es"", ""en"")"),"Martin A. A basic machine but I think useful if you use it to make mayonnaise or creams, that's what I want and asking the price more")</f>
        <v>Martin A. A basic machine but I think useful if you use it to make mayonnaise or creams, that's what I want and asking the price more</v>
      </c>
    </row>
    <row r="3747">
      <c r="A3747" s="1">
        <v>4.0</v>
      </c>
      <c r="B3747" s="1" t="s">
        <v>3728</v>
      </c>
      <c r="C3747" t="str">
        <f>IFERROR(__xludf.DUMMYFUNCTION("GOOGLETRANSLATE(B3747, ""es"", ""en"")"),"Good product needed a protector to record some shots on the outside, windy and the truth is that I could not do better choice, they are perfect for shooting outdoors. I will use the microphone Rode Smartlav + and the truth is that greatly improved the sou"&amp;"nd as you record multiple shots at the windbreaks and without, comes with no bag or anything, so you have to keep them well to keep him. The truth is that money are fine, you can go to other high ranges, but the wing works perfectly.")</f>
        <v>Good product needed a protector to record some shots on the outside, windy and the truth is that I could not do better choice, they are perfect for shooting outdoors. I will use the microphone Rode Smartlav + and the truth is that greatly improved the sound as you record multiple shots at the windbreaks and without, comes with no bag or anything, so you have to keep them well to keep him. The truth is that money are fine, you can go to other high ranges, but the wing works perfectly.</v>
      </c>
    </row>
    <row r="3748">
      <c r="A3748" s="1">
        <v>4.0</v>
      </c>
      <c r="B3748" s="1" t="s">
        <v>3729</v>
      </c>
      <c r="C3748" t="str">
        <f>IFERROR(__xludf.DUMMYFUNCTION("GOOGLETRANSLATE(B3748, ""es"", ""en"")"),"Well I do not understand the double blade")</f>
        <v>Well I do not understand the double blade</v>
      </c>
    </row>
    <row r="3749">
      <c r="A3749" s="1">
        <v>5.0</v>
      </c>
      <c r="B3749" s="1" t="s">
        <v>3730</v>
      </c>
      <c r="C3749" t="str">
        <f>IFERROR(__xludf.DUMMYFUNCTION("GOOGLETRANSLATE(B3749, ""es"", ""en"")"),"They are a spectacular model Eternas I will last a lifetime with good use, I had to ask another number but now I get a great fit and very comfortable.")</f>
        <v>They are a spectacular model Eternas I will last a lifetime with good use, I had to ask another number but now I get a great fit and very comfortable.</v>
      </c>
    </row>
    <row r="3750">
      <c r="A3750" s="1">
        <v>5.0</v>
      </c>
      <c r="B3750" s="1" t="s">
        <v>3731</v>
      </c>
      <c r="C3750" t="str">
        <f>IFERROR(__xludf.DUMMYFUNCTION("GOOGLETRANSLATE(B3750, ""es"", ""en"")"),"Kristian. C. fulfills its function. Simple and easy to use. For occasional home use, karaoke parties meetings, etc., perfect. Good distance without interference by 50m is assumed that endures and does much interference.")</f>
        <v>Kristian. C. fulfills its function. Simple and easy to use. For occasional home use, karaoke parties meetings, etc., perfect. Good distance without interference by 50m is assumed that endures and does much interference.</v>
      </c>
    </row>
    <row r="3751">
      <c r="A3751" s="1">
        <v>5.0</v>
      </c>
      <c r="B3751" s="1" t="s">
        <v>3732</v>
      </c>
      <c r="C3751" t="str">
        <f>IFERROR(__xludf.DUMMYFUNCTION("GOOGLETRANSLATE(B3751, ""es"", ""en"")"),"Light and very good sound. I was surprised, did not expect this sound quality for this price, they sound really good and some serious very balanced. Active noise cancellation plenty noticeable and they are super lightweight and comfortable cushions taking"&amp;" them quite a while.")</f>
        <v>Light and very good sound. I was surprised, did not expect this sound quality for this price, they sound really good and some serious very balanced. Active noise cancellation plenty noticeable and they are super lightweight and comfortable cushions taking them quite a while.</v>
      </c>
    </row>
    <row r="3752">
      <c r="A3752" s="1">
        <v>5.0</v>
      </c>
      <c r="B3752" s="1" t="s">
        <v>3733</v>
      </c>
      <c r="C3752" t="str">
        <f>IFERROR(__xludf.DUMMYFUNCTION("GOOGLETRANSLATE(B3752, ""es"", ""en"")"),"anti-colic system achieved very good anti-colic system")</f>
        <v>anti-colic system achieved very good anti-colic system</v>
      </c>
    </row>
    <row r="3753">
      <c r="A3753" s="1">
        <v>5.0</v>
      </c>
      <c r="B3753" s="1" t="s">
        <v>3734</v>
      </c>
      <c r="C3753" t="str">
        <f>IFERROR(__xludf.DUMMYFUNCTION("GOOGLETRANSLATE(B3753, ""es"", ""en"")"),"Good product very good buy, perfect for keeping your feet warm in the winter and very comfortable. Perfectly meets the expectations. I recommend it")</f>
        <v>Good product very good buy, perfect for keeping your feet warm in the winter and very comfortable. Perfectly meets the expectations. I recommend it</v>
      </c>
    </row>
    <row r="3754">
      <c r="A3754" s="1">
        <v>5.0</v>
      </c>
      <c r="B3754" s="1" t="s">
        <v>3735</v>
      </c>
      <c r="C3754" t="str">
        <f>IFERROR(__xludf.DUMMYFUNCTION("GOOGLETRANSLATE(B3754, ""es"", ""en"")"),"Very pretty. Good price-quality good price and good watch. It was a gift for my husband to the q loves watches. The Casio brand is for me the best value for money. Very happy with the purchase.")</f>
        <v>Very pretty. Good price-quality good price and good watch. It was a gift for my husband to the q loves watches. The Casio brand is for me the best value for money. Very happy with the purchase.</v>
      </c>
    </row>
    <row r="3755">
      <c r="A3755" s="1">
        <v>5.0</v>
      </c>
      <c r="B3755" s="1" t="s">
        <v>3736</v>
      </c>
      <c r="C3755" t="str">
        <f>IFERROR(__xludf.DUMMYFUNCTION("GOOGLETRANSLATE(B3755, ""es"", ""en"")"),"Perfect for Me connection has been perfect for use for q buy it, perhaps a little long, but always good some extra meter")</f>
        <v>Perfect for Me connection has been perfect for use for q buy it, perhaps a little long, but always good some extra meter</v>
      </c>
    </row>
    <row r="3756">
      <c r="A3756" s="1">
        <v>5.0</v>
      </c>
      <c r="B3756" s="1" t="s">
        <v>3737</v>
      </c>
      <c r="C3756" t="str">
        <f>IFERROR(__xludf.DUMMYFUNCTION("GOOGLETRANSLATE(B3756, ""es"", ""en"")"),"Good all good")</f>
        <v>Good all good</v>
      </c>
    </row>
    <row r="3757">
      <c r="A3757" s="1">
        <v>5.0</v>
      </c>
      <c r="B3757" s="1" t="s">
        <v>3738</v>
      </c>
      <c r="C3757" t="str">
        <f>IFERROR(__xludf.DUMMYFUNCTION("GOOGLETRANSLATE(B3757, ""es"", ""en"")"),"Buy 10 are more beautiful and comfortable option of a knockdown price. They arrived quickly and well packaged. Perfect purchase. Highly recommended. Rejects imitations, you burn your feet.")</f>
        <v>Buy 10 are more beautiful and comfortable option of a knockdown price. They arrived quickly and well packaged. Perfect purchase. Highly recommended. Rejects imitations, you burn your feet.</v>
      </c>
    </row>
    <row r="3758">
      <c r="A3758" s="1">
        <v>5.0</v>
      </c>
      <c r="B3758" s="1" t="s">
        <v>3739</v>
      </c>
      <c r="C3758" t="str">
        <f>IFERROR(__xludf.DUMMYFUNCTION("GOOGLETRANSLATE(B3758, ""es"", ""en"")"),"It was completed a three-piece for a gift. The product is as shown in the photo. Very good price for a three-piece")</f>
        <v>It was completed a three-piece for a gift. The product is as shown in the photo. Very good price for a three-piece</v>
      </c>
    </row>
    <row r="3759">
      <c r="A3759" s="1">
        <v>5.0</v>
      </c>
      <c r="B3759" s="1" t="s">
        <v>3740</v>
      </c>
      <c r="C3759" t="str">
        <f>IFERROR(__xludf.DUMMYFUNCTION("GOOGLETRANSLATE(B3759, ""es"", ""en"")"),"Adaptable to the size ear Cool, come in a faux leather pouch for storage. The cable has a plastic cover to prevent tangling and seems to make them more resistant or less is the feeling it gives. They also bring different sizes for the handset which is app"&amp;"reciated if you dwarf ears like me and the microphone picks up pretty clean sound calls, this morning I spoke with my niece and had no noise as you had before. Hear very well for the price they have, I listen to a lot of classical music in the street and "&amp;"I can not fault the quality of the sound while it is true that the cable is heard walking but that happens to everyone.")</f>
        <v>Adaptable to the size ear Cool, come in a faux leather pouch for storage. The cable has a plastic cover to prevent tangling and seems to make them more resistant or less is the feeling it gives. They also bring different sizes for the handset which is appreciated if you dwarf ears like me and the microphone picks up pretty clean sound calls, this morning I spoke with my niece and had no noise as you had before. Hear very well for the price they have, I listen to a lot of classical music in the street and I can not fault the quality of the sound while it is true that the cable is heard walking but that happens to everyone.</v>
      </c>
    </row>
    <row r="3760">
      <c r="A3760" s="1">
        <v>5.0</v>
      </c>
      <c r="B3760" s="1" t="s">
        <v>3741</v>
      </c>
      <c r="C3760" t="str">
        <f>IFERROR(__xludf.DUMMYFUNCTION("GOOGLETRANSLATE(B3760, ""es"", ""en"")"),"easy solution to our wrinkles I liked about the product that only a few drops are needed for implementation. With the dispenser drip it is very easy to apply. The result is not immediate but day after day it is working.")</f>
        <v>easy solution to our wrinkles I liked about the product that only a few drops are needed for implementation. With the dispenser drip it is very easy to apply. The result is not immediate but day after day it is working.</v>
      </c>
    </row>
    <row r="3761">
      <c r="A3761" s="1">
        <v>5.0</v>
      </c>
      <c r="B3761" s="1" t="s">
        <v>3742</v>
      </c>
      <c r="C3761" t="str">
        <f>IFERROR(__xludf.DUMMYFUNCTION("GOOGLETRANSLATE(B3761, ""es"", ""en"")"),"Offer price Good quality, perfect fit, my noviabquedo delighted with his gift and the price cheaper than elsewhere!")</f>
        <v>Offer price Good quality, perfect fit, my noviabquedo delighted with his gift and the price cheaper than elsewhere!</v>
      </c>
    </row>
    <row r="3762">
      <c r="A3762" s="1">
        <v>5.0</v>
      </c>
      <c r="B3762" s="1" t="s">
        <v>3743</v>
      </c>
      <c r="C3762" t="str">
        <f>IFERROR(__xludf.DUMMYFUNCTION("GOOGLETRANSLATE(B3762, ""es"", ""en"")"),"Tot perfecte. Tot perfecte. gràcies")</f>
        <v>Tot perfecte. Tot perfecte. gràcies</v>
      </c>
    </row>
    <row r="3763">
      <c r="A3763" s="1">
        <v>5.0</v>
      </c>
      <c r="B3763" s="1" t="s">
        <v>3744</v>
      </c>
      <c r="C3763" t="str">
        <f>IFERROR(__xludf.DUMMYFUNCTION("GOOGLETRANSLATE(B3763, ""es"", ""en"")"),"What I expected bracelet simple, but very guapa.Envio fast as always with Amazon")</f>
        <v>What I expected bracelet simple, but very guapa.Envio fast as always with Amazon</v>
      </c>
    </row>
    <row r="3764">
      <c r="A3764" s="1">
        <v>5.0</v>
      </c>
      <c r="B3764" s="1" t="s">
        <v>3745</v>
      </c>
      <c r="C3764" t="str">
        <f>IFERROR(__xludf.DUMMYFUNCTION("GOOGLETRANSLATE(B3764, ""es"", ""en"")"),"WHOLE LIFE TOGETHER. &lt;Div id = ""video-block-R2MDZR9SUYH8T0"" class = ""a-section a-spacing-small a-spacing-top mini video-block""&gt; &lt;/ div&gt; &lt;input type = ""hidden"" name = """" value = ""https://images-eu.ssl-images-amazon.com/images/I/B13kf+gPTTS.mp4"" c"&amp;"lass = ""video-url""&gt; &lt;input type = ""hidden"" name = """" value = "" https://images-eu.ssl-images-amazon.com/images/I/912dRdoiALS.png ""class ="" video-slate-img-url ""&gt; &amp; nbsp; J.Rosée"" Never Distant "", Choker Three Women colors 925 Sterling Silver wi"&amp;"th this choker will be telling enmeshed our partner that we will always be together, all her life, a choker womens J.Rosée brand, sold on the website of Amazon Spain by the company J .Rosée good jewelry studio and managed by Amazon, so you can wrap the gi"&amp;"ft. Jewel comes presented us a gift of the same brand in blue and brown fabric textured case, measuring 9.2 x 7.5 x 3.5 cm., On top goes the brand name, J.Rosée in his inside the choker is caught in a small blue velvet display case next to it he is a poli"&amp;"shed cloth, a greeting card, a bag or velvet bag to save the jewel and blue ribbon with the name of the brand. The pendant is a tangle of three colors, gold, silver and bronze, symbolizing never far and always together, inseparable, measuring 1.1 x 1.15 c"&amp;"ms., Is enshrined in a silver choker 45 cm., With an added 5 cm. to adjust, the entire set is 925 sterling silver material anti allergy. You can wear all day, making it perfect for celebrations and events elegant and discreet at the same time, drawing att"&amp;"ention, but not overly so, and is perfect to show love and we'll always be together. Undoubtedly, if you advise with this gem show our love and we'll be together forever, very elegant and quality, having a phenomenal price. Moito67_Ray")</f>
        <v>WHOLE LIFE TOGETHER. &lt;Div id = "video-block-R2MDZR9SUYH8T0" class = "a-section a-spacing-small a-spacing-top mini video-block"&gt; &lt;/ div&gt; &lt;input type = "hidden" name = "" value = "https://images-eu.ssl-images-amazon.com/images/I/B13kf+gPTTS.mp4" class = "video-url"&gt; &lt;input type = "hidden" name = "" value = " https://images-eu.ssl-images-amazon.com/images/I/912dRdoiALS.png "class =" video-slate-img-url "&gt; &amp; nbsp; J.Rosée" Never Distant ", Choker Three Women colors 925 Sterling Silver with this choker will be telling enmeshed our partner that we will always be together, all her life, a choker womens J.Rosée brand, sold on the website of Amazon Spain by the company J .Rosée good jewelry studio and managed by Amazon, so you can wrap the gift. Jewel comes presented us a gift of the same brand in blue and brown fabric textured case, measuring 9.2 x 7.5 x 3.5 cm., On top goes the brand name, J.Rosée in his inside the choker is caught in a small blue velvet display case next to it he is a polished cloth, a greeting card, a bag or velvet bag to save the jewel and blue ribbon with the name of the brand. The pendant is a tangle of three colors, gold, silver and bronze, symbolizing never far and always together, inseparable, measuring 1.1 x 1.15 cms., Is enshrined in a silver choker 45 cm., With an added 5 cm. to adjust, the entire set is 925 sterling silver material anti allergy. You can wear all day, making it perfect for celebrations and events elegant and discreet at the same time, drawing attention, but not overly so, and is perfect to show love and we'll always be together. Undoubtedly, if you advise with this gem show our love and we'll be together forever, very elegant and quality, having a phenomenal price. Moito67_Ray</v>
      </c>
    </row>
    <row r="3765">
      <c r="A3765" s="1">
        <v>5.0</v>
      </c>
      <c r="B3765" s="1" t="s">
        <v>3746</v>
      </c>
      <c r="C3765" t="str">
        <f>IFERROR(__xludf.DUMMYFUNCTION("GOOGLETRANSLATE(B3765, ""es"", ""en"")"),"Anonimo watch is beautiful. Does not disappoint. Everything perfect both cash and watch. Black background is much nicer than white. I recommend purchase.")</f>
        <v>Anonimo watch is beautiful. Does not disappoint. Everything perfect both cash and watch. Black background is much nicer than white. I recommend purchase.</v>
      </c>
    </row>
    <row r="3766">
      <c r="A3766" s="1">
        <v>5.0</v>
      </c>
      <c r="B3766" s="1" t="s">
        <v>3747</v>
      </c>
      <c r="C3766" t="str">
        <f>IFERROR(__xludf.DUMMYFUNCTION("GOOGLETRANSLATE(B3766, ""es"", ""en"")"),"Helmets wireless TV ... The package has been well delivered and on time. In excellent overall !! These helmets can be connected to the TV, as the console, you hear quite well. Folding are comfortable to wear, even if you have small ears better.")</f>
        <v>Helmets wireless TV ... The package has been well delivered and on time. In excellent overall !! These helmets can be connected to the TV, as the console, you hear quite well. Folding are comfortable to wear, even if you have small ears better.</v>
      </c>
    </row>
    <row r="3767">
      <c r="A3767" s="1">
        <v>5.0</v>
      </c>
      <c r="B3767" s="1" t="s">
        <v>3748</v>
      </c>
      <c r="C3767" t="str">
        <f>IFERROR(__xludf.DUMMYFUNCTION("GOOGLETRANSLATE(B3767, ""es"", ""en"")"),"Excellent for me is excellent in my kitchen, quickly I give much use")</f>
        <v>Excellent for me is excellent in my kitchen, quickly I give much use</v>
      </c>
    </row>
    <row r="3768">
      <c r="A3768" s="1">
        <v>2.0</v>
      </c>
      <c r="B3768" s="1" t="s">
        <v>3749</v>
      </c>
      <c r="C3768" t="str">
        <f>IFERROR(__xludf.DUMMYFUNCTION("GOOGLETRANSLATE(B3768, ""es"", ""en"")"),"At the beginning cuidadin well, I put me intensively in the neck and was counterproductive. Not abuse, put it very soft")</f>
        <v>At the beginning cuidadin well, I put me intensively in the neck and was counterproductive. Not abuse, put it very soft</v>
      </c>
    </row>
    <row r="3769">
      <c r="A3769" s="1">
        <v>3.0</v>
      </c>
      <c r="B3769" s="1" t="s">
        <v>3750</v>
      </c>
      <c r="C3769" t="str">
        <f>IFERROR(__xludf.DUMMYFUNCTION("GOOGLETRANSLATE(B3769, ""es"", ""en"")"),"I ordered a rather large number than mine and I are rather large.")</f>
        <v>I ordered a rather large number than mine and I are rather large.</v>
      </c>
    </row>
    <row r="3770">
      <c r="A3770" s="1">
        <v>1.0</v>
      </c>
      <c r="B3770" s="1" t="s">
        <v>3751</v>
      </c>
      <c r="C3770" t="str">
        <f>IFERROR(__xludf.DUMMYFUNCTION("GOOGLETRANSLATE(B3770, ""es"", ""en"")"),"Useful and practical Good")</f>
        <v>Useful and practical Good</v>
      </c>
    </row>
    <row r="3771">
      <c r="A3771" s="1">
        <v>1.0</v>
      </c>
      <c r="B3771" s="1" t="s">
        <v>3752</v>
      </c>
      <c r="C3771" t="str">
        <f>IFERROR(__xludf.DUMMYFUNCTION("GOOGLETRANSLATE(B3771, ""es"", ""en"")"),"Does not meet the expected conditions At first glance it seems an interesting product, but once you use it you realize it does not work as expected, gradually losing power and only serves to beat / blend very soft products. It is better to spend a little "&amp;"more and buy a better quality to last longer.")</f>
        <v>Does not meet the expected conditions At first glance it seems an interesting product, but once you use it you realize it does not work as expected, gradually losing power and only serves to beat / blend very soft products. It is better to spend a little more and buy a better quality to last longer.</v>
      </c>
    </row>
    <row r="3772">
      <c r="A3772" s="1">
        <v>1.0</v>
      </c>
      <c r="B3772" s="1" t="s">
        <v>3753</v>
      </c>
      <c r="C3772" t="str">
        <f>IFERROR(__xludf.DUMMYFUNCTION("GOOGLETRANSLATE(B3772, ""es"", ""en"")"),"NOS lasted 1 WEEK It has been my son put it in the pool (1 meter deep) and just get water. They disappeared from the screen numbers. We put it to dry and nothing. I decided to open it to see if reaching the screen could be arranged but impossible to put i"&amp;"t back then. Between this and sending a disaster.")</f>
        <v>NOS lasted 1 WEEK It has been my son put it in the pool (1 meter deep) and just get water. They disappeared from the screen numbers. We put it to dry and nothing. I decided to open it to see if reaching the screen could be arranged but impossible to put it back then. Between this and sending a disaster.</v>
      </c>
    </row>
    <row r="3773">
      <c r="A3773" s="1">
        <v>4.0</v>
      </c>
      <c r="B3773" s="1" t="s">
        <v>3754</v>
      </c>
      <c r="C3773" t="str">
        <f>IFERROR(__xludf.DUMMYFUNCTION("GOOGLETRANSLATE(B3773, ""es"", ""en"")"),"Very good Good Value for money, no background noise, recommended for all those who played a home or friends level.")</f>
        <v>Very good Good Value for money, no background noise, recommended for all those who played a home or friends level.</v>
      </c>
    </row>
    <row r="3774">
      <c r="A3774" s="1">
        <v>4.0</v>
      </c>
      <c r="B3774" s="1" t="s">
        <v>3755</v>
      </c>
      <c r="C3774" t="str">
        <f>IFERROR(__xludf.DUMMYFUNCTION("GOOGLETRANSLATE(B3774, ""es"", ""en"")"),"Soft smell the dining room where I got the dog because it can not serve more the dog smell the vaporfresh🤣😭 but in the rest of the house itself.")</f>
        <v>Soft smell the dining room where I got the dog because it can not serve more the dog smell the vaporfresh🤣😭 but in the rest of the house itself.</v>
      </c>
    </row>
    <row r="3775">
      <c r="A3775" s="1">
        <v>4.0</v>
      </c>
      <c r="B3775" s="1" t="s">
        <v>3756</v>
      </c>
      <c r="C3775" t="str">
        <f>IFERROR(__xludf.DUMMYFUNCTION("GOOGLETRANSLATE(B3775, ""es"", ""en"")"),"Adrian is a pretty good watch is handsome and looks good quality .in considering its price, but would not recommend it but I am very careful nonetheless not that time has broken the glass in one hand without any blow and disappointed true in theory sell i"&amp;"t as having a strong glass is not true.")</f>
        <v>Adrian is a pretty good watch is handsome and looks good quality .in considering its price, but would not recommend it but I am very careful nonetheless not that time has broken the glass in one hand without any blow and disappointed true in theory sell it as having a strong glass is not true.</v>
      </c>
    </row>
    <row r="3776">
      <c r="A3776" s="1">
        <v>4.0</v>
      </c>
      <c r="B3776" s="1" t="s">
        <v>3757</v>
      </c>
      <c r="C3776" t="str">
        <f>IFERROR(__xludf.DUMMYFUNCTION("GOOGLETRANSLATE(B3776, ""es"", ""en"")"),"Hard drive is requested presentation good price spartan hard drive, you have not given me any problems during installation. totally spartan his presentation an envelope and protected in a bubble bag. Without any instructions, screws or nothing at all in m"&amp;"y case it was not necessary but keep in mind that if you need some kind of instruction you will have to go to google.")</f>
        <v>Hard drive is requested presentation good price spartan hard drive, you have not given me any problems during installation. totally spartan his presentation an envelope and protected in a bubble bag. Without any instructions, screws or nothing at all in my case it was not necessary but keep in mind that if you need some kind of instruction you will have to go to google.</v>
      </c>
    </row>
    <row r="3777">
      <c r="A3777" s="1">
        <v>4.0</v>
      </c>
      <c r="B3777" s="1" t="s">
        <v>3758</v>
      </c>
      <c r="C3777" t="str">
        <f>IFERROR(__xludf.DUMMYFUNCTION("GOOGLETRANSLATE(B3777, ""es"", ""en"")"),"Sound water as small waterfall. I find it handy, oil water is added where same, the sound of the water inside the tank is relaxing. The wet steam, but do not know why, because not always does. I wish that the momentum of the steam is greater. Overall good"&amp;", soft light tones are relaxing.")</f>
        <v>Sound water as small waterfall. I find it handy, oil water is added where same, the sound of the water inside the tank is relaxing. The wet steam, but do not know why, because not always does. I wish that the momentum of the steam is greater. Overall good, soft light tones are relaxing.</v>
      </c>
    </row>
    <row r="3778">
      <c r="A3778" s="1">
        <v>5.0</v>
      </c>
      <c r="B3778" s="1" t="s">
        <v>3759</v>
      </c>
      <c r="C3778" t="str">
        <f>IFERROR(__xludf.DUMMYFUNCTION("GOOGLETRANSLATE(B3778, ""es"", ""en"")"),"Elegant, functional and very low price I need this product very often since made numerous presentations with PowerPoint and this makes work much easier. I bought this product because of its very low price. And I'm really surprised. Control design is very "&amp;"elegant, practical and allows you to carry comfortably in hand. It is very accurate and does the job perfectly very simply, what makes me like it more. In addition it wears a red laser pointer to point to. Definitely worth really worth investing in this p"&amp;"roduct so cheap, simple and useful.")</f>
        <v>Elegant, functional and very low price I need this product very often since made numerous presentations with PowerPoint and this makes work much easier. I bought this product because of its very low price. And I'm really surprised. Control design is very elegant, practical and allows you to carry comfortably in hand. It is very accurate and does the job perfectly very simply, what makes me like it more. In addition it wears a red laser pointer to point to. Definitely worth really worth investing in this product so cheap, simple and useful.</v>
      </c>
    </row>
    <row r="3779">
      <c r="A3779" s="1">
        <v>5.0</v>
      </c>
      <c r="B3779" s="1" t="s">
        <v>3760</v>
      </c>
      <c r="C3779" t="str">
        <f>IFERROR(__xludf.DUMMYFUNCTION("GOOGLETRANSLATE(B3779, ""es"", ""en"")"),"Good good good shoe shoe soles grip well")</f>
        <v>Good good good shoe shoe soles grip well</v>
      </c>
    </row>
    <row r="3780">
      <c r="A3780" s="1">
        <v>5.0</v>
      </c>
      <c r="B3780" s="1" t="s">
        <v>3761</v>
      </c>
      <c r="C3780" t="str">
        <f>IFERROR(__xludf.DUMMYFUNCTION("GOOGLETRANSLATE(B3780, ""es"", ""en"")"),"No such good will for sound, I used to feed them led strips remote and fulfill its role to perfection")</f>
        <v>No such good will for sound, I used to feed them led strips remote and fulfill its role to perfection</v>
      </c>
    </row>
    <row r="3781">
      <c r="A3781" s="1">
        <v>5.0</v>
      </c>
      <c r="B3781" s="1" t="s">
        <v>3762</v>
      </c>
      <c r="C3781" t="str">
        <f>IFERROR(__xludf.DUMMYFUNCTION("GOOGLETRANSLATE(B3781, ""es"", ""en"")"),"Very good quality and shock resistant children This product already knew that gave him one of my children and now the other queria.Tiene also very good if you sync audio with bluetooth of the mobile can move songs to the the child cante.Ademas am surprise"&amp;"d with the high volume that compared with other microfonos")</f>
        <v>Very good quality and shock resistant children This product already knew that gave him one of my children and now the other queria.Tiene also very good if you sync audio with bluetooth of the mobile can move songs to the the child cante.Ademas am surprised with the high volume that compared with other microfonos</v>
      </c>
    </row>
    <row r="3782">
      <c r="A3782" s="1">
        <v>5.0</v>
      </c>
      <c r="B3782" s="1" t="s">
        <v>3763</v>
      </c>
      <c r="C3782" t="str">
        <f>IFERROR(__xludf.DUMMYFUNCTION("GOOGLETRANSLATE(B3782, ""es"", ""en"")"),"Cracking the product recommended by the pack Amplitube application and jack table meter stops for wear helmets guitRra and effects")</f>
        <v>Cracking the product recommended by the pack Amplitube application and jack table meter stops for wear helmets guitRra and effects</v>
      </c>
    </row>
    <row r="3783">
      <c r="A3783" s="1">
        <v>5.0</v>
      </c>
      <c r="B3783" s="1" t="s">
        <v>3764</v>
      </c>
      <c r="C3783" t="str">
        <f>IFERROR(__xludf.DUMMYFUNCTION("GOOGLETRANSLATE(B3783, ""es"", ""en"")"),"GOOD perfect, just buy what I needed")</f>
        <v>GOOD perfect, just buy what I needed</v>
      </c>
    </row>
    <row r="3784">
      <c r="A3784" s="1">
        <v>5.0</v>
      </c>
      <c r="B3784" s="1" t="s">
        <v>3765</v>
      </c>
      <c r="C3784" t="str">
        <f>IFERROR(__xludf.DUMMYFUNCTION("GOOGLETRANSLATE(B3784, ""es"", ""en"")"),"Good price for a good product very good product will buy good price for what is offered")</f>
        <v>Good price for a good product very good product will buy good price for what is offered</v>
      </c>
    </row>
    <row r="3785">
      <c r="A3785" s="1">
        <v>5.0</v>
      </c>
      <c r="B3785" s="1" t="s">
        <v>3766</v>
      </c>
      <c r="C3785" t="str">
        <f>IFERROR(__xludf.DUMMYFUNCTION("GOOGLETRANSLATE(B3785, ""es"", ""en"")"),"Electric kettle Aicook came the day they told me, heats water in less than 5 minutes, super happy with purchase")</f>
        <v>Electric kettle Aicook came the day they told me, heats water in less than 5 minutes, super happy with purchase</v>
      </c>
    </row>
    <row r="3786">
      <c r="A3786" s="1">
        <v>5.0</v>
      </c>
      <c r="B3786" s="1" t="s">
        <v>3767</v>
      </c>
      <c r="C3786" t="str">
        <f>IFERROR(__xludf.DUMMYFUNCTION("GOOGLETRANSLATE(B3786, ""es"", ""en"")"),"comfortable and quality Good quality, tight and comfortable. There q ask the same number usually chocks, in my case 44, and I look perfect.")</f>
        <v>comfortable and quality Good quality, tight and comfortable. There q ask the same number usually chocks, in my case 44, and I look perfect.</v>
      </c>
    </row>
    <row r="3787">
      <c r="A3787" s="1">
        <v>5.0</v>
      </c>
      <c r="B3787" s="1" t="s">
        <v>3768</v>
      </c>
      <c r="C3787" t="str">
        <f>IFERROR(__xludf.DUMMYFUNCTION("GOOGLETRANSLATE(B3787, ""es"", ""en"")"),"Rachel sent me arrived perfect and the micro has a terrific result for the price it has. I've been singing with him doing bowling with a group and has always gone great. Unbeatable value for money.")</f>
        <v>Rachel sent me arrived perfect and the micro has a terrific result for the price it has. I've been singing with him doing bowling with a group and has always gone great. Unbeatable value for money.</v>
      </c>
    </row>
    <row r="3788">
      <c r="A3788" s="1">
        <v>5.0</v>
      </c>
      <c r="B3788" s="1" t="s">
        <v>3769</v>
      </c>
      <c r="C3788" t="str">
        <f>IFERROR(__xludf.DUMMYFUNCTION("GOOGLETRANSLATE(B3788, ""es"", ""en"")"),"Sound quality and elegance certainly an excellent purchase. You can use them in all kinds of areas. Are very comfortable for the gym because they do not fall despite physical exercise and sound is impeccable. And even top aesthetics is elegant and managea"&amp;"ble")</f>
        <v>Sound quality and elegance certainly an excellent purchase. You can use them in all kinds of areas. Are very comfortable for the gym because they do not fall despite physical exercise and sound is impeccable. And even top aesthetics is elegant and manageable</v>
      </c>
    </row>
    <row r="3789">
      <c r="A3789" s="1">
        <v>5.0</v>
      </c>
      <c r="B3789" s="1" t="s">
        <v>3770</v>
      </c>
      <c r="C3789" t="str">
        <f>IFERROR(__xludf.DUMMYFUNCTION("GOOGLETRANSLATE(B3789, ""es"", ""en"")"),"For a long lasting fragrance time I've been looking for an essential oil with citric aroma, which is long kept in the environment without being overly strong and this oil has been a success. In addition to the fragrance I like to use it to drive away mosq"&amp;"uitoes. It comes with dropper, easier to use without wasting the product as has happened with other poorer quality. I bought it primarily for use in the humidor and also to massage.")</f>
        <v>For a long lasting fragrance time I've been looking for an essential oil with citric aroma, which is long kept in the environment without being overly strong and this oil has been a success. In addition to the fragrance I like to use it to drive away mosquitoes. It comes with dropper, easier to use without wasting the product as has happened with other poorer quality. I bought it primarily for use in the humidor and also to massage.</v>
      </c>
    </row>
    <row r="3790">
      <c r="A3790" s="1">
        <v>5.0</v>
      </c>
      <c r="B3790" s="1" t="s">
        <v>3771</v>
      </c>
      <c r="C3790" t="str">
        <f>IFERROR(__xludf.DUMMYFUNCTION("GOOGLETRANSLATE(B3790, ""es"", ""en"")"),"Comodas are comfortable foam insole")</f>
        <v>Comodas are comfortable foam insole</v>
      </c>
    </row>
    <row r="3791">
      <c r="A3791" s="1">
        <v>5.0</v>
      </c>
      <c r="B3791" s="1" t="s">
        <v>3772</v>
      </c>
      <c r="C3791" t="str">
        <f>IFERROR(__xludf.DUMMYFUNCTION("GOOGLETRANSLATE(B3791, ""es"", ""en"")"),"GOOD BUY MORE THAN SATISFIED. Quite attractive in design and technology. Meets expectations in quality / price ratio. Other more expensive headphones sound like these. I'm thinking about my lady to give her.")</f>
        <v>GOOD BUY MORE THAN SATISFIED. Quite attractive in design and technology. Meets expectations in quality / price ratio. Other more expensive headphones sound like these. I'm thinking about my lady to give her.</v>
      </c>
    </row>
    <row r="3792">
      <c r="A3792" s="1">
        <v>5.0</v>
      </c>
      <c r="B3792" s="1" t="s">
        <v>3773</v>
      </c>
      <c r="C3792" t="str">
        <f>IFERROR(__xludf.DUMMYFUNCTION("GOOGLETRANSLATE(B3792, ""es"", ""en"")"),"Perfect perfect size to go on a motorcycle and comfortable ....")</f>
        <v>Perfect perfect size to go on a motorcycle and comfortable ....</v>
      </c>
    </row>
    <row r="3793">
      <c r="A3793" s="1">
        <v>5.0</v>
      </c>
      <c r="B3793" s="1" t="s">
        <v>3774</v>
      </c>
      <c r="C3793" t="str">
        <f>IFERROR(__xludf.DUMMYFUNCTION("GOOGLETRANSLATE(B3793, ""es"", ""en"")"),"Vans SK8 Hi Ideals, as is the photo, monísimas and very comfortable, very fast shipping, would buy without hesitation, very happy with purchase")</f>
        <v>Vans SK8 Hi Ideals, as is the photo, monísimas and very comfortable, very fast shipping, would buy without hesitation, very happy with purchase</v>
      </c>
    </row>
    <row r="3794">
      <c r="A3794" s="1">
        <v>5.0</v>
      </c>
      <c r="B3794" s="1" t="s">
        <v>3775</v>
      </c>
      <c r="C3794" t="str">
        <f>IFERROR(__xludf.DUMMYFUNCTION("GOOGLETRANSLATE(B3794, ""es"", ""en"")"),"Reduced size and good metal, with ring to wear on the keys, you see that is rigid and hard, and with Justino size, but not small, worn on the keys very well.")</f>
        <v>Reduced size and good metal, with ring to wear on the keys, you see that is rigid and hard, and with Justino size, but not small, worn on the keys very well.</v>
      </c>
    </row>
    <row r="3795">
      <c r="A3795" s="1">
        <v>5.0</v>
      </c>
      <c r="B3795" s="1" t="s">
        <v>3776</v>
      </c>
      <c r="C3795" t="str">
        <f>IFERROR(__xludf.DUMMYFUNCTION("GOOGLETRANSLATE(B3795, ""es"", ""en"")"),"Excellent quality / price. I do not find any, but it is an absolutely recommended purchase. I got them at an unbeatable price.")</f>
        <v>Excellent quality / price. I do not find any, but it is an absolutely recommended purchase. I got them at an unbeatable price.</v>
      </c>
    </row>
    <row r="3796">
      <c r="A3796" s="1">
        <v>5.0</v>
      </c>
      <c r="B3796" s="1" t="s">
        <v>3777</v>
      </c>
      <c r="C3796" t="str">
        <f>IFERROR(__xludf.DUMMYFUNCTION("GOOGLETRANSLATE(B3796, ""es"", ""en"")"),"Powerful and safe is very well tiene.buena.potencia and whip me by insurance leading especially with a child at home is going well")</f>
        <v>Powerful and safe is very well tiene.buena.potencia and whip me by insurance leading especially with a child at home is going well</v>
      </c>
    </row>
    <row r="3797">
      <c r="A3797" s="1">
        <v>2.0</v>
      </c>
      <c r="B3797" s="1" t="s">
        <v>3778</v>
      </c>
      <c r="C3797" t="str">
        <f>IFERROR(__xludf.DUMMYFUNCTION("GOOGLETRANSLATE(B3797, ""es"", ""en"")"),"I could not ajustármelos, presentation, sound and battery box to load fall seem excellent. The sound is a bit flat (I get the feeling that it lacks serious, but it is natural for such small headphones). The finish is great. It is a bit cumbersome out of t"&amp;"he box because it is magnetized and not ""loose"" easily. The button operation is intuitive and easy, perhaps too sensitive, but it's going very well. I tried to handle Siri with them but it sure is simple, like to the pair and link them to the Bluetooth "&amp;"phone. But there is a big but, and hence my rating: fall me. I managed to be maintained in the ear when I moved: and sitting still remain, but I can not introduce good (it's up to my ear, I guess) but walk or talk with them on. I'm thinking about returnin"&amp;"g, I do not know if they will be accepted because I've tried several of the gums brought to adjust.")</f>
        <v>I could not ajustármelos, presentation, sound and battery box to load fall seem excellent. The sound is a bit flat (I get the feeling that it lacks serious, but it is natural for such small headphones). The finish is great. It is a bit cumbersome out of the box because it is magnetized and not "loose" easily. The button operation is intuitive and easy, perhaps too sensitive, but it's going very well. I tried to handle Siri with them but it sure is simple, like to the pair and link them to the Bluetooth phone. But there is a big but, and hence my rating: fall me. I managed to be maintained in the ear when I moved: and sitting still remain, but I can not introduce good (it's up to my ear, I guess) but walk or talk with them on. I'm thinking about returning, I do not know if they will be accepted because I've tried several of the gums brought to adjust.</v>
      </c>
    </row>
    <row r="3798">
      <c r="A3798" s="1">
        <v>3.0</v>
      </c>
      <c r="B3798" s="1" t="s">
        <v>42</v>
      </c>
      <c r="C3798" t="str">
        <f>IFERROR(__xludf.DUMMYFUNCTION("GOOGLETRANSLATE(B3798, ""es"", ""en"")"),"Well well")</f>
        <v>Well well</v>
      </c>
    </row>
    <row r="3799">
      <c r="A3799" s="1">
        <v>3.0</v>
      </c>
      <c r="B3799" s="1" t="s">
        <v>3779</v>
      </c>
      <c r="C3799" t="str">
        <f>IFERROR(__xludf.DUMMYFUNCTION("GOOGLETRANSLATE(B3799, ""es"", ""en"")"),"It makes more noise than the expected great works, but that does just that noise is not. It has a small fan base which makes a constant buzz, and to me personally bothers me if I have it in the same room when I go to sleep.")</f>
        <v>It makes more noise than the expected great works, but that does just that noise is not. It has a small fan base which makes a constant buzz, and to me personally bothers me if I have it in the same room when I go to sleep.</v>
      </c>
    </row>
    <row r="3800">
      <c r="A3800" s="1">
        <v>3.0</v>
      </c>
      <c r="B3800" s="1" t="s">
        <v>3780</v>
      </c>
      <c r="C3800" t="str">
        <f>IFERROR(__xludf.DUMMYFUNCTION("GOOGLETRANSLATE(B3800, ""es"", ""en"")"),"menstrual cup is somewhat complicated to put on and remove, but it is practical. It is very comfortable not the notes that you wear. I ordered this with ball but not if it would have been better ask for it to stick or this very had touched, but also is a "&amp;"bit indifferent, since no strips end by the vacuum that makes the cup, simply to detect where is located the Cup. Normal is neither too soft nor too hard.")</f>
        <v>menstrual cup is somewhat complicated to put on and remove, but it is practical. It is very comfortable not the notes that you wear. I ordered this with ball but not if it would have been better ask for it to stick or this very had touched, but also is a bit indifferent, since no strips end by the vacuum that makes the cup, simply to detect where is located the Cup. Normal is neither too soft nor too hard.</v>
      </c>
    </row>
    <row r="3801">
      <c r="A3801" s="1">
        <v>1.0</v>
      </c>
      <c r="B3801" s="1" t="s">
        <v>3781</v>
      </c>
      <c r="C3801" t="str">
        <f>IFERROR(__xludf.DUMMYFUNCTION("GOOGLETRANSLATE(B3801, ""es"", ""en"")"),"You can not take the my band 3 is impossible to remove the bracelet my bracelet band 3, and is of tremendous importance for charging.")</f>
        <v>You can not take the my band 3 is impossible to remove the bracelet my bracelet band 3, and is of tremendous importance for charging.</v>
      </c>
    </row>
    <row r="3802">
      <c r="A3802" s="1">
        <v>1.0</v>
      </c>
      <c r="B3802" s="1" t="s">
        <v>3782</v>
      </c>
      <c r="C3802" t="str">
        <f>IFERROR(__xludf.DUMMYFUNCTION("GOOGLETRANSLATE(B3802, ""es"", ""en"")"),"Mal returned it do not give bad smell")</f>
        <v>Mal returned it do not give bad smell</v>
      </c>
    </row>
    <row r="3803">
      <c r="A3803" s="1">
        <v>4.0</v>
      </c>
      <c r="B3803" s="1" t="s">
        <v>3783</v>
      </c>
      <c r="C3803" t="str">
        <f>IFERROR(__xludf.DUMMYFUNCTION("GOOGLETRANSLATE(B3803, ""es"", ""en"")"),"Slate quality durable and easy to hang, I arrive smoothly and highly recommended if you are looking for a board of this type.")</f>
        <v>Slate quality durable and easy to hang, I arrive smoothly and highly recommended if you are looking for a board of this type.</v>
      </c>
    </row>
    <row r="3804">
      <c r="A3804" s="1">
        <v>4.0</v>
      </c>
      <c r="B3804" s="1" t="s">
        <v>3784</v>
      </c>
      <c r="C3804" t="str">
        <f>IFERROR(__xludf.DUMMYFUNCTION("GOOGLETRANSLATE(B3804, ""es"", ""en"")"),"Well, expensive and scarce. Brush tops! Expensive and scarce as always, but for now fulfills its mission. The big advantage is the applicator brush, and much cleaner than conventional curious.")</f>
        <v>Well, expensive and scarce. Brush tops! Expensive and scarce as always, but for now fulfills its mission. The big advantage is the applicator brush, and much cleaner than conventional curious.</v>
      </c>
    </row>
    <row r="3805">
      <c r="A3805" s="1">
        <v>4.0</v>
      </c>
      <c r="B3805" s="1" t="s">
        <v>3785</v>
      </c>
      <c r="C3805" t="str">
        <f>IFERROR(__xludf.DUMMYFUNCTION("GOOGLETRANSLATE(B3805, ""es"", ""en"")"),"Well Well, meets expectations for what I want it, money for good quantity, quality, time will tell, I do it.")</f>
        <v>Well Well, meets expectations for what I want it, money for good quantity, quality, time will tell, I do it.</v>
      </c>
    </row>
    <row r="3806">
      <c r="A3806" s="1">
        <v>4.0</v>
      </c>
      <c r="B3806" s="1" t="s">
        <v>3786</v>
      </c>
      <c r="C3806" t="str">
        <f>IFERROR(__xludf.DUMMYFUNCTION("GOOGLETRANSLATE(B3806, ""es"", ""en"")"),"They are like the picture I arrived at the estimated time. They are exactly the same as in the photo. I usually use 40 or 41, after trying a few like in a department store decided to order a size 40 and I still get a little big but are really comfortable."&amp;" I do not recommend for use in summer and foot sweating something.")</f>
        <v>They are like the picture I arrived at the estimated time. They are exactly the same as in the photo. I usually use 40 or 41, after trying a few like in a department store decided to order a size 40 and I still get a little big but are really comfortable. I do not recommend for use in summer and foot sweating something.</v>
      </c>
    </row>
    <row r="3807">
      <c r="A3807" s="1">
        <v>5.0</v>
      </c>
      <c r="B3807" s="1" t="s">
        <v>3787</v>
      </c>
      <c r="C3807" t="str">
        <f>IFERROR(__xludf.DUMMYFUNCTION("GOOGLETRANSLATE(B3807, ""es"", ""en"")"),"Quality Samsung does not fail in these components. High quality, and easy to install.")</f>
        <v>Quality Samsung does not fail in these components. High quality, and easy to install.</v>
      </c>
    </row>
    <row r="3808">
      <c r="A3808" s="1">
        <v>5.0</v>
      </c>
      <c r="B3808" s="1" t="s">
        <v>3788</v>
      </c>
      <c r="C3808" t="str">
        <f>IFERROR(__xludf.DUMMYFUNCTION("GOOGLETRANSLATE(B3808, ""es"", ""en"")"),"Dymo label tape Perfect !!! They arrived very quickly and are good material. They adapt perfectly to my label. 100% recommended! I will buy. Definitely.")</f>
        <v>Dymo label tape Perfect !!! They arrived very quickly and are good material. They adapt perfectly to my label. 100% recommended! I will buy. Definitely.</v>
      </c>
    </row>
    <row r="3809">
      <c r="A3809" s="1">
        <v>5.0</v>
      </c>
      <c r="B3809" s="1" t="s">
        <v>3789</v>
      </c>
      <c r="C3809" t="str">
        <f>IFERROR(__xludf.DUMMYFUNCTION("GOOGLETRANSLATE(B3809, ""es"", ""en"")"),"I'm good shoes foot wide, and these are my first New Balance. I asked the average number more than usual, and I will perfect. Comfortable and very nice. Very happy with the product.")</f>
        <v>I'm good shoes foot wide, and these are my first New Balance. I asked the average number more than usual, and I will perfect. Comfortable and very nice. Very happy with the product.</v>
      </c>
    </row>
    <row r="3810">
      <c r="A3810" s="1">
        <v>5.0</v>
      </c>
      <c r="B3810" s="1" t="s">
        <v>3790</v>
      </c>
      <c r="C3810" t="str">
        <f>IFERROR(__xludf.DUMMYFUNCTION("GOOGLETRANSLATE(B3810, ""es"", ""en"")"),"Very good very good headphones all well and how they describe. I am very happy are comfortable and fold well to put them in his bag.")</f>
        <v>Very good very good headphones all well and how they describe. I am very happy are comfortable and fold well to put them in his bag.</v>
      </c>
    </row>
    <row r="3811">
      <c r="A3811" s="1">
        <v>5.0</v>
      </c>
      <c r="B3811" s="1" t="s">
        <v>3791</v>
      </c>
      <c r="C3811" t="str">
        <f>IFERROR(__xludf.DUMMYFUNCTION("GOOGLETRANSLATE(B3811, ""es"", ""en"")"),"Headphones The headphones have run fascinates me are very anatomical also heard quite strong and is not distorted, brings a case that can save them and take them with you and having a hook! They adapt to any type of ear because it brings different sizes i"&amp;"n rubber suits the handset .. I would certainly have seemed a very good investment! I recommend")</f>
        <v>Headphones The headphones have run fascinates me are very anatomical also heard quite strong and is not distorted, brings a case that can save them and take them with you and having a hook! They adapt to any type of ear because it brings different sizes in rubber suits the handset .. I would certainly have seemed a very good investment! I recommend</v>
      </c>
    </row>
    <row r="3812">
      <c r="A3812" s="1">
        <v>5.0</v>
      </c>
      <c r="B3812" s="1" t="s">
        <v>3792</v>
      </c>
      <c r="C3812" t="str">
        <f>IFERROR(__xludf.DUMMYFUNCTION("GOOGLETRANSLATE(B3812, ""es"", ""en"")"),"Terrific quality, well recommended product finishing and quality")</f>
        <v>Terrific quality, well recommended product finishing and quality</v>
      </c>
    </row>
    <row r="3813">
      <c r="A3813" s="1">
        <v>5.0</v>
      </c>
      <c r="B3813" s="1" t="s">
        <v>3793</v>
      </c>
      <c r="C3813" t="str">
        <f>IFERROR(__xludf.DUMMYFUNCTION("GOOGLETRANSLATE(B3813, ""es"", ""en"")"),"Very comfortable I have really enjoyed these socks, bought or descalz to-house and meets what they say. I chock one comment 39/40 and have very narrow foot and I go a fair bit")</f>
        <v>Very comfortable I have really enjoyed these socks, bought or descalz to-house and meets what they say. I chock one comment 39/40 and have very narrow foot and I go a fair bit</v>
      </c>
    </row>
    <row r="3814">
      <c r="A3814" s="1">
        <v>5.0</v>
      </c>
      <c r="B3814" s="1" t="s">
        <v>3794</v>
      </c>
      <c r="C3814" t="str">
        <f>IFERROR(__xludf.DUMMYFUNCTION("GOOGLETRANSLATE(B3814, ""es"", ""en"")"),"He arrived avtiempo Good quality / price")</f>
        <v>He arrived avtiempo Good quality / price</v>
      </c>
    </row>
    <row r="3815">
      <c r="A3815" s="1">
        <v>5.0</v>
      </c>
      <c r="B3815" s="1" t="s">
        <v>3795</v>
      </c>
      <c r="C3815" t="str">
        <f>IFERROR(__xludf.DUMMYFUNCTION("GOOGLETRANSLATE(B3815, ""es"", ""en"")"),"Thanks to the elegant 2400W power water certainly have it ready in no more than one minute, with the pot full. Brushed stainless steel, in this case makes it very elegant and is perfectly locate in the kitchen. Also in the other three colors is very cool "&amp;"in the kitchen, especially red, I love it. Easy to clean with fully removable filter. As for the noise level, compared with other similar features, you could say it's quieter. Value exceptional in this model Russel Hobbs")</f>
        <v>Thanks to the elegant 2400W power water certainly have it ready in no more than one minute, with the pot full. Brushed stainless steel, in this case makes it very elegant and is perfectly locate in the kitchen. Also in the other three colors is very cool in the kitchen, especially red, I love it. Easy to clean with fully removable filter. As for the noise level, compared with other similar features, you could say it's quieter. Value exceptional in this model Russel Hobbs</v>
      </c>
    </row>
    <row r="3816">
      <c r="A3816" s="1">
        <v>5.0</v>
      </c>
      <c r="B3816" s="1" t="s">
        <v>3796</v>
      </c>
      <c r="C3816" t="str">
        <f>IFERROR(__xludf.DUMMYFUNCTION("GOOGLETRANSLATE(B3816, ""es"", ""en"")"),"They are great as expected good quality and fleece inside. Very warm and comfortable good design. I like Joma because the quality and the price corresponds to the most international is height marks")</f>
        <v>They are great as expected good quality and fleece inside. Very warm and comfortable good design. I like Joma because the quality and the price corresponds to the most international is height marks</v>
      </c>
    </row>
    <row r="3817">
      <c r="A3817" s="1">
        <v>5.0</v>
      </c>
      <c r="B3817" s="1" t="s">
        <v>3797</v>
      </c>
      <c r="C3817" t="str">
        <f>IFERROR(__xludf.DUMMYFUNCTION("GOOGLETRANSLATE(B3817, ""es"", ""en"")"),"Very elegant A lovely necklace 3 strings, although it is note sheet, is well placed. I recommend it (especially for its price) PD 'if anyone knows how to keep the chains that tell me tangling !!")</f>
        <v>Very elegant A lovely necklace 3 strings, although it is note sheet, is well placed. I recommend it (especially for its price) PD 'if anyone knows how to keep the chains that tell me tangling !!</v>
      </c>
    </row>
    <row r="3818">
      <c r="A3818" s="1">
        <v>5.0</v>
      </c>
      <c r="B3818" s="1" t="s">
        <v>3798</v>
      </c>
      <c r="C3818" t="str">
        <f>IFERROR(__xludf.DUMMYFUNCTION("GOOGLETRANSLATE(B3818, ""es"", ""en"")"),"Good Value The product is packaged correctly. It includes parts of headphones, charging cable and sheath. Also instructions. After they have been used mainly for several days running, I can say that I have finally found a headset that did not fall from th"&amp;"e ear to be moving. They are very comfortable because the cable that connects them is very thin and does not bother.")</f>
        <v>Good Value The product is packaged correctly. It includes parts of headphones, charging cable and sheath. Also instructions. After they have been used mainly for several days running, I can say that I have finally found a headset that did not fall from the ear to be moving. They are very comfortable because the cable that connects them is very thin and does not bother.</v>
      </c>
    </row>
    <row r="3819">
      <c r="A3819" s="1">
        <v>5.0</v>
      </c>
      <c r="B3819" s="1" t="s">
        <v>3799</v>
      </c>
      <c r="C3819" t="str">
        <f>IFERROR(__xludf.DUMMYFUNCTION("GOOGLETRANSLATE(B3819, ""es"", ""en"")"),"/ Crystals perfect price quality quite large. I use them for vaping")</f>
        <v>/ Crystals perfect price quality quite large. I use them for vaping</v>
      </c>
    </row>
    <row r="3820">
      <c r="A3820" s="1">
        <v>5.0</v>
      </c>
      <c r="B3820" s="1" t="s">
        <v>3800</v>
      </c>
      <c r="C3820" t="str">
        <f>IFERROR(__xludf.DUMMYFUNCTION("GOOGLETRANSLATE(B3820, ""es"", ""en"")"),"Facilitate the exercise of that area seems very useful and easy to use")</f>
        <v>Facilitate the exercise of that area seems very useful and easy to use</v>
      </c>
    </row>
    <row r="3821">
      <c r="A3821" s="1">
        <v>5.0</v>
      </c>
      <c r="B3821" s="1" t="s">
        <v>3801</v>
      </c>
      <c r="C3821" t="str">
        <f>IFERROR(__xludf.DUMMYFUNCTION("GOOGLETRANSLATE(B3821, ""es"", ""en"")"),"Great product, no problems of any kind Product great, and inexpensive. Meets my expectations, and buy it back when finished me. I have not had any problem for ceterlas in the stapler, and sew documents. I recommend everyone.")</f>
        <v>Great product, no problems of any kind Product great, and inexpensive. Meets my expectations, and buy it back when finished me. I have not had any problem for ceterlas in the stapler, and sew documents. I recommend everyone.</v>
      </c>
    </row>
    <row r="3822">
      <c r="A3822" s="1">
        <v>5.0</v>
      </c>
      <c r="B3822" s="1" t="s">
        <v>3802</v>
      </c>
      <c r="C3822" t="str">
        <f>IFERROR(__xludf.DUMMYFUNCTION("GOOGLETRANSLATE(B3822, ""es"", ""en"")"),"Bluetooth headsets, Bagotte sport earphones Stereo MICROFO headphones for the price you are not going to find anything better and have some time with them and go luxury load very fast battery lasts a very good barbarity sound and better micro operating to"&amp;" the 100x100 unlike others who say they have free hands and a potato micro is the truth I am very happy with this purchase.")</f>
        <v>Bluetooth headsets, Bagotte sport earphones Stereo MICROFO headphones for the price you are not going to find anything better and have some time with them and go luxury load very fast battery lasts a very good barbarity sound and better micro operating to the 100x100 unlike others who say they have free hands and a potato micro is the truth I am very happy with this purchase.</v>
      </c>
    </row>
    <row r="3823">
      <c r="A3823" s="1">
        <v>5.0</v>
      </c>
      <c r="B3823" s="1" t="s">
        <v>3803</v>
      </c>
      <c r="C3823" t="str">
        <f>IFERROR(__xludf.DUMMYFUNCTION("GOOGLETRANSLATE(B3823, ""es"", ""en"")"),"A good all-terrain boots and especially effective against rain and cold. There is little to bring about the boots known Panama Jack, can be considered a brand with expensive prices in general, but in the case of this model the truth is that it costs you w"&amp;"arrant a warm feeling in your feet and dry them through the Goretex membrane protection that bring inside, I've tested in snow and rain and puddles that covered a little more effectively the sole and feet remain dry and warm. Once clean, you put them in y"&amp;"our own way and are a modern footwear and showy to wear street, cups and others, combined with informal styles and classic looks, and prefer jeans inside or outside is a boot color reddish very resistant to time and to the trot and opts for a somewhat cla"&amp;"ssic and true to the brand effectiveness and design protection against the elements. So far I can say that I use a 43 in almost all kinds of shoes, and have adjusted to my measure as is, do not come big or small. As a negative thing, do not bring the pot "&amp;"of fat in physical stores often give you.")</f>
        <v>A good all-terrain boots and especially effective against rain and cold. There is little to bring about the boots known Panama Jack, can be considered a brand with expensive prices in general, but in the case of this model the truth is that it costs you warrant a warm feeling in your feet and dry them through the Goretex membrane protection that bring inside, I've tested in snow and rain and puddles that covered a little more effectively the sole and feet remain dry and warm. Once clean, you put them in your own way and are a modern footwear and showy to wear street, cups and others, combined with informal styles and classic looks, and prefer jeans inside or outside is a boot color reddish very resistant to time and to the trot and opts for a somewhat classic and true to the brand effectiveness and design protection against the elements. So far I can say that I use a 43 in almost all kinds of shoes, and have adjusted to my measure as is, do not come big or small. As a negative thing, do not bring the pot of fat in physical stores often give you.</v>
      </c>
    </row>
    <row r="3824">
      <c r="A3824" s="1">
        <v>5.0</v>
      </c>
      <c r="B3824" s="1" t="s">
        <v>3804</v>
      </c>
      <c r="C3824" t="str">
        <f>IFERROR(__xludf.DUMMYFUNCTION("GOOGLETRANSLATE(B3824, ""es"", ""en"")"),"Watch pool man. I bought this watch to crush in the pool and not have to be very careful, the truth is that it is very many functions, battery for 10 years and I am delighted with him.")</f>
        <v>Watch pool man. I bought this watch to crush in the pool and not have to be very careful, the truth is that it is very many functions, battery for 10 years and I am delighted with him.</v>
      </c>
    </row>
    <row r="3825">
      <c r="A3825" s="1">
        <v>5.0</v>
      </c>
      <c r="B3825" s="1" t="s">
        <v>3805</v>
      </c>
      <c r="C3825" t="str">
        <f>IFERROR(__xludf.DUMMYFUNCTION("GOOGLETRANSLATE(B3825, ""es"", ""en"")"),"So comfortable perfect")</f>
        <v>So comfortable perfect</v>
      </c>
    </row>
    <row r="3826">
      <c r="A3826" s="1">
        <v>2.0</v>
      </c>
      <c r="B3826" s="1" t="s">
        <v>3806</v>
      </c>
      <c r="C3826" t="str">
        <f>IFERROR(__xludf.DUMMYFUNCTION("GOOGLETRANSLATE(B3826, ""es"", ""en"")"),"BLUETOOH AND DEPENDENCE CONNECTION BOX. I'm reading all comments and nobody mentions the issue of the existing problem with the connection. There should be a feature to choose comfortably when using headphones in stereo mode (both) or independently use ea"&amp;"ch uni. It is an arduous task to connect both simultaneously, sometimes the left is connected, other right but rarely connects to the first two, you have to tread lightly to remove both the two box. Another problem is that there is no shutdown feature, an"&amp;"d if you take them off you have to put them in the box, that is, to go with her everywhere. You can not use and leave without the box, because if then Cape X want time back use, no sign of any form and leaves reconnect with the mobile, ie, it does not est"&amp;"ablish the connection until it returns to the box and take it out again. Why I had to be repaid therefore regretfully really listen very well and do not fall, but having to take time to get X plug it in and rely on the box, as not.")</f>
        <v>BLUETOOH AND DEPENDENCE CONNECTION BOX. I'm reading all comments and nobody mentions the issue of the existing problem with the connection. There should be a feature to choose comfortably when using headphones in stereo mode (both) or independently use each uni. It is an arduous task to connect both simultaneously, sometimes the left is connected, other right but rarely connects to the first two, you have to tread lightly to remove both the two box. Another problem is that there is no shutdown feature, and if you take them off you have to put them in the box, that is, to go with her everywhere. You can not use and leave without the box, because if then Cape X want time back use, no sign of any form and leaves reconnect with the mobile, ie, it does not establish the connection until it returns to the box and take it out again. Why I had to be repaid therefore regretfully really listen very well and do not fall, but having to take time to get X plug it in and rely on the box, as not.</v>
      </c>
    </row>
    <row r="3827">
      <c r="A3827" s="1">
        <v>3.0</v>
      </c>
      <c r="B3827" s="1" t="s">
        <v>3807</v>
      </c>
      <c r="C3827" t="str">
        <f>IFERROR(__xludf.DUMMYFUNCTION("GOOGLETRANSLATE(B3827, ""es"", ""en"")"),"Rapido The truth is very fast, but for the money instead of putting a sticker, they could have put some dissipative rubber or include a shield")</f>
        <v>Rapido The truth is very fast, but for the money instead of putting a sticker, they could have put some dissipative rubber or include a shield</v>
      </c>
    </row>
    <row r="3828">
      <c r="A3828" s="1">
        <v>1.0</v>
      </c>
      <c r="B3828" s="1" t="s">
        <v>3808</v>
      </c>
      <c r="C3828" t="str">
        <f>IFERROR(__xludf.DUMMYFUNCTION("GOOGLETRANSLATE(B3828, ""es"", ""en"")"),"Ana The size of the watch is very small. I'd say it's size lady or a child. In the picture looks much bigger.")</f>
        <v>Ana The size of the watch is very small. I'd say it's size lady or a child. In the picture looks much bigger.</v>
      </c>
    </row>
    <row r="3829">
      <c r="A3829" s="1">
        <v>1.0</v>
      </c>
      <c r="B3829" s="1" t="s">
        <v>3809</v>
      </c>
      <c r="C3829" t="str">
        <f>IFERROR(__xludf.DUMMYFUNCTION("GOOGLETRANSLATE(B3829, ""es"", ""en"")"),"Decepcion Less than a year that have since December 2017 today 26 November 2018 has broken ago. Very bad compra.No is the first time that happens to me buying the amazon again blender broke x bad material thought to have been unknown to the mark x that oc"&amp;"urrió.Me decide to spend more and buy a ""good"" marks not happen this time the falloes smell burning heating process. I do not recommend it.")</f>
        <v>Decepcion Less than a year that have since December 2017 today 26 November 2018 has broken ago. Very bad compra.No is the first time that happens to me buying the amazon again blender broke x bad material thought to have been unknown to the mark x that ocurrió.Me decide to spend more and buy a "good" marks not happen this time the falloes smell burning heating process. I do not recommend it.</v>
      </c>
    </row>
    <row r="3830">
      <c r="A3830" s="1">
        <v>4.0</v>
      </c>
      <c r="B3830" s="1" t="s">
        <v>3810</v>
      </c>
      <c r="C3830" t="str">
        <f>IFERROR(__xludf.DUMMYFUNCTION("GOOGLETRANSLATE(B3830, ""es"", ""en"")"),"My favorite my favorite for summer!")</f>
        <v>My favorite my favorite for summer!</v>
      </c>
    </row>
    <row r="3831">
      <c r="A3831" s="1">
        <v>4.0</v>
      </c>
      <c r="B3831" s="1" t="s">
        <v>3811</v>
      </c>
      <c r="C3831" t="str">
        <f>IFERROR(__xludf.DUMMYFUNCTION("GOOGLETRANSLATE(B3831, ""es"", ""en"")"),"No splashes, it is light and has everything you need to for clear I loved works of great moment, the mincer was the scariest he had qu3")</f>
        <v>No splashes, it is light and has everything you need to for clear I loved works of great moment, the mincer was the scariest he had qu3</v>
      </c>
    </row>
    <row r="3832">
      <c r="A3832" s="1">
        <v>4.0</v>
      </c>
      <c r="B3832" s="1" t="s">
        <v>3812</v>
      </c>
      <c r="C3832" t="str">
        <f>IFERROR(__xludf.DUMMYFUNCTION("GOOGLETRANSLATE(B3832, ""es"", ""en"")"),"Good temperature control quality and finish is usual in Daga brand and this pad is improved temperature control that allows more intermediate steps than older models that I have. As improving the aesthetics of incorporating cotton cover.")</f>
        <v>Good temperature control quality and finish is usual in Daga brand and this pad is improved temperature control that allows more intermediate steps than older models that I have. As improving the aesthetics of incorporating cotton cover.</v>
      </c>
    </row>
    <row r="3833">
      <c r="A3833" s="1">
        <v>4.0</v>
      </c>
      <c r="B3833" s="1" t="s">
        <v>3813</v>
      </c>
      <c r="C3833" t="str">
        <f>IFERROR(__xludf.DUMMYFUNCTION("GOOGLETRANSLATE(B3833, ""es"", ""en"")"),"It works well and is durable Easy to use, good results")</f>
        <v>It works well and is durable Easy to use, good results</v>
      </c>
    </row>
    <row r="3834">
      <c r="A3834" s="1">
        <v>4.0</v>
      </c>
      <c r="B3834" s="1" t="s">
        <v>3814</v>
      </c>
      <c r="C3834" t="str">
        <f>IFERROR(__xludf.DUMMYFUNCTION("GOOGLETRANSLATE(B3834, ""es"", ""en"")"),"The best value / price of the market the best value / price of the market")</f>
        <v>The best value / price of the market the best value / price of the market</v>
      </c>
    </row>
    <row r="3835">
      <c r="A3835" s="1">
        <v>5.0</v>
      </c>
      <c r="B3835" s="1" t="s">
        <v>3815</v>
      </c>
      <c r="C3835" t="str">
        <f>IFERROR(__xludf.DUMMYFUNCTION("GOOGLETRANSLATE(B3835, ""es"", ""en"")"),"Buy good buy recommended. Comes in handy packaging and design is very cool. Just what i was looking for. They can work perfectly and regulate the volume also carries a clip for hanging.")</f>
        <v>Buy good buy recommended. Comes in handy packaging and design is very cool. Just what i was looking for. They can work perfectly and regulate the volume also carries a clip for hanging.</v>
      </c>
    </row>
    <row r="3836">
      <c r="A3836" s="1">
        <v>5.0</v>
      </c>
      <c r="B3836" s="1" t="s">
        <v>3816</v>
      </c>
      <c r="C3836" t="str">
        <f>IFERROR(__xludf.DUMMYFUNCTION("GOOGLETRANSLATE(B3836, ""es"", ""en"")"),"Elegant watch Elegant watch, I wanted to have a black watch dial and strap and this I liked. The belt material is metallic and is very durable. Good value")</f>
        <v>Elegant watch Elegant watch, I wanted to have a black watch dial and strap and this I liked. The belt material is metallic and is very durable. Good value</v>
      </c>
    </row>
    <row r="3837">
      <c r="A3837" s="1">
        <v>5.0</v>
      </c>
      <c r="B3837" s="1" t="s">
        <v>3817</v>
      </c>
      <c r="C3837" t="str">
        <f>IFERROR(__xludf.DUMMYFUNCTION("GOOGLETRANSLATE(B3837, ""es"", ""en"")"),"Perfect Perfect. Better than I thought very comfortable")</f>
        <v>Perfect Perfect. Better than I thought very comfortable</v>
      </c>
    </row>
    <row r="3838">
      <c r="A3838" s="1">
        <v>5.0</v>
      </c>
      <c r="B3838" s="1" t="s">
        <v>3818</v>
      </c>
      <c r="C3838" t="str">
        <f>IFERROR(__xludf.DUMMYFUNCTION("GOOGLETRANSLATE(B3838, ""es"", ""en"")"),"The old reliable good price and always good price")</f>
        <v>The old reliable good price and always good price</v>
      </c>
    </row>
    <row r="3839">
      <c r="A3839" s="1">
        <v>5.0</v>
      </c>
      <c r="B3839" s="1" t="s">
        <v>3819</v>
      </c>
      <c r="C3839" t="str">
        <f>IFERROR(__xludf.DUMMYFUNCTION("GOOGLETRANSLATE(B3839, ""es"", ""en"")"),"I like I like, looks quality is pretty, smart, practical card, the black color is for me the most beautiful, I bought salmon and it was horrible, the black is perfect, pleased with purchase")</f>
        <v>I like I like, looks quality is pretty, smart, practical card, the black color is for me the most beautiful, I bought salmon and it was horrible, the black is perfect, pleased with purchase</v>
      </c>
    </row>
    <row r="3840">
      <c r="A3840" s="1">
        <v>5.0</v>
      </c>
      <c r="B3840" s="1" t="s">
        <v>3820</v>
      </c>
      <c r="C3840" t="str">
        <f>IFERROR(__xludf.DUMMYFUNCTION("GOOGLETRANSLATE(B3840, ""es"", ""en"")"),"Casio is original. It is the original version. It comes with warranty certificate, Casio label hanging strap and comes with a sleeve-like spectacle case. The A158WA of the same module (593) that the Casio F-91W, which is already a guarantee of good perfor"&amp;"mance and quality. This clock would be an F-91W but with metal strap and metallic box (not metal). For the money you can not ask for more, you are seen to quality, with good finishes and feels very comfortable on the wrist (it is very easy to adjust).")</f>
        <v>Casio is original. It is the original version. It comes with warranty certificate, Casio label hanging strap and comes with a sleeve-like spectacle case. The A158WA of the same module (593) that the Casio F-91W, which is already a guarantee of good performance and quality. This clock would be an F-91W but with metal strap and metallic box (not metal). For the money you can not ask for more, you are seen to quality, with good finishes and feels very comfortable on the wrist (it is very easy to adjust).</v>
      </c>
    </row>
    <row r="3841">
      <c r="A3841" s="1">
        <v>5.0</v>
      </c>
      <c r="B3841" s="1" t="s">
        <v>3821</v>
      </c>
      <c r="C3841" t="str">
        <f>IFERROR(__xludf.DUMMYFUNCTION("GOOGLETRANSLATE(B3841, ""es"", ""en"")"),"A Casio Casio we will not discover anything")</f>
        <v>A Casio Casio we will not discover anything</v>
      </c>
    </row>
    <row r="3842">
      <c r="A3842" s="1">
        <v>5.0</v>
      </c>
      <c r="B3842" s="1" t="s">
        <v>3822</v>
      </c>
      <c r="C3842" t="str">
        <f>IFERROR(__xludf.DUMMYFUNCTION("GOOGLETRANSLATE(B3842, ""es"", ""en"")"),"Great Perfect")</f>
        <v>Great Perfect</v>
      </c>
    </row>
    <row r="3843">
      <c r="A3843" s="1">
        <v>5.0</v>
      </c>
      <c r="B3843" s="1" t="s">
        <v>3823</v>
      </c>
      <c r="C3843" t="str">
        <f>IFERROR(__xludf.DUMMYFUNCTION("GOOGLETRANSLATE(B3843, ""es"", ""en"")"),"Perfect boots very comfortable, ta and as it comes in the picture, I recommend, if you spend X direnos in good shoes, why not use these boots at work if we spend many hours currando?")</f>
        <v>Perfect boots very comfortable, ta and as it comes in the picture, I recommend, if you spend X direnos in good shoes, why not use these boots at work if we spend many hours currando?</v>
      </c>
    </row>
    <row r="3844">
      <c r="A3844" s="1">
        <v>5.0</v>
      </c>
      <c r="B3844" s="1" t="s">
        <v>3824</v>
      </c>
      <c r="C3844" t="str">
        <f>IFERROR(__xludf.DUMMYFUNCTION("GOOGLETRANSLATE(B3844, ""es"", ""en"")"),"My baby are the ones who are the only ones who want my son has accepted")</f>
        <v>My baby are the ones who are the only ones who want my son has accepted</v>
      </c>
    </row>
    <row r="3845">
      <c r="A3845" s="1">
        <v>5.0</v>
      </c>
      <c r="B3845" s="1" t="s">
        <v>3825</v>
      </c>
      <c r="C3845" t="str">
        <f>IFERROR(__xludf.DUMMYFUNCTION("GOOGLETRANSLATE(B3845, ""es"", ""en"")"),"Modern backpack is very cool .... it is great .... enter many school books ..... My son loved .... zippers to look strong and go very well .... and red laces it has on easy tips elnabrir and close. I'm thinking of buying another to exchange another model.")</f>
        <v>Modern backpack is very cool .... it is great .... enter many school books ..... My son loved .... zippers to look strong and go very well .... and red laces it has on easy tips elnabrir and close. I'm thinking of buying another to exchange another model.</v>
      </c>
    </row>
    <row r="3846">
      <c r="A3846" s="1">
        <v>5.0</v>
      </c>
      <c r="B3846" s="1" t="s">
        <v>3826</v>
      </c>
      <c r="C3846" t="str">
        <f>IFERROR(__xludf.DUMMYFUNCTION("GOOGLETRANSLATE(B3846, ""es"", ""en"")"),"I liked it a lot. Great. Is beautiful. I bought it for a gift and you'll love it. It smells of leather and leather. I recommend it, it looks good quality.")</f>
        <v>I liked it a lot. Great. Is beautiful. I bought it for a gift and you'll love it. It smells of leather and leather. I recommend it, it looks good quality.</v>
      </c>
    </row>
    <row r="3847">
      <c r="A3847" s="1">
        <v>5.0</v>
      </c>
      <c r="B3847" s="1" t="s">
        <v>3827</v>
      </c>
      <c r="C3847" t="str">
        <f>IFERROR(__xludf.DUMMYFUNCTION("GOOGLETRANSLATE(B3847, ""es"", ""en"")"),"10 casio Casio .... too many words, good and classic. I love")</f>
        <v>10 casio Casio .... too many words, good and classic. I love</v>
      </c>
    </row>
    <row r="3848">
      <c r="A3848" s="1">
        <v>5.0</v>
      </c>
      <c r="B3848" s="1" t="s">
        <v>3828</v>
      </c>
      <c r="C3848" t="str">
        <f>IFERROR(__xludf.DUMMYFUNCTION("GOOGLETRANSLATE(B3848, ""es"", ""en"")"),"Very good shoes very comfortable")</f>
        <v>Very good shoes very comfortable</v>
      </c>
    </row>
    <row r="3849">
      <c r="A3849" s="1">
        <v>5.0</v>
      </c>
      <c r="B3849" s="1" t="s">
        <v>3829</v>
      </c>
      <c r="C3849" t="str">
        <f>IFERROR(__xludf.DUMMYFUNCTION("GOOGLETRANSLATE(B3849, ""es"", ""en"")"),"Great for all bottles and breast pump We use it every day a couple of times and is the first that does not break with use. It reaches every corner and it seems more hygienic than cleaning sponge. In principle it seems comfortable to clean teats but I bett"&amp;"er grip with a small brush. I recommend it for all dads!")</f>
        <v>Great for all bottles and breast pump We use it every day a couple of times and is the first that does not break with use. It reaches every corner and it seems more hygienic than cleaning sponge. In principle it seems comfortable to clean teats but I better grip with a small brush. I recommend it for all dads!</v>
      </c>
    </row>
    <row r="3850">
      <c r="A3850" s="1">
        <v>5.0</v>
      </c>
      <c r="B3850" s="1" t="s">
        <v>3830</v>
      </c>
      <c r="C3850" t="str">
        <f>IFERROR(__xludf.DUMMYFUNCTION("GOOGLETRANSLATE(B3850, ""es"", ""en"")"),"Good works perfectly, the costs start to learn to handle it but then you can get professional results. It works with Ableton Live")</f>
        <v>Good works perfectly, the costs start to learn to handle it but then you can get professional results. It works with Ableton Live</v>
      </c>
    </row>
    <row r="3851">
      <c r="A3851" s="1">
        <v>5.0</v>
      </c>
      <c r="B3851" s="1" t="s">
        <v>3831</v>
      </c>
      <c r="C3851" t="str">
        <f>IFERROR(__xludf.DUMMYFUNCTION("GOOGLETRANSLATE(B3851, ""es"", ""en"")"),"Perfect buy it again, I love")</f>
        <v>Perfect buy it again, I love</v>
      </c>
    </row>
    <row r="3852">
      <c r="A3852" s="1">
        <v>5.0</v>
      </c>
      <c r="B3852" s="1" t="s">
        <v>3832</v>
      </c>
      <c r="C3852" t="str">
        <f>IFERROR(__xludf.DUMMYFUNCTION("GOOGLETRANSLATE(B3852, ""es"", ""en"")"),"It is very suabe as suabe very nice touch describe in my case. does the job, back pain")</f>
        <v>It is very suabe as suabe very nice touch describe in my case. does the job, back pain</v>
      </c>
    </row>
    <row r="3853">
      <c r="A3853" s="1">
        <v>2.0</v>
      </c>
      <c r="B3853" s="1" t="s">
        <v>3833</v>
      </c>
      <c r="C3853" t="str">
        <f>IFERROR(__xludf.DUMMYFUNCTION("GOOGLETRANSLATE(B3853, ""es"", ""en"")"),"It has major contraindications to consider shipping well as ever. As for the product, I can not comment on their effectiveness, since I bought it for a relative who has rheumatoid arthritis and is specifically contraindicated for people with this disease."&amp;" Also warns use in elderly 55s who can not apply directly to the skin, but they have to put some tissue between the product and skin, for example. a T-shirt.")</f>
        <v>It has major contraindications to consider shipping well as ever. As for the product, I can not comment on their effectiveness, since I bought it for a relative who has rheumatoid arthritis and is specifically contraindicated for people with this disease. Also warns use in elderly 55s who can not apply directly to the skin, but they have to put some tissue between the product and skin, for example. a T-shirt.</v>
      </c>
    </row>
    <row r="3854">
      <c r="A3854" s="1">
        <v>3.0</v>
      </c>
      <c r="B3854" s="1" t="s">
        <v>3834</v>
      </c>
      <c r="C3854" t="str">
        <f>IFERROR(__xludf.DUMMYFUNCTION("GOOGLETRANSLATE(B3854, ""es"", ""en"")"),"Although little resistance is aesthetically beautiful and useful, it looks very edeble and brings folders few sorters (only 5, it notifies the seller) A having so many openings, comes a lot of dirt")</f>
        <v>Although little resistance is aesthetically beautiful and useful, it looks very edeble and brings folders few sorters (only 5, it notifies the seller) A having so many openings, comes a lot of dirt</v>
      </c>
    </row>
    <row r="3855">
      <c r="A3855" s="1">
        <v>3.0</v>
      </c>
      <c r="B3855" s="1" t="s">
        <v>3835</v>
      </c>
      <c r="C3855" t="str">
        <f>IFERROR(__xludf.DUMMYFUNCTION("GOOGLETRANSLATE(B3855, ""es"", ""en"")"),"Not worth Well, for me to understand the screen is small, the steps measures how he wants because it does not distinguish whether you're biking or walking. And heart rate could not say, to not being able to contrast with OTR software is normal.")</f>
        <v>Not worth Well, for me to understand the screen is small, the steps measures how he wants because it does not distinguish whether you're biking or walking. And heart rate could not say, to not being able to contrast with OTR software is normal.</v>
      </c>
    </row>
    <row r="3856">
      <c r="A3856" s="1">
        <v>1.0</v>
      </c>
      <c r="B3856" s="1" t="s">
        <v>3836</v>
      </c>
      <c r="C3856" t="str">
        <f>IFERROR(__xludf.DUMMYFUNCTION("GOOGLETRANSLATE(B3856, ""es"", ""en"")"),"it is not what they sell is skimpy, and not silver, it's junk.")</f>
        <v>it is not what they sell is skimpy, and not silver, it's junk.</v>
      </c>
    </row>
    <row r="3857">
      <c r="A3857" s="1">
        <v>1.0</v>
      </c>
      <c r="B3857" s="1" t="s">
        <v>3837</v>
      </c>
      <c r="C3857" t="str">
        <f>IFERROR(__xludf.DUMMYFUNCTION("GOOGLETRANSLATE(B3857, ""es"", ""en"")"),"Horrible Discomfort is stuck everywhere. I returned")</f>
        <v>Horrible Discomfort is stuck everywhere. I returned</v>
      </c>
    </row>
    <row r="3858">
      <c r="A3858" s="1">
        <v>4.0</v>
      </c>
      <c r="B3858" s="1" t="s">
        <v>3838</v>
      </c>
      <c r="C3858" t="str">
        <f>IFERROR(__xludf.DUMMYFUNCTION("GOOGLETRANSLATE(B3858, ""es"", ""en"")"),"Decent Good product for the price it has. I find it impractical when fixing the components. Get used to it.")</f>
        <v>Decent Good product for the price it has. I find it impractical when fixing the components. Get used to it.</v>
      </c>
    </row>
    <row r="3859">
      <c r="A3859" s="1">
        <v>4.0</v>
      </c>
      <c r="B3859" s="1" t="s">
        <v>3839</v>
      </c>
      <c r="C3859" t="str">
        <f>IFERROR(__xludf.DUMMYFUNCTION("GOOGLETRANSLATE(B3859, ""es"", ""en"")"),"It works properly and is pretty Until now works correctly. I like the lights you have and your appearance in general. Happy with purchase. I did not know whether to buy this or small and now I think I did well because the other should stay very fair.")</f>
        <v>It works properly and is pretty Until now works correctly. I like the lights you have and your appearance in general. Happy with purchase. I did not know whether to buy this or small and now I think I did well because the other should stay very fair.</v>
      </c>
    </row>
    <row r="3860">
      <c r="A3860" s="1">
        <v>4.0</v>
      </c>
      <c r="B3860" s="1" t="s">
        <v>3840</v>
      </c>
      <c r="C3860" t="str">
        <f>IFERROR(__xludf.DUMMYFUNCTION("GOOGLETRANSLATE(B3860, ""es"", ""en"")"),"Perfect for the job suits me very well for the job, it is comfortable and above all quality perfect price! :)")</f>
        <v>Perfect for the job suits me very well for the job, it is comfortable and above all quality perfect price! :)</v>
      </c>
    </row>
    <row r="3861">
      <c r="A3861" s="1">
        <v>4.0</v>
      </c>
      <c r="B3861" s="1" t="s">
        <v>3841</v>
      </c>
      <c r="C3861" t="str">
        <f>IFERROR(__xludf.DUMMYFUNCTION("GOOGLETRANSLATE(B3861, ""es"", ""en"")"),"Nice, although somewhat small for man. Very happy with the quality of the article, although the size is somewhat smaller than I expected, and is perhaps a little small on the wrist of a man, but that's a matter of taste.")</f>
        <v>Nice, although somewhat small for man. Very happy with the quality of the article, although the size is somewhat smaller than I expected, and is perhaps a little small on the wrist of a man, but that's a matter of taste.</v>
      </c>
    </row>
    <row r="3862">
      <c r="A3862" s="1">
        <v>4.0</v>
      </c>
      <c r="B3862" s="1" t="s">
        <v>3842</v>
      </c>
      <c r="C3862" t="str">
        <f>IFERROR(__xludf.DUMMYFUNCTION("GOOGLETRANSLATE(B3862, ""es"", ""en"")"),"Good size a bit fair, acceptable quality. Maybe they should be more explicit with sizes because although I normally use 44 is very fair.")</f>
        <v>Good size a bit fair, acceptable quality. Maybe they should be more explicit with sizes because although I normally use 44 is very fair.</v>
      </c>
    </row>
    <row r="3863">
      <c r="A3863" s="1">
        <v>5.0</v>
      </c>
      <c r="B3863" s="1" t="s">
        <v>3843</v>
      </c>
      <c r="C3863" t="str">
        <f>IFERROR(__xludf.DUMMYFUNCTION("GOOGLETRANSLATE(B3863, ""es"", ""en"")"),"Very nice shoes color and high quality, as expected from Merrell I always ask for a size of more and me is perfect.")</f>
        <v>Very nice shoes color and high quality, as expected from Merrell I always ask for a size of more and me is perfect.</v>
      </c>
    </row>
    <row r="3864">
      <c r="A3864" s="1">
        <v>5.0</v>
      </c>
      <c r="B3864" s="1" t="s">
        <v>3844</v>
      </c>
      <c r="C3864" t="str">
        <f>IFERROR(__xludf.DUMMYFUNCTION("GOOGLETRANSLATE(B3864, ""es"", ""en"")"),"Very Good No can be more beautiful and elegant. If you are looking for a watch to wear, this is ideal. It arrived perfectly and in good condition.")</f>
        <v>Very Good No can be more beautiful and elegant. If you are looking for a watch to wear, this is ideal. It arrived perfectly and in good condition.</v>
      </c>
    </row>
    <row r="3865">
      <c r="A3865" s="1">
        <v>5.0</v>
      </c>
      <c r="B3865" s="1" t="s">
        <v>3845</v>
      </c>
      <c r="C3865" t="str">
        <f>IFERROR(__xludf.DUMMYFUNCTION("GOOGLETRANSLATE(B3865, ""es"", ""en"")"),"Quality gift for my mother. She is very happy. purees does very well. We have not done a lot of things yet. But is quality material. And the suction cups hold the great")</f>
        <v>Quality gift for my mother. She is very happy. purees does very well. We have not done a lot of things yet. But is quality material. And the suction cups hold the great</v>
      </c>
    </row>
    <row r="3866">
      <c r="A3866" s="1">
        <v>5.0</v>
      </c>
      <c r="B3866" s="1" t="s">
        <v>3846</v>
      </c>
      <c r="C3866" t="str">
        <f>IFERROR(__xludf.DUMMYFUNCTION("GOOGLETRANSLATE(B3866, ""es"", ""en"")"),"Very nice Looks good")</f>
        <v>Very nice Looks good</v>
      </c>
    </row>
    <row r="3867">
      <c r="A3867" s="1">
        <v>5.0</v>
      </c>
      <c r="B3867" s="1" t="s">
        <v>3847</v>
      </c>
      <c r="C3867" t="str">
        <f>IFERROR(__xludf.DUMMYFUNCTION("GOOGLETRANSLATE(B3867, ""es"", ""en"")"),"Best Work clogs to work in the health sector and clogs are the best I've had, which is saying a lot because I've had many. It is already the third pair I buy and I'm completely satisfied. The only downside is that eventually the sole wears out and can sli"&amp;"p on some wet floors.")</f>
        <v>Best Work clogs to work in the health sector and clogs are the best I've had, which is saying a lot because I've had many. It is already the third pair I buy and I'm completely satisfied. The only downside is that eventually the sole wears out and can slip on some wet floors.</v>
      </c>
    </row>
    <row r="3868">
      <c r="A3868" s="1">
        <v>5.0</v>
      </c>
      <c r="B3868" s="1" t="s">
        <v>3848</v>
      </c>
      <c r="C3868" t="str">
        <f>IFERROR(__xludf.DUMMYFUNCTION("GOOGLETRANSLATE(B3868, ""es"", ""en"")"),"Torn pieces to liquefy when food perfect size for all the family, there are no lumps when making smoothies, ideal for baby food for little kids")</f>
        <v>Torn pieces to liquefy when food perfect size for all the family, there are no lumps when making smoothies, ideal for baby food for little kids</v>
      </c>
    </row>
    <row r="3869">
      <c r="A3869" s="1">
        <v>5.0</v>
      </c>
      <c r="B3869" s="1" t="s">
        <v>3849</v>
      </c>
      <c r="C3869" t="str">
        <f>IFERROR(__xludf.DUMMYFUNCTION("GOOGLETRANSLATE(B3869, ""es"", ""en"")"),"Expectations covered was a reglao")</f>
        <v>Expectations covered was a reglao</v>
      </c>
    </row>
    <row r="3870">
      <c r="A3870" s="1">
        <v>5.0</v>
      </c>
      <c r="B3870" s="1" t="s">
        <v>3850</v>
      </c>
      <c r="C3870" t="str">
        <f>IFERROR(__xludf.DUMMYFUNCTION("GOOGLETRANSLATE(B3870, ""es"", ""en"")"),"Ótimo Muito prático")</f>
        <v>Ótimo Muito prático</v>
      </c>
    </row>
    <row r="3871">
      <c r="A3871" s="1">
        <v>5.0</v>
      </c>
      <c r="B3871" s="1" t="s">
        <v>3851</v>
      </c>
      <c r="C3871" t="str">
        <f>IFERROR(__xludf.DUMMYFUNCTION("GOOGLETRANSLATE(B3871, ""es"", ""en"")"),"Great great invention for those who do not have an amplifier hand, I would like to have access to PC but the price is more than enough.")</f>
        <v>Great great invention for those who do not have an amplifier hand, I would like to have access to PC but the price is more than enough.</v>
      </c>
    </row>
    <row r="3872">
      <c r="A3872" s="1">
        <v>5.0</v>
      </c>
      <c r="B3872" s="1" t="s">
        <v>3852</v>
      </c>
      <c r="C3872" t="str">
        <f>IFERROR(__xludf.DUMMYFUNCTION("GOOGLETRANSLATE(B3872, ""es"", ""en"")"),"Pediatrician recommended me for colic. By far the best I've tasted, bálvula avoids that air.")</f>
        <v>Pediatrician recommended me for colic. By far the best I've tasted, bálvula avoids that air.</v>
      </c>
    </row>
    <row r="3873">
      <c r="A3873" s="1">
        <v>5.0</v>
      </c>
      <c r="B3873" s="1" t="s">
        <v>3853</v>
      </c>
      <c r="C3873" t="str">
        <f>IFERROR(__xludf.DUMMYFUNCTION("GOOGLETRANSLATE(B3873, ""es"", ""en"")"),"Good expansion for PS4 I've purchased to expand the disc PS4 and have not had any problems. It seems that the games load a little faster but there is not much difference")</f>
        <v>Good expansion for PS4 I've purchased to expand the disc PS4 and have not had any problems. It seems that the games load a little faster but there is not much difference</v>
      </c>
    </row>
    <row r="3874">
      <c r="A3874" s="1">
        <v>5.0</v>
      </c>
      <c r="B3874" s="1" t="s">
        <v>3854</v>
      </c>
      <c r="C3874" t="str">
        <f>IFERROR(__xludf.DUMMYFUNCTION("GOOGLETRANSLATE(B3874, ""es"", ""en"")"),"My favorite Who does not know the brand Crocs, clogs són excellent, very comfortable, years ago and I repeat that I use when I need them. Very good price on promotion. I recommend it.")</f>
        <v>My favorite Who does not know the brand Crocs, clogs són excellent, very comfortable, years ago and I repeat that I use when I need them. Very good price on promotion. I recommend it.</v>
      </c>
    </row>
    <row r="3875">
      <c r="A3875" s="1">
        <v>5.0</v>
      </c>
      <c r="B3875" s="1" t="s">
        <v>3855</v>
      </c>
      <c r="C3875" t="str">
        <f>IFERROR(__xludf.DUMMYFUNCTION("GOOGLETRANSLATE(B3875, ""es"", ""en"")"),"Perfect for a child Good watch with alarm, stopwatch, countdown, etc.")</f>
        <v>Perfect for a child Good watch with alarm, stopwatch, countdown, etc.</v>
      </c>
    </row>
    <row r="3876">
      <c r="A3876" s="1">
        <v>5.0</v>
      </c>
      <c r="B3876" s="1" t="s">
        <v>3856</v>
      </c>
      <c r="C3876" t="str">
        <f>IFERROR(__xludf.DUMMYFUNCTION("GOOGLETRANSLATE(B3876, ""es"", ""en"")"),"Silent is quiet enough not to disturb anyone in the house who is sleeping. I buy it because I get up very early and I like to make juice every morning, so it's perfect because it does not bother, those who sleep do not hear, nor being at the side of the k"&amp;"itchen. It is easy to clean, only three pieces and easy to put on.")</f>
        <v>Silent is quiet enough not to disturb anyone in the house who is sleeping. I buy it because I get up very early and I like to make juice every morning, so it's perfect because it does not bother, those who sleep do not hear, nor being at the side of the kitchen. It is easy to clean, only three pieces and easy to put on.</v>
      </c>
    </row>
    <row r="3877">
      <c r="A3877" s="1">
        <v>5.0</v>
      </c>
      <c r="B3877" s="1" t="s">
        <v>3857</v>
      </c>
      <c r="C3877" t="str">
        <f>IFERROR(__xludf.DUMMYFUNCTION("GOOGLETRANSLATE(B3877, ""es"", ""en"")"),"Cleats quality. If you're tired of pulling staples or remaining medium-stapled comprate these, ranging from luxury Stapler Esselte Leitz 55020095 is a cucumber and so far I have not thrown or over and all staples luxury van and few things will since they "&amp;"can withstand large thicknesses of paper clip.")</f>
        <v>Cleats quality. If you're tired of pulling staples or remaining medium-stapled comprate these, ranging from luxury Stapler Esselte Leitz 55020095 is a cucumber and so far I have not thrown or over and all staples luxury van and few things will since they can withstand large thicknesses of paper clip.</v>
      </c>
    </row>
    <row r="3878">
      <c r="A3878" s="1">
        <v>5.0</v>
      </c>
      <c r="B3878" s="1" t="s">
        <v>3858</v>
      </c>
      <c r="C3878" t="str">
        <f>IFERROR(__xludf.DUMMYFUNCTION("GOOGLETRANSLATE(B3878, ""es"", ""en"")"),"Buy Perfect Perfect in size. Vans are, so if you know you know its quality. They are very good.")</f>
        <v>Buy Perfect Perfect in size. Vans are, so if you know you know its quality. They are very good.</v>
      </c>
    </row>
    <row r="3879">
      <c r="A3879" s="1">
        <v>5.0</v>
      </c>
      <c r="B3879" s="1" t="s">
        <v>3859</v>
      </c>
      <c r="C3879" t="str">
        <f>IFERROR(__xludf.DUMMYFUNCTION("GOOGLETRANSLATE(B3879, ""es"", ""en"")"),"Braun blender good, as always brand blenders lifetime. Very complete with glass picador, the boat, the rods and foot blades.")</f>
        <v>Braun blender good, as always brand blenders lifetime. Very complete with glass picador, the boat, the rods and foot blades.</v>
      </c>
    </row>
    <row r="3880">
      <c r="A3880" s="1">
        <v>5.0</v>
      </c>
      <c r="B3880" s="1" t="s">
        <v>3860</v>
      </c>
      <c r="C3880" t="str">
        <f>IFERROR(__xludf.DUMMYFUNCTION("GOOGLETRANSLATE(B3880, ""es"", ""en"")"),"Fast shipping perfect, 3 pairs of ball earrings of different sizes. 925 silver.")</f>
        <v>Fast shipping perfect, 3 pairs of ball earrings of different sizes. 925 silver.</v>
      </c>
    </row>
    <row r="3881">
      <c r="A3881" s="1">
        <v>5.0</v>
      </c>
      <c r="B3881" s="1" t="s">
        <v>3861</v>
      </c>
      <c r="C3881" t="str">
        <f>IFERROR(__xludf.DUMMYFUNCTION("GOOGLETRANSLATE(B3881, ""es"", ""en"")"),"Perfect little comfortable, lightweight and very comfortable to wear engagement on the key fob.")</f>
        <v>Perfect little comfortable, lightweight and very comfortable to wear engagement on the key fob.</v>
      </c>
    </row>
    <row r="3882">
      <c r="A3882" s="1">
        <v>2.0</v>
      </c>
      <c r="B3882" s="1" t="s">
        <v>3862</v>
      </c>
      <c r="C3882" t="str">
        <f>IFERROR(__xludf.DUMMYFUNCTION("GOOGLETRANSLATE(B3882, ""es"", ""en"")"),"The hands are not Luminescent The watch arrived on time and in good condition and packaging, the watch has a size of 34mm circle clear plastic, about 40 mm in total diameter. In short, a simple clock, good size and lasting hope ... we'll see, ideal as clo"&amp;"ck battle. For me the big drawback is that the hands are not Luminescent, go at night you can not wait.")</f>
        <v>The hands are not Luminescent The watch arrived on time and in good condition and packaging, the watch has a size of 34mm circle clear plastic, about 40 mm in total diameter. In short, a simple clock, good size and lasting hope ... we'll see, ideal as clock battle. For me the big drawback is that the hands are not Luminescent, go at night you can not wait.</v>
      </c>
    </row>
    <row r="3883">
      <c r="A3883" s="1">
        <v>3.0</v>
      </c>
      <c r="B3883" s="1" t="s">
        <v>3863</v>
      </c>
      <c r="C3883" t="str">
        <f>IFERROR(__xludf.DUMMYFUNCTION("GOOGLETRANSLATE(B3883, ""es"", ""en"")"),"Delivers what it claims to be. Subject very well My Band 3 is not difficult to assemble and disassemble and watch strap type can wear it and take it off easily. But for some reason just let transmit vibration to the wrist preventing know when you have a n"&amp;"otification, which limits most useful I've searched with My Band. It could be manufactured by metal.")</f>
        <v>Delivers what it claims to be. Subject very well My Band 3 is not difficult to assemble and disassemble and watch strap type can wear it and take it off easily. But for some reason just let transmit vibration to the wrist preventing know when you have a notification, which limits most useful I've searched with My Band. It could be manufactured by metal.</v>
      </c>
    </row>
    <row r="3884">
      <c r="A3884" s="1">
        <v>1.0</v>
      </c>
      <c r="B3884" s="1" t="s">
        <v>3864</v>
      </c>
      <c r="C3884" t="str">
        <f>IFERROR(__xludf.DUMMYFUNCTION("GOOGLETRANSLATE(B3884, ""es"", ""en"")"),"I do not recommend anything disappointment. Most detached and photos can not be put right. So it's nice out, that failure is great.")</f>
        <v>I do not recommend anything disappointment. Most detached and photos can not be put right. So it's nice out, that failure is great.</v>
      </c>
    </row>
    <row r="3885">
      <c r="A3885" s="1">
        <v>1.0</v>
      </c>
      <c r="B3885" s="1" t="s">
        <v>3865</v>
      </c>
      <c r="C3885" t="str">
        <f>IFERROR(__xludf.DUMMYFUNCTION("GOOGLETRANSLATE(B3885, ""es"", ""en"")"),"Poor quality poor quality. I could not return")</f>
        <v>Poor quality poor quality. I could not return</v>
      </c>
    </row>
    <row r="3886">
      <c r="A3886" s="1">
        <v>1.0</v>
      </c>
      <c r="B3886" s="1" t="s">
        <v>3866</v>
      </c>
      <c r="C3886" t="str">
        <f>IFERROR(__xludf.DUMMYFUNCTION("GOOGLETRANSLATE(B3886, ""es"", ""en"")"),"Headphones come as original but nothing to do with the original micro the person who hears you hears you like you're on a street with a lot of noise and traffic")</f>
        <v>Headphones come as original but nothing to do with the original micro the person who hears you hears you like you're on a street with a lot of noise and traffic</v>
      </c>
    </row>
    <row r="3887">
      <c r="A3887" s="1">
        <v>4.0</v>
      </c>
      <c r="B3887" s="1" t="s">
        <v>3867</v>
      </c>
      <c r="C3887" t="str">
        <f>IFERROR(__xludf.DUMMYFUNCTION("GOOGLETRANSLATE(B3887, ""es"", ""en"")"),"Very good is a brush with hard bristles and is fine, but for what I wanted me not much, which is in the crack in the bath screen, the bristles fall short. But it is very good")</f>
        <v>Very good is a brush with hard bristles and is fine, but for what I wanted me not much, which is in the crack in the bath screen, the bristles fall short. But it is very good</v>
      </c>
    </row>
    <row r="3888">
      <c r="A3888" s="1">
        <v>4.0</v>
      </c>
      <c r="B3888" s="1" t="s">
        <v>3868</v>
      </c>
      <c r="C3888" t="str">
        <f>IFERROR(__xludf.DUMMYFUNCTION("GOOGLETRANSLATE(B3888, ""es"", ""en"")"),"Very good shoe I've just one day with these boots, but they are very good. The pedi a smaller number, use Pedi 42 and 41, following the comments and have successful, you still are a little big ... I am not if you had to have asked for 40, but I put some t"&amp;"emplates and are much better. The only ship in one day so perfect q !!! I hope withstand much .. :)")</f>
        <v>Very good shoe I've just one day with these boots, but they are very good. The pedi a smaller number, use Pedi 42 and 41, following the comments and have successful, you still are a little big ... I am not if you had to have asked for 40, but I put some templates and are much better. The only ship in one day so perfect q !!! I hope withstand much .. :)</v>
      </c>
    </row>
    <row r="3889">
      <c r="A3889" s="1">
        <v>4.0</v>
      </c>
      <c r="B3889" s="1" t="s">
        <v>3869</v>
      </c>
      <c r="C3889" t="str">
        <f>IFERROR(__xludf.DUMMYFUNCTION("GOOGLETRANSLATE(B3889, ""es"", ""en"")"),"Blender was delighted with this product but broke my battery and can not replace it, I'll have to buy the entire apparatus. If it is vetoed that I used a lot but less than a year buy it, do not know if it was bad luck or poor quality .... I still think I'"&amp;"ll give it another try and remove as it was very happy and I it seems extremely comfortable to use.")</f>
        <v>Blender was delighted with this product but broke my battery and can not replace it, I'll have to buy the entire apparatus. If it is vetoed that I used a lot but less than a year buy it, do not know if it was bad luck or poor quality .... I still think I'll give it another try and remove as it was very happy and I it seems extremely comfortable to use.</v>
      </c>
    </row>
    <row r="3890">
      <c r="A3890" s="1">
        <v>4.0</v>
      </c>
      <c r="B3890" s="1" t="s">
        <v>3870</v>
      </c>
      <c r="C3890" t="str">
        <f>IFERROR(__xludf.DUMMYFUNCTION("GOOGLETRANSLATE(B3890, ""es"", ""en"")"),"The magnificent clock watch I liked more than I expected when I made the order. I thought it was completely black but has a blue portion around the sphere that looks good. The size is perfect, neither too large nor pequeño.Lo I have not tried is still the"&amp;" tides, but the phenomenal works including loading rest with the sun. I recommend it")</f>
        <v>The magnificent clock watch I liked more than I expected when I made the order. I thought it was completely black but has a blue portion around the sphere that looks good. The size is perfect, neither too large nor pequeño.Lo I have not tried is still the tides, but the phenomenal works including loading rest with the sun. I recommend it</v>
      </c>
    </row>
    <row r="3891">
      <c r="A3891" s="1">
        <v>4.0</v>
      </c>
      <c r="B3891" s="1" t="s">
        <v>3871</v>
      </c>
      <c r="C3891" t="str">
        <f>IFERROR(__xludf.DUMMYFUNCTION("GOOGLETRANSLATE(B3891, ""es"", ""en"")"),"It is functional does not engage me well")</f>
        <v>It is functional does not engage me well</v>
      </c>
    </row>
    <row r="3892">
      <c r="A3892" s="1">
        <v>5.0</v>
      </c>
      <c r="B3892" s="1" t="s">
        <v>3872</v>
      </c>
      <c r="C3892" t="str">
        <f>IFERROR(__xludf.DUMMYFUNCTION("GOOGLETRANSLATE(B3892, ""es"", ""en"")"),"Fulfills its purpose After having tried several similar headphones, these have been those that have come closest to what I wanted, mainly ergonomics and clamping element to the ear that is critical from my point of view for sports. I recommend it. The onl"&amp;"y negative point is that the battery is fully discharged even if the display indicator that is half (takes about 6-7 hours) and distance mobile has to be close as 2 meters and lost the connection.")</f>
        <v>Fulfills its purpose After having tried several similar headphones, these have been those that have come closest to what I wanted, mainly ergonomics and clamping element to the ear that is critical from my point of view for sports. I recommend it. The only negative point is that the battery is fully discharged even if the display indicator that is half (takes about 6-7 hours) and distance mobile has to be close as 2 meters and lost the connection.</v>
      </c>
    </row>
    <row r="3893">
      <c r="A3893" s="1">
        <v>5.0</v>
      </c>
      <c r="B3893" s="1" t="s">
        <v>3873</v>
      </c>
      <c r="C3893" t="str">
        <f>IFERROR(__xludf.DUMMYFUNCTION("GOOGLETRANSLATE(B3893, ""es"", ""en"")"),"Very pretty original different forms are a perfect complement to my unique keychains.")</f>
        <v>Very pretty original different forms are a perfect complement to my unique keychains.</v>
      </c>
    </row>
    <row r="3894">
      <c r="A3894" s="1">
        <v>5.0</v>
      </c>
      <c r="B3894" s="1" t="s">
        <v>3874</v>
      </c>
      <c r="C3894" t="str">
        <f>IFERROR(__xludf.DUMMYFUNCTION("GOOGLETRANSLATE(B3894, ""es"", ""en"")"),"It's very nice very nice. Although it should be a little careful with the corners because they break")</f>
        <v>It's very nice very nice. Although it should be a little careful with the corners because they break</v>
      </c>
    </row>
    <row r="3895">
      <c r="A3895" s="1">
        <v>5.0</v>
      </c>
      <c r="B3895" s="1" t="s">
        <v>3875</v>
      </c>
      <c r="C3895" t="str">
        <f>IFERROR(__xludf.DUMMYFUNCTION("GOOGLETRANSLATE(B3895, ""es"", ""en"")"),"Nike I look good is just the size that calzo and slippers came in perfect condition, Teni sun hurts me right on top of the foot .....")</f>
        <v>Nike I look good is just the size that calzo and slippers came in perfect condition, Teni sun hurts me right on top of the foot .....</v>
      </c>
    </row>
    <row r="3896">
      <c r="A3896" s="1">
        <v>5.0</v>
      </c>
      <c r="B3896" s="1" t="s">
        <v>3876</v>
      </c>
      <c r="C3896" t="str">
        <f>IFERROR(__xludf.DUMMYFUNCTION("GOOGLETRANSLATE(B3896, ""es"", ""en"")"),"Beautiful is beautiful, I've given to my mother for her birthday and is delighted.")</f>
        <v>Beautiful is beautiful, I've given to my mother for her birthday and is delighted.</v>
      </c>
    </row>
    <row r="3897">
      <c r="A3897" s="1">
        <v>5.0</v>
      </c>
      <c r="B3897" s="1" t="s">
        <v>3877</v>
      </c>
      <c r="C3897" t="str">
        <f>IFERROR(__xludf.DUMMYFUNCTION("GOOGLETRANSLATE(B3897, ""es"", ""en"")"),"Worth every euro spent ... no buts. Worth every euro that I have spent on them, good no, this ... While running do not have much worth because trotting and breathe all the time with his mouth open I closed the pinna and just hear music, I'm botched what w"&amp;"e do ... on the other hand use out of this case it was a luxurious experience that sound great, can not say, the bass is deep and treble very clear, yes, I am using a software my Smartphone to listen to music freak. By the way, the pairing did the first, "&amp;"with no complications at all. Another point is that insulate well from outside noise, and on the subway or in the bustle of the street is not heard nothing at bottom, not transmission short, no click or rare ostias heard, just a clean sound. Another flipa"&amp;"da is autonomy, a ridiculous hours in both hulls and the box save where by the way we see the remaining charge approximate percentage terms, this in principle was what I did decantarme for helmets but then you realize you also get marks in the same smartp"&amp;"hone. Ah! You can use the box as a power bank is fine but it is not something to be used but if you ever roll you stay as well ... I do not know what else to say that you can not read, sweat and enduring all that's true and they are also comfortable becau"&amp;"se they do not weigh anything. Anyway ... Delighted with purchase, chin-pom !!!")</f>
        <v>Worth every euro spent ... no buts. Worth every euro that I have spent on them, good no, this ... While running do not have much worth because trotting and breathe all the time with his mouth open I closed the pinna and just hear music, I'm botched what we do ... on the other hand use out of this case it was a luxurious experience that sound great, can not say, the bass is deep and treble very clear, yes, I am using a software my Smartphone to listen to music freak. By the way, the pairing did the first, with no complications at all. Another point is that insulate well from outside noise, and on the subway or in the bustle of the street is not heard nothing at bottom, not transmission short, no click or rare ostias heard, just a clean sound. Another flipada is autonomy, a ridiculous hours in both hulls and the box save where by the way we see the remaining charge approximate percentage terms, this in principle was what I did decantarme for helmets but then you realize you also get marks in the same smartphone. Ah! You can use the box as a power bank is fine but it is not something to be used but if you ever roll you stay as well ... I do not know what else to say that you can not read, sweat and enduring all that's true and they are also comfortable because they do not weigh anything. Anyway ... Delighted with purchase, chin-pom !!!</v>
      </c>
    </row>
    <row r="3898">
      <c r="A3898" s="1">
        <v>5.0</v>
      </c>
      <c r="B3898" s="1" t="s">
        <v>3878</v>
      </c>
      <c r="C3898" t="str">
        <f>IFERROR(__xludf.DUMMYFUNCTION("GOOGLETRANSLATE(B3898, ""es"", ""en"")"),"Beautiful, strong and precise, I love it !! The clock is beautiful, wonderful ... and it works Fabula. I have a few days with wrist without take it off even to sleep, and it is going to the millimeter, great. In my wrist is 19cm of scandal, and very color"&amp;"ful ... recommended for people who have a large doll.")</f>
        <v>Beautiful, strong and precise, I love it !! The clock is beautiful, wonderful ... and it works Fabula. I have a few days with wrist without take it off even to sleep, and it is going to the millimeter, great. In my wrist is 19cm of scandal, and very colorful ... recommended for people who have a large doll.</v>
      </c>
    </row>
    <row r="3899">
      <c r="A3899" s="1">
        <v>5.0</v>
      </c>
      <c r="B3899" s="1" t="s">
        <v>3879</v>
      </c>
      <c r="C3899" t="str">
        <f>IFERROR(__xludf.DUMMYFUNCTION("GOOGLETRANSLATE(B3899, ""es"", ""en"")"),"Very comfortable Ideal")</f>
        <v>Very comfortable Ideal</v>
      </c>
    </row>
    <row r="3900">
      <c r="A3900" s="1">
        <v>5.0</v>
      </c>
      <c r="B3900" s="1" t="s">
        <v>3880</v>
      </c>
      <c r="C3900" t="str">
        <f>IFERROR(__xludf.DUMMYFUNCTION("GOOGLETRANSLATE(B3900, ""es"", ""en"")"),"Highly recommended!!! Excellent! I use an iPad 3 and Garatge band is fantastic! It is super recommended, unbeatable value for money! With the iPad beats no way, and on a pc with win10 has an almost negligible delay! X plus size lets you play pretty well b"&amp;"ecause 32 is better than 25 keys and is very compact to carry anywhere! Very happy and I recommend it with your eyes closed! Cheers")</f>
        <v>Highly recommended!!! Excellent! I use an iPad 3 and Garatge band is fantastic! It is super recommended, unbeatable value for money! With the iPad beats no way, and on a pc with win10 has an almost negligible delay! X plus size lets you play pretty well because 32 is better than 25 keys and is very compact to carry anywhere! Very happy and I recommend it with your eyes closed! Cheers</v>
      </c>
    </row>
    <row r="3901">
      <c r="A3901" s="1">
        <v>5.0</v>
      </c>
      <c r="B3901" s="1" t="s">
        <v>3881</v>
      </c>
      <c r="C3901" t="str">
        <f>IFERROR(__xludf.DUMMYFUNCTION("GOOGLETRANSLATE(B3901, ""es"", ""en"")"),"Ok Fantastic")</f>
        <v>Ok Fantastic</v>
      </c>
    </row>
    <row r="3902">
      <c r="A3902" s="1">
        <v>5.0</v>
      </c>
      <c r="B3902" s="1" t="s">
        <v>3882</v>
      </c>
      <c r="C3902" t="str">
        <f>IFERROR(__xludf.DUMMYFUNCTION("GOOGLETRANSLATE(B3902, ""es"", ""en"")"),"thumbs up! The heat relieves muscle pain and cervical contractures. It heats up very fast and automatically shuts down if you forget plugged. A flexible be, adapts well to various parts of the body. I not yet washed, and then do not really tell if you can"&amp;" put in the washer as they say.")</f>
        <v>thumbs up! The heat relieves muscle pain and cervical contractures. It heats up very fast and automatically shuts down if you forget plugged. A flexible be, adapts well to various parts of the body. I not yet washed, and then do not really tell if you can put in the washer as they say.</v>
      </c>
    </row>
    <row r="3903">
      <c r="A3903" s="1">
        <v>5.0</v>
      </c>
      <c r="B3903" s="1" t="s">
        <v>3883</v>
      </c>
      <c r="C3903" t="str">
        <f>IFERROR(__xludf.DUMMYFUNCTION("GOOGLETRANSLATE(B3903, ""es"", ""en"")"),"Great great, has a very nice design, not noisy and is divided into three parts the plant is so water does not spill also brings to put timer. I recommend it 100%")</f>
        <v>Great great, has a very nice design, not noisy and is divided into three parts the plant is so water does not spill also brings to put timer. I recommend it 100%</v>
      </c>
    </row>
    <row r="3904">
      <c r="A3904" s="1">
        <v>5.0</v>
      </c>
      <c r="B3904" s="1" t="s">
        <v>3884</v>
      </c>
      <c r="C3904" t="str">
        <f>IFERROR(__xludf.DUMMYFUNCTION("GOOGLETRANSLATE(B3904, ""es"", ""en"")"),"Excellent Very good quality and comfort")</f>
        <v>Excellent Very good quality and comfort</v>
      </c>
    </row>
    <row r="3905">
      <c r="A3905" s="1">
        <v>5.0</v>
      </c>
      <c r="B3905" s="1" t="s">
        <v>3885</v>
      </c>
      <c r="C3905" t="str">
        <f>IFERROR(__xludf.DUMMYFUNCTION("GOOGLETRANSLATE(B3905, ""es"", ""en"")"),"color design and not weight")</f>
        <v>color design and not weight</v>
      </c>
    </row>
    <row r="3906">
      <c r="A3906" s="1">
        <v>5.0</v>
      </c>
      <c r="B3906" s="1" t="s">
        <v>3886</v>
      </c>
      <c r="C3906" t="str">
        <f>IFERROR(__xludf.DUMMYFUNCTION("GOOGLETRANSLATE(B3906, ""es"", ""en"")"),"I enjoyed very cool and d quality. It was for a gift and the person you loved Asique very happy. And the order came to me very quickly and pertinent Pandora bag.")</f>
        <v>I enjoyed very cool and d quality. It was for a gift and the person you loved Asique very happy. And the order came to me very quickly and pertinent Pandora bag.</v>
      </c>
    </row>
    <row r="3907">
      <c r="A3907" s="1">
        <v>5.0</v>
      </c>
      <c r="B3907" s="1" t="s">
        <v>3887</v>
      </c>
      <c r="C3907" t="str">
        <f>IFERROR(__xludf.DUMMYFUNCTION("GOOGLETRANSLATE(B3907, ""es"", ""en"")"),"Recommended 100% everyday at work, I recommend it, weightless and comfortable")</f>
        <v>Recommended 100% everyday at work, I recommend it, weightless and comfortable</v>
      </c>
    </row>
    <row r="3908">
      <c r="A3908" s="1">
        <v>5.0</v>
      </c>
      <c r="B3908" s="1" t="s">
        <v>3888</v>
      </c>
      <c r="C3908" t="str">
        <f>IFERROR(__xludf.DUMMYFUNCTION("GOOGLETRANSLATE(B3908, ""es"", ""en"")"),"Very conductive and durable as always Noctua offers the best and this is no exception, highly conductive thermal paste, consistent and durable.")</f>
        <v>Very conductive and durable as always Noctua offers the best and this is no exception, highly conductive thermal paste, consistent and durable.</v>
      </c>
    </row>
    <row r="3909">
      <c r="A3909" s="1">
        <v>5.0</v>
      </c>
      <c r="B3909" s="1" t="s">
        <v>3889</v>
      </c>
      <c r="C3909" t="str">
        <f>IFERROR(__xludf.DUMMYFUNCTION("GOOGLETRANSLATE(B3909, ""es"", ""en"")"),"Small and compact I was surprised how small they are, both the handset and the transport box are really compact, very easy to carry anywhere. As for connectivity, it is compatible with Android and iPhone and very fast and easy to connect to the first. For"&amp;" sports can be less comfortable than expected for its size, at the least in my case.")</f>
        <v>Small and compact I was surprised how small they are, both the handset and the transport box are really compact, very easy to carry anywhere. As for connectivity, it is compatible with Android and iPhone and very fast and easy to connect to the first. For sports can be less comfortable than expected for its size, at the least in my case.</v>
      </c>
    </row>
    <row r="3910">
      <c r="A3910" s="1">
        <v>5.0</v>
      </c>
      <c r="B3910" s="1" t="s">
        <v>3890</v>
      </c>
      <c r="C3910" t="str">
        <f>IFERROR(__xludf.DUMMYFUNCTION("GOOGLETRANSLATE(B3910, ""es"", ""en"")"),"very good money writing this after buying the handset quite some time. The battery lasts as the first day, the sound quality is still very good, is loaded in a very short time. Connectivity both iOS and Android as well. My wife is the one who uses it says"&amp;" what is delighted and it is very simple to use. I would buy.")</f>
        <v>very good money writing this after buying the handset quite some time. The battery lasts as the first day, the sound quality is still very good, is loaded in a very short time. Connectivity both iOS and Android as well. My wife is the one who uses it says what is delighted and it is very simple to use. I would buy.</v>
      </c>
    </row>
    <row r="3911">
      <c r="A3911" s="1">
        <v>2.0</v>
      </c>
      <c r="B3911" s="1" t="s">
        <v>3891</v>
      </c>
      <c r="C3911" t="str">
        <f>IFERROR(__xludf.DUMMYFUNCTION("GOOGLETRANSLATE(B3911, ""es"", ""en"")"),"Does not adjust well to the micro Blue Yeti I use it with a microphone Blue Yeti and the setting is not stable even though the base is quite robust. It is released by looking at it and detuned too easily.")</f>
        <v>Does not adjust well to the micro Blue Yeti I use it with a microphone Blue Yeti and the setting is not stable even though the base is quite robust. It is released by looking at it and detuned too easily.</v>
      </c>
    </row>
    <row r="3912">
      <c r="A3912" s="1">
        <v>3.0</v>
      </c>
      <c r="B3912" s="1" t="s">
        <v>3892</v>
      </c>
      <c r="C3912" t="str">
        <f>IFERROR(__xludf.DUMMYFUNCTION("GOOGLETRANSLATE(B3912, ""es"", ""en"")"),"Marks have been used This article has spots and all the signs of having been used before when I had bought it new.")</f>
        <v>Marks have been used This article has spots and all the signs of having been used before when I had bought it new.</v>
      </c>
    </row>
    <row r="3913">
      <c r="A3913" s="1">
        <v>3.0</v>
      </c>
      <c r="B3913" s="1" t="s">
        <v>3893</v>
      </c>
      <c r="C3913" t="str">
        <f>IFERROR(__xludf.DUMMYFUNCTION("GOOGLETRANSLATE(B3913, ""es"", ""en"")"),"Disappointing Buy the product because it had already used this brand before but lumbar worst now I've noticed is that it takes too long to heat up and if this is added the fact that peels off both edges that is a total disappointment, shipping was very fa"&amp;"st insist feedback is for the product is not the seller.")</f>
        <v>Disappointing Buy the product because it had already used this brand before but lumbar worst now I've noticed is that it takes too long to heat up and if this is added the fact that peels off both edges that is a total disappointment, shipping was very fast insist feedback is for the product is not the seller.</v>
      </c>
    </row>
    <row r="3914">
      <c r="A3914" s="1">
        <v>3.0</v>
      </c>
      <c r="B3914" s="1" t="s">
        <v>3894</v>
      </c>
      <c r="C3914" t="str">
        <f>IFERROR(__xludf.DUMMYFUNCTION("GOOGLETRANSLATE(B3914, ""es"", ""en"")"),"Great is too large")</f>
        <v>Great is too large</v>
      </c>
    </row>
    <row r="3915">
      <c r="A3915" s="1">
        <v>1.0</v>
      </c>
      <c r="B3915" s="1" t="s">
        <v>3895</v>
      </c>
      <c r="C3915" t="str">
        <f>IFERROR(__xludf.DUMMYFUNCTION("GOOGLETRANSLATE(B3915, ""es"", ""en"")"),"It did not help me From the first moment, about every 10 to 15 minutes, the system stops responding for more than 10 seconds. In addition, the restart appear increasingly new disk errors that prevent booting the system until they are corrected with a disc"&amp;" external start. I relocated the old disk and works perfectly proceed to its return")</f>
        <v>It did not help me From the first moment, about every 10 to 15 minutes, the system stops responding for more than 10 seconds. In addition, the restart appear increasingly new disk errors that prevent booting the system until they are corrected with a disc external start. I relocated the old disk and works perfectly proceed to its return</v>
      </c>
    </row>
    <row r="3916">
      <c r="A3916" s="1">
        <v>1.0</v>
      </c>
      <c r="B3916" s="1" t="s">
        <v>3896</v>
      </c>
      <c r="C3916" t="str">
        <f>IFERROR(__xludf.DUMMYFUNCTION("GOOGLETRANSLATE(B3916, ""es"", ""en"")"),"Recording very bad warm, as mobile handsets. It is of very low quality. There are microphones that cost the same (although only comes you micro) worth much more worthwhile. I have not returned by the arm, filter and subject, but the micro is lousy. Just b"&amp;"ought another because the better you record with the same mobile.")</f>
        <v>Recording very bad warm, as mobile handsets. It is of very low quality. There are microphones that cost the same (although only comes you micro) worth much more worthwhile. I have not returned by the arm, filter and subject, but the micro is lousy. Just bought another because the better you record with the same mobile.</v>
      </c>
    </row>
    <row r="3917">
      <c r="A3917" s="1">
        <v>4.0</v>
      </c>
      <c r="B3917" s="1" t="s">
        <v>3897</v>
      </c>
      <c r="C3917" t="str">
        <f>IFERROR(__xludf.DUMMYFUNCTION("GOOGLETRANSLATE(B3917, ""es"", ""en"")"),"beautiful Perfect")</f>
        <v>beautiful Perfect</v>
      </c>
    </row>
    <row r="3918">
      <c r="A3918" s="1">
        <v>4.0</v>
      </c>
      <c r="B3918" s="1" t="s">
        <v>3898</v>
      </c>
      <c r="C3918" t="str">
        <f>IFERROR(__xludf.DUMMYFUNCTION("GOOGLETRANSLATE(B3918, ""es"", ""en"")"),"No problem I bought the pack of 10 bottles of 8GB. Han arrived quickly and well packaged. I did not trust me as much, I tried ten on the computer: it costs to introduce them, recognize them all, and all I could get some image and open it without problem. "&amp;"Capacity at all is correct: 8GB and a little more even. They are for use later and deliver jobs to customers, so if one fails check my comment! I recommend itself the moment.")</f>
        <v>No problem I bought the pack of 10 bottles of 8GB. Han arrived quickly and well packaged. I did not trust me as much, I tried ten on the computer: it costs to introduce them, recognize them all, and all I could get some image and open it without problem. Capacity at all is correct: 8GB and a little more even. They are for use later and deliver jobs to customers, so if one fails check my comment! I recommend itself the moment.</v>
      </c>
    </row>
    <row r="3919">
      <c r="A3919" s="1">
        <v>4.0</v>
      </c>
      <c r="B3919" s="1" t="s">
        <v>3899</v>
      </c>
      <c r="C3919" t="str">
        <f>IFERROR(__xludf.DUMMYFUNCTION("GOOGLETRANSLATE(B3919, ""es"", ""en"")"),"Buenos pants and good price Use these pants to play paddle tennis, I like and are good quality. The only but is having excessively large pockets, anything you throw at them, the second step you and completely stands under pants.")</f>
        <v>Buenos pants and good price Use these pants to play paddle tennis, I like and are good quality. The only but is having excessively large pockets, anything you throw at them, the second step you and completely stands under pants.</v>
      </c>
    </row>
    <row r="3920">
      <c r="A3920" s="1">
        <v>4.0</v>
      </c>
      <c r="B3920" s="1" t="s">
        <v>3900</v>
      </c>
      <c r="C3920" t="str">
        <f>IFERROR(__xludf.DUMMYFUNCTION("GOOGLETRANSLATE(B3920, ""es"", ""en"")"),"Very good smell The aroma is very good")</f>
        <v>Very good smell The aroma is very good</v>
      </c>
    </row>
    <row r="3921">
      <c r="A3921" s="1">
        <v>5.0</v>
      </c>
      <c r="B3921" s="1" t="s">
        <v>3901</v>
      </c>
      <c r="C3921" t="str">
        <f>IFERROR(__xludf.DUMMYFUNCTION("GOOGLETRANSLATE(B3921, ""es"", ""en"")"),"I hold the handle and pleasant feel when pressed well.")</f>
        <v>I hold the handle and pleasant feel when pressed well.</v>
      </c>
    </row>
    <row r="3922">
      <c r="A3922" s="1">
        <v>5.0</v>
      </c>
      <c r="B3922" s="1" t="s">
        <v>3902</v>
      </c>
      <c r="C3922" t="str">
        <f>IFERROR(__xludf.DUMMYFUNCTION("GOOGLETRANSLATE(B3922, ""es"", ""en"")"),"Very happy with this purchase # - # Our interest in buying the product # - # wanted to buy a shoulder bag to keep all documents and my iPad that I always have to work, and after searching for Amazon I decided on this shoulder thanks to its design (as I li"&amp;"ke a lot) and its price. # - # good points product # - # - 90% of the material of the shoulder is fabric (very strong). - It has enough space, but can not be seen in the photos safe (iPad Air). - Several zippered compartments and some pockets. - adjustabl"&amp;"e strap. # - # bad or not so good for the product Points # - # - Zippers could be of higher quality. # - # Conclusion # - # - A shoulder nice, cheap and good quality. Very satisfied with this purchase.")</f>
        <v>Very happy with this purchase # - # Our interest in buying the product # - # wanted to buy a shoulder bag to keep all documents and my iPad that I always have to work, and after searching for Amazon I decided on this shoulder thanks to its design (as I like a lot) and its price. # - # good points product # - # - 90% of the material of the shoulder is fabric (very strong). - It has enough space, but can not be seen in the photos safe (iPad Air). - Several zippered compartments and some pockets. - adjustable strap. # - # bad or not so good for the product Points # - # - Zippers could be of higher quality. # - # Conclusion # - # - A shoulder nice, cheap and good quality. Very satisfied with this purchase.</v>
      </c>
    </row>
    <row r="3923">
      <c r="A3923" s="1">
        <v>5.0</v>
      </c>
      <c r="B3923" s="1" t="s">
        <v>3903</v>
      </c>
      <c r="C3923" t="str">
        <f>IFERROR(__xludf.DUMMYFUNCTION("GOOGLETRANSLATE(B3923, ""es"", ""en"")"),"W e all right well")</f>
        <v>W e all right well</v>
      </c>
    </row>
    <row r="3924">
      <c r="A3924" s="1">
        <v>5.0</v>
      </c>
      <c r="B3924" s="1" t="s">
        <v>3904</v>
      </c>
      <c r="C3924" t="str">
        <f>IFERROR(__xludf.DUMMYFUNCTION("GOOGLETRANSLATE(B3924, ""es"", ""en"")"),"Everything is perfect the product received as is described and shown in the image. A very good buy and would definitely recommend.")</f>
        <v>Everything is perfect the product received as is described and shown in the image. A very good buy and would definitely recommend.</v>
      </c>
    </row>
    <row r="3925">
      <c r="A3925" s="1">
        <v>5.0</v>
      </c>
      <c r="B3925" s="1" t="s">
        <v>3905</v>
      </c>
      <c r="C3925" t="str">
        <f>IFERROR(__xludf.DUMMYFUNCTION("GOOGLETRANSLATE(B3925, ""es"", ""en"")"),"Softness correct cutting and expected result.")</f>
        <v>Softness correct cutting and expected result.</v>
      </c>
    </row>
    <row r="3926">
      <c r="A3926" s="1">
        <v>5.0</v>
      </c>
      <c r="B3926" s="1" t="s">
        <v>3906</v>
      </c>
      <c r="C3926" t="str">
        <f>IFERROR(__xludf.DUMMYFUNCTION("GOOGLETRANSLATE(B3926, ""es"", ""en"")"),"Buy recommended We left because when we left home because turns itself off if the door is left without water and open and smell good home .... it's relaxing, pleasant and priceless! It is a good investment. Also the role of aromatherapy and hope to try wi"&amp;"nter and works with eucalyptus oil or the like to prevent colds. The relationship between the possibilities and the price is excellent. It is nice but the material is not wood. It arrived perfectly packed.")</f>
        <v>Buy recommended We left because when we left home because turns itself off if the door is left without water and open and smell good home .... it's relaxing, pleasant and priceless! It is a good investment. Also the role of aromatherapy and hope to try winter and works with eucalyptus oil or the like to prevent colds. The relationship between the possibilities and the price is excellent. It is nice but the material is not wood. It arrived perfectly packed.</v>
      </c>
    </row>
    <row r="3927">
      <c r="A3927" s="1">
        <v>5.0</v>
      </c>
      <c r="B3927" s="1" t="s">
        <v>3907</v>
      </c>
      <c r="C3927" t="str">
        <f>IFERROR(__xludf.DUMMYFUNCTION("GOOGLETRANSLATE(B3927, ""es"", ""en"")"),"Good card is a fast memory card with an appropriate price to the services offered. We are happy with it. So far it has not failed.")</f>
        <v>Good card is a fast memory card with an appropriate price to the services offered. We are happy with it. So far it has not failed.</v>
      </c>
    </row>
    <row r="3928">
      <c r="A3928" s="1">
        <v>5.0</v>
      </c>
      <c r="B3928" s="1" t="s">
        <v>3908</v>
      </c>
      <c r="C3928" t="str">
        <f>IFERROR(__xludf.DUMMYFUNCTION("GOOGLETRANSLATE(B3928, ""es"", ""en"")"),"Narrow and thin with good materials. This battery good will regale my sister because he said he did not want anything big to carry in their pockets if necessary. Shipping and good packaging. Pros: --The battery seems good for the quality of the material i"&amp;"s metallic and gives it a premium appearance can choose from several colors. --Tiene a very good size being narrow and thin ideal for charging once full any mobile phone and make another half load. - The you can carry in a pocket or a bag occupying very l"&amp;"ittle space because it is super thin. Constras: Cable to load is very short battery having to have attached the mobile phone can not handle this with comidiad. https://www.amazon.es/dp/B00ZWVSO7S/ref=cm_cr_ryp_prd_ttl_sol_10")</f>
        <v>Narrow and thin with good materials. This battery good will regale my sister because he said he did not want anything big to carry in their pockets if necessary. Shipping and good packaging. Pros: --The battery seems good for the quality of the material is metallic and gives it a premium appearance can choose from several colors. --Tiene a very good size being narrow and thin ideal for charging once full any mobile phone and make another half load. - The you can carry in a pocket or a bag occupying very little space because it is super thin. Constras: Cable to load is very short battery having to have attached the mobile phone can not handle this with comidiad. https://www.amazon.es/dp/B00ZWVSO7S/ref=cm_cr_ryp_prd_ttl_sol_10</v>
      </c>
    </row>
    <row r="3929">
      <c r="A3929" s="1">
        <v>5.0</v>
      </c>
      <c r="B3929" s="1" t="s">
        <v>3909</v>
      </c>
      <c r="C3929" t="str">
        <f>IFERROR(__xludf.DUMMYFUNCTION("GOOGLETRANSLATE(B3929, ""es"", ""en"")"),"Good sound quality and reception. I bought a few days ago this microphone, and very happy with the purchase, has good quality workmanship, is very comfortable with a very good sound and free reception longish interference, still can not comment on the bat"&amp;"tery life, both of the micro, such as the battery life of the receiver, but having a good autonomy, is a recommended microphone, even for small performances of duets or trios, has a good presence and body in the voice, without any distortion, will try to "&amp;"make a new review when I have time to check referred autonomy. Today I could finally use the microphone, in a trial, and I can say that has worked perfectly, with good sound quality without any interference, has been used with two other wireless systems a"&amp;"nd a system of in-ear monitors have been three hours of trial and still charged battery, both the micro and the receiver, expect to see everything that endures in a longer and longer I will discuss next use for those interested, greetings. I want to make "&amp;"a comment to the Amazon team, that has surprised me greatly, is that surfing the internet, I find a page called EUSCOMSHOP.com in which advertised for sale the same microphone, and curiously in opinions that make him, I find my act on their day about it, "&amp;"copied exactly as photographed do not know how you can get customer data from other stores and let them pass as if they were his, the fact is that not think it is very legal such advertising that violates the privacy of some customers of other businesses,"&amp;" there simply leave this observation for team Amazon, if it is of interest. Cheers")</f>
        <v>Good sound quality and reception. I bought a few days ago this microphone, and very happy with the purchase, has good quality workmanship, is very comfortable with a very good sound and free reception longish interference, still can not comment on the battery life, both of the micro, such as the battery life of the receiver, but having a good autonomy, is a recommended microphone, even for small performances of duets or trios, has a good presence and body in the voice, without any distortion, will try to make a new review when I have time to check referred autonomy. Today I could finally use the microphone, in a trial, and I can say that has worked perfectly, with good sound quality without any interference, has been used with two other wireless systems and a system of in-ear monitors have been three hours of trial and still charged battery, both the micro and the receiver, expect to see everything that endures in a longer and longer I will discuss next use for those interested, greetings. I want to make a comment to the Amazon team, that has surprised me greatly, is that surfing the internet, I find a page called EUSCOMSHOP.com in which advertised for sale the same microphone, and curiously in opinions that make him, I find my act on their day about it, copied exactly as photographed do not know how you can get customer data from other stores and let them pass as if they were his, the fact is that not think it is very legal such advertising that violates the privacy of some customers of other businesses, there simply leave this observation for team Amazon, if it is of interest. Cheers</v>
      </c>
    </row>
    <row r="3930">
      <c r="A3930" s="1">
        <v>5.0</v>
      </c>
      <c r="B3930" s="1" t="s">
        <v>3910</v>
      </c>
      <c r="C3930" t="str">
        <f>IFERROR(__xludf.DUMMYFUNCTION("GOOGLETRANSLATE(B3930, ""es"", ""en"")"),"Good quality according to description")</f>
        <v>Good quality according to description</v>
      </c>
    </row>
    <row r="3931">
      <c r="A3931" s="1">
        <v>5.0</v>
      </c>
      <c r="B3931" s="1" t="s">
        <v>3911</v>
      </c>
      <c r="C3931" t="str">
        <f>IFERROR(__xludf.DUMMYFUNCTION("GOOGLETRANSLATE(B3931, ""es"", ""en"")"),"Very comfortable and lightweight very comfortable, perfectly they fit and are lightweight. They come with box for storage and different sizes for the handset. Hear perfectly even in distance")</f>
        <v>Very comfortable and lightweight very comfortable, perfectly they fit and are lightweight. They come with box for storage and different sizes for the handset. Hear perfectly even in distance</v>
      </c>
    </row>
    <row r="3932">
      <c r="A3932" s="1">
        <v>5.0</v>
      </c>
      <c r="B3932" s="1" t="s">
        <v>3912</v>
      </c>
      <c r="C3932" t="str">
        <f>IFERROR(__xludf.DUMMYFUNCTION("GOOGLETRANSLATE(B3932, ""es"", ""en"")"),"Super Great product, after much thought I decided to buy it and I'm delighted with her performance. Its value / price is great and I recommend it to everyone.")</f>
        <v>Super Great product, after much thought I decided to buy it and I'm delighted with her performance. Its value / price is great and I recommend it to everyone.</v>
      </c>
    </row>
    <row r="3933">
      <c r="A3933" s="1">
        <v>5.0</v>
      </c>
      <c r="B3933" s="1" t="s">
        <v>3913</v>
      </c>
      <c r="C3933" t="str">
        <f>IFERROR(__xludf.DUMMYFUNCTION("GOOGLETRANSLATE(B3933, ""es"", ""en"")"),"Excellent fanny pack has 2 pockets, fits perfectly on the big wallet and mobile. In the small keys and little more. It is very comfortable and you can take the bottle. You can make your waist measurement. The fabric is of good quality. Ideal for walking o"&amp;"r running.")</f>
        <v>Excellent fanny pack has 2 pockets, fits perfectly on the big wallet and mobile. In the small keys and little more. It is very comfortable and you can take the bottle. You can make your waist measurement. The fabric is of good quality. Ideal for walking or running.</v>
      </c>
    </row>
    <row r="3934">
      <c r="A3934" s="1">
        <v>5.0</v>
      </c>
      <c r="B3934" s="1" t="s">
        <v>3914</v>
      </c>
      <c r="C3934" t="str">
        <f>IFERROR(__xludf.DUMMYFUNCTION("GOOGLETRANSLATE(B3934, ""es"", ""en"")"),"Ok Perfect")</f>
        <v>Ok Perfect</v>
      </c>
    </row>
    <row r="3935">
      <c r="A3935" s="1">
        <v>5.0</v>
      </c>
      <c r="B3935" s="1" t="s">
        <v>3915</v>
      </c>
      <c r="C3935" t="str">
        <f>IFERROR(__xludf.DUMMYFUNCTION("GOOGLETRANSLATE(B3935, ""es"", ""en"")"),"Good and beautiful My wife loves her new shoes. It uses them to go out for a walk and are very comfortable, cleaned well and are very nice.")</f>
        <v>Good and beautiful My wife loves her new shoes. It uses them to go out for a walk and are very comfortable, cleaned well and are very nice.</v>
      </c>
    </row>
    <row r="3936">
      <c r="A3936" s="1">
        <v>5.0</v>
      </c>
      <c r="B3936" s="1" t="s">
        <v>3916</v>
      </c>
      <c r="C3936" t="str">
        <f>IFERROR(__xludf.DUMMYFUNCTION("GOOGLETRANSLATE(B3936, ""es"", ""en"")"),"Good price performance demure This disc offers a good transfer rate, with a large internal cache. And the price is pretty tight. Very happy with your purchase.")</f>
        <v>Good price performance demure This disc offers a good transfer rate, with a large internal cache. And the price is pretty tight. Very happy with your purchase.</v>
      </c>
    </row>
    <row r="3937">
      <c r="A3937" s="1">
        <v>5.0</v>
      </c>
      <c r="B3937" s="1" t="s">
        <v>3917</v>
      </c>
      <c r="C3937" t="str">
        <f>IFERROR(__xludf.DUMMYFUNCTION("GOOGLETRANSLATE(B3937, ""es"", ""en"")"),"Well priced good quality")</f>
        <v>Well priced good quality</v>
      </c>
    </row>
    <row r="3938">
      <c r="A3938" s="1">
        <v>5.0</v>
      </c>
      <c r="B3938" s="1" t="s">
        <v>3918</v>
      </c>
      <c r="C3938" t="str">
        <f>IFERROR(__xludf.DUMMYFUNCTION("GOOGLETRANSLATE(B3938, ""es"", ""en"")"),"Ear headphones for all I bought for a gift and has been delighted size, sound and autonomy. Sound very crisp and powerful, impressive bass which can be isolated from the noise also liked the possibility of changing tires that enter the ear as a small hole"&amp;" having always complained that hurt him. And with small tires would go perfect. Leads to the gym every day and will not loosen sweat. Battery lasts about 4-5 hours box where you store is charging the headphones. Another point that convinced me is giving m"&amp;"e 60 days money back, and this gives a guarantee that they are good devices. Amazon sending very fast.")</f>
        <v>Ear headphones for all I bought for a gift and has been delighted size, sound and autonomy. Sound very crisp and powerful, impressive bass which can be isolated from the noise also liked the possibility of changing tires that enter the ear as a small hole having always complained that hurt him. And with small tires would go perfect. Leads to the gym every day and will not loosen sweat. Battery lasts about 4-5 hours box where you store is charging the headphones. Another point that convinced me is giving me 60 days money back, and this gives a guarantee that they are good devices. Amazon sending very fast.</v>
      </c>
    </row>
    <row r="3939">
      <c r="A3939" s="1">
        <v>2.0</v>
      </c>
      <c r="B3939" s="1" t="s">
        <v>3919</v>
      </c>
      <c r="C3939" t="str">
        <f>IFERROR(__xludf.DUMMYFUNCTION("GOOGLETRANSLATE(B3939, ""es"", ""en"")"),"Bad bad! To get out of those, I dropped one and lost")</f>
        <v>Bad bad! To get out of those, I dropped one and lost</v>
      </c>
    </row>
    <row r="3940">
      <c r="A3940" s="1">
        <v>3.0</v>
      </c>
      <c r="B3940" s="1" t="s">
        <v>3920</v>
      </c>
      <c r="C3940" t="str">
        <f>IFERROR(__xludf.DUMMYFUNCTION("GOOGLETRANSLATE(B3940, ""es"", ""en"")"),"The show through use as sweaters and camisoles leggings and boots above. Exercise at the gym show through much")</f>
        <v>The show through use as sweaters and camisoles leggings and boots above. Exercise at the gym show through much</v>
      </c>
    </row>
    <row r="3941">
      <c r="A3941" s="1">
        <v>3.0</v>
      </c>
      <c r="B3941" s="1" t="s">
        <v>3921</v>
      </c>
      <c r="C3941" t="str">
        <f>IFERROR(__xludf.DUMMYFUNCTION("GOOGLETRANSLATE(B3941, ""es"", ""en"")"),"Are not the same as in the picture I've received and I surprise is that there are the same as those in the photos ... some do, some do not ... I've taken a bit of disappointment because just the ones I liked they do not come.")</f>
        <v>Are not the same as in the picture I've received and I surprise is that there are the same as those in the photos ... some do, some do not ... I've taken a bit of disappointment because just the ones I liked they do not come.</v>
      </c>
    </row>
    <row r="3942">
      <c r="A3942" s="1">
        <v>1.0</v>
      </c>
      <c r="B3942" s="1" t="s">
        <v>3922</v>
      </c>
      <c r="C3942" t="str">
        <f>IFERROR(__xludf.DUMMYFUNCTION("GOOGLETRANSLATE(B3942, ""es"", ""en"")"),"cheap Not bad if you know what you buy")</f>
        <v>cheap Not bad if you know what you buy</v>
      </c>
    </row>
    <row r="3943">
      <c r="A3943" s="1">
        <v>1.0</v>
      </c>
      <c r="B3943" s="1" t="s">
        <v>3923</v>
      </c>
      <c r="C3943" t="str">
        <f>IFERROR(__xludf.DUMMYFUNCTION("GOOGLETRANSLATE(B3943, ""es"", ""en"")"),"PRONTO BREAKS ... Bluetooth Handsfree with good sound, but poor quality for extended use. At 4 months he stopped working the button to increase the volume and now has departed from the rotating part which adapts it to the ear.")</f>
        <v>PRONTO BREAKS ... Bluetooth Handsfree with good sound, but poor quality for extended use. At 4 months he stopped working the button to increase the volume and now has departed from the rotating part which adapts it to the ear.</v>
      </c>
    </row>
    <row r="3944">
      <c r="A3944" s="1">
        <v>4.0</v>
      </c>
      <c r="B3944" s="1" t="s">
        <v>3924</v>
      </c>
      <c r="C3944" t="str">
        <f>IFERROR(__xludf.DUMMYFUNCTION("GOOGLETRANSLATE(B3944, ""es"", ""en"")"),"Good value for the price it does the job. Grinds quite well, even frozen fruit and seeds. In addition it does not sound like much at first be thought. The only thing worse see is that the plastic cover that has the base is very resistant. Otherwise a good"&amp;" buy.")</f>
        <v>Good value for the price it does the job. Grinds quite well, even frozen fruit and seeds. In addition it does not sound like much at first be thought. The only thing worse see is that the plastic cover that has the base is very resistant. Otherwise a good buy.</v>
      </c>
    </row>
    <row r="3945">
      <c r="A3945" s="1">
        <v>4.0</v>
      </c>
      <c r="B3945" s="1" t="s">
        <v>3925</v>
      </c>
      <c r="C3945" t="str">
        <f>IFERROR(__xludf.DUMMYFUNCTION("GOOGLETRANSLATE(B3945, ""es"", ""en"")"),"I would buy for money Value OK but a bit tricky to hit with the correct settings. A lot of information but ambiguous")</f>
        <v>I would buy for money Value OK but a bit tricky to hit with the correct settings. A lot of information but ambiguous</v>
      </c>
    </row>
    <row r="3946">
      <c r="A3946" s="1">
        <v>4.0</v>
      </c>
      <c r="B3946" s="1" t="s">
        <v>3926</v>
      </c>
      <c r="C3946" t="str">
        <f>IFERROR(__xludf.DUMMYFUNCTION("GOOGLETRANSLATE(B3946, ""es"", ""en"")"),"Mari They are very beautiful earrings are same as the photos but are actually smaller than I expected.")</f>
        <v>Mari They are very beautiful earrings are same as the photos but are actually smaller than I expected.</v>
      </c>
    </row>
    <row r="3947">
      <c r="A3947" s="1">
        <v>4.0</v>
      </c>
      <c r="B3947" s="1" t="s">
        <v>3927</v>
      </c>
      <c r="C3947" t="str">
        <f>IFERROR(__xludf.DUMMYFUNCTION("GOOGLETRANSLATE(B3947, ""es"", ""en"")"),"Meets expectations are well- meet the objective for which they are created")</f>
        <v>Meets expectations are well- meet the objective for which they are created</v>
      </c>
    </row>
    <row r="3948">
      <c r="A3948" s="1">
        <v>4.0</v>
      </c>
      <c r="B3948" s="1" t="s">
        <v>3928</v>
      </c>
      <c r="C3948" t="str">
        <f>IFERROR(__xludf.DUMMYFUNCTION("GOOGLETRANSLATE(B3948, ""es"", ""en"")"),"JIC good shoe. Something big size and color differs a bit with the photos. Express shipping is paid and it takes the same as the normal shipping, otherwise all good.")</f>
        <v>JIC good shoe. Something big size and color differs a bit with the photos. Express shipping is paid and it takes the same as the normal shipping, otherwise all good.</v>
      </c>
    </row>
    <row r="3949">
      <c r="A3949" s="1">
        <v>5.0</v>
      </c>
      <c r="B3949" s="1" t="s">
        <v>3929</v>
      </c>
      <c r="C3949" t="str">
        <f>IFERROR(__xludf.DUMMYFUNCTION("GOOGLETRANSLATE(B3949, ""es"", ""en"")"),"Blender Portable Rechargeable Me encata this portable mixer that can make smoothies wherever, I use it every day without fail for work at lunchtime am used to accompany my meal with a juice or smoothie, just add fruit with cold or cold and press the power"&amp;" button milk water, then wait for it to stop automatically and ready (about 1 minute). Shreds fine pieces of fruit. At the moment it goes well with me this and the truth is that I love.")</f>
        <v>Blender Portable Rechargeable Me encata this portable mixer that can make smoothies wherever, I use it every day without fail for work at lunchtime am used to accompany my meal with a juice or smoothie, just add fruit with cold or cold and press the power button milk water, then wait for it to stop automatically and ready (about 1 minute). Shreds fine pieces of fruit. At the moment it goes well with me this and the truth is that I love.</v>
      </c>
    </row>
    <row r="3950">
      <c r="A3950" s="1">
        <v>5.0</v>
      </c>
      <c r="B3950" s="1" t="s">
        <v>3930</v>
      </c>
      <c r="C3950" t="str">
        <f>IFERROR(__xludf.DUMMYFUNCTION("GOOGLETRANSLATE(B3950, ""es"", ""en"")"),"Thrilled with the kettle Sometimes this flash offer. I asked and I canceled it because minutes later started offering flash and you save € 05.04 (worth the wait). My mother has one (not of this brand) and I caught the bug to get one for us. We are going t"&amp;"o night infusions and if you want to heat two cups (as in our case we are 2) put the microwave to each cup is a mess (if you put two cups in the microwave while not heated any) the kettle is aesthetically beautiful but also makes the coating having that a"&amp;"lthough the water is boiling inside out does not burn so here is safe for children or dawdle. I noticed the 2200W power because I wanted it to be fast and is very fast and turns itself off when it reaches a boil. 2 is a little big (it is for 1.7L and 0.5L"&amp;" minimum must do) is more for 4-5 people. Similarly, and although we are two as we always have visitors it is perfect! (I leave a photo to the side of an American coffee so you can see some measures the kettle that is bigger than it seems) by the way I sa"&amp;"w it in other kettles ... This has no resistance to the air or anything. And it works well without spilling.")</f>
        <v>Thrilled with the kettle Sometimes this flash offer. I asked and I canceled it because minutes later started offering flash and you save € 05.04 (worth the wait). My mother has one (not of this brand) and I caught the bug to get one for us. We are going to night infusions and if you want to heat two cups (as in our case we are 2) put the microwave to each cup is a mess (if you put two cups in the microwave while not heated any) the kettle is aesthetically beautiful but also makes the coating having that although the water is boiling inside out does not burn so here is safe for children or dawdle. I noticed the 2200W power because I wanted it to be fast and is very fast and turns itself off when it reaches a boil. 2 is a little big (it is for 1.7L and 0.5L minimum must do) is more for 4-5 people. Similarly, and although we are two as we always have visitors it is perfect! (I leave a photo to the side of an American coffee so you can see some measures the kettle that is bigger than it seems) by the way I saw it in other kettles ... This has no resistance to the air or anything. And it works well without spilling.</v>
      </c>
    </row>
    <row r="3951">
      <c r="A3951" s="1">
        <v>5.0</v>
      </c>
      <c r="B3951" s="1" t="s">
        <v>3931</v>
      </c>
      <c r="C3951" t="str">
        <f>IFERROR(__xludf.DUMMYFUNCTION("GOOGLETRANSLATE(B3951, ""es"", ""en"")"),"Good product fulfills its function and has a very adequate money. I recommend it to 100 percent. 2x1 comprehensive product.")</f>
        <v>Good product fulfills its function and has a very adequate money. I recommend it to 100 percent. 2x1 comprehensive product.</v>
      </c>
    </row>
    <row r="3952">
      <c r="A3952" s="1">
        <v>5.0</v>
      </c>
      <c r="B3952" s="1" t="s">
        <v>3932</v>
      </c>
      <c r="C3952" t="str">
        <f>IFERROR(__xludf.DUMMYFUNCTION("GOOGLETRANSLATE(B3952, ""es"", ""en"")"),"MARVELOUS God of bottles! We wanted to shove a bottle and wean slowly and tried thousand kinds, there was no way, until I tried this, from one day to another left chest. Washable, removable, durable. Perfect.")</f>
        <v>MARVELOUS God of bottles! We wanted to shove a bottle and wean slowly and tried thousand kinds, there was no way, until I tried this, from one day to another left chest. Washable, removable, durable. Perfect.</v>
      </c>
    </row>
    <row r="3953">
      <c r="A3953" s="1">
        <v>5.0</v>
      </c>
      <c r="B3953" s="1" t="s">
        <v>3933</v>
      </c>
      <c r="C3953" t="str">
        <f>IFERROR(__xludf.DUMMYFUNCTION("GOOGLETRANSLATE(B3953, ""es"", ""en"")"),"more than satisfactory experience. After 4 years of use, I have to say that this watch Casio Solar, has plenty met all my expectations. Weighs very little, it should not need batteries to the Solar being. I am very satisfied with the purchase.")</f>
        <v>more than satisfactory experience. After 4 years of use, I have to say that this watch Casio Solar, has plenty met all my expectations. Weighs very little, it should not need batteries to the Solar being. I am very satisfied with the purchase.</v>
      </c>
    </row>
    <row r="3954">
      <c r="A3954" s="1">
        <v>5.0</v>
      </c>
      <c r="B3954" s="1" t="s">
        <v>3934</v>
      </c>
      <c r="C3954" t="str">
        <f>IFERROR(__xludf.DUMMYFUNCTION("GOOGLETRANSLATE(B3954, ""es"", ""en"")"),"excellent can not say much about a brand more than known, sending good material and perfect tennis. They are original 100%")</f>
        <v>excellent can not say much about a brand more than known, sending good material and perfect tennis. They are original 100%</v>
      </c>
    </row>
    <row r="3955">
      <c r="A3955" s="1">
        <v>5.0</v>
      </c>
      <c r="B3955" s="1" t="s">
        <v>3935</v>
      </c>
      <c r="C3955" t="str">
        <f>IFERROR(__xludf.DUMMYFUNCTION("GOOGLETRANSLATE(B3955, ""es"", ""en"")"),"I recommend it. Buy the product and I was too big. Then they contacted me to decambiarlos me and I sent them to the address I gave (as it was on vacation and I was not in my usual residence). Shoes are perfect and I'm very comfortable with them.")</f>
        <v>I recommend it. Buy the product and I was too big. Then they contacted me to decambiarlos me and I sent them to the address I gave (as it was on vacation and I was not in my usual residence). Shoes are perfect and I'm very comfortable with them.</v>
      </c>
    </row>
    <row r="3956">
      <c r="A3956" s="1">
        <v>5.0</v>
      </c>
      <c r="B3956" s="1" t="s">
        <v>3936</v>
      </c>
      <c r="C3956" t="str">
        <f>IFERROR(__xludf.DUMMYFUNCTION("GOOGLETRANSLATE(B3956, ""es"", ""en"")"),"Great gift Fast and perfect.")</f>
        <v>Great gift Fast and perfect.</v>
      </c>
    </row>
    <row r="3957">
      <c r="A3957" s="1">
        <v>5.0</v>
      </c>
      <c r="B3957" s="1" t="s">
        <v>3937</v>
      </c>
      <c r="C3957" t="str">
        <f>IFERROR(__xludf.DUMMYFUNCTION("GOOGLETRANSLATE(B3957, ""es"", ""en"")"),"I would say that comfort is buying most successful of the electodomésticos. It is very comfortable in use. Wash well. He had never taken so many milkshakes. And it was because I have a blender cup. The glass weighs a lot and it is not convenient to wash.")</f>
        <v>I would say that comfort is buying most successful of the electodomésticos. It is very comfortable in use. Wash well. He had never taken so many milkshakes. And it was because I have a blender cup. The glass weighs a lot and it is not convenient to wash.</v>
      </c>
    </row>
    <row r="3958">
      <c r="A3958" s="1">
        <v>5.0</v>
      </c>
      <c r="B3958" s="1" t="s">
        <v>3938</v>
      </c>
      <c r="C3958" t="str">
        <f>IFERROR(__xludf.DUMMYFUNCTION("GOOGLETRANSLATE(B3958, ""es"", ""en"")"),"Comfortable and lightweight lightweight, comfortable, perfect fit. I have a narrow foot and I left a little wide, but little else. I hack with sock")</f>
        <v>Comfortable and lightweight lightweight, comfortable, perfect fit. I have a narrow foot and I left a little wide, but little else. I hack with sock</v>
      </c>
    </row>
    <row r="3959">
      <c r="A3959" s="1">
        <v>5.0</v>
      </c>
      <c r="B3959" s="1" t="s">
        <v>3939</v>
      </c>
      <c r="C3959" t="str">
        <f>IFERROR(__xludf.DUMMYFUNCTION("GOOGLETRANSLATE(B3959, ""es"", ""en"")"),"SUPER A wonderful, comfortable suoer, the would buy without hesitation. I listened to the comments of the sizes and I was lucky utilzo 39 took 38 and perfectly. 😉")</f>
        <v>SUPER A wonderful, comfortable suoer, the would buy without hesitation. I listened to the comments of the sizes and I was lucky utilzo 39 took 38 and perfectly. 😉</v>
      </c>
    </row>
    <row r="3960">
      <c r="A3960" s="1">
        <v>5.0</v>
      </c>
      <c r="B3960" s="1" t="s">
        <v>3940</v>
      </c>
      <c r="C3960" t="str">
        <f>IFERROR(__xludf.DUMMYFUNCTION("GOOGLETRANSLATE(B3960, ""es"", ""en"")"),"Perfect everyday item, I was going very well, and I'm tall 190cm is perfect as well and I have some time with her and resists very well everyday use. Good quality product, highly recommended")</f>
        <v>Perfect everyday item, I was going very well, and I'm tall 190cm is perfect as well and I have some time with her and resists very well everyday use. Good quality product, highly recommended</v>
      </c>
    </row>
    <row r="3961">
      <c r="A3961" s="1">
        <v>5.0</v>
      </c>
      <c r="B3961" s="1" t="s">
        <v>3941</v>
      </c>
      <c r="C3961" t="str">
        <f>IFERROR(__xludf.DUMMYFUNCTION("GOOGLETRANSLATE(B3961, ""es"", ""en"")"),"Vatalkeras and casual super comfortable")</f>
        <v>Vatalkeras and casual super comfortable</v>
      </c>
    </row>
    <row r="3962">
      <c r="A3962" s="1">
        <v>5.0</v>
      </c>
      <c r="B3962" s="1" t="s">
        <v>3942</v>
      </c>
      <c r="C3962" t="str">
        <f>IFERROR(__xludf.DUMMYFUNCTION("GOOGLETRANSLATE(B3962, ""es"", ""en"")"),"Excellent value for money For 30 eurillos who have their operating system on a conventional disk? Just we mount a PC with this disk and has the minimum size to accommodate the start of the system (in my case Linux-Windows dual boot) and allow for a few se"&amp;"conds start. At the current price you do not even have to doubt .. I appreciated not operating any difference with other discs also have and they are more expensive.")</f>
        <v>Excellent value for money For 30 eurillos who have their operating system on a conventional disk? Just we mount a PC with this disk and has the minimum size to accommodate the start of the system (in my case Linux-Windows dual boot) and allow for a few seconds start. At the current price you do not even have to doubt .. I appreciated not operating any difference with other discs also have and they are more expensive.</v>
      </c>
    </row>
    <row r="3963">
      <c r="A3963" s="1">
        <v>5.0</v>
      </c>
      <c r="B3963" s="1" t="s">
        <v>3943</v>
      </c>
      <c r="C3963" t="str">
        <f>IFERROR(__xludf.DUMMYFUNCTION("GOOGLETRANSLATE(B3963, ""es"", ""en"")"),"Good!!! Really connected to the NAS that I have not hardly hear (at dawn) during the day or ""Mu"". Of course if you are looking for the trespiés to the cat .... a writing on it. As with anyone.")</f>
        <v>Good!!! Really connected to the NAS that I have not hardly hear (at dawn) during the day or "Mu". Of course if you are looking for the trespiés to the cat .... a writing on it. As with anyone.</v>
      </c>
    </row>
    <row r="3964">
      <c r="A3964" s="1">
        <v>5.0</v>
      </c>
      <c r="B3964" s="1" t="s">
        <v>3944</v>
      </c>
      <c r="C3964" t="str">
        <f>IFERROR(__xludf.DUMMYFUNCTION("GOOGLETRANSLATE(B3964, ""es"", ""en"")"),"Very good it is well suited to man dolls")</f>
        <v>Very good it is well suited to man dolls</v>
      </c>
    </row>
    <row r="3965">
      <c r="A3965" s="1">
        <v>5.0</v>
      </c>
      <c r="B3965" s="1" t="s">
        <v>3945</v>
      </c>
      <c r="C3965" t="str">
        <f>IFERROR(__xludf.DUMMYFUNCTION("GOOGLETRANSLATE(B3965, ""es"", ""en"")"),"Very cuquis are nice, somewhat small but perform their function. Buy them to give them to my students 6 years old at the end of the course and motivate them to read")</f>
        <v>Very cuquis are nice, somewhat small but perform their function. Buy them to give them to my students 6 years old at the end of the course and motivate them to read</v>
      </c>
    </row>
    <row r="3966">
      <c r="A3966" s="1">
        <v>5.0</v>
      </c>
      <c r="B3966" s="1" t="s">
        <v>3946</v>
      </c>
      <c r="C3966" t="str">
        <f>IFERROR(__xludf.DUMMYFUNCTION("GOOGLETRANSLATE(B3966, ""es"", ""en"")"),"Functional perfect watch as a watch or clock battle work. Good features for its price and nice design. I personally do come in handy global hours since I travel a lot for work and I have to go about doing calculations. It's great to work with solar energy"&amp;", you unmindful of the stack. What I disliked is the belt, it seems low quality. In short, great value / price")</f>
        <v>Functional perfect watch as a watch or clock battle work. Good features for its price and nice design. I personally do come in handy global hours since I travel a lot for work and I have to go about doing calculations. It's great to work with solar energy, you unmindful of the stack. What I disliked is the belt, it seems low quality. In short, great value / price</v>
      </c>
    </row>
    <row r="3967">
      <c r="A3967" s="1">
        <v>5.0</v>
      </c>
      <c r="B3967" s="1" t="s">
        <v>3947</v>
      </c>
      <c r="C3967" t="str">
        <f>IFERROR(__xludf.DUMMYFUNCTION("GOOGLETRANSLATE(B3967, ""es"", ""en"")"),"What you ask a sports pants All")</f>
        <v>What you ask a sports pants All</v>
      </c>
    </row>
    <row r="3968">
      <c r="A3968" s="1">
        <v>2.0</v>
      </c>
      <c r="B3968" s="1" t="s">
        <v>3948</v>
      </c>
      <c r="C3968" t="str">
        <f>IFERROR(__xludf.DUMMYFUNCTION("GOOGLETRANSLATE(B3968, ""es"", ""en"")"),"150 MB / s mistake I had to return it because I bought thinking they had 150 MB / s writing is value which is usually the one that we care more and the test him with Blackmagic Disk Speed ​​Test did not reach even half. Read the specifications you can see"&amp;" the famous 150 MB / s transfer refer to reading.")</f>
        <v>150 MB / s mistake I had to return it because I bought thinking they had 150 MB / s writing is value which is usually the one that we care more and the test him with Blackmagic Disk Speed ​​Test did not reach even half. Read the specifications you can see the famous 150 MB / s transfer refer to reading.</v>
      </c>
    </row>
    <row r="3969">
      <c r="A3969" s="1">
        <v>3.0</v>
      </c>
      <c r="B3969" s="1" t="s">
        <v>3949</v>
      </c>
      <c r="C3969" t="str">
        <f>IFERROR(__xludf.DUMMYFUNCTION("GOOGLETRANSLATE(B3969, ""es"", ""en"")"),"Aesthetically cleaner is very beautiful can leave hanging in the shower. Despite this gum did not seem to adhere too well priced quality is correct")</f>
        <v>Aesthetically cleaner is very beautiful can leave hanging in the shower. Despite this gum did not seem to adhere too well priced quality is correct</v>
      </c>
    </row>
    <row r="3970">
      <c r="A3970" s="1">
        <v>1.0</v>
      </c>
      <c r="B3970" s="1" t="s">
        <v>3950</v>
      </c>
      <c r="C3970" t="str">
        <f>IFERROR(__xludf.DUMMYFUNCTION("GOOGLETRANSLATE(B3970, ""es"", ""en"")"),"It not so good is deleted letters at 2 days")</f>
        <v>It not so good is deleted letters at 2 days</v>
      </c>
    </row>
    <row r="3971">
      <c r="A3971" s="1">
        <v>1.0</v>
      </c>
      <c r="B3971" s="1" t="s">
        <v>3951</v>
      </c>
      <c r="C3971" t="str">
        <f>IFERROR(__xludf.DUMMYFUNCTION("GOOGLETRANSLATE(B3971, ""es"", ""en"")"),"a scam do not like, and I do not return the amount")</f>
        <v>a scam do not like, and I do not return the amount</v>
      </c>
    </row>
    <row r="3972">
      <c r="A3972" s="1">
        <v>4.0</v>
      </c>
      <c r="B3972" s="1" t="s">
        <v>3952</v>
      </c>
      <c r="C3972" t="str">
        <f>IFERROR(__xludf.DUMMYFUNCTION("GOOGLETRANSLATE(B3972, ""es"", ""en"")"),"Leather backpack purse. I was pleasantly surprised by the quality of the skin, smells like leather, is comfortable and stylish. The price is fine for me is more comfortable backpack type bag, its size is ideal.")</f>
        <v>Leather backpack purse. I was pleasantly surprised by the quality of the skin, smells like leather, is comfortable and stylish. The price is fine for me is more comfortable backpack type bag, its size is ideal.</v>
      </c>
    </row>
    <row r="3973">
      <c r="A3973" s="1">
        <v>4.0</v>
      </c>
      <c r="B3973" s="1" t="s">
        <v>3953</v>
      </c>
      <c r="C3973" t="str">
        <f>IFERROR(__xludf.DUMMYFUNCTION("GOOGLETRANSLATE(B3973, ""es"", ""en"")"),"Men's Casual Short Sleeve T Gapes Single Button Cotton Llano v collarless shirts Looks good start and is very comfortable. size fits perfectly.")</f>
        <v>Men's Casual Short Sleeve T Gapes Single Button Cotton Llano v collarless shirts Looks good start and is very comfortable. size fits perfectly.</v>
      </c>
    </row>
    <row r="3974">
      <c r="A3974" s="1">
        <v>4.0</v>
      </c>
      <c r="B3974" s="1" t="s">
        <v>3954</v>
      </c>
      <c r="C3974" t="str">
        <f>IFERROR(__xludf.DUMMYFUNCTION("GOOGLETRANSLATE(B3974, ""es"", ""en"")"),"Perfect. Convenient and practical.")</f>
        <v>Perfect. Convenient and practical.</v>
      </c>
    </row>
    <row r="3975">
      <c r="A3975" s="1">
        <v>4.0</v>
      </c>
      <c r="B3975" s="1" t="s">
        <v>3955</v>
      </c>
      <c r="C3975" t="str">
        <f>IFERROR(__xludf.DUMMYFUNCTION("GOOGLETRANSLATE(B3975, ""es"", ""en"")"),"Comodo The shoe is comfortable and height corresponds. After a few days of using the tissue seems as if desfilacha a little.")</f>
        <v>Comodo The shoe is comfortable and height corresponds. After a few days of using the tissue seems as if desfilacha a little.</v>
      </c>
    </row>
    <row r="3976">
      <c r="A3976" s="1">
        <v>4.0</v>
      </c>
      <c r="B3976" s="1" t="s">
        <v>3956</v>
      </c>
      <c r="C3976" t="str">
        <f>IFERROR(__xludf.DUMMYFUNCTION("GOOGLETRANSLATE(B3976, ""es"", ""en"")"),"Okay but for older this great but for children from 5 years q Do not fool yourself advertising is more complicated and if you make a decision to start what makes q q porq children lose patience there really complicated pieces")</f>
        <v>Okay but for older this great but for children from 5 years q Do not fool yourself advertising is more complicated and if you make a decision to start what makes q q porq children lose patience there really complicated pieces</v>
      </c>
    </row>
    <row r="3977">
      <c r="A3977" s="1">
        <v>5.0</v>
      </c>
      <c r="B3977" s="1" t="s">
        <v>3957</v>
      </c>
      <c r="C3977" t="str">
        <f>IFERROR(__xludf.DUMMYFUNCTION("GOOGLETRANSLATE(B3977, ""es"", ""en"")"),"Comfort Very comfortable, fit perfectly into the ear and also brings the package pads for you to choose the one that suits you and serve for any model of mobile")</f>
        <v>Comfort Very comfortable, fit perfectly into the ear and also brings the package pads for you to choose the one that suits you and serve for any model of mobile</v>
      </c>
    </row>
    <row r="3978">
      <c r="A3978" s="1">
        <v>5.0</v>
      </c>
      <c r="B3978" s="1" t="s">
        <v>3958</v>
      </c>
      <c r="C3978" t="str">
        <f>IFERROR(__xludf.DUMMYFUNCTION("GOOGLETRANSLATE(B3978, ""es"", ""en"")"),"Me and myself arrived well packed and timely, quality materials, are not imitations, the problem I had is the next &amp; gt; are incompatible with some mobile and mp3, then began to run such perfectly with the laptop and sound good.")</f>
        <v>Me and myself arrived well packed and timely, quality materials, are not imitations, the problem I had is the next &amp; gt; are incompatible with some mobile and mp3, then began to run such perfectly with the laptop and sound good.</v>
      </c>
    </row>
    <row r="3979">
      <c r="A3979" s="1">
        <v>5.0</v>
      </c>
      <c r="B3979" s="1" t="s">
        <v>3959</v>
      </c>
      <c r="C3979" t="str">
        <f>IFERROR(__xludf.DUMMYFUNCTION("GOOGLETRANSLATE(B3979, ""es"", ""en"")"),"Good utility'm absolutely happy with the purchase of this water heater! I use it every day. Boil water is easy and fast even when filled to capacity, and never have to worry about that, dry when I'm boiling some water. Very easy to use and clean, and the "&amp;"perfect size.")</f>
        <v>Good utility'm absolutely happy with the purchase of this water heater! I use it every day. Boil water is easy and fast even when filled to capacity, and never have to worry about that, dry when I'm boiling some water. Very easy to use and clean, and the perfect size.</v>
      </c>
    </row>
    <row r="3980">
      <c r="A3980" s="1">
        <v>5.0</v>
      </c>
      <c r="B3980" s="1" t="s">
        <v>3960</v>
      </c>
      <c r="C3980" t="str">
        <f>IFERROR(__xludf.DUMMYFUNCTION("GOOGLETRANSLATE(B3980, ""es"", ""en"")"),"They adapt perfectly to small and large size Good finish")</f>
        <v>They adapt perfectly to small and large size Good finish</v>
      </c>
    </row>
    <row r="3981">
      <c r="A3981" s="1">
        <v>5.0</v>
      </c>
      <c r="B3981" s="1" t="s">
        <v>3961</v>
      </c>
      <c r="C3981" t="str">
        <f>IFERROR(__xludf.DUMMYFUNCTION("GOOGLETRANSLATE(B3981, ""es"", ""en"")"),"Vitor are what I expected, not the next, very good quality, are of p.t.madre.compralos sure you will not regret Colors are very nice just missing underpants matching socks to be Skip")</f>
        <v>Vitor are what I expected, not the next, very good quality, are of p.t.madre.compralos sure you will not regret Colors are very nice just missing underpants matching socks to be Skip</v>
      </c>
    </row>
    <row r="3982">
      <c r="A3982" s="1">
        <v>5.0</v>
      </c>
      <c r="B3982" s="1" t="s">
        <v>3962</v>
      </c>
      <c r="C3982" t="str">
        <f>IFERROR(__xludf.DUMMYFUNCTION("GOOGLETRANSLATE(B3982, ""es"", ""en"")"),"Type submarine precious watch Invicta is a great watch, it is the third buy, specifically this is the most accurate, I recommend it, I came quickly")</f>
        <v>Type submarine precious watch Invicta is a great watch, it is the third buy, specifically this is the most accurate, I recommend it, I came quickly</v>
      </c>
    </row>
    <row r="3983">
      <c r="A3983" s="1">
        <v>5.0</v>
      </c>
      <c r="B3983" s="1" t="s">
        <v>3963</v>
      </c>
      <c r="C3983" t="str">
        <f>IFERROR(__xludf.DUMMYFUNCTION("GOOGLETRANSLATE(B3983, ""es"", ""en"")"),"Sound very good I changed to this model and is superb. Voice messages in Spanish of the state (incoming call, off, on, etc.). The battery lasts a long and adapts very well to the ear.")</f>
        <v>Sound very good I changed to this model and is superb. Voice messages in Spanish of the state (incoming call, off, on, etc.). The battery lasts a long and adapts very well to the ear.</v>
      </c>
    </row>
    <row r="3984">
      <c r="A3984" s="1">
        <v>5.0</v>
      </c>
      <c r="B3984" s="1" t="s">
        <v>3964</v>
      </c>
      <c r="C3984" t="str">
        <f>IFERROR(__xludf.DUMMYFUNCTION("GOOGLETRANSLATE(B3984, ""es"", ""en"")"),"Do not change your PC, change disc In my case, I had a Dell PC 5-6 years ago that once you buy a processor I7 but I was going very slow (took forever to start and quite slow in general). I replaced the two hard drives of 2 equal sized SSD that had (a cruc"&amp;"ial 2TB main and this 530 MB as a secondary backup, ...) and performance has absolutely nothing to do: be start in a few seconds, the browser works immediately after starting the PC, ... Moreover, it is now much quieter (which is also appreciated).")</f>
        <v>Do not change your PC, change disc In my case, I had a Dell PC 5-6 years ago that once you buy a processor I7 but I was going very slow (took forever to start and quite slow in general). I replaced the two hard drives of 2 equal sized SSD that had (a crucial 2TB main and this 530 MB as a secondary backup, ...) and performance has absolutely nothing to do: be start in a few seconds, the browser works immediately after starting the PC, ... Moreover, it is now much quieter (which is also appreciated).</v>
      </c>
    </row>
    <row r="3985">
      <c r="A3985" s="1">
        <v>5.0</v>
      </c>
      <c r="B3985" s="1" t="s">
        <v>3965</v>
      </c>
      <c r="C3985" t="str">
        <f>IFERROR(__xludf.DUMMYFUNCTION("GOOGLETRANSLATE(B3985, ""es"", ""en"")"),"Very nice piece A beautiful piece that earns more in person")</f>
        <v>Very nice piece A beautiful piece that earns more in person</v>
      </c>
    </row>
    <row r="3986">
      <c r="A3986" s="1">
        <v>5.0</v>
      </c>
      <c r="B3986" s="1" t="s">
        <v>3966</v>
      </c>
      <c r="C3986" t="str">
        <f>IFERROR(__xludf.DUMMYFUNCTION("GOOGLETRANSLATE(B3986, ""es"", ""en"")"),"Relationship work properly according to specifications Value good")</f>
        <v>Relationship work properly according to specifications Value good</v>
      </c>
    </row>
    <row r="3987">
      <c r="A3987" s="1">
        <v>5.0</v>
      </c>
      <c r="B3987" s="1" t="s">
        <v>3967</v>
      </c>
      <c r="C3987" t="str">
        <f>IFERROR(__xludf.DUMMYFUNCTION("GOOGLETRANSLATE(B3987, ""es"", ""en"")"),"impeccable performance and great quality juices The product I use every day at the least 3 times so I can say that cleanliness is very easy as assembling and dismantling. I really like the quality of the juice and the ease of use and cleaning. I wish it w"&amp;"as quieter but not for being loud noises but because I do not like in general. Overall I love the product")</f>
        <v>impeccable performance and great quality juices The product I use every day at the least 3 times so I can say that cleanliness is very easy as assembling and dismantling. I really like the quality of the juice and the ease of use and cleaning. I wish it was quieter but not for being loud noises but because I do not like in general. Overall I love the product</v>
      </c>
    </row>
    <row r="3988">
      <c r="A3988" s="1">
        <v>5.0</v>
      </c>
      <c r="B3988" s="1" t="s">
        <v>3968</v>
      </c>
      <c r="C3988" t="str">
        <f>IFERROR(__xludf.DUMMYFUNCTION("GOOGLETRANSLATE(B3988, ""es"", ""en"")"),"Excellent I've been using headphones for many months and are perfectly! Much better than the original Samsung lasted me almost nothing. the bass and treble sounds very good. I'm super happy I chose this model. 100% recommendable.")</f>
        <v>Excellent I've been using headphones for many months and are perfectly! Much better than the original Samsung lasted me almost nothing. the bass and treble sounds very good. I'm super happy I chose this model. 100% recommendable.</v>
      </c>
    </row>
    <row r="3989">
      <c r="A3989" s="1">
        <v>5.0</v>
      </c>
      <c r="B3989" s="1" t="s">
        <v>3969</v>
      </c>
      <c r="C3989" t="str">
        <f>IFERROR(__xludf.DUMMYFUNCTION("GOOGLETRANSLATE(B3989, ""es"", ""en"")"),"Mailing Labels are just labels needed. Not much else to comment. They stick well and have software for design on your website.")</f>
        <v>Mailing Labels are just labels needed. Not much else to comment. They stick well and have software for design on your website.</v>
      </c>
    </row>
    <row r="3990">
      <c r="A3990" s="1">
        <v>5.0</v>
      </c>
      <c r="B3990" s="1" t="s">
        <v>3970</v>
      </c>
      <c r="C3990" t="str">
        <f>IFERROR(__xludf.DUMMYFUNCTION("GOOGLETRANSLATE(B3990, ""es"", ""en"")"),"work runs smoothly, has a large storage capacity without problems when using it. good quality without doubt")</f>
        <v>work runs smoothly, has a large storage capacity without problems when using it. good quality without doubt</v>
      </c>
    </row>
    <row r="3991">
      <c r="A3991" s="1">
        <v>5.0</v>
      </c>
      <c r="B3991" s="1" t="s">
        <v>3971</v>
      </c>
      <c r="C3991" t="str">
        <f>IFERROR(__xludf.DUMMYFUNCTION("GOOGLETRANSLATE(B3991, ""es"", ""en"")"),"Progress! I would never have imagined that an article that was used many years ago worked so well. For the price you will assured of a supercomfort to get into the bed. Ojala would have bought before!")</f>
        <v>Progress! I would never have imagined that an article that was used many years ago worked so well. For the price you will assured of a supercomfort to get into the bed. Ojala would have bought before!</v>
      </c>
    </row>
    <row r="3992">
      <c r="A3992" s="1">
        <v>5.0</v>
      </c>
      <c r="B3992" s="1" t="s">
        <v>3972</v>
      </c>
      <c r="C3992" t="str">
        <f>IFERROR(__xludf.DUMMYFUNCTION("GOOGLETRANSLATE(B3992, ""es"", ""en"")"),"Perfect just what I wanted and what marks in the description. Good quality and good material. I would definitely buy")</f>
        <v>Perfect just what I wanted and what marks in the description. Good quality and good material. I would definitely buy</v>
      </c>
    </row>
    <row r="3993">
      <c r="A3993" s="1">
        <v>5.0</v>
      </c>
      <c r="B3993" s="1" t="s">
        <v>3973</v>
      </c>
      <c r="C3993" t="str">
        <f>IFERROR(__xludf.DUMMYFUNCTION("GOOGLETRANSLATE(B3993, ""es"", ""en"")"),"Beautiful and comfortable super nice and comfy, I love")</f>
        <v>Beautiful and comfortable super nice and comfy, I love</v>
      </c>
    </row>
    <row r="3994">
      <c r="A3994" s="1">
        <v>5.0</v>
      </c>
      <c r="B3994" s="1" t="s">
        <v>3974</v>
      </c>
      <c r="C3994" t="str">
        <f>IFERROR(__xludf.DUMMYFUNCTION("GOOGLETRANSLATE(B3994, ""es"", ""en"")"),"Very cool Shoulder bag good quality and design. I could not find anything like that in my city. It has a value for money unbeatable")</f>
        <v>Very cool Shoulder bag good quality and design. I could not find anything like that in my city. It has a value for money unbeatable</v>
      </c>
    </row>
    <row r="3995">
      <c r="A3995" s="1">
        <v>5.0</v>
      </c>
      <c r="B3995" s="1" t="s">
        <v>3975</v>
      </c>
      <c r="C3995" t="str">
        <f>IFERROR(__xludf.DUMMYFUNCTION("GOOGLETRANSLATE(B3995, ""es"", ""en"")"),"Excellent product I have over 1 year with her, outside this as new, still it works like the first day and that we use almost daily. Sobrado will power to make purees, sauces, etc. Very happy with the purchase.")</f>
        <v>Excellent product I have over 1 year with her, outside this as new, still it works like the first day and that we use almost daily. Sobrado will power to make purees, sauces, etc. Very happy with the purchase.</v>
      </c>
    </row>
    <row r="3996">
      <c r="A3996" s="1">
        <v>2.0</v>
      </c>
      <c r="B3996" s="1" t="s">
        <v>3976</v>
      </c>
      <c r="C3996" t="str">
        <f>IFERROR(__xludf.DUMMYFUNCTION("GOOGLETRANSLATE(B3996, ""es"", ""en"")"),"small are smaller than they look, stick pretty but not worth me for what I bought, I think they should one euro by side photo of the catalog to give you an idea of ​​the size.")</f>
        <v>small are smaller than they look, stick pretty but not worth me for what I bought, I think they should one euro by side photo of the catalog to give you an idea of ​​the size.</v>
      </c>
    </row>
    <row r="3997">
      <c r="A3997" s="1">
        <v>3.0</v>
      </c>
      <c r="B3997" s="1" t="s">
        <v>3977</v>
      </c>
      <c r="C3997" t="str">
        <f>IFERROR(__xludf.DUMMYFUNCTION("GOOGLETRANSLATE(B3997, ""es"", ""en"")"),"It gives some taste acceptable but nothing out of this world ....")</f>
        <v>It gives some taste acceptable but nothing out of this world ....</v>
      </c>
    </row>
    <row r="3998">
      <c r="A3998" s="1">
        <v>3.0</v>
      </c>
      <c r="B3998" s="1" t="s">
        <v>3978</v>
      </c>
      <c r="C3998" t="str">
        <f>IFERROR(__xludf.DUMMYFUNCTION("GOOGLETRANSLATE(B3998, ""es"", ""en"")"),"Q too big for what I thought was expecting more type bag and a backpack for odenador and other documents. Very thin for my taste")</f>
        <v>Q too big for what I thought was expecting more type bag and a backpack for odenador and other documents. Very thin for my taste</v>
      </c>
    </row>
    <row r="3999">
      <c r="A3999" s="1">
        <v>1.0</v>
      </c>
      <c r="B3999" s="1" t="s">
        <v>3979</v>
      </c>
      <c r="C3999" t="str">
        <f>IFERROR(__xludf.DUMMYFUNCTION("GOOGLETRANSLATE(B3999, ""es"", ""en"")"),"Nanny bad experience color that appeared in which I chose.")</f>
        <v>Nanny bad experience color that appeared in which I chose.</v>
      </c>
    </row>
    <row r="4000">
      <c r="A4000" s="1">
        <v>1.0</v>
      </c>
      <c r="B4000" s="1" t="s">
        <v>3980</v>
      </c>
      <c r="C4000" t="str">
        <f>IFERROR(__xludf.DUMMYFUNCTION("GOOGLETRANSLATE(B4000, ""es"", ""en"")"),"no quality backup storage data and non-durable unstable, less than three months, poor quality")</f>
        <v>no quality backup storage data and non-durable unstable, less than three months, poor quality</v>
      </c>
    </row>
    <row r="4001">
      <c r="A4001" s="1">
        <v>1.0</v>
      </c>
      <c r="B4001" s="1" t="s">
        <v>3981</v>
      </c>
      <c r="C4001" t="str">
        <f>IFERROR(__xludf.DUMMYFUNCTION("GOOGLETRANSLATE(B4001, ""es"", ""en"")"),"Perfect for a day nice ring for a couple of days, quickly loses shine, let the finger and fall black stones")</f>
        <v>Perfect for a day nice ring for a couple of days, quickly loses shine, let the finger and fall black stones</v>
      </c>
    </row>
    <row r="4002">
      <c r="A4002" s="1">
        <v>4.0</v>
      </c>
      <c r="B4002" s="1" t="s">
        <v>3982</v>
      </c>
      <c r="C4002" t="str">
        <f>IFERROR(__xludf.DUMMYFUNCTION("GOOGLETRANSLATE(B4002, ""es"", ""en"")"),"Humidifier The product has good size, works well, has the remote control for me is a very good plus, a wide range of colors, unique but you can put it lacks some power of smoke, perfect for ofina and relaxation, for when you are sick now falls somewhat sh"&amp;"ort, it depends on how you use it.")</f>
        <v>Humidifier The product has good size, works well, has the remote control for me is a very good plus, a wide range of colors, unique but you can put it lacks some power of smoke, perfect for ofina and relaxation, for when you are sick now falls somewhat short, it depends on how you use it.</v>
      </c>
    </row>
    <row r="4003">
      <c r="A4003" s="1">
        <v>4.0</v>
      </c>
      <c r="B4003" s="1" t="s">
        <v>3983</v>
      </c>
      <c r="C4003" t="str">
        <f>IFERROR(__xludf.DUMMYFUNCTION("GOOGLETRANSLATE(B4003, ""es"", ""en"")"),"🥀Archivador smart to file the most important !!! 🥀 🔥 *** Description *** 🔥 -Carpetas Accordion 12 Compartments with flaps and black cord. -Great not to worry in my files or documents and are not messy. To not find them home anywhere and whenever I nee"&amp;"d to find locate it at first! -Perfect for use and administration With 12 pockets, we can be labeled without problem and summarize the necessary documents and make our work with the filer is efficient and effective -The folder is broad and practical for l"&amp;"etter size, and suitable for a maximum of -Multifuncional A4 size, made of plastic, regular, elegant and is waterproof quality. practical and modern, solid -Design to keep us safe and the file safely !! -Perfect for children and adults. For studies, offic"&amp;"e, or home .... ♥ ️ ♥ ️ *** *** Opinion Ideal to save my documents, files from my studies for each evaluation, not to lose and not go crazy looking for it when you need it. !!! 😍 With flaps 12 so that they can be classified according to their use. Lightw"&amp;"eight, easy to carry thanks to his lapel original, modern and stylish design. 💢 *** Pros / Cons *** 💢 The plastic of the filer is not very good, both outside and inside, if you care you can last for long! And if you do not care, do not arrive or the yea"&amp;"r !!! Notice;!!!! Before buying fixed that there are two types of file cabinets that the seller sells - Archiver flap 12 (which is mine) -Archivador flap 24 without different prices !!! You choose the one that best suits your needs !!! For money, as its p"&amp;"rice the quality could be better, or more affordable !!! And the bad description of the seller to bid on the same page two completely different files and non-identical prices, produces mislead the purchaser at the time of purchase and can be produced comp"&amp;"laints are logical !!! So I vote with 4 stars ⭐⭐⭐⭐ ✍️ History Archiver *** *** ✍️ This form of saving documents arose around 1860. It consists of a folder accordion, with several divisions, which are usually classified in alphabetical order. The actual us"&amp;"e of this system is for the personal file. Professionals who use the most are the cobradoress or officials who must carry receipts, invoices or documents for billing purposes or distribution since history began to be written, there is the archiving proces"&amp;"s. Many stones, scrolls and manuscripts of great historical value have been preserved through the years and are currently adequately protected in museums. Many scrolls for example, found by chance in mud pots and these buried underground. Today continues "&amp;"the usual sealing letters, photographs, magazines, newspapers, and other documents together at an angular or foundation stone that is placed in a new building to be constructed. These primitive methods of archiving followed by others, which consisted mere"&amp;"ly in keeping the papers. Had disadvantages, as offered no protection nor any order. ✍️ *** The Archiver from the Middle Ages to 1900 *** ✍️ hook or Espigón: began to be used around the fifteenth century. It consists of a nail or spike metal base, to rest"&amp;" on the table or desk; or a plate with hook that hangs on the wall. The papers are placed on the hook as received. Some problems of this system: No papers are safeguarded against dust. -The documents can be released and / or lost. 'It's not possible to ma"&amp;"intain some order. He makes it difficult to refer to documents on file as well. To get a document be drawn from the hook all the above. 'Since the papers are punched the place on the hook, this may be on a name, number, etc. -Although all these drawbacks,"&amp;" the method of the hook or groyne is still used today. Papers retire to the end of the day to be permanently archived. In difinitiva .... You must decide Archiver more suited to your needs !!! I chose this model for this school year !!!")</f>
        <v>🥀Archivador smart to file the most important !!! 🥀 🔥 *** Description *** 🔥 -Carpetas Accordion 12 Compartments with flaps and black cord. -Great not to worry in my files or documents and are not messy. To not find them home anywhere and whenever I need to find locate it at first! -Perfect for use and administration With 12 pockets, we can be labeled without problem and summarize the necessary documents and make our work with the filer is efficient and effective -The folder is broad and practical for letter size, and suitable for a maximum of -Multifuncional A4 size, made of plastic, regular, elegant and is waterproof quality. practical and modern, solid -Design to keep us safe and the file safely !! -Perfect for children and adults. For studies, office, or home .... ♥ ️ ♥ ️ *** *** Opinion Ideal to save my documents, files from my studies for each evaluation, not to lose and not go crazy looking for it when you need it. !!! 😍 With flaps 12 so that they can be classified according to their use. Lightweight, easy to carry thanks to his lapel original, modern and stylish design. 💢 *** Pros / Cons *** 💢 The plastic of the filer is not very good, both outside and inside, if you care you can last for long! And if you do not care, do not arrive or the year !!! Notice;!!!! Before buying fixed that there are two types of file cabinets that the seller sells - Archiver flap 12 (which is mine) -Archivador flap 24 without different prices !!! You choose the one that best suits your needs !!! For money, as its price the quality could be better, or more affordable !!! And the bad description of the seller to bid on the same page two completely different files and non-identical prices, produces mislead the purchaser at the time of purchase and can be produced complaints are logical !!! So I vote with 4 stars ⭐⭐⭐⭐ ✍️ History Archiver *** *** ✍️ This form of saving documents arose around 1860. It consists of a folder accordion, with several divisions, which are usually classified in alphabetical order. The actual use of this system is for the personal file. Professionals who use the most are the cobradoress or officials who must carry receipts, invoices or documents for billing purposes or distribution since history began to be written, there is the archiving process. Many stones, scrolls and manuscripts of great historical value have been preserved through the years and are currently adequately protected in museums. Many scrolls for example, found by chance in mud pots and these buried underground. Today continues the usual sealing letters, photographs, magazines, newspapers, and other documents together at an angular or foundation stone that is placed in a new building to be constructed. These primitive methods of archiving followed by others, which consisted merely in keeping the papers. Had disadvantages, as offered no protection nor any order. ✍️ *** The Archiver from the Middle Ages to 1900 *** ✍️ hook or Espigón: began to be used around the fifteenth century. It consists of a nail or spike metal base, to rest on the table or desk; or a plate with hook that hangs on the wall. The papers are placed on the hook as received. Some problems of this system: No papers are safeguarded against dust. -The documents can be released and / or lost. 'It's not possible to maintain some order. He makes it difficult to refer to documents on file as well. To get a document be drawn from the hook all the above. 'Since the papers are punched the place on the hook, this may be on a name, number, etc. -Although all these drawbacks, the method of the hook or groyne is still used today. Papers retire to the end of the day to be permanently archived. In difinitiva .... You must decide Archiver more suited to your needs !!! I chose this model for this school year !!!</v>
      </c>
    </row>
    <row r="4004">
      <c r="A4004" s="1">
        <v>4.0</v>
      </c>
      <c r="B4004" s="1" t="s">
        <v>3984</v>
      </c>
      <c r="C4004" t="str">
        <f>IFERROR(__xludf.DUMMYFUNCTION("GOOGLETRANSLATE(B4004, ""es"", ""en"")"),"They do not seem fake. We all know these adidas boots in America, and the like Levis, carry using them years, I've had previously in the other colors and the contriode what they say other opinions, say they are authentic.")</f>
        <v>They do not seem fake. We all know these adidas boots in America, and the like Levis, carry using them years, I've had previously in the other colors and the contriode what they say other opinions, say they are authentic.</v>
      </c>
    </row>
    <row r="4005">
      <c r="A4005" s="1">
        <v>4.0</v>
      </c>
      <c r="B4005" s="1" t="s">
        <v>3985</v>
      </c>
      <c r="C4005" t="str">
        <f>IFERROR(__xludf.DUMMYFUNCTION("GOOGLETRANSLATE(B4005, ""es"", ""en"")"),"Okay okay, it does not take too much air and has not had colic with him. The only drawback is that it is a little tedious to clean the mechanism having.")</f>
        <v>Okay okay, it does not take too much air and has not had colic with him. The only drawback is that it is a little tedious to clean the mechanism having.</v>
      </c>
    </row>
    <row r="4006">
      <c r="A4006" s="1">
        <v>5.0</v>
      </c>
      <c r="B4006" s="1" t="s">
        <v>3986</v>
      </c>
      <c r="C4006" t="str">
        <f>IFERROR(__xludf.DUMMYFUNCTION("GOOGLETRANSLATE(B4006, ""es"", ""en"")"),"Better, impossible I loved! Bag ideal, even better than the pictures and the great service! I will buy 100% Colombian Style!")</f>
        <v>Better, impossible I loved! Bag ideal, even better than the pictures and the great service! I will buy 100% Colombian Style!</v>
      </c>
    </row>
    <row r="4007">
      <c r="A4007" s="1">
        <v>5.0</v>
      </c>
      <c r="B4007" s="1" t="s">
        <v>3987</v>
      </c>
      <c r="C4007" t="str">
        <f>IFERROR(__xludf.DUMMYFUNCTION("GOOGLETRANSLATE(B4007, ""es"", ""en"")"),"Bonitos is my mother bought them because we needed a change that stopped working in stereo. Despite not being insulated (they are rather typical for use with MP3 and mobile-not have micro-) are quite comfortable and the color is the same as the picture, e"&amp;"ven more cake when you see it in your hands.")</f>
        <v>Bonitos is my mother bought them because we needed a change that stopped working in stereo. Despite not being insulated (they are rather typical for use with MP3 and mobile-not have micro-) are quite comfortable and the color is the same as the picture, even more cake when you see it in your hands.</v>
      </c>
    </row>
    <row r="4008">
      <c r="A4008" s="1">
        <v>5.0</v>
      </c>
      <c r="B4008" s="1" t="s">
        <v>3988</v>
      </c>
      <c r="C4008" t="str">
        <f>IFERROR(__xludf.DUMMYFUNCTION("GOOGLETRANSLATE(B4008, ""es"", ""en"")"),"Senzill and easy good with plenty of durability both batteries as the object itself, does not fail. The light that makes important because it is soft and does not harm your eyes in the dark.")</f>
        <v>Senzill and easy good with plenty of durability both batteries as the object itself, does not fail. The light that makes important because it is soft and does not harm your eyes in the dark.</v>
      </c>
    </row>
    <row r="4009">
      <c r="A4009" s="1">
        <v>5.0</v>
      </c>
      <c r="B4009" s="1" t="s">
        <v>3989</v>
      </c>
      <c r="C4009" t="str">
        <f>IFERROR(__xludf.DUMMYFUNCTION("GOOGLETRANSLATE(B4009, ""es"", ""en"")"),"Very nice sterling silver Pretty silver bracelet with two hearts intertwined. Very comfortable to wear and fits perfectly into my wrist. I'm happy")</f>
        <v>Very nice sterling silver Pretty silver bracelet with two hearts intertwined. Very comfortable to wear and fits perfectly into my wrist. I'm happy</v>
      </c>
    </row>
    <row r="4010">
      <c r="A4010" s="1">
        <v>5.0</v>
      </c>
      <c r="B4010" s="1" t="s">
        <v>3990</v>
      </c>
      <c r="C4010" t="str">
        <f>IFERROR(__xludf.DUMMYFUNCTION("GOOGLETRANSLATE(B4010, ""es"", ""en"")"),"Very good quality very good quality of everything. And the ""lock"" strap is great and easy to open if you want to remove the clock.")</f>
        <v>Very good quality very good quality of everything. And the "lock" strap is great and easy to open if you want to remove the clock.</v>
      </c>
    </row>
    <row r="4011">
      <c r="A4011" s="1">
        <v>5.0</v>
      </c>
      <c r="B4011" s="1" t="s">
        <v>3991</v>
      </c>
      <c r="C4011" t="str">
        <f>IFERROR(__xludf.DUMMYFUNCTION("GOOGLETRANSLATE(B4011, ""es"", ""en"")"),"Perfect for carrying Tidy Bag is perfect, I am delighted, everything will finally in place and not esparramada per bag. and it is best that you change your bag in a second")</f>
        <v>Perfect for carrying Tidy Bag is perfect, I am delighted, everything will finally in place and not esparramada per bag. and it is best that you change your bag in a second</v>
      </c>
    </row>
    <row r="4012">
      <c r="A4012" s="1">
        <v>5.0</v>
      </c>
      <c r="B4012" s="1" t="s">
        <v>3992</v>
      </c>
      <c r="C4012" t="str">
        <f>IFERROR(__xludf.DUMMYFUNCTION("GOOGLETRANSLATE(B4012, ""es"", ""en"")"),"Great article is a model for the price that has, by design, battery and sound quality worth. Good quality of materials and last hope")</f>
        <v>Great article is a model for the price that has, by design, battery and sound quality worth. Good quality of materials and last hope</v>
      </c>
    </row>
    <row r="4013">
      <c r="A4013" s="1">
        <v>5.0</v>
      </c>
      <c r="B4013" s="1" t="s">
        <v>3993</v>
      </c>
      <c r="C4013" t="str">
        <f>IFERROR(__xludf.DUMMYFUNCTION("GOOGLETRANSLATE(B4013, ""es"", ""en"")"),"Excellent satisfied brand")</f>
        <v>Excellent satisfied brand</v>
      </c>
    </row>
    <row r="4014">
      <c r="A4014" s="1">
        <v>5.0</v>
      </c>
      <c r="B4014" s="1" t="s">
        <v>3994</v>
      </c>
      <c r="C4014" t="str">
        <f>IFERROR(__xludf.DUMMYFUNCTION("GOOGLETRANSLATE(B4014, ""es"", ""en"")"),"The design All right, well at the moment")</f>
        <v>The design All right, well at the moment</v>
      </c>
    </row>
    <row r="4015">
      <c r="A4015" s="1">
        <v>5.0</v>
      </c>
      <c r="B4015" s="1" t="s">
        <v>3995</v>
      </c>
      <c r="C4015" t="str">
        <f>IFERROR(__xludf.DUMMYFUNCTION("GOOGLETRANSLATE(B4015, ""es"", ""en"")"),"Good product quality perfect price")</f>
        <v>Good product quality perfect price</v>
      </c>
    </row>
    <row r="4016">
      <c r="A4016" s="1">
        <v>5.0</v>
      </c>
      <c r="B4016" s="1" t="s">
        <v>3996</v>
      </c>
      <c r="C4016" t="str">
        <f>IFERROR(__xludf.DUMMYFUNCTION("GOOGLETRANSLATE(B4016, ""es"", ""en"")"),"Genial I use it to connect a microphone and an acoustic guitar without problem.")</f>
        <v>Genial I use it to connect a microphone and an acoustic guitar without problem.</v>
      </c>
    </row>
    <row r="4017">
      <c r="A4017" s="1">
        <v>5.0</v>
      </c>
      <c r="B4017" s="1" t="s">
        <v>3997</v>
      </c>
      <c r="C4017" t="str">
        <f>IFERROR(__xludf.DUMMYFUNCTION("GOOGLETRANSLATE(B4017, ""es"", ""en"")"),"Quality'm very happy with the quality of the product. I use it daily. It works perfectly.")</f>
        <v>Quality'm very happy with the quality of the product. I use it daily. It works perfectly.</v>
      </c>
    </row>
    <row r="4018">
      <c r="A4018" s="1">
        <v>5.0</v>
      </c>
      <c r="B4018" s="1" t="s">
        <v>3998</v>
      </c>
      <c r="C4018" t="str">
        <f>IFERROR(__xludf.DUMMYFUNCTION("GOOGLETRANSLATE(B4018, ""es"", ""en"")"),"Very comfortable very comfortable when carrying and organize sd cards")</f>
        <v>Very comfortable very comfortable when carrying and organize sd cards</v>
      </c>
    </row>
    <row r="4019">
      <c r="A4019" s="1">
        <v>5.0</v>
      </c>
      <c r="B4019" s="1" t="s">
        <v>3999</v>
      </c>
      <c r="C4019" t="str">
        <f>IFERROR(__xludf.DUMMYFUNCTION("GOOGLETRANSLATE(B4019, ""es"", ""en"")"),"Vyena purchase is good")</f>
        <v>Vyena purchase is good</v>
      </c>
    </row>
    <row r="4020">
      <c r="A4020" s="1">
        <v>5.0</v>
      </c>
      <c r="B4020" s="1" t="s">
        <v>4000</v>
      </c>
      <c r="C4020" t="str">
        <f>IFERROR(__xludf.DUMMYFUNCTION("GOOGLETRANSLATE(B4020, ""es"", ""en"")"),"Operation proper functioning properly, it is worth.")</f>
        <v>Operation proper functioning properly, it is worth.</v>
      </c>
    </row>
    <row r="4021">
      <c r="A4021" s="1">
        <v>5.0</v>
      </c>
      <c r="B4021" s="1" t="s">
        <v>4001</v>
      </c>
      <c r="C4021" t="str">
        <f>IFERROR(__xludf.DUMMYFUNCTION("GOOGLETRANSLATE(B4021, ""es"", ""en"")"),"Perfect is the 2nd time I buy them and I love them very good finish and super comfortable")</f>
        <v>Perfect is the 2nd time I buy them and I love them very good finish and super comfortable</v>
      </c>
    </row>
    <row r="4022">
      <c r="A4022" s="1">
        <v>5.0</v>
      </c>
      <c r="B4022" s="1" t="s">
        <v>4002</v>
      </c>
      <c r="C4022" t="str">
        <f>IFERROR(__xludf.DUMMYFUNCTION("GOOGLETRANSLATE(B4022, ""es"", ""en"")"),"It's very nice elegant")</f>
        <v>It's very nice elegant</v>
      </c>
    </row>
    <row r="4023">
      <c r="A4023" s="1">
        <v>5.0</v>
      </c>
      <c r="B4023" s="1" t="s">
        <v>4003</v>
      </c>
      <c r="C4023" t="str">
        <f>IFERROR(__xludf.DUMMYFUNCTION("GOOGLETRANSLATE(B4023, ""es"", ""en"")"),"Original Superstar I came today superstar and d moment very well, they are very well d original price, last hope q, the number q have q ask useis normamente")</f>
        <v>Original Superstar I came today superstar and d moment very well, they are very well d original price, last hope q, the number q have q ask useis normamente</v>
      </c>
    </row>
    <row r="4024">
      <c r="A4024" s="1">
        <v>2.0</v>
      </c>
      <c r="B4024" s="1" t="s">
        <v>4004</v>
      </c>
      <c r="C4024" t="str">
        <f>IFERROR(__xludf.DUMMYFUNCTION("GOOGLETRANSLATE(B4024, ""es"", ""en"")"),"Slippery sole and ""leather"" low quality. Somewhat uncomfortable, quite heavy. The sole grips very little on wet or oil residues. Ventilation is very bad. When cleaned out with water, dark spots appear in the ""leather"" more than leather seems very stur"&amp;"dy cardboard ...")</f>
        <v>Slippery sole and "leather" low quality. Somewhat uncomfortable, quite heavy. The sole grips very little on wet or oil residues. Ventilation is very bad. When cleaned out with water, dark spots appear in the "leather" more than leather seems very sturdy cardboard ...</v>
      </c>
    </row>
    <row r="4025">
      <c r="A4025" s="1">
        <v>3.0</v>
      </c>
      <c r="B4025" s="1" t="s">
        <v>4005</v>
      </c>
      <c r="C4025" t="str">
        <f>IFERROR(__xludf.DUMMYFUNCTION("GOOGLETRANSLATE(B4025, ""es"", ""en"")"),"Plastic. Honestly, volcanic stones do seem to be. The others seem more plastic than anything else. In any case, it is beautiful, or the least I think so.")</f>
        <v>Plastic. Honestly, volcanic stones do seem to be. The others seem more plastic than anything else. In any case, it is beautiful, or the least I think so.</v>
      </c>
    </row>
    <row r="4026">
      <c r="A4026" s="1">
        <v>3.0</v>
      </c>
      <c r="B4026" s="1" t="s">
        <v>4006</v>
      </c>
      <c r="C4026" t="str">
        <f>IFERROR(__xludf.DUMMYFUNCTION("GOOGLETRANSLATE(B4026, ""es"", ""en"")"),"Otherwise good nice watch but quite a bit annoying Tochon ... wrist ...")</f>
        <v>Otherwise good nice watch but quite a bit annoying Tochon ... wrist ...</v>
      </c>
    </row>
    <row r="4027">
      <c r="A4027" s="1">
        <v>1.0</v>
      </c>
      <c r="B4027" s="1" t="s">
        <v>4007</v>
      </c>
      <c r="C4027" t="str">
        <f>IFERROR(__xludf.DUMMYFUNCTION("GOOGLETRANSLATE(B4027, ""es"", ""en"")"),"Korea is wrong watches Korea This is very bad so I have my new Korea breaks but I just want this watches Korea")</f>
        <v>Korea is wrong watches Korea This is very bad so I have my new Korea breaks but I just want this watches Korea</v>
      </c>
    </row>
    <row r="4028">
      <c r="A4028" s="1">
        <v>1.0</v>
      </c>
      <c r="B4028" s="1" t="s">
        <v>4008</v>
      </c>
      <c r="C4028" t="str">
        <f>IFERROR(__xludf.DUMMYFUNCTION("GOOGLETRANSLATE(B4028, ""es"", ""en"")"),"Seek another handset as they have faults. I caught since November 2017 Christmas present and until March 2018 stopped working in one of his headphones and caught 2 and both have the same problem, there is some guarantee as trust Sony, but I did not expect"&amp;" that so will damage the good fast hard than others but it's a bad experience to see that the quality of a brand fails.")</f>
        <v>Seek another handset as they have faults. I caught since November 2017 Christmas present and until March 2018 stopped working in one of his headphones and caught 2 and both have the same problem, there is some guarantee as trust Sony, but I did not expect that so will damage the good fast hard than others but it's a bad experience to see that the quality of a brand fails.</v>
      </c>
    </row>
    <row r="4029">
      <c r="A4029" s="1">
        <v>4.0</v>
      </c>
      <c r="B4029" s="1" t="s">
        <v>4009</v>
      </c>
      <c r="C4029" t="str">
        <f>IFERROR(__xludf.DUMMYFUNCTION("GOOGLETRANSLATE(B4029, ""es"", ""en"")"),"good purchase as it is described although the chain is slightly fragile")</f>
        <v>good purchase as it is described although the chain is slightly fragile</v>
      </c>
    </row>
    <row r="4030">
      <c r="A4030" s="1">
        <v>4.0</v>
      </c>
      <c r="B4030" s="1" t="s">
        <v>4010</v>
      </c>
      <c r="C4030" t="str">
        <f>IFERROR(__xludf.DUMMYFUNCTION("GOOGLETRANSLATE(B4030, ""es"", ""en"")"),"Good substitute for arm I have a microphone Neewer NW-700, and so far had with his arm, but I was uncomfortable when speaking, since it is not stretched enough and had to turn his head to see my screen. With this support, changing the piece up by the micr"&amp;"ophone spider I already had, I have a lot more comfortable and less cumbersome than the whole arm.")</f>
        <v>Good substitute for arm I have a microphone Neewer NW-700, and so far had with his arm, but I was uncomfortable when speaking, since it is not stretched enough and had to turn his head to see my screen. With this support, changing the piece up by the microphone spider I already had, I have a lot more comfortable and less cumbersome than the whole arm.</v>
      </c>
    </row>
    <row r="4031">
      <c r="A4031" s="1">
        <v>4.0</v>
      </c>
      <c r="B4031" s="1" t="s">
        <v>4011</v>
      </c>
      <c r="C4031" t="str">
        <f>IFERROR(__xludf.DUMMYFUNCTION("GOOGLETRANSLATE(B4031, ""es"", ""en"")"),"Po RLO good option that costs you can not ask for more, also has the quick insertion pin, which makes life easier when putting it and remove it")</f>
        <v>Po RLO good option that costs you can not ask for more, also has the quick insertion pin, which makes life easier when putting it and remove it</v>
      </c>
    </row>
    <row r="4032">
      <c r="A4032" s="1">
        <v>4.0</v>
      </c>
      <c r="B4032" s="1" t="s">
        <v>4012</v>
      </c>
      <c r="C4032" t="str">
        <f>IFERROR(__xludf.DUMMYFUNCTION("GOOGLETRANSLATE(B4032, ""es"", ""en"")"),"Cocky is smaller than I thought, but it is really nice and is very fine job. Value for me very good.")</f>
        <v>Cocky is smaller than I thought, but it is really nice and is very fine job. Value for me very good.</v>
      </c>
    </row>
    <row r="4033">
      <c r="A4033" s="1">
        <v>4.0</v>
      </c>
      <c r="B4033" s="1" t="s">
        <v>4013</v>
      </c>
      <c r="C4033" t="str">
        <f>IFERROR(__xludf.DUMMYFUNCTION("GOOGLETRANSLATE(B4033, ""es"", ""en"")"),"While it is as I expected, the quality is not bad but the truth in different color as seen in the photo. It is a very simple sweatshirt to wear it daily with jeans or leggings")</f>
        <v>While it is as I expected, the quality is not bad but the truth in different color as seen in the photo. It is a very simple sweatshirt to wear it daily with jeans or leggings</v>
      </c>
    </row>
    <row r="4034">
      <c r="A4034" s="1">
        <v>5.0</v>
      </c>
      <c r="B4034" s="1" t="s">
        <v>4014</v>
      </c>
      <c r="C4034" t="str">
        <f>IFERROR(__xludf.DUMMYFUNCTION("GOOGLETRANSLATE(B4034, ""es"", ""en"")"),"Supreme turns everything into liquid is amazing, zero lumps and does it all")</f>
        <v>Supreme turns everything into liquid is amazing, zero lumps and does it all</v>
      </c>
    </row>
    <row r="4035">
      <c r="A4035" s="1">
        <v>5.0</v>
      </c>
      <c r="B4035" s="1" t="s">
        <v>4015</v>
      </c>
      <c r="C4035" t="str">
        <f>IFERROR(__xludf.DUMMYFUNCTION("GOOGLETRANSLATE(B4035, ""es"", ""en"")"),"Great! A great gift for my mom, good quality and good price, apparently are very comfortable and the truth is that they are wonderful. Weigh nothing and transpasa air with ease, adecauados for these summer days. They arrived earlier than expected.")</f>
        <v>Great! A great gift for my mom, good quality and good price, apparently are very comfortable and the truth is that they are wonderful. Weigh nothing and transpasa air with ease, adecauados for these summer days. They arrived earlier than expected.</v>
      </c>
    </row>
    <row r="4036">
      <c r="A4036" s="1">
        <v>5.0</v>
      </c>
      <c r="B4036" s="1" t="s">
        <v>4016</v>
      </c>
      <c r="C4036" t="str">
        <f>IFERROR(__xludf.DUMMYFUNCTION("GOOGLETRANSLATE(B4036, ""es"", ""en"")"),"I like these NB Simply perfect. I love his style and comfort")</f>
        <v>I like these NB Simply perfect. I love his style and comfort</v>
      </c>
    </row>
    <row r="4037">
      <c r="A4037" s="1">
        <v>5.0</v>
      </c>
      <c r="B4037" s="1" t="s">
        <v>4017</v>
      </c>
      <c r="C4037" t="str">
        <f>IFERROR(__xludf.DUMMYFUNCTION("GOOGLETRANSLATE(B4037, ""es"", ""en"")"),"I bought these beautiful sports sneakers and the truth is they have a very successful design. They are also comfortable and came clean.")</f>
        <v>I bought these beautiful sports sneakers and the truth is they have a very successful design. They are also comfortable and came clean.</v>
      </c>
    </row>
    <row r="4038">
      <c r="A4038" s="1">
        <v>5.0</v>
      </c>
      <c r="B4038" s="1" t="s">
        <v>4018</v>
      </c>
      <c r="C4038" t="str">
        <f>IFERROR(__xludf.DUMMYFUNCTION("GOOGLETRANSLATE(B4038, ""es"", ""en"")"),"Ideal for small spaces. Good size and very thin. Easy to hang as it takes a few moving parts to hang with a hook or spike. Draft magnetized with gripping point for the 2 markers bearing.")</f>
        <v>Ideal for small spaces. Good size and very thin. Easy to hang as it takes a few moving parts to hang with a hook or spike. Draft magnetized with gripping point for the 2 markers bearing.</v>
      </c>
    </row>
    <row r="4039">
      <c r="A4039" s="1">
        <v>5.0</v>
      </c>
      <c r="B4039" s="1" t="s">
        <v>4019</v>
      </c>
      <c r="C4039" t="str">
        <f>IFERROR(__xludf.DUMMYFUNCTION("GOOGLETRANSLATE(B4039, ""es"", ""en"")"),"You are perfect! Bought on sale for 41 €. Comes with its original box VANS and well packed. I usually have a 37'5 but recently pulled over to 38, many people put in comments that give a lot size shoes of this brand me go me perfect. WARD eye are not the O"&amp;"LD SKOOL model, which to the untrained eye like mine are similar muuuuuuuy and do the same workaround. Be careful when buying because sometimes draw offers but with other suppliers, this time I took it with the same brand but some commentators have seen p"&amp;"eople complaining that were false, mine have come perfect and original 100% .")</f>
        <v>You are perfect! Bought on sale for 41 €. Comes with its original box VANS and well packed. I usually have a 37'5 but recently pulled over to 38, many people put in comments that give a lot size shoes of this brand me go me perfect. WARD eye are not the OLD SKOOL model, which to the untrained eye like mine are similar muuuuuuuy and do the same workaround. Be careful when buying because sometimes draw offers but with other suppliers, this time I took it with the same brand but some commentators have seen people complaining that were false, mine have come perfect and original 100% .</v>
      </c>
    </row>
    <row r="4040">
      <c r="A4040" s="1">
        <v>5.0</v>
      </c>
      <c r="B4040" s="1" t="s">
        <v>4020</v>
      </c>
      <c r="C4040" t="str">
        <f>IFERROR(__xludf.DUMMYFUNCTION("GOOGLETRANSLATE(B4040, ""es"", ""en"")"),"Perfect I like the fact that you can leave it completely dark, as many alarm clocks with light making to the turn you while you sleep you get across the face.")</f>
        <v>Perfect I like the fact that you can leave it completely dark, as many alarm clocks with light making to the turn you while you sleep you get across the face.</v>
      </c>
    </row>
    <row r="4041">
      <c r="A4041" s="1">
        <v>5.0</v>
      </c>
      <c r="B4041" s="1" t="s">
        <v>4021</v>
      </c>
      <c r="C4041" t="str">
        <f>IFERROR(__xludf.DUMMYFUNCTION("GOOGLETRANSLATE(B4041, ""es"", ""en"")"),"Good product The product well, just heavy.")</f>
        <v>Good product The product well, just heavy.</v>
      </c>
    </row>
    <row r="4042">
      <c r="A4042" s="1">
        <v>5.0</v>
      </c>
      <c r="B4042" s="1" t="s">
        <v>4022</v>
      </c>
      <c r="C4042" t="str">
        <f>IFERROR(__xludf.DUMMYFUNCTION("GOOGLETRANSLATE(B4042, ""es"", ""en"")"),"GOOD BUY Perfect is ideal to amplify the voice laden environments.")</f>
        <v>GOOD BUY Perfect is ideal to amplify the voice laden environments.</v>
      </c>
    </row>
    <row r="4043">
      <c r="A4043" s="1">
        <v>5.0</v>
      </c>
      <c r="B4043" s="1" t="s">
        <v>4023</v>
      </c>
      <c r="C4043" t="str">
        <f>IFERROR(__xludf.DUMMYFUNCTION("GOOGLETRANSLATE(B4043, ""es"", ""en"")"),"blance easy I've been using a lot of time and saves you having to change the water as often.")</f>
        <v>blance easy I've been using a lot of time and saves you having to change the water as often.</v>
      </c>
    </row>
    <row r="4044">
      <c r="A4044" s="1">
        <v>5.0</v>
      </c>
      <c r="B4044" s="1" t="s">
        <v>4024</v>
      </c>
      <c r="C4044" t="str">
        <f>IFERROR(__xludf.DUMMYFUNCTION("GOOGLETRANSLATE(B4044, ""es"", ""en"")"),"Camila I loved it and my baby too, is very well designed and I love that you can prepare the bottle without the cap from inside, and mixtures lids all without the leche👏👏👏👏 is out")</f>
        <v>Camila I loved it and my baby too, is very well designed and I love that you can prepare the bottle without the cap from inside, and mixtures lids all without the leche👏👏👏👏 is out</v>
      </c>
    </row>
    <row r="4045">
      <c r="A4045" s="1">
        <v>5.0</v>
      </c>
      <c r="B4045" s="1" t="s">
        <v>4025</v>
      </c>
      <c r="C4045" t="str">
        <f>IFERROR(__xludf.DUMMYFUNCTION("GOOGLETRANSLATE(B4045, ""es"", ""en"")"),"Meets expectations that more expensive other products very competitive price and same quality. It fits perfectly to your phone. Fully recommended. I will definitely buy.")</f>
        <v>Meets expectations that more expensive other products very competitive price and same quality. It fits perfectly to your phone. Fully recommended. I will definitely buy.</v>
      </c>
    </row>
    <row r="4046">
      <c r="A4046" s="1">
        <v>5.0</v>
      </c>
      <c r="B4046" s="1" t="s">
        <v>4026</v>
      </c>
      <c r="C4046" t="str">
        <f>IFERROR(__xludf.DUMMYFUNCTION("GOOGLETRANSLATE(B4046, ""es"", ""en"")"),"Very good mic for the price you The truth is that I was surprised by the quality of the device. With a mobile phone, or a PC, it works correctly. very good quality and good profit. There is a micro for use in a study, but gives the trick. The worst is the"&amp;" engagement flap of the battery compartment, which is anchored to the belt. Moreover, sufficient cable and good sound quality.")</f>
        <v>Very good mic for the price you The truth is that I was surprised by the quality of the device. With a mobile phone, or a PC, it works correctly. very good quality and good profit. There is a micro for use in a study, but gives the trick. The worst is the engagement flap of the battery compartment, which is anchored to the belt. Moreover, sufficient cable and good sound quality.</v>
      </c>
    </row>
    <row r="4047">
      <c r="A4047" s="1">
        <v>5.0</v>
      </c>
      <c r="B4047" s="1" t="s">
        <v>4027</v>
      </c>
      <c r="C4047" t="str">
        <f>IFERROR(__xludf.DUMMYFUNCTION("GOOGLETRANSLATE(B4047, ""es"", ""en"")"),"Good if you good buy swimmingly")</f>
        <v>Good if you good buy swimmingly</v>
      </c>
    </row>
    <row r="4048">
      <c r="A4048" s="1">
        <v>5.0</v>
      </c>
      <c r="B4048" s="1" t="s">
        <v>4028</v>
      </c>
      <c r="C4048" t="str">
        <f>IFERROR(__xludf.DUMMYFUNCTION("GOOGLETRANSLATE(B4048, ""es"", ""en"")"),"Genial October 10 perfect")</f>
        <v>Genial October 10 perfect</v>
      </c>
    </row>
    <row r="4049">
      <c r="A4049" s="1">
        <v>5.0</v>
      </c>
      <c r="B4049" s="1" t="s">
        <v>4029</v>
      </c>
      <c r="C4049" t="str">
        <f>IFERROR(__xludf.DUMMYFUNCTION("GOOGLETRANSLATE(B4049, ""es"", ""en"")"),"Comes early and well are perfect. They came in their time.")</f>
        <v>Comes early and well are perfect. They came in their time.</v>
      </c>
    </row>
    <row r="4050">
      <c r="A4050" s="1">
        <v>5.0</v>
      </c>
      <c r="B4050" s="1" t="s">
        <v>4030</v>
      </c>
      <c r="C4050" t="str">
        <f>IFERROR(__xludf.DUMMYFUNCTION("GOOGLETRANSLATE(B4050, ""es"", ""en"")"),"I really liked is as described.")</f>
        <v>I really liked is as described.</v>
      </c>
    </row>
    <row r="4051">
      <c r="A4051" s="1">
        <v>5.0</v>
      </c>
      <c r="B4051" s="1" t="s">
        <v>4031</v>
      </c>
      <c r="C4051" t="str">
        <f>IFERROR(__xludf.DUMMYFUNCTION("GOOGLETRANSLATE(B4051, ""es"", ""en"")"),"Perfect as expected.")</f>
        <v>Perfect as expected.</v>
      </c>
    </row>
    <row r="4052">
      <c r="A4052" s="1">
        <v>5.0</v>
      </c>
      <c r="B4052" s="1" t="s">
        <v>4032</v>
      </c>
      <c r="C4052" t="str">
        <f>IFERROR(__xludf.DUMMYFUNCTION("GOOGLETRANSLATE(B4052, ""es"", ""en"")"),"Pleased pleased with the smell, it's everything I expected I bought another to have spare very pleased with purchase")</f>
        <v>Pleased pleased with the smell, it's everything I expected I bought another to have spare very pleased with purchase</v>
      </c>
    </row>
    <row r="4053">
      <c r="A4053" s="1">
        <v>2.0</v>
      </c>
      <c r="B4053" s="1" t="s">
        <v>4033</v>
      </c>
      <c r="C4053" t="str">
        <f>IFERROR(__xludf.DUMMYFUNCTION("GOOGLETRANSLATE(B4053, ""es"", ""en"")"),"Look for another. The cover is of poor quality and does not open well ... hard to carry water and clean ... it takes a while to warm up.")</f>
        <v>Look for another. The cover is of poor quality and does not open well ... hard to carry water and clean ... it takes a while to warm up.</v>
      </c>
    </row>
    <row r="4054">
      <c r="A4054" s="1">
        <v>3.0</v>
      </c>
      <c r="B4054" s="1" t="s">
        <v>4034</v>
      </c>
      <c r="C4054" t="str">
        <f>IFERROR(__xludf.DUMMYFUNCTION("GOOGLETRANSLATE(B4054, ""es"", ""en"")"),"It is an alarm clock reference, not a gentleman quartz watch with brown leather strap. The description may create doubts.")</f>
        <v>It is an alarm clock reference, not a gentleman quartz watch with brown leather strap. The description may create doubts.</v>
      </c>
    </row>
    <row r="4055">
      <c r="A4055" s="1">
        <v>3.0</v>
      </c>
      <c r="B4055" s="1" t="s">
        <v>4035</v>
      </c>
      <c r="C4055" t="str">
        <f>IFERROR(__xludf.DUMMYFUNCTION("GOOGLETRANSLATE(B4055, ""es"", ""en"")"),"SUFFICIENT The pendant is cool and it works, but it lacked a brillantito up in the heart, is otherwise good value. I give it 3 stars, one bright missing and two for shipping, which took longer than expected ..")</f>
        <v>SUFFICIENT The pendant is cool and it works, but it lacked a brillantito up in the heart, is otherwise good value. I give it 3 stars, one bright missing and two for shipping, which took longer than expected ..</v>
      </c>
    </row>
    <row r="4056">
      <c r="A4056" s="1">
        <v>1.0</v>
      </c>
      <c r="B4056" s="1" t="s">
        <v>4036</v>
      </c>
      <c r="C4056" t="str">
        <f>IFERROR(__xludf.DUMMYFUNCTION("GOOGLETRANSLATE(B4056, ""es"", ""en"")"),"It was a gift that he has not liked, because the alloy having quickly gets black and smelly. It was a gift that did not like, because the alloy having quickly becomes black and smelly.")</f>
        <v>It was a gift that he has not liked, because the alloy having quickly gets black and smelly. It was a gift that did not like, because the alloy having quickly becomes black and smelly.</v>
      </c>
    </row>
    <row r="4057">
      <c r="A4057" s="1">
        <v>1.0</v>
      </c>
      <c r="B4057" s="1" t="s">
        <v>4037</v>
      </c>
      <c r="C4057" t="str">
        <f>IFERROR(__xludf.DUMMYFUNCTION("GOOGLETRANSLATE(B4057, ""es"", ""en"")"),"Glass is not block the vessel is completely loose. I think you are missing parts or you're riding wrong. But no. It is. The glass is not blocked so it gives the feeling that is going to fall at any time. Feeling of insecurity. I do not recommend it for th"&amp;"is reason.")</f>
        <v>Glass is not block the vessel is completely loose. I think you are missing parts or you're riding wrong. But no. It is. The glass is not blocked so it gives the feeling that is going to fall at any time. Feeling of insecurity. I do not recommend it for this reason.</v>
      </c>
    </row>
    <row r="4058">
      <c r="A4058" s="1">
        <v>4.0</v>
      </c>
      <c r="B4058" s="1" t="s">
        <v>4038</v>
      </c>
      <c r="C4058" t="str">
        <f>IFERROR(__xludf.DUMMYFUNCTION("GOOGLETRANSLATE(B4058, ""es"", ""en"")"),"Quality / Perfect price Very practical and easy to use. More difficult is cleaning although that is the Achilles heel of most kettles if you have sausages for fingers. Not the fastest of the market but we are talking about seconds apart so it's something "&amp;"a bit trivial. The design is nice to look at.")</f>
        <v>Quality / Perfect price Very practical and easy to use. More difficult is cleaning although that is the Achilles heel of most kettles if you have sausages for fingers. Not the fastest of the market but we are talking about seconds apart so it's something a bit trivial. The design is nice to look at.</v>
      </c>
    </row>
    <row r="4059">
      <c r="A4059" s="1">
        <v>4.0</v>
      </c>
      <c r="B4059" s="1" t="s">
        <v>4039</v>
      </c>
      <c r="C4059" t="str">
        <f>IFERROR(__xludf.DUMMYFUNCTION("GOOGLETRANSLATE(B4059, ""es"", ""en"")"),"Good product excellent quality. A good product that meets your previous profile. Simple and very effective. It delivers what it promises and gives what is expected")</f>
        <v>Good product excellent quality. A good product that meets your previous profile. Simple and very effective. It delivers what it promises and gives what is expected</v>
      </c>
    </row>
    <row r="4060">
      <c r="A4060" s="1">
        <v>4.0</v>
      </c>
      <c r="B4060" s="1" t="s">
        <v>4040</v>
      </c>
      <c r="C4060" t="str">
        <f>IFERROR(__xludf.DUMMYFUNCTION("GOOGLETRANSLATE(B4060, ""es"", ""en"")"),"Makes the workaround I like to have 4 wheels that two is not that great Toggles")</f>
        <v>Makes the workaround I like to have 4 wheels that two is not that great Toggles</v>
      </c>
    </row>
    <row r="4061">
      <c r="A4061" s="1">
        <v>4.0</v>
      </c>
      <c r="B4061" s="1" t="s">
        <v>4041</v>
      </c>
      <c r="C4061" t="str">
        <f>IFERROR(__xludf.DUMMYFUNCTION("GOOGLETRANSLATE(B4061, ""es"", ""en"")"),"Pretty amazing I can not say it's the best condenser microphone with which I recorded but to do the basics at home fulfills its function so surprising and at a more than reasonable price. The support does not seem very strong or tough but does the job. Hi"&amp;"ghly recommend buying the phantom with the micro to avoid disappointment, greatly improves sound")</f>
        <v>Pretty amazing I can not say it's the best condenser microphone with which I recorded but to do the basics at home fulfills its function so surprising and at a more than reasonable price. The support does not seem very strong or tough but does the job. Highly recommend buying the phantom with the micro to avoid disappointment, greatly improves sound</v>
      </c>
    </row>
    <row r="4062">
      <c r="A4062" s="1">
        <v>4.0</v>
      </c>
      <c r="B4062" s="1" t="s">
        <v>4042</v>
      </c>
      <c r="C4062" t="str">
        <f>IFERROR(__xludf.DUMMYFUNCTION("GOOGLETRANSLATE(B4062, ""es"", ""en"")"),"The sole comfort armor absorbs impacts against the floor, wear comfortable shoes for many hours since, not resent feet")</f>
        <v>The sole comfort armor absorbs impacts against the floor, wear comfortable shoes for many hours since, not resent feet</v>
      </c>
    </row>
    <row r="4063">
      <c r="A4063" s="1">
        <v>5.0</v>
      </c>
      <c r="B4063" s="1" t="s">
        <v>4043</v>
      </c>
      <c r="C4063" t="str">
        <f>IFERROR(__xludf.DUMMYFUNCTION("GOOGLETRANSLATE(B4063, ""es"", ""en"")"),"great Perfect")</f>
        <v>great Perfect</v>
      </c>
    </row>
    <row r="4064">
      <c r="A4064" s="1">
        <v>5.0</v>
      </c>
      <c r="B4064" s="1" t="s">
        <v>4044</v>
      </c>
      <c r="C4064" t="str">
        <f>IFERROR(__xludf.DUMMYFUNCTION("GOOGLETRANSLATE(B4064, ""es"", ""en"")"),"Perfect is very resistant")</f>
        <v>Perfect is very resistant</v>
      </c>
    </row>
    <row r="4065">
      <c r="A4065" s="1">
        <v>5.0</v>
      </c>
      <c r="B4065" s="1" t="s">
        <v>4045</v>
      </c>
      <c r="C4065" t="str">
        <f>IFERROR(__xludf.DUMMYFUNCTION("GOOGLETRANSLATE(B4065, ""es"", ""en"")"),"Good product wanted a Converse Rojas but did not want to buy in the store because they are much more expensive, I decided to buy them here in the Amazon seller are original, the same size as I tried on in the store are what I ordered and I fit perfectly.")</f>
        <v>Good product wanted a Converse Rojas but did not want to buy in the store because they are much more expensive, I decided to buy them here in the Amazon seller are original, the same size as I tried on in the store are what I ordered and I fit perfectly.</v>
      </c>
    </row>
    <row r="4066">
      <c r="A4066" s="1">
        <v>5.0</v>
      </c>
      <c r="B4066" s="1" t="s">
        <v>4046</v>
      </c>
      <c r="C4066" t="str">
        <f>IFERROR(__xludf.DUMMYFUNCTION("GOOGLETRANSLATE(B4066, ""es"", ""en"")"),"It goes very well going very well calm me pretty sore hands")</f>
        <v>It goes very well going very well calm me pretty sore hands</v>
      </c>
    </row>
    <row r="4067">
      <c r="A4067" s="1">
        <v>5.0</v>
      </c>
      <c r="B4067" s="1" t="s">
        <v>4047</v>
      </c>
      <c r="C4067" t="str">
        <f>IFERROR(__xludf.DUMMYFUNCTION("GOOGLETRANSLATE(B4067, ""es"", ""en"")"),"Very nice The size I chose is the same as what use are correct sizes are the same as in the photo and comes with two pairs of laces the cloth and wine satin me all in perfect condition")</f>
        <v>Very nice The size I chose is the same as what use are correct sizes are the same as in the photo and comes with two pairs of laces the cloth and wine satin me all in perfect condition</v>
      </c>
    </row>
    <row r="4068">
      <c r="A4068" s="1">
        <v>5.0</v>
      </c>
      <c r="B4068" s="1" t="s">
        <v>4048</v>
      </c>
      <c r="C4068" t="str">
        <f>IFERROR(__xludf.DUMMYFUNCTION("GOOGLETRANSLATE(B4068, ""es"", ""en"")"),"Beautiful!!! It's prettier than the picture beautiful, soon arrived but it was also because of the postman. It is very nice for summer and looks much, I love the great love necklace basically supplements. Good buy for nice and good price. Highly recommend"&amp;"ed.")</f>
        <v>Beautiful!!! It's prettier than the picture beautiful, soon arrived but it was also because of the postman. It is very nice for summer and looks much, I love the great love necklace basically supplements. Good buy for nice and good price. Highly recommended.</v>
      </c>
    </row>
    <row r="4069">
      <c r="A4069" s="1">
        <v>5.0</v>
      </c>
      <c r="B4069" s="1" t="s">
        <v>4049</v>
      </c>
      <c r="C4069" t="str">
        <f>IFERROR(__xludf.DUMMYFUNCTION("GOOGLETRANSLATE(B4069, ""es"", ""en"")"),"Super comfortable I use them to work, they recommended this brand and really use them to work, they are super comfortable, light and soft sole, which is appreciated. I will buy another model of this brand.")</f>
        <v>Super comfortable I use them to work, they recommended this brand and really use them to work, they are super comfortable, light and soft sole, which is appreciated. I will buy another model of this brand.</v>
      </c>
    </row>
    <row r="4070">
      <c r="A4070" s="1">
        <v>5.0</v>
      </c>
      <c r="B4070" s="1" t="s">
        <v>4050</v>
      </c>
      <c r="C4070" t="str">
        <f>IFERROR(__xludf.DUMMYFUNCTION("GOOGLETRANSLATE(B4070, ""es"", ""en"")"),"Buy one full metal plastic knowing that last bit and if so slow falling hard to the floor this is metallic see what hard")</f>
        <v>Buy one full metal plastic knowing that last bit and if so slow falling hard to the floor this is metallic see what hard</v>
      </c>
    </row>
    <row r="4071">
      <c r="A4071" s="1">
        <v>5.0</v>
      </c>
      <c r="B4071" s="1" t="s">
        <v>4051</v>
      </c>
      <c r="C4071" t="str">
        <f>IFERROR(__xludf.DUMMYFUNCTION("GOOGLETRANSLATE(B4071, ""es"", ""en"")"),"Good brand good quality")</f>
        <v>Good brand good quality</v>
      </c>
    </row>
    <row r="4072">
      <c r="A4072" s="1">
        <v>5.0</v>
      </c>
      <c r="B4072" s="1" t="s">
        <v>4052</v>
      </c>
      <c r="C4072" t="str">
        <f>IFERROR(__xludf.DUMMYFUNCTION("GOOGLETRANSLATE(B4072, ""es"", ""en"")"),"I love Amazon customer, pleasantly surprised, very comfortable, helps me to neck pain and back pain, I recommend it meets the three B")</f>
        <v>I love Amazon customer, pleasantly surprised, very comfortable, helps me to neck pain and back pain, I recommend it meets the three B</v>
      </c>
    </row>
    <row r="4073">
      <c r="A4073" s="1">
        <v>5.0</v>
      </c>
      <c r="B4073" s="1" t="s">
        <v>4053</v>
      </c>
      <c r="C4073" t="str">
        <f>IFERROR(__xludf.DUMMYFUNCTION("GOOGLETRANSLATE(B4073, ""es"", ""en"")"),"They are very comfortable. They are very comfortable, do not hurt or bother, heard a blast and the battery lasts a lot. I've used during sports and stay securely fastened, put up sweat smoothly. The audio quality is very good and the material is resistant"&amp;". Case / charger is fine with the indicator of the percentage of remaining battery.")</f>
        <v>They are very comfortable. They are very comfortable, do not hurt or bother, heard a blast and the battery lasts a lot. I've used during sports and stay securely fastened, put up sweat smoothly. The audio quality is very good and the material is resistant. Case / charger is fine with the indicator of the percentage of remaining battery.</v>
      </c>
    </row>
    <row r="4074">
      <c r="A4074" s="1">
        <v>5.0</v>
      </c>
      <c r="B4074" s="1" t="s">
        <v>4054</v>
      </c>
      <c r="C4074" t="str">
        <f>IFERROR(__xludf.DUMMYFUNCTION("GOOGLETRANSLATE(B4074, ""es"", ""en"")"),"Fabulous location as expected carving and weaving enough quality pants. Touch very nice and very pleasant to wear pants. Volvere to buy another time and I am very happy with the purchase")</f>
        <v>Fabulous location as expected carving and weaving enough quality pants. Touch very nice and very pleasant to wear pants. Volvere to buy another time and I am very happy with the purchase</v>
      </c>
    </row>
    <row r="4075">
      <c r="A4075" s="1">
        <v>5.0</v>
      </c>
      <c r="B4075" s="1" t="s">
        <v>4055</v>
      </c>
      <c r="C4075" t="str">
        <f>IFERROR(__xludf.DUMMYFUNCTION("GOOGLETRANSLATE(B4075, ""es"", ""en"")"),"Fulfills its function. It is very good pen and meets all. To put a snag, though not a catch actually is the size. As I have little fear of losing, but I still say I actually like smaller the better, it's just a personal paste. Moreover, it is quite nice ."&amp;"..")</f>
        <v>Fulfills its function. It is very good pen and meets all. To put a snag, though not a catch actually is the size. As I have little fear of losing, but I still say I actually like smaller the better, it's just a personal paste. Moreover, it is quite nice ...</v>
      </c>
    </row>
    <row r="4076">
      <c r="A4076" s="1">
        <v>5.0</v>
      </c>
      <c r="B4076" s="1" t="s">
        <v>4056</v>
      </c>
      <c r="C4076" t="str">
        <f>IFERROR(__xludf.DUMMYFUNCTION("GOOGLETRANSLATE(B4076, ""es"", ""en"")"),"Very Sueve This set of gray is very nice. Very sueve to me size L a little loose, but fine.")</f>
        <v>Very Sueve This set of gray is very nice. Very sueve to me size L a little loose, but fine.</v>
      </c>
    </row>
    <row r="4077">
      <c r="A4077" s="1">
        <v>5.0</v>
      </c>
      <c r="B4077" s="1" t="s">
        <v>4057</v>
      </c>
      <c r="C4077" t="str">
        <f>IFERROR(__xludf.DUMMYFUNCTION("GOOGLETRANSLATE(B4077, ""es"", ""en"")"),"Very good!! Perfect")</f>
        <v>Very good!! Perfect</v>
      </c>
    </row>
    <row r="4078">
      <c r="A4078" s="1">
        <v>5.0</v>
      </c>
      <c r="B4078" s="1" t="s">
        <v>4058</v>
      </c>
      <c r="C4078" t="str">
        <f>IFERROR(__xludf.DUMMYFUNCTION("GOOGLETRANSLATE(B4078, ""es"", ""en"")"),"Pick up the tummy, NO they collect all show through tipín doing tummy and lift the rear, and who does not like to look better? Delta seam in the crotch makes them very comfortable. They are very elastic and are transparent at all! Yet I have not used much"&amp;" because where I live still hot almost summer ... but promise to be the pledge of the gym this year")</f>
        <v>Pick up the tummy, NO they collect all show through tipín doing tummy and lift the rear, and who does not like to look better? Delta seam in the crotch makes them very comfortable. They are very elastic and are transparent at all! Yet I have not used much because where I live still hot almost summer ... but promise to be the pledge of the gym this year</v>
      </c>
    </row>
    <row r="4079">
      <c r="A4079" s="1">
        <v>5.0</v>
      </c>
      <c r="B4079" s="1" t="s">
        <v>4059</v>
      </c>
      <c r="C4079" t="str">
        <f>IFERROR(__xludf.DUMMYFUNCTION("GOOGLETRANSLATE(B4079, ""es"", ""en"")"),"Easy to use and activate. Microphone sounds great. Easy to use i connect the Bluetooth of the mobile (iphone). basic instructions in English but do use it missing. Good quality ultilizar use the YouTube for music and do karaoke. great 👌🏻")</f>
        <v>Easy to use and activate. Microphone sounds great. Easy to use i connect the Bluetooth of the mobile (iphone). basic instructions in English but do use it missing. Good quality ultilizar use the YouTube for music and do karaoke. great 👌🏻</v>
      </c>
    </row>
    <row r="4080">
      <c r="A4080" s="1">
        <v>5.0</v>
      </c>
      <c r="B4080" s="1" t="s">
        <v>4060</v>
      </c>
      <c r="C4080" t="str">
        <f>IFERROR(__xludf.DUMMYFUNCTION("GOOGLETRANSLATE(B4080, ""es"", ""en"")"),"Okay works very well, and for those who still use the PS2 this great")</f>
        <v>Okay works very well, and for those who still use the PS2 this great</v>
      </c>
    </row>
    <row r="4081">
      <c r="A4081" s="1">
        <v>5.0</v>
      </c>
      <c r="B4081" s="1" t="s">
        <v>4061</v>
      </c>
      <c r="C4081" t="str">
        <f>IFERROR(__xludf.DUMMYFUNCTION("GOOGLETRANSLATE(B4081, ""es"", ""en"")"),"Comfortable bottle is the only bottle that my son likes")</f>
        <v>Comfortable bottle is the only bottle that my son likes</v>
      </c>
    </row>
    <row r="4082">
      <c r="A4082" s="1">
        <v>2.0</v>
      </c>
      <c r="B4082" s="1" t="s">
        <v>4062</v>
      </c>
      <c r="C4082" t="str">
        <f>IFERROR(__xludf.DUMMYFUNCTION("GOOGLETRANSLATE(B4082, ""es"", ""en"")"),"The narrow shoes are fine without true to the image and are original. Warm and comfortable. The reason is porq put two stars are too narrow both width and is catching if you have foot wide purchase one or two sizes bigger.")</f>
        <v>The narrow shoes are fine without true to the image and are original. Warm and comfortable. The reason is porq put two stars are too narrow both width and is catching if you have foot wide purchase one or two sizes bigger.</v>
      </c>
    </row>
    <row r="4083">
      <c r="A4083" s="1">
        <v>3.0</v>
      </c>
      <c r="B4083" s="1" t="s">
        <v>4063</v>
      </c>
      <c r="C4083" t="str">
        <f>IFERROR(__xludf.DUMMYFUNCTION("GOOGLETRANSLATE(B4083, ""es"", ""en"")"),"fair model carving sports are comfortable, but if you use 38 Pillate 39, also are quite hard, that if they are nike 100%")</f>
        <v>fair model carving sports are comfortable, but if you use 38 Pillate 39, also are quite hard, that if they are nike 100%</v>
      </c>
    </row>
    <row r="4084">
      <c r="A4084" s="1">
        <v>1.0</v>
      </c>
      <c r="B4084" s="1" t="s">
        <v>4064</v>
      </c>
      <c r="C4084" t="str">
        <f>IFERROR(__xludf.DUMMYFUNCTION("GOOGLETRANSLATE(B4084, ""es"", ""en"")"),"Bad card defective card and I've had to buy another brand new because I had problems since the purchase but lately was unbearable. there is no return option to repair amazon. I'll have to look for life with warranty.")</f>
        <v>Bad card defective card and I've had to buy another brand new because I had problems since the purchase but lately was unbearable. there is no return option to repair amazon. I'll have to look for life with warranty.</v>
      </c>
    </row>
    <row r="4085">
      <c r="A4085" s="1">
        <v>1.0</v>
      </c>
      <c r="B4085" s="1" t="s">
        <v>4065</v>
      </c>
      <c r="C4085" t="str">
        <f>IFERROR(__xludf.DUMMYFUNCTION("GOOGLETRANSLATE(B4085, ""es"", ""en"")"),"No zipper as the photos show the description has no zipper so I had to return it because it would be an ordeal remove it after use")</f>
        <v>No zipper as the photos show the description has no zipper so I had to return it because it would be an ordeal remove it after use</v>
      </c>
    </row>
    <row r="4086">
      <c r="A4086" s="1">
        <v>4.0</v>
      </c>
      <c r="B4086" s="1" t="s">
        <v>4066</v>
      </c>
      <c r="C4086" t="str">
        <f>IFERROR(__xludf.DUMMYFUNCTION("GOOGLETRANSLATE(B4086, ""es"", ""en"")"),"Great! It sounds great without having to approach too as with others. The appearance of the micro is good quality and looks. The only downside is the sponge, which is a bit malilla, but I put a black flange and looks professional hehehe")</f>
        <v>Great! It sounds great without having to approach too as with others. The appearance of the micro is good quality and looks. The only downside is the sponge, which is a bit malilla, but I put a black flange and looks professional hehehe</v>
      </c>
    </row>
    <row r="4087">
      <c r="A4087" s="1">
        <v>4.0</v>
      </c>
      <c r="B4087" s="1" t="s">
        <v>4067</v>
      </c>
      <c r="C4087" t="str">
        <f>IFERROR(__xludf.DUMMYFUNCTION("GOOGLETRANSLATE(B4087, ""es"", ""en"")"),"Good vacuum cleaner with just one peguilla Hoover I quite like it, is very handy, and sucks well, that you hardly ever use the turbo. Not make excessive noise. The battery lasts me the whole house to suck 2 times, not bad. Yno long it takes to load. By pu"&amp;"tting a snag is the container that is small, and I read it before you buy it, but if it is a bit of a bummer having to empty your after almost every use, and sometimes goes wrong, the dirt is left between the walls and the filter and but out there that de"&amp;"smontarle to leave everything. But overall I am happy with the product.")</f>
        <v>Good vacuum cleaner with just one peguilla Hoover I quite like it, is very handy, and sucks well, that you hardly ever use the turbo. Not make excessive noise. The battery lasts me the whole house to suck 2 times, not bad. Yno long it takes to load. By putting a snag is the container that is small, and I read it before you buy it, but if it is a bit of a bummer having to empty your after almost every use, and sometimes goes wrong, the dirt is left between the walls and the filter and but out there that desmontarle to leave everything. But overall I am happy with the product.</v>
      </c>
    </row>
    <row r="4088">
      <c r="A4088" s="1">
        <v>4.0</v>
      </c>
      <c r="B4088" s="1" t="s">
        <v>4068</v>
      </c>
      <c r="C4088" t="str">
        <f>IFERROR(__xludf.DUMMYFUNCTION("GOOGLETRANSLATE(B4088, ""es"", ""en"")"),"all right all right")</f>
        <v>all right all right</v>
      </c>
    </row>
    <row r="4089">
      <c r="A4089" s="1">
        <v>4.0</v>
      </c>
      <c r="B4089" s="1" t="s">
        <v>4069</v>
      </c>
      <c r="C4089" t="str">
        <f>IFERROR(__xludf.DUMMYFUNCTION("GOOGLETRANSLATE(B4089, ""es"", ""en"")"),"Good memory card 32gb card that works perfectly, the fluidity of data exchange is appreciable, all at a price pretty tight. Good value for money.")</f>
        <v>Good memory card 32gb card that works perfectly, the fluidity of data exchange is appreciable, all at a price pretty tight. Good value for money.</v>
      </c>
    </row>
    <row r="4090">
      <c r="A4090" s="1">
        <v>4.0</v>
      </c>
      <c r="B4090" s="1" t="s">
        <v>4070</v>
      </c>
      <c r="C4090" t="str">
        <f>IFERROR(__xludf.DUMMYFUNCTION("GOOGLETRANSLATE(B4090, ""es"", ""en"")"),"They are good is good product")</f>
        <v>They are good is good product</v>
      </c>
    </row>
    <row r="4091">
      <c r="A4091" s="1">
        <v>5.0</v>
      </c>
      <c r="B4091" s="1" t="s">
        <v>4071</v>
      </c>
      <c r="C4091" t="str">
        <f>IFERROR(__xludf.DUMMYFUNCTION("GOOGLETRANSLATE(B4091, ""es"", ""en"")"),"Excellent Card To get maps RNEG Peugeot 2018/2 perfect !!!")</f>
        <v>Excellent Card To get maps RNEG Peugeot 2018/2 perfect !!!</v>
      </c>
    </row>
    <row r="4092">
      <c r="A4092" s="1">
        <v>5.0</v>
      </c>
      <c r="B4092" s="1" t="s">
        <v>4072</v>
      </c>
      <c r="C4092" t="str">
        <f>IFERROR(__xludf.DUMMYFUNCTION("GOOGLETRANSLATE(B4092, ""es"", ""en"")"),"As they described. Did not take long to arrive and the quality is very good, does the job")</f>
        <v>As they described. Did not take long to arrive and the quality is very good, does the job</v>
      </c>
    </row>
    <row r="4093">
      <c r="A4093" s="1">
        <v>5.0</v>
      </c>
      <c r="B4093" s="1" t="s">
        <v>4073</v>
      </c>
      <c r="C4093" t="str">
        <f>IFERROR(__xludf.DUMMYFUNCTION("GOOGLETRANSLATE(B4093, ""es"", ""en"")"),"friendly atmosphere I enjoyed this humidifier, noise is negligible, design I liked it, I can put anywhere elegantly time programming functions and command is extremely comfortable to use and easy to understand.")</f>
        <v>friendly atmosphere I enjoyed this humidifier, noise is negligible, design I liked it, I can put anywhere elegantly time programming functions and command is extremely comfortable to use and easy to understand.</v>
      </c>
    </row>
    <row r="4094">
      <c r="A4094" s="1">
        <v>5.0</v>
      </c>
      <c r="B4094" s="1" t="s">
        <v>4074</v>
      </c>
      <c r="C4094" t="str">
        <f>IFERROR(__xludf.DUMMYFUNCTION("GOOGLETRANSLATE(B4094, ""es"", ""en"")"),"Good quality Excellent quality for the price, you can not ask for more.")</f>
        <v>Good quality Excellent quality for the price, you can not ask for more.</v>
      </c>
    </row>
    <row r="4095">
      <c r="A4095" s="1">
        <v>5.0</v>
      </c>
      <c r="B4095" s="1" t="s">
        <v>4075</v>
      </c>
      <c r="C4095" t="str">
        <f>IFERROR(__xludf.DUMMYFUNCTION("GOOGLETRANSLATE(B4095, ""es"", ""en"")"),"Meshes very cool and super comfortable as pictured")</f>
        <v>Meshes very cool and super comfortable as pictured</v>
      </c>
    </row>
    <row r="4096">
      <c r="A4096" s="1">
        <v>5.0</v>
      </c>
      <c r="B4096" s="1" t="s">
        <v>4076</v>
      </c>
      <c r="C4096" t="str">
        <f>IFERROR(__xludf.DUMMYFUNCTION("GOOGLETRANSLATE(B4096, ""es"", ""en"")"),"They are a good buy comfortable flip flops, and hope durable.")</f>
        <v>They are a good buy comfortable flip flops, and hope durable.</v>
      </c>
    </row>
    <row r="4097">
      <c r="A4097" s="1">
        <v>5.0</v>
      </c>
      <c r="B4097" s="1" t="s">
        <v>4077</v>
      </c>
      <c r="C4097" t="str">
        <f>IFERROR(__xludf.DUMMYFUNCTION("GOOGLETRANSLATE(B4097, ""es"", ""en"")"),"Very good despite the price difference with maracas as Braun, Bosch ... this hand mixer not only matches these ... the beats. Fast, comfortable for the length of his arm, functional. Is the demonstration that ""all is not gold that glitters"" and although"&amp;" other maracas ""reluzcan"" more .... this beats no doubt. I recommend it to anyone who needs a hand mixer that meets your view")</f>
        <v>Very good despite the price difference with maracas as Braun, Bosch ... this hand mixer not only matches these ... the beats. Fast, comfortable for the length of his arm, functional. Is the demonstration that "all is not gold that glitters" and although other maracas "reluzcan" more .... this beats no doubt. I recommend it to anyone who needs a hand mixer that meets your view</v>
      </c>
    </row>
    <row r="4098">
      <c r="A4098" s="1">
        <v>5.0</v>
      </c>
      <c r="B4098" s="1" t="s">
        <v>4078</v>
      </c>
      <c r="C4098" t="str">
        <f>IFERROR(__xludf.DUMMYFUNCTION("GOOGLETRANSLATE(B4098, ""es"", ""en"")"),"Super Va very Birn, comfortable and quality materials")</f>
        <v>Super Va very Birn, comfortable and quality materials</v>
      </c>
    </row>
    <row r="4099">
      <c r="A4099" s="1">
        <v>5.0</v>
      </c>
      <c r="B4099" s="1" t="s">
        <v>4079</v>
      </c>
      <c r="C4099" t="str">
        <f>IFERROR(__xludf.DUMMYFUNCTION("GOOGLETRANSLATE(B4099, ""es"", ""en"")"),"100% recommended Great product. Recommended 100%. I helped tubelizar on a tire that was not previously tubeless and tubelice. I encourage you to ask.")</f>
        <v>100% recommended Great product. Recommended 100%. I helped tubelizar on a tire that was not previously tubeless and tubelice. I encourage you to ask.</v>
      </c>
    </row>
    <row r="4100">
      <c r="A4100" s="1">
        <v>5.0</v>
      </c>
      <c r="B4100" s="1" t="s">
        <v>4080</v>
      </c>
      <c r="C4100" t="str">
        <f>IFERROR(__xludf.DUMMYFUNCTION("GOOGLETRANSLATE(B4100, ""es"", ""en"")"),"Great design elegance thanks jewel in elegance and design. A success in every purchase, always very satisfying. Highly recommended and very tasteful.")</f>
        <v>Great design elegance thanks jewel in elegance and design. A success in every purchase, always very satisfying. Highly recommended and very tasteful.</v>
      </c>
    </row>
    <row r="4101">
      <c r="A4101" s="1">
        <v>5.0</v>
      </c>
      <c r="B4101" s="1" t="s">
        <v>4081</v>
      </c>
      <c r="C4101" t="str">
        <f>IFERROR(__xludf.DUMMYFUNCTION("GOOGLETRANSLATE(B4101, ""es"", ""en"")"),"A good gift I bought this set of essential oils to give to my mother because it comes packaged in a beautiful and useful box. Nine essential oils are very varied, my mother used a diffuser and the truth is that last a long time because three or four drops"&amp;" is enough. His favorite is the cinnamon smell it leaves the home. It is a good gift choice, highly recommended.")</f>
        <v>A good gift I bought this set of essential oils to give to my mother because it comes packaged in a beautiful and useful box. Nine essential oils are very varied, my mother used a diffuser and the truth is that last a long time because three or four drops is enough. His favorite is the cinnamon smell it leaves the home. It is a good gift choice, highly recommended.</v>
      </c>
    </row>
    <row r="4102">
      <c r="A4102" s="1">
        <v>5.0</v>
      </c>
      <c r="B4102" s="1" t="s">
        <v>4082</v>
      </c>
      <c r="C4102" t="str">
        <f>IFERROR(__xludf.DUMMYFUNCTION("GOOGLETRANSLATE(B4102, ""es"", ""en"")"),"Carve recommended for more, use 38 but like some shoes do better I ordered the 39 I 39 just in case, and I was too big. Change it to 38 without problems, and although I think they'll still me a great Pelin I very comfortable with them")</f>
        <v>Carve recommended for more, use 38 but like some shoes do better I ordered the 39 I 39 just in case, and I was too big. Change it to 38 without problems, and although I think they'll still me a great Pelin I very comfortable with them</v>
      </c>
    </row>
    <row r="4103">
      <c r="A4103" s="1">
        <v>5.0</v>
      </c>
      <c r="B4103" s="1" t="s">
        <v>4083</v>
      </c>
      <c r="C4103" t="str">
        <f>IFERROR(__xludf.DUMMYFUNCTION("GOOGLETRANSLATE(B4103, ""es"", ""en"")"),"Vans Vans original classic black and white laces at unbeatable price. Original box without any defect. Great value for the price. The perfect size.")</f>
        <v>Vans Vans original classic black and white laces at unbeatable price. Original box without any defect. Great value for the price. The perfect size.</v>
      </c>
    </row>
    <row r="4104">
      <c r="A4104" s="1">
        <v>5.0</v>
      </c>
      <c r="B4104" s="1" t="s">
        <v>4084</v>
      </c>
      <c r="C4104" t="str">
        <f>IFERROR(__xludf.DUMMYFUNCTION("GOOGLETRANSLATE(B4104, ""es"", ""en"")"),"They are very good quality! No complaints! They are super easy to clean by simply thrown, and the drawings are kept in perfect condition after many washes !!!")</f>
        <v>They are very good quality! No complaints! They are super easy to clean by simply thrown, and the drawings are kept in perfect condition after many washes !!!</v>
      </c>
    </row>
    <row r="4105">
      <c r="A4105" s="1">
        <v>5.0</v>
      </c>
      <c r="B4105" s="1" t="s">
        <v>4085</v>
      </c>
      <c r="C4105" t="str">
        <f>IFERROR(__xludf.DUMMYFUNCTION("GOOGLETRANSLATE(B4105, ""es"", ""en"")"),"Very spacious very wide and very fast heats")</f>
        <v>Very spacious very wide and very fast heats</v>
      </c>
    </row>
    <row r="4106">
      <c r="A4106" s="1">
        <v>5.0</v>
      </c>
      <c r="B4106" s="1" t="s">
        <v>4086</v>
      </c>
      <c r="C4106" t="str">
        <f>IFERROR(__xludf.DUMMYFUNCTION("GOOGLETRANSLATE(B4106, ""es"", ""en"")"),"Such price good quality which is described. Very satisfied with the purchase")</f>
        <v>Such price good quality which is described. Very satisfied with the purchase</v>
      </c>
    </row>
    <row r="4107">
      <c r="A4107" s="1">
        <v>5.0</v>
      </c>
      <c r="B4107" s="1" t="s">
        <v>4087</v>
      </c>
      <c r="C4107" t="str">
        <f>IFERROR(__xludf.DUMMYFUNCTION("GOOGLETRANSLATE(B4107, ""es"", ""en"")"),"All Terrain A large but great pelón, my daughter has been a year with is as the first perfect day for the beach pool gym daily jog")</f>
        <v>All Terrain A large but great pelón, my daughter has been a year with is as the first perfect day for the beach pool gym daily jog</v>
      </c>
    </row>
    <row r="4108">
      <c r="A4108" s="1">
        <v>5.0</v>
      </c>
      <c r="B4108" s="1" t="s">
        <v>4088</v>
      </c>
      <c r="C4108" t="str">
        <f>IFERROR(__xludf.DUMMYFUNCTION("GOOGLETRANSLATE(B4108, ""es"", ""en"")"),"Bmtodo pretty well")</f>
        <v>Bmtodo pretty well</v>
      </c>
    </row>
    <row r="4109">
      <c r="A4109" s="1">
        <v>2.0</v>
      </c>
      <c r="B4109" s="1" t="s">
        <v>4089</v>
      </c>
      <c r="C4109" t="str">
        <f>IFERROR(__xludf.DUMMYFUNCTION("GOOGLETRANSLATE(B4109, ""es"", ""en"")"),"Imitation. They are Huawei brand. The first is non Huawei, is an imitation. Although they have plastic touch weaker than the original .... the difference for now is not much and do their job. I use to listen to music on the street running well and sound c"&amp;"ontrols. They just called me once and I did not listen loud air so well to such use I can not comment.")</f>
        <v>Imitation. They are Huawei brand. The first is non Huawei, is an imitation. Although they have plastic touch weaker than the original .... the difference for now is not much and do their job. I use to listen to music on the street running well and sound controls. They just called me once and I did not listen loud air so well to such use I can not comment.</v>
      </c>
    </row>
    <row r="4110">
      <c r="A4110" s="1">
        <v>3.0</v>
      </c>
      <c r="B4110" s="1" t="s">
        <v>4090</v>
      </c>
      <c r="C4110" t="str">
        <f>IFERROR(__xludf.DUMMYFUNCTION("GOOGLETRANSLATE(B4110, ""es"", ""en"")"),"Beautiful and elegant design are elegant and a nice design that can be used for all kinds of occasions. Comfortable although I must say that the principle of use and wear them a few hours. I pressed a bit by the side of the tips. But then as well and now "&amp;"I are very comfortable.")</f>
        <v>Beautiful and elegant design are elegant and a nice design that can be used for all kinds of occasions. Comfortable although I must say that the principle of use and wear them a few hours. I pressed a bit by the side of the tips. But then as well and now I are very comfortable.</v>
      </c>
    </row>
    <row r="4111">
      <c r="A4111" s="1">
        <v>3.0</v>
      </c>
      <c r="B4111" s="1" t="s">
        <v>4091</v>
      </c>
      <c r="C4111" t="str">
        <f>IFERROR(__xludf.DUMMYFUNCTION("GOOGLETRANSLATE(B4111, ""es"", ""en"")"),"The home warranty is very poor What did not convince me is that the product registration so I give little guarantee of the house, the Amazon very friendly spoke with me and said that although put that had my 2-year warranty on October 1 for people from Am"&amp;"azon that gets you out of doubt quickly")</f>
        <v>The home warranty is very poor What did not convince me is that the product registration so I give little guarantee of the house, the Amazon very friendly spoke with me and said that although put that had my 2-year warranty on October 1 for people from Amazon that gets you out of doubt quickly</v>
      </c>
    </row>
    <row r="4112">
      <c r="A4112" s="1">
        <v>1.0</v>
      </c>
      <c r="B4112" s="1" t="s">
        <v>4092</v>
      </c>
      <c r="C4112" t="str">
        <f>IFERROR(__xludf.DUMMYFUNCTION("GOOGLETRANSLATE(B4112, ""es"", ""en"")"),"He needed a cork ripped off and looked me right this size. When he arrived he was desizing so, plus they do not fit into the frame (so ""dancing"" and could not punch anything), I could see the corkboard ... what a disappointment! It is a corrugated board"&amp;" (such as the same in the coming packed) coated thin cork two sheets on both sides. I had to stick both sides to the frame with glue so that it can use and prodding a thumbtack can hear what you're clicking is the cardboard underneath. I would not buy, do"&amp;" not recommend it.")</f>
        <v>He needed a cork ripped off and looked me right this size. When he arrived he was desizing so, plus they do not fit into the frame (so "dancing" and could not punch anything), I could see the corkboard ... what a disappointment! It is a corrugated board (such as the same in the coming packed) coated thin cork two sheets on both sides. I had to stick both sides to the frame with glue so that it can use and prodding a thumbtack can hear what you're clicking is the cardboard underneath. I would not buy, do not recommend it.</v>
      </c>
    </row>
    <row r="4113">
      <c r="A4113" s="1">
        <v>1.0</v>
      </c>
      <c r="B4113" s="1" t="s">
        <v>4093</v>
      </c>
      <c r="C4113" t="str">
        <f>IFERROR(__xludf.DUMMYFUNCTION("GOOGLETRANSLATE(B4113, ""es"", ""en"")"),"Javier Fernández disappointed. I expect anything else from calidad.Una best thing is the photo and another realidad.Mala luck. Maybe next time.")</f>
        <v>Javier Fernández disappointed. I expect anything else from calidad.Una best thing is the photo and another realidad.Mala luck. Maybe next time.</v>
      </c>
    </row>
    <row r="4114">
      <c r="A4114" s="1">
        <v>1.0</v>
      </c>
      <c r="B4114" s="1" t="s">
        <v>4094</v>
      </c>
      <c r="C4114" t="str">
        <f>IFERROR(__xludf.DUMMYFUNCTION("GOOGLETRANSLATE(B4114, ""es"", ""en"")"),"LASTED A MONTH OR No lasted HAS me one measly month of use, use for anything intense only as backup things and little else. HORRIBLE experience. I do not recommend anyone buy this or any external drive, buy an SSD (Internal) 2.5 and USB adapter. For some "&amp;"reason the manufacturing quality of external disks is horrible.")</f>
        <v>LASTED A MONTH OR No lasted HAS me one measly month of use, use for anything intense only as backup things and little else. HORRIBLE experience. I do not recommend anyone buy this or any external drive, buy an SSD (Internal) 2.5 and USB adapter. For some reason the manufacturing quality of external disks is horrible.</v>
      </c>
    </row>
    <row r="4115">
      <c r="A4115" s="1">
        <v>4.0</v>
      </c>
      <c r="B4115" s="1" t="s">
        <v>4095</v>
      </c>
      <c r="C4115" t="str">
        <f>IFERROR(__xludf.DUMMYFUNCTION("GOOGLETRANSLATE(B4115, ""es"", ""en"")"),"good case and substantial aferta Now my kids just want Eastpak, things fashion. So find an offer is always appreciated. Objectively the case is nice and very complete and practical inside")</f>
        <v>good case and substantial aferta Now my kids just want Eastpak, things fashion. So find an offer is always appreciated. Objectively the case is nice and very complete and practical inside</v>
      </c>
    </row>
    <row r="4116">
      <c r="A4116" s="1">
        <v>4.0</v>
      </c>
      <c r="B4116" s="1" t="s">
        <v>4096</v>
      </c>
      <c r="C4116" t="str">
        <f>IFERROR(__xludf.DUMMYFUNCTION("GOOGLETRANSLATE(B4116, ""es"", ""en"")"),"CONVENIENCE I like the overall product. I use them to work are very comfortable and useful for the QE tabajo development.")</f>
        <v>CONVENIENCE I like the overall product. I use them to work are very comfortable and useful for the QE tabajo development.</v>
      </c>
    </row>
    <row r="4117">
      <c r="A4117" s="1">
        <v>4.0</v>
      </c>
      <c r="B4117" s="1" t="s">
        <v>4097</v>
      </c>
      <c r="C4117" t="str">
        <f>IFERROR(__xludf.DUMMYFUNCTION("GOOGLETRANSLATE(B4117, ""es"", ""en"")"),"Decent value for money. After giving much tralla to the G230 was finished falling apart so I decided to catch his successor, the G430. It is virtually the same with slight technical modifications, as specified, they are somewhat better. You get what you p"&amp;"ay for, good sound quality for gaming, sturdy construction (I insist, the predecessor suffered and endured much use as a champion). The only downside that I've found new is that it may be a little uncomfortable at the top, so I think to rescue the old pad"&amp;". Also it drags the volume control features of the predecessor, but he was already used to them. Overall, good value for money.")</f>
        <v>Decent value for money. After giving much tralla to the G230 was finished falling apart so I decided to catch his successor, the G430. It is virtually the same with slight technical modifications, as specified, they are somewhat better. You get what you pay for, good sound quality for gaming, sturdy construction (I insist, the predecessor suffered and endured much use as a champion). The only downside that I've found new is that it may be a little uncomfortable at the top, so I think to rescue the old pad. Also it drags the volume control features of the predecessor, but he was already used to them. Overall, good value for money.</v>
      </c>
    </row>
    <row r="4118">
      <c r="A4118" s="1">
        <v>4.0</v>
      </c>
      <c r="B4118" s="1" t="s">
        <v>4098</v>
      </c>
      <c r="C4118" t="str">
        <f>IFERROR(__xludf.DUMMYFUNCTION("GOOGLETRANSLATE(B4118, ""es"", ""en"")"),"decent sound for the price. They have a super clean sound, but picked because they were cheap and needed a headset jack to travel, and certainly are better than those who were to give away on the train. They have an acceptable sound for the price, and are"&amp;" comfortable in the ear.")</f>
        <v>decent sound for the price. They have a super clean sound, but picked because they were cheap and needed a headset jack to travel, and certainly are better than those who were to give away on the train. They have an acceptable sound for the price, and are comfortable in the ear.</v>
      </c>
    </row>
    <row r="4119">
      <c r="A4119" s="1">
        <v>5.0</v>
      </c>
      <c r="B4119" s="1" t="s">
        <v>4099</v>
      </c>
      <c r="C4119" t="str">
        <f>IFERROR(__xludf.DUMMYFUNCTION("GOOGLETRANSLATE(B4119, ""es"", ""en"")"),"Santo hand this SSD Perfect. Undoubtedly the best thing that could happen to my old asus to regain his speed. 4GB of RAM and this SSD have given new life to my laptop. I recommend imperiously before changing laptop.")</f>
        <v>Santo hand this SSD Perfect. Undoubtedly the best thing that could happen to my old asus to regain his speed. 4GB of RAM and this SSD have given new life to my laptop. I recommend imperiously before changing laptop.</v>
      </c>
    </row>
    <row r="4120">
      <c r="A4120" s="1">
        <v>5.0</v>
      </c>
      <c r="B4120" s="1" t="s">
        <v>4100</v>
      </c>
      <c r="C4120" t="str">
        <f>IFERROR(__xludf.DUMMYFUNCTION("GOOGLETRANSLATE(B4120, ""es"", ""en"")"),"Excellent!!! I bought this tray mainly for the price and thought it would be of average quality, but it is not, it works perfectly. This program synchronized with the POS and printer. Magazines are comfortable and you can resize the spaces for coins. Exce"&amp;"llent!!! I recommend it 100%.")</f>
        <v>Excellent!!! I bought this tray mainly for the price and thought it would be of average quality, but it is not, it works perfectly. This program synchronized with the POS and printer. Magazines are comfortable and you can resize the spaces for coins. Excellent!!! I recommend it 100%.</v>
      </c>
    </row>
    <row r="4121">
      <c r="A4121" s="1">
        <v>5.0</v>
      </c>
      <c r="B4121" s="1" t="s">
        <v>4101</v>
      </c>
      <c r="C4121" t="str">
        <f>IFERROR(__xludf.DUMMYFUNCTION("GOOGLETRANSLATE(B4121, ""es"", ""en"")"),"good product good product")</f>
        <v>good product good product</v>
      </c>
    </row>
    <row r="4122">
      <c r="A4122" s="1">
        <v>5.0</v>
      </c>
      <c r="B4122" s="1" t="s">
        <v>4102</v>
      </c>
      <c r="C4122" t="str">
        <f>IFERROR(__xludf.DUMMYFUNCTION("GOOGLETRANSLATE(B4122, ""es"", ""en"")"),"Good and very good quality, ideal for recordings with Sony camera you buy with it also in Amazon, perfect all")</f>
        <v>Good and very good quality, ideal for recordings with Sony camera you buy with it also in Amazon, perfect all</v>
      </c>
    </row>
    <row r="4123">
      <c r="A4123" s="1">
        <v>5.0</v>
      </c>
      <c r="B4123" s="1" t="s">
        <v>4103</v>
      </c>
      <c r="C4123" t="str">
        <f>IFERROR(__xludf.DUMMYFUNCTION("GOOGLETRANSLATE(B4123, ""es"", ""en"")"),"Good sound, comfortable small headphones of the best I've had, you record sound with marked and nice and comfort in the ear.")</f>
        <v>Good sound, comfortable small headphones of the best I've had, you record sound with marked and nice and comfort in the ear.</v>
      </c>
    </row>
    <row r="4124">
      <c r="A4124" s="1">
        <v>5.0</v>
      </c>
      <c r="B4124" s="1" t="s">
        <v>4104</v>
      </c>
      <c r="C4124" t="str">
        <f>IFERROR(__xludf.DUMMYFUNCTION("GOOGLETRANSLATE(B4124, ""es"", ""en"")"),"Perfect is very light and can take hung both the right side as the left. It is what I wanted.")</f>
        <v>Perfect is very light and can take hung both the right side as the left. It is what I wanted.</v>
      </c>
    </row>
    <row r="4125">
      <c r="A4125" s="1">
        <v>5.0</v>
      </c>
      <c r="B4125" s="1" t="s">
        <v>4105</v>
      </c>
      <c r="C4125" t="str">
        <f>IFERROR(__xludf.DUMMYFUNCTION("GOOGLETRANSLATE(B4125, ""es"", ""en"")"),"Never disappoints ... great, as always. 574 is the model that I like ... everyone likes ... there are many also ... in my case size is always perfect and go.")</f>
        <v>Never disappoints ... great, as always. 574 is the model that I like ... everyone likes ... there are many also ... in my case size is always perfect and go.</v>
      </c>
    </row>
    <row r="4126">
      <c r="A4126" s="1">
        <v>5.0</v>
      </c>
      <c r="B4126" s="1" t="s">
        <v>4106</v>
      </c>
      <c r="C4126" t="str">
        <f>IFERROR(__xludf.DUMMYFUNCTION("GOOGLETRANSLATE(B4126, ""es"", ""en"")"),"Resistant Good sound, good connection and a coated wire that looks like iron. I am very happy with it")</f>
        <v>Resistant Good sound, good connection and a coated wire that looks like iron. I am very happy with it</v>
      </c>
    </row>
    <row r="4127">
      <c r="A4127" s="1">
        <v>5.0</v>
      </c>
      <c r="B4127" s="1" t="s">
        <v>4107</v>
      </c>
      <c r="C4127" t="str">
        <f>IFERROR(__xludf.DUMMYFUNCTION("GOOGLETRANSLATE(B4127, ""es"", ""en"")"),"radical change to my notebook had a notebook of my son who was going to pedal, hardly could be used how slow it was, I installed this album and now works more than well. Hast now all more than adequate. Transportation handed me a day later, but that's ano"&amp;"ther story")</f>
        <v>radical change to my notebook had a notebook of my son who was going to pedal, hardly could be used how slow it was, I installed this album and now works more than well. Hast now all more than adequate. Transportation handed me a day later, but that's another story</v>
      </c>
    </row>
    <row r="4128">
      <c r="A4128" s="1">
        <v>5.0</v>
      </c>
      <c r="B4128" s="1" t="s">
        <v>4108</v>
      </c>
      <c r="C4128" t="str">
        <f>IFERROR(__xludf.DUMMYFUNCTION("GOOGLETRANSLATE(B4128, ""es"", ""en"")"),"Comfortable and nice I like the comfort they have to be trail shoes also are very well placed, are not ostentatious, the perfect size, very happy with this purchase, I recommend them.")</f>
        <v>Comfortable and nice I like the comfort they have to be trail shoes also are very well placed, are not ostentatious, the perfect size, very happy with this purchase, I recommend them.</v>
      </c>
    </row>
    <row r="4129">
      <c r="A4129" s="1">
        <v>5.0</v>
      </c>
      <c r="B4129" s="1" t="s">
        <v>4109</v>
      </c>
      <c r="C4129" t="str">
        <f>IFERROR(__xludf.DUMMYFUNCTION("GOOGLETRANSLATE(B4129, ""es"", ""en"")"),"perfect tracksuit trousers are super comfortable to wear it on weekdays quality good price")</f>
        <v>perfect tracksuit trousers are super comfortable to wear it on weekdays quality good price</v>
      </c>
    </row>
    <row r="4130">
      <c r="A4130" s="1">
        <v>5.0</v>
      </c>
      <c r="B4130" s="1" t="s">
        <v>4110</v>
      </c>
      <c r="C4130" t="str">
        <f>IFERROR(__xludf.DUMMYFUNCTION("GOOGLETRANSLATE(B4130, ""es"", ""en"")"),"Highly recommended. Comfortable, cute, soft Cool. Super comfortable, and shoe wear. They are lined inside and are soft and warm. I was surprised for good. I am happy!! I super recommend")</f>
        <v>Highly recommended. Comfortable, cute, soft Cool. Super comfortable, and shoe wear. They are lined inside and are soft and warm. I was surprised for good. I am happy!! I super recommend</v>
      </c>
    </row>
    <row r="4131">
      <c r="A4131" s="1">
        <v>5.0</v>
      </c>
      <c r="B4131" s="1" t="s">
        <v>4111</v>
      </c>
      <c r="C4131" t="str">
        <f>IFERROR(__xludf.DUMMYFUNCTION("GOOGLETRANSLATE(B4131, ""es"", ""en"")"),"Just what I was looking comfortable")</f>
        <v>Just what I was looking comfortable</v>
      </c>
    </row>
    <row r="4132">
      <c r="A4132" s="1">
        <v>5.0</v>
      </c>
      <c r="B4132" s="1" t="s">
        <v>4112</v>
      </c>
      <c r="C4132" t="str">
        <f>IFERROR(__xludf.DUMMYFUNCTION("GOOGLETRANSLATE(B4132, ""es"", ""en"")"),"Well, nice and cheap perfectly fulfills its function even if I had to put a but I would say that when the water boils not stop automatically but you have to be attentive / or and do it manually. Moreover, it is fine, it's fast, it makes excessive noise an"&amp;"d has a very elegant design.")</f>
        <v>Well, nice and cheap perfectly fulfills its function even if I had to put a but I would say that when the water boils not stop automatically but you have to be attentive / or and do it manually. Moreover, it is fine, it's fast, it makes excessive noise and has a very elegant design.</v>
      </c>
    </row>
    <row r="4133">
      <c r="A4133" s="1">
        <v>5.0</v>
      </c>
      <c r="B4133" s="1" t="s">
        <v>4113</v>
      </c>
      <c r="C4133" t="str">
        <f>IFERROR(__xludf.DUMMYFUNCTION("GOOGLETRANSLATE(B4133, ""es"", ""en"")"),"Light as if I were floating like, it is very comfortable like wearing nothing and cool for the summer. I returned with shame but I have to take templates and do not work because the shape is narrow.")</f>
        <v>Light as if I were floating like, it is very comfortable like wearing nothing and cool for the summer. I returned with shame but I have to take templates and do not work because the shape is narrow.</v>
      </c>
    </row>
    <row r="4134">
      <c r="A4134" s="1">
        <v>5.0</v>
      </c>
      <c r="B4134" s="1" t="s">
        <v>4114</v>
      </c>
      <c r="C4134" t="str">
        <f>IFERROR(__xludf.DUMMYFUNCTION("GOOGLETRANSLATE(B4134, ""es"", ""en"")"),"do not give comfort and warmth I like the fabric and size. the fabric is breathable and size ankle height is suitable.")</f>
        <v>do not give comfort and warmth I like the fabric and size. the fabric is breathable and size ankle height is suitable.</v>
      </c>
    </row>
    <row r="4135">
      <c r="A4135" s="1">
        <v>5.0</v>
      </c>
      <c r="B4135" s="1" t="s">
        <v>4115</v>
      </c>
      <c r="C4135" t="str">
        <f>IFERROR(__xludf.DUMMYFUNCTION("GOOGLETRANSLATE(B4135, ""es"", ""en"")"),"His design. I liked it. Is very complete.")</f>
        <v>His design. I liked it. Is very complete.</v>
      </c>
    </row>
    <row r="4136">
      <c r="A4136" s="1">
        <v>5.0</v>
      </c>
      <c r="B4136" s="1" t="s">
        <v>4116</v>
      </c>
      <c r="C4136" t="str">
        <f>IFERROR(__xludf.DUMMYFUNCTION("GOOGLETRANSLATE(B4136, ""es"", ""en"")"),"My husband loved trousers very comfortable and very good quality, my husband is very happy with the purchase made of made to order one of each color. I recomieno 100%")</f>
        <v>My husband loved trousers very comfortable and very good quality, my husband is very happy with the purchase made of made to order one of each color. I recomieno 100%</v>
      </c>
    </row>
    <row r="4137">
      <c r="A4137" s="1">
        <v>5.0</v>
      </c>
      <c r="B4137" s="1" t="s">
        <v>4117</v>
      </c>
      <c r="C4137" t="str">
        <f>IFERROR(__xludf.DUMMYFUNCTION("GOOGLETRANSLATE(B4137, ""es"", ""en"")"),"Good choice good price and amount Bolsitas ordered the photos Perfect")</f>
        <v>Good choice good price and amount Bolsitas ordered the photos Perfect</v>
      </c>
    </row>
    <row r="4138">
      <c r="A4138" s="1">
        <v>2.0</v>
      </c>
      <c r="B4138" s="1" t="s">
        <v>4118</v>
      </c>
      <c r="C4138" t="str">
        <f>IFERROR(__xludf.DUMMYFUNCTION("GOOGLETRANSLATE(B4138, ""es"", ""en"")"),"REGULAR I love q but the second time I went to use, speeds will not work, is a 1,2,3,4 been pillaged for the next d those powers and does not work")</f>
        <v>REGULAR I love q but the second time I went to use, speeds will not work, is a 1,2,3,4 been pillaged for the next d those powers and does not work</v>
      </c>
    </row>
    <row r="4139">
      <c r="A4139" s="1">
        <v>3.0</v>
      </c>
      <c r="B4139" s="1" t="s">
        <v>4119</v>
      </c>
      <c r="C4139" t="str">
        <f>IFERROR(__xludf.DUMMYFUNCTION("GOOGLETRANSLATE(B4139, ""es"", ""en"")"),"SMALL BUT WELL nice and comfortable watch. It is simple and useful, perhaps putting the date is a little difficult, has 2 positions, and first if you turn one sense or otherwise change the day or date. I find it quite SMALL SPHERE.")</f>
        <v>SMALL BUT WELL nice and comfortable watch. It is simple and useful, perhaps putting the date is a little difficult, has 2 positions, and first if you turn one sense or otherwise change the day or date. I find it quite SMALL SPHERE.</v>
      </c>
    </row>
    <row r="4140">
      <c r="A4140" s="1">
        <v>3.0</v>
      </c>
      <c r="B4140" s="1" t="s">
        <v>4120</v>
      </c>
      <c r="C4140" t="str">
        <f>IFERROR(__xludf.DUMMYFUNCTION("GOOGLETRANSLATE(B4140, ""es"", ""en"")"),"100% polyester fabric thin design is nice but would have paid more to have cotton")</f>
        <v>100% polyester fabric thin design is nice but would have paid more to have cotton</v>
      </c>
    </row>
    <row r="4141">
      <c r="A4141" s="1">
        <v>3.0</v>
      </c>
      <c r="B4141" s="1" t="s">
        <v>4121</v>
      </c>
      <c r="C4141" t="str">
        <f>IFERROR(__xludf.DUMMYFUNCTION("GOOGLETRANSLATE(B4141, ""es"", ""en"")"),"disappointed I bought these cases because the comments had good reviews. In my case, all the cases have come wrinkled, with several bends that are not removed. The size is perfect (larger than 1 page) are gorditas and transparent, they enter without probl"&amp;"em and without bending more than 60 sheets, but being ""shriveled"" but leaves goals, remains the same. A little disappointed, because the price they hoped they were perfect, and it is not.")</f>
        <v>disappointed I bought these cases because the comments had good reviews. In my case, all the cases have come wrinkled, with several bends that are not removed. The size is perfect (larger than 1 page) are gorditas and transparent, they enter without problem and without bending more than 60 sheets, but being "shriveled" but leaves goals, remains the same. A little disappointed, because the price they hoped they were perfect, and it is not.</v>
      </c>
    </row>
    <row r="4142">
      <c r="A4142" s="1">
        <v>1.0</v>
      </c>
      <c r="B4142" s="1" t="s">
        <v>4122</v>
      </c>
      <c r="C4142" t="str">
        <f>IFERROR(__xludf.DUMMYFUNCTION("GOOGLETRANSLATE(B4142, ""es"", ""en"")"),"Horrible Wine completely broken is useless")</f>
        <v>Horrible Wine completely broken is useless</v>
      </c>
    </row>
    <row r="4143">
      <c r="A4143" s="1">
        <v>1.0</v>
      </c>
      <c r="B4143" s="1" t="s">
        <v>4123</v>
      </c>
      <c r="C4143" t="str">
        <f>IFERROR(__xludf.DUMMYFUNCTION("GOOGLETRANSLATE(B4143, ""es"", ""en"")"),"Jose Vicente Roig romera yesterday I realized q is the sole desaciendo as if it were pasta. q is not what happens to the soles but I've used 5 or 6 times, outside are good but the soles are to pull, I do not know what happened q, but not back to buy some "&amp;"shoes here.")</f>
        <v>Jose Vicente Roig romera yesterday I realized q is the sole desaciendo as if it were pasta. q is not what happens to the soles but I've used 5 or 6 times, outside are good but the soles are to pull, I do not know what happened q, but not back to buy some shoes here.</v>
      </c>
    </row>
    <row r="4144">
      <c r="A4144" s="1">
        <v>4.0</v>
      </c>
      <c r="B4144" s="1" t="s">
        <v>4124</v>
      </c>
      <c r="C4144" t="str">
        <f>IFERROR(__xludf.DUMMYFUNCTION("GOOGLETRANSLATE(B4144, ""es"", ""en"")"),"FILA DISRUPTOR arrived super fast, are very nice, the only thing is that left me a bit crammed the bmvino reduced size.")</f>
        <v>FILA DISRUPTOR arrived super fast, are very nice, the only thing is that left me a bit crammed the bmvino reduced size.</v>
      </c>
    </row>
    <row r="4145">
      <c r="A4145" s="1">
        <v>4.0</v>
      </c>
      <c r="B4145" s="1" t="s">
        <v>4125</v>
      </c>
      <c r="C4145" t="str">
        <f>IFERROR(__xludf.DUMMYFUNCTION("GOOGLETRANSLATE(B4145, ""es"", ""en"")"),"As in the picture Material Well, I hope my daughter will last, the only downside, which is too wide, you must have a large backpack because in a normal not enter")</f>
        <v>As in the picture Material Well, I hope my daughter will last, the only downside, which is too wide, you must have a large backpack because in a normal not enter</v>
      </c>
    </row>
    <row r="4146">
      <c r="A4146" s="1">
        <v>4.0</v>
      </c>
      <c r="B4146" s="1" t="s">
        <v>4126</v>
      </c>
      <c r="C4146" t="str">
        <f>IFERROR(__xludf.DUMMYFUNCTION("GOOGLETRANSLATE(B4146, ""es"", ""en"")"),"good hard good hard drive and easily connectable to the PS4 to increase the discharge capacity. Since I connect identifies the hard drive to download anything new. Important to know that if you download is game updates and downloaded on your hard disk PS4"&amp;" tried to use the internal disk and not this, so if you have room it is best to delete the game and reinstall it on the new album . Certainly highly recommended.")</f>
        <v>good hard good hard drive and easily connectable to the PS4 to increase the discharge capacity. Since I connect identifies the hard drive to download anything new. Important to know that if you download is game updates and downloaded on your hard disk PS4 tried to use the internal disk and not this, so if you have room it is best to delete the game and reinstall it on the new album . Certainly highly recommended.</v>
      </c>
    </row>
    <row r="4147">
      <c r="A4147" s="1">
        <v>4.0</v>
      </c>
      <c r="B4147" s="1" t="s">
        <v>4127</v>
      </c>
      <c r="C4147" t="str">
        <f>IFERROR(__xludf.DUMMYFUNCTION("GOOGLETRANSLATE(B4147, ""es"", ""en"")"),"perfect shoes recommended highly recommended, but beware size for this brand I have ordered a number over which normally use and I have been perfect.")</f>
        <v>perfect shoes recommended highly recommended, but beware size for this brand I have ordered a number over which normally use and I have been perfect.</v>
      </c>
    </row>
    <row r="4148">
      <c r="A4148" s="1">
        <v>4.0</v>
      </c>
      <c r="B4148" s="1" t="s">
        <v>4128</v>
      </c>
      <c r="C4148" t="str">
        <f>IFERROR(__xludf.DUMMYFUNCTION("GOOGLETRANSLATE(B4148, ""es"", ""en"")"),"Price and quality according Hooded pocket to put the cat or whatever you want to put if your cat is not left, not bad, not great but it is so difficult is pretty good")</f>
        <v>Price and quality according Hooded pocket to put the cat or whatever you want to put if your cat is not left, not bad, not great but it is so difficult is pretty good</v>
      </c>
    </row>
    <row r="4149">
      <c r="A4149" s="1">
        <v>5.0</v>
      </c>
      <c r="B4149" s="1" t="s">
        <v>4129</v>
      </c>
      <c r="C4149" t="str">
        <f>IFERROR(__xludf.DUMMYFUNCTION("GOOGLETRANSLATE(B4149, ""es"", ""en"")"),"What I was looking for. The app of the mobil is very comprehensive and intuitive, connected to home goggle makes its function.")</f>
        <v>What I was looking for. The app of the mobil is very comprehensive and intuitive, connected to home goggle makes its function.</v>
      </c>
    </row>
    <row r="4150">
      <c r="A4150" s="1">
        <v>5.0</v>
      </c>
      <c r="B4150" s="1" t="s">
        <v>4130</v>
      </c>
      <c r="C4150" t="str">
        <f>IFERROR(__xludf.DUMMYFUNCTION("GOOGLETRANSLATE(B4150, ""es"", ""en"")"),"Resistant and functional Very good quality, are not stillborn as others. Clean and unwrinkled within its carton. I recommend them.")</f>
        <v>Resistant and functional Very good quality, are not stillborn as others. Clean and unwrinkled within its carton. I recommend them.</v>
      </c>
    </row>
    <row r="4151">
      <c r="A4151" s="1">
        <v>5.0</v>
      </c>
      <c r="B4151" s="1" t="s">
        <v>4131</v>
      </c>
      <c r="C4151" t="str">
        <f>IFERROR(__xludf.DUMMYFUNCTION("GOOGLETRANSLATE(B4151, ""es"", ""en"")"),"Perfect !! He is looking for a sweatshirt that was comfortable and not weighed. This is neither thin nor thick, has a touch something soft. I liked the design or silkscreened with the 3D effect. The truth that a distance looks nice. It has the very real a"&amp;"nd vivid colors. It has come sooner than expected and in good condition.")</f>
        <v>Perfect !! He is looking for a sweatshirt that was comfortable and not weighed. This is neither thin nor thick, has a touch something soft. I liked the design or silkscreened with the 3D effect. The truth that a distance looks nice. It has the very real and vivid colors. It has come sooner than expected and in good condition.</v>
      </c>
    </row>
    <row r="4152">
      <c r="A4152" s="1">
        <v>5.0</v>
      </c>
      <c r="B4152" s="1" t="s">
        <v>4132</v>
      </c>
      <c r="C4152" t="str">
        <f>IFERROR(__xludf.DUMMYFUNCTION("GOOGLETRANSLATE(B4152, ""es"", ""en"")"),"Quality and price Excellent value for money")</f>
        <v>Quality and price Excellent value for money</v>
      </c>
    </row>
    <row r="4153">
      <c r="A4153" s="1">
        <v>5.0</v>
      </c>
      <c r="B4153" s="1" t="s">
        <v>4133</v>
      </c>
      <c r="C4153" t="str">
        <f>IFERROR(__xludf.DUMMYFUNCTION("GOOGLETRANSLATE(B4153, ""es"", ""en"")"),"Under Armor to say about the best brand of sportswear. High quality, it is perfect.")</f>
        <v>Under Armor to say about the best brand of sportswear. High quality, it is perfect.</v>
      </c>
    </row>
    <row r="4154">
      <c r="A4154" s="1">
        <v>5.0</v>
      </c>
      <c r="B4154" s="1" t="s">
        <v>4134</v>
      </c>
      <c r="C4154" t="str">
        <f>IFERROR(__xludf.DUMMYFUNCTION("GOOGLETRANSLATE(B4154, ""es"", ""en"")"),"Timeless design. Is what is expected, a good timeless watch.")</f>
        <v>Timeless design. Is what is expected, a good timeless watch.</v>
      </c>
    </row>
    <row r="4155">
      <c r="A4155" s="1">
        <v>5.0</v>
      </c>
      <c r="B4155" s="1" t="s">
        <v>4135</v>
      </c>
      <c r="C4155" t="str">
        <f>IFERROR(__xludf.DUMMYFUNCTION("GOOGLETRANSLATE(B4155, ""es"", ""en"")"),"Like the photo I love the sweatshirt, color and shape as in the photo. The sleeves are not very long ... rather are fair.")</f>
        <v>Like the photo I love the sweatshirt, color and shape as in the photo. The sleeves are not very long ... rather are fair.</v>
      </c>
    </row>
    <row r="4156">
      <c r="A4156" s="1">
        <v>5.0</v>
      </c>
      <c r="B4156" s="1" t="s">
        <v>4136</v>
      </c>
      <c r="C4156" t="str">
        <f>IFERROR(__xludf.DUMMYFUNCTION("GOOGLETRANSLATE(B4156, ""es"", ""en"")"),"My daughter delighted sweatshirt came in 16 days. Of normal size. The thin fabric but this time is great ... my daughter has loved")</f>
        <v>My daughter delighted sweatshirt came in 16 days. Of normal size. The thin fabric but this time is great ... my daughter has loved</v>
      </c>
    </row>
    <row r="4157">
      <c r="A4157" s="1">
        <v>5.0</v>
      </c>
      <c r="B4157" s="1" t="s">
        <v>4137</v>
      </c>
      <c r="C4157" t="str">
        <f>IFERROR(__xludf.DUMMYFUNCTION("GOOGLETRANSLATE(B4157, ""es"", ""en"")"),"Pretty great all")</f>
        <v>Pretty great all</v>
      </c>
    </row>
    <row r="4158">
      <c r="A4158" s="1">
        <v>5.0</v>
      </c>
      <c r="B4158" s="1" t="s">
        <v>4138</v>
      </c>
      <c r="C4158" t="str">
        <f>IFERROR(__xludf.DUMMYFUNCTION("GOOGLETRANSLATE(B4158, ""es"", ""en"")"),"Very relaxing is amazing, comfortable and very relaxing. Surely if we have to give is our first choice")</f>
        <v>Very relaxing is amazing, comfortable and very relaxing. Surely if we have to give is our first choice</v>
      </c>
    </row>
    <row r="4159">
      <c r="A4159" s="1">
        <v>5.0</v>
      </c>
      <c r="B4159" s="1" t="s">
        <v>4139</v>
      </c>
      <c r="C4159" t="str">
        <f>IFERROR(__xludf.DUMMYFUNCTION("GOOGLETRANSLATE(B4159, ""es"", ""en"")"),"He buys them a thousand times more A real joy shoes, super comfortable, flexible sole, construction work and are the best safety shoes I've worked !!!")</f>
        <v>He buys them a thousand times more A real joy shoes, super comfortable, flexible sole, construction work and are the best safety shoes I've worked !!!</v>
      </c>
    </row>
    <row r="4160">
      <c r="A4160" s="1">
        <v>5.0</v>
      </c>
      <c r="B4160" s="1" t="s">
        <v>4140</v>
      </c>
      <c r="C4160" t="str">
        <f>IFERROR(__xludf.DUMMYFUNCTION("GOOGLETRANSLATE(B4160, ""es"", ""en"")"),"Nice design. For those who like big watches and informal, it has great design, certainly is original.")</f>
        <v>Nice design. For those who like big watches and informal, it has great design, certainly is original.</v>
      </c>
    </row>
    <row r="4161">
      <c r="A4161" s="1">
        <v>5.0</v>
      </c>
      <c r="B4161" s="1" t="s">
        <v>4141</v>
      </c>
      <c r="C4161" t="str">
        <f>IFERROR(__xludf.DUMMYFUNCTION("GOOGLETRANSLATE(B4161, ""es"", ""en"")"),"Well ... in principle Product Economic 64GB. It comes formatted with the exFAT file system (at the least mine). Bring a pro license for the SanDisk RescuePRO® Deluxe program (the serial number is inside the blister stuck on the side). ... time will tell i"&amp;"f it was a good purchase.")</f>
        <v>Well ... in principle Product Economic 64GB. It comes formatted with the exFAT file system (at the least mine). Bring a pro license for the SanDisk RescuePRO® Deluxe program (the serial number is inside the blister stuck on the side). ... time will tell if it was a good purchase.</v>
      </c>
    </row>
    <row r="4162">
      <c r="A4162" s="1">
        <v>5.0</v>
      </c>
      <c r="B4162" s="1" t="s">
        <v>4142</v>
      </c>
      <c r="C4162" t="str">
        <f>IFERROR(__xludf.DUMMYFUNCTION("GOOGLETRANSLATE(B4162, ""es"", ""en"")"),"Very useful and convenient. Very useful for benefits and not have to walk with your mouse or indicate rising. It was connected to the first with Windows 10. Comfortable in hand. I premiered moment they arrive.")</f>
        <v>Very useful and convenient. Very useful for benefits and not have to walk with your mouse or indicate rising. It was connected to the first with Windows 10. Comfortable in hand. I premiered moment they arrive.</v>
      </c>
    </row>
    <row r="4163">
      <c r="A4163" s="1">
        <v>5.0</v>
      </c>
      <c r="B4163" s="1" t="s">
        <v>4143</v>
      </c>
      <c r="C4163" t="str">
        <f>IFERROR(__xludf.DUMMYFUNCTION("GOOGLETRANSLATE(B4163, ""es"", ""en"")"),"All ok all ok")</f>
        <v>All ok all ok</v>
      </c>
    </row>
    <row r="4164">
      <c r="A4164" s="1">
        <v>5.0</v>
      </c>
      <c r="B4164" s="1" t="s">
        <v>4144</v>
      </c>
      <c r="C4164" t="str">
        <f>IFERROR(__xludf.DUMMYFUNCTION("GOOGLETRANSLATE(B4164, ""es"", ""en"")"),"Good audio quality and has very good sound quality, battery hold me between two and a half hours and three hours having the volume almost butt. It takes very little time to load and are very comfortable to wear. Are placed quite well and do not fall even "&amp;"you are out running but I would not recommend much for it.")</f>
        <v>Good audio quality and has very good sound quality, battery hold me between two and a half hours and three hours having the volume almost butt. It takes very little time to load and are very comfortable to wear. Are placed quite well and do not fall even you are out running but I would not recommend much for it.</v>
      </c>
    </row>
    <row r="4165">
      <c r="A4165" s="1">
        <v>5.0</v>
      </c>
      <c r="B4165" s="1" t="s">
        <v>4145</v>
      </c>
      <c r="C4165" t="str">
        <f>IFERROR(__xludf.DUMMYFUNCTION("GOOGLETRANSLATE(B4165, ""es"", ""en"")"),"It's great really well! I recommend it to anyone who wants to buy an electric massager to have at home always want q! Guay")</f>
        <v>It's great really well! I recommend it to anyone who wants to buy an electric massager to have at home always want q! Guay</v>
      </c>
    </row>
    <row r="4166">
      <c r="A4166" s="1">
        <v>5.0</v>
      </c>
      <c r="B4166" s="1" t="s">
        <v>4146</v>
      </c>
      <c r="C4166" t="str">
        <f>IFERROR(__xludf.DUMMYFUNCTION("GOOGLETRANSLATE(B4166, ""es"", ""en"")"),"Good design and support Size is perfect and, in addition to good design, gives a very good grip. I have bought for low-impact exercises, but can be used perfectly to run.")</f>
        <v>Good design and support Size is perfect and, in addition to good design, gives a very good grip. I have bought for low-impact exercises, but can be used perfectly to run.</v>
      </c>
    </row>
    <row r="4167">
      <c r="A4167" s="1">
        <v>5.0</v>
      </c>
      <c r="B4167" s="1" t="s">
        <v>4147</v>
      </c>
      <c r="C4167" t="str">
        <f>IFERROR(__xludf.DUMMYFUNCTION("GOOGLETRANSLATE(B4167, ""es"", ""en"")"),"Great for games great, but if you need or if an amplifier.")</f>
        <v>Great for games great, but if you need or if an amplifier.</v>
      </c>
    </row>
    <row r="4168">
      <c r="A4168" s="1">
        <v>2.0</v>
      </c>
      <c r="B4168" s="1" t="s">
        <v>4148</v>
      </c>
      <c r="C4168" t="str">
        <f>IFERROR(__xludf.DUMMYFUNCTION("GOOGLETRANSLATE(B4168, ""es"", ""en"")"),"Are well slippers are very cool, they are very good. Size is normal, the problem is q children play on sand and asphalt and has deleted the red side, but otherwise great for the price q has")</f>
        <v>Are well slippers are very cool, they are very good. Size is normal, the problem is q children play on sand and asphalt and has deleted the red side, but otherwise great for the price q has</v>
      </c>
    </row>
    <row r="4169">
      <c r="A4169" s="1">
        <v>3.0</v>
      </c>
      <c r="B4169" s="1" t="s">
        <v>4149</v>
      </c>
      <c r="C4169" t="str">
        <f>IFERROR(__xludf.DUMMYFUNCTION("GOOGLETRANSLATE(B4169, ""es"", ""en"")"),"They are very well were very well matched to the image and information about the product, sound good too but returned because I became too large in the area of ​​earmuffs and I do not like but it is a personal problem not of the article itself")</f>
        <v>They are very well were very well matched to the image and information about the product, sound good too but returned because I became too large in the area of ​​earmuffs and I do not like but it is a personal problem not of the article itself</v>
      </c>
    </row>
    <row r="4170">
      <c r="A4170" s="1">
        <v>1.0</v>
      </c>
      <c r="B4170" s="1" t="s">
        <v>4150</v>
      </c>
      <c r="C4170" t="str">
        <f>IFERROR(__xludf.DUMMYFUNCTION("GOOGLETRANSLATE(B4170, ""es"", ""en"")"),"Terrible The course lavender oil pulling strange smells horrible. They do not seem essential oils, but rather scents")</f>
        <v>Terrible The course lavender oil pulling strange smells horrible. They do not seem essential oils, but rather scents</v>
      </c>
    </row>
    <row r="4171">
      <c r="A4171" s="1">
        <v>1.0</v>
      </c>
      <c r="B4171" s="1" t="s">
        <v>4151</v>
      </c>
      <c r="C4171" t="str">
        <f>IFERROR(__xludf.DUMMYFUNCTION("GOOGLETRANSLATE(B4171, ""es"", ""en"")"),"Inma Pérez Mata Hello. He was waiting with great enthusiasm that came to me to give to my husband for Valentine's Day, and only open the carton box Amazon see lotus completely destroyed, the clock if you come good. I asked refund for defective product and"&amp;" then me they will replace. Who has packed the clock has seen perfectly, because it makes us lose time to the carrier and the customer. Q now I go a printer to print the return label and wait to be reminded to return qe")</f>
        <v>Inma Pérez Mata Hello. He was waiting with great enthusiasm that came to me to give to my husband for Valentine's Day, and only open the carton box Amazon see lotus completely destroyed, the clock if you come good. I asked refund for defective product and then me they will replace. Who has packed the clock has seen perfectly, because it makes us lose time to the carrier and the customer. Q now I go a printer to print the return label and wait to be reminded to return qe</v>
      </c>
    </row>
    <row r="4172">
      <c r="A4172" s="1">
        <v>4.0</v>
      </c>
      <c r="B4172" s="1" t="s">
        <v>4152</v>
      </c>
      <c r="C4172" t="str">
        <f>IFERROR(__xludf.DUMMYFUNCTION("GOOGLETRANSLATE(B4172, ""es"", ""en"")"),"Pleased with purchase very good value prices. The first aioli went very well, I lacked only fitting to climb clear.")</f>
        <v>Pleased with purchase very good value prices. The first aioli went very well, I lacked only fitting to climb clear.</v>
      </c>
    </row>
    <row r="4173">
      <c r="A4173" s="1">
        <v>4.0</v>
      </c>
      <c r="B4173" s="1" t="s">
        <v>4153</v>
      </c>
      <c r="C4173" t="str">
        <f>IFERROR(__xludf.DUMMYFUNCTION("GOOGLETRANSLATE(B4173, ""es"", ""en"")"),"Totally original. It is exactly like the pictures. Very fast delivery.")</f>
        <v>Totally original. It is exactly like the pictures. Very fast delivery.</v>
      </c>
    </row>
    <row r="4174">
      <c r="A4174" s="1">
        <v>4.0</v>
      </c>
      <c r="B4174" s="1" t="s">
        <v>4154</v>
      </c>
      <c r="C4174" t="str">
        <f>IFERROR(__xludf.DUMMYFUNCTION("GOOGLETRANSLATE(B4174, ""es"", ""en"")"),"Robusta good, very simple when you dismount the glass and easy to clean. Has more than enough power and ice pick or chicken without problems. It is not exaggerated in size and noisier than usual in this class of devices. See durability with use and the pa"&amp;"ssage of time ...")</f>
        <v>Robusta good, very simple when you dismount the glass and easy to clean. Has more than enough power and ice pick or chicken without problems. It is not exaggerated in size and noisier than usual in this class of devices. See durability with use and the passage of time ...</v>
      </c>
    </row>
    <row r="4175">
      <c r="A4175" s="1">
        <v>4.0</v>
      </c>
      <c r="B4175" s="1" t="s">
        <v>4155</v>
      </c>
      <c r="C4175" t="str">
        <f>IFERROR(__xludf.DUMMYFUNCTION("GOOGLETRANSLATE(B4175, ""es"", ""en"")"),"Nothing special Juices")</f>
        <v>Nothing special Juices</v>
      </c>
    </row>
    <row r="4176">
      <c r="A4176" s="1">
        <v>4.0</v>
      </c>
      <c r="B4176" s="1" t="s">
        <v>4156</v>
      </c>
      <c r="C4176" t="str">
        <f>IFERROR(__xludf.DUMMYFUNCTION("GOOGLETRANSLATE(B4176, ""es"", ""en"")"),"Good and nice but just carve sneakers are quality and beautiful. They Llagaron ahead of schedule but carving something small. I use a size 44 and I still just have had to descanbiarlas for a full size 45 .recomiendo that cojáis a size more than your numbe"&amp;"r usually calceis")</f>
        <v>Good and nice but just carve sneakers are quality and beautiful. They Llagaron ahead of schedule but carving something small. I use a size 44 and I still just have had to descanbiarlas for a full size 45 .recomiendo that cojáis a size more than your number usually calceis</v>
      </c>
    </row>
    <row r="4177">
      <c r="A4177" s="1">
        <v>5.0</v>
      </c>
      <c r="B4177" s="1" t="s">
        <v>4157</v>
      </c>
      <c r="C4177" t="str">
        <f>IFERROR(__xludf.DUMMYFUNCTION("GOOGLETRANSLATE(B4177, ""es"", ""en"")"),"Very good gift necklace and a nice touch.")</f>
        <v>Very good gift necklace and a nice touch.</v>
      </c>
    </row>
    <row r="4178">
      <c r="A4178" s="1">
        <v>5.0</v>
      </c>
      <c r="B4178" s="1" t="s">
        <v>4158</v>
      </c>
      <c r="C4178" t="str">
        <f>IFERROR(__xludf.DUMMYFUNCTION("GOOGLETRANSLATE(B4178, ""es"", ""en"")"),"Perfect is wonderful. Every day I am more glad I bought, the water heats up quickly, it is light and glass, as indicated by the description.")</f>
        <v>Perfect is wonderful. Every day I am more glad I bought, the water heats up quickly, it is light and glass, as indicated by the description.</v>
      </c>
    </row>
    <row r="4179">
      <c r="A4179" s="1">
        <v>5.0</v>
      </c>
      <c r="B4179" s="1" t="s">
        <v>4159</v>
      </c>
      <c r="C4179" t="str">
        <f>IFERROR(__xludf.DUMMYFUNCTION("GOOGLETRANSLATE(B4179, ""es"", ""en"")"),"The alarm handsome design caught my attention curve and making huge numbers. But once I tasted, which emphasize more of the same, is the projection that makes the time on any wall or ceiling, which places a light beam (not annoying at all) with the time t"&amp;"o where it approaches. It also has a USB to charge mobile, is a detail that may seem silly, but it's very useful.")</f>
        <v>The alarm handsome design caught my attention curve and making huge numbers. But once I tasted, which emphasize more of the same, is the projection that makes the time on any wall or ceiling, which places a light beam (not annoying at all) with the time to where it approaches. It also has a USB to charge mobile, is a detail that may seem silly, but it's very useful.</v>
      </c>
    </row>
    <row r="4180">
      <c r="A4180" s="1">
        <v>5.0</v>
      </c>
      <c r="B4180" s="1" t="s">
        <v>4160</v>
      </c>
      <c r="C4180" t="str">
        <f>IFERROR(__xludf.DUMMYFUNCTION("GOOGLETRANSLATE(B4180, ""es"", ""en"")"),"Very good very good. All right. Good quality. Highly recommended. Delivery and packaging very careful. Would you purchase this product without any hesitation. I hope it is my opinion helpful.")</f>
        <v>Very good very good. All right. Good quality. Highly recommended. Delivery and packaging very careful. Would you purchase this product without any hesitation. I hope it is my opinion helpful.</v>
      </c>
    </row>
    <row r="4181">
      <c r="A4181" s="1">
        <v>5.0</v>
      </c>
      <c r="B4181" s="1" t="s">
        <v>4161</v>
      </c>
      <c r="C4181" t="str">
        <f>IFERROR(__xludf.DUMMYFUNCTION("GOOGLETRANSLATE(B4181, ""es"", ""en"")"),"Excellent've had others before but this apple'm pretty happier. Screen clarity, low complication to add or remove Gatgets, clarity and perfect sound volume and microphone, robustness, receiving all types of messages and mails. I recommend it. Quality - ex"&amp;"cellent price.")</f>
        <v>Excellent've had others before but this apple'm pretty happier. Screen clarity, low complication to add or remove Gatgets, clarity and perfect sound volume and microphone, robustness, receiving all types of messages and mails. I recommend it. Quality - excellent price.</v>
      </c>
    </row>
    <row r="4182">
      <c r="A4182" s="1">
        <v>5.0</v>
      </c>
      <c r="B4182" s="1" t="s">
        <v>4162</v>
      </c>
      <c r="C4182" t="str">
        <f>IFERROR(__xludf.DUMMYFUNCTION("GOOGLETRANSLATE(B4182, ""es"", ""en"")"),"Good quality magnets are fine. They have a very good magnetisation, great strength for the size they have. They come well packaged")</f>
        <v>Good quality magnets are fine. They have a very good magnetisation, great strength for the size they have. They come well packaged</v>
      </c>
    </row>
    <row r="4183">
      <c r="A4183" s="1">
        <v>5.0</v>
      </c>
      <c r="B4183" s="1" t="s">
        <v>4163</v>
      </c>
      <c r="C4183" t="str">
        <f>IFERROR(__xludf.DUMMYFUNCTION("GOOGLETRANSLATE(B4183, ""es"", ""en"")"),"There is a good quality price relation. I've loved these USB keys. Light, strong, with sufficient capacity and cheap. I would like to find the standard 3.0, because these are USB 2.")</f>
        <v>There is a good quality price relation. I've loved these USB keys. Light, strong, with sufficient capacity and cheap. I would like to find the standard 3.0, because these are USB 2.</v>
      </c>
    </row>
    <row r="4184">
      <c r="A4184" s="1">
        <v>5.0</v>
      </c>
      <c r="B4184" s="1" t="s">
        <v>4164</v>
      </c>
      <c r="C4184" t="str">
        <f>IFERROR(__xludf.DUMMYFUNCTION("GOOGLETRANSLATE(B4184, ""es"", ""en"")"),"It works well for the price it meets my expectations. They are slow USB memories, but at that price, I did not expect anything else. I appreciate good work properly because until now, no other similar USB not working at all.")</f>
        <v>It works well for the price it meets my expectations. They are slow USB memories, but at that price, I did not expect anything else. I appreciate good work properly because until now, no other similar USB not working at all.</v>
      </c>
    </row>
    <row r="4185">
      <c r="A4185" s="1">
        <v>5.0</v>
      </c>
      <c r="B4185" s="1" t="s">
        <v>4165</v>
      </c>
      <c r="C4185" t="str">
        <f>IFERROR(__xludf.DUMMYFUNCTION("GOOGLETRANSLATE(B4185, ""es"", ""en"")"),"It was a very nice birthday present, and I liked a lot. They are perfect size, current and elegant design as well. Exactly what I wanted and combine perfectly with my pendant tree of life the same seller. Price-quality second to none!")</f>
        <v>It was a very nice birthday present, and I liked a lot. They are perfect size, current and elegant design as well. Exactly what I wanted and combine perfectly with my pendant tree of life the same seller. Price-quality second to none!</v>
      </c>
    </row>
    <row r="4186">
      <c r="A4186" s="1">
        <v>5.0</v>
      </c>
      <c r="B4186" s="1" t="s">
        <v>4166</v>
      </c>
      <c r="C4186" t="str">
        <f>IFERROR(__xludf.DUMMYFUNCTION("GOOGLETRANSLATE(B4186, ""es"", ""en"")"),"Good product good product")</f>
        <v>Good product good product</v>
      </c>
    </row>
    <row r="4187">
      <c r="A4187" s="1">
        <v>5.0</v>
      </c>
      <c r="B4187" s="1" t="s">
        <v>4167</v>
      </c>
      <c r="C4187" t="str">
        <f>IFERROR(__xludf.DUMMYFUNCTION("GOOGLETRANSLATE(B4187, ""es"", ""en"")"),"Perfect have proved really comfortable and most importantly, is not easily wear out with everyday use. He is looking sneakers that were tough because I tend to wear down the sole very fast, but these were perfect. I recommend them.")</f>
        <v>Perfect have proved really comfortable and most importantly, is not easily wear out with everyday use. He is looking sneakers that were tough because I tend to wear down the sole very fast, but these were perfect. I recommend them.</v>
      </c>
    </row>
    <row r="4188">
      <c r="A4188" s="1">
        <v>5.0</v>
      </c>
      <c r="B4188" s="1" t="s">
        <v>4168</v>
      </c>
      <c r="C4188" t="str">
        <f>IFERROR(__xludf.DUMMYFUNCTION("GOOGLETRANSLATE(B4188, ""es"", ""en"")"),"just for me because of its size I have to say q a kettle with his right size. Price and quality was worth it. 1L is enough and cleaned very well.")</f>
        <v>just for me because of its size I have to say q a kettle with his right size. Price and quality was worth it. 1L is enough and cleaned very well.</v>
      </c>
    </row>
    <row r="4189">
      <c r="A4189" s="1">
        <v>5.0</v>
      </c>
      <c r="B4189" s="1" t="s">
        <v>4169</v>
      </c>
      <c r="C4189" t="str">
        <f>IFERROR(__xludf.DUMMYFUNCTION("GOOGLETRANSLATE(B4189, ""es"", ""en"")"),"I love a wonderful set. Pecioso!")</f>
        <v>I love a wonderful set. Pecioso!</v>
      </c>
    </row>
    <row r="4190">
      <c r="A4190" s="1">
        <v>5.0</v>
      </c>
      <c r="B4190" s="1" t="s">
        <v>4170</v>
      </c>
      <c r="C4190" t="str">
        <f>IFERROR(__xludf.DUMMYFUNCTION("GOOGLETRANSLATE(B4190, ""es"", ""en"")"),"Walkman-pen Just what I needed")</f>
        <v>Walkman-pen Just what I needed</v>
      </c>
    </row>
    <row r="4191">
      <c r="A4191" s="1">
        <v>5.0</v>
      </c>
      <c r="B4191" s="1" t="s">
        <v>4171</v>
      </c>
      <c r="C4191" t="str">
        <f>IFERROR(__xludf.DUMMYFUNCTION("GOOGLETRANSLATE(B4191, ""es"", ""en"")"),"Perfect quality. Much better than I expected")</f>
        <v>Perfect quality. Much better than I expected</v>
      </c>
    </row>
    <row r="4192">
      <c r="A4192" s="1">
        <v>5.0</v>
      </c>
      <c r="B4192" s="1" t="s">
        <v>4172</v>
      </c>
      <c r="C4192" t="str">
        <f>IFERROR(__xludf.DUMMYFUNCTION("GOOGLETRANSLATE(B4192, ""es"", ""en"")"),"microphone microphone professional and easy mounting")</f>
        <v>microphone microphone professional and easy mounting</v>
      </c>
    </row>
    <row r="4193">
      <c r="A4193" s="1">
        <v>5.0</v>
      </c>
      <c r="B4193" s="1" t="s">
        <v>4173</v>
      </c>
      <c r="C4193" t="str">
        <f>IFERROR(__xludf.DUMMYFUNCTION("GOOGLETRANSLATE(B4193, ""es"", ""en"")"),"Serviceability For school")</f>
        <v>Serviceability For school</v>
      </c>
    </row>
    <row r="4194">
      <c r="A4194" s="1">
        <v>5.0</v>
      </c>
      <c r="B4194" s="1" t="s">
        <v>4174</v>
      </c>
      <c r="C4194" t="str">
        <f>IFERROR(__xludf.DUMMYFUNCTION("GOOGLETRANSLATE(B4194, ""es"", ""en"")"),"Thick plastic quality are excellent, very clear, it looks perfectly what you put inside. not shrivel and remain firm. Delighted with purchase. Highly recommended.")</f>
        <v>Thick plastic quality are excellent, very clear, it looks perfectly what you put inside. not shrivel and remain firm. Delighted with purchase. Highly recommended.</v>
      </c>
    </row>
    <row r="4195">
      <c r="A4195" s="1">
        <v>2.0</v>
      </c>
      <c r="B4195" s="1" t="s">
        <v>4175</v>
      </c>
      <c r="C4195" t="str">
        <f>IFERROR(__xludf.DUMMYFUNCTION("GOOGLETRANSLATE(B4195, ""es"", ""en"")"),"Not very practical for milkshakes As you several goals fruit ingredients and fill much the glass of liquid, it stops and does not work for my fruit smoothies not worth me, I see it rather to beat a colacao or very little fruit, I have returned I do not li"&amp;"ke")</f>
        <v>Not very practical for milkshakes As you several goals fruit ingredients and fill much the glass of liquid, it stops and does not work for my fruit smoothies not worth me, I see it rather to beat a colacao or very little fruit, I have returned I do not like</v>
      </c>
    </row>
    <row r="4196">
      <c r="A4196" s="1">
        <v>3.0</v>
      </c>
      <c r="B4196" s="1" t="s">
        <v>4176</v>
      </c>
      <c r="C4196" t="str">
        <f>IFERROR(__xludf.DUMMYFUNCTION("GOOGLETRANSLATE(B4196, ""es"", ""en"")"),"Should improve the presentation I like a lot but it came as such, no box and no protection ... plus the back is pretty black spotted something that will not go away. Accessories do not come, but in what is pretty fit!")</f>
        <v>Should improve the presentation I like a lot but it came as such, no box and no protection ... plus the back is pretty black spotted something that will not go away. Accessories do not come, but in what is pretty fit!</v>
      </c>
    </row>
    <row r="4197">
      <c r="A4197" s="1">
        <v>3.0</v>
      </c>
      <c r="B4197" s="1" t="s">
        <v>4177</v>
      </c>
      <c r="C4197" t="str">
        <f>IFERROR(__xludf.DUMMYFUNCTION("GOOGLETRANSLATE(B4197, ""es"", ""en"")"),"Okay faces but I see a little face.")</f>
        <v>Okay faces but I see a little face.</v>
      </c>
    </row>
    <row r="4198">
      <c r="A4198" s="1">
        <v>1.0</v>
      </c>
      <c r="B4198" s="1" t="s">
        <v>4178</v>
      </c>
      <c r="C4198" t="str">
        <f>IFERROR(__xludf.DUMMYFUNCTION("GOOGLETRANSLATE(B4198, ""es"", ""en"")"),"Not buy and sell as GTX is not. The size is very small and has poor quality. I do not recommend at all if you buy. For me a scam.")</f>
        <v>Not buy and sell as GTX is not. The size is very small and has poor quality. I do not recommend at all if you buy. For me a scam.</v>
      </c>
    </row>
    <row r="4199">
      <c r="A4199" s="1">
        <v>1.0</v>
      </c>
      <c r="B4199" s="1" t="s">
        <v>4179</v>
      </c>
      <c r="C4199" t="str">
        <f>IFERROR(__xludf.DUMMYFUNCTION("GOOGLETRANSLATE(B4199, ""es"", ""en"")"),"defective bra. Is fatal glasses are given of himself.")</f>
        <v>defective bra. Is fatal glasses are given of himself.</v>
      </c>
    </row>
    <row r="4200">
      <c r="A4200" s="1">
        <v>4.0</v>
      </c>
      <c r="B4200" s="1" t="s">
        <v>4180</v>
      </c>
      <c r="C4200" t="str">
        <f>IFERROR(__xludf.DUMMYFUNCTION("GOOGLETRANSLATE(B4200, ""es"", ""en"")"),"Very comfortable, very good value / price very attractive. I repeated purchase had them in dark blue and as I have been very comfortable I preferred not to innovate. Highly recommended for people who have a wide foot, like me. The color is very nice")</f>
        <v>Very comfortable, very good value / price very attractive. I repeated purchase had them in dark blue and as I have been very comfortable I preferred not to innovate. Highly recommended for people who have a wide foot, like me. The color is very nice</v>
      </c>
    </row>
    <row r="4201">
      <c r="A4201" s="1">
        <v>4.0</v>
      </c>
      <c r="B4201" s="1" t="s">
        <v>4181</v>
      </c>
      <c r="C4201" t="str">
        <f>IFERROR(__xludf.DUMMYFUNCTION("GOOGLETRANSLATE(B4201, ""es"", ""en"")"),"It is practical and manageable practical and manageable, use it to suck the sofa pet hair, but I thought it would have more power absorption.")</f>
        <v>It is practical and manageable practical and manageable, use it to suck the sofa pet hair, but I thought it would have more power absorption.</v>
      </c>
    </row>
    <row r="4202">
      <c r="A4202" s="1">
        <v>4.0</v>
      </c>
      <c r="B4202" s="1" t="s">
        <v>4182</v>
      </c>
      <c r="C4202" t="str">
        <f>IFERROR(__xludf.DUMMYFUNCTION("GOOGLETRANSLATE(B4202, ""es"", ""en"")"),"as it is comfortable strap, simple but reliable product described, it is a product of a brand that needs no recommendation of any kind")</f>
        <v>as it is comfortable strap, simple but reliable product described, it is a product of a brand that needs no recommendation of any kind</v>
      </c>
    </row>
    <row r="4203">
      <c r="A4203" s="1">
        <v>4.0</v>
      </c>
      <c r="B4203" s="1" t="s">
        <v>4183</v>
      </c>
      <c r="C4203" t="str">
        <f>IFERROR(__xludf.DUMMYFUNCTION("GOOGLETRANSLATE(B4203, ""es"", ""en"")"),"Good headphones are very comfortable and work well ... have buts as radio, having no antenna is not worth of the phone and sometimes having to have bluetoohh call you and not listen until you take it off, now do not know if this will be the headphones or "&amp;"mobile. Even so good purchase, recommend them without any problem.")</f>
        <v>Good headphones are very comfortable and work well ... have buts as radio, having no antenna is not worth of the phone and sometimes having to have bluetoohh call you and not listen until you take it off, now do not know if this will be the headphones or mobile. Even so good purchase, recommend them without any problem.</v>
      </c>
    </row>
    <row r="4204">
      <c r="A4204" s="1">
        <v>5.0</v>
      </c>
      <c r="B4204" s="1" t="s">
        <v>4184</v>
      </c>
      <c r="C4204" t="str">
        <f>IFERROR(__xludf.DUMMYFUNCTION("GOOGLETRANSLATE(B4204, ""es"", ""en"")"),"Precious pendant is very thin and very pretty.")</f>
        <v>Precious pendant is very thin and very pretty.</v>
      </c>
    </row>
    <row r="4205">
      <c r="A4205" s="1">
        <v>5.0</v>
      </c>
      <c r="B4205" s="1" t="s">
        <v>4185</v>
      </c>
      <c r="C4205" t="str">
        <f>IFERROR(__xludf.DUMMYFUNCTION("GOOGLETRANSLATE(B4205, ""es"", ""en"")"),"Rode quality. Magnificent. It is a step forward. Highly recommended.")</f>
        <v>Rode quality. Magnificent. It is a step forward. Highly recommended.</v>
      </c>
    </row>
    <row r="4206">
      <c r="A4206" s="1">
        <v>5.0</v>
      </c>
      <c r="B4206" s="1" t="s">
        <v>4186</v>
      </c>
      <c r="C4206" t="str">
        <f>IFERROR(__xludf.DUMMYFUNCTION("GOOGLETRANSLATE(B4206, ""es"", ""en"")"),"Good walking shoes I was surprised by the quality of the shoes. Especially I emphasize comfort, comfortable! The base is heavily padded. The equipment is good. They are hard. Perfect size. recommended")</f>
        <v>Good walking shoes I was surprised by the quality of the shoes. Especially I emphasize comfort, comfortable! The base is heavily padded. The equipment is good. They are hard. Perfect size. recommended</v>
      </c>
    </row>
    <row r="4207">
      <c r="A4207" s="1">
        <v>5.0</v>
      </c>
      <c r="B4207" s="1" t="s">
        <v>4187</v>
      </c>
      <c r="C4207" t="str">
        <f>IFERROR(__xludf.DUMMYFUNCTION("GOOGLETRANSLATE(B4207, ""es"", ""en"")"),"Repetiria good album")</f>
        <v>Repetiria good album</v>
      </c>
    </row>
    <row r="4208">
      <c r="A4208" s="1">
        <v>5.0</v>
      </c>
      <c r="B4208" s="1" t="s">
        <v>4188</v>
      </c>
      <c r="C4208" t="str">
        <f>IFERROR(__xludf.DUMMYFUNCTION("GOOGLETRANSLATE(B4208, ""es"", ""en"")"),"Very nice quality my mother would have loved a closed box to carry in your purse without losing and always loaded, great sound quality")</f>
        <v>Very nice quality my mother would have loved a closed box to carry in your purse without losing and always loaded, great sound quality</v>
      </c>
    </row>
    <row r="4209">
      <c r="A4209" s="1">
        <v>5.0</v>
      </c>
      <c r="B4209" s="1" t="s">
        <v>4189</v>
      </c>
      <c r="C4209" t="str">
        <f>IFERROR(__xludf.DUMMYFUNCTION("GOOGLETRANSLATE(B4209, ""es"", ""en"")"),"Comfortable and fashionable Comodídimasny are great for everyday")</f>
        <v>Comfortable and fashionable Comodídimasny are great for everyday</v>
      </c>
    </row>
    <row r="4210">
      <c r="A4210" s="1">
        <v>5.0</v>
      </c>
      <c r="B4210" s="1" t="s">
        <v>4190</v>
      </c>
      <c r="C4210" t="str">
        <f>IFERROR(__xludf.DUMMYFUNCTION("GOOGLETRANSLATE(B4210, ""es"", ""en"")"),"juannoesnegro For the price they are great, lightweight comfortable and good sound quality, do not give much volume compared to others but for the price I do not ask you more, the cable is of good quality, and the jack is shaped elbow, which it is more di"&amp;"fficult to break into the disconnect to the option not to pull the cord to unplug (very normal thing in children) and would buy. They fit very well both for adult and for a child.")</f>
        <v>juannoesnegro For the price they are great, lightweight comfortable and good sound quality, do not give much volume compared to others but for the price I do not ask you more, the cable is of good quality, and the jack is shaped elbow, which it is more difficult to break into the disconnect to the option not to pull the cord to unplug (very normal thing in children) and would buy. They fit very well both for adult and for a child.</v>
      </c>
    </row>
    <row r="4211">
      <c r="A4211" s="1">
        <v>5.0</v>
      </c>
      <c r="B4211" s="1" t="s">
        <v>4191</v>
      </c>
      <c r="C4211" t="str">
        <f>IFERROR(__xludf.DUMMYFUNCTION("GOOGLETRANSLATE(B4211, ""es"", ""en"")"),"The gizmo is a pleasure supersilencioso and sencillisimo. No need to push to get the maximum orange and filters pulp quite well. To clean it is like any other 3-piece easy to remove and wash. No problem. The only drawback may be the little stability. wide"&amp;"r base and nonskid surface more would the juicer (almost) perfect.")</f>
        <v>The gizmo is a pleasure supersilencioso and sencillisimo. No need to push to get the maximum orange and filters pulp quite well. To clean it is like any other 3-piece easy to remove and wash. No problem. The only drawback may be the little stability. wider base and nonskid surface more would the juicer (almost) perfect.</v>
      </c>
    </row>
    <row r="4212">
      <c r="A4212" s="1">
        <v>5.0</v>
      </c>
      <c r="B4212" s="1" t="s">
        <v>4192</v>
      </c>
      <c r="C4212" t="str">
        <f>IFERROR(__xludf.DUMMYFUNCTION("GOOGLETRANSLATE(B4212, ""es"", ""en"")"),"100% recommended I bought it for a gift and have been pleased. He says it is the most useful and convenient it has had within backpacks or bags.")</f>
        <v>100% recommended I bought it for a gift and have been pleased. He says it is the most useful and convenient it has had within backpacks or bags.</v>
      </c>
    </row>
    <row r="4213">
      <c r="A4213" s="1">
        <v>5.0</v>
      </c>
      <c r="B4213" s="1" t="s">
        <v>4193</v>
      </c>
      <c r="C4213" t="str">
        <f>IFERROR(__xludf.DUMMYFUNCTION("GOOGLETRANSLATE(B4213, ""es"", ""en"")"),"seriousness Quality")</f>
        <v>seriousness Quality</v>
      </c>
    </row>
    <row r="4214">
      <c r="A4214" s="1">
        <v>5.0</v>
      </c>
      <c r="B4214" s="1" t="s">
        <v>4194</v>
      </c>
      <c r="C4214" t="str">
        <f>IFERROR(__xludf.DUMMYFUNCTION("GOOGLETRANSLATE(B4214, ""es"", ""en"")"),"Compact case with a lot of capacity The truth can not say much, because I used my daughter is very happy and says that fit many things.")</f>
        <v>Compact case with a lot of capacity The truth can not say much, because I used my daughter is very happy and says that fit many things.</v>
      </c>
    </row>
    <row r="4215">
      <c r="A4215" s="1">
        <v>5.0</v>
      </c>
      <c r="B4215" s="1" t="s">
        <v>4195</v>
      </c>
      <c r="C4215" t="str">
        <f>IFERROR(__xludf.DUMMYFUNCTION("GOOGLETRANSLATE(B4215, ""es"", ""en"")"),"Perfect Looks good")</f>
        <v>Perfect Looks good</v>
      </c>
    </row>
    <row r="4216">
      <c r="A4216" s="1">
        <v>5.0</v>
      </c>
      <c r="B4216" s="1" t="s">
        <v>4196</v>
      </c>
      <c r="C4216" t="str">
        <f>IFERROR(__xludf.DUMMYFUNCTION("GOOGLETRANSLATE(B4216, ""es"", ""en"")"),"Perfect Preciosa, led her daily and with finite q is enduring snags, q colinias and throw him")</f>
        <v>Perfect Preciosa, led her daily and with finite q is enduring snags, q colinias and throw him</v>
      </c>
    </row>
    <row r="4217">
      <c r="A4217" s="1">
        <v>5.0</v>
      </c>
      <c r="B4217" s="1" t="s">
        <v>4197</v>
      </c>
      <c r="C4217" t="str">
        <f>IFERROR(__xludf.DUMMYFUNCTION("GOOGLETRANSLATE(B4217, ""es"", ""en"")"),"Very good helmets. I like them because they have a balance between bass and treble. Normally I use to listen to the radio through the phone and sound depends heavily on the station and song. I have come to listen to some it sounded like when she heard at "&amp;"the club. I like the folding system they have that makes much more manageable. It is also interesting that brings the three cables to connect the helmets allowing the player to choose the most appropriate depending on the situation. Perhaps they sound a l"&amp;"ittle hot but without being annoying. Plastic carrying very pleasant to the touch and hopefully look unaffected by the passage of time. external sounds are heard but not much, which is a disadvantage advantage, as we see it and which can be removed in par"&amp;"t by increasing the volume (within healthy). Recommended for those who are fed up with earbuds and listen to music at the same level as the conversation neighbor or street noise.")</f>
        <v>Very good helmets. I like them because they have a balance between bass and treble. Normally I use to listen to the radio through the phone and sound depends heavily on the station and song. I have come to listen to some it sounded like when she heard at the club. I like the folding system they have that makes much more manageable. It is also interesting that brings the three cables to connect the helmets allowing the player to choose the most appropriate depending on the situation. Perhaps they sound a little hot but without being annoying. Plastic carrying very pleasant to the touch and hopefully look unaffected by the passage of time. external sounds are heard but not much, which is a disadvantage advantage, as we see it and which can be removed in part by increasing the volume (within healthy). Recommended for those who are fed up with earbuds and listen to music at the same level as the conversation neighbor or street noise.</v>
      </c>
    </row>
    <row r="4218">
      <c r="A4218" s="1">
        <v>5.0</v>
      </c>
      <c r="B4218" s="1" t="s">
        <v>4198</v>
      </c>
      <c r="C4218" t="str">
        <f>IFERROR(__xludf.DUMMYFUNCTION("GOOGLETRANSLATE(B4218, ""es"", ""en"")"),"Excellent quality / insuperable, nice, robust and accurate price, with many functions, so far I am very satisfied, I did not expect less Deun watch CASIO")</f>
        <v>Excellent quality / insuperable, nice, robust and accurate price, with many functions, so far I am very satisfied, I did not expect less Deun watch CASIO</v>
      </c>
    </row>
    <row r="4219">
      <c r="A4219" s="1">
        <v>5.0</v>
      </c>
      <c r="B4219" s="1" t="s">
        <v>4199</v>
      </c>
      <c r="C4219" t="str">
        <f>IFERROR(__xludf.DUMMYFUNCTION("GOOGLETRANSLATE(B4219, ""es"", ""en"")"),"cuckoos very tiny but very resultones")</f>
        <v>cuckoos very tiny but very resultones</v>
      </c>
    </row>
    <row r="4220">
      <c r="A4220" s="1">
        <v>5.0</v>
      </c>
      <c r="B4220" s="1" t="s">
        <v>4200</v>
      </c>
      <c r="C4220" t="str">
        <f>IFERROR(__xludf.DUMMYFUNCTION("GOOGLETRANSLATE(B4220, ""es"", ""en"")"),"Quality / price very good watch activity very useful in day to day for exercise: walking, running, cycling ... alerts you notifications received on your phone, it's very convenient. It has a very nice design and is very comfortable.")</f>
        <v>Quality / price very good watch activity very useful in day to day for exercise: walking, running, cycling ... alerts you notifications received on your phone, it's very convenient. It has a very nice design and is very comfortable.</v>
      </c>
    </row>
    <row r="4221">
      <c r="A4221" s="1">
        <v>5.0</v>
      </c>
      <c r="B4221" s="1" t="s">
        <v>4201</v>
      </c>
      <c r="C4221" t="str">
        <f>IFERROR(__xludf.DUMMYFUNCTION("GOOGLETRANSLATE(B4221, ""es"", ""en"")"),"They weigh very little, very light I love how light they are, super wearable comfort much like not wearing laces and the very subject is standing")</f>
        <v>They weigh very little, very light I love how light they are, super wearable comfort much like not wearing laces and the very subject is standing</v>
      </c>
    </row>
    <row r="4222">
      <c r="A4222" s="1">
        <v>5.0</v>
      </c>
      <c r="B4222" s="1" t="s">
        <v>4202</v>
      </c>
      <c r="C4222" t="str">
        <f>IFERROR(__xludf.DUMMYFUNCTION("GOOGLETRANSLATE(B4222, ""es"", ""en"")"),"Super I have already a month ago and works great. I use it more than anything to have it plugged into TV, so connected it spends a lot of time, and no problem. The data rate is very high in USB 3.0. Highly recommended.")</f>
        <v>Super I have already a month ago and works great. I use it more than anything to have it plugged into TV, so connected it spends a lot of time, and no problem. The data rate is very high in USB 3.0. Highly recommended.</v>
      </c>
    </row>
    <row r="4223">
      <c r="A4223" s="1">
        <v>2.0</v>
      </c>
      <c r="B4223" s="1" t="s">
        <v>4203</v>
      </c>
      <c r="C4223" t="str">
        <f>IFERROR(__xludf.DUMMYFUNCTION("GOOGLETRANSLATE(B4223, ""es"", ""en"")"),"I did not meet my expectations had high expectations that were not met. It seems to lack strength. I've used it to make fruit smoothies and not finely ground, almost whole pieces left. Touch unplug and shake with a spoon and start again. A tremendous loss"&amp;" of time. And it is very runidosa.")</f>
        <v>I did not meet my expectations had high expectations that were not met. It seems to lack strength. I've used it to make fruit smoothies and not finely ground, almost whole pieces left. Touch unplug and shake with a spoon and start again. A tremendous loss of time. And it is very runidosa.</v>
      </c>
    </row>
    <row r="4224">
      <c r="A4224" s="1">
        <v>3.0</v>
      </c>
      <c r="B4224" s="1" t="s">
        <v>4204</v>
      </c>
      <c r="C4224" t="str">
        <f>IFERROR(__xludf.DUMMYFUNCTION("GOOGLETRANSLATE(B4224, ""es"", ""en"")"),"Lures small foto..Son very small ..")</f>
        <v>Lures small foto..Son very small ..</v>
      </c>
    </row>
    <row r="4225">
      <c r="A4225" s="1">
        <v>1.0</v>
      </c>
      <c r="B4225" s="1" t="s">
        <v>4205</v>
      </c>
      <c r="C4225" t="str">
        <f>IFERROR(__xludf.DUMMYFUNCTION("GOOGLETRANSLATE(B4225, ""es"", ""en"")"),"They blacks in two days in two days I have black Since")</f>
        <v>They blacks in two days in two days I have black Since</v>
      </c>
    </row>
    <row r="4226">
      <c r="A4226" s="1">
        <v>1.0</v>
      </c>
      <c r="B4226" s="1" t="s">
        <v>4206</v>
      </c>
      <c r="C4226" t="str">
        <f>IFERROR(__xludf.DUMMYFUNCTION("GOOGLETRANSLATE(B4226, ""es"", ""en"")"),"Mal songs I've put my car use and does not work I tried it on a speaker does not work you have emptied tower and upgrade and charged again and not going")</f>
        <v>Mal songs I've put my car use and does not work I tried it on a speaker does not work you have emptied tower and upgrade and charged again and not going</v>
      </c>
    </row>
    <row r="4227">
      <c r="A4227" s="1">
        <v>4.0</v>
      </c>
      <c r="B4227" s="1" t="s">
        <v>4207</v>
      </c>
      <c r="C4227" t="str">
        <f>IFERROR(__xludf.DUMMYFUNCTION("GOOGLETRANSLATE(B4227, ""es"", ""en"")"),"All right quality")</f>
        <v>All right quality</v>
      </c>
    </row>
    <row r="4228">
      <c r="A4228" s="1">
        <v>4.0</v>
      </c>
      <c r="B4228" s="1" t="s">
        <v>4208</v>
      </c>
      <c r="C4228" t="str">
        <f>IFERROR(__xludf.DUMMYFUNCTION("GOOGLETRANSLATE(B4228, ""es"", ""en"")"),"Pretty good for the price. This nicely brings two glasses of smaller glass extras with 2 different types of blades to grind more specific and small things. Although the base is stainless steel is plastic and that is something that should be improved. Powe"&amp;"r is not the strongest truth but does the job. Below it has suction cups will not move.")</f>
        <v>Pretty good for the price. This nicely brings two glasses of smaller glass extras with 2 different types of blades to grind more specific and small things. Although the base is stainless steel is plastic and that is something that should be improved. Power is not the strongest truth but does the job. Below it has suction cups will not move.</v>
      </c>
    </row>
    <row r="4229">
      <c r="A4229" s="1">
        <v>4.0</v>
      </c>
      <c r="B4229" s="1" t="s">
        <v>4209</v>
      </c>
      <c r="C4229" t="str">
        <f>IFERROR(__xludf.DUMMYFUNCTION("GOOGLETRANSLATE(B4229, ""es"", ""en"")"),"Perfect Very nice. As it is seen in the photo")</f>
        <v>Perfect Very nice. As it is seen in the photo</v>
      </c>
    </row>
    <row r="4230">
      <c r="A4230" s="1">
        <v>4.0</v>
      </c>
      <c r="B4230" s="1" t="s">
        <v>4210</v>
      </c>
      <c r="C4230" t="str">
        <f>IFERROR(__xludf.DUMMYFUNCTION("GOOGLETRANSLATE(B4230, ""es"", ""en"")"),"You can not perdir more for the price malisima The pens are quality, like the stickers")</f>
        <v>You can not perdir more for the price malisima The pens are quality, like the stickers</v>
      </c>
    </row>
    <row r="4231">
      <c r="A4231" s="1">
        <v>4.0</v>
      </c>
      <c r="B4231" s="1" t="s">
        <v>4211</v>
      </c>
      <c r="C4231" t="str">
        <f>IFERROR(__xludf.DUMMYFUNCTION("GOOGLETRANSLATE(B4231, ""es"", ""en"")"),"Strips rather short. For a 5 meter XLR cables are short, three meters are fair.")</f>
        <v>Strips rather short. For a 5 meter XLR cables are short, three meters are fair.</v>
      </c>
    </row>
    <row r="4232">
      <c r="A4232" s="1">
        <v>5.0</v>
      </c>
      <c r="B4232" s="1" t="s">
        <v>4212</v>
      </c>
      <c r="C4232" t="str">
        <f>IFERROR(__xludf.DUMMYFUNCTION("GOOGLETRANSLATE(B4232, ""es"", ""en"")"),"Very pleased with purchase very happy with the purchase. I bought the watch directly to Amazon and when he came to my house I saw that did not include shipping the auxiliary antenna that some vendors offer. I contacted Amazon to ask them to send me and I "&amp;"told them not included. But they made me a discount so I could buy my own. Ten Amazon that solved my problem. I live in Madrid and at the end I could see the clock itself is able to synchronize automatically at night every day without using the auxiliary "&amp;"antenna. Not to do anything, just orient well as indicated in the instructions for the clock (with six pointing north-east). Perfect. Highly recommended and very well priced.")</f>
        <v>Very pleased with purchase very happy with the purchase. I bought the watch directly to Amazon and when he came to my house I saw that did not include shipping the auxiliary antenna that some vendors offer. I contacted Amazon to ask them to send me and I told them not included. But they made me a discount so I could buy my own. Ten Amazon that solved my problem. I live in Madrid and at the end I could see the clock itself is able to synchronize automatically at night every day without using the auxiliary antenna. Not to do anything, just orient well as indicated in the instructions for the clock (with six pointing north-east). Perfect. Highly recommended and very well priced.</v>
      </c>
    </row>
    <row r="4233">
      <c r="A4233" s="1">
        <v>5.0</v>
      </c>
      <c r="B4233" s="1" t="s">
        <v>4213</v>
      </c>
      <c r="C4233" t="str">
        <f>IFERROR(__xludf.DUMMYFUNCTION("GOOGLETRANSLATE(B4233, ""es"", ""en"")"),"Everything perfect All items are quality. Which one of the pins is ""L"" makes it very versatile when connecting. Another important thing is the coating of the wire to be as the tissue does not become entangled. The sound quality is good. It has the right"&amp;" amount so you do not fall short but not over and tangling. An excellent buy.")</f>
        <v>Everything perfect All items are quality. Which one of the pins is "L" makes it very versatile when connecting. Another important thing is the coating of the wire to be as the tissue does not become entangled. The sound quality is good. It has the right amount so you do not fall short but not over and tangling. An excellent buy.</v>
      </c>
    </row>
    <row r="4234">
      <c r="A4234" s="1">
        <v>5.0</v>
      </c>
      <c r="B4234" s="1" t="s">
        <v>4214</v>
      </c>
      <c r="C4234" t="str">
        <f>IFERROR(__xludf.DUMMYFUNCTION("GOOGLETRANSLATE(B4234, ""es"", ""en"")"),"I have been amazed delighted by the quality of the product, runs on Windows and MacOS. It's super lightweight, operates with a bluetooth USB is included in the ""pen"". The keys are not super intuitive need to read the instructions. ComK seen in the pictu"&amp;"res brings a small bag / case to prevent scratches. Very happy with the purchase.")</f>
        <v>I have been amazed delighted by the quality of the product, runs on Windows and MacOS. It's super lightweight, operates with a bluetooth USB is included in the "pen". The keys are not super intuitive need to read the instructions. ComK seen in the pictures brings a small bag / case to prevent scratches. Very happy with the purchase.</v>
      </c>
    </row>
    <row r="4235">
      <c r="A4235" s="1">
        <v>5.0</v>
      </c>
      <c r="B4235" s="1" t="s">
        <v>4215</v>
      </c>
      <c r="C4235" t="str">
        <f>IFERROR(__xludf.DUMMYFUNCTION("GOOGLETRANSLATE(B4235, ""es"", ""en"")"),"Children's helmets are lightweight and have good sound.")</f>
        <v>Children's helmets are lightweight and have good sound.</v>
      </c>
    </row>
    <row r="4236">
      <c r="A4236" s="1">
        <v>5.0</v>
      </c>
      <c r="B4236" s="1" t="s">
        <v>4216</v>
      </c>
      <c r="C4236" t="str">
        <f>IFERROR(__xludf.DUMMYFUNCTION("GOOGLETRANSLATE(B4236, ""es"", ""en"")"),"Good solution for storing files and data (photos, videos, programs, documents, etc.) Good external hard drive version 2018, just plug and play, since the PC itself installs the necessary driver. The read speed is excellent and not bad the writing. We just"&amp;" need to check durability and absence of errors or bad sectors over time, for this is enough to always eject the drive from the operating system before disconnecting. In my opinion I think it's good buy.")</f>
        <v>Good solution for storing files and data (photos, videos, programs, documents, etc.) Good external hard drive version 2018, just plug and play, since the PC itself installs the necessary driver. The read speed is excellent and not bad the writing. We just need to check durability and absence of errors or bad sectors over time, for this is enough to always eject the drive from the operating system before disconnecting. In my opinion I think it's good buy.</v>
      </c>
    </row>
    <row r="4237">
      <c r="A4237" s="1">
        <v>5.0</v>
      </c>
      <c r="B4237" s="1" t="s">
        <v>4217</v>
      </c>
      <c r="C4237" t="str">
        <f>IFERROR(__xludf.DUMMYFUNCTION("GOOGLETRANSLATE(B4237, ""es"", ""en"")"),"Very good price compared to a pharmacy. Great savings over the price can be found at a pharmacy and even more so considering the size of 250ml")</f>
        <v>Very good price compared to a pharmacy. Great savings over the price can be found at a pharmacy and even more so considering the size of 250ml</v>
      </c>
    </row>
    <row r="4238">
      <c r="A4238" s="1">
        <v>5.0</v>
      </c>
      <c r="B4238" s="1" t="s">
        <v>4218</v>
      </c>
      <c r="C4238" t="str">
        <f>IFERROR(__xludf.DUMMYFUNCTION("GOOGLETRANSLATE(B4238, ""es"", ""en"")"),"All great thank you very much. All great thank you very much. The fabric is very comfortable and the expected color. Excellent for day to day to walk or work.")</f>
        <v>All great thank you very much. All great thank you very much. The fabric is very comfortable and the expected color. Excellent for day to day to walk or work.</v>
      </c>
    </row>
    <row r="4239">
      <c r="A4239" s="1">
        <v>5.0</v>
      </c>
      <c r="B4239" s="1" t="s">
        <v>4219</v>
      </c>
      <c r="C4239" t="str">
        <f>IFERROR(__xludf.DUMMYFUNCTION("GOOGLETRANSLATE(B4239, ""es"", ""en"")"),"excellent quality In cantadisima my husband was facina and is better than I imagined recommend it is great and perfect")</f>
        <v>excellent quality In cantadisima my husband was facina and is better than I imagined recommend it is great and perfect</v>
      </c>
    </row>
    <row r="4240">
      <c r="A4240" s="1">
        <v>5.0</v>
      </c>
      <c r="B4240" s="1" t="s">
        <v>4220</v>
      </c>
      <c r="C4240" t="str">
        <f>IFERROR(__xludf.DUMMYFUNCTION("GOOGLETRANSLATE(B4240, ""es"", ""en"")"),"super cool definitely we buy price quality the best there is in the market gayumbos good price to buy buy barbarian gave")</f>
        <v>super cool definitely we buy price quality the best there is in the market gayumbos good price to buy buy barbarian gave</v>
      </c>
    </row>
    <row r="4241">
      <c r="A4241" s="1">
        <v>5.0</v>
      </c>
      <c r="B4241" s="1" t="s">
        <v>4221</v>
      </c>
      <c r="C4241" t="str">
        <f>IFERROR(__xludf.DUMMYFUNCTION("GOOGLETRANSLATE(B4241, ""es"", ""en"")"),"Timberland boots not been disappointed in anything, it's just what I wanted, good stuff, give them horses to keep them fat, but both finished as the material is optimal")</f>
        <v>Timberland boots not been disappointed in anything, it's just what I wanted, good stuff, give them horses to keep them fat, but both finished as the material is optimal</v>
      </c>
    </row>
    <row r="4242">
      <c r="A4242" s="1">
        <v>5.0</v>
      </c>
      <c r="B4242" s="1" t="s">
        <v>4222</v>
      </c>
      <c r="C4242" t="str">
        <f>IFERROR(__xludf.DUMMYFUNCTION("GOOGLETRANSLATE(B4242, ""es"", ""en"")"),"Sturdy shoulder bag for everyday use I think this shoulder bag is ideal for everyday use and give battle. The cloth material and seams have good appearance and are resistant. The main compartment is quite spacious and includes inside a small zipper pocket"&amp;" and another pair of open pockets without zipper. Apart from the main compartment have zippered pockets on the front and the back (if you want to have some more pasted object to the body and less accessible to others. The strap is adjustable in length and"&amp;" wide enough to carry the bag comfortably . If you are looking to replace your old bag with a new one, it can be a good buy in my opinion.")</f>
        <v>Sturdy shoulder bag for everyday use I think this shoulder bag is ideal for everyday use and give battle. The cloth material and seams have good appearance and are resistant. The main compartment is quite spacious and includes inside a small zipper pocket and another pair of open pockets without zipper. Apart from the main compartment have zippered pockets on the front and the back (if you want to have some more pasted object to the body and less accessible to others. The strap is adjustable in length and wide enough to carry the bag comfortably . If you are looking to replace your old bag with a new one, it can be a good buy in my opinion.</v>
      </c>
    </row>
    <row r="4243">
      <c r="A4243" s="1">
        <v>5.0</v>
      </c>
      <c r="B4243" s="1" t="s">
        <v>4223</v>
      </c>
      <c r="C4243" t="str">
        <f>IFERROR(__xludf.DUMMYFUNCTION("GOOGLETRANSLATE(B4243, ""es"", ""en"")"),"comfort and very comfortable diaeño")</f>
        <v>comfort and very comfortable diaeño</v>
      </c>
    </row>
    <row r="4244">
      <c r="A4244" s="1">
        <v>5.0</v>
      </c>
      <c r="B4244" s="1" t="s">
        <v>4224</v>
      </c>
      <c r="C4244" t="str">
        <f>IFERROR(__xludf.DUMMYFUNCTION("GOOGLETRANSLATE(B4244, ""es"", ""en"")"),"Perfect perfect, cómodosimos and precious.")</f>
        <v>Perfect perfect, cómodosimos and precious.</v>
      </c>
    </row>
    <row r="4245">
      <c r="A4245" s="1">
        <v>5.0</v>
      </c>
      <c r="B4245" s="1" t="s">
        <v>4225</v>
      </c>
      <c r="C4245" t="str">
        <f>IFERROR(__xludf.DUMMYFUNCTION("GOOGLETRANSLATE(B4245, ""es"", ""en"")"),"Perfect card I just arrived the day after having asked, tightly wrapped, it must be formatted before use for the mobile (in my case) detect it, otherwise everything perfect.")</f>
        <v>Perfect card I just arrived the day after having asked, tightly wrapped, it must be formatted before use for the mobile (in my case) detect it, otherwise everything perfect.</v>
      </c>
    </row>
    <row r="4246">
      <c r="A4246" s="1">
        <v>5.0</v>
      </c>
      <c r="B4246" s="1" t="s">
        <v>4226</v>
      </c>
      <c r="C4246" t="str">
        <f>IFERROR(__xludf.DUMMYFUNCTION("GOOGLETRANSLATE(B4246, ""es"", ""en"")"),"Good buy is cheap and very nice, come with pictured")</f>
        <v>Good buy is cheap and very nice, come with pictured</v>
      </c>
    </row>
    <row r="4247">
      <c r="A4247" s="1">
        <v>5.0</v>
      </c>
      <c r="B4247" s="1" t="s">
        <v>4227</v>
      </c>
      <c r="C4247" t="str">
        <f>IFERROR(__xludf.DUMMYFUNCTION("GOOGLETRANSLATE(B4247, ""es"", ""en"")"),"Very good volume Floor using hands free to ride with GMaps giving me instructions, always I have the problem that the ambient noise of the cars I do not hear well, and helmets can not stand on my head. These have been heard quite high, and come with prote"&amp;"ctive silicone parts is very good, because I usually lose them.")</f>
        <v>Very good volume Floor using hands free to ride with GMaps giving me instructions, always I have the problem that the ambient noise of the cars I do not hear well, and helmets can not stand on my head. These have been heard quite high, and come with protective silicone parts is very good, because I usually lose them.</v>
      </c>
    </row>
    <row r="4248">
      <c r="A4248" s="1">
        <v>5.0</v>
      </c>
      <c r="B4248" s="1" t="s">
        <v>4228</v>
      </c>
      <c r="C4248" t="str">
        <f>IFERROR(__xludf.DUMMYFUNCTION("GOOGLETRANSLATE(B4248, ""es"", ""en"")"),"It was what I was looking for the relationship to the product and to say, I am very satisfied, the purchase made, and the product, as it was the sock she was looking for, the size is perfect for a size sneakers 41, is fit very well to foot and are not exc"&amp;"essively high or low are above the shoe, which was important, touch is good, the same as the packaging, come in variety of colors, as indicated, are socks very recommended")</f>
        <v>It was what I was looking for the relationship to the product and to say, I am very satisfied, the purchase made, and the product, as it was the sock she was looking for, the size is perfect for a size sneakers 41, is fit very well to foot and are not excessively high or low are above the shoe, which was important, touch is good, the same as the packaging, come in variety of colors, as indicated, are socks very recommended</v>
      </c>
    </row>
    <row r="4249">
      <c r="A4249" s="1">
        <v>5.0</v>
      </c>
      <c r="B4249" s="1" t="s">
        <v>4229</v>
      </c>
      <c r="C4249" t="str">
        <f>IFERROR(__xludf.DUMMYFUNCTION("GOOGLETRANSLATE(B4249, ""es"", ""en"")"),"QUALITY UNBEATABLE PRICE ALL OK GREAT SHIRT AND A VERY AFFORDABLE PRICE, repeat NO DOUBT! 👌🏼")</f>
        <v>QUALITY UNBEATABLE PRICE ALL OK GREAT SHIRT AND A VERY AFFORDABLE PRICE, repeat NO DOUBT! 👌🏼</v>
      </c>
    </row>
    <row r="4250">
      <c r="A4250" s="1">
        <v>5.0</v>
      </c>
      <c r="B4250" s="1" t="s">
        <v>4230</v>
      </c>
      <c r="C4250" t="str">
        <f>IFERROR(__xludf.DUMMYFUNCTION("GOOGLETRANSLATE(B4250, ""es"", ""en"")"),"Great works perfectly. It covers a lot of area and already have discomfort cervical or lumbar t is well.")</f>
        <v>Great works perfectly. It covers a lot of area and already have discomfort cervical or lumbar t is well.</v>
      </c>
    </row>
    <row r="4251">
      <c r="A4251" s="1">
        <v>2.0</v>
      </c>
      <c r="B4251" s="1" t="s">
        <v>4231</v>
      </c>
      <c r="C4251" t="str">
        <f>IFERROR(__xludf.DUMMYFUNCTION("GOOGLETRANSLATE(B4251, ""es"", ""en"")"),"Special size pills for horses Well, that, too big to swallow comfortably. I really costs the truth, and I stopped taking them for the same.")</f>
        <v>Special size pills for horses Well, that, too big to swallow comfortably. I really costs the truth, and I stopped taking them for the same.</v>
      </c>
    </row>
    <row r="4252">
      <c r="A4252" s="1">
        <v>3.0</v>
      </c>
      <c r="B4252" s="1" t="s">
        <v>4232</v>
      </c>
      <c r="C4252" t="str">
        <f>IFERROR(__xludf.DUMMYFUNCTION("GOOGLETRANSLATE(B4252, ""es"", ""en"")"),"BUENO The product complies with the characteristics indicated, quality nice touch. Less positive is that I would like a little more warm. Even in the power 6, it remains little heat.")</f>
        <v>BUENO The product complies with the characteristics indicated, quality nice touch. Less positive is that I would like a little more warm. Even in the power 6, it remains little heat.</v>
      </c>
    </row>
    <row r="4253">
      <c r="A4253" s="1">
        <v>3.0</v>
      </c>
      <c r="B4253" s="1" t="s">
        <v>4233</v>
      </c>
      <c r="C4253" t="str">
        <f>IFERROR(__xludf.DUMMYFUNCTION("GOOGLETRANSLATE(B4253, ""es"", ""en"")"),"Damian nozzle and I liked my baby although washing constant exhaust valve broke and now spilled liquid. We lasted a month")</f>
        <v>Damian nozzle and I liked my baby although washing constant exhaust valve broke and now spilled liquid. We lasted a month</v>
      </c>
    </row>
    <row r="4254">
      <c r="A4254" s="1">
        <v>1.0</v>
      </c>
      <c r="B4254" s="1" t="s">
        <v>4234</v>
      </c>
      <c r="C4254" t="str">
        <f>IFERROR(__xludf.DUMMYFUNCTION("GOOGLETRANSLATE(B4254, ""es"", ""en"")"),"Disappointment Hi I have been very disappointed with this album first got the least 3 disc of this brand and is the only one not open my TV, change it thinking that it's defective and coming new is the same and the I contact WD give me no valid solution e"&amp;"ven I suggest you change it for another model of shame.")</f>
        <v>Disappointment Hi I have been very disappointed with this album first got the least 3 disc of this brand and is the only one not open my TV, change it thinking that it's defective and coming new is the same and the I contact WD give me no valid solution even I suggest you change it for another model of shame.</v>
      </c>
    </row>
    <row r="4255">
      <c r="A4255" s="1">
        <v>1.0</v>
      </c>
      <c r="B4255" s="1" t="s">
        <v>4235</v>
      </c>
      <c r="C4255" t="str">
        <f>IFERROR(__xludf.DUMMYFUNCTION("GOOGLETRANSLATE(B4255, ""es"", ""en"")"),"I do not recommend at all, money wasted! He has gone to waste after it is washed more than 5 times and have it soaked with water and soap 2 whole days, has a chemical smell that stays in the water and does not go with anything, do not recommend it at all,"&amp;" money wasted!")</f>
        <v>I do not recommend at all, money wasted! He has gone to waste after it is washed more than 5 times and have it soaked with water and soap 2 whole days, has a chemical smell that stays in the water and does not go with anything, do not recommend it at all, money wasted!</v>
      </c>
    </row>
    <row r="4256">
      <c r="A4256" s="1">
        <v>1.0</v>
      </c>
      <c r="B4256" s="1" t="s">
        <v>4236</v>
      </c>
      <c r="C4256" t="str">
        <f>IFERROR(__xludf.DUMMYFUNCTION("GOOGLETRANSLATE(B4256, ""es"", ""en"")"),"what a shit I bought microphone 100% useless, that if 60e away, does not recognize any computer or laptop or table, and the only mobile recognizes for voice recording, you're trying to do video does not get it, no I could use it with anything.")</f>
        <v>what a shit I bought microphone 100% useless, that if 60e away, does not recognize any computer or laptop or table, and the only mobile recognizes for voice recording, you're trying to do video does not get it, no I could use it with anything.</v>
      </c>
    </row>
    <row r="4257">
      <c r="A4257" s="1">
        <v>4.0</v>
      </c>
      <c r="B4257" s="1" t="s">
        <v>4237</v>
      </c>
      <c r="C4257" t="str">
        <f>IFERROR(__xludf.DUMMYFUNCTION("GOOGLETRANSLATE(B4257, ""es"", ""en"")"),"Comfort above all very comfortable with super soft tread. And the eggplant color, very successful. Blend seamlessly with any style you put yourself.")</f>
        <v>Comfort above all very comfortable with super soft tread. And the eggplant color, very successful. Blend seamlessly with any style you put yourself.</v>
      </c>
    </row>
    <row r="4258">
      <c r="A4258" s="1">
        <v>4.0</v>
      </c>
      <c r="B4258" s="1" t="s">
        <v>4238</v>
      </c>
      <c r="C4258" t="str">
        <f>IFERROR(__xludf.DUMMYFUNCTION("GOOGLETRANSLATE(B4258, ""es"", ""en"")"),"perfect for summer socks perfect for summer. Thin and smooth with transpiration for sweat Greetings Fernando")</f>
        <v>perfect for summer socks perfect for summer. Thin and smooth with transpiration for sweat Greetings Fernando</v>
      </c>
    </row>
    <row r="4259">
      <c r="A4259" s="1">
        <v>4.0</v>
      </c>
      <c r="B4259" s="1" t="s">
        <v>4239</v>
      </c>
      <c r="C4259" t="str">
        <f>IFERROR(__xludf.DUMMYFUNCTION("GOOGLETRANSLATE(B4259, ""es"", ""en"")"),"But very good grip right size grip is perfect. The only drawback is that for a 43 feet, the size of the product is very fair. I think 43 would correspond a foot 44 or 45.")</f>
        <v>But very good grip right size grip is perfect. The only drawback is that for a 43 feet, the size of the product is very fair. I think 43 would correspond a foot 44 or 45.</v>
      </c>
    </row>
    <row r="4260">
      <c r="A4260" s="1">
        <v>4.0</v>
      </c>
      <c r="B4260" s="1" t="s">
        <v>4240</v>
      </c>
      <c r="C4260" t="str">
        <f>IFERROR(__xludf.DUMMYFUNCTION("GOOGLETRANSLATE(B4260, ""es"", ""en"")"),"Recommended, good value for money are very comfortable, it seems the quality fabric. I can not wait to use them")</f>
        <v>Recommended, good value for money are very comfortable, it seems the quality fabric. I can not wait to use them</v>
      </c>
    </row>
    <row r="4261">
      <c r="A4261" s="1">
        <v>4.0</v>
      </c>
      <c r="B4261" s="1" t="s">
        <v>42</v>
      </c>
      <c r="C4261" t="str">
        <f>IFERROR(__xludf.DUMMYFUNCTION("GOOGLETRANSLATE(B4261, ""es"", ""en"")"),"Well well")</f>
        <v>Well well</v>
      </c>
    </row>
    <row r="4262">
      <c r="A4262" s="1">
        <v>5.0</v>
      </c>
      <c r="B4262" s="1" t="s">
        <v>4241</v>
      </c>
      <c r="C4262" t="str">
        <f>IFERROR(__xludf.DUMMYFUNCTION("GOOGLETRANSLATE(B4262, ""es"", ""en"")"),"They are perfect for your head are very comfortable and soft and of course loves the color. I like it may have a limiter and being reinforced cable will hold more than normal. Definitely a good buy.")</f>
        <v>They are perfect for your head are very comfortable and soft and of course loves the color. I like it may have a limiter and being reinforced cable will hold more than normal. Definitely a good buy.</v>
      </c>
    </row>
    <row r="4263">
      <c r="A4263" s="1">
        <v>5.0</v>
      </c>
      <c r="B4263" s="1" t="s">
        <v>4242</v>
      </c>
      <c r="C4263" t="str">
        <f>IFERROR(__xludf.DUMMYFUNCTION("GOOGLETRANSLATE(B4263, ""es"", ""en"")"),"Easy to use and clean Easy to use and clean. Sometimes I do not finish grind some things right but I think the size is always a date which leaves me without crushing. I like very much")</f>
        <v>Easy to use and clean Easy to use and clean. Sometimes I do not finish grind some things right but I think the size is always a date which leaves me without crushing. I like very much</v>
      </c>
    </row>
    <row r="4264">
      <c r="A4264" s="1">
        <v>5.0</v>
      </c>
      <c r="B4264" s="1" t="s">
        <v>4243</v>
      </c>
      <c r="C4264" t="str">
        <f>IFERROR(__xludf.DUMMYFUNCTION("GOOGLETRANSLATE(B4264, ""es"", ""en"")"),"Smoothly good buy. Good album, small and light.")</f>
        <v>Smoothly good buy. Good album, small and light.</v>
      </c>
    </row>
    <row r="4265">
      <c r="A4265" s="1">
        <v>5.0</v>
      </c>
      <c r="B4265" s="1" t="s">
        <v>4244</v>
      </c>
      <c r="C4265" t="str">
        <f>IFERROR(__xludf.DUMMYFUNCTION("GOOGLETRANSLATE(B4265, ""es"", ""en"")"),"Good buy is very beautiful and elegant. As seen in NA picture. The chain is also finite. It also comes in a case. Perfect gift")</f>
        <v>Good buy is very beautiful and elegant. As seen in NA picture. The chain is also finite. It also comes in a case. Perfect gift</v>
      </c>
    </row>
    <row r="4266">
      <c r="A4266" s="1">
        <v>5.0</v>
      </c>
      <c r="B4266" s="1" t="s">
        <v>4245</v>
      </c>
      <c r="C4266" t="str">
        <f>IFERROR(__xludf.DUMMYFUNCTION("GOOGLETRANSLATE(B4266, ""es"", ""en"")"),"Strong Hold &amp; easy donning have used it to glue scrim Laminating pastes book and going great. The thickness is minimal but sticks very well.")</f>
        <v>Strong Hold &amp; easy donning have used it to glue scrim Laminating pastes book and going great. The thickness is minimal but sticks very well.</v>
      </c>
    </row>
    <row r="4267">
      <c r="A4267" s="1">
        <v>5.0</v>
      </c>
      <c r="B4267" s="1" t="s">
        <v>4246</v>
      </c>
      <c r="C4267" t="str">
        <f>IFERROR(__xludf.DUMMYFUNCTION("GOOGLETRANSLATE(B4267, ""es"", ""en"")"),"Perfect for babies is a plastic bottle with nice design and ergonomic up to 260 ml. Very flexible nozzle, ideal for small. It is washed in a dishwasher and durable material. In short, a good bottle, aesthetically cool, quality, well manufactured faultless"&amp;"ly, tetina squishy, ​​dishwasher safe and ergonomic with an easy and secure grip. I recommend it because besides being a good product, has an exceptional price.")</f>
        <v>Perfect for babies is a plastic bottle with nice design and ergonomic up to 260 ml. Very flexible nozzle, ideal for small. It is washed in a dishwasher and durable material. In short, a good bottle, aesthetically cool, quality, well manufactured faultlessly, tetina squishy, ​​dishwasher safe and ergonomic with an easy and secure grip. I recommend it because besides being a good product, has an exceptional price.</v>
      </c>
    </row>
    <row r="4268">
      <c r="A4268" s="1">
        <v>5.0</v>
      </c>
      <c r="B4268" s="1" t="s">
        <v>4247</v>
      </c>
      <c r="C4268" t="str">
        <f>IFERROR(__xludf.DUMMYFUNCTION("GOOGLETRANSLATE(B4268, ""es"", ""en"")"),"GREAT! Authentic !! Very comfortable and fun! They were a gift for my husband and he is delighted with them! Surely we repeat with others.")</f>
        <v>GREAT! Authentic !! Very comfortable and fun! They were a gift for my husband and he is delighted with them! Surely we repeat with others.</v>
      </c>
    </row>
    <row r="4269">
      <c r="A4269" s="1">
        <v>5.0</v>
      </c>
      <c r="B4269" s="1" t="s">
        <v>4248</v>
      </c>
      <c r="C4269" t="str">
        <f>IFERROR(__xludf.DUMMYFUNCTION("GOOGLETRANSLATE(B4269, ""es"", ""en"")"),"Beautiful machine !!! Precious watch with white dial that full details. A bit complex to program the perpetual calendar. But an excellent machine to carry on any occasion.")</f>
        <v>Beautiful machine !!! Precious watch with white dial that full details. A bit complex to program the perpetual calendar. But an excellent machine to carry on any occasion.</v>
      </c>
    </row>
    <row r="4270">
      <c r="A4270" s="1">
        <v>5.0</v>
      </c>
      <c r="B4270" s="1" t="s">
        <v>4249</v>
      </c>
      <c r="C4270" t="str">
        <f>IFERROR(__xludf.DUMMYFUNCTION("GOOGLETRANSLATE(B4270, ""es"", ""en"")"),"Very nice and functional Just takes a little bit more than others I've had, but no doubt it is very robust and durable. In addition to insurance.")</f>
        <v>Very nice and functional Just takes a little bit more than others I've had, but no doubt it is very robust and durable. In addition to insurance.</v>
      </c>
    </row>
    <row r="4271">
      <c r="A4271" s="1">
        <v>5.0</v>
      </c>
      <c r="B4271" s="1" t="s">
        <v>4250</v>
      </c>
      <c r="C4271" t="str">
        <f>IFERROR(__xludf.DUMMYFUNCTION("GOOGLETRANSLATE(B4271, ""es"", ""en"")"),"Double Face Tape Extra Strong Very good adhesion.")</f>
        <v>Double Face Tape Extra Strong Very good adhesion.</v>
      </c>
    </row>
    <row r="4272">
      <c r="A4272" s="1">
        <v>5.0</v>
      </c>
      <c r="B4272" s="1" t="s">
        <v>4251</v>
      </c>
      <c r="C4272" t="str">
        <f>IFERROR(__xludf.DUMMYFUNCTION("GOOGLETRANSLATE(B4272, ""es"", ""en"")"),"Good product for the price I was looking for a headset with microphone to replace broken original Mobile (HTC), and work great. Also tested laptop. Very good audio quality and with whom I speak is not complaining about how I hear (with other models if I h"&amp;"ad problems with respect). They come in a leather bag with several parts. For 9.90 €, it is a very good article.")</f>
        <v>Good product for the price I was looking for a headset with microphone to replace broken original Mobile (HTC), and work great. Also tested laptop. Very good audio quality and with whom I speak is not complaining about how I hear (with other models if I had problems with respect). They come in a leather bag with several parts. For 9.90 €, it is a very good article.</v>
      </c>
    </row>
    <row r="4273">
      <c r="A4273" s="1">
        <v>5.0</v>
      </c>
      <c r="B4273" s="1" t="s">
        <v>4252</v>
      </c>
      <c r="C4273" t="str">
        <f>IFERROR(__xludf.DUMMYFUNCTION("GOOGLETRANSLATE(B4273, ""es"", ""en"")"),"Quality is good Looks good")</f>
        <v>Quality is good Looks good</v>
      </c>
    </row>
    <row r="4274">
      <c r="A4274" s="1">
        <v>5.0</v>
      </c>
      <c r="B4274" s="1" t="s">
        <v>4253</v>
      </c>
      <c r="C4274" t="str">
        <f>IFERROR(__xludf.DUMMYFUNCTION("GOOGLETRANSLATE(B4274, ""es"", ""en"")"),"Price this mic is amazing for its design its lights and sound and best of all is the battery life.")</f>
        <v>Price this mic is amazing for its design its lights and sound and best of all is the battery life.</v>
      </c>
    </row>
    <row r="4275">
      <c r="A4275" s="1">
        <v>5.0</v>
      </c>
      <c r="B4275" s="1" t="s">
        <v>4254</v>
      </c>
      <c r="C4275" t="str">
        <f>IFERROR(__xludf.DUMMYFUNCTION("GOOGLETRANSLATE(B4275, ""es"", ""en"")"),"Nice-nice and cheap I did not expect this surprise for the fantastic price they fulfill all the requirements specified by the seller and you can do nothing more than to congratulate you on this most beautiful bracelets in photos and know-how that are made"&amp;", they deserve all my respect and just say that you can not be better, making this gift both girls and not so girls to look good, definitely repeat.")</f>
        <v>Nice-nice and cheap I did not expect this surprise for the fantastic price they fulfill all the requirements specified by the seller and you can do nothing more than to congratulate you on this most beautiful bracelets in photos and know-how that are made, they deserve all my respect and just say that you can not be better, making this gift both girls and not so girls to look good, definitely repeat.</v>
      </c>
    </row>
    <row r="4276">
      <c r="A4276" s="1">
        <v>5.0</v>
      </c>
      <c r="B4276" s="1" t="s">
        <v>4255</v>
      </c>
      <c r="C4276" t="str">
        <f>IFERROR(__xludf.DUMMYFUNCTION("GOOGLETRANSLATE(B4276, ""es"", ""en"")"),"Comfortable. We had already bought other times this shoe and still very good quality.")</f>
        <v>Comfortable. We had already bought other times this shoe and still very good quality.</v>
      </c>
    </row>
    <row r="4277">
      <c r="A4277" s="1">
        <v>5.0</v>
      </c>
      <c r="B4277" s="1" t="s">
        <v>4256</v>
      </c>
      <c r="C4277" t="str">
        <f>IFERROR(__xludf.DUMMYFUNCTION("GOOGLETRANSLATE(B4277, ""es"", ""en"")"),"Good sound quality Before using conventional bluetooth headset for mobile, those cortitos, and most of my interlocutors told me they heard me wrong. With this product no one asks anything. I listen and listen, is comfortable and I can not complain about t"&amp;"he battery. So far, 5 Stars.")</f>
        <v>Good sound quality Before using conventional bluetooth headset for mobile, those cortitos, and most of my interlocutors told me they heard me wrong. With this product no one asks anything. I listen and listen, is comfortable and I can not complain about the battery. So far, 5 Stars.</v>
      </c>
    </row>
    <row r="4278">
      <c r="A4278" s="1">
        <v>5.0</v>
      </c>
      <c r="B4278" s="1" t="s">
        <v>4257</v>
      </c>
      <c r="C4278" t="str">
        <f>IFERROR(__xludf.DUMMYFUNCTION("GOOGLETRANSLATE(B4278, ""es"", ""en"")"),"Template removable and a beautiful color. The color is much nicer than the one in the window of purchase. I love having removable insole, that allows me to change mine. I wanted to premiere this holiday now that temperatures have fallen somewhat. The pric"&amp;"e was a great deal. I usually always take the 6 or 6.5 of this brand. I get a little wide, but with socks ahead of the autumn will set me great.")</f>
        <v>Template removable and a beautiful color. The color is much nicer than the one in the window of purchase. I love having removable insole, that allows me to change mine. I wanted to premiere this holiday now that temperatures have fallen somewhat. The price was a great deal. I usually always take the 6 or 6.5 of this brand. I get a little wide, but with socks ahead of the autumn will set me great.</v>
      </c>
    </row>
    <row r="4279">
      <c r="A4279" s="1">
        <v>5.0</v>
      </c>
      <c r="B4279" s="1" t="s">
        <v>4258</v>
      </c>
      <c r="C4279" t="str">
        <f>IFERROR(__xludf.DUMMYFUNCTION("GOOGLETRANSLATE(B4279, ""es"", ""en"")"),"Helmets quality and comfort with amazing quality both in sound and in the materials they are made. The wire is very flexible and resilient. I really like the magnet having on the headphones as it prevents tangling with the save.")</f>
        <v>Helmets quality and comfort with amazing quality both in sound and in the materials they are made. The wire is very flexible and resilient. I really like the magnet having on the headphones as it prevents tangling with the save.</v>
      </c>
    </row>
    <row r="4280">
      <c r="A4280" s="1">
        <v>2.0</v>
      </c>
      <c r="B4280" s="1" t="s">
        <v>4259</v>
      </c>
      <c r="C4280" t="str">
        <f>IFERROR(__xludf.DUMMYFUNCTION("GOOGLETRANSLATE(B4280, ""es"", ""en"")"),"Small sized The sizing is small and does not correspond to the actual size. I had to give them away ...")</f>
        <v>Small sized The sizing is small and does not correspond to the actual size. I had to give them away ...</v>
      </c>
    </row>
    <row r="4281">
      <c r="A4281" s="1">
        <v>3.0</v>
      </c>
      <c r="B4281" s="1" t="s">
        <v>4260</v>
      </c>
      <c r="C4281" t="str">
        <f>IFERROR(__xludf.DUMMYFUNCTION("GOOGLETRANSLATE(B4281, ""es"", ""en"")"),"VILEDA FREGONA FIRST SENT ME WELL BUT WERE THE LAST THREADS SHIPPING Mop FELL TO THE out of the bag. MORE she WAS FINE AND IS NOT EQUAL cleaned. DEFAULT WOULD IMAGINE THE MANUFACTURER. PHOTO SHIPPING Old and New")</f>
        <v>VILEDA FREGONA FIRST SENT ME WELL BUT WERE THE LAST THREADS SHIPPING Mop FELL TO THE out of the bag. MORE she WAS FINE AND IS NOT EQUAL cleaned. DEFAULT WOULD IMAGINE THE MANUFACTURER. PHOTO SHIPPING Old and New</v>
      </c>
    </row>
    <row r="4282">
      <c r="A4282" s="1">
        <v>3.0</v>
      </c>
      <c r="B4282" s="1" t="s">
        <v>4261</v>
      </c>
      <c r="C4282" t="str">
        <f>IFERROR(__xludf.DUMMYFUNCTION("GOOGLETRANSLATE(B4282, ""es"", ""en"")"),"Distorted if you record voice singing wanted to use it to record both normal locutions like to record voice singing and playing guitar. Locution only it serves to record better than the micro own a DSLR, but with a lower quality than I expected. Tonal no "&amp;"use for records of a singing voice that the distorted tone that increases the lot.")</f>
        <v>Distorted if you record voice singing wanted to use it to record both normal locutions like to record voice singing and playing guitar. Locution only it serves to record better than the micro own a DSLR, but with a lower quality than I expected. Tonal no use for records of a singing voice that the distorted tone that increases the lot.</v>
      </c>
    </row>
    <row r="4283">
      <c r="A4283" s="1">
        <v>1.0</v>
      </c>
      <c r="B4283" s="1" t="s">
        <v>4262</v>
      </c>
      <c r="C4283" t="str">
        <f>IFERROR(__xludf.DUMMYFUNCTION("GOOGLETRANSLATE(B4283, ""es"", ""en"")"),"Otherworldly nothing I did not like the product leaves very oily skin with oil and therefore not very abrasive can leave much time for the skin")</f>
        <v>Otherworldly nothing I did not like the product leaves very oily skin with oil and therefore not very abrasive can leave much time for the skin</v>
      </c>
    </row>
    <row r="4284">
      <c r="A4284" s="1">
        <v>1.0</v>
      </c>
      <c r="B4284" s="1" t="s">
        <v>4263</v>
      </c>
      <c r="C4284" t="str">
        <f>IFERROR(__xludf.DUMMYFUNCTION("GOOGLETRANSLATE(B4284, ""es"", ""en"")"),"There are better for that price not paste as expected. I bought tapes best")</f>
        <v>There are better for that price not paste as expected. I bought tapes best</v>
      </c>
    </row>
    <row r="4285">
      <c r="A4285" s="1">
        <v>4.0</v>
      </c>
      <c r="B4285" s="1" t="s">
        <v>4264</v>
      </c>
      <c r="C4285" t="str">
        <f>IFERROR(__xludf.DUMMYFUNCTION("GOOGLETRANSLATE(B4285, ""es"", ""en"")"),"The expected. Well, this product has no more mystery, it is just expected, arrived on time and perfectly packed, it works fine, no problems.")</f>
        <v>The expected. Well, this product has no more mystery, it is just expected, arrived on time and perfectly packed, it works fine, no problems.</v>
      </c>
    </row>
    <row r="4286">
      <c r="A4286" s="1">
        <v>4.0</v>
      </c>
      <c r="B4286" s="1" t="s">
        <v>4265</v>
      </c>
      <c r="C4286" t="str">
        <f>IFERROR(__xludf.DUMMYFUNCTION("GOOGLETRANSLATE(B4286, ""es"", ""en"")"),"Autonomy acceptable long. Quite comfortable and listen well. The microphone fails because your partner will not listen to clear 100%")</f>
        <v>Autonomy acceptable long. Quite comfortable and listen well. The microphone fails because your partner will not listen to clear 100%</v>
      </c>
    </row>
    <row r="4287">
      <c r="A4287" s="1">
        <v>4.0</v>
      </c>
      <c r="B4287" s="1" t="s">
        <v>4266</v>
      </c>
      <c r="C4287" t="str">
        <f>IFERROR(__xludf.DUMMYFUNCTION("GOOGLETRANSLATE(B4287, ""es"", ""en"")"),"Required Required if you record through Tascam or inalambrios your Smartfone")</f>
        <v>Required Required if you record through Tascam or inalambrios your Smartfone</v>
      </c>
    </row>
    <row r="4288">
      <c r="A4288" s="1">
        <v>4.0</v>
      </c>
      <c r="B4288" s="1" t="s">
        <v>4267</v>
      </c>
      <c r="C4288" t="str">
        <f>IFERROR(__xludf.DUMMYFUNCTION("GOOGLETRANSLATE(B4288, ""es"", ""en"")"),"Warm, comfortable and not slip USE as boots after skiing break and walk with them on apre-ski. Have fulfilled their role superbly, warm, comfortable and not slip. If I have to put a paste, which is scratched, but the truth, I really did not care. For what"&amp;" I wanted were fine.")</f>
        <v>Warm, comfortable and not slip USE as boots after skiing break and walk with them on apre-ski. Have fulfilled their role superbly, warm, comfortable and not slip. If I have to put a paste, which is scratched, but the truth, I really did not care. For what I wanted were fine.</v>
      </c>
    </row>
    <row r="4289">
      <c r="A4289" s="1">
        <v>5.0</v>
      </c>
      <c r="B4289" s="1" t="s">
        <v>4268</v>
      </c>
      <c r="C4289" t="str">
        <f>IFERROR(__xludf.DUMMYFUNCTION("GOOGLETRANSLATE(B4289, ""es"", ""en"")"),"Well kettle to travel to travel! So I prepare tea or coffee whenever you want. It occupies very little and warm water immediately.")</f>
        <v>Well kettle to travel to travel! So I prepare tea or coffee whenever you want. It occupies very little and warm water immediately.</v>
      </c>
    </row>
    <row r="4290">
      <c r="A4290" s="1">
        <v>5.0</v>
      </c>
      <c r="B4290" s="1" t="s">
        <v>4269</v>
      </c>
      <c r="C4290" t="str">
        <f>IFERROR(__xludf.DUMMYFUNCTION("GOOGLETRANSLATE(B4290, ""es"", ""en"")"),"Original product already knew before, it smells good. You can use it in brumizadores, humidifiers radiators etc")</f>
        <v>Original product already knew before, it smells good. You can use it in brumizadores, humidifiers radiators etc</v>
      </c>
    </row>
    <row r="4291">
      <c r="A4291" s="1">
        <v>5.0</v>
      </c>
      <c r="B4291" s="1" t="s">
        <v>4270</v>
      </c>
      <c r="C4291" t="str">
        <f>IFERROR(__xludf.DUMMYFUNCTION("GOOGLETRANSLATE(B4291, ""es"", ""en"")"),"Very happy and satisfied I have arrived earlier than expected and are perfect, the number proper 41 1/3 is the number you use adidas or larger or smaller, very pleased with the acquisition, I hope not ropan with ease and last")</f>
        <v>Very happy and satisfied I have arrived earlier than expected and are perfect, the number proper 41 1/3 is the number you use adidas or larger or smaller, very pleased with the acquisition, I hope not ropan with ease and last</v>
      </c>
    </row>
    <row r="4292">
      <c r="A4292" s="1">
        <v>5.0</v>
      </c>
      <c r="B4292" s="1" t="s">
        <v>4271</v>
      </c>
      <c r="C4292" t="str">
        <f>IFERROR(__xludf.DUMMYFUNCTION("GOOGLETRANSLATE(B4292, ""es"", ""en"")"),"Dr Martens boots 1460 Spectacular. Dr. Martens with his style that characterizes presents the Model 1460 in black boots with personality. rigid but very comfortable, they meet the expectations placed on them. The shoe size is exactly the same as you do in"&amp;" any other shoe. A great buy. You will not regret!! Amazon I found them very cheap!")</f>
        <v>Dr Martens boots 1460 Spectacular. Dr. Martens with his style that characterizes presents the Model 1460 in black boots with personality. rigid but very comfortable, they meet the expectations placed on them. The shoe size is exactly the same as you do in any other shoe. A great buy. You will not regret!! Amazon I found them very cheap!</v>
      </c>
    </row>
    <row r="4293">
      <c r="A4293" s="1">
        <v>5.0</v>
      </c>
      <c r="B4293" s="1" t="s">
        <v>4272</v>
      </c>
      <c r="C4293" t="str">
        <f>IFERROR(__xludf.DUMMYFUNCTION("GOOGLETRANSLATE(B4293, ""es"", ""en"")"),"It works perfectly After a few days of heavy use I can say that massage is provided surprisingly effective. The nodes are pushing hard. It is comfortable and can be applied to different parts of the back. The downside is that it comes with a battery to us"&amp;"e it wirelessly.")</f>
        <v>It works perfectly After a few days of heavy use I can say that massage is provided surprisingly effective. The nodes are pushing hard. It is comfortable and can be applied to different parts of the back. The downside is that it comes with a battery to use it wirelessly.</v>
      </c>
    </row>
    <row r="4294">
      <c r="A4294" s="1">
        <v>5.0</v>
      </c>
      <c r="B4294" s="1" t="s">
        <v>4273</v>
      </c>
      <c r="C4294" t="str">
        <f>IFERROR(__xludf.DUMMYFUNCTION("GOOGLETRANSLATE(B4294, ""es"", ""en"")"),"It purchased for a baby purees Good morning, is simple, but robust and silent. phenomenal and in few seconds short makes us fruit purees and vegetable baby. The glass can not be rubbed with the rough side of a sponge, then grate it. A greeting")</f>
        <v>It purchased for a baby purees Good morning, is simple, but robust and silent. phenomenal and in few seconds short makes us fruit purees and vegetable baby. The glass can not be rubbed with the rough side of a sponge, then grate it. A greeting</v>
      </c>
    </row>
    <row r="4295">
      <c r="A4295" s="1">
        <v>5.0</v>
      </c>
      <c r="B4295" s="1" t="s">
        <v>4274</v>
      </c>
      <c r="C4295" t="str">
        <f>IFERROR(__xludf.DUMMYFUNCTION("GOOGLETRANSLATE(B4295, ""es"", ""en"")"),"PASSED These boots, a classic, they can not be described with words. They are very comfortable and the materials that compose them are of extraordinary quality. The price was more than reasonable.")</f>
        <v>PASSED These boots, a classic, they can not be described with words. They are very comfortable and the materials that compose them are of extraordinary quality. The price was more than reasonable.</v>
      </c>
    </row>
    <row r="4296">
      <c r="A4296" s="1">
        <v>5.0</v>
      </c>
      <c r="B4296" s="1" t="s">
        <v>4275</v>
      </c>
      <c r="C4296" t="str">
        <f>IFERROR(__xludf.DUMMYFUNCTION("GOOGLETRANSLATE(B4296, ""es"", ""en"")"),"Original and accept Gb marking the use in GoPro Hero 7 Black. You accept it and really is the ability to brand. It does not give failures.")</f>
        <v>Original and accept Gb marking the use in GoPro Hero 7 Black. You accept it and really is the ability to brand. It does not give failures.</v>
      </c>
    </row>
    <row r="4297">
      <c r="A4297" s="1">
        <v>5.0</v>
      </c>
      <c r="B4297" s="1" t="s">
        <v>4276</v>
      </c>
      <c r="C4297" t="str">
        <f>IFERROR(__xludf.DUMMYFUNCTION("GOOGLETRANSLATE(B4297, ""es"", ""en"")"),"Comfortable and beautiful shoes are very comfortable to dance, not crowded and the sole non resvala.")</f>
        <v>Comfortable and beautiful shoes are very comfortable to dance, not crowded and the sole non resvala.</v>
      </c>
    </row>
    <row r="4298">
      <c r="A4298" s="1">
        <v>5.0</v>
      </c>
      <c r="B4298" s="1" t="s">
        <v>4277</v>
      </c>
      <c r="C4298" t="str">
        <f>IFERROR(__xludf.DUMMYFUNCTION("GOOGLETRANSLATE(B4298, ""es"", ""en"")"),"I love! You are great! Blanditas (which was what I wanted) and sheltered. It was fan with a classic crocks but with these shoes more")</f>
        <v>I love! You are great! Blanditas (which was what I wanted) and sheltered. It was fan with a classic crocks but with these shoes more</v>
      </c>
    </row>
    <row r="4299">
      <c r="A4299" s="1">
        <v>5.0</v>
      </c>
      <c r="B4299" s="1" t="s">
        <v>4278</v>
      </c>
      <c r="C4299" t="str">
        <f>IFERROR(__xludf.DUMMYFUNCTION("GOOGLETRANSLATE(B4299, ""es"", ""en"")"),"Phenomenal buy it for cleaning bottles for when I go to the field and was phenomenal and effortless clean. also cleaning a wine and terrific decantaqdor")</f>
        <v>Phenomenal buy it for cleaning bottles for when I go to the field and was phenomenal and effortless clean. also cleaning a wine and terrific decantaqdor</v>
      </c>
    </row>
    <row r="4300">
      <c r="A4300" s="1">
        <v>5.0</v>
      </c>
      <c r="B4300" s="1" t="s">
        <v>4279</v>
      </c>
      <c r="C4300" t="str">
        <f>IFERROR(__xludf.DUMMYFUNCTION("GOOGLETRANSLATE(B4300, ""es"", ""en"")"),"Comodisimas.Un Pelin large carving Despite a larger than expected Pelin are few sports for any look comfortable and beautiful.")</f>
        <v>Comodisimas.Un Pelin large carving Despite a larger than expected Pelin are few sports for any look comfortable and beautiful.</v>
      </c>
    </row>
    <row r="4301">
      <c r="A4301" s="1">
        <v>5.0</v>
      </c>
      <c r="B4301" s="1" t="s">
        <v>4280</v>
      </c>
      <c r="C4301" t="str">
        <f>IFERROR(__xludf.DUMMYFUNCTION("GOOGLETRANSLATE(B4301, ""es"", ""en"")"),"reliability and autonomy far the best mini headphone I've had, according to their value, greater autonomy than the rest and the possibility to meet the calls, coming to give it several times for them to enjoy it. Moreover, thanks for the prompt response o"&amp;"f the company responsible for the sale, because although this product is not guaranteed that usually have the products sold by Amazon, there has been no problem doing one of the guarantee offered by the company being I have replaced it without any expense"&amp;"s on my part.")</f>
        <v>reliability and autonomy far the best mini headphone I've had, according to their value, greater autonomy than the rest and the possibility to meet the calls, coming to give it several times for them to enjoy it. Moreover, thanks for the prompt response of the company responsible for the sale, because although this product is not guaranteed that usually have the products sold by Amazon, there has been no problem doing one of the guarantee offered by the company being I have replaced it without any expenses on my part.</v>
      </c>
    </row>
    <row r="4302">
      <c r="A4302" s="1">
        <v>5.0</v>
      </c>
      <c r="B4302" s="1" t="s">
        <v>4281</v>
      </c>
      <c r="C4302" t="str">
        <f>IFERROR(__xludf.DUMMYFUNCTION("GOOGLETRANSLATE(B4302, ""es"", ""en"")"),"Carmen was a birthday gift for a child of 11 years, very happy kid a very complete and watch all difficult to put into marcha.En generally very good")</f>
        <v>Carmen was a birthday gift for a child of 11 years, very happy kid a very complete and watch all difficult to put into marcha.En generally very good</v>
      </c>
    </row>
    <row r="4303">
      <c r="A4303" s="1">
        <v>5.0</v>
      </c>
      <c r="B4303" s="1" t="s">
        <v>4282</v>
      </c>
      <c r="C4303" t="str">
        <f>IFERROR(__xludf.DUMMYFUNCTION("GOOGLETRANSLATE(B4303, ""es"", ""en"")"),"Super fashion are beautiful. Are very good and compared to traditional, the price is super good. They are not anything tight")</f>
        <v>Super fashion are beautiful. Are very good and compared to traditional, the price is super good. They are not anything tight</v>
      </c>
    </row>
    <row r="4304">
      <c r="A4304" s="1">
        <v>5.0</v>
      </c>
      <c r="B4304" s="1" t="s">
        <v>4283</v>
      </c>
      <c r="C4304" t="str">
        <f>IFERROR(__xludf.DUMMYFUNCTION("GOOGLETRANSLATE(B4304, ""es"", ""en"")"),"Good value for money. Has a great capacity, it is a durable product and resistente.Siempre have used this brand and if I changed my card was for personal needs space, but never a bad product failure. I'll keep buying them.")</f>
        <v>Good value for money. Has a great capacity, it is a durable product and resistente.Siempre have used this brand and if I changed my card was for personal needs space, but never a bad product failure. I'll keep buying them.</v>
      </c>
    </row>
    <row r="4305">
      <c r="A4305" s="1">
        <v>5.0</v>
      </c>
      <c r="B4305" s="1" t="s">
        <v>4284</v>
      </c>
      <c r="C4305" t="str">
        <f>IFERROR(__xludf.DUMMYFUNCTION("GOOGLETRANSLATE(B4305, ""es"", ""en"")"),"Perfectly fulfills was looking for a printer for a small business where print volumes are small. I mainly care about the scanner, but not for professional use of photography but to digitize invoices and documents. For this function perfectly meets. Connec"&amp;"ts to the WiFi network, the software is installed on your computer and everything works almost alone. I can not comment on the InstantInk service because I have not applied.")</f>
        <v>Perfectly fulfills was looking for a printer for a small business where print volumes are small. I mainly care about the scanner, but not for professional use of photography but to digitize invoices and documents. For this function perfectly meets. Connects to the WiFi network, the software is installed on your computer and everything works almost alone. I can not comment on the InstantInk service because I have not applied.</v>
      </c>
    </row>
    <row r="4306">
      <c r="A4306" s="1">
        <v>5.0</v>
      </c>
      <c r="B4306" s="1" t="s">
        <v>4285</v>
      </c>
      <c r="C4306" t="str">
        <f>IFERROR(__xludf.DUMMYFUNCTION("GOOGLETRANSLATE(B4306, ""es"", ""en"")"),"Recommended expected")</f>
        <v>Recommended expected</v>
      </c>
    </row>
    <row r="4307">
      <c r="A4307" s="1">
        <v>5.0</v>
      </c>
      <c r="B4307" s="1" t="s">
        <v>4286</v>
      </c>
      <c r="C4307" t="str">
        <f>IFERROR(__xludf.DUMMYFUNCTION("GOOGLETRANSLATE(B4307, ""es"", ""en"")"),"Perfect great, very comfortable for professional and patient, fully meets my expectations. It is somewhat heavy but comfortable to carry, everything perfect")</f>
        <v>Perfect great, very comfortable for professional and patient, fully meets my expectations. It is somewhat heavy but comfortable to carry, everything perfect</v>
      </c>
    </row>
    <row r="4308">
      <c r="A4308" s="1">
        <v>2.0</v>
      </c>
      <c r="B4308" s="1" t="s">
        <v>4287</v>
      </c>
      <c r="C4308" t="str">
        <f>IFERROR(__xludf.DUMMYFUNCTION("GOOGLETRANSLATE(B4308, ""es"", ""en"")"),"For photos and videos ok not work for music Good finished product, you download the app and it works perfectly but when you do a backup of the music is stopped, does not work does not record or a record .. for the right balance I recommend it for videos, "&amp;"contacts and photos ... but no music")</f>
        <v>For photos and videos ok not work for music Good finished product, you download the app and it works perfectly but when you do a backup of the music is stopped, does not work does not record or a record .. for the right balance I recommend it for videos, contacts and photos ... but no music</v>
      </c>
    </row>
    <row r="4309">
      <c r="A4309" s="1">
        <v>3.0</v>
      </c>
      <c r="B4309" s="1" t="s">
        <v>4288</v>
      </c>
      <c r="C4309" t="str">
        <f>IFERROR(__xludf.DUMMYFUNCTION("GOOGLETRANSLATE(B4309, ""es"", ""en"")"),"IF YOU ARE PERFECT your size. The bracelets are very good and are very cool, but if you want them not to be clipped to your size, the thing gets raw, as they are impossible to adjust. Otherwise they are quality and very nice.")</f>
        <v>IF YOU ARE PERFECT your size. The bracelets are very good and are very cool, but if you want them not to be clipped to your size, the thing gets raw, as they are impossible to adjust. Otherwise they are quality and very nice.</v>
      </c>
    </row>
    <row r="4310">
      <c r="A4310" s="1">
        <v>3.0</v>
      </c>
      <c r="B4310" s="1" t="s">
        <v>4289</v>
      </c>
      <c r="C4310" t="str">
        <f>IFERROR(__xludf.DUMMYFUNCTION("GOOGLETRANSLATE(B4310, ""es"", ""en"")"),"good Pequeno")</f>
        <v>good Pequeno</v>
      </c>
    </row>
    <row r="4311">
      <c r="A4311" s="1">
        <v>1.0</v>
      </c>
      <c r="B4311" s="1" t="s">
        <v>4290</v>
      </c>
      <c r="C4311" t="str">
        <f>IFERROR(__xludf.DUMMYFUNCTION("GOOGLETRANSLATE(B4311, ""es"", ""en"")"),"It weighs a lot. It's too heavy and uncomfortable to handle. Impossible to use one person without assistance, you can not handle with one hand.")</f>
        <v>It weighs a lot. It's too heavy and uncomfortable to handle. Impossible to use one person without assistance, you can not handle with one hand.</v>
      </c>
    </row>
    <row r="4312">
      <c r="A4312" s="1">
        <v>1.0</v>
      </c>
      <c r="B4312" s="1" t="s">
        <v>4291</v>
      </c>
      <c r="C4312" t="str">
        <f>IFERROR(__xludf.DUMMYFUNCTION("GOOGLETRANSLATE(B4312, ""es"", ""en"")"),"very bad product is the hardest shoe that I had never is like wearing work boots and Nike have had many doubt that these are.")</f>
        <v>very bad product is the hardest shoe that I had never is like wearing work boots and Nike have had many doubt that these are.</v>
      </c>
    </row>
    <row r="4313">
      <c r="A4313" s="1">
        <v>4.0</v>
      </c>
      <c r="B4313" s="1" t="s">
        <v>4292</v>
      </c>
      <c r="C4313" t="str">
        <f>IFERROR(__xludf.DUMMYFUNCTION("GOOGLETRANSLATE(B4313, ""es"", ""en"")"),"Electric blanket I loved, loved to warm hands and warm up very well like I recommend")</f>
        <v>Electric blanket I loved, loved to warm hands and warm up very well like I recommend</v>
      </c>
    </row>
    <row r="4314">
      <c r="A4314" s="1">
        <v>4.0</v>
      </c>
      <c r="B4314" s="1" t="s">
        <v>4293</v>
      </c>
      <c r="C4314" t="str">
        <f>IFERROR(__xludf.DUMMYFUNCTION("GOOGLETRANSLATE(B4314, ""es"", ""en"")"),"They are not to use many hours for the price are very good, I bought for the office and are as such photos. Tapan very well and you hear external sound pretty good. What if I have not been very comfortable because if you use them all day then I left disco"&amp;"mfort in the ears, I guess that's the way they have. As for the durability only I have a few weeks ago but the cable looks very strong. Bring gumdrops parts and a bag to keep it all, which surprised me for the price they have. I would recommend for a poss"&amp;"ible use, not for the whole day.")</f>
        <v>They are not to use many hours for the price are very good, I bought for the office and are as such photos. Tapan very well and you hear external sound pretty good. What if I have not been very comfortable because if you use them all day then I left discomfort in the ears, I guess that's the way they have. As for the durability only I have a few weeks ago but the cable looks very strong. Bring gumdrops parts and a bag to keep it all, which surprised me for the price they have. I would recommend for a possible use, not for the whole day.</v>
      </c>
    </row>
    <row r="4315">
      <c r="A4315" s="1">
        <v>4.0</v>
      </c>
      <c r="B4315" s="1" t="s">
        <v>4294</v>
      </c>
      <c r="C4315" t="str">
        <f>IFERROR(__xludf.DUMMYFUNCTION("GOOGLETRANSLATE(B4315, ""es"", ""en"")"),"Sizing comprehensive evaluation")</f>
        <v>Sizing comprehensive evaluation</v>
      </c>
    </row>
    <row r="4316">
      <c r="A4316" s="1">
        <v>4.0</v>
      </c>
      <c r="B4316" s="1" t="s">
        <v>4295</v>
      </c>
      <c r="C4316" t="str">
        <f>IFERROR(__xludf.DUMMYFUNCTION("GOOGLETRANSLATE(B4316, ""es"", ""en"")"),"Very correct obviously not the best headphones on the market but for the price, I was surprised her-not sound cicadas appear in ears, as I had others and decently-isolating from the outside if you place them well.")</f>
        <v>Very correct obviously not the best headphones on the market but for the price, I was surprised her-not sound cicadas appear in ears, as I had others and decently-isolating from the outside if you place them well.</v>
      </c>
    </row>
    <row r="4317">
      <c r="A4317" s="1">
        <v>4.0</v>
      </c>
      <c r="B4317" s="1" t="s">
        <v>4296</v>
      </c>
      <c r="C4317" t="str">
        <f>IFERROR(__xludf.DUMMYFUNCTION("GOOGLETRANSLATE(B4317, ""es"", ""en"")"),"They are great, although they cost a little put are great, although they cost a little put. Rigid area where it enters the foot is a little tight. A tad bigger would be more comfortable")</f>
        <v>They are great, although they cost a little put are great, although they cost a little put. Rigid area where it enters the foot is a little tight. A tad bigger would be more comfortable</v>
      </c>
    </row>
    <row r="4318">
      <c r="A4318" s="1">
        <v>5.0</v>
      </c>
      <c r="B4318" s="1" t="s">
        <v>4297</v>
      </c>
      <c r="C4318" t="str">
        <f>IFERROR(__xludf.DUMMYFUNCTION("GOOGLETRANSLATE(B4318, ""es"", ""en"")"),"Elegant and affordable I bought it for a gift and I was lucky, I really liked the style is actually nicer than shown in the photos.")</f>
        <v>Elegant and affordable I bought it for a gift and I was lucky, I really liked the style is actually nicer than shown in the photos.</v>
      </c>
    </row>
    <row r="4319">
      <c r="A4319" s="1">
        <v>5.0</v>
      </c>
      <c r="B4319" s="1" t="s">
        <v>4298</v>
      </c>
      <c r="C4319" t="str">
        <f>IFERROR(__xludf.DUMMYFUNCTION("GOOGLETRANSLATE(B4319, ""es"", ""en"")"),"Good quality, good looks The purchase for my Omega Geneve 1967, a dress watch and is perfect. The leather is genuine and good quality. Good quality. The tools included are very useful. I was disappointed at the start that sent from England but came in a p"&amp;"ackage scheduled day 24 post.")</f>
        <v>Good quality, good looks The purchase for my Omega Geneve 1967, a dress watch and is perfect. The leather is genuine and good quality. Good quality. The tools included are very useful. I was disappointed at the start that sent from England but came in a package scheduled day 24 post.</v>
      </c>
    </row>
    <row r="4320">
      <c r="A4320" s="1">
        <v>5.0</v>
      </c>
      <c r="B4320" s="1" t="s">
        <v>4299</v>
      </c>
      <c r="C4320" t="str">
        <f>IFERROR(__xludf.DUMMYFUNCTION("GOOGLETRANSLATE(B4320, ""es"", ""en"")"),"Takes recommended my husband and did not remove it. With that I say everything")</f>
        <v>Takes recommended my husband and did not remove it. With that I say everything</v>
      </c>
    </row>
    <row r="4321">
      <c r="A4321" s="1">
        <v>5.0</v>
      </c>
      <c r="B4321" s="1" t="s">
        <v>4300</v>
      </c>
      <c r="C4321" t="str">
        <f>IFERROR(__xludf.DUMMYFUNCTION("GOOGLETRANSLATE(B4321, ""es"", ""en"")"),"Good quality perfect")</f>
        <v>Good quality perfect</v>
      </c>
    </row>
    <row r="4322">
      <c r="A4322" s="1">
        <v>5.0</v>
      </c>
      <c r="B4322" s="1" t="s">
        <v>4301</v>
      </c>
      <c r="C4322" t="str">
        <f>IFERROR(__xludf.DUMMYFUNCTION("GOOGLETRANSLATE(B4322, ""es"", ""en"")"),"Great value product! It was just what I expected! The sound quality is very good and completely cover the sound of the outside! They fit very well to the ear when sports!")</f>
        <v>Great value product! It was just what I expected! The sound quality is very good and completely cover the sound of the outside! They fit very well to the ear when sports!</v>
      </c>
    </row>
    <row r="4323">
      <c r="A4323" s="1">
        <v>5.0</v>
      </c>
      <c r="B4323" s="1" t="s">
        <v>4302</v>
      </c>
      <c r="C4323" t="str">
        <f>IFERROR(__xludf.DUMMYFUNCTION("GOOGLETRANSLATE(B4323, ""es"", ""en"")"),"Perfectly fulfills what I expected nothing particular, which is good. The product has complied perfectly with what I expected, ie, that it has been adjusted perfectly to what he promised. I have no ""but"" to put.")</f>
        <v>Perfectly fulfills what I expected nothing particular, which is good. The product has complied perfectly with what I expected, ie, that it has been adjusted perfectly to what he promised. I have no "but" to put.</v>
      </c>
    </row>
    <row r="4324">
      <c r="A4324" s="1">
        <v>5.0</v>
      </c>
      <c r="B4324" s="1" t="s">
        <v>4303</v>
      </c>
      <c r="C4324" t="str">
        <f>IFERROR(__xludf.DUMMYFUNCTION("GOOGLETRANSLATE(B4324, ""es"", ""en"")"),"PRECIOUS are very beautiful and rare unseen anywhere. All I have to tell you the product is not brought back to hold the earring either.")</f>
        <v>PRECIOUS are very beautiful and rare unseen anywhere. All I have to tell you the product is not brought back to hold the earring either.</v>
      </c>
    </row>
    <row r="4325">
      <c r="A4325" s="1">
        <v>5.0</v>
      </c>
      <c r="B4325" s="1" t="s">
        <v>4304</v>
      </c>
      <c r="C4325" t="str">
        <f>IFERROR(__xludf.DUMMYFUNCTION("GOOGLETRANSLATE(B4325, ""es"", ""en"")"),"Okay great. The problem is that it is very expensive")</f>
        <v>Okay great. The problem is that it is very expensive</v>
      </c>
    </row>
    <row r="4326">
      <c r="A4326" s="1">
        <v>5.0</v>
      </c>
      <c r="B4326" s="1" t="s">
        <v>4305</v>
      </c>
      <c r="C4326" t="str">
        <f>IFERROR(__xludf.DUMMYFUNCTION("GOOGLETRANSLATE(B4326, ""es"", ""en"")"),"abundant memory and effective needed a fast and powerful memory with this Lexar've consiguido. Perhaps there fast but I guarantee a very good efficiency month for both com photographic for recording films. It has a large capacity and not have to esstar ca"&amp;"mbiándala to petite. Avoids having to manipulate complicated sites, it has not changed often. Price, capacity, quality, are very suitable for amateurs and tambén to profesioneles. A very good buy.")</f>
        <v>abundant memory and effective needed a fast and powerful memory with this Lexar've consiguido. Perhaps there fast but I guarantee a very good efficiency month for both com photographic for recording films. It has a large capacity and not have to esstar cambiándala to petite. Avoids having to manipulate complicated sites, it has not changed often. Price, capacity, quality, are very suitable for amateurs and tambén to profesioneles. A very good buy.</v>
      </c>
    </row>
    <row r="4327">
      <c r="A4327" s="1">
        <v>5.0</v>
      </c>
      <c r="B4327" s="1" t="s">
        <v>4306</v>
      </c>
      <c r="C4327" t="str">
        <f>IFERROR(__xludf.DUMMYFUNCTION("GOOGLETRANSLATE(B4327, ""es"", ""en"")"),"Comfortable and I like the ability to carry everything tidy")</f>
        <v>Comfortable and I like the ability to carry everything tidy</v>
      </c>
    </row>
    <row r="4328">
      <c r="A4328" s="1">
        <v>5.0</v>
      </c>
      <c r="B4328" s="1" t="s">
        <v>4307</v>
      </c>
      <c r="C4328" t="str">
        <f>IFERROR(__xludf.DUMMYFUNCTION("GOOGLETRANSLATE(B4328, ""es"", ""en"")"),"NUK The price is excellent quality on offer and bottles have the usual quality brand. Are those that we used all the time. The nipple is small, if the child is older you will have to change, but still worth it.")</f>
        <v>NUK The price is excellent quality on offer and bottles have the usual quality brand. Are those that we used all the time. The nipple is small, if the child is older you will have to change, but still worth it.</v>
      </c>
    </row>
    <row r="4329">
      <c r="A4329" s="1">
        <v>5.0</v>
      </c>
      <c r="B4329" s="1" t="s">
        <v>4308</v>
      </c>
      <c r="C4329" t="str">
        <f>IFERROR(__xludf.DUMMYFUNCTION("GOOGLETRANSLATE(B4329, ""es"", ""en"")"),"Rocio Parla good quality Perfect beautiful soft colors are terrific clench not recommend a variety of colors they have arrived in time.")</f>
        <v>Rocio Parla good quality Perfect beautiful soft colors are terrific clench not recommend a variety of colors they have arrived in time.</v>
      </c>
    </row>
    <row r="4330">
      <c r="A4330" s="1">
        <v>5.0</v>
      </c>
      <c r="B4330" s="1" t="s">
        <v>4309</v>
      </c>
      <c r="C4330" t="str">
        <f>IFERROR(__xludf.DUMMYFUNCTION("GOOGLETRANSLATE(B4330, ""es"", ""en"")"),"Perfect Very good")</f>
        <v>Perfect Very good</v>
      </c>
    </row>
    <row r="4331">
      <c r="A4331" s="1">
        <v>5.0</v>
      </c>
      <c r="B4331" s="1" t="s">
        <v>4310</v>
      </c>
      <c r="C4331" t="str">
        <f>IFERROR(__xludf.DUMMYFUNCTION("GOOGLETRANSLATE(B4331, ""es"", ""en"")"),"Pica and beat well. The batter can be in the same jar paddling. The mixer is ideal for preparing individual shakes and bring in the same boat. Pica has good power and good fruits for smoothies. Carries an additional cover to take on the road. Easy to clea"&amp;"n and small. Nothing spectacular.")</f>
        <v>Pica and beat well. The batter can be in the same jar paddling. The mixer is ideal for preparing individual shakes and bring in the same boat. Pica has good power and good fruits for smoothies. Carries an additional cover to take on the road. Easy to clean and small. Nothing spectacular.</v>
      </c>
    </row>
    <row r="4332">
      <c r="A4332" s="1">
        <v>5.0</v>
      </c>
      <c r="B4332" s="1" t="s">
        <v>4311</v>
      </c>
      <c r="C4332" t="str">
        <f>IFERROR(__xludf.DUMMYFUNCTION("GOOGLETRANSLATE(B4332, ""es"", ""en"")"),"The kettle is very well made of stainless steel, 1.2 L. It is just the right size for me and burns very quickly. Do not ocupes a place at home! very good")</f>
        <v>The kettle is very well made of stainless steel, 1.2 L. It is just the right size for me and burns very quickly. Do not ocupes a place at home! very good</v>
      </c>
    </row>
    <row r="4333">
      <c r="A4333" s="1">
        <v>5.0</v>
      </c>
      <c r="B4333" s="1" t="s">
        <v>4312</v>
      </c>
      <c r="C4333" t="str">
        <f>IFERROR(__xludf.DUMMYFUNCTION("GOOGLETRANSLATE(B4333, ""es"", ""en"")"),"Mai ,,, I love the smell is great as strawberry, I took a number and this comodisima more, nothing to do with the flea market, and very fast shipping, very happy very good quality")</f>
        <v>Mai ,,, I love the smell is great as strawberry, I took a number and this comodisima more, nothing to do with the flea market, and very fast shipping, very happy very good quality</v>
      </c>
    </row>
    <row r="4334">
      <c r="A4334" s="1">
        <v>5.0</v>
      </c>
      <c r="B4334" s="1" t="s">
        <v>4313</v>
      </c>
      <c r="C4334" t="str">
        <f>IFERROR(__xludf.DUMMYFUNCTION("GOOGLETRANSLATE(B4334, ""es"", ""en"")"),"Recommended Good article")</f>
        <v>Recommended Good article</v>
      </c>
    </row>
    <row r="4335">
      <c r="A4335" s="1">
        <v>5.0</v>
      </c>
      <c r="B4335" s="1" t="s">
        <v>4314</v>
      </c>
      <c r="C4335" t="str">
        <f>IFERROR(__xludf.DUMMYFUNCTION("GOOGLETRANSLATE(B4335, ""es"", ""en"")"),"Buy recommended was the first time buying a humidifier. Displaying comments encouraged me to buy this particular, and I do not regret. It has a nice design that remains discreet in any corner. The wood finish is very accomplished, and with the quality of "&amp;"the material is quite realistic. Color LED ring is a supplement that gives a touch of color but without disturbing (I have located close to the TV and not distracting because it does not generate any halo of light). The noise is almost zero, sometimes a s"&amp;"light drip until it relaxing. Easy to clean and maintain. I recommend purchase.")</f>
        <v>Buy recommended was the first time buying a humidifier. Displaying comments encouraged me to buy this particular, and I do not regret. It has a nice design that remains discreet in any corner. The wood finish is very accomplished, and with the quality of the material is quite realistic. Color LED ring is a supplement that gives a touch of color but without disturbing (I have located close to the TV and not distracting because it does not generate any halo of light). The noise is almost zero, sometimes a slight drip until it relaxing. Easy to clean and maintain. I recommend purchase.</v>
      </c>
    </row>
    <row r="4336">
      <c r="A4336" s="1">
        <v>5.0</v>
      </c>
      <c r="B4336" s="1" t="s">
        <v>4315</v>
      </c>
      <c r="C4336" t="str">
        <f>IFERROR(__xludf.DUMMYFUNCTION("GOOGLETRANSLATE(B4336, ""es"", ""en"")"),"Preciosa EXCELLENT! Prettier than in photography is spectacular presentation Excellent value")</f>
        <v>Preciosa EXCELLENT! Prettier than in photography is spectacular presentation Excellent value</v>
      </c>
    </row>
    <row r="4337">
      <c r="A4337" s="1">
        <v>2.0</v>
      </c>
      <c r="B4337" s="1" t="s">
        <v>4316</v>
      </c>
      <c r="C4337" t="str">
        <f>IFERROR(__xludf.DUMMYFUNCTION("GOOGLETRANSLATE(B4337, ""es"", ""en"")"),"Do not bring cash standard Apple headphones. Good quality, but are presented in cardboard box without the plastic box that always accompanied to pick up the cable and protect them during transport. However, the price is the same reason why, paying the sam"&amp;"e, you get less. A small disappointment.")</f>
        <v>Do not bring cash standard Apple headphones. Good quality, but are presented in cardboard box without the plastic box that always accompanied to pick up the cable and protect them during transport. However, the price is the same reason why, paying the same, you get less. A small disappointment.</v>
      </c>
    </row>
    <row r="4338">
      <c r="A4338" s="1">
        <v>3.0</v>
      </c>
      <c r="B4338" s="1" t="s">
        <v>4317</v>
      </c>
      <c r="C4338" t="str">
        <f>IFERROR(__xludf.DUMMYFUNCTION("GOOGLETRANSLATE(B4338, ""es"", ""en"")"),"Perfect for professional presentations, but high price Here are before a remote for presentations of the Logitech brand. The main function of these devices is easier for the user to perform various presentations and also improve quality, time and accuracy"&amp;" of the same I'll tell you my impressions and opinions about this product: ►Paquete x1 Command presentations x1 Carrying bag x1 charging cable x1 x1 Manual safety Instructions for removing the battery life when finished. ►Primeros steps: In Windows 10: A "&amp;"connecting the small USB dongle that brings for connecting the option to install the software to make use of the device appears to us directly. The software lets you configure all options command and also a short explanatory tour to learn how to use it in"&amp;" 5 minutes. ►Que I like Θ is very easy to learn to use full functionality in 5 minutes and you will know to use it. Θ allows a variety of configurations with your software, the main ones are: Function of focus, zoom function (enlarge a particular region),"&amp;" circle function, timer and setting the action to hold the back button or next. All this combined with being able to function as a 3D mouse, provides a variety of functionality to the command. Θ Using the software is easy and intuitive, in addition, you c"&amp;"an easily request a replacement dongle should lose. Θ The device includes two types of connectivity: USB Dongle Propietaria by Bluetooth connectivity and control (activated by simultaneously pressing the top and bottom of the command buttons). Θ convenien"&amp;"t to use, size is adequate and comfortable hand for extended use. Θ Fast charge: The device provides fast charging, promises that one minute given for 3 hours. I can confirm that with 5 minutes of charging has given me for 4h uninterrupted presentation. Θ"&amp;" The USB Dongle is white with a small bead, making it harder to misplace. Θ Rank: I am using in college, I can confirm proper operation at distances up to 26 meters with the Dongle (have not tried more, but it already seems more than enough distance) Θ Θ "&amp;"Pretty design ►Neutro does not have a laser pointer. This would be a negative point if it were not for the role of ""focus"" allows similar functionality but in a more elegant way. ►Que I do not like Θ loading slot is a hole (where they originally come an"&amp;"d save you the Dongle) with depth within the command, this shortens the charging cable to about 11cm real, staying a little short for my taste. I believe that this aspect could be improved to at least 20cm. Θ Price (€ 117.44 at the time of this review) ►O"&amp;"pinión end the truth is that, for we do weekly presentations, this control is a breakthrough in comfort and functionality without adding complexity just learning and use. Is especially appreciated duality connectivity and rapid battery charge, which saves"&amp;" you from trouble. Perhaps the price is the only element to take into account, for all its functionality and the beautiful design, more than 100 euros seems expensive, even for professional environment where they seek to take advantage of all its function"&amp;"ality.")</f>
        <v>Perfect for professional presentations, but high price Here are before a remote for presentations of the Logitech brand. The main function of these devices is easier for the user to perform various presentations and also improve quality, time and accuracy of the same I'll tell you my impressions and opinions about this product: ►Paquete x1 Command presentations x1 Carrying bag x1 charging cable x1 x1 Manual safety Instructions for removing the battery life when finished. ►Primeros steps: In Windows 10: A connecting the small USB dongle that brings for connecting the option to install the software to make use of the device appears to us directly. The software lets you configure all options command and also a short explanatory tour to learn how to use it in 5 minutes. ►Que I like Θ is very easy to learn to use full functionality in 5 minutes and you will know to use it. Θ allows a variety of configurations with your software, the main ones are: Function of focus, zoom function (enlarge a particular region), circle function, timer and setting the action to hold the back button or next. All this combined with being able to function as a 3D mouse, provides a variety of functionality to the command. Θ Using the software is easy and intuitive, in addition, you can easily request a replacement dongle should lose. Θ The device includes two types of connectivity: USB Dongle Propietaria by Bluetooth connectivity and control (activated by simultaneously pressing the top and bottom of the command buttons). Θ convenient to use, size is adequate and comfortable hand for extended use. Θ Fast charge: The device provides fast charging, promises that one minute given for 3 hours. I can confirm that with 5 minutes of charging has given me for 4h uninterrupted presentation. Θ The USB Dongle is white with a small bead, making it harder to misplace. Θ Rank: I am using in college, I can confirm proper operation at distances up to 26 meters with the Dongle (have not tried more, but it already seems more than enough distance) Θ Θ Pretty design ►Neutro does not have a laser pointer. This would be a negative point if it were not for the role of "focus" allows similar functionality but in a more elegant way. ►Que I do not like Θ loading slot is a hole (where they originally come and save you the Dongle) with depth within the command, this shortens the charging cable to about 11cm real, staying a little short for my taste. I believe that this aspect could be improved to at least 20cm. Θ Price (€ 117.44 at the time of this review) ►Opinión end the truth is that, for we do weekly presentations, this control is a breakthrough in comfort and functionality without adding complexity just learning and use. Is especially appreciated duality connectivity and rapid battery charge, which saves you from trouble. Perhaps the price is the only element to take into account, for all its functionality and the beautiful design, more than 100 euros seems expensive, even for professional environment where they seek to take advantage of all its functionality.</v>
      </c>
    </row>
    <row r="4339">
      <c r="A4339" s="1">
        <v>3.0</v>
      </c>
      <c r="B4339" s="1" t="s">
        <v>4318</v>
      </c>
      <c r="C4339" t="str">
        <f>IFERROR(__xludf.DUMMYFUNCTION("GOOGLETRANSLATE(B4339, ""es"", ""en"")"),"Half and half !! The baby suckles more slowly. If you are a craving to eat baby will not recommended. It cleans well. Good quality.")</f>
        <v>Half and half !! The baby suckles more slowly. If you are a craving to eat baby will not recommended. It cleans well. Good quality.</v>
      </c>
    </row>
    <row r="4340">
      <c r="A4340" s="1">
        <v>1.0</v>
      </c>
      <c r="B4340" s="1" t="s">
        <v>4319</v>
      </c>
      <c r="C4340" t="str">
        <f>IFERROR(__xludf.DUMMYFUNCTION("GOOGLETRANSLATE(B4340, ""es"", ""en"")"),"M .. not worth a watch")</f>
        <v>M .. not worth a watch</v>
      </c>
    </row>
    <row r="4341">
      <c r="A4341" s="1">
        <v>1.0</v>
      </c>
      <c r="B4341" s="1" t="s">
        <v>4320</v>
      </c>
      <c r="C4341" t="str">
        <f>IFERROR(__xludf.DUMMYFUNCTION("GOOGLETRANSLATE(B4341, ""es"", ""en"")"),"Poor quality. Today has left earphone body ... !!! I've used it on a few 3 occasions in a month and already can not return .... !!! Not recommended.")</f>
        <v>Poor quality. Today has left earphone body ... !!! I've used it on a few 3 occasions in a month and already can not return .... !!! Not recommended.</v>
      </c>
    </row>
    <row r="4342">
      <c r="A4342" s="1">
        <v>4.0</v>
      </c>
      <c r="B4342" s="1" t="s">
        <v>4321</v>
      </c>
      <c r="C4342" t="str">
        <f>IFERROR(__xludf.DUMMYFUNCTION("GOOGLETRANSLATE(B4342, ""es"", ""en"")"),"NOT BAD, NOT BAD")</f>
        <v>NOT BAD, NOT BAD</v>
      </c>
    </row>
    <row r="4343">
      <c r="A4343" s="1">
        <v>4.0</v>
      </c>
      <c r="B4343" s="1" t="s">
        <v>4322</v>
      </c>
      <c r="C4343" t="str">
        <f>IFERROR(__xludf.DUMMYFUNCTION("GOOGLETRANSLATE(B4343, ""es"", ""en"")"),"Volume too low The watch was for a person with low vision and is very useful when you are at home or in sparsely ruidosas.El volume is quite low, and if it goes down the street or there is some noise not heard well")</f>
        <v>Volume too low The watch was for a person with low vision and is very useful when you are at home or in sparsely ruidosas.El volume is quite low, and if it goes down the street or there is some noise not heard well</v>
      </c>
    </row>
    <row r="4344">
      <c r="A4344" s="1">
        <v>4.0</v>
      </c>
      <c r="B4344" s="1" t="s">
        <v>4323</v>
      </c>
      <c r="C4344" t="str">
        <f>IFERROR(__xludf.DUMMYFUNCTION("GOOGLETRANSLATE(B4344, ""es"", ""en"")"),"It occupies little space and works well. I liked it because it does its job and takes up little space. It's not much, but it is useful. More or less what I expected.")</f>
        <v>It occupies little space and works well. I liked it because it does its job and takes up little space. It's not much, but it is useful. More or less what I expected.</v>
      </c>
    </row>
    <row r="4345">
      <c r="A4345" s="1">
        <v>4.0</v>
      </c>
      <c r="B4345" s="1" t="s">
        <v>4324</v>
      </c>
      <c r="C4345" t="str">
        <f>IFERROR(__xludf.DUMMYFUNCTION("GOOGLETRANSLATE(B4345, ""es"", ""en"")"),"But not lasting comfortable Good minimalist footwear but tends to break easily in the mesh of the instep")</f>
        <v>But not lasting comfortable Good minimalist footwear but tends to break easily in the mesh of the instep</v>
      </c>
    </row>
    <row r="4346">
      <c r="A4346" s="1">
        <v>4.0</v>
      </c>
      <c r="B4346" s="1" t="s">
        <v>4325</v>
      </c>
      <c r="C4346" t="str">
        <f>IFERROR(__xludf.DUMMYFUNCTION("GOOGLETRANSLATE(B4346, ""es"", ""en"")"),"Big is big, bigger than I wanted. If you want to take the portfolio and little more would not be a good buy. Moreover, perfect finish and brand worthy")</f>
        <v>Big is big, bigger than I wanted. If you want to take the portfolio and little more would not be a good buy. Moreover, perfect finish and brand worthy</v>
      </c>
    </row>
    <row r="4347">
      <c r="A4347" s="1">
        <v>5.0</v>
      </c>
      <c r="B4347" s="1" t="s">
        <v>4326</v>
      </c>
      <c r="C4347" t="str">
        <f>IFERROR(__xludf.DUMMYFUNCTION("GOOGLETRANSLATE(B4347, ""es"", ""en"")"),"Oil product suitable for cosmetic use. Happy with the result")</f>
        <v>Oil product suitable for cosmetic use. Happy with the result</v>
      </c>
    </row>
    <row r="4348">
      <c r="A4348" s="1">
        <v>5.0</v>
      </c>
      <c r="B4348" s="1" t="s">
        <v>4327</v>
      </c>
      <c r="C4348" t="str">
        <f>IFERROR(__xludf.DUMMYFUNCTION("GOOGLETRANSLATE(B4348, ""es"", ""en"")"),"Comfort are very comfortable and good quality.")</f>
        <v>Comfort are very comfortable and good quality.</v>
      </c>
    </row>
    <row r="4349">
      <c r="A4349" s="1">
        <v>5.0</v>
      </c>
      <c r="B4349" s="1" t="s">
        <v>4328</v>
      </c>
      <c r="C4349" t="str">
        <f>IFERROR(__xludf.DUMMYFUNCTION("GOOGLETRANSLATE(B4349, ""es"", ""en"")"),"Casio watch very happy, everything perfect!")</f>
        <v>Casio watch very happy, everything perfect!</v>
      </c>
    </row>
    <row r="4350">
      <c r="A4350" s="1">
        <v>5.0</v>
      </c>
      <c r="B4350" s="1" t="s">
        <v>4329</v>
      </c>
      <c r="C4350" t="str">
        <f>IFERROR(__xludf.DUMMYFUNCTION("GOOGLETRANSLATE(B4350, ""es"", ""en"")"),"Good buy, good quality is very good buy, buy them for my daughter and she is delighted with them. They are good quality .")</f>
        <v>Good buy, good quality is very good buy, buy them for my daughter and she is delighted with them. They are good quality .</v>
      </c>
    </row>
    <row r="4351">
      <c r="A4351" s="1">
        <v>5.0</v>
      </c>
      <c r="B4351" s="1" t="s">
        <v>4330</v>
      </c>
      <c r="C4351" t="str">
        <f>IFERROR(__xludf.DUMMYFUNCTION("GOOGLETRANSLATE(B4351, ""es"", ""en"")"),"Beautiful and practical! I love! Great fit and comfortable!")</f>
        <v>Beautiful and practical! I love! Great fit and comfortable!</v>
      </c>
    </row>
    <row r="4352">
      <c r="A4352" s="1">
        <v>5.0</v>
      </c>
      <c r="B4352" s="1" t="s">
        <v>4331</v>
      </c>
      <c r="C4352" t="str">
        <f>IFERROR(__xludf.DUMMYFUNCTION("GOOGLETRANSLATE(B4352, ""es"", ""en"")"),"Very Good Excellent quality. Very well made, good material and finish. durable look. Very happy.")</f>
        <v>Very Good Excellent quality. Very well made, good material and finish. durable look. Very happy.</v>
      </c>
    </row>
    <row r="4353">
      <c r="A4353" s="1">
        <v>5.0</v>
      </c>
      <c r="B4353" s="1" t="s">
        <v>4332</v>
      </c>
      <c r="C4353" t="str">
        <f>IFERROR(__xludf.DUMMYFUNCTION("GOOGLETRANSLATE(B4353, ""es"", ""en"")"),"Perfect fit like a glove. They are quick and templates tb fit well")</f>
        <v>Perfect fit like a glove. They are quick and templates tb fit well</v>
      </c>
    </row>
    <row r="4354">
      <c r="A4354" s="1">
        <v>5.0</v>
      </c>
      <c r="B4354" s="1" t="s">
        <v>4333</v>
      </c>
      <c r="C4354" t="str">
        <f>IFERROR(__xludf.DUMMYFUNCTION("GOOGLETRANSLATE(B4354, ""es"", ""en"")"),"Good price equal to the photo Excellent")</f>
        <v>Good price equal to the photo Excellent</v>
      </c>
    </row>
    <row r="4355">
      <c r="A4355" s="1">
        <v>5.0</v>
      </c>
      <c r="B4355" s="1" t="s">
        <v>4334</v>
      </c>
      <c r="C4355" t="str">
        <f>IFERROR(__xludf.DUMMYFUNCTION("GOOGLETRANSLATE(B4355, ""es"", ""en"")"),"Very good mic is a very good quality, sound is very clean, and the arm is very useful to place it where you want to position. Besides the microphone, it comes a antipoping, a pad for micro, an arm for holding the micro, a clamp for engaging the arm, holdi"&amp;"ng the microphone arm, and cable. It is quite stable, I recommend it if you use a lot of the microphone.")</f>
        <v>Very good mic is a very good quality, sound is very clean, and the arm is very useful to place it where you want to position. Besides the microphone, it comes a antipoping, a pad for micro, an arm for holding the micro, a clamp for engaging the arm, holding the microphone arm, and cable. It is quite stable, I recommend it if you use a lot of the microphone.</v>
      </c>
    </row>
    <row r="4356">
      <c r="A4356" s="1">
        <v>5.0</v>
      </c>
      <c r="B4356" s="1" t="s">
        <v>4335</v>
      </c>
      <c r="C4356" t="str">
        <f>IFERROR(__xludf.DUMMYFUNCTION("GOOGLETRANSLATE(B4356, ""es"", ""en"")"),"Everything excellent")</f>
        <v>Everything excellent</v>
      </c>
    </row>
    <row r="4357">
      <c r="A4357" s="1">
        <v>5.0</v>
      </c>
      <c r="B4357" s="1" t="s">
        <v>4336</v>
      </c>
      <c r="C4357" t="str">
        <f>IFERROR(__xludf.DUMMYFUNCTION("GOOGLETRANSLATE(B4357, ""es"", ""en"")"),"Loree has less power than expected, but it works well, easy to clean and comfortable to la.hora to handle it at home!")</f>
        <v>Loree has less power than expected, but it works well, easy to clean and comfortable to la.hora to handle it at home!</v>
      </c>
    </row>
    <row r="4358">
      <c r="A4358" s="1">
        <v>5.0</v>
      </c>
      <c r="B4358" s="1" t="s">
        <v>4337</v>
      </c>
      <c r="C4358" t="str">
        <f>IFERROR(__xludf.DUMMYFUNCTION("GOOGLETRANSLATE(B4358, ""es"", ""en"")"),"For the price, size cool movie, all the bar is a little wider than I thought.")</f>
        <v>For the price, size cool movie, all the bar is a little wider than I thought.</v>
      </c>
    </row>
    <row r="4359">
      <c r="A4359" s="1">
        <v>5.0</v>
      </c>
      <c r="B4359" s="1" t="s">
        <v>4338</v>
      </c>
      <c r="C4359" t="str">
        <f>IFERROR(__xludf.DUMMYFUNCTION("GOOGLETRANSLATE(B4359, ""es"", ""en"")"),"It has very good sound quality. And I purchased this product for a few days, but did not expect, the quality is very good, my Android phone and Apple phone my dad can log on, and soon, perhaps to connect other models of mobile phones. Recommended to buy!")</f>
        <v>It has very good sound quality. And I purchased this product for a few days, but did not expect, the quality is very good, my Android phone and Apple phone my dad can log on, and soon, perhaps to connect other models of mobile phones. Recommended to buy!</v>
      </c>
    </row>
    <row r="4360">
      <c r="A4360" s="1">
        <v>5.0</v>
      </c>
      <c r="B4360" s="1" t="s">
        <v>4339</v>
      </c>
      <c r="C4360" t="str">
        <f>IFERROR(__xludf.DUMMYFUNCTION("GOOGLETRANSLATE(B4360, ""es"", ""en"")"),"Q good is what is")</f>
        <v>Q good is what is</v>
      </c>
    </row>
    <row r="4361">
      <c r="A4361" s="1">
        <v>5.0</v>
      </c>
      <c r="B4361" s="1" t="s">
        <v>4340</v>
      </c>
      <c r="C4361" t="str">
        <f>IFERROR(__xludf.DUMMYFUNCTION("GOOGLETRANSLATE(B4361, ""es"", ""en"")"),"It's perfect just like in the picture. They do not get ugly.")</f>
        <v>It's perfect just like in the picture. They do not get ugly.</v>
      </c>
    </row>
    <row r="4362">
      <c r="A4362" s="1">
        <v>5.0</v>
      </c>
      <c r="B4362" s="1" t="s">
        <v>4341</v>
      </c>
      <c r="C4362" t="str">
        <f>IFERROR(__xludf.DUMMYFUNCTION("GOOGLETRANSLATE(B4362, ""es"", ""en"")"),"You are gorgeous! Have successfully reached, it is for my wedding and I love them. They have a lovely sheen")</f>
        <v>You are gorgeous! Have successfully reached, it is for my wedding and I love them. They have a lovely sheen</v>
      </c>
    </row>
    <row r="4363">
      <c r="A4363" s="1">
        <v>5.0</v>
      </c>
      <c r="B4363" s="1" t="s">
        <v>4342</v>
      </c>
      <c r="C4363" t="str">
        <f>IFERROR(__xludf.DUMMYFUNCTION("GOOGLETRANSLATE(B4363, ""es"", ""en"")"),"Excellent very comfortable and convenient and very useful. I love")</f>
        <v>Excellent very comfortable and convenient and very useful. I love</v>
      </c>
    </row>
    <row r="4364">
      <c r="A4364" s="1">
        <v>5.0</v>
      </c>
      <c r="B4364" s="1" t="s">
        <v>4343</v>
      </c>
      <c r="C4364" t="str">
        <f>IFERROR(__xludf.DUMMYFUNCTION("GOOGLETRANSLATE(B4364, ""es"", ""en"")"),"Perfect, does the job. Good quality and very comfortable, I recommend, it is ideal for practicing sport. I have nothing more to say.")</f>
        <v>Perfect, does the job. Good quality and very comfortable, I recommend, it is ideal for practicing sport. I have nothing more to say.</v>
      </c>
    </row>
    <row r="4365">
      <c r="A4365" s="1">
        <v>2.0</v>
      </c>
      <c r="B4365" s="1" t="s">
        <v>4344</v>
      </c>
      <c r="C4365" t="str">
        <f>IFERROR(__xludf.DUMMYFUNCTION("GOOGLETRANSLATE(B4365, ""es"", ""en"")"),"Poor quality materials shoddy construction, all plastic and does not fit the kettle with the base, to my disappointment, I had to return the same day that I received")</f>
        <v>Poor quality materials shoddy construction, all plastic and does not fit the kettle with the base, to my disappointment, I had to return the same day that I received</v>
      </c>
    </row>
    <row r="4366">
      <c r="A4366" s="1">
        <v>3.0</v>
      </c>
      <c r="B4366" s="1" t="s">
        <v>4345</v>
      </c>
      <c r="C4366" t="str">
        <f>IFERROR(__xludf.DUMMYFUNCTION("GOOGLETRANSLATE(B4366, ""es"", ""en"")"),"Before carrying is very nice")</f>
        <v>Before carrying is very nice</v>
      </c>
    </row>
    <row r="4367">
      <c r="A4367" s="1">
        <v>1.0</v>
      </c>
      <c r="B4367" s="1" t="s">
        <v>4346</v>
      </c>
      <c r="C4367" t="str">
        <f>IFERROR(__xludf.DUMMYFUNCTION("GOOGLETRANSLATE(B4367, ""es"", ""en"")"),"Fiasco product with small tare (leather spoiled a shoe), I am also pequeñas.Recepcion malisima me, I live in grade and had to go get the package to Oviedo. I feel disappointed and estafado.Creo that I will not buy anything.")</f>
        <v>Fiasco product with small tare (leather spoiled a shoe), I am also pequeñas.Recepcion malisima me, I live in grade and had to go get the package to Oviedo. I feel disappointed and estafado.Creo that I will not buy anything.</v>
      </c>
    </row>
    <row r="4368">
      <c r="A4368" s="1">
        <v>1.0</v>
      </c>
      <c r="B4368" s="1" t="s">
        <v>4347</v>
      </c>
      <c r="C4368" t="str">
        <f>IFERROR(__xludf.DUMMYFUNCTION("GOOGLETRANSLATE(B4368, ""es"", ""en"")"),"A disaster has disappointed me a lot. The blades just leave a mark on paper and do not cut it. Aluminum foil and always stuck rolls are loose that within the housing. A disaster unit. I do not recommend purchase. I want to return this product, I've remove"&amp;"d because it is totally useless and also I have been with the mounting holes in the tiles I return it and do not give me that option")</f>
        <v>A disaster has disappointed me a lot. The blades just leave a mark on paper and do not cut it. Aluminum foil and always stuck rolls are loose that within the housing. A disaster unit. I do not recommend purchase. I want to return this product, I've removed because it is totally useless and also I have been with the mounting holes in the tiles I return it and do not give me that option</v>
      </c>
    </row>
    <row r="4369">
      <c r="A4369" s="1">
        <v>1.0</v>
      </c>
      <c r="B4369" s="1" t="s">
        <v>4348</v>
      </c>
      <c r="C4369" t="str">
        <f>IFERROR(__xludf.DUMMYFUNCTION("GOOGLETRANSLATE(B4369, ""es"", ""en"")"),"I'm afraid it's fake I bought one like it before and compared to this, apart from the presentation (I is stuffed into a plastic bag and is inside a cardboard envelope ""apparently"" false, adhesive screen protector is not covered whole the watch weighs le"&amp;"ss and belt seems neither metal. without being a specialist I think it's false. Amazon should take better care of these things and not allow these items to be sold. at least I could return it on time without charge.")</f>
        <v>I'm afraid it's fake I bought one like it before and compared to this, apart from the presentation (I is stuffed into a plastic bag and is inside a cardboard envelope "apparently" false, adhesive screen protector is not covered whole the watch weighs less and belt seems neither metal. without being a specialist I think it's false. Amazon should take better care of these things and not allow these items to be sold. at least I could return it on time without charge.</v>
      </c>
    </row>
    <row r="4370">
      <c r="A4370" s="1">
        <v>4.0</v>
      </c>
      <c r="B4370" s="1" t="s">
        <v>4349</v>
      </c>
      <c r="C4370" t="str">
        <f>IFERROR(__xludf.DUMMYFUNCTION("GOOGLETRANSLATE(B4370, ""es"", ""en"")"),"Are nice, but as ""sweatshirt"" fabric is very thin fabric is a bit thin, perhaps somewhat short, but really are not bad. They are beautiful. He arrived earlier than expected.")</f>
        <v>Are nice, but as "sweatshirt" fabric is very thin fabric is a bit thin, perhaps somewhat short, but really are not bad. They are beautiful. He arrived earlier than expected.</v>
      </c>
    </row>
    <row r="4371">
      <c r="A4371" s="1">
        <v>4.0</v>
      </c>
      <c r="B4371" s="1" t="s">
        <v>4350</v>
      </c>
      <c r="C4371" t="str">
        <f>IFERROR(__xludf.DUMMYFUNCTION("GOOGLETRANSLATE(B4371, ""es"", ""en"")"),"Good quality, current and resistance The boot very cool, very good quality and finishes. The problem is that it was for a gift and the girl that was going to use had to return since the leg of the boot was too wide for her ankle")</f>
        <v>Good quality, current and resistance The boot very cool, very good quality and finishes. The problem is that it was for a gift and the girl that was going to use had to return since the leg of the boot was too wide for her ankle</v>
      </c>
    </row>
    <row r="4372">
      <c r="A4372" s="1">
        <v>4.0</v>
      </c>
      <c r="B4372" s="1" t="s">
        <v>4351</v>
      </c>
      <c r="C4372" t="str">
        <f>IFERROR(__xludf.DUMMYFUNCTION("GOOGLETRANSLATE(B4372, ""es"", ""en"")"),"Product quality is simple and does not cure pad relieves pain but perfectly and is a good choice and value for money is correct")</f>
        <v>Product quality is simple and does not cure pad relieves pain but perfectly and is a good choice and value for money is correct</v>
      </c>
    </row>
    <row r="4373">
      <c r="A4373" s="1">
        <v>4.0</v>
      </c>
      <c r="B4373" s="1" t="s">
        <v>4352</v>
      </c>
      <c r="C4373" t="str">
        <f>IFERROR(__xludf.DUMMYFUNCTION("GOOGLETRANSLATE(B4373, ""es"", ""en"")"),"Good product I give just a 4stars because we have not yet used it is a gift, at first glance looks pretty good for a child 9y.o. and I will tell you, only I can tell you that came to me the other day ordering and is in good condition")</f>
        <v>Good product I give just a 4stars because we have not yet used it is a gift, at first glance looks pretty good for a child 9y.o. and I will tell you, only I can tell you that came to me the other day ordering and is in good condition</v>
      </c>
    </row>
    <row r="4374">
      <c r="A4374" s="1">
        <v>5.0</v>
      </c>
      <c r="B4374" s="1" t="s">
        <v>4353</v>
      </c>
      <c r="C4374" t="str">
        <f>IFERROR(__xludf.DUMMYFUNCTION("GOOGLETRANSLATE(B4374, ""es"", ""en"")"),"Clock good article according to my wishes, thank you!")</f>
        <v>Clock good article according to my wishes, thank you!</v>
      </c>
    </row>
    <row r="4375">
      <c r="A4375" s="1">
        <v>5.0</v>
      </c>
      <c r="B4375" s="1" t="s">
        <v>4354</v>
      </c>
      <c r="C4375" t="str">
        <f>IFERROR(__xludf.DUMMYFUNCTION("GOOGLETRANSLATE(B4375, ""es"", ""en"")"),"Good quality / price ratio Very good quality / price. The product meets expectations.")</f>
        <v>Good quality / price ratio Very good quality / price. The product meets expectations.</v>
      </c>
    </row>
    <row r="4376">
      <c r="A4376" s="1">
        <v>5.0</v>
      </c>
      <c r="B4376" s="1" t="s">
        <v>4355</v>
      </c>
      <c r="C4376" t="str">
        <f>IFERROR(__xludf.DUMMYFUNCTION("GOOGLETRANSLATE(B4376, ""es"", ""en"")"),"elegant quality is very complete, and the finish is very good. Accessory to resize, it's great, I had to take a link and has been very, very easy. I am very happy with the result, to see what hard, and CO.O ages.")</f>
        <v>elegant quality is very complete, and the finish is very good. Accessory to resize, it's great, I had to take a link and has been very, very easy. I am very happy with the result, to see what hard, and CO.O ages.</v>
      </c>
    </row>
    <row r="4377">
      <c r="A4377" s="1">
        <v>5.0</v>
      </c>
      <c r="B4377" s="1" t="s">
        <v>4356</v>
      </c>
      <c r="C4377" t="str">
        <f>IFERROR(__xludf.DUMMYFUNCTION("GOOGLETRANSLATE(B4377, ""es"", ""en"")"),"A very nice album esteemed for its price. Comes with protector on each sheet and photos are perfectly just stuck with glue stick. Looks good, and with white letritas looks a lot.")</f>
        <v>A very nice album esteemed for its price. Comes with protector on each sheet and photos are perfectly just stuck with glue stick. Looks good, and with white letritas looks a lot.</v>
      </c>
    </row>
    <row r="4378">
      <c r="A4378" s="1">
        <v>5.0</v>
      </c>
      <c r="B4378" s="1" t="s">
        <v>4357</v>
      </c>
      <c r="C4378" t="str">
        <f>IFERROR(__xludf.DUMMYFUNCTION("GOOGLETRANSLATE(B4378, ""es"", ""en"")"),"Precious Precious ideal for a gift of silver and are an ideal size for the price they can not ask for more I congratulate Amazon for his work on delivery and always send all right")</f>
        <v>Precious Precious ideal for a gift of silver and are an ideal size for the price they can not ask for more I congratulate Amazon for his work on delivery and always send all right</v>
      </c>
    </row>
    <row r="4379">
      <c r="A4379" s="1">
        <v>5.0</v>
      </c>
      <c r="B4379" s="1" t="s">
        <v>4358</v>
      </c>
      <c r="C4379" t="str">
        <f>IFERROR(__xludf.DUMMYFUNCTION("GOOGLETRANSLATE(B4379, ""es"", ""en"")"),"I LIKE YOUR EFFICIENCY After trying some vacuum cleaners for home and disappoint quite (including a very expensive one that was falling and did not aspire), this've finally found what I needed, ""aspiring"" ... does the job very well and I am very happy. "&amp;"I recommend it without question. He arrived well and without problems of distribution.")</f>
        <v>I LIKE YOUR EFFICIENCY After trying some vacuum cleaners for home and disappoint quite (including a very expensive one that was falling and did not aspire), this've finally found what I needed, "aspiring" ... does the job very well and I am very happy. I recommend it without question. He arrived well and without problems of distribution.</v>
      </c>
    </row>
    <row r="4380">
      <c r="A4380" s="1">
        <v>5.0</v>
      </c>
      <c r="B4380" s="1" t="s">
        <v>4359</v>
      </c>
      <c r="C4380" t="str">
        <f>IFERROR(__xludf.DUMMYFUNCTION("GOOGLETRANSLATE(B4380, ""es"", ""en"")"),"Fast and good design. The truth is that for the price it is great. You heat a liter of water and keeps you in temperature.")</f>
        <v>Fast and good design. The truth is that for the price it is great. You heat a liter of water and keeps you in temperature.</v>
      </c>
    </row>
    <row r="4381">
      <c r="A4381" s="1">
        <v>5.0</v>
      </c>
      <c r="B4381" s="1" t="s">
        <v>4360</v>
      </c>
      <c r="C4381" t="str">
        <f>IFERROR(__xludf.DUMMYFUNCTION("GOOGLETRANSLATE(B4381, ""es"", ""en"")"),"Crocs of the whole life I gave my partner and is happy with them. The number corresponds to European size 45-46 I chose 45 because it uses commonly and generally can say I am happy with them. As is the pictures and description. In less than a month has ta"&amp;"ken off the back as they passed has more people. I have carried the shoemaker, has stuck and time are right, because you glue home I did not work, so I recommend bring the shoemaker, but I do not seem normal to peel off like that and less with some uses f"&amp;"ew simply ..")</f>
        <v>Crocs of the whole life I gave my partner and is happy with them. The number corresponds to European size 45-46 I chose 45 because it uses commonly and generally can say I am happy with them. As is the pictures and description. In less than a month has taken off the back as they passed has more people. I have carried the shoemaker, has stuck and time are right, because you glue home I did not work, so I recommend bring the shoemaker, but I do not seem normal to peel off like that and less with some uses few simply ..</v>
      </c>
    </row>
    <row r="4382">
      <c r="A4382" s="1">
        <v>5.0</v>
      </c>
      <c r="B4382" s="1" t="s">
        <v>4361</v>
      </c>
      <c r="C4382" t="str">
        <f>IFERROR(__xludf.DUMMYFUNCTION("GOOGLETRANSLATE(B4382, ""es"", ""en"")"),"Recommended The pendant is very nice. The color is exactly like the image, light green. It give you to my sister and she is very happy. The sound is like a rattlesnake")</f>
        <v>Recommended The pendant is very nice. The color is exactly like the image, light green. It give you to my sister and she is very happy. The sound is like a rattlesnake</v>
      </c>
    </row>
    <row r="4383">
      <c r="A4383" s="1">
        <v>5.0</v>
      </c>
      <c r="B4383" s="1" t="s">
        <v>4362</v>
      </c>
      <c r="C4383" t="str">
        <f>IFERROR(__xludf.DUMMYFUNCTION("GOOGLETRANSLATE(B4383, ""es"", ""en"")"),"Fantastic!!! Highly recommended !!! It is a fantastic product !!! My mother had shoulder pain following a fall as had bought a similar one in Colombia ... I bought the small boat to try !! And we again repeat ... now with the big jackpot because it is fan"&amp;"tastically good !!!")</f>
        <v>Fantastic!!! Highly recommended !!! It is a fantastic product !!! My mother had shoulder pain following a fall as had bought a similar one in Colombia ... I bought the small boat to try !! And we again repeat ... now with the big jackpot because it is fantastically good !!!</v>
      </c>
    </row>
    <row r="4384">
      <c r="A4384" s="1">
        <v>5.0</v>
      </c>
      <c r="B4384" s="1" t="s">
        <v>4363</v>
      </c>
      <c r="C4384" t="str">
        <f>IFERROR(__xludf.DUMMYFUNCTION("GOOGLETRANSLATE(B4384, ""es"", ""en"")"),"A finding Since coming home, are indispensable for their massage in the evening before the TV before bedtime, and car trips (for those who do not go driving, that is) with its cable making the lighter. It leaves you again when you come home with cervical "&amp;"problems; You can choose massage with or without heat, and is silent.")</f>
        <v>A finding Since coming home, are indispensable for their massage in the evening before the TV before bedtime, and car trips (for those who do not go driving, that is) with its cable making the lighter. It leaves you again when you come home with cervical problems; You can choose massage with or without heat, and is silent.</v>
      </c>
    </row>
    <row r="4385">
      <c r="A4385" s="1">
        <v>5.0</v>
      </c>
      <c r="B4385" s="1" t="s">
        <v>4364</v>
      </c>
      <c r="C4385" t="str">
        <f>IFERROR(__xludf.DUMMYFUNCTION("GOOGLETRANSLATE(B4385, ""es"", ""en"")"),"Original Tous card comes in the box Tous, and her pink gift bag and original stamp. Very nice and elegant. For 22 euros perfect as a gift")</f>
        <v>Original Tous card comes in the box Tous, and her pink gift bag and original stamp. Very nice and elegant. For 22 euros perfect as a gift</v>
      </c>
    </row>
    <row r="4386">
      <c r="A4386" s="1">
        <v>5.0</v>
      </c>
      <c r="B4386" s="1" t="s">
        <v>4365</v>
      </c>
      <c r="C4386" t="str">
        <f>IFERROR(__xludf.DUMMYFUNCTION("GOOGLETRANSLATE(B4386, ""es"", ""en"")"),"Perfect corresponds exactly to the description, including action and the heat is enough to notice through clothes (shirt and sweatshirt). At the wrap is very nice feeling. The quality is great: very soft care finish .... It's a good buy. Oh, and very fast"&amp;" delivery!")</f>
        <v>Perfect corresponds exactly to the description, including action and the heat is enough to notice through clothes (shirt and sweatshirt). At the wrap is very nice feeling. The quality is great: very soft care finish .... It's a good buy. Oh, and very fast delivery!</v>
      </c>
    </row>
    <row r="4387">
      <c r="A4387" s="1">
        <v>5.0</v>
      </c>
      <c r="B4387" s="1" t="s">
        <v>4366</v>
      </c>
      <c r="C4387" t="str">
        <f>IFERROR(__xludf.DUMMYFUNCTION("GOOGLETRANSLATE(B4387, ""es"", ""en"")"),"resistant materials Aesthetically have loved me, are more expensive than they are sound alike is another contribution on headphones taking into account the size and price, it does not sound as canned as other headphones of this type, which already is a br"&amp;"eakthrough, summarize the value for me it is fantastic.")</f>
        <v>resistant materials Aesthetically have loved me, are more expensive than they are sound alike is another contribution on headphones taking into account the size and price, it does not sound as canned as other headphones of this type, which already is a breakthrough, summarize the value for me it is fantastic.</v>
      </c>
    </row>
    <row r="4388">
      <c r="A4388" s="1">
        <v>5.0</v>
      </c>
      <c r="B4388" s="1" t="s">
        <v>4367</v>
      </c>
      <c r="C4388" t="str">
        <f>IFERROR(__xludf.DUMMYFUNCTION("GOOGLETRANSLATE(B4388, ""es"", ""en"")"),"Good value for money Honestly, I'm not going to lie, they are what they are, do not wait, better than the Chinese in the neighborhood and worse than about 30 euros, but we are paying a lot less for them and also come with a bag gift and interchangeable an"&amp;"d adjustable almoadillas to the ear. Medium and high normal, but strong bass, these headphones are the rcomendaria people who like hip hop or regaeton")</f>
        <v>Good value for money Honestly, I'm not going to lie, they are what they are, do not wait, better than the Chinese in the neighborhood and worse than about 30 euros, but we are paying a lot less for them and also come with a bag gift and interchangeable and adjustable almoadillas to the ear. Medium and high normal, but strong bass, these headphones are the rcomendaria people who like hip hop or regaeton</v>
      </c>
    </row>
    <row r="4389">
      <c r="A4389" s="1">
        <v>5.0</v>
      </c>
      <c r="B4389" s="1" t="s">
        <v>4368</v>
      </c>
      <c r="C4389" t="str">
        <f>IFERROR(__xludf.DUMMYFUNCTION("GOOGLETRANSLATE(B4389, ""es"", ""en"")"),"Highly recommended very nice and comfortable. Carve large, so I recommend buying one size smaller than usual.")</f>
        <v>Highly recommended very nice and comfortable. Carve large, so I recommend buying one size smaller than usual.</v>
      </c>
    </row>
    <row r="4390">
      <c r="A4390" s="1">
        <v>5.0</v>
      </c>
      <c r="B4390" s="1" t="s">
        <v>4369</v>
      </c>
      <c r="C4390" t="str">
        <f>IFERROR(__xludf.DUMMYFUNCTION("GOOGLETRANSLATE(B4390, ""es"", ""en"")"),"Although very comfortable shoes are not for me, they were for my wife, she is fully satisfied with them because they are super comfortable and made with high quality materials")</f>
        <v>Although very comfortable shoes are not for me, they were for my wife, she is fully satisfied with them because they are super comfortable and made with high quality materials</v>
      </c>
    </row>
    <row r="4391">
      <c r="A4391" s="1">
        <v>5.0</v>
      </c>
      <c r="B4391" s="1" t="s">
        <v>4370</v>
      </c>
      <c r="C4391" t="str">
        <f>IFERROR(__xludf.DUMMYFUNCTION("GOOGLETRANSLATE(B4391, ""es"", ""en"")"),"Comfortable and very practical. I have come to love the experience, they are very comfortable and all types of terrain. They are goretex is great. I recommend them.")</f>
        <v>Comfortable and very practical. I have come to love the experience, they are very comfortable and all types of terrain. They are goretex is great. I recommend them.</v>
      </c>
    </row>
    <row r="4392">
      <c r="A4392" s="1">
        <v>5.0</v>
      </c>
      <c r="B4392" s="1" t="s">
        <v>4371</v>
      </c>
      <c r="C4392" t="str">
        <f>IFERROR(__xludf.DUMMYFUNCTION("GOOGLETRANSLATE(B4392, ""es"", ""en"")"),"Very pretty perfect")</f>
        <v>Very pretty perfect</v>
      </c>
    </row>
    <row r="4393">
      <c r="A4393" s="1">
        <v>2.0</v>
      </c>
      <c r="B4393" s="1" t="s">
        <v>3099</v>
      </c>
      <c r="C4393" t="str">
        <f>IFERROR(__xludf.DUMMYFUNCTION("GOOGLETRANSLATE(B4393, ""es"", ""en"")"),"Average Not bad")</f>
        <v>Average Not bad</v>
      </c>
    </row>
    <row r="4394">
      <c r="A4394" s="1">
        <v>3.0</v>
      </c>
      <c r="B4394" s="1" t="s">
        <v>4372</v>
      </c>
      <c r="C4394" t="str">
        <f>IFERROR(__xludf.DUMMYFUNCTION("GOOGLETRANSLATE(B4394, ""es"", ""en"")"),"The expected clock works well with enough features and is easy to use if you are used to this kind of watches. For the fan of gshock say that is a little smaller than you expect, I had previously read so I was not surprised. I would say even the belt is s"&amp;"mall because usually buttoned in the third - fourth hole and in this I have to go to the seventh.")</f>
        <v>The expected clock works well with enough features and is easy to use if you are used to this kind of watches. For the fan of gshock say that is a little smaller than you expect, I had previously read so I was not surprised. I would say even the belt is small because usually buttoned in the third - fourth hole and in this I have to go to the seventh.</v>
      </c>
    </row>
    <row r="4395">
      <c r="A4395" s="1">
        <v>3.0</v>
      </c>
      <c r="B4395" s="1" t="s">
        <v>4373</v>
      </c>
      <c r="C4395" t="str">
        <f>IFERROR(__xludf.DUMMYFUNCTION("GOOGLETRANSLATE(B4395, ""es"", ""en"")"),"Easy grip, milk is easy to hold the hollow parent but leaves milk residues between the container and the teat that make it have to overturn completely vertical bottle to finish")</f>
        <v>Easy grip, milk is easy to hold the hollow parent but leaves milk residues between the container and the teat that make it have to overturn completely vertical bottle to finish</v>
      </c>
    </row>
    <row r="4396">
      <c r="A4396" s="1">
        <v>3.0</v>
      </c>
      <c r="B4396" s="1" t="s">
        <v>4374</v>
      </c>
      <c r="C4396" t="str">
        <f>IFERROR(__xludf.DUMMYFUNCTION("GOOGLETRANSLATE(B4396, ""es"", ""en"")"),"Load only through mobile Good sound, comfortable and easy to use. However, they can only be loaded via mobile.")</f>
        <v>Load only through mobile Good sound, comfortable and easy to use. However, they can only be loaded via mobile.</v>
      </c>
    </row>
    <row r="4397">
      <c r="A4397" s="1">
        <v>1.0</v>
      </c>
      <c r="B4397" s="1" t="s">
        <v>4375</v>
      </c>
      <c r="C4397" t="str">
        <f>IFERROR(__xludf.DUMMYFUNCTION("GOOGLETRANSLATE(B4397, ""es"", ""en"")"),"Good product, shipping exaggerated Watch is great, you can upload music, routes, pay with. Good buy to get started in this little world, this no problem. I would buy without hesitation. However, despite being Amazon Prime, I was charged 25 eurazos for shi"&amp;"pping ... Very bad.")</f>
        <v>Good product, shipping exaggerated Watch is great, you can upload music, routes, pay with. Good buy to get started in this little world, this no problem. I would buy without hesitation. However, despite being Amazon Prime, I was charged 25 eurazos for shipping ... Very bad.</v>
      </c>
    </row>
    <row r="4398">
      <c r="A4398" s="1">
        <v>4.0</v>
      </c>
      <c r="B4398" s="1" t="s">
        <v>4376</v>
      </c>
      <c r="C4398" t="str">
        <f>IFERROR(__xludf.DUMMYFUNCTION("GOOGLETRANSLATE(B4398, ""es"", ""en"")"),"Quality and value. Solomon is Solomon Very happy")</f>
        <v>Quality and value. Solomon is Solomon Very happy</v>
      </c>
    </row>
    <row r="4399">
      <c r="A4399" s="1">
        <v>4.0</v>
      </c>
      <c r="B4399" s="1" t="s">
        <v>4377</v>
      </c>
      <c r="C4399" t="str">
        <f>IFERROR(__xludf.DUMMYFUNCTION("GOOGLETRANSLATE(B4399, ""es"", ""en"")"),"José Luis Alvarez. Very good. At the beginning regret not having bought the screw crown, but it turned out that this perfectly resists water.")</f>
        <v>José Luis Alvarez. Very good. At the beginning regret not having bought the screw crown, but it turned out that this perfectly resists water.</v>
      </c>
    </row>
    <row r="4400">
      <c r="A4400" s="1">
        <v>4.0</v>
      </c>
      <c r="B4400" s="1" t="s">
        <v>4378</v>
      </c>
      <c r="C4400" t="str">
        <f>IFERROR(__xludf.DUMMYFUNCTION("GOOGLETRANSLATE(B4400, ""es"", ""en"")"),"A little heat just right, but not very powerful, even in the State three notes excessive heat, but it's better than nothing.")</f>
        <v>A little heat just right, but not very powerful, even in the State three notes excessive heat, but it's better than nothing.</v>
      </c>
    </row>
    <row r="4401">
      <c r="A4401" s="1">
        <v>4.0</v>
      </c>
      <c r="B4401" s="1" t="s">
        <v>4379</v>
      </c>
      <c r="C4401" t="str">
        <f>IFERROR(__xludf.DUMMYFUNCTION("GOOGLETRANSLATE(B4401, ""es"", ""en"")"),"Is Indestructible, is Casio, is Japanese. An old, reliable like no other, indestructible as any, time passes by and looks new, I take where I go, I will not if I do not carry it in free TIMP at work (plumbing), fishing, I do not separate myself from I got"&amp;" up to go to bed. Personally I do not think there's a watch more resistant than steel are not like the G-Shock. Recomiedo what all the gentlemen who have a doll to the least median. A beautiful watch. Paste it unique it is that the excellent quality of di"&amp;"gital time clock can not see very well and analog otherwise. 9 to watch!")</f>
        <v>Is Indestructible, is Casio, is Japanese. An old, reliable like no other, indestructible as any, time passes by and looks new, I take where I go, I will not if I do not carry it in free TIMP at work (plumbing), fishing, I do not separate myself from I got up to go to bed. Personally I do not think there's a watch more resistant than steel are not like the G-Shock. Recomiedo what all the gentlemen who have a doll to the least median. A beautiful watch. Paste it unique it is that the excellent quality of digital time clock can not see very well and analog otherwise. 9 to watch!</v>
      </c>
    </row>
    <row r="4402">
      <c r="A4402" s="1">
        <v>4.0</v>
      </c>
      <c r="B4402" s="1" t="s">
        <v>4380</v>
      </c>
      <c r="C4402" t="str">
        <f>IFERROR(__xludf.DUMMYFUNCTION("GOOGLETRANSLATE(B4402, ""es"", ""en"")"),"USB 3.0 32GB pendrive I like this product, my fault I did not notice the color chosen opened the silver, more masculine, less evil that seems a copper color")</f>
        <v>USB 3.0 32GB pendrive I like this product, my fault I did not notice the color chosen opened the silver, more masculine, less evil that seems a copper color</v>
      </c>
    </row>
    <row r="4403">
      <c r="A4403" s="1">
        <v>5.0</v>
      </c>
      <c r="B4403" s="1" t="s">
        <v>4381</v>
      </c>
      <c r="C4403" t="str">
        <f>IFERROR(__xludf.DUMMYFUNCTION("GOOGLETRANSLATE(B4403, ""es"", ""en"")"),"It gives many options. Price quality 👌👍 you can not ask for more. Delicious coffee and cream. Perfect for all types of coffee, black coffee, cut, chocolate, cappuccino, etc. It gives you the ability to do whatever you want, even a latte macchiato.")</f>
        <v>It gives many options. Price quality 👌👍 you can not ask for more. Delicious coffee and cream. Perfect for all types of coffee, black coffee, cut, chocolate, cappuccino, etc. It gives you the ability to do whatever you want, even a latte macchiato.</v>
      </c>
    </row>
    <row r="4404">
      <c r="A4404" s="1">
        <v>5.0</v>
      </c>
      <c r="B4404" s="1" t="s">
        <v>4382</v>
      </c>
      <c r="C4404" t="str">
        <f>IFERROR(__xludf.DUMMYFUNCTION("GOOGLETRANSLATE(B4404, ""es"", ""en"")"),"Bracelet Pandora pandora I bought and found to be small by their 18 cms. It was returned the same day without any problems and very clear instructions. The money was also returned at 2, 3 days.")</f>
        <v>Bracelet Pandora pandora I bought and found to be small by their 18 cms. It was returned the same day without any problems and very clear instructions. The money was also returned at 2, 3 days.</v>
      </c>
    </row>
    <row r="4405">
      <c r="A4405" s="1">
        <v>5.0</v>
      </c>
      <c r="B4405" s="1" t="s">
        <v>4383</v>
      </c>
      <c r="C4405" t="str">
        <f>IFERROR(__xludf.DUMMYFUNCTION("GOOGLETRANSLATE(B4405, ""es"", ""en"")"),"Pin slides for presentations I am dedicated to teaching, and this pin slides suits me very well for classes, as looking for ways to make the most entertaining classes and interactive through the use of the computer lost a lot of time having to go constant"&amp;"ly at the table of the computer to scroll through slides. It comes with a laser, an element that can come in handy for any occasion. Weighs very little, it works with a battery and does not cost much. I hope the students enjoy it to the same as me.")</f>
        <v>Pin slides for presentations I am dedicated to teaching, and this pin slides suits me very well for classes, as looking for ways to make the most entertaining classes and interactive through the use of the computer lost a lot of time having to go constantly at the table of the computer to scroll through slides. It comes with a laser, an element that can come in handy for any occasion. Weighs very little, it works with a battery and does not cost much. I hope the students enjoy it to the same as me.</v>
      </c>
    </row>
    <row r="4406">
      <c r="A4406" s="1">
        <v>5.0</v>
      </c>
      <c r="B4406" s="1" t="s">
        <v>4384</v>
      </c>
      <c r="C4406" t="str">
        <f>IFERROR(__xludf.DUMMYFUNCTION("GOOGLETRANSLATE(B4406, ""es"", ""en"")"),"Comfort comfort. There is a good quality price relation")</f>
        <v>Comfort comfort. There is a good quality price relation</v>
      </c>
    </row>
    <row r="4407">
      <c r="A4407" s="1">
        <v>5.0</v>
      </c>
      <c r="B4407" s="1" t="s">
        <v>4385</v>
      </c>
      <c r="C4407" t="str">
        <f>IFERROR(__xludf.DUMMYFUNCTION("GOOGLETRANSLATE(B4407, ""es"", ""en"")"),"Very good watch good quality watch very buen.precio, barometric altimeter is therefore fluctuates greatly depending on weather conditions, is the only thing I did not like")</f>
        <v>Very good watch good quality watch very buen.precio, barometric altimeter is therefore fluctuates greatly depending on weather conditions, is the only thing I did not like</v>
      </c>
    </row>
    <row r="4408">
      <c r="A4408" s="1">
        <v>5.0</v>
      </c>
      <c r="B4408" s="1" t="s">
        <v>4386</v>
      </c>
      <c r="C4408" t="str">
        <f>IFERROR(__xludf.DUMMYFUNCTION("GOOGLETRANSLATE(B4408, ""es"", ""en"")"),"very comfortable for fall / winter great for all, I work out, even the field for its sport sole 5/5")</f>
        <v>very comfortable for fall / winter great for all, I work out, even the field for its sport sole 5/5</v>
      </c>
    </row>
    <row r="4409">
      <c r="A4409" s="1">
        <v>5.0</v>
      </c>
      <c r="B4409" s="1" t="s">
        <v>4387</v>
      </c>
      <c r="C4409" t="str">
        <f>IFERROR(__xludf.DUMMYFUNCTION("GOOGLETRANSLATE(B4409, ""es"", ""en"")"),"comfortable and light are my first Bluetooth headsets are lightweight and comfortable, two minutes you forget you're wearing. They have very good sound and are very easy to connect with mobile and laptop. A subject having behind the ear do not pierce the "&amp;"ear like button.")</f>
        <v>comfortable and light are my first Bluetooth headsets are lightweight and comfortable, two minutes you forget you're wearing. They have very good sound and are very easy to connect with mobile and laptop. A subject having behind the ear do not pierce the ear like button.</v>
      </c>
    </row>
    <row r="4410">
      <c r="A4410" s="1">
        <v>5.0</v>
      </c>
      <c r="B4410" s="1" t="s">
        <v>4388</v>
      </c>
      <c r="C4410" t="str">
        <f>IFERROR(__xludf.DUMMYFUNCTION("GOOGLETRANSLATE(B4410, ""es"", ""en"")"),"Caparelle Good buy. It's nice and I use it daily. Very good stuff. I recommend it without question. For my taste maybe the belt should be a little closer. But the design of the bag is correct and elegant.")</f>
        <v>Caparelle Good buy. It's nice and I use it daily. Very good stuff. I recommend it without question. For my taste maybe the belt should be a little closer. But the design of the bag is correct and elegant.</v>
      </c>
    </row>
    <row r="4411">
      <c r="A4411" s="1">
        <v>5.0</v>
      </c>
      <c r="B4411" s="1" t="s">
        <v>4389</v>
      </c>
      <c r="C4411" t="str">
        <f>IFERROR(__xludf.DUMMYFUNCTION("GOOGLETRANSLATE(B4411, ""es"", ""en"")"),"Happy with it the moment we are happy with the choice. Creams, milkshakes, pie crusts, smoothies, ice crushing ... All super fast and super fine! The texture is leaving he wanted. The engine holds a lot of work without difficulty, Tritan glass is very lig"&amp;"ht and easy to clean.")</f>
        <v>Happy with it the moment we are happy with the choice. Creams, milkshakes, pie crusts, smoothies, ice crushing ... All super fast and super fine! The texture is leaving he wanted. The engine holds a lot of work without difficulty, Tritan glass is very light and easy to clean.</v>
      </c>
    </row>
    <row r="4412">
      <c r="A4412" s="1">
        <v>5.0</v>
      </c>
      <c r="B4412" s="1" t="s">
        <v>4390</v>
      </c>
      <c r="C4412" t="str">
        <f>IFERROR(__xludf.DUMMYFUNCTION("GOOGLETRANSLATE(B4412, ""es"", ""en"")"),"Great! I love!!! Just what i was looking for...")</f>
        <v>Great! I love!!! Just what i was looking for...</v>
      </c>
    </row>
    <row r="4413">
      <c r="A4413" s="1">
        <v>5.0</v>
      </c>
      <c r="B4413" s="1" t="s">
        <v>4391</v>
      </c>
      <c r="C4413" t="str">
        <f>IFERROR(__xludf.DUMMYFUNCTION("GOOGLETRANSLATE(B4413, ""es"", ""en"")"),"very good better than expected bootie both mountain and road. It is very comfortable to wear and good grip")</f>
        <v>very good better than expected bootie both mountain and road. It is very comfortable to wear and good grip</v>
      </c>
    </row>
    <row r="4414">
      <c r="A4414" s="1">
        <v>5.0</v>
      </c>
      <c r="B4414" s="1" t="s">
        <v>4392</v>
      </c>
      <c r="C4414" t="str">
        <f>IFERROR(__xludf.DUMMYFUNCTION("GOOGLETRANSLATE(B4414, ""es"", ""en"")"),"The perfect use every day, warm as it should and even goes to 180 min (sometimes slightly less) stays warm all night, excellent buy Preci relationship quality, would buy without hesitation.")</f>
        <v>The perfect use every day, warm as it should and even goes to 180 min (sometimes slightly less) stays warm all night, excellent buy Preci relationship quality, would buy without hesitation.</v>
      </c>
    </row>
    <row r="4415">
      <c r="A4415" s="1">
        <v>5.0</v>
      </c>
      <c r="B4415" s="1" t="s">
        <v>4393</v>
      </c>
      <c r="C4415" t="str">
        <f>IFERROR(__xludf.DUMMYFUNCTION("GOOGLETRANSLATE(B4415, ""es"", ""en"")"),"comfortable but comfortable carry with socks pq q rub")</f>
        <v>comfortable but comfortable carry with socks pq q rub</v>
      </c>
    </row>
    <row r="4416">
      <c r="A4416" s="1">
        <v>5.0</v>
      </c>
      <c r="B4416" s="1" t="s">
        <v>4394</v>
      </c>
      <c r="C4416" t="str">
        <f>IFERROR(__xludf.DUMMYFUNCTION("GOOGLETRANSLATE(B4416, ""es"", ""en"")"),"A G Shock that does not disappoint. A G Shock makes the difference with other comparable models. The design is nice and different to all other boxes. It is perfectly legible under all circumstances and the lighting is better than in hands, have a GA 110 a"&amp;"nd this much better light. What alarms and regressive features vibration is great and very configurable. Certainly a great watch and good buy.")</f>
        <v>A G Shock that does not disappoint. A G Shock makes the difference with other comparable models. The design is nice and different to all other boxes. It is perfectly legible under all circumstances and the lighting is better than in hands, have a GA 110 and this much better light. What alarms and regressive features vibration is great and very configurable. Certainly a great watch and good buy.</v>
      </c>
    </row>
    <row r="4417">
      <c r="A4417" s="1">
        <v>5.0</v>
      </c>
      <c r="B4417" s="1" t="s">
        <v>4395</v>
      </c>
      <c r="C4417" t="str">
        <f>IFERROR(__xludf.DUMMYFUNCTION("GOOGLETRANSLATE(B4417, ""es"", ""en"")"),"Great product highly recommended")</f>
        <v>Great product highly recommended</v>
      </c>
    </row>
    <row r="4418">
      <c r="A4418" s="1">
        <v>5.0</v>
      </c>
      <c r="B4418" s="1" t="s">
        <v>4396</v>
      </c>
      <c r="C4418" t="str">
        <f>IFERROR(__xludf.DUMMYFUNCTION("GOOGLETRANSLATE(B4418, ""es"", ""en"")"),"buy the best thing we did !! We love! It is one of the best purchases we've made. A great help for the home, especially when there is no time. Leaves everything very clean. In addition to tell you when and how to clean from the phone is very comfortable. "&amp;"There is only to have to deal with limpito for home use and collection to clean better.")</f>
        <v>buy the best thing we did !! We love! It is one of the best purchases we've made. A great help for the home, especially when there is no time. Leaves everything very clean. In addition to tell you when and how to clean from the phone is very comfortable. There is only to have to deal with limpito for home use and collection to clean better.</v>
      </c>
    </row>
    <row r="4419">
      <c r="A4419" s="1">
        <v>5.0</v>
      </c>
      <c r="B4419" s="1" t="s">
        <v>4397</v>
      </c>
      <c r="C4419" t="str">
        <f>IFERROR(__xludf.DUMMYFUNCTION("GOOGLETRANSLATE(B4419, ""es"", ""en"")"),"Raul Merida Highly recommended is very nice and my wife is fine with it Encatada to put a medal and looks great")</f>
        <v>Raul Merida Highly recommended is very nice and my wife is fine with it Encatada to put a medal and looks great</v>
      </c>
    </row>
    <row r="4420">
      <c r="A4420" s="1">
        <v>5.0</v>
      </c>
      <c r="B4420" s="1" t="s">
        <v>4398</v>
      </c>
      <c r="C4420" t="str">
        <f>IFERROR(__xludf.DUMMYFUNCTION("GOOGLETRANSLATE(B4420, ""es"", ""en"")"),"Quality good price quality, price and warranty is what we offer with this Casio watch. I was surprised very positively, both the clock and the belt, something that adds value to the machine. Good buy and, as usual, good service delivery Amazon.")</f>
        <v>Quality good price quality, price and warranty is what we offer with this Casio watch. I was surprised very positively, both the clock and the belt, something that adds value to the machine. Good buy and, as usual, good service delivery Amazon.</v>
      </c>
    </row>
    <row r="4421">
      <c r="A4421" s="1">
        <v>5.0</v>
      </c>
      <c r="B4421" s="1" t="s">
        <v>4399</v>
      </c>
      <c r="C4421" t="str">
        <f>IFERROR(__xludf.DUMMYFUNCTION("GOOGLETRANSLATE(B4421, ""es"", ""en"")"),"I love Very satisfied")</f>
        <v>I love Very satisfied</v>
      </c>
    </row>
    <row r="4422">
      <c r="A4422" s="1">
        <v>2.0</v>
      </c>
      <c r="B4422" s="1" t="s">
        <v>4400</v>
      </c>
      <c r="C4422" t="str">
        <f>IFERROR(__xludf.DUMMYFUNCTION("GOOGLETRANSLATE(B4422, ""es"", ""en"")"),"All would be well if USB meets describes it, good for android")</f>
        <v>All would be well if USB meets describes it, good for android</v>
      </c>
    </row>
    <row r="4423">
      <c r="A4423" s="1">
        <v>3.0</v>
      </c>
      <c r="B4423" s="1" t="s">
        <v>4401</v>
      </c>
      <c r="C4423" t="str">
        <f>IFERROR(__xludf.DUMMYFUNCTION("GOOGLETRANSLATE(B4423, ""es"", ""en"")"),"Not good quality I bought my granddaughter ... loved the color and everything else and not so much these headphones headset are propitious for children as nothing enters the quality oídos..pero not it is what is desired in these headphones ...")</f>
        <v>Not good quality I bought my granddaughter ... loved the color and everything else and not so much these headphones headset are propitious for children as nothing enters the quality oídos..pero not it is what is desired in these headphones ...</v>
      </c>
    </row>
    <row r="4424">
      <c r="A4424" s="1">
        <v>1.0</v>
      </c>
      <c r="B4424" s="1" t="s">
        <v>4402</v>
      </c>
      <c r="C4424" t="str">
        <f>IFERROR(__xludf.DUMMYFUNCTION("GOOGLETRANSLATE(B4424, ""es"", ""en"")"),"A disappointment a shoe of each color, a rose as shown in the photo and the other pink / beige worn.")</f>
        <v>A disappointment a shoe of each color, a rose as shown in the photo and the other pink / beige worn.</v>
      </c>
    </row>
    <row r="4425">
      <c r="A4425" s="1">
        <v>1.0</v>
      </c>
      <c r="B4425" s="1" t="s">
        <v>4403</v>
      </c>
      <c r="C4425" t="str">
        <f>IFERROR(__xludf.DUMMYFUNCTION("GOOGLETRANSLATE(B4425, ""es"", ""en"")"),"Disappointment. I saw an ad and bought it. Not clean as advertised. I feel duped. No longer the typical red brush life that our mothers used to remove fluffs on the jackets.")</f>
        <v>Disappointment. I saw an ad and bought it. Not clean as advertised. I feel duped. No longer the typical red brush life that our mothers used to remove fluffs on the jackets.</v>
      </c>
    </row>
    <row r="4426">
      <c r="A4426" s="1">
        <v>1.0</v>
      </c>
      <c r="B4426" s="1" t="s">
        <v>4404</v>
      </c>
      <c r="C4426" t="str">
        <f>IFERROR(__xludf.DUMMYFUNCTION("GOOGLETRANSLATE(B4426, ""es"", ""en"")"),"bad buy At 14 months I stopped working")</f>
        <v>bad buy At 14 months I stopped working</v>
      </c>
    </row>
    <row r="4427">
      <c r="A4427" s="1">
        <v>4.0</v>
      </c>
      <c r="B4427" s="1" t="s">
        <v>4405</v>
      </c>
      <c r="C4427" t="str">
        <f>IFERROR(__xludf.DUMMYFUNCTION("GOOGLETRANSLATE(B4427, ""es"", ""en"")"),"The almost perfect delivery to specified time, the quality of the undisputed and which is described as clock. U to beauty. Too bad the box that comes with the watch came with a mark or point deeper than the truth to those who are lovers of watches, leaves"&amp;" a good aftertaste. No I give 5 * for that detail. The perfect rest")</f>
        <v>The almost perfect delivery to specified time, the quality of the undisputed and which is described as clock. U to beauty. Too bad the box that comes with the watch came with a mark or point deeper than the truth to those who are lovers of watches, leaves a good aftertaste. No I give 5 * for that detail. The perfect rest</v>
      </c>
    </row>
    <row r="4428">
      <c r="A4428" s="1">
        <v>4.0</v>
      </c>
      <c r="B4428" s="1" t="s">
        <v>4406</v>
      </c>
      <c r="C4428" t="str">
        <f>IFERROR(__xludf.DUMMYFUNCTION("GOOGLETRANSLATE(B4428, ""es"", ""en"")"),"Perfect size Hello moment I liked everything, size, color and looks good. He did not give it five stars because I have to check that the hard zippers etc ..")</f>
        <v>Perfect size Hello moment I liked everything, size, color and looks good. He did not give it five stars because I have to check that the hard zippers etc ..</v>
      </c>
    </row>
    <row r="4429">
      <c r="A4429" s="1">
        <v>4.0</v>
      </c>
      <c r="B4429" s="1" t="s">
        <v>4407</v>
      </c>
      <c r="C4429" t="str">
        <f>IFERROR(__xludf.DUMMYFUNCTION("GOOGLETRANSLATE(B4429, ""es"", ""en"")"),"The perfect shoe perfect, skin, but carved a little big. 37.5 size measures 24 CMS.")</f>
        <v>The perfect shoe perfect, skin, but carved a little big. 37.5 size measures 24 CMS.</v>
      </c>
    </row>
    <row r="4430">
      <c r="A4430" s="1">
        <v>4.0</v>
      </c>
      <c r="B4430" s="1" t="s">
        <v>4408</v>
      </c>
      <c r="C4430" t="str">
        <f>IFERROR(__xludf.DUMMYFUNCTION("GOOGLETRANSLATE(B4430, ""es"", ""en"")"),"Very nice and good quality. Half price. &lt;Div id = ""video-block-R34RVO1W62LHPS"" class = ""section a-a-a-spacing-small spacing-top-video mini-block""&gt; &lt;div tabindex = ""0"" class = ""airy airy-svg vmin- supported airy-skin-beacon ""style ="" background-co"&amp;"lor: rgb (0, 0, 0) position: relative; width: 100%; height: 100%; font-size: 0px; overflow: hidden; outline: none ; ""&gt; &lt;div class ="" airy-renderer-container ""style ="" position: relative; height: 100%; width: 100%; ""&gt; &lt;video id ="" 7 ""preload ="" aut"&amp;"o ""src ="" https: //images-eu.ssl-images-amazon.com/images/I/D1Mzza91-3S.mp4 ""style ="" position: absolute; left: 0px; top: 0px; overflow: hidden; height: 1px; width: 1px ; ""&gt; &lt;/ video&gt; &lt;/ div&gt; &lt;div id ="" airy-slate-preload ""style ="" background-colo"&amp;"r: rgb (0, 0, 0); background-image: url (&amp; quot; https: // images-eu.ssl-images-amazon.com/images/I/919+CMIQm3S.png&amp;quot;); background-size: Contain; background-position: center center; background-repeat: no-repeat; position: absolute; top : 0px; left: 0p"&amp;"x; visibility: visible; width: 100%; height: 100%; ""&gt; &lt;/ div&gt; &lt;iframe scrolling ="" no ""frameborder = ""0"" src = ""about: blank"" style = ""display: none;""&gt; &lt;/ iframe&gt; &lt;div tabindex = ""- 1"" class = ""airy-controls-container"" style = ""opacity: 0; v"&amp;"isibility: hidden; ""&gt; &lt;div tabindex ="" - 1 ""class ="" airy-screen-size-toggle airy-fullscreen ""&gt; &lt;/ div&gt; &lt;div tabindex ="" - 1 ""class ="" airy-container-bottom "" &gt; &lt;div tabindex = ""- 1"" class = ""airy-track-bar-spacer-left"" style = ""width: 11px;"&amp;"""&gt; &lt;/ div&gt; &lt;div tabindex = ""- 1"" class = ""airy-play- airy toggle-play ""style ="" width: 12px; margin-right: 12px; ""&gt; &lt;/ div&gt; &lt;div tabindex ="" - 1 ""class ="" airy-audio-elements ""style ="" float: right; width: 34px; ""&gt; &lt;div tabindex ="" - 1 ""cla"&amp;"ss ="" airy-audio-toggle airy-on ""&gt; &lt;/ div&gt; &lt;div tabindex ="" - 1 ""class ="" airy-audio-container ""style = ""opacity: 0; visibility: hidden; ""&gt; &lt;div tabindex ="" - 1 ""class ="" airy-audio-track-bar ""style ="" height: 80%; ""&gt; &lt;div tabindex ="" - 1 "&amp;"""class ="" airy-audio- Scrubber-bar ""style ="" height: 85%; ""&gt; &lt;/ div&gt; &lt;div tabindex ="" - 1 ""class ="" airy-audio-scrubber ""style ="" height: 12px; bottom: 85% ""&gt; &lt;/ div&gt; &lt;/ div&gt; &lt;/ div&gt; &lt;/ div&gt; &lt;div tabindex ="" - 1 ""class ="" airy-duration-label"&amp;" ""style ="" float: right; width: 26px; margin-right: 4px; text-align: center; ""&gt; 0:00 &lt;/ div&gt; &lt;div tabindex ="" - 1 ""class ="" airy-track-bar-spacer-right ""style ="" float: right; width: 11px; ""&gt; &lt;/ div&gt; &lt;div tabindex ="" - 1 ""class ="" airy-track-b"&amp;"ar-container ""style ="" margin-left: 35px; margin-right: 75px; ""&gt; &lt;div tabindex ="" - 1 ""class ="" airy-airy-track-bar vertically-centering-table ""&gt; &lt;div tabindex ="" - 1 ""class ="" airy-Vertical-centering- table-cell ""&gt; &lt;div tabindex ="" - 1 ""clas"&amp;"s ="" airy-track-bar-elements ""&gt; &lt;div tabindex ="" - 1 ""class ="" airy-progress-bar ""&gt; &lt;/ div&gt; &lt;div tabindex = ""- 1"" class = ""airy-scrubber-bar""&gt; &lt;/ div&gt; &lt;div tabindex = ""- 1"" class = ""airy-scrubber""&gt; &lt;div tabindex = ""- 1"" class = ""airy-scru"&amp;"bber- icon ""&gt; &lt;/ div&gt; &lt;div tabindex ="" - 1 ""class ="" airy-adjusted-AUI-tooltip ""style ="" opacity: 0; visibility: hidden; ""&gt; &lt;div tabindex ="" - 1 ""class ="" airy-adjusted-aui-tooltip-inner ""&gt; &lt;div tabindex ="" - 1 ""class ="" airy-current-time-la"&amp;"bel ""&gt; 0: 00 &lt;/ div&gt; &lt;/ div&gt; &lt;div tabindex = ""- 1"" class = ""airy-adjusted-AUI-arrow-border""&gt; &lt;div tabindex = ""- 1"" class = ""airy-adjusted-AUI-arrow"" &gt; &lt;/ div&gt; &lt;/ div&gt; &lt;/ div&gt; &lt;/ div&gt; &lt;/ div&gt; &lt;/ div&gt; &lt;/ div&gt; &lt;/ div&gt; &lt;/ div&gt; &lt;/ div&gt; &lt;div tabindex ="&amp;" ""- 1"" class = ""airy-age-gate airy-stage airy-Vertical-centering-table airy-dialog"" style = ""opacity: 0; visibility: hidden; ""&gt; &lt;div tabindex ="" - 1 ""class ="" airy-age-gate-Vertical-centering-table-cell airy-Vertical-centering-table-cell ""&gt; &lt;div"&amp;" tabindex ="" - 1 ""class = ""airy-Vertical-centering-wrapper airy-age-gate-elements-wrapper""&gt; &lt;div tabindex = ""- 1"" class = ""airy-age-gate-elements airy-dialog-elements""&gt; &lt;div tabindex = "" -1 ""class ="" airy-age-gate-prompt ""&gt; This video is not I"&amp;"ntended for all audiences What date were you born &lt;/ div&gt; &lt;div tabindex =.?"" - 1 ""class ="" airy-age-gate -inputs airy-dialog-inner-elements ""&gt; &lt;select tabindex ="" - 1 ""class ="" airy-age-gate-month ""&gt; &lt;option value ="" 1 ""&gt; January &lt;/ option&gt; &lt;opt"&amp;"ion value ="" 2 ""&gt; February &lt;/ option&gt; &lt;option value ="" 3 ""&gt; March &lt;/ option&gt; &lt;option value ="" 4 ""&gt; April &lt;/ option&gt; &lt;option value ="" 5 ""&gt; May &lt;/ option&gt; &lt;option value = ""6""&gt; June &lt;/ option&gt; &lt;option value = ""7""&gt; July &lt;/ option&gt; &lt;option value = "&amp;"""8""&gt; August &lt;/ option&gt; &lt;option value = ""9""&gt; September &lt;/ option&gt; &lt;option value = ""10""&gt; October &lt;/ option&gt; &lt;option value = ""11""&gt; November &lt;/ option&gt; &lt;option value = ""12""&gt; December &lt;/ option&gt; &lt;/ select&gt; &lt;select tabindex = ""- 1"" class = ""airy-ag"&amp;"e-gate-day""&gt; &lt;opti on value = ""1""&gt; 1 &lt;/ option&gt; &lt;option value = ""2""&gt; 2 &lt;/ option&gt; &lt;option value = ""3""&gt; 3 &lt;/ option&gt; &lt;option value = ""4""&gt; 4 &lt;/ option &gt; &lt;option value = ""5""&gt; 5 &lt;/ option&gt; &lt;option value = ""6""&gt; 6 &lt;/ option&gt; &lt;option value = ""7""&gt; "&amp;"7 &lt;/ option&gt; &lt;option value = ""8""&gt; 8 &lt; / option&gt; &lt;option value = ""9""&gt; 9 &lt;/ option&gt; &lt;option value = ""10""&gt; 10 &lt;/ option&gt; &lt;option value = ""11""&gt; 11 &lt;/ option&gt; &lt;option value = ""12""&gt; 12 &lt;/ option&gt; &lt;option value = ""13""&gt; 13 &lt;/ option&gt; &lt;option value = "&amp;"""14""&gt; 14 &lt;/ option&gt; &lt;option value = ""15""&gt; 15 &lt;/ option&gt; &lt;option value = ""16 ""&gt; 16 &lt;/ option&gt; &lt;option value ="" 17 ""&gt; 17 &lt;/ option&gt; &lt;option value ="" 18 ""&gt; 18 &lt;/ option&gt; &lt;option value ="" 19 ""&gt; 19 &lt;/ option&gt; &lt;option value = ""20""&gt; 20 &lt;/ option&gt; &lt;"&amp;"option value = ""21""&gt; 21 &lt;/ option&gt; &lt;option value = ""22""&gt; 22 &lt;/ option&gt; &lt;option value = ""23""&gt; 23 &lt;/ option&gt; &lt;option value = ""24""&gt; 24 &lt;/ option&gt; &lt;option value = ""25""&gt; 25 &lt;/ option&gt; &lt;option value = ""26""&gt; 26 &lt;/ option&gt; &lt;option value = ""27""&gt; 27 &lt;"&amp;"/ option&gt; &lt;option value = ""28""&gt; 28 &lt;/ option&gt; &lt;option value = ""29""&gt; 29 &lt;/ option&gt; &lt;option value = ""30""&gt; 30 &lt;/ option&gt; &lt;option value = ""31""&gt; 31 &lt;/ option&gt; &lt;/ select&gt; &lt;select tabindex = ""- 1"" class = ""airy-age-gate-year""&gt; &lt;option value = ""2019"&amp;"""&gt; 2019 &lt;/ option&gt; &lt; option value = ""2018""&gt; 2018 &lt;/ option&gt; &lt;option value = ""2017""&gt; 2017 &lt;/ option&gt; &lt;option value = ""2016""&gt; ​​2016 &lt;/ option&gt; &lt;option value = ""2015""&gt; 2015 &lt;/ option &gt; &lt;option value = ""2014""&gt; 2014 &lt;/ option&gt; &lt;option value = ""201"&amp;"3""&gt; 2013 &lt;/ option&gt; &lt;option value = ""2012""&gt; 2012 &lt;/ option&gt; &lt;option value = ""2011""&gt; 2011 &lt; / option&gt; &lt;option value = ""2010""&gt; 2010 &lt;/ option&gt; &lt;option value = ""2009""&gt; 2009 &lt;/ option&gt; &lt;option value = ""2008""&gt; 2008 &lt;/ option&gt; &lt;option value = ""2007"&amp;"""&gt; 2007 &lt;/ option&gt; &lt;option value = ""2006""&gt; 2006 &lt;/ option&gt; &lt;option value = ""2005""&gt; 2005 &lt;/ option&gt; &lt;option value = ""2004""&gt; 2004 &lt;/ option&gt; &lt;option value = ""2003 ""&gt; 2003 &lt;/ option&gt; &lt;option value ="" 2002 ""&gt; 2002 &lt;/ option&gt; &lt;option value ="" 2001 "&amp;"""&gt;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""&gt;"&amp;" 1989 &lt;/ option&gt; &lt;option value ="" 1988 ""&gt; 1988 &lt;/ option&gt; &lt;option value ="" 1987 ""&gt; 1987 &lt;/ option&gt; &lt;option value ="" 1986 ""&gt; 1986 &lt;/ option&gt; &lt;value option = ""1985""&gt; 1985 &lt;/ option&gt; &lt;option value = ""1984""&gt; 1984 &lt;/ option&gt; &lt;option value = ""1983""&gt;"&amp;" 1983 &lt;/ option&gt; &lt;option value = ""1982""&gt; 1982 &lt;/ option&gt; &lt; option value = ""1981""&gt; 1981 &lt;/ option&gt; &lt;option value = ""1980""&gt; 1980 &lt;/ option&gt; &lt;option value = ""1979""&gt; 1979 &lt;/ option&gt; &lt;option value = ""1978""&gt; 1978 &lt;/ option &gt; &lt;option value = ""1977""&gt; "&amp;"1977 &lt;/ option&gt; &lt;option value = ""1976""&gt; 1976 &lt;/ option&gt; &lt;option value = ""1975""&gt; 1975 &lt;/ option&gt; &lt;option value = ""1974""&gt; 1974 &lt; / option&gt; &lt;option value = ""1973""&gt; 1973 &lt;/ option&gt; &lt;option value = ""1972""&gt; 1972 &lt;/ option&gt; &lt;option value = ""1971""&gt; 19"&amp;"71 &lt;/ option&gt; &lt;option value = ""1970""&gt; 1970 &lt;/ option&gt; &lt;option value = ""1969""&gt; 1969 &lt;/ option&gt; &lt;option value = ""1968""&gt; 1968 &lt;/ option&gt; &lt;option value = ""1967""&gt; 1967 &lt;/ option&gt; &lt;option value = ""1966 ""&gt; 1966 &lt;/ option&gt; &lt;option value ="" 1965 ""&gt; 196"&amp;"5 &lt;/ option&gt; &lt;option value ="" 1964 ""&gt; 1964 &lt;/ option&gt; &lt;option value ="" 1963 ""&gt; 1963 &lt;/ option&gt; &lt;option value = ""1962""&gt; 1962 &lt;/ option&gt; &lt;option value = ""1961""&gt; 1961 &lt;/ option&gt; &lt;option value = ""1960""&gt; 1960 &lt;/ op tion&gt; &lt;option value = ""1959""&gt; 195"&amp;"9 &lt;/ option&gt; &lt;option value = ""1958""&gt; 1958 &lt;/ option&gt; &lt;option value = ""1957""&gt; 1957 &lt;/ option&gt; &lt;option value = ""1956""&gt; 1956 &lt;/ option&gt; &lt;option value = ""1955""&gt; 1955 &lt;/ option&gt; &lt;option value = ""1954""&gt; 1954 &lt;/ option&gt; &lt;option value = ""1953""&gt; 1953 &lt;"&amp;"/ option&gt; &lt;option value = ""1952"" &gt; 1952 &lt;/ option&gt; &lt;option value = ""1951""&gt; 1951 &lt;/ option&gt; &lt;option value = ""1950""&gt; 1950 &lt;/ option&gt; &lt;option value = ""1949""&gt; 1949 &lt;/ option&gt; &lt;option value = "" 1948 ""&gt; 1948 &lt;/ option&gt; &lt;option value ="" 1947 ""&gt; 1947 "&amp;"&lt;/ option&gt; &lt;option value ="" 1946 ""&gt; 1946 &lt;/ option&gt; &lt;option value ="" 1945 ""&gt; 1945 &lt;/ option&gt; &lt;value option = ""1944""&gt; 1944 &lt;/ option&gt; &lt;option value = ""1943""&gt; 1943 &lt;/ option&gt; &lt;option value = ""1942""&gt; 1942 &lt;/ option&gt; &lt;option value = ""1941""&gt; 1941 &lt;"&amp;"/ option&gt; &lt; option value = ""1940""&gt; 1940 &lt;/ option&gt; &lt;option value = ""1939""&gt; 1939 &lt;/ option&gt; &lt;option value = ""1938""&gt; 1938 &lt;/ option&gt; &lt;option value = ""1937""&gt; 1937 &lt;/ option &gt; &lt;option value = ""1936""&gt; 1936 &lt;/ option&gt; &lt;option value = ""1935""&gt; 1935 &lt;/"&amp;" option&gt; &lt;option value = ""1934""&gt; 1934 &lt;/ option&gt; &lt;option value = ""1933""&gt; 1933 &lt; / option&gt; &lt;option value = ""1932""&gt; 1932 &lt;/ option&gt; &lt;option value = ""1931""&gt; 1931 &lt;/ option&gt; &lt;option v alue = ""1930""&gt; 1930 &lt;/ option&gt; &lt;option value = ""1929""&gt; 1929 &lt;/ "&amp;"option&gt; &lt;option value = ""1928""&gt; 1928 &lt;/ option&gt; &lt;option value = ""1927""&gt; 1927 &lt;/ option&gt; &lt;option value = ""1926""&gt; 1926 &lt;/ option&gt; &lt;option value = ""1925""&gt; 1925 &lt;/ option&gt; &lt;option value = ""1924""&gt; 1924 &lt;/ option&gt; &lt;option value = ""1923""&gt; 1923 &lt;/ opt"&amp;"ion&gt; &lt;option value = ""1922""&gt; 1922 &lt;/ option&gt; &lt;option value = ""1921""&gt; 1921 &lt;/ option&gt; &lt;option value = ""1920""&gt; 1920 &lt;/ option&gt; &lt;option value = ""1919""&gt; 1919 &lt;/ option&gt; &lt;option value = ""1918""&gt; 1918 &lt;/ option&gt; &lt;option value = ""1917""&gt; 1917 &lt;/ option"&amp;"&gt; &lt;option value = ""1916""&gt; 1916 &lt;/ option&gt; &lt;option value = ""1915"" &gt; 1915 &lt;/ option&gt; &lt;option value = ""1914""&gt; 1914 &lt;/ option&gt; &lt;option value = ""1913""&gt; 1913 &lt;/ option&gt; &lt;option value = ""1912""&gt; 1912 &lt;/ option&gt; &lt;option value = "" 1911 ""&gt; 1911 &lt;/ option"&amp;"&gt; &lt;option value ="" 1910 ""&gt; 1910 &lt;/ option&gt; &lt;option value ="" 1909 ""&gt; 1909 &lt;/ option&gt; &lt;option value ="" 1908 ""&gt; 1908 &lt;/ option&gt; &lt;value option = ""1907""&gt; 1907 &lt;/ option&gt; &lt;option value = ""1906""&gt; 1906 &lt;/ option&gt; &lt;option value = ""1905""&gt; 1905 &lt;/ option"&amp;"&gt; &lt;option value = ""1904""&gt; 1904 &lt;/ option&gt; &lt; option value = ""1903""&gt; 1903 &lt;/ option&gt; &lt;option value = ""1902""&gt; 1902 &lt;/ option&gt; &lt;option value = ""1901""&gt; 19 01 &lt;/ option&gt; &lt;option value = ""1900""&gt; 1900 &lt;/ option&gt; &lt;/ select&gt; &lt;div tabindex = ""- 1"" class "&amp;"= ""airy-age-gate-submit airy-submit-button airy airy-submit- disabled ""&gt; Submit &lt;/ div&gt; &lt;/ div&gt; &lt;/ div&gt; &lt;/ div&gt; &lt;/ div&gt; &lt;/ div&gt; &lt;div tabindex ="" - 1 ""class ="" airy-install-flash-dialog airy-stage airy -vertical-centering-table-dialog airy airy-denied"&amp;" ""style ="" opacity: 0; visibility: hidden; ""&gt; &lt;div tabindex ="" - 1 ""class ="" airy-install-flash-Vertical-centering-table-cell airy-Vertical-centering-table-cell ""&gt; &lt;div tabindex ="" - 1 ""class = ""airy-Vertical-centering-wrapper airy-install-flash"&amp;"-elements-wrapper""&gt; &lt;div tabindex = ""- 1"" class = ""airy-install-flash-elements airy-dialog-elements""&gt; &lt;div tabindex = "" -1 ""class ="" airy-install-flash-prompt ""&gt; Adobe Flash Player is required to watch this video &lt;/ div&gt; &lt;div tabindex =."" - 1 """&amp;"class ="" airy-install-flash-button-wrapper airy -dialog-inner-elements ""&gt; &lt;div tabindex ="" - 1 ""class ="" airy-install-flash-button airy-button ""&gt; install Flash Player &lt;/ div&gt; &lt;/ div&gt; &lt;/ div&gt; &lt;/ div&gt; &lt;/ div&gt; &lt;/ div&gt; &lt;div tabindex = ""- 1"" class = """&amp;"airy-video-unsupported-dialog airy-stage airy-Vertical-centering-table airy-dialog airy-denied"" style = ""opacity: 0; visibility: hidden; ""&gt; &lt;div tabindex ="" - 1 ""class ="" airy-video-unsupported-Vertical-centering-table-cell airy-Vertical-centering-t"&amp;"able-cell ""&gt; &lt;div tabindex ="" - 1 ""class = ""airy-Vertical-centering-wrapper airy-video-unsupported-elements-wrapper""&gt; &lt;div tabindex = ""- 1"" class = ""airy-video-unsupported-elements airy-dialog-elements""&gt; &lt;div tabindex = "" -1 ""class ="" airy-vid"&amp;"eo-unsupported-prompt ""&gt; &lt;/ div&gt; &lt;/ div&gt; &lt;/ div&gt; &lt;/ div&gt; &lt;/ div&gt; &lt;div tabindex ="" - 1 ""class ="" airy-loading- spinner-stage airy-stage ""&gt; &lt;div tabindex ="" - 1 ""class ="" airy-loading-spinner-Vertical-centering-table-cell airy-Vertical-centering-tab"&amp;"le-cell ""&gt; &lt;div tabindex ="" - 1 ""class ="" airy-loading-spinner-container airy-scalable-hint-container ""&gt; &lt;div tabindex ="" - 1 ""class ="" airy-loading-spinner-dummy airy-scalable-dummy ""&gt; &lt;/ div&gt; &lt; div tabindex = ""- 1"" class = ""airy-loading-spin"&amp;"ner airy-hint"" style = ""visibility: hidden;""&gt; &lt;/ div&gt; &lt;/ div&gt; &lt;/ div&gt; &lt;/ div&gt; &lt;div tabindex = ""- 1 ""class ="" airy-ads-screen-size-toggle airy-screen-size-toggle-fullscreen airy ""style ="" visibility: hidden; ""&gt; &lt;/ div&gt; &lt;div tabindex = ""-1"" class"&amp;" = ""airy-ad-prompt-container"" style = ""visibility: hidden;""&gt; &lt;div tabindex = ""- 1"" class = ""airy-ad-prompt-Vertical-centering-table-vertically airy centering-table ""&gt; &lt;div tabindex ="" - 1 ""class ="" airy-ad-prompt-Vertical-centering-table-cell a"&amp;"iry-Vertical-centering-table-cell ""&gt; &lt;div tabindex ="" - 1 ""class = ""airy-ad-prompt-label""&gt; &lt;/ div&gt; &lt;/ div&gt; &lt;/ div&gt; &lt;/ div&gt; &lt;div tabindex = ""- 1"" class = ""airy-ads-controls-container"" style = ""visibility: hidden; ""&gt; &lt;div tabindex ="" - 1 ""class"&amp;" ="" airy-ads-audio-toggle airy-audio-toggle airy-on ""style ="" visibility: hidden; ""&gt; &lt;/ div&gt; &lt;div tabindex ="" - 1 ""class ="" airy-time-remaining-label-container ""&gt; &lt;div tabindex ="" - 1 ""class ="" airy-time-remaining-Vertical-centering-table airy-"&amp;"Vertical-centering-table ""&gt; &lt;div tabindex = ""- 1"" class = ""airy-time-remaining-Vertical-centering-table-cell airy-Vertical-centering-table-cell""&gt; &lt;div tabindex = ""- 1"" class = ""airy-Vertical-centering-wrapper airy-time-remaining-label-wrapper ""&gt; "&amp;"&lt;div tabindex ="" - 1 ""class ="" airy-time-remaining-label ""style ="" visibility: hidden; ""&gt; &lt;/ div&gt; &lt;div tabi ndex = ""- 1"" class = ""airy-ad-skip"" style = ""visibility: hidden;""&gt; &lt;/ div&gt; &lt;div tabindex = ""- 1"" class = ""airy-ad-end"" style = ""vi"&amp;"sibility: hidden ""&gt; &lt;/ div&gt; &lt;/ div&gt; &lt;/ div&gt; &lt;/ div&gt; &lt;/ div&gt; &lt;div tabindex ="" - 1 ""class ="" airy-learn-more ""style ="" visibility: hidden; ""&gt; &lt;/ div&gt; &lt;/ div&gt; &lt;div tabindex = ""- 1"" class = ""airy-play-toggle-hint-stage airy-stage airy-cursor""&gt; &lt;div"&amp;" tabindex = ""- 1"" class = ""airy-play -toggle-hint-Vertical-centering-table-cell airy-Vertical-centering-table-cell airy-cursor ""&gt; &lt;div tabindex ="" - 1 ""class ="" airy-play-toggle-hint-container airy-scalable- Hint-container ""&gt; &lt;div tabindex ="" - 1"&amp;" ""class ="" airy-play-toggle-hint-dummy airy-scalable-dummy ""&gt; &lt;/ div&gt; &lt;div tabindex ="" - 1 ""class ="" airy-play -toggle-hint hint airy-airy-play-hint ""style ="" opacity: 1; visibility: visible; ""&gt; &lt;/ div&gt; &lt;/ div&gt; &lt;/ div&gt; &lt;/ div&gt; &lt;div tabindex ="" -"&amp;" 1 ""class ="" airy-replay-hint-stage airy-stage ""style ="" visibility: hidden ; ""&gt; &lt;div tabindex ="" - 1 ""class ="" airy-replay-hint-Vertical-centering-table-cell airy-Vertical-centering-table-cell airy-cursor ""&gt; &lt;div tabindex ="" - 1 ""class = ""air"&amp;"y-replay-hint-container airy-scalable-hint-container""&gt; &lt;div tabindex = ""- 1"" class = ""airy-replay-hint-dummy airy-scalable-dummy""&gt; &lt;/ div&gt; &lt;div tabindex = ""- 1"" class = ""airy-replay-hint airy-hint""&gt; &lt;/ div&gt; &lt;/ div&gt; &lt;/ div&gt; &lt;/ div&gt; &lt;div tabindex ="&amp;" ""- 1"" class = ""airy-autoplay-hint -stage airy-stage ""style ="" visibility: hidden; ""&gt; &lt;div tabindex ="" - 1 ""class ="" airy-autoplay-hint-Vertical-centering-table-cell airy-Vertical-centering-table-cell airy- cursor ""&gt; &lt;div tabindex ="" - 1 ""clas"&amp;"s ="" autoplay airy-airy-hint-container-scalable-hint-container ""&gt; &lt;div tabindex ="" - 1 ""class ="" airy-autoplay-hint-dummy airy- scalable-dummy ""&gt; &lt;/ div&gt; &lt;/ div&gt; &lt;/ div&gt; &lt;/ div&gt; &lt;/ div&gt; &lt;/ div&gt; &lt;input type ="" hidden ""name ="" ""value ="" https: //"&amp;" images-eu .ssl-images-amazon.com / images / I / D1Mzza91-3S.mp4 ""Class ="" video-url ""&gt; &lt;input type ="" hidden ""name ="" ""value ="" https://images-eu.ssl-images-amazon.com/images/I/919+CMIQm3S.png ""class = ""video-slate-img-url""&gt; &amp; nbsp; I liked th"&amp;"e design and quality of the housing of the engine is very nice and polished steel. In addition when you turn the buttons are backlit by blue LED, and has a very modern look and design. The engine has 1200 watts, enough for home use. Generally it has good "&amp;"details and good finishes, power and fucniones more than sufienciente. It dismantles well to clean and has nothing strange. I have not gustadovarias things. It has details that are too plastic, such as the safety switch of the attachment of the glass vess"&amp;"el is a plastic clip with a spring, seemingly fragile. The blades are made of steel, although not the best for this type of mixer, there are other types of blades of higher quality. Resumiento. The quality is good, and enough power for domestic use is not"&amp;" intended for professional or intensive use. For that there are other machines with more power and quality. Value: Well, I think it is expensive. Simply put in the search box Amazón ""blender cup 1200"". After everyone has to decide what you want to buy. "&amp;"Given the guarantee and experience offered by each brand.")</f>
        <v>Very nice and good quality. Half price. &lt;Div id = "video-block-R34RVO1W62LHPS" class = "section a-a-a-spacing-small spacing-top-video mini-block"&gt; &lt;div tabindex = "0" class = "airy airy-svg vmin- supported airy-skin-beacon "style =" background-color: rgb (0, 0, 0) position: relative; width: 100%; height: 100%; font-size: 0px; overflow: hidden; outline: none ; "&gt; &lt;div class =" airy-renderer-container "style =" position: relative; height: 100%; width: 100%; "&gt; &lt;video id =" 7 "preload =" auto "src =" https: //images-eu.ssl-images-amazon.com/images/I/D1Mzza91-3S.mp4 "style =" position: absolute; left: 0px; top: 0px; overflow: hidden; height: 1px; width: 1px ; "&gt; &lt;/ video&gt; &lt;/ div&gt; &lt;div id =" airy-slate-preload "style =" background-color: rgb (0, 0, 0); background-image: url (&amp; quot; https: // images-eu.ssl-images-amazon.com/images/I/919+CMIQm3S.png&amp;quot;); background-size: Contain; background-position: center center; background-repeat: no-repeat; position: absolute; top : 0px; left: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D1Mzza91-3S.mp4 "Class =" video-url "&gt; &lt;input type =" hidden "name =" "value =" https://images-eu.ssl-images-amazon.com/images/I/919+CMIQm3S.png "class = "video-slate-img-url"&gt; &amp; nbsp; I liked the design and quality of the housing of the engine is very nice and polished steel. In addition when you turn the buttons are backlit by blue LED, and has a very modern look and design. The engine has 1200 watts, enough for home use. Generally it has good details and good finishes, power and fucniones more than sufienciente. It dismantles well to clean and has nothing strange. I have not gustadovarias things. It has details that are too plastic, such as the safety switch of the attachment of the glass vessel is a plastic clip with a spring, seemingly fragile. The blades are made of steel, although not the best for this type of mixer, there are other types of blades of higher quality. Resumiento. The quality is good, and enough power for domestic use is not intended for professional or intensive use. For that there are other machines with more power and quality. Value: Well, I think it is expensive. Simply put in the search box Amazón "blender cup 1200". After everyone has to decide what you want to buy. Given the guarantee and experience offered by each brand.</v>
      </c>
    </row>
    <row r="4431">
      <c r="A4431" s="1">
        <v>4.0</v>
      </c>
      <c r="B4431" s="1" t="s">
        <v>4409</v>
      </c>
      <c r="C4431" t="str">
        <f>IFERROR(__xludf.DUMMYFUNCTION("GOOGLETRANSLATE(B4431, ""es"", ""en"")"),"Very good value for money are a bit hard and difficult to accustom the ankle to the beginning but warm and waterproof. Very cool design.")</f>
        <v>Very good value for money are a bit hard and difficult to accustom the ankle to the beginning but warm and waterproof. Very cool design.</v>
      </c>
    </row>
    <row r="4432">
      <c r="A4432" s="1">
        <v>5.0</v>
      </c>
      <c r="B4432" s="1" t="s">
        <v>4410</v>
      </c>
      <c r="C4432" t="str">
        <f>IFERROR(__xludf.DUMMYFUNCTION("GOOGLETRANSLATE(B4432, ""es"", ""en"")"),"This small compact USB Memory is small and has great capacity (32 gigas), ideal to take her key ring. It is compact and rugged. It connects seamlessly and quickly Ali computer. I'm very satisfied with the shopping.")</f>
        <v>This small compact USB Memory is small and has great capacity (32 gigas), ideal to take her key ring. It is compact and rugged. It connects seamlessly and quickly Ali computer. I'm very satisfied with the shopping.</v>
      </c>
    </row>
    <row r="4433">
      <c r="A4433" s="1">
        <v>5.0</v>
      </c>
      <c r="B4433" s="1" t="s">
        <v>4411</v>
      </c>
      <c r="C4433" t="str">
        <f>IFERROR(__xludf.DUMMYFUNCTION("GOOGLETRANSLATE(B4433, ""es"", ""en"")"),"Very good resultones.Bonito regalo.Un little pequeños.Todo well including delivery")</f>
        <v>Very good resultones.Bonito regalo.Un little pequeños.Todo well including delivery</v>
      </c>
    </row>
    <row r="4434">
      <c r="A4434" s="1">
        <v>5.0</v>
      </c>
      <c r="B4434" s="1" t="s">
        <v>4412</v>
      </c>
      <c r="C4434" t="str">
        <f>IFERROR(__xludf.DUMMYFUNCTION("GOOGLETRANSLATE(B4434, ""es"", ""en"")"),"A precious gift I love the album, the theme of Up and above everything included to customize. A gift of 10 for any family / partner / friend. Highly recommended, very good quality. BEAUTIFUL.")</f>
        <v>A precious gift I love the album, the theme of Up and above everything included to customize. A gift of 10 for any family / partner / friend. Highly recommended, very good quality. BEAUTIFUL.</v>
      </c>
    </row>
    <row r="4435">
      <c r="A4435" s="1">
        <v>5.0</v>
      </c>
      <c r="B4435" s="1" t="s">
        <v>4413</v>
      </c>
      <c r="C4435" t="str">
        <f>IFERROR(__xludf.DUMMYFUNCTION("GOOGLETRANSLATE(B4435, ""es"", ""en"")"),"Very txulas !!! Perfect !! The golden color is more beautiful to the natural, it is softer. Size, like other as Adidas sneakers. everything OK")</f>
        <v>Very txulas !!! Perfect !! The golden color is more beautiful to the natural, it is softer. Size, like other as Adidas sneakers. everything OK</v>
      </c>
    </row>
    <row r="4436">
      <c r="A4436" s="1">
        <v>5.0</v>
      </c>
      <c r="B4436" s="1" t="s">
        <v>4414</v>
      </c>
      <c r="C4436" t="str">
        <f>IFERROR(__xludf.DUMMYFUNCTION("GOOGLETRANSLATE(B4436, ""es"", ""en"")"),"Useful and practical Just what I was looking for. Not very big, the design is lovely to have in the kitchen. Squeezing oranges well and without any effort, it is also very quiet. Wears a dust cap also very easy to remove and wash.")</f>
        <v>Useful and practical Just what I was looking for. Not very big, the design is lovely to have in the kitchen. Squeezing oranges well and without any effort, it is also very quiet. Wears a dust cap also very easy to remove and wash.</v>
      </c>
    </row>
    <row r="4437">
      <c r="A4437" s="1">
        <v>5.0</v>
      </c>
      <c r="B4437" s="1" t="s">
        <v>4415</v>
      </c>
      <c r="C4437" t="str">
        <f>IFERROR(__xludf.DUMMYFUNCTION("GOOGLETRANSLATE(B4437, ""es"", ""en"")"),"price good quality comfortable")</f>
        <v>price good quality comfortable</v>
      </c>
    </row>
    <row r="4438">
      <c r="A4438" s="1">
        <v>5.0</v>
      </c>
      <c r="B4438" s="1" t="s">
        <v>4416</v>
      </c>
      <c r="C4438" t="str">
        <f>IFERROR(__xludf.DUMMYFUNCTION("GOOGLETRANSLATE(B4438, ""es"", ""en"")"),"Good comfortable and durable, highly recommended price")</f>
        <v>Good comfortable and durable, highly recommended price</v>
      </c>
    </row>
    <row r="4439">
      <c r="A4439" s="1">
        <v>5.0</v>
      </c>
      <c r="B4439" s="1" t="s">
        <v>4417</v>
      </c>
      <c r="C4439" t="str">
        <f>IFERROR(__xludf.DUMMYFUNCTION("GOOGLETRANSLATE(B4439, ""es"", ""en"")"),"Excellent product, reliable and accurate have excellent finishes and is very accurate. It is compact and saves very little space in the USB connector (q could be much smaller).")</f>
        <v>Excellent product, reliable and accurate have excellent finishes and is very accurate. It is compact and saves very little space in the USB connector (q could be much smaller).</v>
      </c>
    </row>
    <row r="4440">
      <c r="A4440" s="1">
        <v>5.0</v>
      </c>
      <c r="B4440" s="1" t="s">
        <v>4418</v>
      </c>
      <c r="C4440" t="str">
        <f>IFERROR(__xludf.DUMMYFUNCTION("GOOGLETRANSLATE(B4440, ""es"", ""en"")"),"Tascam I can not be happier with this recorder. I've always heard very good things and I decided to buy it, I can record audio, also has line input (which is the main reason why I bought it) has a very good range and also can be connected via USB and has "&amp;"a sound card to record directly to the Mac !! Amazing. I miss the USB cable, could be included in the package, otherwise a 10.")</f>
        <v>Tascam I can not be happier with this recorder. I've always heard very good things and I decided to buy it, I can record audio, also has line input (which is the main reason why I bought it) has a very good range and also can be connected via USB and has a sound card to record directly to the Mac !! Amazing. I miss the USB cable, could be included in the package, otherwise a 10.</v>
      </c>
    </row>
    <row r="4441">
      <c r="A4441" s="1">
        <v>5.0</v>
      </c>
      <c r="B4441" s="1" t="s">
        <v>1425</v>
      </c>
      <c r="C4441" t="str">
        <f>IFERROR(__xludf.DUMMYFUNCTION("GOOGLETRANSLATE(B4441, ""es"", ""en"")"),"perfect perfect")</f>
        <v>perfect perfect</v>
      </c>
    </row>
    <row r="4442">
      <c r="A4442" s="1">
        <v>5.0</v>
      </c>
      <c r="B4442" s="1" t="s">
        <v>4419</v>
      </c>
      <c r="C4442" t="str">
        <f>IFERROR(__xludf.DUMMYFUNCTION("GOOGLETRANSLATE(B4442, ""es"", ""en"")"),"My best buy is nice, elegant, easy to set up with your phone, I am very happy with my smartwatch")</f>
        <v>My best buy is nice, elegant, easy to set up with your phone, I am very happy with my smartwatch</v>
      </c>
    </row>
    <row r="4443">
      <c r="A4443" s="1">
        <v>5.0</v>
      </c>
      <c r="B4443" s="1" t="s">
        <v>4420</v>
      </c>
      <c r="C4443" t="str">
        <f>IFERROR(__xludf.DUMMYFUNCTION("GOOGLETRANSLATE(B4443, ""es"", ""en"")"),"Incredible !! They are spectacular! Small, super comfortable and you can even sleep with them that are not nailed or they'll hurt you! They are very nice 😊")</f>
        <v>Incredible !! They are spectacular! Small, super comfortable and you can even sleep with them that are not nailed or they'll hurt you! They are very nice 😊</v>
      </c>
    </row>
    <row r="4444">
      <c r="A4444" s="1">
        <v>5.0</v>
      </c>
      <c r="B4444" s="1" t="s">
        <v>4421</v>
      </c>
      <c r="C4444" t="str">
        <f>IFERROR(__xludf.DUMMYFUNCTION("GOOGLETRANSLATE(B4444, ""es"", ""en"")"),"Very convenient and fast. Incredibly fast. Not enough time to prepare the cup when water is beginning to boil, with this kettle is not too lazy to prepare a tea or infusion and avoids the dangers of heating water in the microwave.")</f>
        <v>Very convenient and fast. Incredibly fast. Not enough time to prepare the cup when water is beginning to boil, with this kettle is not too lazy to prepare a tea or infusion and avoids the dangers of heating water in the microwave.</v>
      </c>
    </row>
    <row r="4445">
      <c r="A4445" s="1">
        <v>5.0</v>
      </c>
      <c r="B4445" s="1" t="s">
        <v>4422</v>
      </c>
      <c r="C4445" t="str">
        <f>IFERROR(__xludf.DUMMYFUNCTION("GOOGLETRANSLATE(B4445, ""es"", ""en"")"),"Excellent They arrived ahead of schedule. I were perfect, very comfortable!")</f>
        <v>Excellent They arrived ahead of schedule. I were perfect, very comfortable!</v>
      </c>
    </row>
    <row r="4446">
      <c r="A4446" s="1">
        <v>5.0</v>
      </c>
      <c r="B4446" s="1" t="s">
        <v>4423</v>
      </c>
      <c r="C4446" t="str">
        <f>IFERROR(__xludf.DUMMYFUNCTION("GOOGLETRANSLATE(B4446, ""es"", ""en"")"),"Use shoes number 38 and saw new balance 38.5 carved very fair comments, I coji 39 and great. I recommend it to you")</f>
        <v>Use shoes number 38 and saw new balance 38.5 carved very fair comments, I coji 39 and great. I recommend it to you</v>
      </c>
    </row>
    <row r="4447">
      <c r="A4447" s="1">
        <v>5.0</v>
      </c>
      <c r="B4447" s="1" t="s">
        <v>4424</v>
      </c>
      <c r="C4447" t="str">
        <f>IFERROR(__xludf.DUMMYFUNCTION("GOOGLETRANSLATE(B4447, ""es"", ""en"")"),"1TB of storage at a quality / price exceptional 1TB SSD ideal for expanding or replacing a mechanical storage unit. In my case I am replacing an old hard drive 1 Tb. The only downside I can poenrse is the QLC technology that having more layers than previo"&amp;"us technologies make the life is less, however, without this technology could not be adjusted as the price.")</f>
        <v>1TB of storage at a quality / price exceptional 1TB SSD ideal for expanding or replacing a mechanical storage unit. In my case I am replacing an old hard drive 1 Tb. The only downside I can poenrse is the QLC technology that having more layers than previous technologies make the life is less, however, without this technology could not be adjusted as the price.</v>
      </c>
    </row>
    <row r="4448">
      <c r="A4448" s="1">
        <v>5.0</v>
      </c>
      <c r="B4448" s="1" t="s">
        <v>4425</v>
      </c>
      <c r="C4448" t="str">
        <f>IFERROR(__xludf.DUMMYFUNCTION("GOOGLETRANSLATE(B4448, ""es"", ""en"")"),"Handy for excursions and outings Very convenient and practical.")</f>
        <v>Handy for excursions and outings Very convenient and practical.</v>
      </c>
    </row>
    <row r="4449">
      <c r="A4449" s="1">
        <v>5.0</v>
      </c>
      <c r="B4449" s="1" t="s">
        <v>4426</v>
      </c>
      <c r="C4449" t="str">
        <f>IFERROR(__xludf.DUMMYFUNCTION("GOOGLETRANSLATE(B4449, ""es"", ""en"")"),"Perfect for occasional use and sporadic cable carries about 5 or 6 meters. I prefer it because use is very punctual and battery fast or I spoiled the day you need are downloaded. With add-ons that can bring Use it in small spaces, such as inside the car o"&amp;"r do all the house. It is powerful and clean well, not as last, if it is tough.")</f>
        <v>Perfect for occasional use and sporadic cable carries about 5 or 6 meters. I prefer it because use is very punctual and battery fast or I spoiled the day you need are downloaded. With add-ons that can bring Use it in small spaces, such as inside the car or do all the house. It is powerful and clean well, not as last, if it is tough.</v>
      </c>
    </row>
    <row r="4450">
      <c r="A4450" s="1">
        <v>2.0</v>
      </c>
      <c r="B4450" s="1" t="s">
        <v>4427</v>
      </c>
      <c r="C4450" t="str">
        <f>IFERROR(__xludf.DUMMYFUNCTION("GOOGLETRANSLATE(B4450, ""es"", ""en"")"),"too big pants are very good quality, good finish but usually using a medium size have asked the xs to know that Erann outsize, do not return it because usare as pajama bottoms but would have to ask two less PstS sizes to go out street, shame")</f>
        <v>too big pants are very good quality, good finish but usually using a medium size have asked the xs to know that Erann outsize, do not return it because usare as pajama bottoms but would have to ask two less PstS sizes to go out street, shame</v>
      </c>
    </row>
    <row r="4451">
      <c r="A4451" s="1">
        <v>3.0</v>
      </c>
      <c r="B4451" s="1" t="s">
        <v>4428</v>
      </c>
      <c r="C4451" t="str">
        <f>IFERROR(__xludf.DUMMYFUNCTION("GOOGLETRANSLATE(B4451, ""es"", ""en"")"),"It is very difficult bonito.Tiene very poor light and very difficult to change the time")</f>
        <v>It is very difficult bonito.Tiene very poor light and very difficult to change the time</v>
      </c>
    </row>
    <row r="4452">
      <c r="A4452" s="1">
        <v>3.0</v>
      </c>
      <c r="B4452" s="1" t="s">
        <v>4429</v>
      </c>
      <c r="C4452" t="str">
        <f>IFERROR(__xludf.DUMMYFUNCTION("GOOGLETRANSLATE(B4452, ""es"", ""en"")"),"Orma narrow Footwear is nice as most Tommy products, peeeero the ORMA is very narrow. So if you have a foot wide forget.")</f>
        <v>Orma narrow Footwear is nice as most Tommy products, peeeero the ORMA is very narrow. So if you have a foot wide forget.</v>
      </c>
    </row>
    <row r="4453">
      <c r="A4453" s="1">
        <v>1.0</v>
      </c>
      <c r="B4453" s="1" t="s">
        <v>4430</v>
      </c>
      <c r="C4453" t="str">
        <f>IFERROR(__xludf.DUMMYFUNCTION("GOOGLETRANSLATE(B4453, ""es"", ""en"")"),"IPhone not serve matchmaking system does not work iOs Each handset has its own system does not allow connection and 2 at a time. You have to choose between right or left")</f>
        <v>IPhone not serve matchmaking system does not work iOs Each handset has its own system does not allow connection and 2 at a time. You have to choose between right or left</v>
      </c>
    </row>
    <row r="4454">
      <c r="A4454" s="1">
        <v>1.0</v>
      </c>
      <c r="B4454" s="1" t="s">
        <v>4431</v>
      </c>
      <c r="C4454" t="str">
        <f>IFERROR(__xludf.DUMMYFUNCTION("GOOGLETRANSLATE(B4454, ""es"", ""en"")"),"They weigh too heavy")</f>
        <v>They weigh too heavy</v>
      </c>
    </row>
    <row r="4455">
      <c r="A4455" s="1">
        <v>4.0</v>
      </c>
      <c r="B4455" s="1" t="s">
        <v>4432</v>
      </c>
      <c r="C4455" t="str">
        <f>IFERROR(__xludf.DUMMYFUNCTION("GOOGLETRANSLATE(B4455, ""es"", ""en"")"),"Just what i was looking for! I needed to make cuts crafts and graphic design elements such as design bookmarks, stationery, etc. and what he wanted. Short perfectly all that if you have an eye for loading paper and cut the line just looking. Good working "&amp;"tool")</f>
        <v>Just what i was looking for! I needed to make cuts crafts and graphic design elements such as design bookmarks, stationery, etc. and what he wanted. Short perfectly all that if you have an eye for loading paper and cut the line just looking. Good working tool</v>
      </c>
    </row>
    <row r="4456">
      <c r="A4456" s="1">
        <v>4.0</v>
      </c>
      <c r="B4456" s="1" t="s">
        <v>4433</v>
      </c>
      <c r="C4456" t="str">
        <f>IFERROR(__xludf.DUMMYFUNCTION("GOOGLETRANSLATE(B4456, ""es"", ""en"")"),"Commode Exercise")</f>
        <v>Commode Exercise</v>
      </c>
    </row>
    <row r="4457">
      <c r="A4457" s="1">
        <v>4.0</v>
      </c>
      <c r="B4457" s="1" t="s">
        <v>4434</v>
      </c>
      <c r="C4457" t="str">
        <f>IFERROR(__xludf.DUMMYFUNCTION("GOOGLETRANSLATE(B4457, ""es"", ""en"")"),"Great all very well !!!")</f>
        <v>Great all very well !!!</v>
      </c>
    </row>
    <row r="4458">
      <c r="A4458" s="1">
        <v>4.0</v>
      </c>
      <c r="B4458" s="1" t="s">
        <v>4435</v>
      </c>
      <c r="C4458" t="str">
        <f>IFERROR(__xludf.DUMMYFUNCTION("GOOGLETRANSLATE(B4458, ""es"", ""en"")"),"described it is what I think the ability should cost less, but what happens when you intend to use old equipment")</f>
        <v>described it is what I think the ability should cost less, but what happens when you intend to use old equipment</v>
      </c>
    </row>
    <row r="4459">
      <c r="A4459" s="1">
        <v>4.0</v>
      </c>
      <c r="B4459" s="1" t="s">
        <v>4436</v>
      </c>
      <c r="C4459" t="str">
        <f>IFERROR(__xludf.DUMMYFUNCTION("GOOGLETRANSLATE(B4459, ""es"", ""en"")"),"It seems just enough sturdy and comfortable. I bought it for my daughter to put the book while studying and doing homework and is very convenient and practical")</f>
        <v>It seems just enough sturdy and comfortable. I bought it for my daughter to put the book while studying and doing homework and is very convenient and practical</v>
      </c>
    </row>
    <row r="4460">
      <c r="A4460" s="1">
        <v>5.0</v>
      </c>
      <c r="B4460" s="1" t="s">
        <v>4437</v>
      </c>
      <c r="C4460" t="str">
        <f>IFERROR(__xludf.DUMMYFUNCTION("GOOGLETRANSLATE(B4460, ""es"", ""en"")"),"Very good Good covers")</f>
        <v>Very good Good covers</v>
      </c>
    </row>
    <row r="4461">
      <c r="A4461" s="1">
        <v>5.0</v>
      </c>
      <c r="B4461" s="1" t="s">
        <v>4438</v>
      </c>
      <c r="C4461" t="str">
        <f>IFERROR(__xludf.DUMMYFUNCTION("GOOGLETRANSLATE(B4461, ""es"", ""en"")"),"Quality was excellent price for a gift ... he was very happy")</f>
        <v>Quality was excellent price for a gift ... he was very happy</v>
      </c>
    </row>
    <row r="4462">
      <c r="A4462" s="1">
        <v>5.0</v>
      </c>
      <c r="B4462" s="1" t="s">
        <v>4439</v>
      </c>
      <c r="C4462" t="str">
        <f>IFERROR(__xludf.DUMMYFUNCTION("GOOGLETRANSLATE(B4462, ""es"", ""en"")"),"a purchase very successful The product met all my expectations is strong good not great material, but not tiny fits perfectly tablet key documents etc and so very comfortable that same bag in the market I walked out twice as much money I liked")</f>
        <v>a purchase very successful The product met all my expectations is strong good not great material, but not tiny fits perfectly tablet key documents etc and so very comfortable that same bag in the market I walked out twice as much money I liked</v>
      </c>
    </row>
    <row r="4463">
      <c r="A4463" s="1">
        <v>5.0</v>
      </c>
      <c r="B4463" s="1" t="s">
        <v>4440</v>
      </c>
      <c r="C4463" t="str">
        <f>IFERROR(__xludf.DUMMYFUNCTION("GOOGLETRANSLATE(B4463, ""es"", ""en"")"),"Right My daughter loved. Entertains enough.")</f>
        <v>Right My daughter loved. Entertains enough.</v>
      </c>
    </row>
    <row r="4464">
      <c r="A4464" s="1">
        <v>5.0</v>
      </c>
      <c r="B4464" s="1" t="s">
        <v>4441</v>
      </c>
      <c r="C4464" t="str">
        <f>IFERROR(__xludf.DUMMYFUNCTION("GOOGLETRANSLATE(B4464, ""es"", ""en"")"),"Smells great, lemon freshly cut &lt;div id = ""video-block-R2PZXWF86GVD80"" class = ""a-section a-spacing-small a-spacing-top mini video-block""&gt; &lt;/ div&gt; &lt;input type = ""hidden"" name = """" value = ""https://images-eu.ssl-images-amazon.com/images/I/A1bIZMAq"&amp;"pxS.mp4"" class = ""video-url""&gt; &lt;input type = ""hidden"" name = """" value = ""https://images-eu.ssl-images-amazon.com/images/I/81+i8CxyYsS.png"" class = ""video-slate-img-url""&gt; &amp; nbsp; I'm a fan of incenses and essences. But he had never tasted the sce"&amp;"nt of lemongrass and is very similar to that of a geranium plant type I have in my yard to ward off mosquitoes called citronella. This essence I like it because with a couple of drops and smells wonderful. I have a diffuser aroma humidificador- near the p"&amp;"c because I like to smell scents that control my nerves and my focus. In this case this essence does its job. It's like you can cut a lemon in half and you put it next to you. Although somewhat cooler, like most field. I love its aroma and definitely repe"&amp;"at.")</f>
        <v>Smells great, lemon freshly cut &lt;div id = "video-block-R2PZXWF86GVD80" class = "a-section a-spacing-small a-spacing-top mini video-block"&gt; &lt;/ div&gt; &lt;input type = "hidden" name = "" value = "https://images-eu.ssl-images-amazon.com/images/I/A1bIZMAqpxS.mp4" class = "video-url"&gt; &lt;input type = "hidden" name = "" value = "https://images-eu.ssl-images-amazon.com/images/I/81+i8CxyYsS.png" class = "video-slate-img-url"&gt; &amp; nbsp; I'm a fan of incenses and essences. But he had never tasted the scent of lemongrass and is very similar to that of a geranium plant type I have in my yard to ward off mosquitoes called citronella. This essence I like it because with a couple of drops and smells wonderful. I have a diffuser aroma humidificador- near the pc because I like to smell scents that control my nerves and my focus. In this case this essence does its job. It's like you can cut a lemon in half and you put it next to you. Although somewhat cooler, like most field. I love its aroma and definitely repeat.</v>
      </c>
    </row>
    <row r="4465">
      <c r="A4465" s="1">
        <v>5.0</v>
      </c>
      <c r="B4465" s="1" t="s">
        <v>4442</v>
      </c>
      <c r="C4465" t="str">
        <f>IFERROR(__xludf.DUMMYFUNCTION("GOOGLETRANSLATE(B4465, ""es"", ""en"")"),"Good pretty and cheap. And great service The microphone came very quickly and works perfectly, nothing to envy with more expensive appliances. After a few uses micro I desemparejó of the receiver but the service was impressive. I sent the instructions to "&amp;"pair it again and pledged to change the microphone, free of charge, if it did not work.")</f>
        <v>Good pretty and cheap. And great service The microphone came very quickly and works perfectly, nothing to envy with more expensive appliances. After a few uses micro I desemparejó of the receiver but the service was impressive. I sent the instructions to pair it again and pledged to change the microphone, free of charge, if it did not work.</v>
      </c>
    </row>
    <row r="4466">
      <c r="A4466" s="1">
        <v>5.0</v>
      </c>
      <c r="B4466" s="1" t="s">
        <v>4443</v>
      </c>
      <c r="C4466" t="str">
        <f>IFERROR(__xludf.DUMMYFUNCTION("GOOGLETRANSLATE(B4466, ""es"", ""en"")"),"Thank you expected and received something good and something better. Petite shoes are put osti .......... ....... q joy to stunning run")</f>
        <v>Thank you expected and received something good and something better. Petite shoes are put osti .......... ....... q joy to stunning run</v>
      </c>
    </row>
    <row r="4467">
      <c r="A4467" s="1">
        <v>5.0</v>
      </c>
      <c r="B4467" s="1" t="s">
        <v>4444</v>
      </c>
      <c r="C4467" t="str">
        <f>IFERROR(__xludf.DUMMYFUNCTION("GOOGLETRANSLATE(B4467, ""es"", ""en"")"),"I love The use every day! It was the best purchase I've made in Amazon, heated in 10 little minutes and heat is maintained for several hours. The fabric is very nice and perfect for warm, it is especially useful to warm hands and feet. You friolero if you"&amp;" should buy this product. Also I use it to relieve back pain and I think it helps.")</f>
        <v>I love The use every day! It was the best purchase I've made in Amazon, heated in 10 little minutes and heat is maintained for several hours. The fabric is very nice and perfect for warm, it is especially useful to warm hands and feet. You friolero if you should buy this product. Also I use it to relieve back pain and I think it helps.</v>
      </c>
    </row>
    <row r="4468">
      <c r="A4468" s="1">
        <v>5.0</v>
      </c>
      <c r="B4468" s="1" t="s">
        <v>4445</v>
      </c>
      <c r="C4468" t="str">
        <f>IFERROR(__xludf.DUMMYFUNCTION("GOOGLETRANSLATE(B4468, ""es"", ""en"")"),"Love is a perfect product such that as seen in the picture all that size remains a bit small I asked my size 37 but really just have to ask more medium in size. But very nice and good product no complaints")</f>
        <v>Love is a perfect product such that as seen in the picture all that size remains a bit small I asked my size 37 but really just have to ask more medium in size. But very nice and good product no complaints</v>
      </c>
    </row>
    <row r="4469">
      <c r="A4469" s="1">
        <v>5.0</v>
      </c>
      <c r="B4469" s="1" t="s">
        <v>4446</v>
      </c>
      <c r="C4469" t="str">
        <f>IFERROR(__xludf.DUMMYFUNCTION("GOOGLETRANSLATE(B4469, ""es"", ""en"")"),"Gigas amount of money unit narrowly practical and portable storage")</f>
        <v>Gigas amount of money unit narrowly practical and portable storage</v>
      </c>
    </row>
    <row r="4470">
      <c r="A4470" s="1">
        <v>5.0</v>
      </c>
      <c r="B4470" s="1" t="s">
        <v>4447</v>
      </c>
      <c r="C4470" t="str">
        <f>IFERROR(__xludf.DUMMYFUNCTION("GOOGLETRANSLATE(B4470, ""es"", ""en"")"),"Great quality and good price is a blender with quality material (stainless steel, plastic good), powerful, super performance and easy to handle; to see if it is durable")</f>
        <v>Great quality and good price is a blender with quality material (stainless steel, plastic good), powerful, super performance and easy to handle; to see if it is durable</v>
      </c>
    </row>
    <row r="4471">
      <c r="A4471" s="1">
        <v>5.0</v>
      </c>
      <c r="B4471" s="1" t="s">
        <v>4448</v>
      </c>
      <c r="C4471" t="str">
        <f>IFERROR(__xludf.DUMMYFUNCTION("GOOGLETRANSLATE(B4471, ""es"", ""en"")"),"Superb fantastic. Easy to assemble. Solid and robust at the same light. Worth investing in a product with this quality and performance. Wonderful design. We are delighted. We use it a lot. Thank you very much.")</f>
        <v>Superb fantastic. Easy to assemble. Solid and robust at the same light. Worth investing in a product with this quality and performance. Wonderful design. We are delighted. We use it a lot. Thank you very much.</v>
      </c>
    </row>
    <row r="4472">
      <c r="A4472" s="1">
        <v>5.0</v>
      </c>
      <c r="B4472" s="1" t="s">
        <v>4449</v>
      </c>
      <c r="C4472" t="str">
        <f>IFERROR(__xludf.DUMMYFUNCTION("GOOGLETRANSLATE(B4472, ""es"", ""en"")"),"QUALITY OF MATERIALS very good first thing that catches your attention is the quality of the materials, it's really good. To use it you have to put on each microphone 2 AA batteries and connect the base to light and to an amplifier. The quality of the aud"&amp;"io emitted is really good.")</f>
        <v>QUALITY OF MATERIALS very good first thing that catches your attention is the quality of the materials, it's really good. To use it you have to put on each microphone 2 AA batteries and connect the base to light and to an amplifier. The quality of the audio emitted is really good.</v>
      </c>
    </row>
    <row r="4473">
      <c r="A4473" s="1">
        <v>5.0</v>
      </c>
      <c r="B4473" s="1" t="s">
        <v>4450</v>
      </c>
      <c r="C4473" t="str">
        <f>IFERROR(__xludf.DUMMYFUNCTION("GOOGLETRANSLATE(B4473, ""es"", ""en"")"),"Excellent seller excellent magnifying glass. Very quickly on shipping.")</f>
        <v>Excellent seller excellent magnifying glass. Very quickly on shipping.</v>
      </c>
    </row>
    <row r="4474">
      <c r="A4474" s="1">
        <v>5.0</v>
      </c>
      <c r="B4474" s="1" t="s">
        <v>4451</v>
      </c>
      <c r="C4474" t="str">
        <f>IFERROR(__xludf.DUMMYFUNCTION("GOOGLETRANSLATE(B4474, ""es"", ""en"")"),"Better than I thought. They've been about 6 washer and are still the same as when I bought ... good value ... recommended. Would buy them.")</f>
        <v>Better than I thought. They've been about 6 washer and are still the same as when I bought ... good value ... recommended. Would buy them.</v>
      </c>
    </row>
    <row r="4475">
      <c r="A4475" s="1">
        <v>5.0</v>
      </c>
      <c r="B4475" s="1" t="s">
        <v>4452</v>
      </c>
      <c r="C4475" t="str">
        <f>IFERROR(__xludf.DUMMYFUNCTION("GOOGLETRANSLATE(B4475, ""es"", ""en"")"),"Good quality Ideal for me thanks")</f>
        <v>Good quality Ideal for me thanks</v>
      </c>
    </row>
    <row r="4476">
      <c r="A4476" s="1">
        <v>5.0</v>
      </c>
      <c r="B4476" s="1" t="s">
        <v>4453</v>
      </c>
      <c r="C4476" t="str">
        <f>IFERROR(__xludf.DUMMYFUNCTION("GOOGLETRANSLATE(B4476, ""es"", ""en"")"),"Good product. I'm not sure if it's new or recycled in any case is in perfect condition and works very well. I use it as a backup disk, somewhat slow compared to today's perfect but for that application that automatically develops in Windows 10.")</f>
        <v>Good product. I'm not sure if it's new or recycled in any case is in perfect condition and works very well. I use it as a backup disk, somewhat slow compared to today's perfect but for that application that automatically develops in Windows 10.</v>
      </c>
    </row>
    <row r="4477">
      <c r="A4477" s="1">
        <v>5.0</v>
      </c>
      <c r="B4477" s="1" t="s">
        <v>4454</v>
      </c>
      <c r="C4477" t="str">
        <f>IFERROR(__xludf.DUMMYFUNCTION("GOOGLETRANSLATE(B4477, ""es"", ""en"")"),"Complies with the description has a perfect weight, there is neither too soft nor too stiff. I use it for plasticizing school supplies. Markings indicating how to enter the laminator are very helpful and once you put it disappear completely laminating mac"&amp;"hine.")</f>
        <v>Complies with the description has a perfect weight, there is neither too soft nor too stiff. I use it for plasticizing school supplies. Markings indicating how to enter the laminator are very helpful and once you put it disappear completely laminating machine.</v>
      </c>
    </row>
    <row r="4478">
      <c r="A4478" s="1">
        <v>5.0</v>
      </c>
      <c r="B4478" s="1" t="s">
        <v>4455</v>
      </c>
      <c r="C4478" t="str">
        <f>IFERROR(__xludf.DUMMYFUNCTION("GOOGLETRANSLATE(B4478, ""es"", ""en"")"),"Good quality good holding pictures perfectly, would buy certainly worth hanging pictures and things ora lightweight wall")</f>
        <v>Good quality good holding pictures perfectly, would buy certainly worth hanging pictures and things ora lightweight wall</v>
      </c>
    </row>
    <row r="4479">
      <c r="A4479" s="1">
        <v>2.0</v>
      </c>
      <c r="B4479" s="1" t="s">
        <v>4456</v>
      </c>
      <c r="C4479" t="str">
        <f>IFERROR(__xludf.DUMMYFUNCTION("GOOGLETRANSLATE(B4479, ""es"", ""en"")"),"well Loose")</f>
        <v>well Loose</v>
      </c>
    </row>
    <row r="4480">
      <c r="A4480" s="1">
        <v>3.0</v>
      </c>
      <c r="B4480" s="1" t="s">
        <v>4457</v>
      </c>
      <c r="C4480" t="str">
        <f>IFERROR(__xludf.DUMMYFUNCTION("GOOGLETRANSLATE(B4480, ""es"", ""en"")"),"It's what I wanted but insufficient light I like and I'll stay but the light is not very good, instead of illuminating the entire area of ​​the clock is out of a point and if the needles of the clock are far not look too good.")</f>
        <v>It's what I wanted but insufficient light I like and I'll stay but the light is not very good, instead of illuminating the entire area of ​​the clock is out of a point and if the needles of the clock are far not look too good.</v>
      </c>
    </row>
    <row r="4481">
      <c r="A4481" s="1">
        <v>3.0</v>
      </c>
      <c r="B4481" s="1" t="s">
        <v>4458</v>
      </c>
      <c r="C4481" t="str">
        <f>IFERROR(__xludf.DUMMYFUNCTION("GOOGLETRANSLATE(B4481, ""es"", ""en"")"),"Good product but somewhat uncomfortable good product in terms of material quality battery sonido.La surprised me greatly because hard enough. Even thinking it's a good product there are a couple of things that did not like me, one of them is that they are"&amp;" not at all comfortable, as the head pillow is something hard and how much have you just put tienpo doliendo.Tambien I think the weight of the product also favors him because that too quite uncomfortable head.")</f>
        <v>Good product but somewhat uncomfortable good product in terms of material quality battery sonido.La surprised me greatly because hard enough. Even thinking it's a good product there are a couple of things that did not like me, one of them is that they are not at all comfortable, as the head pillow is something hard and how much have you just put tienpo doliendo.Tambien I think the weight of the product also favors him because that too quite uncomfortable head.</v>
      </c>
    </row>
    <row r="4482">
      <c r="A4482" s="1">
        <v>1.0</v>
      </c>
      <c r="B4482" s="1" t="s">
        <v>4459</v>
      </c>
      <c r="C4482" t="str">
        <f>IFERROR(__xludf.DUMMYFUNCTION("GOOGLETRANSLATE(B4482, ""es"", ""en"")"),"Gloomy Searching the Internet is the average price of 20-30 euros so not that this discount is 60 euros. Apart from the very poor quality of the material, the sound is acceptable (better to see a movie and not to listen to music). But after three days the"&amp;"y were blocked or were extinguished or lit, there is no manual to solve problems and the manufacture or Internet, however I have read that many people did the same. I put them in making (even light is lampeando), and tomorrow I will return.")</f>
        <v>Gloomy Searching the Internet is the average price of 20-30 euros so not that this discount is 60 euros. Apart from the very poor quality of the material, the sound is acceptable (better to see a movie and not to listen to music). But after three days they were blocked or were extinguished or lit, there is no manual to solve problems and the manufacture or Internet, however I have read that many people did the same. I put them in making (even light is lampeando), and tomorrow I will return.</v>
      </c>
    </row>
    <row r="4483">
      <c r="A4483" s="1">
        <v>1.0</v>
      </c>
      <c r="B4483" s="1" t="s">
        <v>4460</v>
      </c>
      <c r="C4483" t="str">
        <f>IFERROR(__xludf.DUMMYFUNCTION("GOOGLETRANSLATE(B4483, ""es"", ""en"")"),"I did not like makes a foam that will not hold the Second .. nothing foam")</f>
        <v>I did not like makes a foam that will not hold the Second .. nothing foam</v>
      </c>
    </row>
    <row r="4484">
      <c r="A4484" s="1">
        <v>4.0</v>
      </c>
      <c r="B4484" s="1" t="s">
        <v>4461</v>
      </c>
      <c r="C4484" t="str">
        <f>IFERROR(__xludf.DUMMYFUNCTION("GOOGLETRANSLATE(B4484, ""es"", ""en"")"),"A classic ... but something is missing ... A classic, same performance, same aesthetic that I had in the 90s, but strangely I keep the ""real"" but unfortunately it does not work. Lacks modern? sencillmente for the touch of the quality of what has been do"&amp;"ne before, without the ""mass production"" obsession of what was done in China. The box looks more rigid, as best or better quality finished ... but good for the price can not ask for more. Vintage 1800 pesetas cost, so at 9 euros out the cheapest modern "&amp;"... I said it a classic adapted to the times that I hope will last, since I am not so stupid as in the 90s ....")</f>
        <v>A classic ... but something is missing ... A classic, same performance, same aesthetic that I had in the 90s, but strangely I keep the "real" but unfortunately it does not work. Lacks modern? sencillmente for the touch of the quality of what has been done before, without the "mass production" obsession of what was done in China. The box looks more rigid, as best or better quality finished ... but good for the price can not ask for more. Vintage 1800 pesetas cost, so at 9 euros out the cheapest modern ... I said it a classic adapted to the times that I hope will last, since I am not so stupid as in the 90s ....</v>
      </c>
    </row>
    <row r="4485">
      <c r="A4485" s="1">
        <v>4.0</v>
      </c>
      <c r="B4485" s="1" t="s">
        <v>4462</v>
      </c>
      <c r="C4485" t="str">
        <f>IFERROR(__xludf.DUMMYFUNCTION("GOOGLETRANSLATE(B4485, ""es"", ""en"")"),"They are too big bigger than I expected. I do not like too much left because the stars are quite large and I like children. Otherwise they are easy to apply and remove. It has good image because the material is well")</f>
        <v>They are too big bigger than I expected. I do not like too much left because the stars are quite large and I like children. Otherwise they are easy to apply and remove. It has good image because the material is well</v>
      </c>
    </row>
    <row r="4486">
      <c r="A4486" s="1">
        <v>4.0</v>
      </c>
      <c r="B4486" s="1" t="s">
        <v>4463</v>
      </c>
      <c r="C4486" t="str">
        <f>IFERROR(__xludf.DUMMYFUNCTION("GOOGLETRANSLATE(B4486, ""es"", ""en"")"),"Figured Very cool but carved huge")</f>
        <v>Figured Very cool but carved huge</v>
      </c>
    </row>
    <row r="4487">
      <c r="A4487" s="1">
        <v>4.0</v>
      </c>
      <c r="B4487" s="1" t="s">
        <v>4464</v>
      </c>
      <c r="C4487" t="str">
        <f>IFERROR(__xludf.DUMMYFUNCTION("GOOGLETRANSLATE(B4487, ""es"", ""en"")"),"Versatile and comfortable with a good product fails. Tab top adjustment of poor quality, in the 2nd set was broken by the part that is sewn to the shoe. No. somewhat adjusted (43) in my case.")</f>
        <v>Versatile and comfortable with a good product fails. Tab top adjustment of poor quality, in the 2nd set was broken by the part that is sewn to the shoe. No. somewhat adjusted (43) in my case.</v>
      </c>
    </row>
    <row r="4488">
      <c r="A4488" s="1">
        <v>5.0</v>
      </c>
      <c r="B4488" s="1" t="s">
        <v>4465</v>
      </c>
      <c r="C4488" t="str">
        <f>IFERROR(__xludf.DUMMYFUNCTION("GOOGLETRANSLATE(B4488, ""es"", ""en"")"),"I feel comfortable with them. Xq bought the original left forgotten my S8 + on my vacation and really these are very similar. I do not notice the difference. I recommend")</f>
        <v>I feel comfortable with them. Xq bought the original left forgotten my S8 + on my vacation and really these are very similar. I do not notice the difference. I recommend</v>
      </c>
    </row>
    <row r="4489">
      <c r="A4489" s="1">
        <v>5.0</v>
      </c>
      <c r="B4489" s="1" t="s">
        <v>4466</v>
      </c>
      <c r="C4489" t="str">
        <f>IFERROR(__xludf.DUMMYFUNCTION("GOOGLETRANSLATE(B4489, ""es"", ""en"")"),"We ordered a lovely Friday and Monday and I arrived, that already seems incredible. The pendant is beautiful, I thought maybe it would be too bright or small but it seems perfect. It's to give away at Christmas and it seems perfect and super cheap")</f>
        <v>We ordered a lovely Friday and Monday and I arrived, that already seems incredible. The pendant is beautiful, I thought maybe it would be too bright or small but it seems perfect. It's to give away at Christmas and it seems perfect and super cheap</v>
      </c>
    </row>
    <row r="4490">
      <c r="A4490" s="1">
        <v>5.0</v>
      </c>
      <c r="B4490" s="1" t="s">
        <v>4467</v>
      </c>
      <c r="C4490" t="str">
        <f>IFERROR(__xludf.DUMMYFUNCTION("GOOGLETRANSLATE(B4490, ""es"", ""en"")"),"Lightweight and comfortable music sounds very good, very good connection, well adapted to the ear and not hurt. Very pleased with purchase price seen. MPOW is a brand that I really like and over time has proven to be very reliable, I have other bluetooth "&amp;"helmets of the same brand and am super happy. Thank you")</f>
        <v>Lightweight and comfortable music sounds very good, very good connection, well adapted to the ear and not hurt. Very pleased with purchase price seen. MPOW is a brand that I really like and over time has proven to be very reliable, I have other bluetooth helmets of the same brand and am super happy. Thank you</v>
      </c>
    </row>
    <row r="4491">
      <c r="A4491" s="1">
        <v>5.0</v>
      </c>
      <c r="B4491" s="1" t="s">
        <v>4468</v>
      </c>
      <c r="C4491" t="str">
        <f>IFERROR(__xludf.DUMMYFUNCTION("GOOGLETRANSLATE(B4491, ""es"", ""en"")"),"The expected. They were a gift, and I have loved.")</f>
        <v>The expected. They were a gift, and I have loved.</v>
      </c>
    </row>
    <row r="4492">
      <c r="A4492" s="1">
        <v>5.0</v>
      </c>
      <c r="B4492" s="1" t="s">
        <v>4469</v>
      </c>
      <c r="C4492" t="str">
        <f>IFERROR(__xludf.DUMMYFUNCTION("GOOGLETRANSLATE(B4492, ""es"", ""en"")"),"Very comfortable I used them to practice running and going great. They are very light and adapt fully to the ear. They are very light and you get to forget you're wearing them. The sound quality could be improved a bit but you can not ask for more for the"&amp;" price and good composition of materials you have.")</f>
        <v>Very comfortable I used them to practice running and going great. They are very light and adapt fully to the ear. They are very light and you get to forget you're wearing them. The sound quality could be improved a bit but you can not ask for more for the price and good composition of materials you have.</v>
      </c>
    </row>
    <row r="4493">
      <c r="A4493" s="1">
        <v>5.0</v>
      </c>
      <c r="B4493" s="1" t="s">
        <v>4470</v>
      </c>
      <c r="C4493" t="str">
        <f>IFERROR(__xludf.DUMMYFUNCTION("GOOGLETRANSLATE(B4493, ""es"", ""en"")"),"excellent quality blender appears to lack of test it, comes with accessories, perfect .Packing fast delivery, good mixer, high-end aesthetics, a matter of taste")</f>
        <v>excellent quality blender appears to lack of test it, comes with accessories, perfect .Packing fast delivery, good mixer, high-end aesthetics, a matter of taste</v>
      </c>
    </row>
    <row r="4494">
      <c r="A4494" s="1">
        <v>5.0</v>
      </c>
      <c r="B4494" s="1" t="s">
        <v>4471</v>
      </c>
      <c r="C4494" t="str">
        <f>IFERROR(__xludf.DUMMYFUNCTION("GOOGLETRANSLATE(B4494, ""es"", ""en"")"),"Comfortable and nice I bought to play beach volleyball and it's going great. I was right with the sizes and very pretty. If you for depending sport or wear it if you intend to be in the gym, I find it too low-cut. I think I will buy more.")</f>
        <v>Comfortable and nice I bought to play beach volleyball and it's going great. I was right with the sizes and very pretty. If you for depending sport or wear it if you intend to be in the gym, I find it too low-cut. I think I will buy more.</v>
      </c>
    </row>
    <row r="4495">
      <c r="A4495" s="1">
        <v>5.0</v>
      </c>
      <c r="B4495" s="1" t="s">
        <v>4472</v>
      </c>
      <c r="C4495" t="str">
        <f>IFERROR(__xludf.DUMMYFUNCTION("GOOGLETRANSLATE(B4495, ""es"", ""en"")"),"Beautiful, 100% are recommended for gift along with the pendant. Beautiful and quality.")</f>
        <v>Beautiful, 100% are recommended for gift along with the pendant. Beautiful and quality.</v>
      </c>
    </row>
    <row r="4496">
      <c r="A4496" s="1">
        <v>5.0</v>
      </c>
      <c r="B4496" s="1" t="s">
        <v>4473</v>
      </c>
      <c r="C4496" t="str">
        <f>IFERROR(__xludf.DUMMYFUNCTION("GOOGLETRANSLATE(B4496, ""es"", ""en"")"),"A good product good quality product, as shown in the pictures, size, colors, recommend your purchase.")</f>
        <v>A good product good quality product, as shown in the pictures, size, colors, recommend your purchase.</v>
      </c>
    </row>
    <row r="4497">
      <c r="A4497" s="1">
        <v>5.0</v>
      </c>
      <c r="B4497" s="1" t="s">
        <v>4474</v>
      </c>
      <c r="C4497" t="str">
        <f>IFERROR(__xludf.DUMMYFUNCTION("GOOGLETRANSLATE(B4497, ""es"", ""en"")"),"Very comfortable good quality, is somewhat loose and the portion of the collar is not snug as others, but is fine for jogging or playing sports")</f>
        <v>Very comfortable good quality, is somewhat loose and the portion of the collar is not snug as others, but is fine for jogging or playing sports</v>
      </c>
    </row>
    <row r="4498">
      <c r="A4498" s="1">
        <v>5.0</v>
      </c>
      <c r="B4498" s="1" t="s">
        <v>4475</v>
      </c>
      <c r="C4498" t="str">
        <f>IFERROR(__xludf.DUMMYFUNCTION("GOOGLETRANSLATE(B4498, ""es"", ""en"")"),"Like a glove Bonitos colored socks. Its a little elastic material makes it fit you like a glove, they are very comfortable and leave no marks or lint typical when new. I have washed a few times now and still like the first day. fully recommended")</f>
        <v>Like a glove Bonitos colored socks. Its a little elastic material makes it fit you like a glove, they are very comfortable and leave no marks or lint typical when new. I have washed a few times now and still like the first day. fully recommended</v>
      </c>
    </row>
    <row r="4499">
      <c r="A4499" s="1">
        <v>5.0</v>
      </c>
      <c r="B4499" s="1" t="s">
        <v>4476</v>
      </c>
      <c r="C4499" t="str">
        <f>IFERROR(__xludf.DUMMYFUNCTION("GOOGLETRANSLATE(B4499, ""es"", ""en"")"),"Valid for sport This well finished and reinforced stitching which is important for the GIM. Lacks leading sewing in the middle of the leg to the buttocks but good is not something I worry k since at the price you are not going to complain. It is very comf"&amp;"ortable and adapts well to the body. Soft cloth. Pictured fabric seemed tougher but I do not care. Important in this transpires not colored Jjjj I'll buy more colors;)")</f>
        <v>Valid for sport This well finished and reinforced stitching which is important for the GIM. Lacks leading sewing in the middle of the leg to the buttocks but good is not something I worry k since at the price you are not going to complain. It is very comfortable and adapts well to the body. Soft cloth. Pictured fabric seemed tougher but I do not care. Important in this transpires not colored Jjjj I'll buy more colors;)</v>
      </c>
    </row>
    <row r="4500">
      <c r="A4500" s="1">
        <v>5.0</v>
      </c>
      <c r="B4500" s="1" t="s">
        <v>4477</v>
      </c>
      <c r="C4500" t="str">
        <f>IFERROR(__xludf.DUMMYFUNCTION("GOOGLETRANSLATE(B4500, ""es"", ""en"")"),"Very comfortable and perfect shoes and fast shipping")</f>
        <v>Very comfortable and perfect shoes and fast shipping</v>
      </c>
    </row>
    <row r="4501">
      <c r="A4501" s="1">
        <v>5.0</v>
      </c>
      <c r="B4501" s="1" t="s">
        <v>4478</v>
      </c>
      <c r="C4501" t="str">
        <f>IFERROR(__xludf.DUMMYFUNCTION("GOOGLETRANSLATE(B4501, ""es"", ""en"")"),"Good product I liked")</f>
        <v>Good product I liked</v>
      </c>
    </row>
    <row r="4502">
      <c r="A4502" s="1">
        <v>5.0</v>
      </c>
      <c r="B4502" s="1" t="s">
        <v>4479</v>
      </c>
      <c r="C4502" t="str">
        <f>IFERROR(__xludf.DUMMYFUNCTION("GOOGLETRANSLATE(B4502, ""es"", ""en"")"),"Very nice quality and durability and shock resistant and water recommend")</f>
        <v>Very nice quality and durability and shock resistant and water recommend</v>
      </c>
    </row>
    <row r="4503">
      <c r="A4503" s="1">
        <v>5.0</v>
      </c>
      <c r="B4503" s="1" t="s">
        <v>4480</v>
      </c>
      <c r="C4503" t="str">
        <f>IFERROR(__xludf.DUMMYFUNCTION("GOOGLETRANSLATE(B4503, ""es"", ""en"")"),"Perfect Postage somewhat slow, the normal breastplate be a product of Germany. Very happy with the purchase is what he wanted.")</f>
        <v>Perfect Postage somewhat slow, the normal breastplate be a product of Germany. Very happy with the purchase is what he wanted.</v>
      </c>
    </row>
    <row r="4504">
      <c r="A4504" s="1">
        <v>5.0</v>
      </c>
      <c r="B4504" s="1" t="s">
        <v>4481</v>
      </c>
      <c r="C4504" t="str">
        <f>IFERROR(__xludf.DUMMYFUNCTION("GOOGLETRANSLATE(B4504, ""es"", ""en"")"),"It works well. I'm happy with it. I use a BQ and works perfectly. This brand has always given me very good results in memory cards and hard disks when I have doubts always turn to SanDisk.")</f>
        <v>It works well. I'm happy with it. I use a BQ and works perfectly. This brand has always given me very good results in memory cards and hard disks when I have doubts always turn to SanDisk.</v>
      </c>
    </row>
    <row r="4505">
      <c r="A4505" s="1">
        <v>5.0</v>
      </c>
      <c r="B4505" s="1" t="s">
        <v>4482</v>
      </c>
      <c r="C4505" t="str">
        <f>IFERROR(__xludf.DUMMYFUNCTION("GOOGLETRANSLATE(B4505, ""es"", ""en"")"),"Elegant and original never had had such original watch where you see through the glass inside ,, mechanism in elegant and of good quality and at a fairly reasonable price. Correa comfortable and can adjust to the size of your wrist, weighs a little.")</f>
        <v>Elegant and original never had had such original watch where you see through the glass inside ,, mechanism in elegant and of good quality and at a fairly reasonable price. Correa comfortable and can adjust to the size of your wrist, weighs a little.</v>
      </c>
    </row>
    <row r="4506">
      <c r="A4506" s="1">
        <v>5.0</v>
      </c>
      <c r="B4506" s="1" t="s">
        <v>4483</v>
      </c>
      <c r="C4506" t="str">
        <f>IFERROR(__xludf.DUMMYFUNCTION("GOOGLETRANSLATE(B4506, ""es"", ""en"")"),"Casual and comfortable. It is warm and soft, no pockets that's how I was needed. Q unless it loose lint d first. Value recommended")</f>
        <v>Casual and comfortable. It is warm and soft, no pockets that's how I was needed. Q unless it loose lint d first. Value recommended</v>
      </c>
    </row>
    <row r="4507">
      <c r="A4507" s="1">
        <v>2.0</v>
      </c>
      <c r="B4507" s="1" t="s">
        <v>4484</v>
      </c>
      <c r="C4507" t="str">
        <f>IFERROR(__xludf.DUMMYFUNCTION("GOOGLETRANSLATE(B4507, ""es"", ""en"")"),"At the beginning very well, but then he began to strip paint. At the beginning I loved, but when temperatures rose slightly began to stain with a kind of brown shoe polish. The truth is that I liked a lot, but paint peeling while not only clothes, but als"&amp;"o my hands. I will try to return.")</f>
        <v>At the beginning very well, but then he began to strip paint. At the beginning I loved, but when temperatures rose slightly began to stain with a kind of brown shoe polish. The truth is that I liked a lot, but paint peeling while not only clothes, but also my hands. I will try to return.</v>
      </c>
    </row>
    <row r="4508">
      <c r="A4508" s="1">
        <v>3.0</v>
      </c>
      <c r="B4508" s="1" t="s">
        <v>4485</v>
      </c>
      <c r="C4508" t="str">
        <f>IFERROR(__xludf.DUMMYFUNCTION("GOOGLETRANSLATE(B4508, ""es"", ""en"")"),"Working properly but the housing is plastic ""chinoso"" working properly, buy to fill it with movies and connect it to the TV lounge, recently I received him got into 1Tb movies and working properly, I put 3 stars because the housing is pint if you drop "&amp;"""chinoso"" shatters, it is plastic")</f>
        <v>Working properly but the housing is plastic "chinoso" working properly, buy to fill it with movies and connect it to the TV lounge, recently I received him got into 1Tb movies and working properly, I put 3 stars because the housing is pint if you drop "chinoso" shatters, it is plastic</v>
      </c>
    </row>
    <row r="4509">
      <c r="A4509" s="1">
        <v>1.0</v>
      </c>
      <c r="B4509" s="1" t="s">
        <v>4486</v>
      </c>
      <c r="C4509" t="str">
        <f>IFERROR(__xludf.DUMMYFUNCTION("GOOGLETRANSLATE(B4509, ""es"", ""en"")"),"My girlfriend did not like Lacks power to remove colocao with milk, do not ask him more ... To my parents yet bought them the same but with 600 W power and are very happy ... You yourselves. ..")</f>
        <v>My girlfriend did not like Lacks power to remove colocao with milk, do not ask him more ... To my parents yet bought them the same but with 600 W power and are very happy ... You yourselves. ..</v>
      </c>
    </row>
    <row r="4510">
      <c r="A4510" s="1">
        <v>1.0</v>
      </c>
      <c r="B4510" s="1" t="s">
        <v>4487</v>
      </c>
      <c r="C4510" t="str">
        <f>IFERROR(__xludf.DUMMYFUNCTION("GOOGLETRANSLATE(B4510, ""es"", ""en"")"),"Somewhat I Not liked it! Unhelpful, water flows jet has not liked not use it !! Sent succesfully")</f>
        <v>Somewhat I Not liked it! Unhelpful, water flows jet has not liked not use it !! Sent succesfully</v>
      </c>
    </row>
    <row r="4511">
      <c r="A4511" s="1">
        <v>4.0</v>
      </c>
      <c r="B4511" s="1" t="s">
        <v>4488</v>
      </c>
      <c r="C4511" t="str">
        <f>IFERROR(__xludf.DUMMYFUNCTION("GOOGLETRANSLATE(B4511, ""es"", ""en"")"),"Good quality / price Very good blender. It looks robust and very resistant. It has nothing to do with what I had before. I recommend it.")</f>
        <v>Good quality / price Very good blender. It looks robust and very resistant. It has nothing to do with what I had before. I recommend it.</v>
      </c>
    </row>
    <row r="4512">
      <c r="A4512" s="1">
        <v>4.0</v>
      </c>
      <c r="B4512" s="1" t="s">
        <v>4489</v>
      </c>
      <c r="C4512" t="str">
        <f>IFERROR(__xludf.DUMMYFUNCTION("GOOGLETRANSLATE(B4512, ""es"", ""en"")"),"Recommended've tried many facial masks and the truth that this has surprised me, I liked it.")</f>
        <v>Recommended've tried many facial masks and the truth that this has surprised me, I liked it.</v>
      </c>
    </row>
    <row r="4513">
      <c r="A4513" s="1">
        <v>4.0</v>
      </c>
      <c r="B4513" s="1" t="s">
        <v>4490</v>
      </c>
      <c r="C4513" t="str">
        <f>IFERROR(__xludf.DUMMYFUNCTION("GOOGLETRANSLATE(B4513, ""es"", ""en"")"),"Fulfills its function - good value No need to pay more, the APEX do a good job. If you need something thicker for some particular thing can always plasticize twice (or pay significantly more for thicker cases), I see them these good value")</f>
        <v>Fulfills its function - good value No need to pay more, the APEX do a good job. If you need something thicker for some particular thing can always plasticize twice (or pay significantly more for thicker cases), I see them these good value</v>
      </c>
    </row>
    <row r="4514">
      <c r="A4514" s="1">
        <v>4.0</v>
      </c>
      <c r="B4514" s="1" t="s">
        <v>4491</v>
      </c>
      <c r="C4514" t="str">
        <f>IFERROR(__xludf.DUMMYFUNCTION("GOOGLETRANSLATE(B4514, ""es"", ""en"")"),"its power for the price that has this very WAITER use with frozen fruit and truth that melts smoothly and it is fast and small and has a large glass of capacidad.me like")</f>
        <v>its power for the price that has this very WAITER use with frozen fruit and truth that melts smoothly and it is fast and small and has a large glass of capacidad.me like</v>
      </c>
    </row>
    <row r="4515">
      <c r="A4515" s="1">
        <v>4.0</v>
      </c>
      <c r="B4515" s="1" t="s">
        <v>4492</v>
      </c>
      <c r="C4515" t="str">
        <f>IFERROR(__xludf.DUMMYFUNCTION("GOOGLETRANSLATE(B4515, ""es"", ""en"")"),"Meets and short pretty clean. Does the job, I have not used too much to comment on what the sharp blade will last, but for now cuts the first pass and fairly clean cut. Do not expect a super professional quality but gets you out of trouble and will always"&amp;" be better than cutting with scissors. Bring a bar that moves to place the paper and cut into the desired angulation.")</f>
        <v>Meets and short pretty clean. Does the job, I have not used too much to comment on what the sharp blade will last, but for now cuts the first pass and fairly clean cut. Do not expect a super professional quality but gets you out of trouble and will always be better than cutting with scissors. Bring a bar that moves to place the paper and cut into the desired angulation.</v>
      </c>
    </row>
    <row r="4516">
      <c r="A4516" s="1">
        <v>5.0</v>
      </c>
      <c r="B4516" s="1" t="s">
        <v>4493</v>
      </c>
      <c r="C4516" t="str">
        <f>IFERROR(__xludf.DUMMYFUNCTION("GOOGLETRANSLATE(B4516, ""es"", ""en"")"),"Adrian Excellent service and product. He arrived before the expected time and properly packaged. Regarding the card must say that my first impression to the unpacking is that its design is beautiful, the coated metal and touch are very accomplished. After"&amp;" installing drivers (easily downloadable from the official website) and connect've been testing and works perfectly, quality more than suitable for the price of the card, and with very intuitive controls while responding to perfection. It also includes nu"&amp;"merous software and libraries worth some 80 euros. A recommended purchase for those who want to enter the world of production or already veterans who do not have excessive budget but require quality. I'm happy with my purchase and very satisfied with the "&amp;"company. Thank you.")</f>
        <v>Adrian Excellent service and product. He arrived before the expected time and properly packaged. Regarding the card must say that my first impression to the unpacking is that its design is beautiful, the coated metal and touch are very accomplished. After installing drivers (easily downloadable from the official website) and connect've been testing and works perfectly, quality more than suitable for the price of the card, and with very intuitive controls while responding to perfection. It also includes numerous software and libraries worth some 80 euros. A recommended purchase for those who want to enter the world of production or already veterans who do not have excessive budget but require quality. I'm happy with my purchase and very satisfied with the company. Thank you.</v>
      </c>
    </row>
    <row r="4517">
      <c r="A4517" s="1">
        <v>5.0</v>
      </c>
      <c r="B4517" s="1" t="s">
        <v>4494</v>
      </c>
      <c r="C4517" t="str">
        <f>IFERROR(__xludf.DUMMYFUNCTION("GOOGLETRANSLATE(B4517, ""es"", ""en"")"),"Well stimulation")</f>
        <v>Well stimulation</v>
      </c>
    </row>
    <row r="4518">
      <c r="A4518" s="1">
        <v>5.0</v>
      </c>
      <c r="B4518" s="1" t="s">
        <v>4495</v>
      </c>
      <c r="C4518" t="str">
        <f>IFERROR(__xludf.DUMMYFUNCTION("GOOGLETRANSLATE(B4518, ""es"", ""en"")"),"ENCHANTED well packaged and good presentation. Digital clock Tous-Bear steel 700350320 IP Pink Silicone Strap negra.Se I have sent my daughter as a gift. He liked it. I have not seen in person but sent me photos. He arrived on schedule. So far, so good. T"&amp;"hank you")</f>
        <v>ENCHANTED well packaged and good presentation. Digital clock Tous-Bear steel 700350320 IP Pink Silicone Strap negra.Se I have sent my daughter as a gift. He liked it. I have not seen in person but sent me photos. He arrived on schedule. So far, so good. Thank you</v>
      </c>
    </row>
    <row r="4519">
      <c r="A4519" s="1">
        <v>5.0</v>
      </c>
      <c r="B4519" s="1" t="s">
        <v>4496</v>
      </c>
      <c r="C4519" t="str">
        <f>IFERROR(__xludf.DUMMYFUNCTION("GOOGLETRANSLATE(B4519, ""es"", ""en"")"),"Unbeatable I recently bought a blender to make my fruit juices and liked it but then I have to remove it whole for cleaning and time, with this ahorrotiempo mixer it is very easy to clean and the quality of the juice is better because it makes better use "&amp;"of the fruit and also can take it in the same container where the fruit to beat it echo.")</f>
        <v>Unbeatable I recently bought a blender to make my fruit juices and liked it but then I have to remove it whole for cleaning and time, with this ahorrotiempo mixer it is very easy to clean and the quality of the juice is better because it makes better use of the fruit and also can take it in the same container where the fruit to beat it echo.</v>
      </c>
    </row>
    <row r="4520">
      <c r="A4520" s="1">
        <v>5.0</v>
      </c>
      <c r="B4520" s="1" t="s">
        <v>4497</v>
      </c>
      <c r="C4520" t="str">
        <f>IFERROR(__xludf.DUMMYFUNCTION("GOOGLETRANSLATE(B4520, ""es"", ""en"")"),"So comfortable Very comfortable, pity they have no protection in the heel, but otherwise a success. For what they are, there is nothing better.")</f>
        <v>So comfortable Very comfortable, pity they have no protection in the heel, but otherwise a success. For what they are, there is nothing better.</v>
      </c>
    </row>
    <row r="4521">
      <c r="A4521" s="1">
        <v>5.0</v>
      </c>
      <c r="B4521" s="1" t="s">
        <v>4498</v>
      </c>
      <c r="C4521" t="str">
        <f>IFERROR(__xludf.DUMMYFUNCTION("GOOGLETRANSLATE(B4521, ""es"", ""en"")"),"Washable. It has a very soft texture, it is heated very quickly. After 60 minutes of using it, it is automatically disconnected.")</f>
        <v>Washable. It has a very soft texture, it is heated very quickly. After 60 minutes of using it, it is automatically disconnected.</v>
      </c>
    </row>
    <row r="4522">
      <c r="A4522" s="1">
        <v>5.0</v>
      </c>
      <c r="B4522" s="1" t="s">
        <v>4499</v>
      </c>
      <c r="C4522" t="str">
        <f>IFERROR(__xludf.DUMMYFUNCTION("GOOGLETRANSLATE(B4522, ""es"", ""en"")"),"quality shoe've always worn shoe with toe iron with or without laces, to work in the kitchen, but after trying this, you feel more comfortable, it's like having air chamber, as in sports, noticeable k are quality, non-slip in oil and water, easy to clean,"&amp;" mangerazo the gun and ready, I recommend")</f>
        <v>quality shoe've always worn shoe with toe iron with or without laces, to work in the kitchen, but after trying this, you feel more comfortable, it's like having air chamber, as in sports, noticeable k are quality, non-slip in oil and water, easy to clean, mangerazo the gun and ready, I recommend</v>
      </c>
    </row>
    <row r="4523">
      <c r="A4523" s="1">
        <v>5.0</v>
      </c>
      <c r="B4523" s="1" t="s">
        <v>4500</v>
      </c>
      <c r="C4523" t="str">
        <f>IFERROR(__xludf.DUMMYFUNCTION("GOOGLETRANSLATE(B4523, ""es"", ""en"")"),"Very mild heat good calidad..Suave to the tacto.Comoda for use in hombros..los fully covers even much back and neck")</f>
        <v>Very mild heat good calidad..Suave to the tacto.Comoda for use in hombros..los fully covers even much back and neck</v>
      </c>
    </row>
    <row r="4524">
      <c r="A4524" s="1">
        <v>5.0</v>
      </c>
      <c r="B4524" s="1" t="s">
        <v>4501</v>
      </c>
      <c r="C4524" t="str">
        <f>IFERROR(__xludf.DUMMYFUNCTION("GOOGLETRANSLATE(B4524, ""es"", ""en"")"),"I already bought two pairs Very warm and suitable for older people because they avoid slipping")</f>
        <v>I already bought two pairs Very warm and suitable for older people because they avoid slipping</v>
      </c>
    </row>
    <row r="4525">
      <c r="A4525" s="1">
        <v>5.0</v>
      </c>
      <c r="B4525" s="1" t="s">
        <v>4502</v>
      </c>
      <c r="C4525" t="str">
        <f>IFERROR(__xludf.DUMMYFUNCTION("GOOGLETRANSLATE(B4525, ""es"", ""en"")"),"The would ask Cris are comfortable good quality of the fabric and one of the important points for me is will not show anything underwear good quality definitely")</f>
        <v>The would ask Cris are comfortable good quality of the fabric and one of the important points for me is will not show anything underwear good quality definitely</v>
      </c>
    </row>
    <row r="4526">
      <c r="A4526" s="1">
        <v>5.0</v>
      </c>
      <c r="B4526" s="1" t="s">
        <v>4503</v>
      </c>
      <c r="C4526" t="str">
        <f>IFERROR(__xludf.DUMMYFUNCTION("GOOGLETRANSLATE(B4526, ""es"", ""en"")"),"is an essential appliance in the kitchen is an essential appliance in the kitchen once you've already used can not leave it, yes yes yes yes")</f>
        <v>is an essential appliance in the kitchen is an essential appliance in the kitchen once you've already used can not leave it, yes yes yes yes</v>
      </c>
    </row>
    <row r="4527">
      <c r="A4527" s="1">
        <v>5.0</v>
      </c>
      <c r="B4527" s="1" t="s">
        <v>4504</v>
      </c>
      <c r="C4527" t="str">
        <f>IFERROR(__xludf.DUMMYFUNCTION("GOOGLETRANSLATE(B4527, ""es"", ""en"")"),"Perfect to moisturize hair I used it for hair, have always had the problem of dry hair and for the first time, I found a product that I really repairs hair. I put myself at night and I wash it in the morning twice a week.")</f>
        <v>Perfect to moisturize hair I used it for hair, have always had the problem of dry hair and for the first time, I found a product that I really repairs hair. I put myself at night and I wash it in the morning twice a week.</v>
      </c>
    </row>
    <row r="4528">
      <c r="A4528" s="1">
        <v>5.0</v>
      </c>
      <c r="B4528" s="1" t="s">
        <v>4505</v>
      </c>
      <c r="C4528" t="str">
        <f>IFERROR(__xludf.DUMMYFUNCTION("GOOGLETRANSLATE(B4528, ""es"", ""en"")"),"Recommended My 5 month old baby did not want any bottle during the weaning process. When tested with a bottle-spoon was our salvation. Now we give milk, cereals and fruit porridges with this.")</f>
        <v>Recommended My 5 month old baby did not want any bottle during the weaning process. When tested with a bottle-spoon was our salvation. Now we give milk, cereals and fruit porridges with this.</v>
      </c>
    </row>
    <row r="4529">
      <c r="A4529" s="1">
        <v>5.0</v>
      </c>
      <c r="B4529" s="1" t="s">
        <v>4506</v>
      </c>
      <c r="C4529" t="str">
        <f>IFERROR(__xludf.DUMMYFUNCTION("GOOGLETRANSLATE(B4529, ""es"", ""en"")"),"Very good very good. In one day I had at home.")</f>
        <v>Very good very good. In one day I had at home.</v>
      </c>
    </row>
    <row r="4530">
      <c r="A4530" s="1">
        <v>5.0</v>
      </c>
      <c r="B4530" s="1" t="s">
        <v>4507</v>
      </c>
      <c r="C4530" t="str">
        <f>IFERROR(__xludf.DUMMYFUNCTION("GOOGLETRANSLATE(B4530, ""es"", ""en"")"),"Delighted with purchase. The headphones are compatible with my Xiaomi and great sound is heard.")</f>
        <v>Delighted with purchase. The headphones are compatible with my Xiaomi and great sound is heard.</v>
      </c>
    </row>
    <row r="4531">
      <c r="A4531" s="1">
        <v>5.0</v>
      </c>
      <c r="B4531" s="1" t="s">
        <v>4508</v>
      </c>
      <c r="C4531" t="str">
        <f>IFERROR(__xludf.DUMMYFUNCTION("GOOGLETRANSLATE(B4531, ""es"", ""en"")"),"Very fast on large files, slashing performance indicating the manufacturer The fact that the performance that gives this to work well, especially with large files. It is a brand that knew before, but until today is working perfectly. The tests performed i"&amp;"ndicate a rate of 350.3 Mb / s reading and 81 Mb / s writing team tested a next-generation i7 quite powerful. He approaches the 400Mb / s and 100Mb / s writing given by the manufacturer. A 2gb file is copied played in 15 seconds. It is removed in 13 secon"&amp;"ds a file of 3.5 GB. The benchmark performed gives very good score in the SeqQ32T1, but in other performance tests is quite low, it penalizes much random access. What does this ?, because if you want to boot an operating system from the USB and use a live"&amp;" distribution will go very very slow, you either will work fine for running applications, but to bring files back and forth you go perfect. It has no light indicating whether working. Among the memories I've tried is the fastest, for the same price I have"&amp;" a sandisk not even reach 100 reading https://www.amazon.es/dp/B07855LJ99/ If a fault occurs with memory I'll update review of happy with it now.")</f>
        <v>Very fast on large files, slashing performance indicating the manufacturer The fact that the performance that gives this to work well, especially with large files. It is a brand that knew before, but until today is working perfectly. The tests performed indicate a rate of 350.3 Mb / s reading and 81 Mb / s writing team tested a next-generation i7 quite powerful. He approaches the 400Mb / s and 100Mb / s writing given by the manufacturer. A 2gb file is copied played in 15 seconds. It is removed in 13 seconds a file of 3.5 GB. The benchmark performed gives very good score in the SeqQ32T1, but in other performance tests is quite low, it penalizes much random access. What does this ?, because if you want to boot an operating system from the USB and use a live distribution will go very very slow, you either will work fine for running applications, but to bring files back and forth you go perfect. It has no light indicating whether working. Among the memories I've tried is the fastest, for the same price I have a sandisk not even reach 100 reading https://www.amazon.es/dp/B07855LJ99/ If a fault occurs with memory I'll update review of happy with it now.</v>
      </c>
    </row>
    <row r="4532">
      <c r="A4532" s="1">
        <v>5.0</v>
      </c>
      <c r="B4532" s="1" t="s">
        <v>4509</v>
      </c>
      <c r="C4532" t="str">
        <f>IFERROR(__xludf.DUMMYFUNCTION("GOOGLETRANSLATE(B4532, ""es"", ""en"")"),"It is a good quality and efficient protection. For work")</f>
        <v>It is a good quality and efficient protection. For work</v>
      </c>
    </row>
    <row r="4533">
      <c r="A4533" s="1">
        <v>5.0</v>
      </c>
      <c r="B4533" s="1" t="s">
        <v>4510</v>
      </c>
      <c r="C4533" t="str">
        <f>IFERROR(__xludf.DUMMYFUNCTION("GOOGLETRANSLATE(B4533, ""es"", ""en"")"),"Nice and super practical Spectacular am delighted with my mincer is very practical, and when cooking me greatly facilitates the preparation of food")</f>
        <v>Nice and super practical Spectacular am delighted with my mincer is very practical, and when cooking me greatly facilitates the preparation of food</v>
      </c>
    </row>
    <row r="4534">
      <c r="A4534" s="1">
        <v>2.0</v>
      </c>
      <c r="B4534" s="1" t="s">
        <v>4511</v>
      </c>
      <c r="C4534" t="str">
        <f>IFERROR(__xludf.DUMMYFUNCTION("GOOGLETRANSLATE(B4534, ""es"", ""en"")"),"Mal, let down badly refitted to price the battery is flawed or something barely day Early pense days q was for use inefficient But now barely a day when it rises or giaras wrist screen does not turn I have rotate several times or to strongly turn Estetica"&amp;"mente August 1")</f>
        <v>Mal, let down badly refitted to price the battery is flawed or something barely day Early pense days q was for use inefficient But now barely a day when it rises or giaras wrist screen does not turn I have rotate several times or to strongly turn Esteticamente August 1</v>
      </c>
    </row>
    <row r="4535">
      <c r="A4535" s="1">
        <v>3.0</v>
      </c>
      <c r="B4535" s="1" t="s">
        <v>4512</v>
      </c>
      <c r="C4535" t="str">
        <f>IFERROR(__xludf.DUMMYFUNCTION("GOOGLETRANSLATE(B4535, ""es"", ""en"")"),"Is very heavy and uncomfortable bucket dries very bad soil")</f>
        <v>Is very heavy and uncomfortable bucket dries very bad soil</v>
      </c>
    </row>
    <row r="4536">
      <c r="A4536" s="1">
        <v>3.0</v>
      </c>
      <c r="B4536" s="1" t="s">
        <v>4513</v>
      </c>
      <c r="C4536" t="str">
        <f>IFERROR(__xludf.DUMMYFUNCTION("GOOGLETRANSLATE(B4536, ""es"", ""en"")"),"Microphone stand microphone stand, okay")</f>
        <v>Microphone stand microphone stand, okay</v>
      </c>
    </row>
    <row r="4537">
      <c r="A4537" s="1">
        <v>1.0</v>
      </c>
      <c r="B4537" s="1" t="s">
        <v>4514</v>
      </c>
      <c r="C4537" t="str">
        <f>IFERROR(__xludf.DUMMYFUNCTION("GOOGLETRANSLATE(B4537, ""es"", ""en"")"),"I'm not happy because I would have liked to try this brand I'm not very happy with the shoes first the pedi 2x green and melas sent brown, I use a 42 but they were small yields little size Pedi 43 and was not comfortable 43.5 should have asked but tired I"&amp;" d much to ask and return.")</f>
        <v>I'm not happy because I would have liked to try this brand I'm not very happy with the shoes first the pedi 2x green and melas sent brown, I use a 42 but they were small yields little size Pedi 43 and was not comfortable 43.5 should have asked but tired I d much to ask and return.</v>
      </c>
    </row>
    <row r="4538">
      <c r="A4538" s="1">
        <v>1.0</v>
      </c>
      <c r="B4538" s="1" t="s">
        <v>4515</v>
      </c>
      <c r="C4538" t="str">
        <f>IFERROR(__xludf.DUMMYFUNCTION("GOOGLETRANSLATE(B4538, ""es"", ""en"")"),"Low-quality materials vanmuy loose fasteners")</f>
        <v>Low-quality materials vanmuy loose fasteners</v>
      </c>
    </row>
    <row r="4539">
      <c r="A4539" s="1">
        <v>1.0</v>
      </c>
      <c r="B4539" s="1" t="s">
        <v>4516</v>
      </c>
      <c r="C4539" t="str">
        <f>IFERROR(__xludf.DUMMYFUNCTION("GOOGLETRANSLATE(B4539, ""es"", ""en"")"),"Ad misleading The product is advertised with 6 pairs (= 6 pairs) and only Vinen 3!")</f>
        <v>Ad misleading The product is advertised with 6 pairs (= 6 pairs) and only Vinen 3!</v>
      </c>
    </row>
    <row r="4540">
      <c r="A4540" s="1">
        <v>4.0</v>
      </c>
      <c r="B4540" s="1" t="s">
        <v>4517</v>
      </c>
      <c r="C4540" t="str">
        <f>IFERROR(__xludf.DUMMYFUNCTION("GOOGLETRANSLATE(B4540, ""es"", ""en"")"),"good all good")</f>
        <v>good all good</v>
      </c>
    </row>
    <row r="4541">
      <c r="A4541" s="1">
        <v>4.0</v>
      </c>
      <c r="B4541" s="1" t="s">
        <v>4518</v>
      </c>
      <c r="C4541" t="str">
        <f>IFERROR(__xludf.DUMMYFUNCTION("GOOGLETRANSLATE(B4541, ""es"", ""en"")"),"comfort value")</f>
        <v>comfort value</v>
      </c>
    </row>
    <row r="4542">
      <c r="A4542" s="1">
        <v>4.0</v>
      </c>
      <c r="B4542" s="1" t="s">
        <v>4519</v>
      </c>
      <c r="C4542" t="str">
        <f>IFERROR(__xludf.DUMMYFUNCTION("GOOGLETRANSLATE(B4542, ""es"", ""en"")"),"As he expected as expected. The first time I put them made me a super nasty chafing in the heel .. I not yet have me relocated .. but imagine when they will give a little more comfortable")</f>
        <v>As he expected as expected. The first time I put them made me a super nasty chafing in the heel .. I not yet have me relocated .. but imagine when they will give a little more comfortable</v>
      </c>
    </row>
    <row r="4543">
      <c r="A4543" s="1">
        <v>4.0</v>
      </c>
      <c r="B4543" s="1" t="s">
        <v>4520</v>
      </c>
      <c r="C4543" t="str">
        <f>IFERROR(__xludf.DUMMYFUNCTION("GOOGLETRANSLATE(B4543, ""es"", ""en"")"),"Highly recommended purchase. Excellent workmanship and high quality material, giving it four stars because with a zipper to close the inside would have been 10.")</f>
        <v>Highly recommended purchase. Excellent workmanship and high quality material, giving it four stars because with a zipper to close the inside would have been 10.</v>
      </c>
    </row>
    <row r="4544">
      <c r="A4544" s="1">
        <v>4.0</v>
      </c>
      <c r="B4544" s="1" t="s">
        <v>4521</v>
      </c>
      <c r="C4544" t="str">
        <f>IFERROR(__xludf.DUMMYFUNCTION("GOOGLETRANSLATE(B4544, ""es"", ""en"")"),"Tiny and light as you can see in the picture size is very small which means that keepeth not lose anything important pq shortly. It has USB connection and C type I tested my phone and it works perfectly.")</f>
        <v>Tiny and light as you can see in the picture size is very small which means that keepeth not lose anything important pq shortly. It has USB connection and C type I tested my phone and it works perfectly.</v>
      </c>
    </row>
    <row r="4545">
      <c r="A4545" s="1">
        <v>5.0</v>
      </c>
      <c r="B4545" s="1" t="s">
        <v>4522</v>
      </c>
      <c r="C4545" t="str">
        <f>IFERROR(__xludf.DUMMYFUNCTION("GOOGLETRANSLATE(B4545, ""es"", ""en"")"),"Not change it for another. The truth is that is passed as clean. It has power to spare and the laser does not turn yourself silly as other ...")</f>
        <v>Not change it for another. The truth is that is passed as clean. It has power to spare and the laser does not turn yourself silly as other ...</v>
      </c>
    </row>
    <row r="4546">
      <c r="A4546" s="1">
        <v>5.0</v>
      </c>
      <c r="B4546" s="1" t="s">
        <v>4523</v>
      </c>
      <c r="C4546" t="str">
        <f>IFERROR(__xludf.DUMMYFUNCTION("GOOGLETRANSLATE(B4546, ""es"", ""en"")"),"Delighted with the purchase I loved the necklace, he arrived safely and on schedule")</f>
        <v>Delighted with the purchase I loved the necklace, he arrived safely and on schedule</v>
      </c>
    </row>
    <row r="4547">
      <c r="A4547" s="1">
        <v>5.0</v>
      </c>
      <c r="B4547" s="1" t="s">
        <v>4524</v>
      </c>
      <c r="C4547" t="str">
        <f>IFERROR(__xludf.DUMMYFUNCTION("GOOGLETRANSLATE(B4547, ""es"", ""en"")"),"100% recommended Great Value, 100% recommended")</f>
        <v>100% recommended Great Value, 100% recommended</v>
      </c>
    </row>
    <row r="4548">
      <c r="A4548" s="1">
        <v>5.0</v>
      </c>
      <c r="B4548" s="1" t="s">
        <v>4525</v>
      </c>
      <c r="C4548" t="str">
        <f>IFERROR(__xludf.DUMMYFUNCTION("GOOGLETRANSLATE(B4548, ""es"", ""en"")"),"Perfect price / quality I love. Light comfortable .. not sack me and look good with everything")</f>
        <v>Perfect price / quality I love. Light comfortable .. not sack me and look good with everything</v>
      </c>
    </row>
    <row r="4549">
      <c r="A4549" s="1">
        <v>5.0</v>
      </c>
      <c r="B4549" s="1" t="s">
        <v>748</v>
      </c>
      <c r="C4549" t="str">
        <f>IFERROR(__xludf.DUMMYFUNCTION("GOOGLETRANSLATE(B4549, ""es"", ""en"")"),"perfect Great")</f>
        <v>perfect Great</v>
      </c>
    </row>
    <row r="4550">
      <c r="A4550" s="1">
        <v>5.0</v>
      </c>
      <c r="B4550" s="1" t="s">
        <v>4526</v>
      </c>
      <c r="C4550" t="str">
        <f>IFERROR(__xludf.DUMMYFUNCTION("GOOGLETRANSLATE(B4550, ""es"", ""en"")"),"Genial very cool!")</f>
        <v>Genial very cool!</v>
      </c>
    </row>
    <row r="4551">
      <c r="A4551" s="1">
        <v>5.0</v>
      </c>
      <c r="B4551" s="1" t="s">
        <v>4527</v>
      </c>
      <c r="C4551" t="str">
        <f>IFERROR(__xludf.DUMMYFUNCTION("GOOGLETRANSLATE(B4551, ""es"", ""en"")"),"Good product quality and convenience, comfortable and good value for money clalidad")</f>
        <v>Good product quality and convenience, comfortable and good value for money clalidad</v>
      </c>
    </row>
    <row r="4552">
      <c r="A4552" s="1">
        <v>5.0</v>
      </c>
      <c r="B4552" s="1" t="s">
        <v>4528</v>
      </c>
      <c r="C4552" t="str">
        <f>IFERROR(__xludf.DUMMYFUNCTION("GOOGLETRANSLATE(B4552, ""es"", ""en"")"),"good typing speed card is pretty good ... has good typing speed ... I'm happy")</f>
        <v>good typing speed card is pretty good ... has good typing speed ... I'm happy</v>
      </c>
    </row>
    <row r="4553">
      <c r="A4553" s="1">
        <v>5.0</v>
      </c>
      <c r="B4553" s="1" t="s">
        <v>4529</v>
      </c>
      <c r="C4553" t="str">
        <f>IFERROR(__xludf.DUMMYFUNCTION("GOOGLETRANSLATE(B4553, ""es"", ""en"")"),"Very cool charm Me")</f>
        <v>Very cool charm Me</v>
      </c>
    </row>
    <row r="4554">
      <c r="A4554" s="1">
        <v>5.0</v>
      </c>
      <c r="B4554" s="1" t="s">
        <v>4530</v>
      </c>
      <c r="C4554" t="str">
        <f>IFERROR(__xludf.DUMMYFUNCTION("GOOGLETRANSLATE(B4554, ""es"", ""en"")"),"Child alarm many features with many functions, different alarm sounds, sounds pretty relaxing nature ... etc. Is an ideal gift for kids who are afraid of the dark, because it has different illumination colors and has a mode in which a smiley appears on th"&amp;"e screen or smiley. In addition, the shape of the clock is an ideal size and has on the side pieces as if they were the ears. It is a very original clock for children and not so young.")</f>
        <v>Child alarm many features with many functions, different alarm sounds, sounds pretty relaxing nature ... etc. Is an ideal gift for kids who are afraid of the dark, because it has different illumination colors and has a mode in which a smiley appears on the screen or smiley. In addition, the shape of the clock is an ideal size and has on the side pieces as if they were the ears. It is a very original clock for children and not so young.</v>
      </c>
    </row>
    <row r="4555">
      <c r="A4555" s="1">
        <v>5.0</v>
      </c>
      <c r="B4555" s="1" t="s">
        <v>4531</v>
      </c>
      <c r="C4555" t="str">
        <f>IFERROR(__xludf.DUMMYFUNCTION("GOOGLETRANSLATE(B4555, ""es"", ""en"")"),"Contenta Perfect, comfortable to wear (understanding its dimensions) buy it now while I value, thrilled")</f>
        <v>Contenta Perfect, comfortable to wear (understanding its dimensions) buy it now while I value, thrilled</v>
      </c>
    </row>
    <row r="4556">
      <c r="A4556" s="1">
        <v>5.0</v>
      </c>
      <c r="B4556" s="1" t="s">
        <v>4532</v>
      </c>
      <c r="C4556" t="str">
        <f>IFERROR(__xludf.DUMMYFUNCTION("GOOGLETRANSLATE(B4556, ""es"", ""en"")"),"Perfect Product Delivery and cmplen espectativas")</f>
        <v>Perfect Product Delivery and cmplen espectativas</v>
      </c>
    </row>
    <row r="4557">
      <c r="A4557" s="1">
        <v>5.0</v>
      </c>
      <c r="B4557" s="1" t="s">
        <v>4533</v>
      </c>
      <c r="C4557" t="str">
        <f>IFERROR(__xludf.DUMMYFUNCTION("GOOGLETRANSLATE(B4557, ""es"", ""en"")"),"Good buy more than satisfied with the buy, right size 38. Utilize for use in a thermal lake and it worked perfect. Easy to clean")</f>
        <v>Good buy more than satisfied with the buy, right size 38. Utilize for use in a thermal lake and it worked perfect. Easy to clean</v>
      </c>
    </row>
    <row r="4558">
      <c r="A4558" s="1">
        <v>5.0</v>
      </c>
      <c r="B4558" s="1" t="s">
        <v>4534</v>
      </c>
      <c r="C4558" t="str">
        <f>IFERROR(__xludf.DUMMYFUNCTION("GOOGLETRANSLATE(B4558, ""es"", ""en"")"),"Slippers recommend them nice and comfortable. For the price they have is fine. Fulfill their function perfectly. Comfortable and good calidad.he been very happy with éstas.Los recommend 100%!")</f>
        <v>Slippers recommend them nice and comfortable. For the price they have is fine. Fulfill their function perfectly. Comfortable and good calidad.he been very happy with éstas.Los recommend 100%!</v>
      </c>
    </row>
    <row r="4559">
      <c r="A4559" s="1">
        <v>5.0</v>
      </c>
      <c r="B4559" s="1" t="s">
        <v>4535</v>
      </c>
      <c r="C4559" t="str">
        <f>IFERROR(__xludf.DUMMYFUNCTION("GOOGLETRANSLATE(B4559, ""es"", ""en"")"),"Perfect and original are perfect as it comes in the description of the article")</f>
        <v>Perfect and original are perfect as it comes in the description of the article</v>
      </c>
    </row>
    <row r="4560">
      <c r="A4560" s="1">
        <v>5.0</v>
      </c>
      <c r="B4560" s="1" t="s">
        <v>4536</v>
      </c>
      <c r="C4560" t="str">
        <f>IFERROR(__xludf.DUMMYFUNCTION("GOOGLETRANSLATE(B4560, ""es"", ""en"")"),"Good product at the moment. Initial assessment: I have several like this, but 1TB. Given its good performance, I bought again this. So far, I've been copying files of various sizes and works very well. Plugged into a USB3 in a new laptop I copied from dis"&amp;"coUSB to discoUSB, more than 120MB / s. One last. It comes in NTFS. I've connected to a Samsung TV for about 6 years, and reads smoothly. I continue to report.")</f>
        <v>Good product at the moment. Initial assessment: I have several like this, but 1TB. Given its good performance, I bought again this. So far, I've been copying files of various sizes and works very well. Plugged into a USB3 in a new laptop I copied from discoUSB to discoUSB, more than 120MB / s. One last. It comes in NTFS. I've connected to a Samsung TV for about 6 years, and reads smoothly. I continue to report.</v>
      </c>
    </row>
    <row r="4561">
      <c r="A4561" s="1">
        <v>5.0</v>
      </c>
      <c r="B4561" s="1" t="s">
        <v>4537</v>
      </c>
      <c r="C4561" t="str">
        <f>IFERROR(__xludf.DUMMYFUNCTION("GOOGLETRANSLATE(B4561, ""es"", ""en"")"),"REEBOK SNEAKERS LIFELONG The order came marked for it without any problems day. The size of the shoes is waiting for me and I had no problem with it because I followed the instructions on the sizing chart. Are the shoes that I bought almost always for you"&amp;"r convenience, and after probármelas, are still very comfortable. Are good shoes that left me a good price taking advantage of the offer they had.")</f>
        <v>REEBOK SNEAKERS LIFELONG The order came marked for it without any problems day. The size of the shoes is waiting for me and I had no problem with it because I followed the instructions on the sizing chart. Are the shoes that I bought almost always for your convenience, and after probármelas, are still very comfortable. Are good shoes that left me a good price taking advantage of the offer they had.</v>
      </c>
    </row>
    <row r="4562">
      <c r="A4562" s="1">
        <v>5.0</v>
      </c>
      <c r="B4562" s="1" t="s">
        <v>4538</v>
      </c>
      <c r="C4562" t="str">
        <f>IFERROR(__xludf.DUMMYFUNCTION("GOOGLETRANSLATE(B4562, ""es"", ""en"")"),"I love sound amazing !! Product and incredible quality. I gave it away and now I've bought to give it away. Battery lasts a lot and the sound is perfect. It comes with a case to save it with a cable for charging and one for plugging. They are comfortable,"&amp;" and the price is very good. I recommend it.")</f>
        <v>I love sound amazing !! Product and incredible quality. I gave it away and now I've bought to give it away. Battery lasts a lot and the sound is perfect. It comes with a case to save it with a cable for charging and one for plugging. They are comfortable, and the price is very good. I recommend it.</v>
      </c>
    </row>
    <row r="4563">
      <c r="A4563" s="1">
        <v>5.0</v>
      </c>
      <c r="B4563" s="1" t="s">
        <v>4539</v>
      </c>
      <c r="C4563" t="str">
        <f>IFERROR(__xludf.DUMMYFUNCTION("GOOGLETRANSLATE(B4563, ""es"", ""en"")"),"Ok all I've used for more than a year in a camera and doing very well, capturing and recording images is very fast and has never given me a problem either in the camera or on the computer.")</f>
        <v>Ok all I've used for more than a year in a camera and doing very well, capturing and recording images is very fast and has never given me a problem either in the camera or on the computer.</v>
      </c>
    </row>
    <row r="4564">
      <c r="A4564" s="1">
        <v>2.0</v>
      </c>
      <c r="B4564" s="1" t="s">
        <v>4540</v>
      </c>
      <c r="C4564" t="str">
        <f>IFERROR(__xludf.DUMMYFUNCTION("GOOGLETRANSLATE(B4564, ""es"", ""en"")"),"At the beginning bad materials very well but as other users it has lasted a year and a bit and crashed. Poor quality materials")</f>
        <v>At the beginning bad materials very well but as other users it has lasted a year and a bit and crashed. Poor quality materials</v>
      </c>
    </row>
    <row r="4565">
      <c r="A4565" s="1">
        <v>3.0</v>
      </c>
      <c r="B4565" s="1" t="s">
        <v>4541</v>
      </c>
      <c r="C4565" t="str">
        <f>IFERROR(__xludf.DUMMYFUNCTION("GOOGLETRANSLATE(B4565, ""es"", ""en"")"),"Running I bought it as a stopwatch principalamente utlizarlo leg and is good. As digital clock is aceptableente elegant. I recommend anything or anyone.")</f>
        <v>Running I bought it as a stopwatch principalamente utlizarlo leg and is good. As digital clock is aceptableente elegant. I recommend anything or anyone.</v>
      </c>
    </row>
    <row r="4566">
      <c r="A4566" s="1">
        <v>3.0</v>
      </c>
      <c r="B4566" s="1" t="s">
        <v>4542</v>
      </c>
      <c r="C4566" t="str">
        <f>IFERROR(__xludf.DUMMYFUNCTION("GOOGLETRANSLATE(B4566, ""es"", ""en"")"),"Something small When I received it I found very little in the pictures does not give that appearance. Otherwise the product is well")</f>
        <v>Something small When I received it I found very little in the pictures does not give that appearance. Otherwise the product is well</v>
      </c>
    </row>
    <row r="4567">
      <c r="A4567" s="1">
        <v>1.0</v>
      </c>
      <c r="B4567" s="1" t="s">
        <v>4543</v>
      </c>
      <c r="C4567" t="str">
        <f>IFERROR(__xludf.DUMMYFUNCTION("GOOGLETRANSLATE(B4567, ""es"", ""en"")"),"Are plastic is plastic, I thought q would stone")</f>
        <v>Are plastic is plastic, I thought q would stone</v>
      </c>
    </row>
    <row r="4568">
      <c r="A4568" s="1">
        <v>1.0</v>
      </c>
      <c r="B4568" s="1" t="s">
        <v>4544</v>
      </c>
      <c r="C4568" t="str">
        <f>IFERROR(__xludf.DUMMYFUNCTION("GOOGLETRANSLATE(B4568, ""es"", ""en"")"),"Instable instable, the arm does not support the weight of a micro Rode, although I adjusted to the maximum weight of the micro just down the arm")</f>
        <v>Instable instable, the arm does not support the weight of a micro Rode, although I adjusted to the maximum weight of the micro just down the arm</v>
      </c>
    </row>
    <row r="4569">
      <c r="A4569" s="1">
        <v>4.0</v>
      </c>
      <c r="B4569" s="1" t="s">
        <v>4545</v>
      </c>
      <c r="C4569" t="str">
        <f>IFERROR(__xludf.DUMMYFUNCTION("GOOGLETRANSLATE(B4569, ""es"", ""en"")"),"Indispensable in everyday Although perfectly able to live without Roomba, it agredece much have it. Those that you have pets you will understand perfectly well. We are 2 people in house, 1 dog and 1 cat and the house was very dirty despite the care we hav"&amp;"e. Before having the Roomba, we had to suck it daily as fluff formed after 2 days and the feeling was not been cleaned in a long time even if not. He did not have much time every day to devote to household tasks, buy the Roomba has been a big acquisition "&amp;"because it saves us a lot of time (and effort!). A more technical level, say the Roomba 615 has fulfilled all our expectations. Aspira the house perfectly, even the most stubborn dirt: human hair, pet, dust, but also capable of sucking smoothly even silic"&amp;"a sand we use for the cat (it is quite large). It's amazing how perfectly hurries corners and furniture (such as turns and sucks around the legs of the chair). So, in this sense, no complaints. The battery lasts long enough, and the result is very good. A"&amp;"spects to improve? - Sometimes it's a little abrupt and has been able to open doors that do not close on the whole well or has closed others were open. It fits within what is understandable, since it is able to climb small ramps and uneven, but it might b"&amp;"e an aspect to improve. - Definitely, it would be improved is the noise it makes to the aspirate. Completely understandable because of the work done, but it can be annoying if you are at home (although not in the same room). How to solve it? Put the Roomb"&amp;"a when you are not at home, or do it in 2 batches, closing doors through (the sound is quite isolated if there is a closed door). If you recommend? Definitely. Saving time and effort every day, and the house always ends up being cleaner.")</f>
        <v>Indispensable in everyday Although perfectly able to live without Roomba, it agredece much have it. Those that you have pets you will understand perfectly well. We are 2 people in house, 1 dog and 1 cat and the house was very dirty despite the care we have. Before having the Roomba, we had to suck it daily as fluff formed after 2 days and the feeling was not been cleaned in a long time even if not. He did not have much time every day to devote to household tasks, buy the Roomba has been a big acquisition because it saves us a lot of time (and effort!). A more technical level, say the Roomba 615 has fulfilled all our expectations. Aspira the house perfectly, even the most stubborn dirt: human hair, pet, dust, but also capable of sucking smoothly even silica sand we use for the cat (it is quite large). It's amazing how perfectly hurries corners and furniture (such as turns and sucks around the legs of the chair). So, in this sense, no complaints. The battery lasts long enough, and the result is very good. Aspects to improve? - Sometimes it's a little abrupt and has been able to open doors that do not close on the whole well or has closed others were open. It fits within what is understandable, since it is able to climb small ramps and uneven, but it might be an aspect to improve. - Definitely, it would be improved is the noise it makes to the aspirate. Completely understandable because of the work done, but it can be annoying if you are at home (although not in the same room). How to solve it? Put the Roomba when you are not at home, or do it in 2 batches, closing doors through (the sound is quite isolated if there is a closed door). If you recommend? Definitely. Saving time and effort every day, and the house always ends up being cleaner.</v>
      </c>
    </row>
    <row r="4570">
      <c r="A4570" s="1">
        <v>4.0</v>
      </c>
      <c r="B4570" s="1" t="s">
        <v>4546</v>
      </c>
      <c r="C4570" t="str">
        <f>IFERROR(__xludf.DUMMYFUNCTION("GOOGLETRANSLATE(B4570, ""es"", ""en"")"),"Widths are good and my son did not want to drink this bottle and if you think it's because you can grab your hands well with 10 month old baby")</f>
        <v>Widths are good and my son did not want to drink this bottle and if you think it's because you can grab your hands well with 10 month old baby</v>
      </c>
    </row>
    <row r="4571">
      <c r="A4571" s="1">
        <v>4.0</v>
      </c>
      <c r="B4571" s="1" t="s">
        <v>4547</v>
      </c>
      <c r="C4571" t="str">
        <f>IFERROR(__xludf.DUMMYFUNCTION("GOOGLETRANSLATE(B4571, ""es"", ""en"")"),"Good choice for cameras and other devices affordable option if you do not have big needs. If you do bursts in RAW to 30 megapixels or video recording in 4K hours, certainly will not serve nor speed nor capacity. If you do not understand the previous sente"&amp;"nce, or your needs are more basic, you'll be fine. See also the option of 32GB, because there is no big difference in price.")</f>
        <v>Good choice for cameras and other devices affordable option if you do not have big needs. If you do bursts in RAW to 30 megapixels or video recording in 4K hours, certainly will not serve nor speed nor capacity. If you do not understand the previous sentence, or your needs are more basic, you'll be fine. See also the option of 32GB, because there is no big difference in price.</v>
      </c>
    </row>
    <row r="4572">
      <c r="A4572" s="1">
        <v>4.0</v>
      </c>
      <c r="B4572" s="1" t="s">
        <v>4548</v>
      </c>
      <c r="C4572" t="str">
        <f>IFERROR(__xludf.DUMMYFUNCTION("GOOGLETRANSLATE(B4572, ""es"", ""en"")"),"There are quite pretty bad but they are a bit heavy.")</f>
        <v>There are quite pretty bad but they are a bit heavy.</v>
      </c>
    </row>
    <row r="4573">
      <c r="A4573" s="1">
        <v>5.0</v>
      </c>
      <c r="B4573" s="1" t="s">
        <v>4549</v>
      </c>
      <c r="C4573" t="str">
        <f>IFERROR(__xludf.DUMMYFUNCTION("GOOGLETRANSLATE(B4573, ""es"", ""en"")"),"Super comfortable they arrived quickly and the best is that they are super comfortable, like wearing nothing but the same time holding the chest. If it is true that for sports not work.")</f>
        <v>Super comfortable they arrived quickly and the best is that they are super comfortable, like wearing nothing but the same time holding the chest. If it is true that for sports not work.</v>
      </c>
    </row>
    <row r="4574">
      <c r="A4574" s="1">
        <v>5.0</v>
      </c>
      <c r="B4574" s="1" t="s">
        <v>4550</v>
      </c>
      <c r="C4574" t="str">
        <f>IFERROR(__xludf.DUMMYFUNCTION("GOOGLETRANSLATE(B4574, ""es"", ""en"")"),"Very practical and nice &lt;div id = ""video-block-R3T3WX1RFAYUBS"" class = ""a-section a-spacing-small a-spacing-top mini video-block""&gt; &lt;div tabindex = ""0"" class = ""airy airy -svg vmin-supported airy-skin-beacon ""style ="" background-color: rgb (0, 0, "&amp;"0) position: relative; width: 100%; height: 100%; font-size: 0px; overflow: hidden ; outline: none; ""&gt; &lt;div class ="" airy-renderer-container ""style ="" position: relative; height: 100%; width: 100%; ""&gt; &lt;video id ="" 31 ""preload ="" auto ""src = ""htt"&amp;"ps://images-eu.ssl-images-amazon.com/images/I/A1ABau-UFBS.mp4"" style = ""position: absolute; left: 0px; top: 0px; overflow: hidden; height: 1px ; width: 1px; ""&gt; &lt;/ video&gt; &lt;/ div&gt; &lt;div id ="" airy-slate-preload ""style ="" background-color: rgb (0, 0, 0)"&amp;"; background-image: url (&amp; quot; https://images-eu.ssl-images-amazon.com/images/I/81wXDgMp4jS.png&amp;quot;); background-size: Contain; background-position: center center; background-repeat: no-repeat; position: absolute ; top: 0px; left: 0px; visibility: vis"&amp;"ible; width: 100%; height: 100%; ""&gt; &lt;/ div&gt; &lt;iframe scr olling = ""no"" frameborder = ""0"" src = ""about: blank"" style = ""display: none;""&gt; &lt;/ iframe&gt; &lt;div tabindex = ""- 1"" class = ""airy-controls-container"" style = "" opacity: 0; visibility: hidde"&amp;"n; ""&gt; &lt;div tabindex ="" - 1 ""class ="" airy-screen-size-toggle airy-fullscreen ""&gt; &lt;/ div&gt; &lt;div tabindex ="" - 1 ""class ="" airy-container-bottom "" &gt; &lt;div tabindex = ""- 1"" class = ""airy-track-bar-spacer-left"" style = ""width: 11px;""&gt; &lt;/ div&gt; &lt;div"&amp;" tabindex = ""- 1"" class = ""airy-play- airy toggle-play ""style ="" width: 12px; margin-right: 12px; ""&gt; &lt;/ div&gt; &lt;div tabindex ="" - 1 ""class ="" airy-audio-elements ""style ="" float: right; width: 34px; ""&gt; &lt;div tabindex ="" - 1 ""class ="" airy-audi"&amp;"o-toggle airy-on ""&gt; &lt;/ div&gt; &lt;div tabindex ="" - 1 ""class ="" airy-audio-container ""style = ""opacity: 0; visibility: hidden; ""&gt; &lt;div tabindex ="" - 1 ""class ="" airy-audio-track-bar ""style ="" height: 80%; ""&gt; &lt;div tabindex ="" - 1 ""class ="" airy-"&amp;"audio- Scrubber-bar ""style ="" height: 85%; ""&gt; &lt;/ div&gt; &lt;div tabindex ="" - 1 ""class ="" airy-audio-scrubber ""style ="" height: 12px; bottom: 85% ""&gt; &lt;/ div&gt; &lt;/ div&gt; &lt;/ div&gt; &lt;/ div&gt; &lt;div tabindex ="" - 1 ""class ="" airy-duration-label ""style ="" floa"&amp;"t: right; width: 26px; margin-right: 4px; text-align: center; ""&gt; 0:00 &lt;/ div&gt; &lt;div tabindex ="" - 1 ""class ="" airy-track-bar-spacer-right ""style ="" float: right; width: 11px; ""&gt; &lt;/ div&gt; &lt;div tabindex ="" - 1 ""class ="" airy-track-bar-container ""st"&amp;"yle ="" margin-left: 35px; margin-right: 75px; ""&gt; &lt;div tabindex ="" - 1 ""class ="" airy-airy-track-bar vertically-centering-table ""&gt; &lt;div tabindex ="" - 1 ""class ="" airy-Vertical-centering- table-cell ""&gt; &lt;div tabindex ="" - 1 ""class ="" airy-track-"&amp;"bar-elements ""&gt; &lt;div tabindex ="" - 1 ""class ="" airy-progress-bar ""&gt; &lt;/ div&gt; &lt;div tabindex = ""- 1"" class = ""airy-scrubber-bar""&gt; &lt;/ div&gt; &lt;div tabindex = ""- 1"" class = ""airy-scrubber""&gt; &lt;div tabindex = ""- 1"" class = ""airy-scrubber- icon ""&gt; &lt;/"&amp;" div&gt; &lt;div tabindex ="" - 1 ""class ="" airy-adjusted-AUI-tooltip ""style ="" opacity: 0; visibility: hidden; ""&gt; &lt;div tabindex ="" - 1 ""class ="" airy-adjusted-aui-tooltip-inner ""&gt; &lt;div tabindex ="" - 1 ""class ="" airy-current-time-label ""&gt; 0: 00 &lt;/ "&amp;"div&gt; &lt;/ div&gt; &lt;div tabindex = ""- 1"" class = ""airy-adjusted-AUI-arrow-border""&gt; &lt;div tabindex = ""- 1"" class = ""airy-adjusted-AUI-arrow"" &gt; &lt;/ div&gt; &lt;/ div&gt; &lt;/ div&gt; &lt;/ div&gt; &lt;/ div&gt; &lt;/ div&gt; &lt;/ div&gt; &lt;/ div&gt; &lt;/ div&gt; &lt;/ div&gt; &lt;div tabindex = ""- 1"" class = "&amp;"""airy-age-gate airy-stage airy-Vertical-centering-table airy-dialog"" style = ""opacity: 0; visibility: hidden; ""&gt; &lt;div tabindex ="" - 1 ""class ="" airy-age-gate-Vertical-centering-table-cell airy-Vertical-centering-table-cell ""&gt; &lt;div tabindex ="" - 1"&amp;" ""class = ""airy-Vertical-centering-wrapper airy-age-gate-elements-wrapper""&gt; &lt;div tabindex = ""- 1"" class = ""airy-age-gate-elements airy-dialog-elements""&gt; &lt;div tabindex = "" -1 ""class ="" airy-age-gate-prompt ""&gt; This video is not Intended for all a"&amp;"udiences What date were you born &lt;/ div&gt; &lt;div tabindex =.?"" - 1 ""class ="" airy-age-gate -inputs airy-dialog-inner-elements ""&gt; &lt;select tabindex ="" - 1 ""class ="" airy-age-gate-month ""&gt; &lt;option value ="" 1 ""&gt; January &lt;/ option&gt; &lt;option value ="" 2 "&amp;"""&gt; February &lt;/ option&gt; &lt;option value ="" 3 ""&gt; March &lt;/ option&gt; &lt;option value ="" 4 ""&gt; April &lt;/ option&gt; &lt;option value ="" 5 ""&gt; May &lt;/ option&gt; &lt;option value = ""6""&gt; June &lt;/ option&gt; &lt;option value = ""7""&gt; July &lt;/ option&gt; &lt;option value = ""8""&gt; August &lt;/"&amp;" option&gt; &lt;option value = ""9""&gt; September &lt;/ option&gt; &lt;option value = ""10""&gt; October &lt;/ option&gt; &lt;option value = ""11""&gt; November &lt;/ option&gt; &lt;option value = ""12""&gt; December &lt;/ option&gt; &lt;/ select&gt; &lt;select tabindex = ""- 1"" class = ""airy-age-gate-day""&gt; &lt;o"&amp;"pti on value = ""1""&gt; 1 &lt;/ option&gt; &lt;option value = ""2""&gt; 2 &lt;/ option&gt; &lt;option value = ""3""&gt; 3 &lt;/ option&gt; &lt;option value = ""4""&gt; 4 &lt;/ option &gt; &lt;option value = ""5""&gt; 5 &lt;/ option&gt; &lt;option value = ""6""&gt; 6 &lt;/ option&gt; &lt;option value = ""7""&gt; 7 &lt;/ option&gt; &lt;op"&amp;"tion value = ""8""&gt; 8 &lt; / option&gt; &lt;option value = ""9""&gt; 9 &lt;/ option&gt; &lt;option value = ""10""&gt; 10 &lt;/ option&gt; &lt;option value = ""11""&gt; 11 &lt;/ option&gt; &lt;option value = ""12""&gt; 12 &lt;/ option&gt; &lt;option value = ""13""&gt; 13 &lt;/ option&gt; &lt;option value = ""14""&gt; 14 &lt;/ opt"&amp;"ion&gt; &lt;option value = ""15""&gt; 15 &lt;/ option&gt; &lt;option value = ""16 ""&gt; 16 &lt;/ option&gt; &lt;option value ="" 17 ""&gt; 17 &lt;/ option&gt; &lt;option value ="" 18 ""&gt; 18 &lt;/ option&gt; &lt;option value ="" 19 ""&gt; 19 &lt;/ option&gt; &lt;option value = ""20""&gt; 20 &lt;/ option&gt; &lt;option value = """&amp;"21""&gt; 21 &lt;/ option&gt; &lt;option value = ""22""&gt; 22 &lt;/ option&gt; &lt;option value = ""23""&gt; 23 &lt;/ option&gt; &lt;option value = ""24""&gt; 24 &lt;/ option&gt; &lt;option value = ""25""&gt; 25 &lt;/ option&gt; &lt;option value = ""26""&gt; 26 &lt;/ option&gt; &lt;option value = ""27""&gt; 27 &lt;/ option&gt; &lt;option"&amp;" value = ""28""&gt; 28 &lt;/ option&gt; &lt;option value = ""29""&gt; 29 &lt;/ option&gt; &lt;option value = ""30""&gt; 30 &lt;/ option&gt; &lt;option value = ""31""&gt; 31 &lt;/ option&gt; &lt;/ select&gt; &lt;select tabindex = ""- 1"" class = ""airy-age-gate-year""&gt; &lt;option value = ""2019""&gt; 2019 &lt;/ option"&amp;"&gt; &lt; option value = ""2018""&gt; 2018 &lt;/ option&gt; &lt;option value = ""2017""&gt; 2017 &lt;/ option&gt; &lt;option value = ""2016""&gt; ​​2016 &lt;/ option&gt; &lt;option value = ""2015""&gt; 2015 &lt;/ option &gt; &lt;option value = ""2014""&gt; 2014 &lt;/ option&gt; &lt;option value = ""2013""&gt; 2013 &lt;/ optio"&amp;"n&gt; &lt;option value = ""2012""&gt; 2012 &lt;/ option&gt; &lt;option value = ""2011""&gt; 2011 &lt; / option&gt; &lt;option value = ""2010""&gt; 2010 &lt;/ option&gt; &lt;option value = ""2009""&gt; 2009 &lt;/ option&gt; &lt;option value = ""2008""&gt; 2008 &lt;/ option&gt; &lt;option value = ""2007""&gt; 2007 &lt;/ option&gt;"&amp;" &lt;option value = ""2006""&gt; 2006 &lt;/ option&gt; &lt;option value = ""2005""&gt; 2005 &lt;/ option&gt; &lt;option value = ""2004""&gt; 2004 &lt;/ option&gt; &lt;option value = ""2003 ""&gt; 2003 &lt;/ option&gt; &lt;option value ="" 2002 ""&gt; 2002 &lt;/ option&gt; &lt;option value ="" 2001 ""&gt; 2001 &lt;/ option&gt;"&amp;" &lt;option value ="" 2000 ""&gt; 2000 &lt;/ option&gt; &lt;option value = ""1999""&gt; 1999 &lt;/ option&gt; &lt;option value = ""1998""&gt; 1998 &lt;/ option&gt; &lt;option value = ""1997""&gt; 1997 &lt;/ option&gt; &lt;option value = ""1996""&gt; 1996 &lt;/ option&gt; &lt;option value = ""1995""&gt; 1995 &lt;/ option&gt; &lt;"&amp;"option value = ""1994""&gt; 1994 &lt;/ option&gt; &lt;option value = ""1993""&gt; 1993 &lt;/ option&gt; &lt;option value = ""1992""&gt; 1992 &lt;/ option&gt; &lt;option value = ""1991""&gt; 1991 &lt;/ option&gt; &lt;option value = ""1990""&gt; 1990 &lt;/ option&gt; &lt;option value = "" 1989 ""&gt; 1989 &lt;/ option&gt; &lt;o"&amp;"ption value ="" 1988 ""&gt; 1988 &lt;/ option&gt; &lt;option value ="" 1987 ""&gt; 1987 &lt;/ option&gt; &lt;option value ="" 1986 ""&gt; 1986 &lt;/ option&gt; &lt;value option = ""1985""&gt; 1985 &lt;/ option&gt; &lt;option value = ""1984""&gt; 1984 &lt;/ option&gt; &lt;option value = ""1983""&gt; 1983 &lt;/ option&gt; &lt;o"&amp;"ption value = ""1982""&gt; 1982 &lt;/ option&gt; &lt; option value = ""1981""&gt; 1981 &lt;/ option&gt; &lt;option value = ""1980""&gt; 1980 &lt;/ option&gt; &lt;option value = ""1979""&gt; 1979 &lt;/ option&gt; &lt;option value = ""1978""&gt; 1978 &lt;/ option &gt; &lt;option value = ""1977""&gt; 1977 &lt;/ option&gt; &lt;op"&amp;"tion value = ""1976""&gt; 1976 &lt;/ option&gt; &lt;option value = ""1975""&gt; 1975 &lt;/ option&gt; &lt;option value = ""1974""&gt; 1974 &lt; / option&gt; &lt;option value = ""1973""&gt; 1973 &lt;/ option&gt; &lt;option value = ""1972""&gt; 1972 &lt;/ option&gt; &lt;option value = ""1971""&gt; 1971 &lt;/ option&gt; &lt;opti"&amp;"on value = ""1970""&gt; 1970 &lt;/ option&gt; &lt;option value = ""1969""&gt; 1969 &lt;/ option&gt; &lt;option value = ""1968""&gt; 1968 &lt;/ option&gt; &lt;option value = ""1967""&gt; 1967 &lt;/ option&gt; &lt;option value = ""1966 ""&gt; 1966 &lt;/ option&gt; &lt;option value ="" 1965 ""&gt; 1965 &lt;/ option&gt; &lt;optio"&amp;"n value ="" 1964 ""&gt; 1964 &lt;/ option&gt; &lt;option value ="" 1963 ""&gt; 1963 &lt;/ option&gt; &lt;option value = ""1962""&gt; 1962 &lt;/ option&gt; &lt;option value = ""1961""&gt; 1961 &lt;/ option&gt; &lt;option value = ""1960""&gt; 1960 &lt;/ op tion&gt; &lt;option value = ""1959""&gt; 1959 &lt;/ option&gt; &lt;optio"&amp;"n value = ""1958""&gt; 1958 &lt;/ option&gt; &lt;option value = ""1957""&gt; 1957 &lt;/ option&gt; &lt;option value = ""1956""&gt; 1956 &lt;/ option&gt; &lt;option value = ""1955""&gt; 1955 &lt;/ option&gt; &lt;option value = ""1954""&gt; 1954 &lt;/ option&gt; &lt;option value = ""1953""&gt; 1953 &lt;/ option&gt; &lt;option v"&amp;"alue = ""1952"" &gt; 1952 &lt;/ option&gt; &lt;option value = ""1951""&gt; 1951 &lt;/ option&gt; &lt;option value = ""1950""&gt; 1950 &lt;/ option&gt; &lt;option value = ""1949""&gt; 1949 &lt;/ option&gt; &lt;option value = "" 1948 ""&gt; 1948 &lt;/ option&gt; &lt;option value ="" 1947 ""&gt; 1947 &lt;/ option&gt; &lt;option "&amp;"value ="" 1946 ""&gt; 1946 &lt;/ option&gt; &lt;option value ="" 1945 ""&gt; 1945 &lt;/ option&gt; &lt;value option = ""1944""&gt; 1944 &lt;/ option&gt; &lt;option value = ""1943""&gt; 1943 &lt;/ option&gt; &lt;option value = ""1942""&gt; 1942 &lt;/ option&gt; &lt;option value = ""1941""&gt; 1941 &lt;/ option&gt; &lt; option "&amp;"value = ""1940""&gt; 1940 &lt;/ option&gt; &lt;option value = ""1939""&gt; 1939 &lt;/ option&gt; &lt;option value = ""1938""&gt; 1938 &lt;/ option&gt; &lt;option value = ""1937""&gt; 1937 &lt;/ option &gt; &lt;option value = ""1936""&gt; 1936 &lt;/ option&gt; &lt;option value = ""1935""&gt; 1935 &lt;/ option&gt; &lt;option va"&amp;"lue = ""1934""&gt; 1934 &lt;/ option&gt; &lt;option value = ""1933""&gt; 1933 &lt; / option&gt; &lt;option value = ""1932""&gt; 1932 &lt;/ option&gt; &lt;option value = ""1931""&gt; 1931 &lt;/ option&gt; &lt;option v alue = ""1930""&gt; 1930 &lt;/ option&gt; &lt;option value = ""1929""&gt; 1929 &lt;/ option&gt; &lt;option val"&amp;"ue = ""1928""&gt; 1928 &lt;/ option&gt; &lt;option value = ""1927""&gt; 1927 &lt;/ option&gt; &lt;option value = ""1926""&gt; 1926 &lt;/ option&gt; &lt;option value = ""1925""&gt; 1925 &lt;/ option&gt; &lt;option value = ""1924""&gt; 1924 &lt;/ option&gt; &lt;option value = ""1923""&gt; 1923 &lt;/ option&gt; &lt;option value "&amp;"= ""1922""&gt; 1922 &lt;/ option&gt; &lt;option value = ""1921""&gt; 1921 &lt;/ option&gt; &lt;option value = ""1920""&gt; 1920 &lt;/ option&gt; &lt;option value = ""1919""&gt; 1919 &lt;/ option&gt; &lt;option value = ""1918""&gt; 1918 &lt;/ option&gt; &lt;option value = ""1917""&gt; 1917 &lt;/ option&gt; &lt;option value = "&amp;"""1916""&gt; 1916 &lt;/ option&gt; &lt;option value = ""1915"" &gt; 1915 &lt;/ option&gt; &lt;option value = ""1914""&gt; 1914 &lt;/ option&gt; &lt;option value = ""1913""&gt; 1913 &lt;/ option&gt; &lt;option value = ""1912""&gt; 1912 &lt;/ option&gt; &lt;option value = "" 1911 ""&gt; 1911 &lt;/ option&gt; &lt;option value ="&amp;""" 1910 ""&gt; 1910 &lt;/ option&gt; &lt;option value ="" 1909 ""&gt; 1909 &lt;/ option&gt; &lt;option value ="" 1908 ""&gt; 1908 &lt;/ option&gt; &lt;value option = ""1907""&gt; 1907 &lt;/ option&gt; &lt;option value = ""1906""&gt; 1906 &lt;/ option&gt; &lt;option value = ""1905""&gt; 1905 &lt;/ option&gt; &lt;option value ="&amp;" ""1904""&gt; 1904 &lt;/ option&gt; &lt; option value = ""1903""&gt; 1903 &lt;/ option&gt; &lt;option value = ""1902""&gt; 1902 &lt;/ option&gt; &lt;option value = ""1901""&gt; 19 01 &lt;/ option&gt; &lt;option value = ""1900""&gt; 1900 &lt;/ option&gt; &lt;/ select&gt; &lt;div tabindex = ""- 1"" class = ""airy-age-gate"&amp;"-submit airy-submit-button airy airy-submit- disabled ""&gt; Submit &lt;/ div&gt; &lt;/ div&gt; &lt;/ div&gt; &lt;/ div&gt; &lt;/ div&gt; &lt;/ div&gt; &lt;div tabindex ="" - 1 ""class ="" airy-install-flash-dialog airy-stage airy -vertical-centering-table-dialog airy airy-denied ""style ="" opac"&amp;"ity: 0; visibility: hidden; ""&gt; &lt;div tabindex ="" - 1 ""class ="" airy-install-flash-Vertical-centering-table-cell airy-Vertical-centering-table-cell ""&gt; &lt;div tabindex ="" - 1 ""class = ""airy-Vertical-centering-wrapper airy-install-flash-elements-wrapper"&amp;"""&gt; &lt;div tabindex = ""- 1"" class = ""airy-install-flash-elements airy-dialog-elements""&gt; &lt;div tabindex = "" -1 ""class ="" airy-install-flash-prompt ""&gt; Adobe Flash Player is required to watch this video &lt;/ div&gt; &lt;div tabindex =."" - 1 ""class ="" airy-in"&amp;"stall-flash-button-wrapper airy -dialog-inner-elements ""&gt; &lt;div tabindex ="" - 1 ""class ="" airy-install-flash-button airy-button ""&gt; install Flash Player &lt;/ div&gt; &lt;/ div&gt; &lt;/ div&gt; &lt;/ div&gt; &lt;/ div&gt; &lt;/ div&gt; &lt;div tabindex = ""- 1"" class = ""airy-video-unsupp"&amp;"orted-dialog airy-stage airy-Vertical-centering-table airy-dialog airy-denied"" style = ""opacity: 0; visibility: hidden; ""&gt; &lt;div tabindex ="" - 1 ""class ="" airy-video-unsupported-Vertical-centering-table-cell airy-Vertical-centering-table-cell ""&gt; &lt;di"&amp;"v tabindex ="" - 1 ""class = ""airy-Vertical-centering-wrapper airy-video-unsupported-elements-wrapper""&gt; &lt;div tabindex = ""- 1"" class = ""airy-video-unsupported-elements airy-dialog-elements""&gt; &lt;div tabindex = "" -1 ""class ="" airy-video-unsupported-pr"&amp;"ompt ""&gt; &lt;/ div&gt; &lt;/ div&gt; &lt;/ div&gt; &lt;/ div&gt; &lt;/ div&gt; &lt;div tabindex ="" - 1 ""class ="" airy-loading- spinner-stage airy-stage ""&gt; &lt;div tabindex ="" - 1 ""class ="" airy-loading-spinner-Vertical-centering-table-cell airy-Vertical-centering-table-cell ""&gt; &lt;div "&amp;"tabindex ="" - 1 ""class ="" airy-loading-spinner-container airy-scalable-hint-container ""&gt; &lt;div tabindex ="" - 1 ""class ="" airy-loading-spinner-dummy airy-scalable-dummy ""&gt; &lt;/ div&gt; &lt; div tabindex = ""- 1"" class = ""airy-loading-spinner airy-hint"" s"&amp;"tyle = ""visibility: hidden;""&gt; &lt;/ div&gt; &lt;/ div&gt; &lt;/ div&gt; &lt;/ div&gt; &lt;div tabindex = ""- 1 ""class ="" airy-ads-screen-size-toggle airy-screen-size-toggle-fullscreen airy ""style ="" visibility: hidden; ""&gt; &lt;/ div&gt; &lt;div tabindex = ""-1"" class = ""airy-ad-prom"&amp;"pt-container"" style = ""visibility: hidden;""&gt; &lt;div tabindex = ""- 1"" class = ""airy-ad-prompt-Vertical-centering-table-vertically airy centering-table ""&gt; &lt;div tabindex ="" - 1 ""class ="" airy-ad-prompt-Vertical-centering-table-cell airy-Vertical-cent"&amp;"ering-table-cell ""&gt; &lt;div tabindex ="" - 1 ""class = ""airy-ad-prompt-label""&gt; &lt;/ div&gt; &lt;/ div&gt; &lt;/ div&gt; &lt;/ div&gt; &lt;div tabindex = ""- 1"" class = ""airy-ads-controls-container"" style = ""visibility: hidden; ""&gt; &lt;div tabindex ="" - 1 ""class ="" airy-ads-aud"&amp;"io-toggle airy-audio-toggle airy-on ""style ="" visibility: hidden; ""&gt; &lt;/ div&gt; &lt;div tabindex ="" - 1 ""class ="" airy-time-remaining-label-container ""&gt; &lt;div tabindex ="" - 1 ""class ="" airy-time-remaining-Vertical-centering-table airy-Vertical-centerin"&amp;"g-table ""&gt; &lt;div tabindex = ""- 1"" class = ""airy-time-remaining-Vertical-centering-table-cell airy-Vertical-centering-table-cell""&gt; &lt;div tabindex = ""- 1"" class = ""airy-Vertical-centering-wrapper airy-time-remaining-label-wrapper ""&gt; &lt;div tabindex ="""&amp;" - 1 ""class ="" airy-time-remaining-label ""style ="" visibility: hidden; ""&gt; &lt;/ div&gt; &lt;div tabi ndex = ""- 1"" class = ""airy-ad-skip"" style = ""visibility: hidden;""&gt; &lt;/ div&gt; &lt;div tabindex = ""- 1"" class = ""airy-ad-end"" style = ""visibility: hidden "&amp;"""&gt; &lt;/ div&gt; &lt;/ div&gt; &lt;/ div&gt; &lt;/ div&gt; &lt;/ div&gt; &lt;div tabindex ="" - 1 ""class ="" airy-learn-more ""style ="" visibility: hidden; ""&gt; &lt;/ div&gt; &lt;/ div&gt; &lt;div tabindex = ""- 1"" class = ""airy-play-toggle-hint-stage airy-stage airy-cursor""&gt; &lt;div tabindex = ""- 1"&amp;""" class = ""airy-play -toggle-hint-Vertical-centering-table-cell airy-Vertical-centering-table-cell airy-cursor ""&gt; &lt;div tabindex ="" - 1 ""class ="" airy-play-toggle-hint-container airy-scalable- Hint-container ""&gt; &lt;div tabindex ="" - 1 ""class ="" airy"&amp;"-play-toggle-hint-dummy airy-scalable-dummy ""&gt; &lt;/ div&gt; &lt;div tabindex ="" - 1 ""class ="" airy-play -toggle-hint hint airy-airy-play-hint ""style ="" opacity: 1; visibility: visible; ""&gt; &lt;/ div&gt; &lt;/ div&gt; &lt;/ div&gt; &lt;/ div&gt; &lt;div tabindex ="" - 1 ""class ="" ai"&amp;"ry-replay-hint-stage airy-stage ""style ="" visibility: hidden ; ""&gt; &lt;div tabindex ="" - 1 ""class ="" airy-replay-hint-Vertical-centering-table-cell airy-Vertical-centering-table-cell airy-cursor ""&gt; &lt;div tabindex ="" - 1 ""class = ""airy-replay-hint-con"&amp;"tainer airy-scalable-hint-container""&gt; &lt;div tabindex = ""- 1"" class = ""airy-replay-hint-dummy airy-scalable-dummy""&gt; &lt;/ div&gt; &lt;div tabindex = ""- 1"" class = ""airy-replay-hint airy-hint""&gt; &lt;/ div&gt; &lt;/ div&gt; &lt;/ div&gt; &lt;/ div&gt; &lt;div tabindex = ""- 1"" class = "&amp;"""airy-autoplay-hint -stage airy-stage ""style ="" visibility: hidden; ""&gt; &lt;div tabindex ="" - 1 ""class ="" airy-autoplay-hint-Vertical-centering-table-cell airy-Vertical-centering-table-cell airy- cursor ""&gt; &lt;div tabindex ="" - 1 ""class ="" autoplay ai"&amp;"ry-airy-hint-container-scalable-hint-container ""&gt; &lt;div tabindex ="" - 1 ""class ="" airy-autoplay-hint-dummy airy- scalable-dummy ""&gt; &lt;/ div&gt; &lt;/ div&gt; &lt;/ div&gt; &lt;/ div&gt; &lt;/ div&gt; &lt;/ div&gt; &lt;input type ="" hidden ""name ="" ""value ="" https: // images-eu .ssl-i"&amp;"mages-amazon.com / images / I / A1ABau-UFBS.mp4 ""Class ="" video-url ""&gt; &lt;input type ="" hidden ""name ="" ""value ="" https://images-eu.ssl-images-amazon.com/images/I/81wXDgMp4jS.png ""class ="" video-slate-img-url ""&gt; &amp; nbsp; Excellent blender, practic"&amp;"e is very small and easy to carry anywhere. Very good quality materials and blade perfectly fulfills the function offered in the ad. Very easy to clean. Ideal for travel because of its size.")</f>
        <v>Very practical and nice &lt;div id = "video-block-R3T3WX1RFAYUBS" class = "a-section a-spacing-small a-spacing-top mini video-block"&gt; &lt;div tabindex = "0" class = "airy airy -svg vmin-supported airy-skin-beacon "style =" background-color: rgb (0, 0, 0) position: relative; width: 100%; height: 100%; font-size: 0px; overflow: hidden ; outline: none; "&gt; &lt;div class =" airy-renderer-container "style =" position: relative; height: 100%; width: 100%; "&gt; &lt;video id =" 31 "preload =" auto "src = "https://images-eu.ssl-images-amazon.com/images/I/A1ABau-UFBS.mp4" style = "position: absolute; left: 0px; top: 0px; overflow: hidden; height: 1px ; width: 1px; "&gt; &lt;/ video&gt; &lt;/ div&gt; &lt;div id =" airy-slate-preload "style =" background-color: rgb (0, 0, 0); background-image: url (&amp; quot; https://images-eu.ssl-images-amazon.com/images/I/81wXDgMp4jS.png&amp;quot;); background-size: Contain; background-position: center center; background-repeat: no-repeat; position: absolute ; top: 0px; left: 0px; visibility: visible; width: 100%; height: 100%; "&gt; &lt;/ div&gt; &lt;iframe scr olling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A1ABau-UFBS.mp4 "Class =" video-url "&gt; &lt;input type =" hidden "name =" "value =" https://images-eu.ssl-images-amazon.com/images/I/81wXDgMp4jS.png "class =" video-slate-img-url "&gt; &amp; nbsp; Excellent blender, practice is very small and easy to carry anywhere. Very good quality materials and blade perfectly fulfills the function offered in the ad. Very easy to clean. Ideal for travel because of its size.</v>
      </c>
    </row>
    <row r="4575">
      <c r="A4575" s="1">
        <v>5.0</v>
      </c>
      <c r="B4575" s="1" t="s">
        <v>4551</v>
      </c>
      <c r="C4575" t="str">
        <f>IFERROR(__xludf.DUMMYFUNCTION("GOOGLETRANSLATE(B4575, ""es"", ""en"")"),"Correct the description received three days before ok. Put in place appropriate adjustments made, it works perfectly, as described in its characteristics. Hopefully the durability of the product is equal to satisfactoria.Recomendable purchase for uses non"&amp;"professional or overly demanding.")</f>
        <v>Correct the description received three days before ok. Put in place appropriate adjustments made, it works perfectly, as described in its characteristics. Hopefully the durability of the product is equal to satisfactoria.Recomendable purchase for uses nonprofessional or overly demanding.</v>
      </c>
    </row>
    <row r="4576">
      <c r="A4576" s="1">
        <v>5.0</v>
      </c>
      <c r="B4576" s="1" t="s">
        <v>4552</v>
      </c>
      <c r="C4576" t="str">
        <f>IFERROR(__xludf.DUMMYFUNCTION("GOOGLETRANSLATE(B4576, ""es"", ""en"")"),"Good quality has very good quality and the price is small")</f>
        <v>Good quality has very good quality and the price is small</v>
      </c>
    </row>
    <row r="4577">
      <c r="A4577" s="1">
        <v>5.0</v>
      </c>
      <c r="B4577" s="1" t="s">
        <v>4553</v>
      </c>
      <c r="C4577" t="str">
        <f>IFERROR(__xludf.DUMMYFUNCTION("GOOGLETRANSLATE(B4577, ""es"", ""en"")"),"Pictured sports shoes stripes are gray, which is what I ordered. And send them blue. Not as it gets in the picture.")</f>
        <v>Pictured sports shoes stripes are gray, which is what I ordered. And send them blue. Not as it gets in the picture.</v>
      </c>
    </row>
    <row r="4578">
      <c r="A4578" s="1">
        <v>5.0</v>
      </c>
      <c r="B4578" s="1" t="s">
        <v>4554</v>
      </c>
      <c r="C4578" t="str">
        <f>IFERROR(__xludf.DUMMYFUNCTION("GOOGLETRANSLATE(B4578, ""es"", ""en"")"),"Great purchase .... soon will echo Great. Perfect size and has good grip. Do not yield. I super comfy. Tight and very resistant to the wider be that in a normal leaves no trace on the shoulders. He arrived earlier than expected.")</f>
        <v>Great purchase .... soon will echo Great. Perfect size and has good grip. Do not yield. I super comfy. Tight and very resistant to the wider be that in a normal leaves no trace on the shoulders. He arrived earlier than expected.</v>
      </c>
    </row>
    <row r="4579">
      <c r="A4579" s="1">
        <v>5.0</v>
      </c>
      <c r="B4579" s="1" t="s">
        <v>4555</v>
      </c>
      <c r="C4579" t="str">
        <f>IFERROR(__xludf.DUMMYFUNCTION("GOOGLETRANSLATE(B4579, ""es"", ""en"")"),"Ideal 10. Quality unbeatable price")</f>
        <v>Ideal 10. Quality unbeatable price</v>
      </c>
    </row>
    <row r="4580">
      <c r="A4580" s="1">
        <v>5.0</v>
      </c>
      <c r="B4580" s="1" t="s">
        <v>4556</v>
      </c>
      <c r="C4580" t="str">
        <f>IFERROR(__xludf.DUMMYFUNCTION("GOOGLETRANSLATE(B4580, ""es"", ""en"")"),"Perfect match what purchased")</f>
        <v>Perfect match what purchased</v>
      </c>
    </row>
    <row r="4581">
      <c r="A4581" s="1">
        <v>5.0</v>
      </c>
      <c r="B4581" s="1" t="s">
        <v>4557</v>
      </c>
      <c r="C4581" t="str">
        <f>IFERROR(__xludf.DUMMYFUNCTION("GOOGLETRANSLATE(B4581, ""es"", ""en"")"),"Economic SSD drive. Good product, SSD 120GB disk with which to give a second life to old equipment or underpowered. The disc has an identical appearance to others that I have most recognized brand, apparently the same quality, speed it shows. highly recom"&amp;"mendable product as long as we do not need storage capacity.")</f>
        <v>Economic SSD drive. Good product, SSD 120GB disk with which to give a second life to old equipment or underpowered. The disc has an identical appearance to others that I have most recognized brand, apparently the same quality, speed it shows. highly recommendable product as long as we do not need storage capacity.</v>
      </c>
    </row>
    <row r="4582">
      <c r="A4582" s="1">
        <v>5.0</v>
      </c>
      <c r="B4582" s="1" t="s">
        <v>4558</v>
      </c>
      <c r="C4582" t="str">
        <f>IFERROR(__xludf.DUMMYFUNCTION("GOOGLETRANSLATE(B4582, ""es"", ""en"")"),"Good product overall. Good sound. That is plastic is not as important as the function of this article is audio. Apparently it is elegant. It adapts well to the ear and cancel ambient noise correctly. Do I recommend this product? Totally. - Added value: Th"&amp;"e aja is very elegant, with a bag to keep the headphones. Pay attention to detail. That it's added value and that's brand value.")</f>
        <v>Good product overall. Good sound. That is plastic is not as important as the function of this article is audio. Apparently it is elegant. It adapts well to the ear and cancel ambient noise correctly. Do I recommend this product? Totally. - Added value: The aja is very elegant, with a bag to keep the headphones. Pay attention to detail. That it's added value and that's brand value.</v>
      </c>
    </row>
    <row r="4583">
      <c r="A4583" s="1">
        <v>5.0</v>
      </c>
      <c r="B4583" s="1" t="s">
        <v>4559</v>
      </c>
      <c r="C4583" t="str">
        <f>IFERROR(__xludf.DUMMYFUNCTION("GOOGLETRANSLATE(B4583, ""es"", ""en"")"),"According heating pad my mother and aunt were great for them")</f>
        <v>According heating pad my mother and aunt were great for them</v>
      </c>
    </row>
    <row r="4584">
      <c r="A4584" s="1">
        <v>5.0</v>
      </c>
      <c r="B4584" s="1" t="s">
        <v>4560</v>
      </c>
      <c r="C4584" t="str">
        <f>IFERROR(__xludf.DUMMYFUNCTION("GOOGLETRANSLATE(B4584, ""es"", ""en"")"),"I liked it. Book holds up well and has good size.")</f>
        <v>I liked it. Book holds up well and has good size.</v>
      </c>
    </row>
    <row r="4585">
      <c r="A4585" s="1">
        <v>5.0</v>
      </c>
      <c r="B4585" s="1" t="s">
        <v>4561</v>
      </c>
      <c r="C4585" t="str">
        <f>IFERROR(__xludf.DUMMYFUNCTION("GOOGLETRANSLATE(B4585, ""es"", ""en"")"),"Water bag lifetime. 100% satisfied bosla water all very happy life with purchase very good quality and the fabric cover is perfect")</f>
        <v>Water bag lifetime. 100% satisfied bosla water all very happy life with purchase very good quality and the fabric cover is perfect</v>
      </c>
    </row>
    <row r="4586">
      <c r="A4586" s="1">
        <v>5.0</v>
      </c>
      <c r="B4586" s="1" t="s">
        <v>4562</v>
      </c>
      <c r="C4586" t="str">
        <f>IFERROR(__xludf.DUMMYFUNCTION("GOOGLETRANSLATE(B4586, ""es"", ""en"")"),"Massage rewarding, easy use and high efficiency. I've always wanted to have a massager like this, as it tends to hurt me back a lot because of my work. The massager does the job. I really helps soothe the pain.")</f>
        <v>Massage rewarding, easy use and high efficiency. I've always wanted to have a massager like this, as it tends to hurt me back a lot because of my work. The massager does the job. I really helps soothe the pain.</v>
      </c>
    </row>
    <row r="4587">
      <c r="A4587" s="1">
        <v>5.0</v>
      </c>
      <c r="B4587" s="1" t="s">
        <v>4563</v>
      </c>
      <c r="C4587" t="str">
        <f>IFERROR(__xludf.DUMMYFUNCTION("GOOGLETRANSLATE(B4587, ""es"", ""en"")"),"Very good quality very practical")</f>
        <v>Very good quality very practical</v>
      </c>
    </row>
    <row r="4588">
      <c r="A4588" s="1">
        <v>5.0</v>
      </c>
      <c r="B4588" s="1" t="s">
        <v>4564</v>
      </c>
      <c r="C4588" t="str">
        <f>IFERROR(__xludf.DUMMYFUNCTION("GOOGLETRANSLATE(B4588, ""es"", ""en"")"),"PERFECT came to me fairly large pearls and is comfortable to wear I like")</f>
        <v>PERFECT came to me fairly large pearls and is comfortable to wear I like</v>
      </c>
    </row>
    <row r="4589">
      <c r="A4589" s="1">
        <v>5.0</v>
      </c>
      <c r="B4589" s="1" t="s">
        <v>238</v>
      </c>
      <c r="C4589" t="str">
        <f>IFERROR(__xludf.DUMMYFUNCTION("GOOGLETRANSLATE(B4589, ""es"", ""en"")"),"perfect perfect")</f>
        <v>perfect perfect</v>
      </c>
    </row>
    <row r="4590">
      <c r="A4590" s="1">
        <v>5.0</v>
      </c>
      <c r="B4590" s="1" t="s">
        <v>4565</v>
      </c>
      <c r="C4590" t="str">
        <f>IFERROR(__xludf.DUMMYFUNCTION("GOOGLETRANSLATE(B4590, ""es"", ""en"")"),"Me pretty good and fits perfectly, is a de.buena shoe quality is also nice.")</f>
        <v>Me pretty good and fits perfectly, is a de.buena shoe quality is also nice.</v>
      </c>
    </row>
    <row r="4591">
      <c r="A4591" s="1">
        <v>5.0</v>
      </c>
      <c r="B4591" s="1" t="s">
        <v>4566</v>
      </c>
      <c r="C4591" t="str">
        <f>IFERROR(__xludf.DUMMYFUNCTION("GOOGLETRANSLATE(B4591, ""es"", ""en"")"),"Contractures relief when I bought did not think it would have that quality, I thought it would be tacky but has been a success purchase.")</f>
        <v>Contractures relief when I bought did not think it would have that quality, I thought it would be tacky but has been a success purchase.</v>
      </c>
    </row>
    <row r="4592">
      <c r="A4592" s="1">
        <v>2.0</v>
      </c>
      <c r="B4592" s="1" t="s">
        <v>4567</v>
      </c>
      <c r="C4592" t="str">
        <f>IFERROR(__xludf.DUMMYFUNCTION("GOOGLETRANSLATE(B4592, ""es"", ""en"")"),". Okay, but mine came without folded colored feathers")</f>
        <v>. Okay, but mine came without folded colored feathers</v>
      </c>
    </row>
    <row r="4593">
      <c r="A4593" s="1">
        <v>3.0</v>
      </c>
      <c r="B4593" s="1" t="s">
        <v>4568</v>
      </c>
      <c r="C4593" t="str">
        <f>IFERROR(__xludf.DUMMYFUNCTION("GOOGLETRANSLATE(B4593, ""es"", ""en"")"),"Nice but pretty small in shape and color but casios small compared to G SHOCK ... is not a tank that was what I wanted but ...")</f>
        <v>Nice but pretty small in shape and color but casios small compared to G SHOCK ... is not a tank that was what I wanted but ...</v>
      </c>
    </row>
    <row r="4594">
      <c r="A4594" s="1">
        <v>3.0</v>
      </c>
      <c r="B4594" s="1" t="s">
        <v>4569</v>
      </c>
      <c r="C4594" t="str">
        <f>IFERROR(__xludf.DUMMYFUNCTION("GOOGLETRANSLATE(B4594, ""es"", ""en"")"),"A little different than passable as expected, but good")</f>
        <v>A little different than passable as expected, but good</v>
      </c>
    </row>
    <row r="4595">
      <c r="A4595" s="1">
        <v>1.0</v>
      </c>
      <c r="B4595" s="1" t="s">
        <v>4570</v>
      </c>
      <c r="C4595" t="str">
        <f>IFERROR(__xludf.DUMMYFUNCTION("GOOGLETRANSLATE(B4595, ""es"", ""en"")"),"It stopped working without going all fine and 6 months has stopped working. He just went out and did not ignite")</f>
        <v>It stopped working without going all fine and 6 months has stopped working. He just went out and did not ignite</v>
      </c>
    </row>
    <row r="4596">
      <c r="A4596" s="1">
        <v>1.0</v>
      </c>
      <c r="B4596" s="1" t="s">
        <v>4571</v>
      </c>
      <c r="C4596" t="str">
        <f>IFERROR(__xludf.DUMMYFUNCTION("GOOGLETRANSLATE(B4596, ""es"", ""en"")"),"Soled shoddy The sole of these shoes is pretty bad job driving and I lasted two weeks, during this period the sole had worn simple use of the vehicle pedals.")</f>
        <v>Soled shoddy The sole of these shoes is pretty bad job driving and I lasted two weeks, during this period the sole had worn simple use of the vehicle pedals.</v>
      </c>
    </row>
    <row r="4597">
      <c r="A4597" s="1">
        <v>4.0</v>
      </c>
      <c r="B4597" s="1" t="s">
        <v>4572</v>
      </c>
      <c r="C4597" t="str">
        <f>IFERROR(__xludf.DUMMYFUNCTION("GOOGLETRANSLATE(B4597, ""es"", ""en"")"),"Cable Antonio midi acceptable quality, appropriate length. The cable meets the qualities you need to have. good connection. Good transmission midi")</f>
        <v>Cable Antonio midi acceptable quality, appropriate length. The cable meets the qualities you need to have. good connection. Good transmission midi</v>
      </c>
    </row>
    <row r="4598">
      <c r="A4598" s="1">
        <v>4.0</v>
      </c>
      <c r="B4598" s="1" t="s">
        <v>4573</v>
      </c>
      <c r="C4598" t="str">
        <f>IFERROR(__xludf.DUMMYFUNCTION("GOOGLETRANSLATE(B4598, ""es"", ""en"")"),"Pronator, here! Shoe for pronadores which is supposedly the most top there. But it is also the purest. Corrects enough tread, but does not have any kind of applied technology to give you a plus in the race, the energy you invest is there. A tad narrow but"&amp;" nothing that can not solve catching medium size more or changing the loop")</f>
        <v>Pronator, here! Shoe for pronadores which is supposedly the most top there. But it is also the purest. Corrects enough tread, but does not have any kind of applied technology to give you a plus in the race, the energy you invest is there. A tad narrow but nothing that can not solve catching medium size more or changing the loop</v>
      </c>
    </row>
    <row r="4599">
      <c r="A4599" s="1">
        <v>4.0</v>
      </c>
      <c r="B4599" s="1" t="s">
        <v>4574</v>
      </c>
      <c r="C4599" t="str">
        <f>IFERROR(__xludf.DUMMYFUNCTION("GOOGLETRANSLATE(B4599, ""es"", ""en"")"),"BEST BLUETOOTH HEADSET No doubt all Bluetooth headsets that I could try these are the best, but long. To begin with are the ones that have proven to have USB Type C to load the box so only so already worth because they have the latest charging technology,"&amp;" as well as being faster. His control is totally touch, does not have any buttons, so to raise and lower volume, move or song or video you back is done by tapping on the handset. As for the sound quality is unrivaled, they are the best. Heard very loud an"&amp;"d the bass is superb, I have no hits in this section. The battery life is also very good, giving me up to 4h of trouble. As for the full load of these headphones I do not know for sure but I think it does not reach the half hour. As little niggle I would "&amp;"say that the box fails to convince, it is curious that is circular and has to press a button to access the headphones but fails to convince me. For the price they have and the quality they offer we can not ask for more, recommended purchase.")</f>
        <v>BEST BLUETOOTH HEADSET No doubt all Bluetooth headsets that I could try these are the best, but long. To begin with are the ones that have proven to have USB Type C to load the box so only so already worth because they have the latest charging technology, as well as being faster. His control is totally touch, does not have any buttons, so to raise and lower volume, move or song or video you back is done by tapping on the handset. As for the sound quality is unrivaled, they are the best. Heard very loud and the bass is superb, I have no hits in this section. The battery life is also very good, giving me up to 4h of trouble. As for the full load of these headphones I do not know for sure but I think it does not reach the half hour. As little niggle I would say that the box fails to convince, it is curious that is circular and has to press a button to access the headphones but fails to convince me. For the price they have and the quality they offer we can not ask for more, recommended purchase.</v>
      </c>
    </row>
    <row r="4600">
      <c r="A4600" s="1">
        <v>4.0</v>
      </c>
      <c r="B4600" s="1" t="s">
        <v>4575</v>
      </c>
      <c r="C4600" t="str">
        <f>IFERROR(__xludf.DUMMYFUNCTION("GOOGLETRANSLATE(B4600, ""es"", ""en"")"),"Hello refund made have already returned greetings with different labels, the smallest size motivated.")</f>
        <v>Hello refund made have already returned greetings with different labels, the smallest size motivated.</v>
      </c>
    </row>
    <row r="4601">
      <c r="A4601" s="1">
        <v>4.0</v>
      </c>
      <c r="B4601" s="1" t="s">
        <v>4576</v>
      </c>
      <c r="C4601" t="str">
        <f>IFERROR(__xludf.DUMMYFUNCTION("GOOGLETRANSLATE(B4601, ""es"", ""en"")"),"FUNCTIONAL WANTED A bag with various departments. THIS RESULT HAS ME ""ENOUGH"" PROPER.")</f>
        <v>FUNCTIONAL WANTED A bag with various departments. THIS RESULT HAS ME "ENOUGH" PROPER.</v>
      </c>
    </row>
    <row r="4602">
      <c r="A4602" s="1">
        <v>5.0</v>
      </c>
      <c r="B4602" s="1" t="s">
        <v>4577</v>
      </c>
      <c r="C4602" t="str">
        <f>IFERROR(__xludf.DUMMYFUNCTION("GOOGLETRANSLATE(B4602, ""es"", ""en"")"),"Irma fit like a glove. This model is more stylized and when walking is like pisaras ""foam"" red .The is alive and are great with jeans")</f>
        <v>Irma fit like a glove. This model is more stylized and when walking is like pisaras "foam" red .The is alive and are great with jeans</v>
      </c>
    </row>
    <row r="4603">
      <c r="A4603" s="1">
        <v>5.0</v>
      </c>
      <c r="B4603" s="1" t="s">
        <v>4578</v>
      </c>
      <c r="C4603" t="str">
        <f>IFERROR(__xludf.DUMMYFUNCTION("GOOGLETRANSLATE(B4603, ""es"", ""en"")"),"Natural Super highly recommended and very mild odor.")</f>
        <v>Natural Super highly recommended and very mild odor.</v>
      </c>
    </row>
    <row r="4604">
      <c r="A4604" s="1">
        <v>5.0</v>
      </c>
      <c r="B4604" s="1" t="s">
        <v>4579</v>
      </c>
      <c r="C4604" t="str">
        <f>IFERROR(__xludf.DUMMYFUNCTION("GOOGLETRANSLATE(B4604, ""es"", ""en"")"),"Good product meets its function perfectly, it's fast and cheap. The computer recognized the first and is quick to connect and copy files.")</f>
        <v>Good product meets its function perfectly, it's fast and cheap. The computer recognized the first and is quick to connect and copy files.</v>
      </c>
    </row>
    <row r="4605">
      <c r="A4605" s="1">
        <v>5.0</v>
      </c>
      <c r="B4605" s="1" t="s">
        <v>4580</v>
      </c>
      <c r="C4605" t="str">
        <f>IFERROR(__xludf.DUMMYFUNCTION("GOOGLETRANSLATE(B4605, ""es"", ""en"")"),"Great choice on offer from time to time usually put in the amazon these Vans in different colors for 20 € or less. Ideal time to get some. In my case perhaps they carve children 1/2 larger number than ottas brands")</f>
        <v>Great choice on offer from time to time usually put in the amazon these Vans in different colors for 20 € or less. Ideal time to get some. In my case perhaps they carve children 1/2 larger number than ottas brands</v>
      </c>
    </row>
    <row r="4606">
      <c r="A4606" s="1">
        <v>5.0</v>
      </c>
      <c r="B4606" s="1" t="s">
        <v>461</v>
      </c>
      <c r="C4606" t="str">
        <f>IFERROR(__xludf.DUMMYFUNCTION("GOOGLETRANSLATE(B4606, ""es"", ""en"")"),"excellent excellent")</f>
        <v>excellent excellent</v>
      </c>
    </row>
    <row r="4607">
      <c r="A4607" s="1">
        <v>5.0</v>
      </c>
      <c r="B4607" s="1" t="s">
        <v>524</v>
      </c>
      <c r="C4607" t="str">
        <f>IFERROR(__xludf.DUMMYFUNCTION("GOOGLETRANSLATE(B4607, ""es"", ""en"")"),"Brilliant brilliant")</f>
        <v>Brilliant brilliant</v>
      </c>
    </row>
    <row r="4608">
      <c r="A4608" s="1">
        <v>5.0</v>
      </c>
      <c r="B4608" s="1" t="s">
        <v>4581</v>
      </c>
      <c r="C4608" t="str">
        <f>IFERROR(__xludf.DUMMYFUNCTION("GOOGLETRANSLATE(B4608, ""es"", ""en"")"),"Paste all used to hit a ceiling and after several months is holding up perfectly. I will buy more when it's over. The applicator is perfect.")</f>
        <v>Paste all used to hit a ceiling and after several months is holding up perfectly. I will buy more when it's over. The applicator is perfect.</v>
      </c>
    </row>
    <row r="4609">
      <c r="A4609" s="1">
        <v>5.0</v>
      </c>
      <c r="B4609" s="1" t="s">
        <v>4582</v>
      </c>
      <c r="C4609" t="str">
        <f>IFERROR(__xludf.DUMMYFUNCTION("GOOGLETRANSLATE(B4609, ""es"", ""en"")"),"Very good quality sound The sharpness of the sound is better, the cable is of good quality and not very comfortable, I recommend the product")</f>
        <v>Very good quality sound The sharpness of the sound is better, the cable is of good quality and not very comfortable, I recommend the product</v>
      </c>
    </row>
    <row r="4610">
      <c r="A4610" s="1">
        <v>5.0</v>
      </c>
      <c r="B4610" s="1" t="s">
        <v>4583</v>
      </c>
      <c r="C4610" t="str">
        <f>IFERROR(__xludf.DUMMYFUNCTION("GOOGLETRANSLATE(B4610, ""es"", ""en"")"),"Great invention makes a difference when organizing cables, chargers, headphones, etc, gives you life. 100 units for 10 euros, when Leroy Merlin charge 5 euros for 4 or 5 strips of bright colors and garish as agusto stay. This is incredible, I put 5 stars "&amp;"and the inventor is to get shoulder")</f>
        <v>Great invention makes a difference when organizing cables, chargers, headphones, etc, gives you life. 100 units for 10 euros, when Leroy Merlin charge 5 euros for 4 or 5 strips of bright colors and garish as agusto stay. This is incredible, I put 5 stars and the inventor is to get shoulder</v>
      </c>
    </row>
    <row r="4611">
      <c r="A4611" s="1">
        <v>5.0</v>
      </c>
      <c r="B4611" s="1" t="s">
        <v>4584</v>
      </c>
      <c r="C4611" t="str">
        <f>IFERROR(__xludf.DUMMYFUNCTION("GOOGLETRANSLATE(B4611, ""es"", ""en"")"),"Very good Comodos.faciles to use and to clean.")</f>
        <v>Very good Comodos.faciles to use and to clean.</v>
      </c>
    </row>
    <row r="4612">
      <c r="A4612" s="1">
        <v>5.0</v>
      </c>
      <c r="B4612" s="1" t="s">
        <v>4585</v>
      </c>
      <c r="C4612" t="str">
        <f>IFERROR(__xludf.DUMMYFUNCTION("GOOGLETRANSLATE(B4612, ""es"", ""en"")"),"Excellent value Excellent value. Beautifully finished and has a seemingly very strong case.")</f>
        <v>Excellent value Excellent value. Beautifully finished and has a seemingly very strong case.</v>
      </c>
    </row>
    <row r="4613">
      <c r="A4613" s="1">
        <v>5.0</v>
      </c>
      <c r="B4613" s="1" t="s">
        <v>4586</v>
      </c>
      <c r="C4613" t="str">
        <f>IFERROR(__xludf.DUMMYFUNCTION("GOOGLETRANSLATE(B4613, ""es"", ""en"")"),"Very good, I liked it a lot. It is perfect. It's transparent. Easy to apply.")</f>
        <v>Very good, I liked it a lot. It is perfect. It's transparent. Easy to apply.</v>
      </c>
    </row>
    <row r="4614">
      <c r="A4614" s="1">
        <v>5.0</v>
      </c>
      <c r="B4614" s="1" t="s">
        <v>4587</v>
      </c>
      <c r="C4614" t="str">
        <f>IFERROR(__xludf.DUMMYFUNCTION("GOOGLETRANSLATE(B4614, ""es"", ""en"")"),"Strong colors If you do not mind the strong colors, here are some good socks. Use to train in the gym or walking / jogging.")</f>
        <v>Strong colors If you do not mind the strong colors, here are some good socks. Use to train in the gym or walking / jogging.</v>
      </c>
    </row>
    <row r="4615">
      <c r="A4615" s="1">
        <v>5.0</v>
      </c>
      <c r="B4615" s="1" t="s">
        <v>4588</v>
      </c>
      <c r="C4615" t="str">
        <f>IFERROR(__xludf.DUMMYFUNCTION("GOOGLETRANSLATE(B4615, ""es"", ""en"")"),"VERY FAVORABLE The only downside is that the agency WHERE TO SEND ME HERE IN CACERES WHAT ARE THE WORKING HOURS WITH MY COINCIDENTE AND WAREHOUSE IS A CENTRAL KMS. DISTANCE, YOU ARE gridded IN TIME AND HAVE TO BE HEAD WITH THEM,")</f>
        <v>VERY FAVORABLE The only downside is that the agency WHERE TO SEND ME HERE IN CACERES WHAT ARE THE WORKING HOURS WITH MY COINCIDENTE AND WAREHOUSE IS A CENTRAL KMS. DISTANCE, YOU ARE gridded IN TIME AND HAVE TO BE HEAD WITH THEM,</v>
      </c>
    </row>
    <row r="4616">
      <c r="A4616" s="1">
        <v>5.0</v>
      </c>
      <c r="B4616" s="1" t="s">
        <v>4589</v>
      </c>
      <c r="C4616" t="str">
        <f>IFERROR(__xludf.DUMMYFUNCTION("GOOGLETRANSLATE(B4616, ""es"", ""en"")"),"SUPER was a reglao and came to timepo are quality")</f>
        <v>SUPER was a reglao and came to timepo are quality</v>
      </c>
    </row>
    <row r="4617">
      <c r="A4617" s="1">
        <v>5.0</v>
      </c>
      <c r="B4617" s="1" t="s">
        <v>4590</v>
      </c>
      <c r="C4617" t="str">
        <f>IFERROR(__xludf.DUMMYFUNCTION("GOOGLETRANSLATE(B4617, ""es"", ""en"")"),"Perfect Delivery was fast and bag as described in steps as in the photo. Enough quality and ideal for carrying small things comfortably without having to deform the pockets of his pants. Or as a plus for such carry a small travel camera, since it has good"&amp;" cushioning and is quite waterproof. Multiple pockets and belt hooks quality as comfortable.")</f>
        <v>Perfect Delivery was fast and bag as described in steps as in the photo. Enough quality and ideal for carrying small things comfortably without having to deform the pockets of his pants. Or as a plus for such carry a small travel camera, since it has good cushioning and is quite waterproof. Multiple pockets and belt hooks quality as comfortable.</v>
      </c>
    </row>
    <row r="4618">
      <c r="A4618" s="1">
        <v>5.0</v>
      </c>
      <c r="B4618" s="1" t="s">
        <v>4591</v>
      </c>
      <c r="C4618" t="str">
        <f>IFERROR(__xludf.DUMMYFUNCTION("GOOGLETRANSLATE(B4618, ""es"", ""en"")"),"Verbatim 43551 DVD + R + 100 Units super fast shipping, from one day to another, and quality who do not know, are the best. I can say that any of the DVDs I've found so far presented as a cut in the end of the runway. But I have not encountered problems w"&amp;"ith the reading. 10 Units of time 1 came out with that visual defect apparently without problems. Perfect, I recommend.")</f>
        <v>Verbatim 43551 DVD + R + 100 Units super fast shipping, from one day to another, and quality who do not know, are the best. I can say that any of the DVDs I've found so far presented as a cut in the end of the runway. But I have not encountered problems with the reading. 10 Units of time 1 came out with that visual defect apparently without problems. Perfect, I recommend.</v>
      </c>
    </row>
    <row r="4619">
      <c r="A4619" s="1">
        <v>5.0</v>
      </c>
      <c r="B4619" s="1" t="s">
        <v>4592</v>
      </c>
      <c r="C4619" t="str">
        <f>IFERROR(__xludf.DUMMYFUNCTION("GOOGLETRANSLATE(B4619, ""es"", ""en"")"),"Sencilll easy and easy to use and take off from their original package")</f>
        <v>Sencilll easy and easy to use and take off from their original package</v>
      </c>
    </row>
    <row r="4620">
      <c r="A4620" s="1">
        <v>2.0</v>
      </c>
      <c r="B4620" s="1" t="s">
        <v>4593</v>
      </c>
      <c r="C4620" t="str">
        <f>IFERROR(__xludf.DUMMYFUNCTION("GOOGLETRANSLATE(B4620, ""es"", ""en"")"),"Regular folder is very cool but the end has not come to complete the course, not even a quarter. Price is good but I think it will not buy.")</f>
        <v>Regular folder is very cool but the end has not come to complete the course, not even a quarter. Price is good but I think it will not buy.</v>
      </c>
    </row>
    <row r="4621">
      <c r="A4621" s="1">
        <v>3.0</v>
      </c>
      <c r="B4621" s="1" t="s">
        <v>4594</v>
      </c>
      <c r="C4621" t="str">
        <f>IFERROR(__xludf.DUMMYFUNCTION("GOOGLETRANSLATE(B4621, ""es"", ""en"")"),"¿It is normal to come this amount in the pot? Seems to glue and for the price needed that costs should come up above, there is no guarantee that is new (The plastic packaging is closed but there are ways to open it without cracking the package), did not b"&amp;"ring any cap to ensure which it was not previously used.")</f>
        <v>¿It is normal to come this amount in the pot? Seems to glue and for the price needed that costs should come up above, there is no guarantee that is new (The plastic packaging is closed but there are ways to open it without cracking the package), did not bring any cap to ensure which it was not previously used.</v>
      </c>
    </row>
    <row r="4622">
      <c r="A4622" s="1">
        <v>3.0</v>
      </c>
      <c r="B4622" s="1" t="s">
        <v>4595</v>
      </c>
      <c r="C4622" t="str">
        <f>IFERROR(__xludf.DUMMYFUNCTION("GOOGLETRANSLATE(B4622, ""es"", ""en"")"),"Permanent sweat accumulates a pool of sweat under the ortholite template, passing on all models of XA PRO I've had. And in models with Goretex even more noticeable because ventilation is less than the plot being tighter. Permanent moisture in the plant fo"&amp;"ot and wet socks. Otherwise well, they are pretty versatile because you can also wear with jeans, and durable.")</f>
        <v>Permanent sweat accumulates a pool of sweat under the ortholite template, passing on all models of XA PRO I've had. And in models with Goretex even more noticeable because ventilation is less than the plot being tighter. Permanent moisture in the plant foot and wet socks. Otherwise well, they are pretty versatile because you can also wear with jeans, and durable.</v>
      </c>
    </row>
    <row r="4623">
      <c r="A4623" s="1">
        <v>1.0</v>
      </c>
      <c r="B4623" s="1" t="s">
        <v>4596</v>
      </c>
      <c r="C4623" t="str">
        <f>IFERROR(__xludf.DUMMYFUNCTION("GOOGLETRANSLATE(B4623, ""es"", ""en"")"),"It is not 3.0 As they say in other reviews the faster read / write are not a 3.0. misleading advertising. The speeds are 2.0. Otherwise it's like they say.")</f>
        <v>It is not 3.0 As they say in other reviews the faster read / write are not a 3.0. misleading advertising. The speeds are 2.0. Otherwise it's like they say.</v>
      </c>
    </row>
    <row r="4624">
      <c r="A4624" s="1">
        <v>1.0</v>
      </c>
      <c r="B4624" s="1" t="s">
        <v>4597</v>
      </c>
      <c r="C4624" t="str">
        <f>IFERROR(__xludf.DUMMYFUNCTION("GOOGLETRANSLATE(B4624, ""es"", ""en"")"),"Eye doubtful the clock was already used, comes with no seal and two minutes of pornelo on the wrist no longer works not buy analog been returned")</f>
        <v>Eye doubtful the clock was already used, comes with no seal and two minutes of pornelo on the wrist no longer works not buy analog been returned</v>
      </c>
    </row>
    <row r="4625">
      <c r="A4625" s="1">
        <v>4.0</v>
      </c>
      <c r="B4625" s="1" t="s">
        <v>4598</v>
      </c>
      <c r="C4625" t="str">
        <f>IFERROR(__xludf.DUMMYFUNCTION("GOOGLETRANSLATE(B4625, ""es"", ""en"")"),"No isolate sound good (as I knew) but sounds very good, no background noise or anything.")</f>
        <v>No isolate sound good (as I knew) but sounds very good, no background noise or anything.</v>
      </c>
    </row>
    <row r="4626">
      <c r="A4626" s="1">
        <v>4.0</v>
      </c>
      <c r="B4626" s="1" t="s">
        <v>4599</v>
      </c>
      <c r="C4626" t="str">
        <f>IFERROR(__xludf.DUMMYFUNCTION("GOOGLETRANSLATE(B4626, ""es"", ""en"")"),"Good but great. Overall it is a good shoulder strap. Good material. Good finishes. Good adjustable and wide strip. But too big for the claims he had wanted a more manageable bag and this was a college guy to carry nearly 11-inch MacBook Air. Or a large iP"&amp;"ad. And returned it to the end I bought a smaller one with which I am very satisfied.")</f>
        <v>Good but great. Overall it is a good shoulder strap. Good material. Good finishes. Good adjustable and wide strip. But too big for the claims he had wanted a more manageable bag and this was a college guy to carry nearly 11-inch MacBook Air. Or a large iPad. And returned it to the end I bought a smaller one with which I am very satisfied.</v>
      </c>
    </row>
    <row r="4627">
      <c r="A4627" s="1">
        <v>4.0</v>
      </c>
      <c r="B4627" s="1" t="s">
        <v>4600</v>
      </c>
      <c r="C4627" t="str">
        <f>IFERROR(__xludf.DUMMYFUNCTION("GOOGLETRANSLATE(B4627, ""es"", ""en"")"),"A comfy kettle kettle Excellent and fast, fast, comfortable and very quiet. Perfect for up to five cups boiling in a minute. Only problem: the power cord is too short.")</f>
        <v>A comfy kettle kettle Excellent and fast, fast, comfortable and very quiet. Perfect for up to five cups boiling in a minute. Only problem: the power cord is too short.</v>
      </c>
    </row>
    <row r="4628">
      <c r="A4628" s="1">
        <v>4.0</v>
      </c>
      <c r="B4628" s="1" t="s">
        <v>4601</v>
      </c>
      <c r="C4628" t="str">
        <f>IFERROR(__xludf.DUMMYFUNCTION("GOOGLETRANSLATE(B4628, ""es"", ""en"")"),"I like clever way to get home computer cables and occupying a very small space. The only small downside is the hassle of having to go tucking cables. But well worth it.")</f>
        <v>I like clever way to get home computer cables and occupying a very small space. The only small downside is the hassle of having to go tucking cables. But well worth it.</v>
      </c>
    </row>
    <row r="4629">
      <c r="A4629" s="1">
        <v>4.0</v>
      </c>
      <c r="B4629" s="1" t="s">
        <v>4602</v>
      </c>
      <c r="C4629" t="str">
        <f>IFERROR(__xludf.DUMMYFUNCTION("GOOGLETRANSLATE(B4629, ""es"", ""en"")"),"Good-value &lt;div id = ""video-block-R2TEG5OKUVW4W3"" class = ""a-section a-spacing-small a-spacing-top mini video-block""&gt; &lt;div tabindex = ""0"" class = ""airy airy -svg vmin-supported airy-skin-beacon ""style ="" background-color: rgb (0, 0, 0) position: "&amp;"relative; width: 100%; height: 100%; font-size: 0px; overflow: hidden ; outline: none; ""&gt; &lt;div class ="" airy-renderer-container ""style ="" position: relative; height: 100%; width: 100%; ""&gt; &lt;video id ="" 7 ""preload ="" auto ""src = ""https://images-eu"&amp;".ssl-images-amazon.com/images/I/71m6VL2QO9S.mp4"" style = ""position: absolute; left: 0px; top: 0px; overflow: hidden; height: 1px; width : 1px; ""&gt; &lt;/ video&gt; &lt;/ div&gt; &lt;div id ="" airy-slate-preload ""style ="" background-color: rgb (0, 0, 0); background-i"&amp;"mage: url (&amp; quot; https: //images-eu.ssl-images-amazon.com/images/I/81AtMETlU7S.png&amp;quot;); background-size: Contain; background-position: center center; background-repeat: no-repeat; position: absolute; top : 0px; left: 0px; visibility: visible; width: "&amp;"100%; height: 100%; ""&gt; &lt;/ div&gt; &lt;ifr love scrolling = ""no"" frameborder = ""0"" src = ""about: blank"" style = ""display: none;""&gt; &lt;/ iframe&gt; &lt;div tabindex = ""- 1"" class = ""airy-controls-container"" style = ""opacity: 0; visibility: hidden; ""&gt; &lt;div t"&amp;"abindex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air"&amp;"y-on ""&gt; &lt;/ div&gt; &lt;div tabindex ="" - 1 ""class ="" airy-audio-container ""style = ""opacity: 0; visibility: hidden; ""&gt; &lt;div tabindex ="" - 1 ""class ="" airy-audio-track-bar ""style ="" height: 80%; ""&gt; &lt;div tabindex ="" - 1 ""class ="" airy-audio- Scrub"&amp;"ber-bar ""style ="" height: 85%; ""&gt; &lt;/ div&gt; &lt;div tabindex ="" - 1 ""class ="" airy-audio-scrubber ""style ="" height: 12px; bottom: 85% ""&gt; &lt;/ div&gt; &lt;/ div&gt; &lt;/ div&gt; &lt;/ div&gt; &lt;div tabindex ="" - 1 ""class ="" airy-duration-label ""style ="" float: right; wi"&amp;"dth: 26px; margin-right: 4px; text-align: center; ""&gt; 0:03 &lt;/ div&gt; &lt;div tabindex ="" - 1 ""class ="" airy-track-bar-spacer-right ""style ="" float: right; width: 11px; ""&gt; &lt;/ div&gt; &lt;div tabindex ="" - 1 ""class ="" airy-track-bar-container ""style ="" marg"&amp;"in-left: 35px; margin-right: 75px; ""&gt; &lt;div tabindex ="" - 1 ""class ="" airy-airy-track-bar vertically-centering-table ""&gt; &lt;div tabindex ="" - 1 ""class ="" airy-Vertical-centering- table-cell ""&gt; &lt;div tabindex ="" - 1 ""class ="" airy-track bar-elements"&amp;" ""&gt; &lt;div tabindex ="" - 1 ""class ="" airy-progress bar ""style ="" width: 100%; ""&gt; &lt;/ div&gt; &lt;div tabindex ="" - 1 ""class ="" airy-scrubber-bar ""&gt; &lt;/ div&gt; &lt;div tabindex ="" - 1 ""class ="" airy-scrubber ""&gt; &lt;div tabindex ="" - 1 ""class ="" airy-scrubb"&amp;"er-icon ""&gt; &lt;/ div&gt; &lt;div tabindex ="" - 1 ""class ="" airy-adjusted-AUI-tooltip ""style ="" opacity: 0; visibility: hidden; ""&gt; &lt;div tabindex ="" - 1 ""class ="" airy-adjusted-aui-tooltip-inner ""&gt; &lt;div tabindex ="" - 1 ""class ="" airy-current-time-label"&amp;" ""&gt; 0: 00 &lt;/ div&gt; &lt;/ div&gt; &lt;div tabindex = ""- 1"" class = ""airy-adjusted-AUI-arrow-border""&gt; &lt;div tabindex = ""- 1"" class = ""airy-adjusted-AUI-arrow"" &gt; &lt;/ div&gt; &lt;/ div&gt; &lt;/ div&gt; &lt;/ div&gt; &lt;/ div&gt; &lt;/ div&gt; &lt;/ div&gt; &lt;/ div&gt; &lt;/ div&gt; &lt;/ div&gt; &lt;div tabindex = """&amp;"- 1"" class = ""airy-age-gate airy-stage airy-Vertical-centering-table airy-dialog"" style = ""opacity: 0; visibility: hidden; ""&gt; &lt;div tabindex ="" - 1 ""class ="" airy-age-gate-Vertical-centering-table-cell airy-Vertical-centering-table-cell ""&gt; &lt;div ta"&amp;"bindex ="" - 1 ""class = ""airy-Vertical-centering-wrapper airy-age-gate-elements-wrapper""&gt; &lt;div tabindex = ""- 1"" class = ""airy-age-gate-elements airy-dialog-elements""&gt; &lt;div tabindex = "" -1 ""class ="" airy-age-gate-prompt ""&gt; This video is not Inte"&amp;"nded for all audiences What date were you born &lt;/ div&gt; &lt;div tabindex =.?"" - 1 ""class ="" airy-age-gate -inputs airy-dialog-inner-elements ""&gt; &lt;select tabindex ="" - 1 ""class ="" airy-age-gate-month ""&gt; &lt;option value ="" 1 ""&gt; January &lt;/ option&gt; &lt;option"&amp;" value ="" 2 ""&gt; February &lt;/ option&gt; &lt;option value ="" 3 ""&gt; March &lt;/ option&gt; &lt;option value ="" 4 ""&gt; April &lt;/ option&gt; &lt;option value ="" 5 ""&gt; May &lt;/ option&gt; &lt;option value = ""6""&gt; June &lt;/ option&gt; &lt;option value = ""7""&gt; July &lt;/ option&gt; &lt;option value = ""8"&amp;"""&gt; August &lt;/ option&gt; &lt;option value = ""9""&gt; September &lt;/ option&gt; &lt;option value = ""10""&gt; October &lt;/ option&gt; &lt;option value = ""11""&gt; November &lt;/ option&gt; &lt;option value = ""12""&gt; December &lt;/ option&gt; &lt;/ select&gt; &lt;select tabindex = ""- 1"" class = ""airy-age-g"&amp;"ate-day""&gt; &lt;opti on value = ""1""&gt; 1 &lt;/ option&gt; &lt;option value = ""2""&gt; 2 &lt;/ option&gt; &lt;option value = ""3""&gt; 3 &lt;/ option&gt; &lt;option value = ""4""&gt; 4 &lt;/ option &gt; &lt;option value = ""5""&gt; 5 &lt;/ option&gt; &lt;option value = ""6""&gt; 6 &lt;/ option&gt; &lt;option value = ""7""&gt; 7 &lt;"&amp;"/ option&gt; &lt;option value = ""8""&gt; 8 &lt; / option&gt; &lt;option value = ""9""&gt; 9 &lt;/ option&gt; &lt;option value = ""10""&gt; 10 &lt;/ option&gt; &lt;option value = ""11""&gt; 11 &lt;/ option&gt; &lt;option value = ""12""&gt; 12 &lt;/ option&gt; &lt;option value = ""13""&gt; 13 &lt;/ option&gt; &lt;option value = ""14"&amp;"""&gt; 14 &lt;/ option&gt; &lt;option value = ""15""&gt; 15 &lt;/ option&gt; &lt;option value = ""16 ""&gt; 16 &lt;/ option&gt; &lt;option value ="" 17 ""&gt; 17 &lt;/ option&gt; &lt;option value ="" 18 ""&gt; 18 &lt;/ option&gt; &lt;option value ="" 19 ""&gt; 19 &lt;/ option&gt; &lt;option value = ""20""&gt; 20 &lt;/ option&gt; &lt;opti"&amp;"on value = ""21""&gt; 21 &lt;/ option&gt; &lt;option value = ""22""&gt; 22 &lt;/ option&gt; &lt;option value = ""23""&gt; 23 &lt;/ option&gt; &lt;option value = ""24""&gt; 24 &lt;/ option&gt; &lt;option value = ""25""&gt; 25 &lt;/ option&gt; &lt;option value = ""26""&gt; 26 &lt;/ option&gt; &lt;option value = ""27""&gt; 27 &lt;/ op"&amp;"tion&gt; &lt;option value = ""28""&gt; 28 &lt;/ option&gt; &lt;option value = ""29""&gt; 29 &lt;/ option&gt; &lt;option value = ""30""&gt; 30 &lt;/ option&gt; &lt;option value = ""31""&gt; 31 &lt;/ option&gt; &lt;/ select&gt; &lt;select tabindex = ""- 1"" class = ""airy-age-gate-year""&gt; &lt;option value = ""2019""&gt; 2"&amp;"019 &lt;/ option&gt; &lt; option value = ""2018""&gt; 2018 &lt;/ option&gt; &lt;option value = ""2017""&gt; 2017 &lt;/ option&gt; &lt;option value = ""2016""&gt; ​​2016 &lt;/ option&gt; &lt;option value = ""2015""&gt; 2015 &lt;/ option &gt; &lt;option value = ""2014""&gt; 2014 &lt;/ option&gt; &lt;option value = ""2013""&gt; "&amp;"2013 &lt;/ option&gt; &lt;option value = ""2012""&gt; 2012 &lt;/ option&gt; &lt;option value = ""2011""&gt; 2011 &lt; / option&gt; &lt;option value = ""2010""&gt; 2010 &lt;/ option&gt; &lt;option value = ""2009""&gt; 2009 &lt;/ option&gt; &lt;option value = ""2008""&gt; 2008 &lt;/ option&gt; &lt;option value = ""2007""&gt; 20"&amp;"07 &lt;/ option&gt; &lt;option value = ""2006""&gt; 2006 &lt;/ option&gt; &lt;option value = ""2005""&gt; 2005 &lt;/ option&gt; &lt;option value = ""2004""&gt; 2004 &lt;/ option&gt; &lt;option value = ""2003 ""&gt; 2003 &lt;/ option&gt; &lt;option value ="" 2002 ""&gt; 2002 &lt;/ option&gt; &lt;option value ="" 2001 ""&gt; 20"&amp;"01 &lt;/ option&gt; &lt;option value ="" 2000 ""&gt; 2000 &lt;/ option&gt; &lt;option value = ""1999""&gt; 1999 &lt;/ option&gt; &lt;option value = ""1998""&gt; 1998 &lt;/ option&gt; &lt;option value = ""1997""&gt; 1997 &lt;/ option&gt; &lt;option value = ""1996""&gt; 1996 &lt;/ option&gt; &lt;option value = ""1995""&gt; 1995"&amp;" &lt;/ option&gt; &lt;option value = ""1994""&gt; 1994 &lt;/ option&gt; &lt;option value = ""1993""&gt; 1993 &lt;/ option&gt; &lt;option value = ""1992""&gt; 1992 &lt;/ option&gt; &lt;option value = ""1991""&gt; 1991 &lt;/ option&gt; &lt;option value = ""1990""&gt; 1990 &lt;/ option&gt; &lt;option value = "" 1989 ""&gt; 1989 "&amp;"&lt;/ option&gt; &lt;option value ="" 1988 ""&gt; 1988 &lt;/ option&gt; &lt;option value ="" 1987 ""&gt; 1987 &lt;/ option&gt; &lt;option value ="" 1986 ""&gt; 1986 &lt;/ option&gt; &lt;value option = ""1985""&gt; 1985 &lt;/ option&gt; &lt;option value = ""1984""&gt; 1984 &lt;/ option&gt; &lt;option value = ""1983""&gt; 1983 "&amp;"&lt;/ option&gt; &lt;option value = ""1982""&gt; 1982 &lt;/ option&gt; &lt; option value = ""1981""&gt; 1981 &lt;/ option&gt; &lt;option value = ""1980""&gt; 1980 &lt;/ option&gt; &lt;option value = ""1979""&gt; 1979 &lt;/ option&gt; &lt;option value = ""1978""&gt; 1978 &lt;/ option &gt; &lt;option value = ""1977""&gt; 1977 &lt;"&amp;"/ option&gt; &lt;option value = ""1976""&gt; 1976 &lt;/ option&gt; &lt;option value = ""1975""&gt; 1975 &lt;/ option&gt; &lt;option value = ""1974""&gt; 1974 &lt; / option&gt; &lt;option value = ""1973""&gt; 1973 &lt;/ option&gt; &lt;option value = ""1972""&gt; 1972 &lt;/ option&gt; &lt;option value = ""1971""&gt; 1971 &lt;/ "&amp;"option&gt; &lt;option value = ""1970""&gt; 1970 &lt;/ option&gt; &lt;option value = ""1969""&gt; 1969 &lt;/ option&gt; &lt;option value = ""1968""&gt; 1968 &lt;/ option&gt; &lt;option value = ""1967""&gt; 1967 &lt;/ option&gt; &lt;option value = ""1966 ""&gt; 1966 &lt;/ option&gt; &lt;option value ="" 1965 ""&gt; 1965 &lt;/ o"&amp;"ption&gt; &lt;option value ="" 1964 ""&gt; 1964 &lt;/ option&gt; &lt;option value ="" 1963 ""&gt; 1963 &lt;/ option&gt; &lt;option value = ""1962""&gt; 1962 &lt;/ option&gt; &lt;option value = ""1961""&gt; 1961 &lt;/ option&gt; &lt;option value = ""1960""&gt; 1960 &lt;/ op tion&gt; &lt;option value = ""1959""&gt; 1959 &lt;/ o"&amp;"ption&gt; &lt;option value = ""1958""&gt; 1958 &lt;/ option&gt; &lt;option value = ""1957""&gt; 1957 &lt;/ option&gt; &lt;option value = ""1956""&gt; 1956 &lt;/ option&gt; &lt;option value = ""1955""&gt; 1955 &lt;/ option&gt; &lt;option value = ""1954""&gt; 1954 &lt;/ option&gt; &lt;option value = ""1953""&gt; 1953 &lt;/ opti"&amp;"on&gt; &lt;option value = ""1952"" &gt; 1952 &lt;/ option&gt; &lt;option value = ""1951""&gt; 1951 &lt;/ option&gt; &lt;option value = ""1950""&gt; 1950 &lt;/ option&gt; &lt;option value = ""1949""&gt; 1949 &lt;/ option&gt; &lt;option value = "" 1948 ""&gt; 1948 &lt;/ option&gt; &lt;option value ="" 1947 ""&gt; 1947 &lt;/ opt"&amp;"ion&gt; &lt;option value ="" 1946 ""&gt; 1946 &lt;/ option&gt; &lt;option value ="" 1945 ""&gt; 1945 &lt;/ option&gt; &lt;value option = ""1944""&gt; 1944 &lt;/ option&gt; &lt;option value = ""1943""&gt; 1943 &lt;/ option&gt; &lt;option value = ""1942""&gt; 1942 &lt;/ option&gt; &lt;option value = ""1941""&gt; 1941 &lt;/ opti"&amp;"on&gt; &lt; option value = ""1940""&gt; 1940 &lt;/ option&gt; &lt;option value = ""1939""&gt; 1939 &lt;/ option&gt; &lt;option value = ""1938""&gt; 1938 &lt;/ option&gt; &lt;option value = ""1937""&gt; 1937 &lt;/ option &gt; &lt;option value = ""1936""&gt; 1936 &lt;/ option&gt; &lt;option value = ""1935""&gt; 1935 &lt;/ optio"&amp;"n&gt; &lt;option value = ""1934""&gt; 1934 &lt;/ option&gt; &lt;option value = ""1933""&gt; 1933 &lt; / option&gt; &lt;option value = ""1932""&gt; 1932 &lt;/ option&gt; &lt;option value = ""1931""&gt; 1931 &lt;/ option&gt; &lt;option v alue = ""1930""&gt; 1930 &lt;/ option&gt; &lt;option value = ""1929""&gt; 1929 &lt;/ option"&amp;"&gt; &lt;option value = ""1928""&gt; 1928 &lt;/ option&gt; &lt;option value = ""1927""&gt; 1927 &lt;/ option&gt; &lt;option value = ""1926""&gt; 1926 &lt;/ option&gt; &lt;option value = ""1925""&gt; 1925 &lt;/ option&gt; &lt;option value = ""1924""&gt; 1924 &lt;/ option&gt; &lt;option value = ""1923""&gt; 1923 &lt;/ option&gt; &lt;"&amp;"option value = ""1922""&gt; 1922 &lt;/ option&gt; &lt;option value = ""1921""&gt; 1921 &lt;/ option&gt; &lt;option value = ""1920""&gt; 1920 &lt;/ option&gt; &lt;option value = ""1919""&gt; 1919 &lt;/ option&gt; &lt;option value = ""1918""&gt; 1918 &lt;/ option&gt; &lt;option value = ""1917""&gt; 1917 &lt;/ option&gt; &lt;opt"&amp;"ion value = ""1916""&gt; 1916 &lt;/ option&gt; &lt;option value = ""1915"" &gt; 1915 &lt;/ option&gt; &lt;option value = ""1914""&gt; 1914 &lt;/ option&gt; &lt;option value = ""1913""&gt; 1913 &lt;/ option&gt; &lt;option value = ""1912""&gt; 1912 &lt;/ option&gt; &lt;option value = "" 1911 ""&gt; 1911 &lt;/ option&gt; &lt;opt"&amp;"ion value ="" 1910 ""&gt; 1910 &lt;/ option&gt; &lt;option value ="" 1909 ""&gt; 1909 &lt;/ option&gt; &lt;option value ="" 1908 ""&gt; 1908 &lt;/ option&gt; &lt;value option = ""1907""&gt; 1907 &lt;/ option&gt; &lt;option value = ""1906""&gt; 1906 &lt;/ option&gt; &lt;option value = ""1905""&gt; 1905 &lt;/ option&gt; &lt;opt"&amp;"ion value = ""1904""&gt; 1904 &lt;/ option&gt; &lt; option value = ""1903""&gt; 1903 &lt;/ option&gt; &lt;option value = ""1902""&gt; 1902 &lt;/ option&gt; &lt;option value = ""1901""&gt; 19 01 &lt;/ option&gt; &lt;option value = ""1900""&gt; 1900 &lt;/ option&gt; &lt;/ select&gt; &lt;div tabindex = ""- 1"" class = ""ai"&amp;"ry-age-gate-submit airy-submit-button airy airy-submit- disabled ""&gt; Submit &lt;/ div&gt; &lt;/ div&gt; &lt;/ div&gt; &lt;/ div&gt; &lt;/ div&gt; &lt;/ div&gt; &lt;div tabindex ="" - 1 ""class ="" airy-install-flash-dialog airy-stage airy -vertical-centering-table-dialog airy airy-denied ""sty"&amp;"le ="" opacity: 0; visibility: hidden; ""&gt; &lt;div tabindex ="" - 1 ""class ="" airy-install-flash-Vertical-centering-table-cell airy-Vertical-centering-table-cell ""&gt; &lt;div tabindex ="" - 1 ""class = ""airy-Vertical-centering-wrapper airy-install-flash-eleme"&amp;"nts-wrapper""&gt; &lt;div tabindex = ""- 1"" class = ""airy-install-flash-elements airy-dialog-elements""&gt; &lt;div tabindex = "" -1 ""class ="" airy-install-flash-prompt ""&gt; Adobe Flash Player is required to watch this video &lt;/ div&gt; &lt;div tabindex =."" - 1 ""class "&amp;"="" airy-install-flash-button-wrapper airy -dialog-inner-elements ""&gt; &lt;div tabindex ="" - 1 ""class ="" airy-install-flash-button airy-button ""&gt; install Flash Player &lt;/ div&gt; &lt;/ div&gt; &lt;/ div&gt; &lt;/ div&gt; &lt;/ div&gt; &lt;/ div&gt; &lt;div tabindex = ""- 1"" class = ""airy-v"&amp;"ideo-unsupported-dialog airy-stage airy-Vertical-centering-table airy-dialog airy-denied"" style = ""opacity: 0; visibility: hidden; ""&gt; &lt;div tabindex ="" - 1 ""class ="" airy-video-unsupported-Vertical-centering-table-cell airy-Vertical-centering-table-c"&amp;"ell ""&gt; &lt;div tabindex ="" - 1 ""class = ""airy-Vertical-centering-wrapper airy-video-unsupported-elements-wrapper""&gt; &lt;div tabindex = ""- 1"" class = ""airy-video-unsupported-elements airy-dialog-elements""&gt; &lt;div tabindex = "" -1 ""class ="" airy-video-uns"&amp;"upported-prompt ""&gt; &lt;/ div&gt; &lt;/ div&gt; &lt;/ div&gt; &lt;/ div&gt; &lt;/ div&gt; &lt;div tabindex ="" - 1 ""class ="" airy-loading- spinner-stage airy-stage ""&gt; &lt;div tabindex ="" - 1 ""class ="" airy-loading-spinner-Vertical-centering-table-cell airy-Vertical-centering-table-cel"&amp;"l ""&gt; &lt;div tabindex ="" - 1 ""class ="" airy-loading-spinner-container airy-scalable-hint-container ""&gt; &lt;div tabindex ="" - 1 ""class ="" airy-loading-spinner-dummy airy-scalable-dummy ""&gt; &lt;/ div&gt; &lt; div tabindex = ""- 1"" class = ""airy-loading-spinner ai"&amp;"ry-hint"" style = ""visibility: hidden;""&gt; &lt;/ div&gt; &lt;/ div&gt; &lt;/ div&gt; &lt;/ div&gt; &lt;div tabindex = ""- 1 ""class ="" airy-ads-screen-size-toggle airy-screen-size-toggle-fullscreen airy ""style ="" visibility: hidden; ""&gt; &lt;/ div&gt; &lt;div tabindex = ""-1"" class = ""a"&amp;"iry-ad-prompt-container"" style = ""visibility: hidden;""&gt; &lt;div tabindex = ""- 1"" class = ""airy-ad-prompt-Vertical-centering-table-vertically airy centering-table ""&gt; &lt;div tabindex ="" - 1 ""class ="" airy-ad-prompt-Vertical-centering-table-cell airy-Ve"&amp;"rtical-centering-table-cell ""&gt; &lt;div tabindex ="" - 1 ""class = ""airy-ad-prompt-label""&gt; &lt;/ div&gt; &lt;/ div&gt; &lt;/ div&gt; &lt;/ div&gt; &lt;div tabindex = ""- 1"" class = ""airy-ads-controls-container"" style = ""visibility: hidden; ""&gt; &lt;div tabindex ="" - 1 ""class ="" a"&amp;"iry-ads-audio-toggle airy-audio-toggle airy-on ""style ="" visibility: hidden; ""&gt; &lt;/ div&gt; &lt;div tabindex ="" - 1 ""class ="" airy-time-remaining-label-container ""&gt; &lt;div tabindex ="" - 1 ""class ="" airy-time-remaining-Vertical-centering-table airy-Vertic"&amp;"al-centering-table ""&gt; &lt;div tabindex = ""- 1"" class = ""airy-time-remaining-Vertical-centering-table-cell airy-Vertical-centering-table-cell""&gt; &lt;div tabindex = ""- 1"" class = ""airy-Vertical-centering-wrapper airy-time-remaining-label-wrapper ""&gt; &lt;div t"&amp;"abindex ="" - 1 ""class ="" airy-time-remaining-label ""style ="" visibility: hidden; ""&gt; &lt;/ div&gt; &lt;div tabi ndex = ""- 1"" class = ""airy-ad-skip"" style = ""visibility: hidden;""&gt; &lt;/ div&gt; &lt;div tabindex = ""- 1"" class = ""airy-ad-end"" style = ""visibili"&amp;"ty: hidden ""&gt; &lt;/ div&gt; &lt;/ div&gt; &lt;/ div&gt; &lt;/ div&gt; &lt;/ div&gt; &lt;div tabindex ="" - 1 ""class ="" airy-learn-more ""style ="" visibility: hidden; ""&gt; &lt;/ div&gt; &lt;/ div&gt; &lt;div tabindex = ""- 1"" class = ""airy-play-toggle-hint-stage airy-stage airy-cursor""&gt; &lt;div tabin"&amp;"dex = ""- 1"" class = ""airy-play -toggle-hint-Vertical-centering-table-cell airy-Vertical-centering-table-cell airy-cursor ""&gt; &lt;div tabindex ="" - 1 ""class ="" airy-play-toggle-hint-container airy-scalable- Hint-container ""&gt; &lt;div tabindex ="" - 1 ""cla"&amp;"ss ="" airy-play-toggle-hint-dummy airy-scalable-dummy ""&gt; &lt;/ div&gt; &lt;div tabindex ="" - 1 ""class ="" airy-play -toggle-hint hint airy-airy-play-hint ""style ="" opacity: 1; visibility: visible; ""&gt; &lt;/ div&gt; &lt;/ div&gt; &lt;/ div&gt; &lt;/ div&gt; &lt;div tabindex ="" - 1 ""c"&amp;"lass ="" airy-replay-hint-stage airy-stage ""style ="" visibility: hidden ; ""&gt; &lt;div tabindex ="" - 1 ""class ="" airy-replay-hint-Vertical-centering-table-cell airy-Vertical-centering-table-cell airy-cursor ""&gt; &lt;div tabindex ="" - 1 ""class = ""airy-repl"&amp;"ay-hint-container airy-scalable-hint-container""&gt; &lt;div tabindex = ""- 1"" class = ""airy-replay-hint-dummy airy-scalable-dummy""&gt; &lt;/ div&gt; &lt;div tabindex = ""- 1"" class = ""airy-replay-hint airy-hint""&gt; &lt;/ div&gt; &lt;/ div&gt; &lt;/ div&gt; &lt;/ div&gt; &lt;div tabindex = ""- 1"&amp;""" class = ""airy-autoplay-hint -stage airy-stage ""style ="" visibility: hidden; ""&gt; &lt;div tabindex ="" - 1 ""class ="" airy-autoplay-hint-Vertical-centering-table-cell airy-Vertical-centering-table-cell airy- cursor ""&gt; &lt;div tabindex ="" - 1 ""class ="" "&amp;"autoplay airy-airy-hint-container-scalable-hint-container ""&gt; &lt;div tabindex ="" - 1 ""class ="" airy-autoplay-hint-dummy airy- scalable-dummy ""&gt; &lt;/ div&gt; &lt;/ div&gt; &lt;/ div&gt; &lt;/ div&gt; &lt;/ div&gt; &lt;/ div&gt; &lt;input type ="" hidden ""name ="" ""value ="" https: // image"&amp;"s-eu .ssl-images-amazon.com / images / I / 71m6VL2QO9S.mp4 ""Class ="" video-url ""&gt; &lt;input type ="" hidden ""name ="" ""value ="" https://images-eu.ssl-images-amazon.com/images/I/81AtMETlU7S.png ""class ="" video-slate-img-url ""&gt; &amp; nbsp; I've bought to "&amp;"mix protein shakes. Remarks: come two glasses, q not bring it all, for it has enough power. What I like least: - the direction to tighten the vessel to the blades is the same as to fit it to the engine, so you have to squeeze much to the blades if you do "&amp;"not want to the unlatch when this fact will spill over the engine, breaking it. - brings only measure 600 ml - sets that is the same material as the bottles, but the bottles can if in the dishwasher but not vessels. One of the glasses came with a slit whe"&amp;"re it hooks, but I that I did not care because I do not need")</f>
        <v>Good-value &lt;div id = "video-block-R2TEG5OKUVW4W3" class = "a-section a-spacing-small a-spacing-top mini video-block"&gt; &lt;div tabindex = "0" class = "airy airy -svg vmin-supported airy-skin-beacon "style =" background-color: rgb (0, 0, 0) position: relative; width: 100%; height: 100%; font-size: 0px; overflow: hidden ; outline: none; "&gt; &lt;div class =" airy-renderer-container "style =" position: relative; height: 100%; width: 100%; "&gt; &lt;video id =" 7 "preload =" auto "src = "https://images-eu.ssl-images-amazon.com/images/I/71m6VL2QO9S.mp4" style = "position: absolute; left: 0px; top: 0px; overflow: hidden; height: 1px; width : 1px; "&gt; &lt;/ video&gt; &lt;/ div&gt; &lt;div id =" airy-slate-preload "style =" background-color: rgb (0, 0, 0); background-image: url (&amp; quot; https: //images-eu.ssl-images-amazon.com/images/I/81AtMETlU7S.png&amp;quot;); background-size: Contain; background-position: center center; background-repeat: no-repeat; position: absolute; top : 0px; left: 0px; visibility: visible; width: 100%; height: 100%; "&gt; &lt;/ div&gt; &lt;ifr love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0:03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 bar-elements "&gt; &lt;div tabindex =" - 1 "class =" airy-progress bar "style =" width: 100%;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71m6VL2QO9S.mp4 "Class =" video-url "&gt; &lt;input type =" hidden "name =" "value =" https://images-eu.ssl-images-amazon.com/images/I/81AtMETlU7S.png "class =" video-slate-img-url "&gt; &amp; nbsp; I've bought to mix protein shakes. Remarks: come two glasses, q not bring it all, for it has enough power. What I like least: - the direction to tighten the vessel to the blades is the same as to fit it to the engine, so you have to squeeze much to the blades if you do not want to the unlatch when this fact will spill over the engine, breaking it. - brings only measure 600 ml - sets that is the same material as the bottles, but the bottles can if in the dishwasher but not vessels. One of the glasses came with a slit where it hooks, but I that I did not care because I do not need</v>
      </c>
    </row>
    <row r="4630">
      <c r="A4630" s="1">
        <v>5.0</v>
      </c>
      <c r="B4630" s="1" t="s">
        <v>4603</v>
      </c>
      <c r="C4630" t="str">
        <f>IFERROR(__xludf.DUMMYFUNCTION("GOOGLETRANSLATE(B4630, ""es"", ""en"")"),"Quality Very good quality")</f>
        <v>Quality Very good quality</v>
      </c>
    </row>
    <row r="4631">
      <c r="A4631" s="1">
        <v>5.0</v>
      </c>
      <c r="B4631" s="1" t="s">
        <v>4604</v>
      </c>
      <c r="C4631" t="str">
        <f>IFERROR(__xludf.DUMMYFUNCTION("GOOGLETRANSLATE(B4631, ""es"", ""en"")"),"Lightweight, comfortable and ""cheap"" very comfortable pants. It is tight, almost like leggings. It is elastic and lightweight. I've used it to run accustomed to compressive garments or tights and comfy like me has no chafing. BRUTAL price, I bought 2, t"&amp;"o be a very cheap under armor garment. Perhaps if cold falls short layer.")</f>
        <v>Lightweight, comfortable and "cheap" very comfortable pants. It is tight, almost like leggings. It is elastic and lightweight. I've used it to run accustomed to compressive garments or tights and comfy like me has no chafing. BRUTAL price, I bought 2, to be a very cheap under armor garment. Perhaps if cold falls short layer.</v>
      </c>
    </row>
    <row r="4632">
      <c r="A4632" s="1">
        <v>5.0</v>
      </c>
      <c r="B4632" s="1" t="s">
        <v>4605</v>
      </c>
      <c r="C4632" t="str">
        <f>IFERROR(__xludf.DUMMYFUNCTION("GOOGLETRANSLATE(B4632, ""es"", ""en"")"),"Good device. It works well and fast. Perfect solution for exchanging files between devices. Robust and well finished. If a little smaller would be perfect, although the size comes within reason / manageable. Spanish support.")</f>
        <v>Good device. It works well and fast. Perfect solution for exchanging files between devices. Robust and well finished. If a little smaller would be perfect, although the size comes within reason / manageable. Spanish support.</v>
      </c>
    </row>
    <row r="4633">
      <c r="A4633" s="1">
        <v>5.0</v>
      </c>
      <c r="B4633" s="1" t="s">
        <v>4606</v>
      </c>
      <c r="C4633" t="str">
        <f>IFERROR(__xludf.DUMMYFUNCTION("GOOGLETRANSLATE(B4633, ""es"", ""en"")"),"All right all perfect")</f>
        <v>All right all perfect</v>
      </c>
    </row>
    <row r="4634">
      <c r="A4634" s="1">
        <v>5.0</v>
      </c>
      <c r="B4634" s="1" t="s">
        <v>4607</v>
      </c>
      <c r="C4634" t="str">
        <f>IFERROR(__xludf.DUMMYFUNCTION("GOOGLETRANSLATE(B4634, ""es"", ""en"")"),"Good shoes Good price for these wonderful Saucony.He had to pedir1 \ 2 no more though.")</f>
        <v>Good shoes Good price for these wonderful Saucony.He had to pedir1 \ 2 no more though.</v>
      </c>
    </row>
    <row r="4635">
      <c r="A4635" s="1">
        <v>5.0</v>
      </c>
      <c r="B4635" s="1" t="s">
        <v>4608</v>
      </c>
      <c r="C4635" t="str">
        <f>IFERROR(__xludf.DUMMYFUNCTION("GOOGLETRANSLATE(B4635, ""es"", ""en"")"),"Back to the Future 1 There q ask one or two great, otherwise perfect .... remain sizes too big")</f>
        <v>Back to the Future 1 There q ask one or two great, otherwise perfect .... remain sizes too big</v>
      </c>
    </row>
    <row r="4636">
      <c r="A4636" s="1">
        <v>5.0</v>
      </c>
      <c r="B4636" s="1" t="s">
        <v>4609</v>
      </c>
      <c r="C4636" t="str">
        <f>IFERROR(__xludf.DUMMYFUNCTION("GOOGLETRANSLATE(B4636, ""es"", ""en"")"),"5 estrelas Ótimo produto!")</f>
        <v>5 estrelas Ótimo produto!</v>
      </c>
    </row>
    <row r="4637">
      <c r="A4637" s="1">
        <v>5.0</v>
      </c>
      <c r="B4637" s="1" t="s">
        <v>4610</v>
      </c>
      <c r="C4637" t="str">
        <f>IFERROR(__xludf.DUMMYFUNCTION("GOOGLETRANSLATE(B4637, ""es"", ""en"")"),"More efficient than other juicers splash. A lot of power, but controlled I think the moment, one of the best juicers on the market that can be found for this price range, as it combines the 3 most important things you can have a blender in my point of vie"&amp;"w and experience more 25 years stuck in kitchens, both professional and domestic. 1. The design of the splash guard arm is effective (perhaps not as much as others), but the holes you have, do they can go through them liquids or foods that trituremos, whi"&amp;"ch, unlike those that do not carry these antisalicaduras holes and fully, this Taurus, yes that creates a vortex to the beat, what makes that food is finer in less time and less punishing the machine, but above all best finishes. 2. The high power of the "&amp;"machine, which to be arm is highest I've seen, they make it suitable for all kinds of foods and preparations, with particular mention of the hardest. For example, a cream almond leaves almost like soup broth. But the best thing is having a regulator 20 sp"&amp;"eeds, so it is not only powerful, but if we need to be careful with other foods, or when you connect accessories can lower it to the minimum or an intermediate term, and get accurate results. Mayonnaise, beat egg whites until stiff, emulsify, purees, sauc"&amp;"es, even home ice, resists anything and everything, your point in a blender. 3. The arm stainless steel, has two major advantages over other models. One is that is longer than usual, which will use us in deep pots without any problems, and the other is th"&amp;"at the connection of the arm with the motor, the portion of the shaft is robust enough to last years. Those are the things that I think this is a great product. Power, good speed regulation and good hitch arm. Now, to be lasting in time, especially for th"&amp;"e amount of watts you have, I would take into consideration several factors. No use full power for long periods of time, especially if we are in hot weather. A unventilated being the engine, it can be fatal for it. Use carefully and do not subject it to l"&amp;"arge work cycles at maximum power. Less power is no problem continued use. I say this because I burned a few for this very 😂 - Try to wash the arm always at hand. Although endure extreme temperatures, the dishwasher, especially if used at 70, it ends up "&amp;"damaging the blades over time. Better to wash in warm water at hand. Nor is much work and sharp blades last years. Finally, I received to test the leading glass accessories Picador and wire whisk. Both me look good accessories, especially the glass picado"&amp;"r, which has the oval walls, and makes, for example, chop the onion, do not run as much rest on the walls and return to continue grinding it down. I think a more successful design. The flexible, good quality rod in the average I've tried so far. It excels"&amp;" in this, but it's pretty good. Finally, the glass is as narrow as the base of the mixer, which is perfectly suited for chopping all types of food, especially good for making mayonnaise, and you just have to go up the arm slightly, so it is almost impossi"&amp;"ble to cut. In short, I believe that for this price, you will not find many juicers with this level of power and with such intensity regulator. If there was a word for it, it would be ""versatile"", because neither you lack power for anything in particula"&amp;"r, it is tricky if you put down revolutions and anti-splash arm is better than others, let flow between the holes and create vortex . Buy recommended. 5 stars.")</f>
        <v>More efficient than other juicers splash. A lot of power, but controlled I think the moment, one of the best juicers on the market that can be found for this price range, as it combines the 3 most important things you can have a blender in my point of view and experience more 25 years stuck in kitchens, both professional and domestic. 1. The design of the splash guard arm is effective (perhaps not as much as others), but the holes you have, do they can go through them liquids or foods that trituremos, which, unlike those that do not carry these antisalicaduras holes and fully, this Taurus, yes that creates a vortex to the beat, what makes that food is finer in less time and less punishing the machine, but above all best finishes. 2. The high power of the machine, which to be arm is highest I've seen, they make it suitable for all kinds of foods and preparations, with particular mention of the hardest. For example, a cream almond leaves almost like soup broth. But the best thing is having a regulator 20 speeds, so it is not only powerful, but if we need to be careful with other foods, or when you connect accessories can lower it to the minimum or an intermediate term, and get accurate results. Mayonnaise, beat egg whites until stiff, emulsify, purees, sauces, even home ice, resists anything and everything, your point in a blender. 3. The arm stainless steel, has two major advantages over other models. One is that is longer than usual, which will use us in deep pots without any problems, and the other is that the connection of the arm with the motor, the portion of the shaft is robust enough to last years. Those are the things that I think this is a great product. Power, good speed regulation and good hitch arm. Now, to be lasting in time, especially for the amount of watts you have, I would take into consideration several factors. No use full power for long periods of time, especially if we are in hot weather. A unventilated being the engine, it can be fatal for it. Use carefully and do not subject it to large work cycles at maximum power. Less power is no problem continued use. I say this because I burned a few for this very 😂 - Try to wash the arm always at hand. Although endure extreme temperatures, the dishwasher, especially if used at 70, it ends up damaging the blades over time. Better to wash in warm water at hand. Nor is much work and sharp blades last years. Finally, I received to test the leading glass accessories Picador and wire whisk. Both me look good accessories, especially the glass picador, which has the oval walls, and makes, for example, chop the onion, do not run as much rest on the walls and return to continue grinding it down. I think a more successful design. The flexible, good quality rod in the average I've tried so far. It excels in this, but it's pretty good. Finally, the glass is as narrow as the base of the mixer, which is perfectly suited for chopping all types of food, especially good for making mayonnaise, and you just have to go up the arm slightly, so it is almost impossible to cut. In short, I believe that for this price, you will not find many juicers with this level of power and with such intensity regulator. If there was a word for it, it would be "versatile", because neither you lack power for anything in particular, it is tricky if you put down revolutions and anti-splash arm is better than others, let flow between the holes and create vortex . Buy recommended. 5 stars.</v>
      </c>
    </row>
    <row r="4638">
      <c r="A4638" s="1">
        <v>5.0</v>
      </c>
      <c r="B4638" s="1" t="s">
        <v>4611</v>
      </c>
      <c r="C4638" t="str">
        <f>IFERROR(__xludf.DUMMYFUNCTION("GOOGLETRANSLATE(B4638, ""es"", ""en"")"),"Comfortable and nice looking and well finished shoe. They are more comfortable than I imagined")</f>
        <v>Comfortable and nice looking and well finished shoe. They are more comfortable than I imagined</v>
      </c>
    </row>
    <row r="4639">
      <c r="A4639" s="1">
        <v>5.0</v>
      </c>
      <c r="B4639" s="1" t="s">
        <v>4612</v>
      </c>
      <c r="C4639" t="str">
        <f>IFERROR(__xludf.DUMMYFUNCTION("GOOGLETRANSLATE(B4639, ""es"", ""en"")"),"Value very good I came very fast and perfect truth very happy with the product.")</f>
        <v>Value very good I came very fast and perfect truth very happy with the product.</v>
      </c>
    </row>
    <row r="4640">
      <c r="A4640" s="1">
        <v>5.0</v>
      </c>
      <c r="B4640" s="1" t="s">
        <v>4613</v>
      </c>
      <c r="C4640" t="str">
        <f>IFERROR(__xludf.DUMMYFUNCTION("GOOGLETRANSLATE(B4640, ""es"", ""en"")"),"Very good I have a large collection of consoles and cables wanted good underwriter and buy these flanges Velcro and have done very well, they are good quality and is very well placed")</f>
        <v>Very good I have a large collection of consoles and cables wanted good underwriter and buy these flanges Velcro and have done very well, they are good quality and is very well placed</v>
      </c>
    </row>
    <row r="4641">
      <c r="A4641" s="1">
        <v>5.0</v>
      </c>
      <c r="B4641" s="1" t="s">
        <v>4614</v>
      </c>
      <c r="C4641" t="str">
        <f>IFERROR(__xludf.DUMMYFUNCTION("GOOGLETRANSLATE(B4641, ""es"", ""en"")"),"Very good product good product can be washed in a dishwasher, it took my daughter leave the chest, only with these bottles has accepted the formula.")</f>
        <v>Very good product good product can be washed in a dishwasher, it took my daughter leave the chest, only with these bottles has accepted the formula.</v>
      </c>
    </row>
    <row r="4642">
      <c r="A4642" s="1">
        <v>5.0</v>
      </c>
      <c r="B4642" s="1" t="s">
        <v>4615</v>
      </c>
      <c r="C4642" t="str">
        <f>IFERROR(__xludf.DUMMYFUNCTION("GOOGLETRANSLATE(B4642, ""es"", ""en"")"),"Very good sounds much better than other mics I had. For me, highly recommended.")</f>
        <v>Very good sounds much better than other mics I had. For me, highly recommended.</v>
      </c>
    </row>
    <row r="4643">
      <c r="A4643" s="1">
        <v>5.0</v>
      </c>
      <c r="B4643" s="1" t="s">
        <v>4616</v>
      </c>
      <c r="C4643" t="str">
        <f>IFERROR(__xludf.DUMMYFUNCTION("GOOGLETRANSLATE(B4643, ""es"", ""en"")"),"It was comfortable for a gift and has been a success. It's comfortable, good cotton, and has a very nice cut.")</f>
        <v>It was comfortable for a gift and has been a success. It's comfortable, good cotton, and has a very nice cut.</v>
      </c>
    </row>
    <row r="4644">
      <c r="A4644" s="1">
        <v>5.0</v>
      </c>
      <c r="B4644" s="1" t="s">
        <v>4617</v>
      </c>
      <c r="C4644" t="str">
        <f>IFERROR(__xludf.DUMMYFUNCTION("GOOGLETRANSLATE(B4644, ""es"", ""en"")"),"It was perfect I wanted a juicer that does not occupy much. No hen locks squeeze oranges. Working properly and also has the option of having more or less pulp, so I'm delighted because I no longer have to strain after juice.")</f>
        <v>It was perfect I wanted a juicer that does not occupy much. No hen locks squeeze oranges. Working properly and also has the option of having more or less pulp, so I'm delighted because I no longer have to strain after juice.</v>
      </c>
    </row>
    <row r="4645">
      <c r="A4645" s="1">
        <v>5.0</v>
      </c>
      <c r="B4645" s="1" t="s">
        <v>4618</v>
      </c>
      <c r="C4645" t="str">
        <f>IFERROR(__xludf.DUMMYFUNCTION("GOOGLETRANSLATE(B4645, ""es"", ""en"")"),"Recommended value in perfect condition, works perfectly")</f>
        <v>Recommended value in perfect condition, works perfectly</v>
      </c>
    </row>
    <row r="4646">
      <c r="A4646" s="1">
        <v>5.0</v>
      </c>
      <c r="B4646" s="1" t="s">
        <v>4619</v>
      </c>
      <c r="C4646" t="str">
        <f>IFERROR(__xludf.DUMMYFUNCTION("GOOGLETRANSLATE(B4646, ""es"", ""en"")"),"Not purely winter footwear with this finish has come all perfect. The product is as it is seen in the images and original product. Part of fabric is aerated, so if what you want is a winter footwear, advise look at this model but is more closed and does n"&amp;"ot have this type of fabric, there are leather and non-aerated fabric and no cold air will enter feet")</f>
        <v>Not purely winter footwear with this finish has come all perfect. The product is as it is seen in the images and original product. Part of fabric is aerated, so if what you want is a winter footwear, advise look at this model but is more closed and does not have this type of fabric, there are leather and non-aerated fabric and no cold air will enter feet</v>
      </c>
    </row>
    <row r="4647">
      <c r="A4647" s="1">
        <v>5.0</v>
      </c>
      <c r="B4647" s="1" t="s">
        <v>4620</v>
      </c>
      <c r="C4647" t="str">
        <f>IFERROR(__xludf.DUMMYFUNCTION("GOOGLETRANSLATE(B4647, ""es"", ""en"")"),"Bluetooth helmets sports are very comfortable, as the appendix surrounding the ear is very flexible, but subject very well the helmet to the exercise. They have good power and sound quality. Good buy for sports.")</f>
        <v>Bluetooth helmets sports are very comfortable, as the appendix surrounding the ear is very flexible, but subject very well the helmet to the exercise. They have good power and sound quality. Good buy for sports.</v>
      </c>
    </row>
    <row r="4648">
      <c r="A4648" s="1">
        <v>5.0</v>
      </c>
      <c r="B4648" s="1" t="s">
        <v>4621</v>
      </c>
      <c r="C4648" t="str">
        <f>IFERROR(__xludf.DUMMYFUNCTION("GOOGLETRANSLATE(B4648, ""es"", ""en"")"),"Better than expected exceeds expectations, quality of materials, power, noise, by the time complies with everything. Fantastica hand mixer more q enough for a home.")</f>
        <v>Better than expected exceeds expectations, quality of materials, power, noise, by the time complies with everything. Fantastica hand mixer more q enough for a home.</v>
      </c>
    </row>
    <row r="4649">
      <c r="A4649" s="1">
        <v>2.0</v>
      </c>
      <c r="B4649" s="1" t="s">
        <v>4622</v>
      </c>
      <c r="C4649" t="str">
        <f>IFERROR(__xludf.DUMMYFUNCTION("GOOGLETRANSLATE(B4649, ""es"", ""en"")"),"Six equal purchased in a year I have arrived two broken purchased over the past year 6 units this hard drive and two have arrived broken. The last today. The first with a clear clang and can not make the spin-up. The last of today (and in return process) "&amp;"beeping every two seconds and not rotating. Really do not know if it is low quality of these discs or if Amazon is re-sending as new returned by other buyers. For today I came in a box that left much to be desired and without any bubble wrap as others. I "&amp;"appreciate the ease of returning these DOA but creates an inconvenience when you have no time to lose in this process")</f>
        <v>Six equal purchased in a year I have arrived two broken purchased over the past year 6 units this hard drive and two have arrived broken. The last today. The first with a clear clang and can not make the spin-up. The last of today (and in return process) beeping every two seconds and not rotating. Really do not know if it is low quality of these discs or if Amazon is re-sending as new returned by other buyers. For today I came in a box that left much to be desired and without any bubble wrap as others. I appreciate the ease of returning these DOA but creates an inconvenience when you have no time to lose in this process</v>
      </c>
    </row>
    <row r="4650">
      <c r="A4650" s="1">
        <v>3.0</v>
      </c>
      <c r="B4650" s="1" t="s">
        <v>4623</v>
      </c>
      <c r="C4650" t="str">
        <f>IFERROR(__xludf.DUMMYFUNCTION("GOOGLETRANSLATE(B4650, ""es"", ""en"")"),"Good headphones, but ... are exactly the same headphones that came on my Samsung S3 Neo, and I screwed up to the break the cable reaches the receiver. Have good sound quality and I like that can be operated from the control it bears the cable itself (allo"&amp;"ws to volume, pause, fast forward and rewind as well as talk when they call, or give vocal instructions to the assistant), but .... They are set to break back, for a headset and begins to fail. Its weakness is the cable near the headphones and Jack himsel"&amp;"f, and though knowingly buy anything I reinforced with the duct tape, I just extended a little duration. Although we must also take into account that for the price you have, you can change them every year ;-)")</f>
        <v>Good headphones, but ... are exactly the same headphones that came on my Samsung S3 Neo, and I screwed up to the break the cable reaches the receiver. Have good sound quality and I like that can be operated from the control it bears the cable itself (allows to volume, pause, fast forward and rewind as well as talk when they call, or give vocal instructions to the assistant), but .... They are set to break back, for a headset and begins to fail. Its weakness is the cable near the headphones and Jack himself, and though knowingly buy anything I reinforced with the duct tape, I just extended a little duration. Although we must also take into account that for the price you have, you can change them every year ;-)</v>
      </c>
    </row>
    <row r="4651">
      <c r="A4651" s="1">
        <v>1.0</v>
      </c>
      <c r="B4651" s="1" t="s">
        <v>4624</v>
      </c>
      <c r="C4651" t="str">
        <f>IFERROR(__xludf.DUMMYFUNCTION("GOOGLETRANSLATE(B4651, ""es"", ""en"")"),"The Reebok Reebok princess have two and a half months and all skin lifted and now I will make repayment and tells me that since the term is over. I think one month to return is incorrect.")</f>
        <v>The Reebok Reebok princess have two and a half months and all skin lifted and now I will make repayment and tells me that since the term is over. I think one month to return is incorrect.</v>
      </c>
    </row>
    <row r="4652">
      <c r="A4652" s="1">
        <v>1.0</v>
      </c>
      <c r="B4652" s="1" t="s">
        <v>4625</v>
      </c>
      <c r="C4652" t="str">
        <f>IFERROR(__xludf.DUMMYFUNCTION("GOOGLETRANSLATE(B4652, ""es"", ""en"")"),"Crumpled and folded I got crumpled and bent would not buy")</f>
        <v>Crumpled and folded I got crumpled and bent would not buy</v>
      </c>
    </row>
    <row r="4653">
      <c r="A4653" s="1">
        <v>1.0</v>
      </c>
      <c r="B4653" s="1" t="s">
        <v>4626</v>
      </c>
      <c r="C4653" t="str">
        <f>IFERROR(__xludf.DUMMYFUNCTION("GOOGLETRANSLATE(B4653, ""es"", ""en"")"),"TRASH headphones are a very bad purchase. It took nearly three months to arrive and lasted exactly two days. In the second day use the left earpiece stopped working for no reason (hit, crash etc). I not recommended at all, costing 3 euros not worth it, no"&amp;" waiting.")</f>
        <v>TRASH headphones are a very bad purchase. It took nearly three months to arrive and lasted exactly two days. In the second day use the left earpiece stopped working for no reason (hit, crash etc). I not recommended at all, costing 3 euros not worth it, no waiting.</v>
      </c>
    </row>
    <row r="4654">
      <c r="A4654" s="1">
        <v>4.0</v>
      </c>
      <c r="B4654" s="1" t="s">
        <v>4627</v>
      </c>
      <c r="C4654" t="str">
        <f>IFERROR(__xludf.DUMMYFUNCTION("GOOGLETRANSLATE(B4654, ""es"", ""en"")"),"Similar to the original product The product is correct, although the color of the belt is slightly yellower than the original target. Moreover, it is a completely satisfactory product")</f>
        <v>Similar to the original product The product is correct, although the color of the belt is slightly yellower than the original target. Moreover, it is a completely satisfactory product</v>
      </c>
    </row>
    <row r="4655">
      <c r="A4655" s="1">
        <v>4.0</v>
      </c>
      <c r="B4655" s="1" t="s">
        <v>4628</v>
      </c>
      <c r="C4655" t="str">
        <f>IFERROR(__xludf.DUMMYFUNCTION("GOOGLETRANSLATE(B4655, ""es"", ""en"")"),"a little big perfect material, all we would highlight is that could fit a little more, I have the wrist rather narrow and adjusting to the maximum that gives me there is still a little loose.")</f>
        <v>a little big perfect material, all we would highlight is that could fit a little more, I have the wrist rather narrow and adjusting to the maximum that gives me there is still a little loose.</v>
      </c>
    </row>
    <row r="4656">
      <c r="A4656" s="1">
        <v>4.0</v>
      </c>
      <c r="B4656" s="1" t="s">
        <v>4629</v>
      </c>
      <c r="C4656" t="str">
        <f>IFERROR(__xludf.DUMMYFUNCTION("GOOGLETRANSLATE(B4656, ""es"", ""en"")"),"Sizing perfect great, and expected quality. It notes that is a good product. In addition buy it at a good price 115 euros")</f>
        <v>Sizing perfect great, and expected quality. It notes that is a good product. In addition buy it at a good price 115 euros</v>
      </c>
    </row>
    <row r="4657">
      <c r="A4657" s="1">
        <v>4.0</v>
      </c>
      <c r="B4657" s="1" t="s">
        <v>4630</v>
      </c>
      <c r="C4657" t="str">
        <f>IFERROR(__xludf.DUMMYFUNCTION("GOOGLETRANSLATE(B4657, ""es"", ""en"")"),"Pretty good money, either in money although somewhat small")</f>
        <v>Pretty good money, either in money although somewhat small</v>
      </c>
    </row>
    <row r="4658">
      <c r="A4658" s="1">
        <v>4.0</v>
      </c>
      <c r="B4658" s="1" t="s">
        <v>4631</v>
      </c>
      <c r="C4658" t="str">
        <f>IFERROR(__xludf.DUMMYFUNCTION("GOOGLETRANSLATE(B4658, ""es"", ""en"")"),"Good product is a good size and hold time dealing all-terrain I give every day, many pocket to get many things only got him to give a negative comment, the strap to tell is too short would have to take a few centimeters, otherwise it is fine.")</f>
        <v>Good product is a good size and hold time dealing all-terrain I give every day, many pocket to get many things only got him to give a negative comment, the strap to tell is too short would have to take a few centimeters, otherwise it is fine.</v>
      </c>
    </row>
    <row r="4659">
      <c r="A4659" s="1">
        <v>5.0</v>
      </c>
      <c r="B4659" s="1" t="s">
        <v>4632</v>
      </c>
      <c r="C4659" t="str">
        <f>IFERROR(__xludf.DUMMYFUNCTION("GOOGLETRANSLATE(B4659, ""es"", ""en"")"),"Bonitas ideal and very comfortable. Saucony is sure success. It is already the third pair I buy.")</f>
        <v>Bonitas ideal and very comfortable. Saucony is sure success. It is already the third pair I buy.</v>
      </c>
    </row>
    <row r="4660">
      <c r="A4660" s="1">
        <v>5.0</v>
      </c>
      <c r="B4660" s="1" t="s">
        <v>4633</v>
      </c>
      <c r="C4660" t="str">
        <f>IFERROR(__xludf.DUMMYFUNCTION("GOOGLETRANSLATE(B4660, ""es"", ""en"")"),"Fabric easy to clean, waterproof and very good capacity has delighted my partner. The ability to carry and other tablet is perfect. The fabric is cleaned with a damp panorama and is perfect.")</f>
        <v>Fabric easy to clean, waterproof and very good capacity has delighted my partner. The ability to carry and other tablet is perfect. The fabric is cleaned with a damp panorama and is perfect.</v>
      </c>
    </row>
    <row r="4661">
      <c r="A4661" s="1">
        <v>5.0</v>
      </c>
      <c r="B4661" s="1" t="s">
        <v>4634</v>
      </c>
      <c r="C4661" t="str">
        <f>IFERROR(__xludf.DUMMYFUNCTION("GOOGLETRANSLATE(B4661, ""es"", ""en"")"),"Perfect comfort and very comfortable! Carve a bit more than the usual number")</f>
        <v>Perfect comfort and very comfortable! Carve a bit more than the usual number</v>
      </c>
    </row>
    <row r="4662">
      <c r="A4662" s="1">
        <v>5.0</v>
      </c>
      <c r="B4662" s="1" t="s">
        <v>4635</v>
      </c>
      <c r="C4662" t="str">
        <f>IFERROR(__xludf.DUMMYFUNCTION("GOOGLETRANSLATE(B4662, ""es"", ""en"")"),"ideasles if you have the milk takes the bags that come from freezing are perfect, because they come with a strap that hang in the milk, and directly brings to the refrigerator / freezer, and you save the sterilizing bottles, on the other hand the containe"&amp;"r befell me pearl to save the milk the baby was going to take that day, or even freeze, now calm tetina, I have to say that my baby was not done to it, found it difficult to suckle, and the end is tired of not get anything and it was impossible that you t"&amp;"ake a bottle with the nipple.")</f>
        <v>ideasles if you have the milk takes the bags that come from freezing are perfect, because they come with a strap that hang in the milk, and directly brings to the refrigerator / freezer, and you save the sterilizing bottles, on the other hand the container befell me pearl to save the milk the baby was going to take that day, or even freeze, now calm tetina, I have to say that my baby was not done to it, found it difficult to suckle, and the end is tired of not get anything and it was impossible that you take a bottle with the nipple.</v>
      </c>
    </row>
    <row r="4663">
      <c r="A4663" s="1">
        <v>5.0</v>
      </c>
      <c r="B4663" s="1" t="s">
        <v>4636</v>
      </c>
      <c r="C4663" t="str">
        <f>IFERROR(__xludf.DUMMYFUNCTION("GOOGLETRANSLATE(B4663, ""es"", ""en"")"),"thank you very much for shipping wine in perfect condition because I really liked and perfect wine in very good condition and capsules fall perfectly'm very happy")</f>
        <v>thank you very much for shipping wine in perfect condition because I really liked and perfect wine in very good condition and capsules fall perfectly'm very happy</v>
      </c>
    </row>
    <row r="4664">
      <c r="A4664" s="1">
        <v>5.0</v>
      </c>
      <c r="B4664" s="1" t="s">
        <v>4637</v>
      </c>
      <c r="C4664" t="str">
        <f>IFERROR(__xludf.DUMMYFUNCTION("GOOGLETRANSLATE(B4664, ""es"", ""en"")"),"Very good blender is a blender glass of a reference mark on appliances and good performance. The set is formed of two pieces, base and glass. From the first contact with it, it shows that we have a good quality product, primarily for materials and robustn"&amp;"ess that at first sight seem to have all components. It includes a book with the manual and some recipes. The blades are included in the vessel itself, more than 2l capacity, more than enough. The glass weighs enough, is glass and withstands temperatures "&amp;"high. I have found it generally quite discreet, not too bulky, because the whole jar-base occupies considerably less than other models that I could try. Regarding operation, behaves as expected, can seamlessly with any food I've tasted. It has a wheel wit"&amp;"h which we can control the power and mixing time manually or select one of the presets at its disposal. As a safety mechanism, the blender does not work if the carafe is not well located at the base and secured. To do this, you have to lock it and turn it"&amp;" until the stop. It is useful to prevent the mixer will not operate accidentally and can have a scare. The base is very stable and does not move anything, even at full power. It has suction cups that keep slipping from the top. Little more to add, so far,"&amp;" everything I've tried to do with it, has gone as expected, so far I am very happy with it.")</f>
        <v>Very good blender is a blender glass of a reference mark on appliances and good performance. The set is formed of two pieces, base and glass. From the first contact with it, it shows that we have a good quality product, primarily for materials and robustness that at first sight seem to have all components. It includes a book with the manual and some recipes. The blades are included in the vessel itself, more than 2l capacity, more than enough. The glass weighs enough, is glass and withstands temperatures high. I have found it generally quite discreet, not too bulky, because the whole jar-base occupies considerably less than other models that I could try. Regarding operation, behaves as expected, can seamlessly with any food I've tasted. It has a wheel with which we can control the power and mixing time manually or select one of the presets at its disposal. As a safety mechanism, the blender does not work if the carafe is not well located at the base and secured. To do this, you have to lock it and turn it until the stop. It is useful to prevent the mixer will not operate accidentally and can have a scare. The base is very stable and does not move anything, even at full power. It has suction cups that keep slipping from the top. Little more to add, so far, everything I've tried to do with it, has gone as expected, so far I am very happy with it.</v>
      </c>
    </row>
    <row r="4665">
      <c r="A4665" s="1">
        <v>5.0</v>
      </c>
      <c r="B4665" s="1" t="s">
        <v>4638</v>
      </c>
      <c r="C4665" t="str">
        <f>IFERROR(__xludf.DUMMYFUNCTION("GOOGLETRANSLATE(B4665, ""es"", ""en"")"),"Comfortable, practical and beautiful. Comfortable and practical are very comfortable, practical and easy to limpiar.Muy pretty happy with purchase ... Voldria to buy another Veu")</f>
        <v>Comfortable, practical and beautiful. Comfortable and practical are very comfortable, practical and easy to limpiar.Muy pretty happy with purchase ... Voldria to buy another Veu</v>
      </c>
    </row>
    <row r="4666">
      <c r="A4666" s="1">
        <v>5.0</v>
      </c>
      <c r="B4666" s="1" t="s">
        <v>4639</v>
      </c>
      <c r="C4666" t="str">
        <f>IFERROR(__xludf.DUMMYFUNCTION("GOOGLETRANSLATE(B4666, ""es"", ""en"")"),"Very good product is durable and has good quality / price.")</f>
        <v>Very good product is durable and has good quality / price.</v>
      </c>
    </row>
    <row r="4667">
      <c r="A4667" s="1">
        <v>5.0</v>
      </c>
      <c r="B4667" s="1" t="s">
        <v>4640</v>
      </c>
      <c r="C4667" t="str">
        <f>IFERROR(__xludf.DUMMYFUNCTION("GOOGLETRANSLATE(B4667, ""es"", ""en"")"),"good power surprised me the speed and power that has the mixer, very happy with it time and totally recommend purchase because value is second to none")</f>
        <v>good power surprised me the speed and power that has the mixer, very happy with it time and totally recommend purchase because value is second to none</v>
      </c>
    </row>
    <row r="4668">
      <c r="A4668" s="1">
        <v>5.0</v>
      </c>
      <c r="B4668" s="1" t="s">
        <v>4641</v>
      </c>
      <c r="C4668" t="str">
        <f>IFERROR(__xludf.DUMMYFUNCTION("GOOGLETRANSLATE(B4668, ""es"", ""en"")"),"Very satisfied very good value - price.")</f>
        <v>Very satisfied very good value - price.</v>
      </c>
    </row>
    <row r="4669">
      <c r="A4669" s="1">
        <v>5.0</v>
      </c>
      <c r="B4669" s="1" t="s">
        <v>4642</v>
      </c>
      <c r="C4669" t="str">
        <f>IFERROR(__xludf.DUMMYFUNCTION("GOOGLETRANSLATE(B4669, ""es"", ""en"")"),"Perfect for cl-625 Yamaha Clavinova Just what I needed to manipulate controls my Yamaha Clavinova piano perfect cl-625 works with the iPhone XS. Recommended and inexpensive.")</f>
        <v>Perfect for cl-625 Yamaha Clavinova Just what I needed to manipulate controls my Yamaha Clavinova piano perfect cl-625 works with the iPhone XS. Recommended and inexpensive.</v>
      </c>
    </row>
    <row r="4670">
      <c r="A4670" s="1">
        <v>5.0</v>
      </c>
      <c r="B4670" s="1" t="s">
        <v>4643</v>
      </c>
      <c r="C4670" t="str">
        <f>IFERROR(__xludf.DUMMYFUNCTION("GOOGLETRANSLATE(B4670, ""es"", ""en"")"),"Well Meets features.")</f>
        <v>Well Meets features.</v>
      </c>
    </row>
    <row r="4671">
      <c r="A4671" s="1">
        <v>5.0</v>
      </c>
      <c r="B4671" s="1" t="s">
        <v>4644</v>
      </c>
      <c r="C4671" t="str">
        <f>IFERROR(__xludf.DUMMYFUNCTION("GOOGLETRANSLATE(B4671, ""es"", ""en"")"),"Convenient and inexpensive works as a Category superior but cheaper")</f>
        <v>Convenient and inexpensive works as a Category superior but cheaper</v>
      </c>
    </row>
    <row r="4672">
      <c r="A4672" s="1">
        <v>5.0</v>
      </c>
      <c r="B4672" s="1" t="s">
        <v>4645</v>
      </c>
      <c r="C4672" t="str">
        <f>IFERROR(__xludf.DUMMYFUNCTION("GOOGLETRANSLATE(B4672, ""es"", ""en"")"),"Top Value! Weighs nothing, is very strong and is very very soft. Best juicer I bought far. superior and value for money!")</f>
        <v>Top Value! Weighs nothing, is very strong and is very very soft. Best juicer I bought far. superior and value for money!</v>
      </c>
    </row>
    <row r="4673">
      <c r="A4673" s="1">
        <v>5.0</v>
      </c>
      <c r="B4673" s="1" t="s">
        <v>4646</v>
      </c>
      <c r="C4673" t="str">
        <f>IFERROR(__xludf.DUMMYFUNCTION("GOOGLETRANSLATE(B4673, ""es"", ""en"")"),"fantastic sports bra very comfortable and, in addition, mono")</f>
        <v>fantastic sports bra very comfortable and, in addition, mono</v>
      </c>
    </row>
    <row r="4674">
      <c r="A4674" s="1">
        <v>5.0</v>
      </c>
      <c r="B4674" s="1" t="s">
        <v>4647</v>
      </c>
      <c r="C4674" t="str">
        <f>IFERROR(__xludf.DUMMYFUNCTION("GOOGLETRANSLATE(B4674, ""es"", ""en"")"),"Small comfortable and convenient and perfect for holding notes")</f>
        <v>Small comfortable and convenient and perfect for holding notes</v>
      </c>
    </row>
    <row r="4675">
      <c r="A4675" s="1">
        <v>5.0</v>
      </c>
      <c r="B4675" s="1" t="s">
        <v>4648</v>
      </c>
      <c r="C4675" t="str">
        <f>IFERROR(__xludf.DUMMYFUNCTION("GOOGLETRANSLATE(B4675, ""es"", ""en"")"),"These small and ultra-thin double-sided adhesives are perfect for photographs as they are small and ultrathin also the box itself includes a dispenser which makes it practical to remove the adhesive.")</f>
        <v>These small and ultra-thin double-sided adhesives are perfect for photographs as they are small and ultrathin also the box itself includes a dispenser which makes it practical to remove the adhesive.</v>
      </c>
    </row>
    <row r="4676">
      <c r="A4676" s="1">
        <v>5.0</v>
      </c>
      <c r="B4676" s="1" t="s">
        <v>4649</v>
      </c>
      <c r="C4676" t="str">
        <f>IFERROR(__xludf.DUMMYFUNCTION("GOOGLETRANSLATE(B4676, ""es"", ""en"")"),"I expected are very nice, as seen in the photo. They are of medium size and weigh nothing !! There are very good!")</f>
        <v>I expected are very nice, as seen in the photo. They are of medium size and weigh nothing !! There are very good!</v>
      </c>
    </row>
    <row r="4677">
      <c r="A4677" s="1">
        <v>5.0</v>
      </c>
      <c r="B4677" s="1" t="s">
        <v>4650</v>
      </c>
      <c r="C4677" t="str">
        <f>IFERROR(__xludf.DUMMYFUNCTION("GOOGLETRANSLATE(B4677, ""es"", ""en"")"),"Sneakers Very comfortable and good quality")</f>
        <v>Sneakers Very comfortable and good quality</v>
      </c>
    </row>
    <row r="4678">
      <c r="A4678" s="1">
        <v>2.0</v>
      </c>
      <c r="B4678" s="1" t="s">
        <v>4651</v>
      </c>
      <c r="C4678" t="str">
        <f>IFERROR(__xludf.DUMMYFUNCTION("GOOGLETRANSLATE(B4678, ""es"", ""en"")"),"I am super-cool I love the design. perfect size because larger would not be good. No matter how old you have to take them because the beauty wears well on anyone. I'm super-allergic and have no problems.")</f>
        <v>I am super-cool I love the design. perfect size because larger would not be good. No matter how old you have to take them because the beauty wears well on anyone. I'm super-allergic and have no problems.</v>
      </c>
    </row>
    <row r="4679">
      <c r="A4679" s="1">
        <v>3.0</v>
      </c>
      <c r="B4679" s="1" t="s">
        <v>4652</v>
      </c>
      <c r="C4679" t="str">
        <f>IFERROR(__xludf.DUMMYFUNCTION("GOOGLETRANSLATE(B4679, ""es"", ""en"")"),"The image is actually better than the advertising image is very attractive. Then it small. For the rest is fine. Despite criticism is recommended with the caveat that the so large in the photo cheats")</f>
        <v>The image is actually better than the advertising image is very attractive. Then it small. For the rest is fine. Despite criticism is recommended with the caveat that the so large in the photo cheats</v>
      </c>
    </row>
    <row r="4680">
      <c r="A4680" s="1">
        <v>3.0</v>
      </c>
      <c r="B4680" s="1" t="s">
        <v>4653</v>
      </c>
      <c r="C4680" t="str">
        <f>IFERROR(__xludf.DUMMYFUNCTION("GOOGLETRANSLATE(B4680, ""es"", ""en"")"),"Ostentatious but well it works very well and easily connects to the Bluetooth device. The charger goes well. Load acceptably fast and hard. A warns others quite a while before the battery finished with a phrase that is repeated periodically. As negative I"&amp;" say that it is not very ergonomic, and although quite well fastened in the ear protrudes much so is not much less concealed. A touch the easily falls.")</f>
        <v>Ostentatious but well it works very well and easily connects to the Bluetooth device. The charger goes well. Load acceptably fast and hard. A warns others quite a while before the battery finished with a phrase that is repeated periodically. As negative I say that it is not very ergonomic, and although quite well fastened in the ear protrudes much so is not much less concealed. A touch the easily falls.</v>
      </c>
    </row>
    <row r="4681">
      <c r="A4681" s="1">
        <v>3.0</v>
      </c>
      <c r="B4681" s="1" t="s">
        <v>4654</v>
      </c>
      <c r="C4681" t="str">
        <f>IFERROR(__xludf.DUMMYFUNCTION("GOOGLETRANSLATE(B4681, ""es"", ""en"")"),"They fall easily hear well, but they fall easily. Or windy or anything, just move you go to the ground. I guess for the price they can not ask for more")</f>
        <v>They fall easily hear well, but they fall easily. Or windy or anything, just move you go to the ground. I guess for the price they can not ask for more</v>
      </c>
    </row>
    <row r="4682">
      <c r="A4682" s="1">
        <v>1.0</v>
      </c>
      <c r="B4682" s="1" t="s">
        <v>4655</v>
      </c>
      <c r="C4682" t="str">
        <f>IFERROR(__xludf.DUMMYFUNCTION("GOOGLETRANSLATE(B4682, ""es"", ""en"")"),"Nor do I like the photo has come up with 18 days late and nothing q do with the photo, small and not even close to the photo")</f>
        <v>Nor do I like the photo has come up with 18 days late and nothing q do with the photo, small and not even close to the photo</v>
      </c>
    </row>
    <row r="4683">
      <c r="A4683" s="1">
        <v>1.0</v>
      </c>
      <c r="B4683" s="1" t="s">
        <v>4656</v>
      </c>
      <c r="C4683" t="str">
        <f>IFERROR(__xludf.DUMMYFUNCTION("GOOGLETRANSLATE(B4683, ""es"", ""en"")"),"despelacha cable is bad, you have to move the cable to operate because it has orgura and buy 7 months ago, if a cable will not last even one year that you want to tell you is not good.")</f>
        <v>despelacha cable is bad, you have to move the cable to operate because it has orgura and buy 7 months ago, if a cable will not last even one year that you want to tell you is not good.</v>
      </c>
    </row>
    <row r="4684">
      <c r="A4684" s="1">
        <v>4.0</v>
      </c>
      <c r="B4684" s="1" t="s">
        <v>4657</v>
      </c>
      <c r="C4684" t="str">
        <f>IFERROR(__xludf.DUMMYFUNCTION("GOOGLETRANSLATE(B4684, ""es"", ""en"")"),"Very good sound, a little bad materials usually perfect, work very well. The structure is a bit flimsy, but they are very comfortable and sounds great muybien. I recommend amplifier.")</f>
        <v>Very good sound, a little bad materials usually perfect, work very well. The structure is a bit flimsy, but they are very comfortable and sounds great muybien. I recommend amplifier.</v>
      </c>
    </row>
    <row r="4685">
      <c r="A4685" s="1">
        <v>4.0</v>
      </c>
      <c r="B4685" s="1" t="s">
        <v>4658</v>
      </c>
      <c r="C4685" t="str">
        <f>IFERROR(__xludf.DUMMYFUNCTION("GOOGLETRANSLATE(B4685, ""es"", ""en"")"),"Very fair shirt small shirt get in contact with me and the error is resolved")</f>
        <v>Very fair shirt small shirt get in contact with me and the error is resolved</v>
      </c>
    </row>
    <row r="4686">
      <c r="A4686" s="1">
        <v>4.0</v>
      </c>
      <c r="B4686" s="1" t="s">
        <v>4659</v>
      </c>
      <c r="C4686" t="str">
        <f>IFERROR(__xludf.DUMMYFUNCTION("GOOGLETRANSLATE(B4686, ""es"", ""en"")"),"Good to very good price covers are transparent, strong and big bags, at a great price, so they are great. I'll buy again when finished.")</f>
        <v>Good to very good price covers are transparent, strong and big bags, at a great price, so they are great. I'll buy again when finished.</v>
      </c>
    </row>
    <row r="4687">
      <c r="A4687" s="1">
        <v>4.0</v>
      </c>
      <c r="B4687" s="1" t="s">
        <v>4660</v>
      </c>
      <c r="C4687" t="str">
        <f>IFERROR(__xludf.DUMMYFUNCTION("GOOGLETRANSLATE(B4687, ""es"", ""en"")"),"As expected was received within the deadline announced without delay. Measures according to the size requested. acceptable quality, not shrink or fade with washing.")</f>
        <v>As expected was received within the deadline announced without delay. Measures according to the size requested. acceptable quality, not shrink or fade with washing.</v>
      </c>
    </row>
    <row r="4688">
      <c r="A4688" s="1">
        <v>5.0</v>
      </c>
      <c r="B4688" s="1" t="s">
        <v>4661</v>
      </c>
      <c r="C4688" t="str">
        <f>IFERROR(__xludf.DUMMYFUNCTION("GOOGLETRANSLATE(B4688, ""es"", ""en"")"),"all right I'll write some things but it sums up all that are the same as the original, but as the opinion may not be as short as dire that the color is the same, the same size as the glue that sticks the label is the same and I I think this will be enough"&amp;" long commentary.")</f>
        <v>all right I'll write some things but it sums up all that are the same as the original, but as the opinion may not be as short as dire that the color is the same, the same size as the glue that sticks the label is the same and I I think this will be enough long commentary.</v>
      </c>
    </row>
    <row r="4689">
      <c r="A4689" s="1">
        <v>5.0</v>
      </c>
      <c r="B4689" s="1" t="s">
        <v>4662</v>
      </c>
      <c r="C4689" t="str">
        <f>IFERROR(__xludf.DUMMYFUNCTION("GOOGLETRANSLATE(B4689, ""es"", ""en"")"),"Excellent for its aesthetic and its price, it is one of the most attractive USB drives on the market. Its simple design, in which you just have to worry about plugging and do not have to walk dealing with lids or anything else like that, it makes it extre"&amp;"mely practical. In addition, 32 GB for less than 10 € is a bargain. Summary: - Attractive and practical design. - Storage capacity ratio / unbeatable price.")</f>
        <v>Excellent for its aesthetic and its price, it is one of the most attractive USB drives on the market. Its simple design, in which you just have to worry about plugging and do not have to walk dealing with lids or anything else like that, it makes it extremely practical. In addition, 32 GB for less than 10 € is a bargain. Summary: - Attractive and practical design. - Storage capacity ratio / unbeatable price.</v>
      </c>
    </row>
    <row r="4690">
      <c r="A4690" s="1">
        <v>5.0</v>
      </c>
      <c r="B4690" s="1" t="s">
        <v>4663</v>
      </c>
      <c r="C4690" t="str">
        <f>IFERROR(__xludf.DUMMYFUNCTION("GOOGLETRANSLATE(B4690, ""es"", ""en"")"),"Very pretty and practical teapot, exactly what I expected.")</f>
        <v>Very pretty and practical teapot, exactly what I expected.</v>
      </c>
    </row>
    <row r="4691">
      <c r="A4691" s="1">
        <v>5.0</v>
      </c>
      <c r="B4691" s="1" t="s">
        <v>4664</v>
      </c>
      <c r="C4691" t="str">
        <f>IFERROR(__xludf.DUMMYFUNCTION("GOOGLETRANSLATE(B4691, ""es"", ""en"")"),"Very good headphones great headphones. Quality and very comfortable very robust construction. Sound very good, slightly U-shaped profile, good separation of instruments. Need amplification or yes. In the laptop I use an Asus U3 and the xduoo one topping n"&amp;"x1a. better sound with topping, as it is more powerful and neutral amplification. Unamplified sound very, very low and sound quality deficiente.Venía about Takstar hi2050, which broke down and noticed improvement in the sound.")</f>
        <v>Very good headphones great headphones. Quality and very comfortable very robust construction. Sound very good, slightly U-shaped profile, good separation of instruments. Need amplification or yes. In the laptop I use an Asus U3 and the xduoo one topping nx1a. better sound with topping, as it is more powerful and neutral amplification. Unamplified sound very, very low and sound quality deficiente.Venía about Takstar hi2050, which broke down and noticed improvement in the sound.</v>
      </c>
    </row>
    <row r="4692">
      <c r="A4692" s="1">
        <v>5.0</v>
      </c>
      <c r="B4692" s="1" t="s">
        <v>4665</v>
      </c>
      <c r="C4692" t="str">
        <f>IFERROR(__xludf.DUMMYFUNCTION("GOOGLETRANSLATE(B4692, ""es"", ""en"")"),"Quality quality unbeatable price")</f>
        <v>Quality quality unbeatable price</v>
      </c>
    </row>
    <row r="4693">
      <c r="A4693" s="1">
        <v>5.0</v>
      </c>
      <c r="B4693" s="1" t="s">
        <v>4666</v>
      </c>
      <c r="C4693" t="str">
        <f>IFERROR(__xludf.DUMMYFUNCTION("GOOGLETRANSLATE(B4693, ""es"", ""en"")"),"Precious perfect description, very comfortable, very nice, are great and very fast shipping, I have nothing more to add, I recommend 100 x 100")</f>
        <v>Precious perfect description, very comfortable, very nice, are great and very fast shipping, I have nothing more to add, I recommend 100 x 100</v>
      </c>
    </row>
    <row r="4694">
      <c r="A4694" s="1">
        <v>5.0</v>
      </c>
      <c r="B4694" s="1" t="s">
        <v>4667</v>
      </c>
      <c r="C4694" t="str">
        <f>IFERROR(__xludf.DUMMYFUNCTION("GOOGLETRANSLATE(B4694, ""es"", ""en"")"),"He has good size acceptable quality and is comfortable to wear. The quality of the material is very basic, but enough to make its function.")</f>
        <v>He has good size acceptable quality and is comfortable to wear. The quality of the material is very basic, but enough to make its function.</v>
      </c>
    </row>
    <row r="4695">
      <c r="A4695" s="1">
        <v>5.0</v>
      </c>
      <c r="B4695" s="1" t="s">
        <v>4668</v>
      </c>
      <c r="C4695" t="str">
        <f>IFERROR(__xludf.DUMMYFUNCTION("GOOGLETRANSLATE(B4695, ""es"", ""en"")"),"Quality album I bought it already several times for weddings reports specifically for Fotomatón and is perfect for this.")</f>
        <v>Quality album I bought it already several times for weddings reports specifically for Fotomatón and is perfect for this.</v>
      </c>
    </row>
    <row r="4696">
      <c r="A4696" s="1">
        <v>5.0</v>
      </c>
      <c r="B4696" s="1" t="s">
        <v>4669</v>
      </c>
      <c r="C4696" t="str">
        <f>IFERROR(__xludf.DUMMYFUNCTION("GOOGLETRANSLATE(B4696, ""es"", ""en"")"),"OKAY. All right and at a great price.")</f>
        <v>OKAY. All right and at a great price.</v>
      </c>
    </row>
    <row r="4697">
      <c r="A4697" s="1">
        <v>5.0</v>
      </c>
      <c r="B4697" s="1" t="s">
        <v>4670</v>
      </c>
      <c r="C4697" t="str">
        <f>IFERROR(__xludf.DUMMYFUNCTION("GOOGLETRANSLATE(B4697, ""es"", ""en"")"),"I recommend Good")</f>
        <v>I recommend Good</v>
      </c>
    </row>
    <row r="4698">
      <c r="A4698" s="1">
        <v>5.0</v>
      </c>
      <c r="B4698" s="1" t="s">
        <v>4671</v>
      </c>
      <c r="C4698" t="str">
        <f>IFERROR(__xludf.DUMMYFUNCTION("GOOGLETRANSLATE(B4698, ""es"", ""en"")"),"Buenos helmets for day to day was a gift Genial and stay enchanted person could personally try a little and have an amazing sound quality.")</f>
        <v>Buenos helmets for day to day was a gift Genial and stay enchanted person could personally try a little and have an amazing sound quality.</v>
      </c>
    </row>
    <row r="4699">
      <c r="A4699" s="1">
        <v>5.0</v>
      </c>
      <c r="B4699" s="1" t="s">
        <v>4672</v>
      </c>
      <c r="C4699" t="str">
        <f>IFERROR(__xludf.DUMMYFUNCTION("GOOGLETRANSLATE(B4699, ""es"", ""en"")"),"Eran original gift, the size is normally used, fully meet expectations .. comfortable and beautiful")</f>
        <v>Eran original gift, the size is normally used, fully meet expectations .. comfortable and beautiful</v>
      </c>
    </row>
    <row r="4700">
      <c r="A4700" s="1">
        <v>5.0</v>
      </c>
      <c r="B4700" s="1" t="s">
        <v>4673</v>
      </c>
      <c r="C4700" t="str">
        <f>IFERROR(__xludf.DUMMYFUNCTION("GOOGLETRANSLATE(B4700, ""es"", ""en"")"),"Perfect A great book that gets you hooked for the second")</f>
        <v>Perfect A great book that gets you hooked for the second</v>
      </c>
    </row>
    <row r="4701">
      <c r="A4701" s="1">
        <v>5.0</v>
      </c>
      <c r="B4701" s="1" t="s">
        <v>4674</v>
      </c>
      <c r="C4701" t="str">
        <f>IFERROR(__xludf.DUMMYFUNCTION("GOOGLETRANSLATE(B4701, ""es"", ""en"")"),"VERY PRACTICAL. RUSSELL HOBBS TAKES MANY DECADES MAKING EASY DAY TO DAY IN THE KITCHEN. A good example of this are the kettles. COMFORTABLE, practical, simple.")</f>
        <v>VERY PRACTICAL. RUSSELL HOBBS TAKES MANY DECADES MAKING EASY DAY TO DAY IN THE KITCHEN. A good example of this are the kettles. COMFORTABLE, practical, simple.</v>
      </c>
    </row>
    <row r="4702">
      <c r="A4702" s="1">
        <v>5.0</v>
      </c>
      <c r="B4702" s="1" t="s">
        <v>4675</v>
      </c>
      <c r="C4702" t="str">
        <f>IFERROR(__xludf.DUMMYFUNCTION("GOOGLETRANSLATE(B4702, ""es"", ""en"")"),"Precision. He came downloaded because the second hand moving every 2 seconds. Le placed near the window all day and charged. Then when I can, occasionally I put in front of the window, as it comes with overload protection. Most impressive is its accuracy."&amp;" It has been brought forward 1 second to 1 month. If you follow this progression will be about 12 seconds to the year.")</f>
        <v>Precision. He came downloaded because the second hand moving every 2 seconds. Le placed near the window all day and charged. Then when I can, occasionally I put in front of the window, as it comes with overload protection. Most impressive is its accuracy. It has been brought forward 1 second to 1 month. If you follow this progression will be about 12 seconds to the year.</v>
      </c>
    </row>
    <row r="4703">
      <c r="A4703" s="1">
        <v>5.0</v>
      </c>
      <c r="B4703" s="1" t="s">
        <v>4676</v>
      </c>
      <c r="C4703" t="str">
        <f>IFERROR(__xludf.DUMMYFUNCTION("GOOGLETRANSLATE(B4703, ""es"", ""en"")"),"Good buy! They are very comfortable, small and very well pass unnoticed, fit very well to the ear, ideal for sports. I have been using to go to the gym and I have not dropped at any time. The quality with which you hear is very good and clean and the batt"&amp;"ery has so far been holding me, looks like it hard enough. I also find it very comfortable to answer messages without having to remove the phone at all, as for calls and connects to the phone super fast, it is a hoot!")</f>
        <v>Good buy! They are very comfortable, small and very well pass unnoticed, fit very well to the ear, ideal for sports. I have been using to go to the gym and I have not dropped at any time. The quality with which you hear is very good and clean and the battery has so far been holding me, looks like it hard enough. I also find it very comfortable to answer messages without having to remove the phone at all, as for calls and connects to the phone super fast, it is a hoot!</v>
      </c>
    </row>
    <row r="4704">
      <c r="A4704" s="1">
        <v>5.0</v>
      </c>
      <c r="B4704" s="1" t="s">
        <v>4677</v>
      </c>
      <c r="C4704" t="str">
        <f>IFERROR(__xludf.DUMMYFUNCTION("GOOGLETRANSLATE(B4704, ""es"", ""en"")"),"Excellent memory 128GB 3.0 USB connector retractable excellent memory 128GB (3.0) retractable USB connector can only say, I have made a good buy. The piece received barely warm when you use loading data or vice versa. The pendrive is retractable, and my t"&amp;"aste is a success by the manufacturer as this does not take much dust the USB connector and does not disturb the metal part. Atte. Fran P. 17 / November / 2018")</f>
        <v>Excellent memory 128GB 3.0 USB connector retractable excellent memory 128GB (3.0) retractable USB connector can only say, I have made a good buy. The piece received barely warm when you use loading data or vice versa. The pendrive is retractable, and my taste is a success by the manufacturer as this does not take much dust the USB connector and does not disturb the metal part. Atte. Fran P. 17 / November / 2018</v>
      </c>
    </row>
    <row r="4705">
      <c r="A4705" s="1">
        <v>5.0</v>
      </c>
      <c r="B4705" s="1" t="s">
        <v>4678</v>
      </c>
      <c r="C4705" t="str">
        <f>IFERROR(__xludf.DUMMYFUNCTION("GOOGLETRANSLATE(B4705, ""es"", ""en"")"),"I liked very easy to assemble and with many details.")</f>
        <v>I liked very easy to assemble and with many details.</v>
      </c>
    </row>
    <row r="4706">
      <c r="A4706" s="1">
        <v>2.0</v>
      </c>
      <c r="B4706" s="1" t="s">
        <v>4679</v>
      </c>
      <c r="C4706" t="str">
        <f>IFERROR(__xludf.DUMMYFUNCTION("GOOGLETRANSLATE(B4706, ""es"", ""en"")"),"He has stopped holding some books. At the beginning, when I bought it, the lower pin fastened securely books, but with the passage of time, one has surged and now I close the books. Maybe, different incline levels you have. But the bad result of the pins "&amp;"makes no advice.")</f>
        <v>He has stopped holding some books. At the beginning, when I bought it, the lower pin fastened securely books, but with the passage of time, one has surged and now I close the books. Maybe, different incline levels you have. But the bad result of the pins makes no advice.</v>
      </c>
    </row>
    <row r="4707">
      <c r="A4707" s="1">
        <v>3.0</v>
      </c>
      <c r="B4707" s="1" t="s">
        <v>4680</v>
      </c>
      <c r="C4707" t="str">
        <f>IFERROR(__xludf.DUMMYFUNCTION("GOOGLETRANSLATE(B4707, ""es"", ""en"")"),"Panama Jack aviator My son loves but cold despite having inside I borreguito")</f>
        <v>Panama Jack aviator My son loves but cold despite having inside I borreguito</v>
      </c>
    </row>
    <row r="4708">
      <c r="A4708" s="1">
        <v>1.0</v>
      </c>
      <c r="B4708" s="1" t="s">
        <v>4681</v>
      </c>
      <c r="C4708" t="str">
        <f>IFERROR(__xludf.DUMMYFUNCTION("GOOGLETRANSLATE(B4708, ""es"", ""en"")"),"They are very good break and are released very quickly, and I do not have any that can be used. The yarn is very short and fine")</f>
        <v>They are very good break and are released very quickly, and I do not have any that can be used. The yarn is very short and fine</v>
      </c>
    </row>
    <row r="4709">
      <c r="A4709" s="1">
        <v>1.0</v>
      </c>
      <c r="B4709" s="1" t="s">
        <v>4682</v>
      </c>
      <c r="C4709" t="str">
        <f>IFERROR(__xludf.DUMMYFUNCTION("GOOGLETRANSLATE(B4709, ""es"", ""en"")"),"Baby and nothing seem to come without nuts")</f>
        <v>Baby and nothing seem to come without nuts</v>
      </c>
    </row>
    <row r="4710">
      <c r="A4710" s="1">
        <v>4.0</v>
      </c>
      <c r="B4710" s="1" t="s">
        <v>4683</v>
      </c>
      <c r="C4710" t="str">
        <f>IFERROR(__xludf.DUMMYFUNCTION("GOOGLETRANSLATE(B4710, ""es"", ""en"")"),"The best bottles, but ... I bought this pack of bottles at a great price. I had to replace latex teats by, for like my baby. He did not give 5 stars for this matter and because it has the numbers of measures blank and are not clearly")</f>
        <v>The best bottles, but ... I bought this pack of bottles at a great price. I had to replace latex teats by, for like my baby. He did not give 5 stars for this matter and because it has the numbers of measures blank and are not clearly</v>
      </c>
    </row>
    <row r="4711">
      <c r="A4711" s="1">
        <v>4.0</v>
      </c>
      <c r="B4711" s="1" t="s">
        <v>4684</v>
      </c>
      <c r="C4711" t="str">
        <f>IFERROR(__xludf.DUMMYFUNCTION("GOOGLETRANSLATE(B4711, ""es"", ""en"")"),"Good slate Slate works well, the value is great. Assembly, but you're used to ride anything ... It costs a bit different, but at the end you get it! NO I have given the maximum score because it takes me about 9 days to arrive. I recommend it to you!")</f>
        <v>Good slate Slate works well, the value is great. Assembly, but you're used to ride anything ... It costs a bit different, but at the end you get it! NO I have given the maximum score because it takes me about 9 days to arrive. I recommend it to you!</v>
      </c>
    </row>
    <row r="4712">
      <c r="A4712" s="1">
        <v>4.0</v>
      </c>
      <c r="B4712" s="1" t="s">
        <v>4685</v>
      </c>
      <c r="C4712" t="str">
        <f>IFERROR(__xludf.DUMMYFUNCTION("GOOGLETRANSLATE(B4712, ""es"", ""en"")"),"Celia Very nice, thick fabric, and flying. Not too short or too long, a little above the knees. It's great. I recommend.")</f>
        <v>Celia Very nice, thick fabric, and flying. Not too short or too long, a little above the knees. It's great. I recommend.</v>
      </c>
    </row>
    <row r="4713">
      <c r="A4713" s="1">
        <v>4.0</v>
      </c>
      <c r="B4713" s="1" t="s">
        <v>4686</v>
      </c>
      <c r="C4713" t="str">
        <f>IFERROR(__xludf.DUMMYFUNCTION("GOOGLETRANSLATE(B4713, ""es"", ""en"")"),"compact and you can take it to travel this heating pad is good to me muscle contractures, has 3 levels of heat, there q wait a little for the suitable heat goes out alone at 90 minutes")</f>
        <v>compact and you can take it to travel this heating pad is good to me muscle contractures, has 3 levels of heat, there q wait a little for the suitable heat goes out alone at 90 minutes</v>
      </c>
    </row>
    <row r="4714">
      <c r="A4714" s="1">
        <v>4.0</v>
      </c>
      <c r="B4714" s="1" t="s">
        <v>4687</v>
      </c>
      <c r="C4714" t="str">
        <f>IFERROR(__xludf.DUMMYFUNCTION("GOOGLETRANSLATE(B4714, ""es"", ""en"")"),"Highly recommended has met our expectations. My daughter is accustomed to the chest and when it started is the only bottle nipple which have proved that has not rejected. Teat very flexible and perfectly imitates the nipple. I recommend it without a doubt")</f>
        <v>Highly recommended has met our expectations. My daughter is accustomed to the chest and when it started is the only bottle nipple which have proved that has not rejected. Teat very flexible and perfectly imitates the nipple. I recommend it without a doubt</v>
      </c>
    </row>
    <row r="4715">
      <c r="A4715" s="1">
        <v>5.0</v>
      </c>
      <c r="B4715" s="1" t="s">
        <v>4688</v>
      </c>
      <c r="C4715" t="str">
        <f>IFERROR(__xludf.DUMMYFUNCTION("GOOGLETRANSLATE(B4715, ""es"", ""en"")"),"Great already he had other shoes of the same brand and really do not disappoint, are great. I took my number and is correct")</f>
        <v>Great already he had other shoes of the same brand and really do not disappoint, are great. I took my number and is correct</v>
      </c>
    </row>
    <row r="4716">
      <c r="A4716" s="1">
        <v>5.0</v>
      </c>
      <c r="B4716" s="1" t="s">
        <v>4689</v>
      </c>
      <c r="C4716" t="str">
        <f>IFERROR(__xludf.DUMMYFUNCTION("GOOGLETRANSLATE(B4716, ""es"", ""en"")"),"Fully recommended. Buy what you see. Perfect. Price. Delivery period. Product. Everything is great. Ven perhaps buy other models")</f>
        <v>Fully recommended. Buy what you see. Perfect. Price. Delivery period. Product. Everything is great. Ven perhaps buy other models</v>
      </c>
    </row>
    <row r="4717">
      <c r="A4717" s="1">
        <v>5.0</v>
      </c>
      <c r="B4717" s="1" t="s">
        <v>4690</v>
      </c>
      <c r="C4717" t="str">
        <f>IFERROR(__xludf.DUMMYFUNCTION("GOOGLETRANSLATE(B4717, ""es"", ""en"")"),"the product arrives in good condition calectador water good for travel, house etc ....")</f>
        <v>the product arrives in good condition calectador water good for travel, house etc ....</v>
      </c>
    </row>
    <row r="4718">
      <c r="A4718" s="1">
        <v>5.0</v>
      </c>
      <c r="B4718" s="1" t="s">
        <v>4691</v>
      </c>
      <c r="C4718" t="str">
        <f>IFERROR(__xludf.DUMMYFUNCTION("GOOGLETRANSLATE(B4718, ""es"", ""en"")"),"Good buy comfortable and cool")</f>
        <v>Good buy comfortable and cool</v>
      </c>
    </row>
    <row r="4719">
      <c r="A4719" s="1">
        <v>5.0</v>
      </c>
      <c r="B4719" s="1" t="s">
        <v>4692</v>
      </c>
      <c r="C4719" t="str">
        <f>IFERROR(__xludf.DUMMYFUNCTION("GOOGLETRANSLATE(B4719, ""es"", ""en"")"),"Converse original and perfect Perfect !! Always use so you conversed size. I recommend that you try them in a Antea store and then make order here. They are at a very good price.")</f>
        <v>Converse original and perfect Perfect !! Always use so you conversed size. I recommend that you try them in a Antea store and then make order here. They are at a very good price.</v>
      </c>
    </row>
    <row r="4720">
      <c r="A4720" s="1">
        <v>5.0</v>
      </c>
      <c r="B4720" s="1" t="s">
        <v>4693</v>
      </c>
      <c r="C4720" t="str">
        <f>IFERROR(__xludf.DUMMYFUNCTION("GOOGLETRANSLATE(B4720, ""es"", ""en"")"),"Great vacuum cleaner pleasantly surprised, it works better than expected. Comes with several accessories that help reach everywhere inside the car. It also comes with a cover to keep everything and kept on hand at a time. Aspira very well and is very easy"&amp;" to disassemble and clean.")</f>
        <v>Great vacuum cleaner pleasantly surprised, it works better than expected. Comes with several accessories that help reach everywhere inside the car. It also comes with a cover to keep everything and kept on hand at a time. Aspira very well and is very easy to disassemble and clean.</v>
      </c>
    </row>
    <row r="4721">
      <c r="A4721" s="1">
        <v>5.0</v>
      </c>
      <c r="B4721" s="1" t="s">
        <v>4694</v>
      </c>
      <c r="C4721" t="str">
        <f>IFERROR(__xludf.DUMMYFUNCTION("GOOGLETRANSLATE(B4721, ""es"", ""en"")"),"Great going great for the little coffee foam in the morning.")</f>
        <v>Great going great for the little coffee foam in the morning.</v>
      </c>
    </row>
    <row r="4722">
      <c r="A4722" s="1">
        <v>5.0</v>
      </c>
      <c r="B4722" s="1" t="s">
        <v>4695</v>
      </c>
      <c r="C4722" t="str">
        <f>IFERROR(__xludf.DUMMYFUNCTION("GOOGLETRANSLATE(B4722, ""es"", ""en"")"),"They have very good quality very comfortable with excellent lycra. They are very strong and elastic. The color is a gorgeous metallic blue. The size is good, I mean that the sizing is the same as the European. At the top it has a silver fabric inside the "&amp;"mesh that is making sauna effect and to sweat and lose weight. When I wash it has remained the same, as new. I would highlight how comfortable they are, stick to the skin both looks like not wearing any clothes.")</f>
        <v>They have very good quality very comfortable with excellent lycra. They are very strong and elastic. The color is a gorgeous metallic blue. The size is good, I mean that the sizing is the same as the European. At the top it has a silver fabric inside the mesh that is making sauna effect and to sweat and lose weight. When I wash it has remained the same, as new. I would highlight how comfortable they are, stick to the skin both looks like not wearing any clothes.</v>
      </c>
    </row>
    <row r="4723">
      <c r="A4723" s="1">
        <v>5.0</v>
      </c>
      <c r="B4723" s="1" t="s">
        <v>4696</v>
      </c>
      <c r="C4723" t="str">
        <f>IFERROR(__xludf.DUMMYFUNCTION("GOOGLETRANSLATE(B4723, ""es"", ""en"")"),"mirigc very happy with the order. They seem very good quality and super comfortable. And needless to say it sooo well priced are ... super recommended! I will repeat for sure!")</f>
        <v>mirigc very happy with the order. They seem very good quality and super comfortable. And needless to say it sooo well priced are ... super recommended! I will repeat for sure!</v>
      </c>
    </row>
    <row r="4724">
      <c r="A4724" s="1">
        <v>5.0</v>
      </c>
      <c r="B4724" s="1" t="s">
        <v>4697</v>
      </c>
      <c r="C4724" t="str">
        <f>IFERROR(__xludf.DUMMYFUNCTION("GOOGLETRANSLATE(B4724, ""es"", ""en"")"),"The speed of cleaning and descaling I liked the speed to remove the fat in the pan embedded long time actually really works")</f>
        <v>The speed of cleaning and descaling I liked the speed to remove the fat in the pan embedded long time actually really works</v>
      </c>
    </row>
    <row r="4725">
      <c r="A4725" s="1">
        <v>5.0</v>
      </c>
      <c r="B4725" s="1" t="s">
        <v>4698</v>
      </c>
      <c r="C4725" t="str">
        <f>IFERROR(__xludf.DUMMYFUNCTION("GOOGLETRANSLATE(B4725, ""es"", ""en"")"),"Very good very good start as a ssd drive and is seeking strong and good brand unfortunately I touch screen computer broke and I got to the service")</f>
        <v>Very good very good start as a ssd drive and is seeking strong and good brand unfortunately I touch screen computer broke and I got to the service</v>
      </c>
    </row>
    <row r="4726">
      <c r="A4726" s="1">
        <v>5.0</v>
      </c>
      <c r="B4726" s="1" t="s">
        <v>4699</v>
      </c>
      <c r="C4726" t="str">
        <f>IFERROR(__xludf.DUMMYFUNCTION("GOOGLETRANSLATE(B4726, ""es"", ""en"")"),"well we'll see when you wash.")</f>
        <v>well we'll see when you wash.</v>
      </c>
    </row>
    <row r="4727">
      <c r="A4727" s="1">
        <v>5.0</v>
      </c>
      <c r="B4727" s="1" t="s">
        <v>4700</v>
      </c>
      <c r="C4727" t="str">
        <f>IFERROR(__xludf.DUMMYFUNCTION("GOOGLETRANSLATE(B4727, ""es"", ""en"")"),"Plug and Play disc heal. Not because the hard disk that had stopped working with new Samsung TV, so I had to buy a new one. It is wonderful, very fast and no connection problems. It is thus 3.0 transfer movies to your hard drive is very fast.")</f>
        <v>Plug and Play disc heal. Not because the hard disk that had stopped working with new Samsung TV, so I had to buy a new one. It is wonderful, very fast and no connection problems. It is thus 3.0 transfer movies to your hard drive is very fast.</v>
      </c>
    </row>
    <row r="4728">
      <c r="A4728" s="1">
        <v>5.0</v>
      </c>
      <c r="B4728" s="1" t="s">
        <v>4701</v>
      </c>
      <c r="C4728" t="str">
        <f>IFERROR(__xludf.DUMMYFUNCTION("GOOGLETRANSLATE(B4728, ""es"", ""en"")"),"perfect headphones for free movement is the first time I have this type of headphones and I have real good looking, has charging base with a good finish and come with headphones magnet which makes always go to your site in the load. Use one or 2 perfectly"&amp;" matching them and 2 have microphone, I've also tested and hear you perfectly. I used several hours 2 headphones listening to music and have endured me very well. If you are someone that you usually fall this type of headphones comes a bag with different "&amp;"size pads according to choose the one that best suits. Overall very good impression.")</f>
        <v>perfect headphones for free movement is the first time I have this type of headphones and I have real good looking, has charging base with a good finish and come with headphones magnet which makes always go to your site in the load. Use one or 2 perfectly matching them and 2 have microphone, I've also tested and hear you perfectly. I used several hours 2 headphones listening to music and have endured me very well. If you are someone that you usually fall this type of headphones comes a bag with different size pads according to choose the one that best suits. Overall very good impression.</v>
      </c>
    </row>
    <row r="4729">
      <c r="A4729" s="1">
        <v>5.0</v>
      </c>
      <c r="B4729" s="1" t="s">
        <v>4702</v>
      </c>
      <c r="C4729" t="str">
        <f>IFERROR(__xludf.DUMMYFUNCTION("GOOGLETRANSLATE(B4729, ""es"", ""en"")"),"They were for a gift. Delivery time 24h. Remain so the ad. If you use size 39 is as it is, not as sneakers, you have to think of 1 or even 2 more numbers, of which chocks. Like everything Superga, with very good finishes, with every detail well maintained"&amp;".")</f>
        <v>They were for a gift. Delivery time 24h. Remain so the ad. If you use size 39 is as it is, not as sneakers, you have to think of 1 or even 2 more numbers, of which chocks. Like everything Superga, with very good finishes, with every detail well maintained.</v>
      </c>
    </row>
    <row r="4730">
      <c r="A4730" s="1">
        <v>5.0</v>
      </c>
      <c r="B4730" s="1" t="s">
        <v>4703</v>
      </c>
      <c r="C4730" t="str">
        <f>IFERROR(__xludf.DUMMYFUNCTION("GOOGLETRANSLATE(B4730, ""es"", ""en"")"),"Very nice elegant")</f>
        <v>Very nice elegant</v>
      </c>
    </row>
    <row r="4731">
      <c r="A4731" s="1">
        <v>5.0</v>
      </c>
      <c r="B4731" s="1" t="s">
        <v>4704</v>
      </c>
      <c r="C4731" t="str">
        <f>IFERROR(__xludf.DUMMYFUNCTION("GOOGLETRANSLATE(B4731, ""es"", ""en"")"),"Good Value but something really great as the dream quality of the fabric is good is anything but typical in two days these are broken. What if the size of something big comes from Spain especially waist, but not much either. if you want it too tight is be"&amp;"tter order one size smaller")</f>
        <v>Good Value but something really great as the dream quality of the fabric is good is anything but typical in two days these are broken. What if the size of something big comes from Spain especially waist, but not much either. if you want it too tight is better order one size smaller</v>
      </c>
    </row>
    <row r="4732">
      <c r="A4732" s="1">
        <v>5.0</v>
      </c>
      <c r="B4732" s="1" t="s">
        <v>4705</v>
      </c>
      <c r="C4732" t="str">
        <f>IFERROR(__xludf.DUMMYFUNCTION("GOOGLETRANSLATE(B4732, ""es"", ""en"")"),"Excellent Very good product.")</f>
        <v>Excellent Very good product.</v>
      </c>
    </row>
    <row r="4733">
      <c r="A4733" s="1">
        <v>5.0</v>
      </c>
      <c r="B4733" s="1" t="s">
        <v>4706</v>
      </c>
      <c r="C4733" t="str">
        <f>IFERROR(__xludf.DUMMYFUNCTION("GOOGLETRANSLATE(B4733, ""es"", ""en"")"),"Better than expected Although at first I found them a bit excessive and large, the truth that positions are very nice and apparent and cheer a lot.")</f>
        <v>Better than expected Although at first I found them a bit excessive and large, the truth that positions are very nice and apparent and cheer a lot.</v>
      </c>
    </row>
    <row r="4734">
      <c r="A4734" s="1">
        <v>2.0</v>
      </c>
      <c r="B4734" s="1" t="s">
        <v>4707</v>
      </c>
      <c r="C4734" t="str">
        <f>IFERROR(__xludf.DUMMYFUNCTION("GOOGLETRANSLATE(B4734, ""es"", ""en"")"),"Failure took less than a week with the robot and suddenly I put ""firmware update"" and has not returned to work. the red light flashing, you give clean, hard and nothing remains.")</f>
        <v>Failure took less than a week with the robot and suddenly I put "firmware update" and has not returned to work. the red light flashing, you give clean, hard and nothing remains.</v>
      </c>
    </row>
    <row r="4735">
      <c r="A4735" s="1">
        <v>3.0</v>
      </c>
      <c r="B4735" s="1" t="s">
        <v>4708</v>
      </c>
      <c r="C4735" t="str">
        <f>IFERROR(__xludf.DUMMYFUNCTION("GOOGLETRANSLATE(B4735, ""es"", ""en"")"),"Normal has a good price for the 32 GB you have, the problem is the writing speed, had problems with it, used to store video and capture 4k and I gave judgment for the problem of speed slow writing has, thanks Amazon who returned the money and I did not re"&amp;"turn the product.")</f>
        <v>Normal has a good price for the 32 GB you have, the problem is the writing speed, had problems with it, used to store video and capture 4k and I gave judgment for the problem of speed slow writing has, thanks Amazon who returned the money and I did not return the product.</v>
      </c>
    </row>
    <row r="4736">
      <c r="A4736" s="1">
        <v>3.0</v>
      </c>
      <c r="B4736" s="1" t="s">
        <v>4709</v>
      </c>
      <c r="C4736" t="str">
        <f>IFERROR(__xludf.DUMMYFUNCTION("GOOGLETRANSLATE(B4736, ""es"", ""en"")"),"It's very cool pretty well, save it for important things but if you look not so easy it sneaks a book. But does its job pretty")</f>
        <v>It's very cool pretty well, save it for important things but if you look not so easy it sneaks a book. But does its job pretty</v>
      </c>
    </row>
    <row r="4737">
      <c r="A4737" s="1">
        <v>1.0</v>
      </c>
      <c r="B4737" s="1" t="s">
        <v>4710</v>
      </c>
      <c r="C4737" t="str">
        <f>IFERROR(__xludf.DUMMYFUNCTION("GOOGLETRANSLATE(B4737, ""es"", ""en"")"),"Although milk leaves the anti-colic system goes well, the milk squirts out.")</f>
        <v>Although milk leaves the anti-colic system goes well, the milk squirts out.</v>
      </c>
    </row>
    <row r="4738">
      <c r="A4738" s="1">
        <v>1.0</v>
      </c>
      <c r="B4738" s="1" t="s">
        <v>4711</v>
      </c>
      <c r="C4738" t="str">
        <f>IFERROR(__xludf.DUMMYFUNCTION("GOOGLETRANSLATE(B4738, ""es"", ""en"")"),"Is a esrafa is a scam puts 1TB box but the hard drive is 256 MB")</f>
        <v>Is a esrafa is a scam puts 1TB box but the hard drive is 256 MB</v>
      </c>
    </row>
    <row r="4739">
      <c r="A4739" s="1">
        <v>4.0</v>
      </c>
      <c r="B4739" s="1" t="s">
        <v>4712</v>
      </c>
      <c r="C4739" t="str">
        <f>IFERROR(__xludf.DUMMYFUNCTION("GOOGLETRANSLATE(B4739, ""es"", ""en"")"),"Good product value the quality of the product is good value. The cable is short so an adapter is required. Moreover, the sound is not independiende for each channel is in stereo.")</f>
        <v>Good product value the quality of the product is good value. The cable is short so an adapter is required. Moreover, the sound is not independiende for each channel is in stereo.</v>
      </c>
    </row>
    <row r="4740">
      <c r="A4740" s="1">
        <v>4.0</v>
      </c>
      <c r="B4740" s="1" t="s">
        <v>4713</v>
      </c>
      <c r="C4740" t="str">
        <f>IFERROR(__xludf.DUMMYFUNCTION("GOOGLETRANSLATE(B4740, ""es"", ""en"")"),"Perfect Light and good power. Only has a speed of use. Good value for money")</f>
        <v>Perfect Light and good power. Only has a speed of use. Good value for money</v>
      </c>
    </row>
    <row r="4741">
      <c r="A4741" s="1">
        <v>4.0</v>
      </c>
      <c r="B4741" s="1" t="s">
        <v>4714</v>
      </c>
      <c r="C4741" t="str">
        <f>IFERROR(__xludf.DUMMYFUNCTION("GOOGLETRANSLATE(B4741, ""es"", ""en"")"),"Comfortable and well hey listen well, with whom I talk if I do not lie, say I also listen well, you do not notice you're wearing you, others if as it is quite big, but if you want a battery decent thing hold on, and a microphone to hear you well, all that"&amp;" needs space")</f>
        <v>Comfortable and well hey listen well, with whom I talk if I do not lie, say I also listen well, you do not notice you're wearing you, others if as it is quite big, but if you want a battery decent thing hold on, and a microphone to hear you well, all that needs space</v>
      </c>
    </row>
    <row r="4742">
      <c r="A4742" s="1">
        <v>4.0</v>
      </c>
      <c r="B4742" s="1" t="s">
        <v>4715</v>
      </c>
      <c r="C4742" t="str">
        <f>IFERROR(__xludf.DUMMYFUNCTION("GOOGLETRANSLATE(B4742, ""es"", ""en"")"),"Alicia Collects perfectly hairs of mascotas.Hace some noise, but it's pretty eficaz.Le lack a system to empty comfortably")</f>
        <v>Alicia Collects perfectly hairs of mascotas.Hace some noise, but it's pretty eficaz.Le lack a system to empty comfortably</v>
      </c>
    </row>
    <row r="4743">
      <c r="A4743" s="1">
        <v>4.0</v>
      </c>
      <c r="B4743" s="1" t="s">
        <v>4716</v>
      </c>
      <c r="C4743" t="str">
        <f>IFERROR(__xludf.DUMMYFUNCTION("GOOGLETRANSLATE(B4743, ""es"", ""en"")"),"The product works fine. It seems a bit pricey for what it is, a piece of cloth with hair. The size is perfect for Rodevideo Mic, not the Pro. It is more white than gray. In the picture looks darker than it really is.")</f>
        <v>The product works fine. It seems a bit pricey for what it is, a piece of cloth with hair. The size is perfect for Rodevideo Mic, not the Pro. It is more white than gray. In the picture looks darker than it really is.</v>
      </c>
    </row>
    <row r="4744">
      <c r="A4744" s="1">
        <v>5.0</v>
      </c>
      <c r="B4744" s="1" t="s">
        <v>4717</v>
      </c>
      <c r="C4744" t="str">
        <f>IFERROR(__xludf.DUMMYFUNCTION("GOOGLETRANSLATE(B4744, ""es"", ""en"")"),"Very comfortable Pleased with purchase. Very comfortable and durable.")</f>
        <v>Very comfortable Pleased with purchase. Very comfortable and durable.</v>
      </c>
    </row>
    <row r="4745">
      <c r="A4745" s="1">
        <v>5.0</v>
      </c>
      <c r="B4745" s="1" t="s">
        <v>4718</v>
      </c>
      <c r="C4745" t="str">
        <f>IFERROR(__xludf.DUMMYFUNCTION("GOOGLETRANSLATE(B4745, ""es"", ""en"")"),"Sound design and music for radio headphones are perfect for good and sturdy deporte.Diseño.")</f>
        <v>Sound design and music for radio headphones are perfect for good and sturdy deporte.Diseño.</v>
      </c>
    </row>
    <row r="4746">
      <c r="A4746" s="1">
        <v>5.0</v>
      </c>
      <c r="B4746" s="1" t="s">
        <v>4719</v>
      </c>
      <c r="C4746" t="str">
        <f>IFERROR(__xludf.DUMMYFUNCTION("GOOGLETRANSLATE(B4746, ""es"", ""en"")"),"Vans does not disappoint. Perfect and well priced, I saved me about 20 €. Of the few brands that make large numbers (my son is 47 and a foot wide) and out pretty good.")</f>
        <v>Vans does not disappoint. Perfect and well priced, I saved me about 20 €. Of the few brands that make large numbers (my son is 47 and a foot wide) and out pretty good.</v>
      </c>
    </row>
    <row r="4747">
      <c r="A4747" s="1">
        <v>5.0</v>
      </c>
      <c r="B4747" s="1" t="s">
        <v>4720</v>
      </c>
      <c r="C4747" t="str">
        <f>IFERROR(__xludf.DUMMYFUNCTION("GOOGLETRANSLATE(B4747, ""es"", ""en"")"),"Perfect for trekking If you like trekking or hiking or just hanging out in the field to give these boots around the Salomon brand are a perfect choice. Salomon is a world-class brand in the manufacture of products for trekking and hiking. His reputation i"&amp;"n the making of boots, boots and other materials designed to withstand the ravages of the weather comes from afar. These magnificent boots are lined on the outside fabric Gore-Tex, a material known that isolates the inside from the effects of moisture so "&amp;"that your feet are always dry. As in all boots trekking and hiking one of the things on which the first is fixed one is the drawing of the sole and rubber pads which have this pair of boots are well placed to highlight the two with the toe as part of the "&amp;"tread reinforcement when you're trying to go through steep terrain. Both the heel and at front loot is well protected but I miss a coating of skin on the toe as the only vamp is on the side and on more than one occasion I've stumbled upon a stone, branche"&amp;"s or logs and the coup has taken the instep for whatever reason and if the area is full of fabric is prone to scratches that rend the fabric. While I recognize that on the other side you have left entirely lined material had not transpire as well and the "&amp;"experience would be different. The design is another remarkable point being this very aggressive and is aesthetically very cool place and once combined with short tights that do not reach the ankle. You get a very nice look. It should also be noted that t"&amp;"he boots have a form somewhat narrow so if you have the walk a little fatter account will wear them cost and walk with them but eventually ahormaran your foot and you can enjoy the how they deserve. Very good.")</f>
        <v>Perfect for trekking If you like trekking or hiking or just hanging out in the field to give these boots around the Salomon brand are a perfect choice. Salomon is a world-class brand in the manufacture of products for trekking and hiking. His reputation in the making of boots, boots and other materials designed to withstand the ravages of the weather comes from afar. These magnificent boots are lined on the outside fabric Gore-Tex, a material known that isolates the inside from the effects of moisture so that your feet are always dry. As in all boots trekking and hiking one of the things on which the first is fixed one is the drawing of the sole and rubber pads which have this pair of boots are well placed to highlight the two with the toe as part of the tread reinforcement when you're trying to go through steep terrain. Both the heel and at front loot is well protected but I miss a coating of skin on the toe as the only vamp is on the side and on more than one occasion I've stumbled upon a stone, branches or logs and the coup has taken the instep for whatever reason and if the area is full of fabric is prone to scratches that rend the fabric. While I recognize that on the other side you have left entirely lined material had not transpire as well and the experience would be different. The design is another remarkable point being this very aggressive and is aesthetically very cool place and once combined with short tights that do not reach the ankle. You get a very nice look. It should also be noted that the boots have a form somewhat narrow so if you have the walk a little fatter account will wear them cost and walk with them but eventually ahormaran your foot and you can enjoy the how they deserve. Very good.</v>
      </c>
    </row>
    <row r="4748">
      <c r="A4748" s="1">
        <v>5.0</v>
      </c>
      <c r="B4748" s="1" t="s">
        <v>4721</v>
      </c>
      <c r="C4748" t="str">
        <f>IFERROR(__xludf.DUMMYFUNCTION("GOOGLETRANSLATE(B4748, ""es"", ""en"")"),"Very nice Las bought for my husband and he is very happy with them")</f>
        <v>Very nice Las bought for my husband and he is very happy with them</v>
      </c>
    </row>
    <row r="4749">
      <c r="A4749" s="1">
        <v>5.0</v>
      </c>
      <c r="B4749" s="1" t="s">
        <v>4722</v>
      </c>
      <c r="C4749" t="str">
        <f>IFERROR(__xludf.DUMMYFUNCTION("GOOGLETRANSLATE(B4749, ""es"", ""en"")"),"Very Good Value Very nice watch G-shock of daily use, I use it to work, the clock is exposed has vibration, dust, dirt, liquids, and most enduring hits and new. I am very happy with him and now is my favorite :) I highly recommend it in my profession, sin"&amp;"ce the countdown function with vibration alert the use between 25 and 100 times a day and I should be checking times of welding and this watch helps me a lot. the best in what I wanted with very satisfactory results, very good value.")</f>
        <v>Very Good Value Very nice watch G-shock of daily use, I use it to work, the clock is exposed has vibration, dust, dirt, liquids, and most enduring hits and new. I am very happy with him and now is my favorite :) I highly recommend it in my profession, since the countdown function with vibration alert the use between 25 and 100 times a day and I should be checking times of welding and this watch helps me a lot. the best in what I wanted with very satisfactory results, very good value.</v>
      </c>
    </row>
    <row r="4750">
      <c r="A4750" s="1">
        <v>5.0</v>
      </c>
      <c r="B4750" s="1" t="s">
        <v>4723</v>
      </c>
      <c r="C4750" t="str">
        <f>IFERROR(__xludf.DUMMYFUNCTION("GOOGLETRANSLATE(B4750, ""es"", ""en"")"),"Money Quality-price 10. Nice finish and perfect functionality. It was what I wanted and at a affordable price. recommendable")</f>
        <v>Money Quality-price 10. Nice finish and perfect functionality. It was what I wanted and at a affordable price. recommendable</v>
      </c>
    </row>
    <row r="4751">
      <c r="A4751" s="1">
        <v>5.0</v>
      </c>
      <c r="B4751" s="1" t="s">
        <v>4724</v>
      </c>
      <c r="C4751" t="str">
        <f>IFERROR(__xludf.DUMMYFUNCTION("GOOGLETRANSLATE(B4751, ""es"", ""en"")"),"The best headphones I've had for this price I can think of few better headphones. The sound is perfect for the type of music I listen to, it does not require powerful bass pounding head. They are very comfortable and also to be folded.")</f>
        <v>The best headphones I've had for this price I can think of few better headphones. The sound is perfect for the type of music I listen to, it does not require powerful bass pounding head. They are very comfortable and also to be folded.</v>
      </c>
    </row>
    <row r="4752">
      <c r="A4752" s="1">
        <v>5.0</v>
      </c>
      <c r="B4752" s="1" t="s">
        <v>4725</v>
      </c>
      <c r="C4752" t="str">
        <f>IFERROR(__xludf.DUMMYFUNCTION("GOOGLETRANSLATE(B4752, ""es"", ""en"")"),"ESTUCHE generous case wide to save everything you need. Good quality product and hope it lasts much !!! Great for my son")</f>
        <v>ESTUCHE generous case wide to save everything you need. Good quality product and hope it lasts much !!! Great for my son</v>
      </c>
    </row>
    <row r="4753">
      <c r="A4753" s="1">
        <v>5.0</v>
      </c>
      <c r="B4753" s="1" t="s">
        <v>4726</v>
      </c>
      <c r="C4753" t="str">
        <f>IFERROR(__xludf.DUMMYFUNCTION("GOOGLETRANSLATE(B4753, ""es"", ""en"")"),"All very happy with the product well: teats have the perfect flow so that the baby does not choke and bottles are typical of Medela. In fact, to me personally, the quality Medela I really like, so every purchase is a wise move.")</f>
        <v>All very happy with the product well: teats have the perfect flow so that the baby does not choke and bottles are typical of Medela. In fact, to me personally, the quality Medela I really like, so every purchase is a wise move.</v>
      </c>
    </row>
    <row r="4754">
      <c r="A4754" s="1">
        <v>5.0</v>
      </c>
      <c r="B4754" s="1" t="s">
        <v>4727</v>
      </c>
      <c r="C4754" t="str">
        <f>IFERROR(__xludf.DUMMYFUNCTION("GOOGLETRANSLATE(B4754, ""es"", ""en"")"),"Ok As I expected")</f>
        <v>Ok As I expected</v>
      </c>
    </row>
    <row r="4755">
      <c r="A4755" s="1">
        <v>5.0</v>
      </c>
      <c r="B4755" s="1" t="s">
        <v>4728</v>
      </c>
      <c r="C4755" t="str">
        <f>IFERROR(__xludf.DUMMYFUNCTION("GOOGLETRANSLATE(B4755, ""es"", ""en"")"),"Very good quality / price. The truth is that surprised me a lot these cables, the finishes are really good and very clean sound, is just what I was looking for, highly recommended.")</f>
        <v>Very good quality / price. The truth is that surprised me a lot these cables, the finishes are really good and very clean sound, is just what I was looking for, highly recommended.</v>
      </c>
    </row>
    <row r="4756">
      <c r="A4756" s="1">
        <v>5.0</v>
      </c>
      <c r="B4756" s="1" t="s">
        <v>4729</v>
      </c>
      <c r="C4756" t="str">
        <f>IFERROR(__xludf.DUMMYFUNCTION("GOOGLETRANSLATE(B4756, ""es"", ""en"")"),"Comfort and good cleaning What I like most is that no ay to do adominal force me to buy it because I operated on ernia navel and groin and with this mop only ay to push a little with the palm of your hand and give foot ..primeros days with shoelaces lol b"&amp;"ut leaves me delighted and very good ground handle small for tall people ..")</f>
        <v>Comfort and good cleaning What I like most is that no ay to do adominal force me to buy it because I operated on ernia navel and groin and with this mop only ay to push a little with the palm of your hand and give foot ..primeros days with shoelaces lol but leaves me delighted and very good ground handle small for tall people ..</v>
      </c>
    </row>
    <row r="4757">
      <c r="A4757" s="1">
        <v>5.0</v>
      </c>
      <c r="B4757" s="1" t="s">
        <v>4730</v>
      </c>
      <c r="C4757" t="str">
        <f>IFERROR(__xludf.DUMMYFUNCTION("GOOGLETRANSLATE(B4757, ""es"", ""en"")"),"Small, durable and manageable is a very small SSD speed, high capacity (500GB - 550MB / s). Very useful for carrying amount of GB from here to there. The only downside is that it does not work is media such as TV or multimedia players, that if, in Windows"&amp;" 7, Windows 10 and Mac everything perfect.")</f>
        <v>Small, durable and manageable is a very small SSD speed, high capacity (500GB - 550MB / s). Very useful for carrying amount of GB from here to there. The only downside is that it does not work is media such as TV or multimedia players, that if, in Windows 7, Windows 10 and Mac everything perfect.</v>
      </c>
    </row>
    <row r="4758">
      <c r="A4758" s="1">
        <v>5.0</v>
      </c>
      <c r="B4758" s="1" t="s">
        <v>4731</v>
      </c>
      <c r="C4758" t="str">
        <f>IFERROR(__xludf.DUMMYFUNCTION("GOOGLETRANSLATE(B4758, ""es"", ""en"")"),"At the beginning very comfortable misses you a little rebound effect of the sole, but then you get used and are very comfortable. A good buy")</f>
        <v>At the beginning very comfortable misses you a little rebound effect of the sole, but then you get used and are very comfortable. A good buy</v>
      </c>
    </row>
    <row r="4759">
      <c r="A4759" s="1">
        <v>5.0</v>
      </c>
      <c r="B4759" s="1" t="s">
        <v>4732</v>
      </c>
      <c r="C4759" t="str">
        <f>IFERROR(__xludf.DUMMYFUNCTION("GOOGLETRANSLATE(B4759, ""es"", ""en"")"),"Value is pretty great as all UA products. Recommended and nice.")</f>
        <v>Value is pretty great as all UA products. Recommended and nice.</v>
      </c>
    </row>
    <row r="4760">
      <c r="A4760" s="1">
        <v>5.0</v>
      </c>
      <c r="B4760" s="1" t="s">
        <v>4733</v>
      </c>
      <c r="C4760" t="str">
        <f>IFERROR(__xludf.DUMMYFUNCTION("GOOGLETRANSLATE(B4760, ""es"", ""en"")"),"Everything perfect and fast I'll use it for filing this year. Separate subjects or subjects has come very fast.")</f>
        <v>Everything perfect and fast I'll use it for filing this year. Separate subjects or subjects has come very fast.</v>
      </c>
    </row>
    <row r="4761">
      <c r="A4761" s="1">
        <v>5.0</v>
      </c>
      <c r="B4761" s="1" t="s">
        <v>4734</v>
      </c>
      <c r="C4761" t="str">
        <f>IFERROR(__xludf.DUMMYFUNCTION("GOOGLETRANSLATE(B4761, ""es"", ""en"")"),"Ideal gift Very nice and comfortable. Adjusted number order one size more and acertarás")</f>
        <v>Ideal gift Very nice and comfortable. Adjusted number order one size more and acertarás</v>
      </c>
    </row>
    <row r="4762">
      <c r="A4762" s="1">
        <v>5.0</v>
      </c>
      <c r="B4762" s="1" t="s">
        <v>4735</v>
      </c>
      <c r="C4762" t="str">
        <f>IFERROR(__xludf.DUMMYFUNCTION("GOOGLETRANSLATE(B4762, ""es"", ""en"")"),"Maximum comfort Very comfortable, even for very delicate feet and always they have to wear orthopedic.")</f>
        <v>Maximum comfort Very comfortable, even for very delicate feet and always they have to wear orthopedic.</v>
      </c>
    </row>
    <row r="4763">
      <c r="A4763" s="1">
        <v>2.0</v>
      </c>
      <c r="B4763" s="1" t="s">
        <v>4736</v>
      </c>
      <c r="C4763" t="str">
        <f>IFERROR(__xludf.DUMMYFUNCTION("GOOGLETRANSLATE(B4763, ""es"", ""en"")"),"No small cups fabric stiff and is not adapted to small cups as indicated. He did not like me.")</f>
        <v>No small cups fabric stiff and is not adapted to small cups as indicated. He did not like me.</v>
      </c>
    </row>
    <row r="4764">
      <c r="A4764" s="1">
        <v>3.0</v>
      </c>
      <c r="B4764" s="1" t="s">
        <v>4737</v>
      </c>
      <c r="C4764" t="str">
        <f>IFERROR(__xludf.DUMMYFUNCTION("GOOGLETRANSLATE(B4764, ""es"", ""en"")"),"Good driver but maybe too small and lag The keyboard itself is fine has good size perhaps throwing too small but the biggest problem is that I to the less I go with Lag to the press multiple keys or type I fast the next note was heard looser so on until h"&amp;"ardly heard or that note was jumping, I thought it might be a thing of the Software (FL STUDIO) or hardware but the change by another controller of another brand that was solved, the new sounds without problem and without lag and practically the same nois"&amp;"e level.")</f>
        <v>Good driver but maybe too small and lag The keyboard itself is fine has good size perhaps throwing too small but the biggest problem is that I to the less I go with Lag to the press multiple keys or type I fast the next note was heard looser so on until hardly heard or that note was jumping, I thought it might be a thing of the Software (FL STUDIO) or hardware but the change by another controller of another brand that was solved, the new sounds without problem and without lag and practically the same noise level.</v>
      </c>
    </row>
    <row r="4765">
      <c r="A4765" s="1">
        <v>3.0</v>
      </c>
      <c r="B4765" s="1" t="s">
        <v>4738</v>
      </c>
      <c r="C4765" t="str">
        <f>IFERROR(__xludf.DUMMYFUNCTION("GOOGLETRANSLATE(B4765, ""es"", ""en"")"),"It's pretty simple but does what it needed is nice and well finished. It takes a while to arrive. very affordable price can not ask for more. Very correct")</f>
        <v>It's pretty simple but does what it needed is nice and well finished. It takes a while to arrive. very affordable price can not ask for more. Very correct</v>
      </c>
    </row>
    <row r="4766">
      <c r="A4766" s="1">
        <v>1.0</v>
      </c>
      <c r="B4766" s="1" t="s">
        <v>4739</v>
      </c>
      <c r="C4766" t="str">
        <f>IFERROR(__xludf.DUMMYFUNCTION("GOOGLETRANSLATE(B4766, ""es"", ""en"")"),"They are not original I have the originals that came with the S9 and they have nothing to do with sound quality and materials. I understand that for the price they are not, but that I know now when I saw what they cost, after buying these. But do not put "&amp;"original, to put cheap fake.")</f>
        <v>They are not original I have the originals that came with the S9 and they have nothing to do with sound quality and materials. I understand that for the price they are not, but that I know now when I saw what they cost, after buying these. But do not put original, to put cheap fake.</v>
      </c>
    </row>
    <row r="4767">
      <c r="A4767" s="1">
        <v>1.0</v>
      </c>
      <c r="B4767" s="1" t="s">
        <v>4740</v>
      </c>
      <c r="C4767" t="str">
        <f>IFERROR(__xludf.DUMMYFUNCTION("GOOGLETRANSLATE(B4767, ""es"", ""en"")"),"It has not helped me not escompatible with other brands of bottles. Only it serves for Avent bottles. I could not make it serve as I have another brand of baby bottles.")</f>
        <v>It has not helped me not escompatible with other brands of bottles. Only it serves for Avent bottles. I could not make it serve as I have another brand of baby bottles.</v>
      </c>
    </row>
    <row r="4768">
      <c r="A4768" s="1">
        <v>1.0</v>
      </c>
      <c r="B4768" s="1" t="s">
        <v>4741</v>
      </c>
      <c r="C4768" t="str">
        <f>IFERROR(__xludf.DUMMYFUNCTION("GOOGLETRANSLATE(B4768, ""es"", ""en"")"),"Fiasco! Very careful not to use thick gloves because the product fibers are stuck like pins causing a lot of pain and very fine prásticamente are impossible to remove. I do not recommend, therefore also not clean as far explains the seller.")</f>
        <v>Fiasco! Very careful not to use thick gloves because the product fibers are stuck like pins causing a lot of pain and very fine prásticamente are impossible to remove. I do not recommend, therefore also not clean as far explains the seller.</v>
      </c>
    </row>
    <row r="4769">
      <c r="A4769" s="1">
        <v>4.0</v>
      </c>
      <c r="B4769" s="1" t="s">
        <v>4742</v>
      </c>
      <c r="C4769" t="str">
        <f>IFERROR(__xludf.DUMMYFUNCTION("GOOGLETRANSLATE(B4769, ""es"", ""en"")"),"Very useful when I used two units and all good. The only thing that maybe it would be a very useful 'recipes' también🙂")</f>
        <v>Very useful when I used two units and all good. The only thing that maybe it would be a very useful 'recipes' también🙂</v>
      </c>
    </row>
    <row r="4770">
      <c r="A4770" s="1">
        <v>4.0</v>
      </c>
      <c r="B4770" s="1" t="s">
        <v>4743</v>
      </c>
      <c r="C4770" t="str">
        <f>IFERROR(__xludf.DUMMYFUNCTION("GOOGLETRANSLATE(B4770, ""es"", ""en"")"),"Rasca well, and it is not possible to do Useful damage. I will be brief, practical, not click so it can not hurt, and it just scratches without hurting or leave marks.")</f>
        <v>Rasca well, and it is not possible to do Useful damage. I will be brief, practical, not click so it can not hurt, and it just scratches without hurting or leave marks.</v>
      </c>
    </row>
    <row r="4771">
      <c r="A4771" s="1">
        <v>4.0</v>
      </c>
      <c r="B4771" s="1" t="s">
        <v>4744</v>
      </c>
      <c r="C4771" t="str">
        <f>IFERROR(__xludf.DUMMYFUNCTION("GOOGLETRANSLATE(B4771, ""es"", ""en"")"),"As expected!!! Exlente, high quality and product arrived a day earlier.")</f>
        <v>As expected!!! Exlente, high quality and product arrived a day earlier.</v>
      </c>
    </row>
    <row r="4772">
      <c r="A4772" s="1">
        <v>4.0</v>
      </c>
      <c r="B4772" s="1" t="s">
        <v>4745</v>
      </c>
      <c r="C4772" t="str">
        <f>IFERROR(__xludf.DUMMYFUNCTION("GOOGLETRANSLATE(B4772, ""es"", ""en"")"),"I expected right")</f>
        <v>I expected right</v>
      </c>
    </row>
    <row r="4773">
      <c r="A4773" s="1">
        <v>5.0</v>
      </c>
      <c r="B4773" s="1" t="s">
        <v>4746</v>
      </c>
      <c r="C4773" t="str">
        <f>IFERROR(__xludf.DUMMYFUNCTION("GOOGLETRANSLATE(B4773, ""es"", ""en"")"),"I'm happy the truth, although I remain a little loose, they have exceeded my expectations. I'm very happy")</f>
        <v>I'm happy the truth, although I remain a little loose, they have exceeded my expectations. I'm very happy</v>
      </c>
    </row>
    <row r="4774">
      <c r="A4774" s="1">
        <v>5.0</v>
      </c>
      <c r="B4774" s="1" t="s">
        <v>4747</v>
      </c>
      <c r="C4774" t="str">
        <f>IFERROR(__xludf.DUMMYFUNCTION("GOOGLETRANSLATE(B4774, ""es"", ""en"")"),"great for preparing smoothies I use very often to prepare my protein shakes, and also what I liked most is that it is very easy to clean.")</f>
        <v>great for preparing smoothies I use very often to prepare my protein shakes, and also what I liked most is that it is very easy to clean.</v>
      </c>
    </row>
    <row r="4775">
      <c r="A4775" s="1">
        <v>5.0</v>
      </c>
      <c r="B4775" s="1" t="s">
        <v>4748</v>
      </c>
      <c r="C4775" t="str">
        <f>IFERROR(__xludf.DUMMYFUNCTION("GOOGLETRANSLATE(B4775, ""es"", ""en"")"),"Cracking comfort, binitas and comfortable, can not ask more of a shoe.")</f>
        <v>Cracking comfort, binitas and comfortable, can not ask more of a shoe.</v>
      </c>
    </row>
    <row r="4776">
      <c r="A4776" s="1">
        <v>5.0</v>
      </c>
      <c r="B4776" s="1" t="s">
        <v>4749</v>
      </c>
      <c r="C4776" t="str">
        <f>IFERROR(__xludf.DUMMYFUNCTION("GOOGLETRANSLATE(B4776, ""es"", ""en"")"),"Best kitchen assistant 😘😘😍 The best machine makes me love her all my stay 🚨😍😍😍 definitely makes some carrots shaven fine to the French style I love carrot salad with this machine thanks Amazon")</f>
        <v>Best kitchen assistant 😘😘😍 The best machine makes me love her all my stay 🚨😍😍😍 definitely makes some carrots shaven fine to the French style I love carrot salad with this machine thanks Amazon</v>
      </c>
    </row>
    <row r="4777">
      <c r="A4777" s="1">
        <v>5.0</v>
      </c>
      <c r="B4777" s="1" t="s">
        <v>4750</v>
      </c>
      <c r="C4777" t="str">
        <f>IFERROR(__xludf.DUMMYFUNCTION("GOOGLETRANSLATE(B4777, ""es"", ""en"")"),"Tajetas fast UHS II already are several cards that have this type and frabricante. At the moment I have not failed and cumnplen with my expectations. Needed more storage")</f>
        <v>Tajetas fast UHS II already are several cards that have this type and frabricante. At the moment I have not failed and cumnplen with my expectations. Needed more storage</v>
      </c>
    </row>
    <row r="4778">
      <c r="A4778" s="1">
        <v>5.0</v>
      </c>
      <c r="B4778" s="1" t="s">
        <v>4751</v>
      </c>
      <c r="C4778" t="str">
        <f>IFERROR(__xludf.DUMMYFUNCTION("GOOGLETRANSLATE(B4778, ""es"", ""en"")"),"Very good and takes up little space, very well to transport I bought this lectern to study both at home and in college and was a success, in fact I have 2, one for me and one my partner, very happy, hold regular books without problem and if you close it o"&amp;"ccupies roughly the same space as a book, fits in backpack without problems.")</f>
        <v>Very good and takes up little space, very well to transport I bought this lectern to study both at home and in college and was a success, in fact I have 2, one for me and one my partner, very happy, hold regular books without problem and if you close it occupies roughly the same space as a book, fits in backpack without problems.</v>
      </c>
    </row>
    <row r="4779">
      <c r="A4779" s="1">
        <v>5.0</v>
      </c>
      <c r="B4779" s="1" t="s">
        <v>4752</v>
      </c>
      <c r="C4779" t="str">
        <f>IFERROR(__xludf.DUMMYFUNCTION("GOOGLETRANSLATE(B4779, ""es"", ""en"")"),"I love them very comfortable, cute and durable. Very original. You can use them yet not I have seen anyone. Very happy with the purchase . The have about 3 years ago, I got into the washing machine a thousand times and are intact")</f>
        <v>I love them very comfortable, cute and durable. Very original. You can use them yet not I have seen anyone. Very happy with the purchase . The have about 3 years ago, I got into the washing machine a thousand times and are intact</v>
      </c>
    </row>
    <row r="4780">
      <c r="A4780" s="1">
        <v>5.0</v>
      </c>
      <c r="B4780" s="1" t="s">
        <v>4753</v>
      </c>
      <c r="C4780" t="str">
        <f>IFERROR(__xludf.DUMMYFUNCTION("GOOGLETRANSLATE(B4780, ""es"", ""en"")"),"Fantastic seems incredible how quickly cleaned everything with this. I is very convenient to use because it rotates intuitively. I also bought a crystal there for and I do not like anything that does not rotate like this, which also use it for crystals. W"&amp;"hen I get very dirty wash it by hand if required rub. Otherwise, you can also get into the washing machine.")</f>
        <v>Fantastic seems incredible how quickly cleaned everything with this. I is very convenient to use because it rotates intuitively. I also bought a crystal there for and I do not like anything that does not rotate like this, which also use it for crystals. When I get very dirty wash it by hand if required rub. Otherwise, you can also get into the washing machine.</v>
      </c>
    </row>
    <row r="4781">
      <c r="A4781" s="1">
        <v>5.0</v>
      </c>
      <c r="B4781" s="1" t="s">
        <v>4754</v>
      </c>
      <c r="C4781" t="str">
        <f>IFERROR(__xludf.DUMMYFUNCTION("GOOGLETRANSLATE(B4781, ""es"", ""en"")"),"Gift I've purchased for a gift of kings, I needed help with the theme of the carvings, but I have not had any problems with them. Recommendable.")</f>
        <v>Gift I've purchased for a gift of kings, I needed help with the theme of the carvings, but I have not had any problems with them. Recommendable.</v>
      </c>
    </row>
    <row r="4782">
      <c r="A4782" s="1">
        <v>5.0</v>
      </c>
      <c r="B4782" s="1" t="s">
        <v>4755</v>
      </c>
      <c r="C4782" t="str">
        <f>IFERROR(__xludf.DUMMYFUNCTION("GOOGLETRANSLATE(B4782, ""es"", ""en"")"),"Comfortable and practical, easy assembly. I recommend it. I am very happy with this purchase, not only because I could take advantage of an offer of the prime day, is very practical. Really convenient to have on hand without taking up space the three type"&amp;"s of paper. It helps cut more easily. The assembly and positioning are very simple. I recommend it")</f>
        <v>Comfortable and practical, easy assembly. I recommend it. I am very happy with this purchase, not only because I could take advantage of an offer of the prime day, is very practical. Really convenient to have on hand without taking up space the three types of paper. It helps cut more easily. The assembly and positioning are very simple. I recommend it</v>
      </c>
    </row>
    <row r="4783">
      <c r="A4783" s="1">
        <v>5.0</v>
      </c>
      <c r="B4783" s="1" t="s">
        <v>4756</v>
      </c>
      <c r="C4783" t="str">
        <f>IFERROR(__xludf.DUMMYFUNCTION("GOOGLETRANSLATE(B4783, ""es"", ""en"")"),"The description as it arrived well and in the expected time. Van great and fits perfectly tailored bracelet wrist with a device that brings.")</f>
        <v>The description as it arrived well and in the expected time. Van great and fits perfectly tailored bracelet wrist with a device that brings.</v>
      </c>
    </row>
    <row r="4784">
      <c r="A4784" s="1">
        <v>5.0</v>
      </c>
      <c r="B4784" s="1" t="s">
        <v>4757</v>
      </c>
      <c r="C4784" t="str">
        <f>IFERROR(__xludf.DUMMYFUNCTION("GOOGLETRANSLATE(B4784, ""es"", ""en"")"),"Deebot I not know and I was very surprised! He was torn between similar models like the robot xiaomi roborock s50, but I decided on this because it has two front brushes and although normally this is worth more, if you buy in flash deal comes cheaper. Whe"&amp;"n I received the Deebot notice anything more open that it is a quality product and robust, easy to implement, you just have to take a couple of gums and fit brushes and mop if you want to use. You can use it without the option of scrubbing, but once you f"&amp;"ill the water tank and fit into the deebot this is ready to scrub in the app will appear a few drops and options can select the amount of water you want to go dosing. In my case the dais select the minimum and the truth is that it is very effective and do"&amp;"es not leave the floor with excess water through the system Ozmo only equips this robot. The emptying of the waste container is very simple, the top cover is lifted up and is extracted very easily. It has high capacity in a month that I have and using it "&amp;"daily in 80m2 emptiness once a week and is not full yet. So it is advisable to clean the bottom brush the least once a week because usually stay long tangled hair, but if you have animals brings an accessory that eliminates the central roller and sweeps w"&amp;"ith rotating brushes and center just sucks, so avoid jams with hairs maintaining effectiveness. Furthermore the app you have a section that tells you use your brushes with accessories, filters etc .... the app notifies you when you have to replace them. I"&amp;"n my case I am using it almost every day in a month I still use 93% of what I suppose alert in about a year, although that will depend on the visual appearance to appreciate these consumables to determine when to replace them. As for autonomy I have not l"&amp;"ed to the limit but with 80m2 fails to consume half the battery. The theme of the mapping is amazing, when you put up runs throughout your house and draw a virtual map on the app, you can see at all times where you are and what you have left, you can sele"&amp;"ct the room or rooms you want to clean and then return to its base. Thanks to this mapping makes cleaning effectively and efficiently saving energy and avoiding getting stuck in one room hours. You can control it from the app wherever you are and see wher"&amp;"e you work. When you leave a resting zzz indicating that you are sleeping. And if you do not know where you press deebot locate an option and speaks to you telling you where it is. In summary, the robot vacuum cleaner best value for money.")</f>
        <v>Deebot I not know and I was very surprised! He was torn between similar models like the robot xiaomi roborock s50, but I decided on this because it has two front brushes and although normally this is worth more, if you buy in flash deal comes cheaper. When I received the Deebot notice anything more open that it is a quality product and robust, easy to implement, you just have to take a couple of gums and fit brushes and mop if you want to use. You can use it without the option of scrubbing, but once you fill the water tank and fit into the deebot this is ready to scrub in the app will appear a few drops and options can select the amount of water you want to go dosing. In my case the dais select the minimum and the truth is that it is very effective and does not leave the floor with excess water through the system Ozmo only equips this robot. The emptying of the waste container is very simple, the top cover is lifted up and is extracted very easily. It has high capacity in a month that I have and using it daily in 80m2 emptiness once a week and is not full yet. So it is advisable to clean the bottom brush the least once a week because usually stay long tangled hair, but if you have animals brings an accessory that eliminates the central roller and sweeps with rotating brushes and center just sucks, so avoid jams with hairs maintaining effectiveness. Furthermore the app you have a section that tells you use your brushes with accessories, filters etc .... the app notifies you when you have to replace them. In my case I am using it almost every day in a month I still use 93% of what I suppose alert in about a year, although that will depend on the visual appearance to appreciate these consumables to determine when to replace them. As for autonomy I have not led to the limit but with 80m2 fails to consume half the battery. The theme of the mapping is amazing, when you put up runs throughout your house and draw a virtual map on the app, you can see at all times where you are and what you have left, you can select the room or rooms you want to clean and then return to its base. Thanks to this mapping makes cleaning effectively and efficiently saving energy and avoiding getting stuck in one room hours. You can control it from the app wherever you are and see where you work. When you leave a resting zzz indicating that you are sleeping. And if you do not know where you press deebot locate an option and speaks to you telling you where it is. In summary, the robot vacuum cleaner best value for money.</v>
      </c>
    </row>
    <row r="4785">
      <c r="A4785" s="1">
        <v>5.0</v>
      </c>
      <c r="B4785" s="1" t="s">
        <v>4758</v>
      </c>
      <c r="C4785" t="str">
        <f>IFERROR(__xludf.DUMMYFUNCTION("GOOGLETRANSLATE(B4785, ""es"", ""en"")"),"Good shoes all right. Great value for the price.")</f>
        <v>Good shoes all right. Great value for the price.</v>
      </c>
    </row>
    <row r="4786">
      <c r="A4786" s="1">
        <v>5.0</v>
      </c>
      <c r="B4786" s="1" t="s">
        <v>4759</v>
      </c>
      <c r="C4786" t="str">
        <f>IFERROR(__xludf.DUMMYFUNCTION("GOOGLETRANSLATE(B4786, ""es"", ""en"")"),"Very good very good quality and corresponds to the supply and purchase. It is reversible. Has a very good fall to the wear it")</f>
        <v>Very good very good quality and corresponds to the supply and purchase. It is reversible. Has a very good fall to the wear it</v>
      </c>
    </row>
    <row r="4787">
      <c r="A4787" s="1">
        <v>5.0</v>
      </c>
      <c r="B4787" s="1" t="s">
        <v>4760</v>
      </c>
      <c r="C4787" t="str">
        <f>IFERROR(__xludf.DUMMYFUNCTION("GOOGLETRANSLATE(B4787, ""es"", ""en"")"),"Very good and well made with good materials")</f>
        <v>Very good and well made with good materials</v>
      </c>
    </row>
    <row r="4788">
      <c r="A4788" s="1">
        <v>5.0</v>
      </c>
      <c r="B4788" s="1" t="s">
        <v>4761</v>
      </c>
      <c r="C4788" t="str">
        <f>IFERROR(__xludf.DUMMYFUNCTION("GOOGLETRANSLATE(B4788, ""es"", ""en"")"),"I take work I was pleasantly surprised. I did not think it would work really well. Outwardly it does not seem very robust but it makes me a great role for me going home scouring the sector. A day playing the lounge the other day the hall and touches me so"&amp;" I organized and I also take a job and leave it dry mopping and unblemished. You have to be careful what it stop with the least possible obstacles so when I put it in a space before the tables turn away the chairs of the place so he can wash his breath an"&amp;"d let all good clean. The only downside is that the battery lasts two hours very little to do several rooms in one day so I'm thinking about buying another battery and swap over one load while the other works")</f>
        <v>I take work I was pleasantly surprised. I did not think it would work really well. Outwardly it does not seem very robust but it makes me a great role for me going home scouring the sector. A day playing the lounge the other day the hall and touches me so I organized and I also take a job and leave it dry mopping and unblemished. You have to be careful what it stop with the least possible obstacles so when I put it in a space before the tables turn away the chairs of the place so he can wash his breath and let all good clean. The only downside is that the battery lasts two hours very little to do several rooms in one day so I'm thinking about buying another battery and swap over one load while the other works</v>
      </c>
    </row>
    <row r="4789">
      <c r="A4789" s="1">
        <v>5.0</v>
      </c>
      <c r="B4789" s="1" t="s">
        <v>4762</v>
      </c>
      <c r="C4789" t="str">
        <f>IFERROR(__xludf.DUMMYFUNCTION("GOOGLETRANSLATE(B4789, ""es"", ""en"")"),"Ideals are very cool, comfortable and practical. He loves everyone q showed them. a greeting")</f>
        <v>Ideals are very cool, comfortable and practical. He loves everyone q showed them. a greeting</v>
      </c>
    </row>
    <row r="4790">
      <c r="A4790" s="1">
        <v>5.0</v>
      </c>
      <c r="B4790" s="1" t="s">
        <v>4763</v>
      </c>
      <c r="C4790" t="str">
        <f>IFERROR(__xludf.DUMMYFUNCTION("GOOGLETRANSLATE(B4790, ""es"", ""en"")"),"The shipment arrived everything perfect when to arrive and the product is simply sold. Original, well finished and with the perfect number (which was what scared me a bit). All pefect !!")</f>
        <v>The shipment arrived everything perfect when to arrive and the product is simply sold. Original, well finished and with the perfect number (which was what scared me a bit). All pefect !!</v>
      </c>
    </row>
    <row r="4791">
      <c r="A4791" s="1">
        <v>2.0</v>
      </c>
      <c r="B4791" s="1" t="s">
        <v>4764</v>
      </c>
      <c r="C4791" t="str">
        <f>IFERROR(__xludf.DUMMYFUNCTION("GOOGLETRANSLATE(B4791, ""es"", ""en"")"),"It gives little size. The fabric well but gives little size. Still being thin is too close.")</f>
        <v>It gives little size. The fabric well but gives little size. Still being thin is too close.</v>
      </c>
    </row>
    <row r="4792">
      <c r="A4792" s="1">
        <v>3.0</v>
      </c>
      <c r="B4792" s="1" t="s">
        <v>4765</v>
      </c>
      <c r="C4792" t="str">
        <f>IFERROR(__xludf.DUMMYFUNCTION("GOOGLETRANSLATE(B4792, ""es"", ""en"")"),"Good size too big, maybe too big. Very plasticky and what it is not bear the backlight, as a strong light showed in the middle that barely illuminated the rest killing me. The unit arrived I had a digit cque not fully lit and switch to another slightly sm"&amp;"aller")</f>
        <v>Good size too big, maybe too big. Very plasticky and what it is not bear the backlight, as a strong light showed in the middle that barely illuminated the rest killing me. The unit arrived I had a digit cque not fully lit and switch to another slightly smaller</v>
      </c>
    </row>
    <row r="4793">
      <c r="A4793" s="1">
        <v>3.0</v>
      </c>
      <c r="B4793" s="1" t="s">
        <v>4766</v>
      </c>
      <c r="C4793" t="str">
        <f>IFERROR(__xludf.DUMMYFUNCTION("GOOGLETRANSLATE(B4793, ""es"", ""en"")"),"Problems cloning a disk 10 for the SSD but 0 for WD. The application downloads the page you from WD to clone the hard drive does not work (Acronis WD Edition). Computer crashes and gives errors SSD sectors. After try everything and lose 1 full day I had t"&amp;"o resort to a friend who has the 2018 Acronis full, and so without problems. I nearly SSD back, thought it was defective. By the way, my laptop risen, it's amazing how I improved with the installation of a solid disk.")</f>
        <v>Problems cloning a disk 10 for the SSD but 0 for WD. The application downloads the page you from WD to clone the hard drive does not work (Acronis WD Edition). Computer crashes and gives errors SSD sectors. After try everything and lose 1 full day I had to resort to a friend who has the 2018 Acronis full, and so without problems. I nearly SSD back, thought it was defective. By the way, my laptop risen, it's amazing how I improved with the installation of a solid disk.</v>
      </c>
    </row>
    <row r="4794">
      <c r="A4794" s="1">
        <v>1.0</v>
      </c>
      <c r="B4794" s="1" t="s">
        <v>4767</v>
      </c>
      <c r="C4794" t="str">
        <f>IFERROR(__xludf.DUMMYFUNCTION("GOOGLETRANSLATE(B4794, ""es"", ""en"")"),"How badly carved come deformed and with different pattern")</f>
        <v>How badly carved come deformed and with different pattern</v>
      </c>
    </row>
    <row r="4795">
      <c r="A4795" s="1">
        <v>1.0</v>
      </c>
      <c r="B4795" s="1" t="s">
        <v>4768</v>
      </c>
      <c r="C4795" t="str">
        <f>IFERROR(__xludf.DUMMYFUNCTION("GOOGLETRANSLATE(B4795, ""es"", ""en"")"),"decepcion poor quality, cutting marks and repair itself, no nothing erases")</f>
        <v>decepcion poor quality, cutting marks and repair itself, no nothing erases</v>
      </c>
    </row>
    <row r="4796">
      <c r="A4796" s="1">
        <v>4.0</v>
      </c>
      <c r="B4796" s="1" t="s">
        <v>4769</v>
      </c>
      <c r="C4796" t="str">
        <f>IFERROR(__xludf.DUMMYFUNCTION("GOOGLETRANSLATE(B4796, ""es"", ""en"")"),"It is very fair subject perfectly but for sport is fantastic. Great subject")</f>
        <v>It is very fair subject perfectly but for sport is fantastic. Great subject</v>
      </c>
    </row>
    <row r="4797">
      <c r="A4797" s="1">
        <v>4.0</v>
      </c>
      <c r="B4797" s="1" t="s">
        <v>4770</v>
      </c>
      <c r="C4797" t="str">
        <f>IFERROR(__xludf.DUMMYFUNCTION("GOOGLETRANSLATE(B4797, ""es"", ""en"")"),"excellent coffee &lt;div id = ""video-block-R1TWCFZPNA19P6"" class = ""a-section a-spacing-small a-spacing-top mini video-block""&gt; &lt;div tabindex = ""0"" class = ""airy airy-svg vmin-unsupported airy-skin-beacon ""style ="" background-color: rgb (0, 0, 0) pos"&amp;"ition: relative; width: 100%; height: 100%; font-size: 0px; overflow: hidden; outline : none; ""&gt; &lt;div class ="" airy-renderer-container ""style ="" position: relative; height: 100%; width: 100%; ""&gt; &lt;video id ="" 7 ""preload ="" auto ""src ="" https://im"&amp;"ages-eu.ssl-images-amazon.com/images/I/B1x-ifmBRxS.mp4 ""style ="" position: absolute; left: 0px; top: 0px; overflow: hidden; height: 1px; width : 1px; ""&gt; &lt;/ video&gt; &lt;/ div&gt; &lt;div id ="" airy-slate-preload ""style ="" background-color: rgb (0, 0, 0); backg"&amp;"round-image: url (&amp; quot; https: //images-eu.ssl-images-amazon.com/images/I/91+mU3yHvtS.png&amp;quot;); background-size: Contain; background-position: center center; background-repeat: no-repeat; position: absolute ; top: 0px; left: 0px; visibility: visible; "&amp;"width: 100%; height: 100%; ""&gt; &lt;/ div&gt; &lt;iframe scroll ing = ""no"" frameborder = ""0"" src = ""about: blank"" style = ""display: none;""&gt; &lt;/ iframe&gt; &lt;div tabindex = ""- 1"" class = ""airy-controls-container"" style = "" opacity: 0; visibility: hidden; ""&gt;"&amp;" &lt;div tabindex ="" - 1 ""class ="" airy-screen-size-toggle airy-fullscreen ""&gt; &lt;/ div&gt; &lt;div tabindex ="" - 1 ""class ="" airy-container-bottom "" &gt; &lt;div tabindex = ""- 1"" class = ""airy-track-bar-spacer-left"" style = ""width: 11px;""&gt; &lt;/ div&gt; &lt;div tabin"&amp;"dex = ""- 1"" class = ""airy-play- airy toggle-play ""style ="" width: 12px; margin-right: 12px; ""&gt; &lt;/ div&gt; &lt;div tabindex ="" - 1 ""class ="" airy-audio-elements ""style ="" float: right; width: 34px; ""&gt; &lt;div tabindex ="" - 1 ""class ="" airy-audio-togg"&amp;"le airy-on ""&gt; &lt;/ div&gt; &lt;div tabindex ="" - 1 ""class ="" airy-audio-container ""style = ""opacity: 0; visibility: hidden; ""&gt; &lt;div tabindex ="" - 1 ""class ="" airy-audio-track-bar ""style ="" height: 80%; ""&gt; &lt;div tabindex ="" - 1 ""class ="" airy-audio-"&amp;" Scrubber-bar ""style ="" height: 85%; ""&gt; &lt;/ div&gt; &lt;div tabindex ="" - 1 ""class ="" airy-audio-scrubber ""style ="" height: 12px; bottom: 85% ""&gt; &lt;/ div&gt; &lt;/ div&gt; &lt;/ div&gt; &lt;/ div&gt; &lt;div tabindex ="" - 1 ""class ="" airy-duration-label ""style ="" float: rig"&amp;"ht; width: 26px; margin-right: 4px; text-align: center; ""&gt; 0:00 &lt;/ div&gt; &lt;div tabindex ="" - 1 ""class ="" airy-track-bar-spacer-right ""style ="" float: right; width: 11px; ""&gt; &lt;/ div&gt; &lt;div tabindex ="" - 1 ""class ="" airy-track-bar-container ""style ="&amp;""" margin-left: 35px; margin-right: 75px; ""&gt; &lt;div tabindex ="" - 1 ""class ="" airy-airy-track-bar vertically-centering-table ""&gt; &lt;div tabindex ="" - 1 ""class ="" airy-Vertical-centering- table-cell ""&gt; &lt;div tabindex ="" - 1 ""class ="" airy-track-bar-e"&amp;"lements ""&gt; &lt;div tabindex ="" - 1 ""class ="" airy-progress-bar ""&gt; &lt;/ div&gt; &lt;div tabindex = ""- 1"" class = ""airy-scrubber-bar""&gt; &lt;/ div&gt; &lt;div tabindex = ""- 1"" class = ""airy-scrubber""&gt; &lt;div tabindex = ""- 1"" class = ""airy-scrubber- icon ""&gt; &lt;/ div&gt;"&amp;" &lt;div tabindex ="" - 1 ""class ="" airy-adjusted-AUI-tooltip ""style ="" opacity: 0; visibility: hidden; ""&gt; &lt;div tabindex ="" - 1 ""class ="" airy-adjusted-aui-tooltip-inner ""&gt; &lt;div tabindex ="" - 1 ""class ="" airy-current-time-label ""&gt; 0: 00 &lt;/ div&gt; "&amp;"&lt;/ div&gt; &lt;div tabindex = ""- 1"" class = ""airy-adjusted-AUI-arrow-border""&gt; &lt;div tabindex = ""- 1"" class = ""airy-adjusted-AUI-arrow"" &gt; &lt;/ div&gt; &lt;/ div&gt; &lt;/ div&gt; &lt;/ div&gt; &lt;/ div&gt; &lt;/ div&gt; &lt;/ div&gt; &lt;/ div&gt; &lt;/ div&gt; &lt;/ div&gt; &lt;div tabindex = ""- 1"" class = ""air"&amp;"y-age-gate airy-stage airy-Vertical-centering-table airy-dialog"" style = ""opacity: 0; visibility: hidden; ""&gt; &lt;div tabindex ="" - 1 ""class ="" airy-age-gate-Vertical-centering-table-cell airy-Vertical-centering-table-cell ""&gt; &lt;div tabindex ="" - 1 ""cl"&amp;"ass = ""airy-Vertical-centering-wrapper airy-age-gate-elements-wrapper""&gt; &lt;div tabindex = ""- 1"" class = ""airy-age-gate-elements airy-dialog-elements""&gt; &lt;div tabindex = "" -1 ""class ="" airy-age-gate-prompt ""&gt; This video is not Intended for all audien"&amp;"ces What date were you born &lt;/ div&gt; &lt;div tabindex =.?"" - 1 ""class ="" airy-age-gate -inputs airy-dialog-inner-elements ""&gt; &lt;select tabindex ="" - 1 ""class ="" airy-age-gate-month ""&gt; &lt;option value ="" 1 ""&gt; January &lt;/ option&gt; &lt;option value ="" 2 ""&gt; Fe"&amp;"bruary &lt;/ option&gt; &lt;option value ="" 3 ""&gt; March &lt;/ option&gt; &lt;option value ="" 4 ""&gt; April &lt;/ option&gt; &lt;option value ="" 5 ""&gt; May &lt;/ option&gt; &lt;option value = ""6""&gt; June &lt;/ option&gt; &lt;option value = ""7""&gt; July &lt;/ option&gt; &lt;option value = ""8""&gt; August &lt;/ optio"&amp;"n&gt; &lt;option value = ""9""&gt; September &lt;/ option&gt; &lt;option value = ""10""&gt; October &lt;/ option&gt; &lt;option value = ""11""&gt; November &lt;/ option&gt; &lt;option value = ""12""&gt; December &lt;/ option&gt; &lt;/ select&gt; &lt;select tabindex = ""- 1"" class = ""airy-age-gate-day""&gt; &lt;opti on"&amp;" value = ""1""&gt; 1 &lt;/ option&gt; &lt;option value = ""2""&gt; 2 &lt;/ option&gt; &lt;option value = ""3""&gt; 3 &lt;/ option&gt; &lt;option value = ""4""&gt; 4 &lt;/ option &gt; &lt;option value = ""5""&gt; 5 &lt;/ option&gt; &lt;option value = ""6""&gt; 6 &lt;/ option&gt; &lt;option value = ""7""&gt; 7 &lt;/ option&gt; &lt;option v"&amp;"alue = ""8""&gt; 8 &lt; / option&gt; &lt;option value = ""9""&gt; 9 &lt;/ option&gt; &lt;option value = ""10""&gt; 10 &lt;/ option&gt; &lt;option value = ""11""&gt; 11 &lt;/ option&gt; &lt;option value = ""12""&gt; 12 &lt;/ option&gt; &lt;option value = ""13""&gt; 13 &lt;/ option&gt; &lt;option value = ""14""&gt; 14 &lt;/ option&gt; &lt;"&amp;"option value = ""15""&gt; 15 &lt;/ option&gt; &lt;option value = ""16 ""&gt; 16 &lt;/ option&gt; &lt;option value ="" 17 ""&gt; 17 &lt;/ option&gt; &lt;option value ="" 18 ""&gt; 18 &lt;/ option&gt; &lt;option value ="" 19 ""&gt; 19 &lt;/ option&gt; &lt;option value = ""20""&gt; 20 &lt;/ option&gt; &lt;option value = ""21""&gt; "&amp;"21 &lt;/ option&gt; &lt;option value = ""22""&gt; 22 &lt;/ option&gt; &lt;option value = ""23""&gt; 23 &lt;/ option&gt; &lt;option value = ""24""&gt; 24 &lt;/ option&gt; &lt;option value = ""25""&gt; 25 &lt;/ option&gt; &lt;option value = ""26""&gt; 26 &lt;/ option&gt; &lt;option value = ""27""&gt; 27 &lt;/ option&gt; &lt;option value"&amp;" = ""28""&gt; 28 &lt;/ option&gt; &lt;option value = ""29""&gt; 29 &lt;/ option&gt; &lt;option value = ""30""&gt; 30 &lt;/ option&gt; &lt;option value = ""31""&gt; 31 &lt;/ option&gt; &lt;/ select&gt; &lt;select tabindex = ""- 1"" class = ""airy-age-gate-year""&gt; &lt;option value = ""2019""&gt; 2019 &lt;/ option&gt; &lt; op"&amp;"tion value = ""2018""&gt; 2018 &lt;/ option&gt; &lt;option value = ""2017""&gt; 2017 &lt;/ option&gt; &lt;option value = ""2016""&gt; ​​2016 &lt;/ option&gt; &lt;option value = ""2015""&gt; 2015 &lt;/ option &gt; &lt;option value = ""2014""&gt; 2014 &lt;/ option&gt; &lt;option value = ""2013""&gt; 2013 &lt;/ option&gt; &lt;op"&amp;"tion value = ""2012""&gt; 2012 &lt;/ option&gt; &lt;option value = ""2011""&gt; 2011 &lt; / option&gt; &lt;option value = ""2010""&gt; 2010 &lt;/ option&gt; &lt;option value = ""2009""&gt; 2009 &lt;/ option&gt; &lt;option value = ""2008""&gt; 2008 &lt;/ option&gt; &lt;option value = ""2007""&gt; 2007 &lt;/ option&gt; &lt;opti"&amp;"on value = ""2006""&gt; 2006 &lt;/ option&gt; &lt;option value = ""2005""&gt; 2005 &lt;/ option&gt; &lt;option value = ""2004""&gt; 2004 &lt;/ option&gt; &lt;option value = ""2003 ""&gt; 2003 &lt;/ option&gt; &lt;option value ="" 2002 ""&gt; 2002 &lt;/ option&gt; &lt;option value ="" 2001 ""&gt; 2001 &lt;/ option&gt; &lt;opti"&amp;"on value ="" 2000 ""&gt; 2000 &lt;/ option&gt; &lt;option value = ""1999""&gt; 1999 &lt;/ option&gt; &lt;option value = ""1998""&gt; 1998 &lt;/ option&gt; &lt;option value = ""1997""&gt; 1997 &lt;/ option&gt; &lt;option value = ""1996""&gt; 1996 &lt;/ option&gt; &lt;option value = ""1995""&gt; 1995 &lt;/ option&gt; &lt;option"&amp;" value = ""1994""&gt; 1994 &lt;/ option&gt; &lt;option value = ""1993""&gt; 1993 &lt;/ option&gt; &lt;option value = ""1992""&gt; 1992 &lt;/ option&gt; &lt;option value = ""1991""&gt; 1991 &lt;/ option&gt; &lt;option value = ""1990""&gt; 1990 &lt;/ option&gt; &lt;option value = "" 1989 ""&gt; 1989 &lt;/ option&gt; &lt;option "&amp;"value ="" 1988 ""&gt; 1988 &lt;/ option&gt; &lt;option value ="" 1987 ""&gt; 1987 &lt;/ option&gt; &lt;option value ="" 1986 ""&gt; 1986 &lt;/ option&gt; &lt;value option = ""1985""&gt; 1985 &lt;/ option&gt; &lt;option value = ""1984""&gt; 1984 &lt;/ option&gt; &lt;option value = ""1983""&gt; 1983 &lt;/ option&gt; &lt;option "&amp;"value = ""1982""&gt; 1982 &lt;/ option&gt; &lt; option value = ""1981""&gt; 1981 &lt;/ option&gt; &lt;option value = ""1980""&gt; 1980 &lt;/ option&gt; &lt;option value = ""1979""&gt; 1979 &lt;/ option&gt; &lt;option value = ""1978""&gt; 1978 &lt;/ option &gt; &lt;option value = ""1977""&gt; 1977 &lt;/ option&gt; &lt;option v"&amp;"alue = ""1976""&gt; 1976 &lt;/ option&gt; &lt;option value = ""1975""&gt; 1975 &lt;/ option&gt; &lt;option value = ""1974""&gt; 1974 &lt; / option&gt; &lt;option value = ""1973""&gt; 1973 &lt;/ option&gt; &lt;option value = ""1972""&gt; 1972 &lt;/ option&gt; &lt;option value = ""1971""&gt; 1971 &lt;/ option&gt; &lt;option val"&amp;"ue = ""1970""&gt; 1970 &lt;/ option&gt; &lt;option value = ""1969""&gt; 1969 &lt;/ option&gt; &lt;option value = ""1968""&gt; 1968 &lt;/ option&gt; &lt;option value = ""1967""&gt; 1967 &lt;/ option&gt; &lt;option value = ""1966 ""&gt; 1966 &lt;/ option&gt; &lt;option value ="" 1965 ""&gt; 1965 &lt;/ option&gt; &lt;option valu"&amp;"e ="" 1964 ""&gt; 1964 &lt;/ option&gt; &lt;option value ="" 1963 ""&gt; 1963 &lt;/ option&gt; &lt;option value = ""1962""&gt; 1962 &lt;/ option&gt; &lt;option value = ""1961""&gt; 1961 &lt;/ option&gt; &lt;option value = ""1960""&gt; 1960 &lt;/ op tion&gt; &lt;option value = ""1959""&gt; 1959 &lt;/ option&gt; &lt;option valu"&amp;"e = ""1958""&gt; 1958 &lt;/ option&gt; &lt;option value = ""1957""&gt; 1957 &lt;/ option&gt; &lt;option value = ""1956""&gt; 1956 &lt;/ option&gt; &lt;option value = ""1955""&gt; 1955 &lt;/ option&gt; &lt;option value = ""1954""&gt; 1954 &lt;/ option&gt; &lt;option value = ""1953""&gt; 1953 &lt;/ option&gt; &lt;option value ="&amp;" ""1952""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"&amp;"= ""1940""&gt;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&lt;value option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airy-stage airy -vertical-centering-table-dialog airy airy-denied ""style ="" opacity: 0;"&amp;" visibility: hidden; ""&gt; &lt;div tabindex ="" - 1 ""class ="" airy-install-flash-Vertical-centering-table-cell airy-Vertical-centering-table-cell ""&gt; &lt;div tabindex ="" - 1 ""class = ""airy-Vertical-centering-wrapper airy-install-flash-elements-wrapper""&gt; &lt;di"&amp;"v tabindex = ""- 1"" class = ""airy-install-flash-elements airy-dialog-elements""&gt; &lt;div tabindex = "" -1 ""class ="" airy-install-flash-prompt ""&gt; Adobe Flash Player is required to watch this video &lt;/ div&gt; &lt;div tabindex =."" - 1 ""class ="" airy-install-f"&amp;"lash-button-wrapper airy -dialog-inner-elements ""&gt; &lt;div tabindex ="" - 1 ""class ="" airy-install-flash-button airy-button ""&gt; install Flash Player &lt;/ div&gt; &lt;/ div&gt; &lt;/ div&gt; &lt;/ div&gt; &lt;/ div&gt; &lt;/ div&gt; &lt;div tabindex = ""- 1"" class = ""airy-video-unsupported-d"&amp;"ialog airy-stage airy-Vertical-centering-table airy-dialog airy-denied"" style = ""opacity: 0; visibility: hidden; ""&gt; &lt;div tabindex ="" - 1 ""class ="" airy-video-unsupported-Vertical-centering-table-cell airy-Vertical-centering-table-cell ""&gt; &lt;div tabin"&amp;"dex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tabinde"&amp;"x ="" - 1 ""class ="" airy-loading-spinner-container airy-scalable-hint-container ""&gt; &lt;div tabindex ="" - 1 ""class ="" airy-loading-spinner-dummy airy-scalable-dummy ""&gt; &lt;/ div&gt; &lt; div tabindex = ""- 1"" class = ""airy-loading-spinner airy-hint"" style = "&amp;"""visibility: hidden;""&gt; &lt;/ div&gt; &lt;/ div&gt; &lt;/ div&gt; &lt;/ div&gt; &lt;div tabindex = ""- 1 ""class ="" airy-ads-screen-size-toggle airy-screen-size-toggle-fullscreen airy ""style ="" visibility: hidden; ""&gt; &lt;/ div&gt; &lt;div tabindex = ""-1"" class = ""airy-ad-prompt-cont"&amp;"ainer"" style = ""visibility: hidden;""&gt; &lt;div tabindex = ""- 1"" class = ""airy-ad-prompt-Vertical-centering-table-vertically airy centering-table ""&gt; &lt;div tabindex ="" - 1 ""class ="" airy-ad-prompt-Vertical-centering-table-cell airy-Vertical-centering-t"&amp;"able-cell ""&gt; &lt;div tabindex ="" - 1 ""class = ""airy-ad-prompt-label""&gt; &lt;/ div&gt; &lt;/ div&gt; &lt;/ div&gt; &lt;/ div&gt; &lt;div tabindex = ""- 1"" class = ""airy-ads-controls-container"" style = ""visibility: hidden; ""&gt; &lt;div tabindex ="" - 1 ""class ="" airy-ads-audio-togg"&amp;"le airy-audio-toggle airy-on ""style ="" visibility: hidden; ""&gt; &lt;/ div&gt; &lt;div tabindex ="" - 1 ""class ="" airy-time-remaining-label-container ""&gt; &lt;div tabindex ="" - 1 ""class ="" airy-time-remaining-Vertical-centering-table airy-Vertical-centering-table"&amp;"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&lt;/ "&amp;"div&gt; &lt;/ div&gt; &lt;/ div&gt; &lt;/ div&gt; &lt;/ div&gt; &lt;div tabindex ="" - 1 ""class ="" airy-learn-more ""style ="" visibility: hidden; ""&gt; &lt;/ div&gt; &lt;/ div&gt; &lt;div tabindex = ""- 1"" class = ""airy-play-toggle-hint-stage airy-stage airy-cursor""&gt; &lt;div tabindex = ""- 1"" clas"&amp;"s = ""airy-play -toggle-hint-Vertical-centering-table-cell airy-Vertical-centering-table-cell airy-cursor ""&gt; &lt;div tabindex ="" - 1 ""class ="" airy-play-toggle-hint-container airy-scalable- Hint-container ""&gt; &lt;div tabindex ="" - 1 ""class ="" airy-play-t"&amp;"oggle-hint-dummy airy-scalable-dummy ""&gt; &lt;/ div&gt; &lt;div tabindex ="" - 1 ""class ="" airy-play -toggle-hint hint airy-airy-play-hint ""style ="" opacity: 1; visibility: visible; ""&gt; &lt;/ div&gt; &lt;/ div&gt; &lt;/ div&gt; &lt;/ div&gt; &lt;div tabindex ="" - 1 ""class ="" airy-repl"&amp;"ay-hint-stage airy-stage ""style ="" visibility: hidden ; ""&gt; &lt;div tabindex ="" - 1 ""class ="" airy-replay-hint-Vertical-centering-table-cell airy-Vertical-centering-table-cell airy-cursor ""&gt; &lt;div tabindex ="" - 1 ""class = ""airy-replay-hint-container "&amp;"airy-scalable-hint-container""&gt; &lt;div tabindex = ""- 1"" class = ""airy-replay-hint-dummy airy-scalable-dummy""&gt; &lt;/ div&gt; &lt;div tabindex = ""- 1"" class = ""airy-replay-hint airy-hint""&gt; &lt;/ div&gt; &lt;/ div&gt; &lt;/ div&gt; &lt;/ div&gt; &lt;div tabindex = ""- 1"" class = ""airy-"&amp;"autoplay-hint -stage airy-stage ""style ="" visibility: hidden; ""&gt; &lt;div tabindex ="" - 1 ""class ="" airy-autoplay-hint-Vertical-centering-table-cell airy-Vertical-centering-table-cell airy- cursor ""&gt; &lt;div tabindex ="" - 1 ""class ="" autoplay airy-airy"&amp;"-hint-container-scalable-hint-container ""&gt; &lt;div tabindex ="" - 1 ""class ="" airy-autoplay-hint-dummy airy- scalable-dummy ""&gt; &lt;/ div&gt; &lt;/ div&gt; &lt;/ div&gt; &lt;/ div&gt; &lt;/ div&gt; &lt;/ div&gt; &lt;input type ="" hidden ""name ="" ""value ="" https: // images-eu .ssl-images-a"&amp;"mazon.com / images / I / B1x-ifmBRxS.mp4 ""Class ="" video-url ""&gt; &lt;input type ="" hidden ""name ="" ""value ="" https://images-eu.ssl-images-amazon.com/images/I/91+mU3yHvtS.png ""class = ""video-slate-img-url""&gt; &amp; nbsp; Good buy to forget the capsules. I"&amp;"t makes very good coffee. Easy to use, clean and maintain. Save money on coffee, is much cheaper than capsules. I do not like that every time you put up is self-cleaning and water strip, which is a little big. But these are minor inconveniences.")</f>
        <v>excellent coffee &lt;div id = "video-block-R1TWCFZPNA19P6"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7 "preload =" auto "src =" https://images-eu.ssl-images-amazon.com/images/I/B1x-ifmBRxS.mp4 "style =" position: absolute; left: 0px; top: 0px; overflow: hidden; height: 1px; width : 1px; "&gt; &lt;/ video&gt; &lt;/ div&gt; &lt;div id =" airy-slate-preload "style =" background-color: rgb (0, 0, 0); background-image: url (&amp; quot; https: //images-eu.ssl-images-amazon.com/images/I/91+mU3yHvtS.png&amp;quot;); background-size: Contain; background-position: center center; background-repeat: no-repeat; position: absolute ; top: 0px; left: 0px; visibility: visible; width: 100%; height: 100%; "&gt; &lt;/ div&gt; &lt;iframe scroll 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B1x-ifmBRxS.mp4 "Class =" video-url "&gt; &lt;input type =" hidden "name =" "value =" https://images-eu.ssl-images-amazon.com/images/I/91+mU3yHvtS.png "class = "video-slate-img-url"&gt; &amp; nbsp; Good buy to forget the capsules. It makes very good coffee. Easy to use, clean and maintain. Save money on coffee, is much cheaper than capsules. I do not like that every time you put up is self-cleaning and water strip, which is a little big. But these are minor inconveniences.</v>
      </c>
    </row>
    <row r="4798">
      <c r="A4798" s="1">
        <v>4.0</v>
      </c>
      <c r="B4798" s="1" t="s">
        <v>4771</v>
      </c>
      <c r="C4798" t="str">
        <f>IFERROR(__xludf.DUMMYFUNCTION("GOOGLETRANSLATE(B4798, ""es"", ""en"")"),"Okay moment I was going very well are comfortable and are perfect if you do not break soon I'll definitely buy")</f>
        <v>Okay moment I was going very well are comfortable and are perfect if you do not break soon I'll definitely buy</v>
      </c>
    </row>
    <row r="4799">
      <c r="A4799" s="1">
        <v>4.0</v>
      </c>
      <c r="B4799" s="1" t="s">
        <v>4772</v>
      </c>
      <c r="C4799" t="str">
        <f>IFERROR(__xludf.DUMMYFUNCTION("GOOGLETRANSLATE(B4799, ""es"", ""en"")"),"A great surprise. Weigh little, squishy soles .... they are comfortable and now I have no bad words for them. If you take less he gave sending 5 Stars.")</f>
        <v>A great surprise. Weigh little, squishy soles .... they are comfortable and now I have no bad words for them. If you take less he gave sending 5 Stars.</v>
      </c>
    </row>
    <row r="4800">
      <c r="A4800" s="1">
        <v>4.0</v>
      </c>
      <c r="B4800" s="1" t="s">
        <v>4773</v>
      </c>
      <c r="C4800" t="str">
        <f>IFERROR(__xludf.DUMMYFUNCTION("GOOGLETRANSLATE(B4800, ""es"", ""en"")"),"Large shoulder bag with several compartments large enough with plenty of pockets to store things.")</f>
        <v>Large shoulder bag with several compartments large enough with plenty of pockets to store things.</v>
      </c>
    </row>
    <row r="4801">
      <c r="A4801" s="1">
        <v>5.0</v>
      </c>
      <c r="B4801" s="1" t="s">
        <v>4774</v>
      </c>
      <c r="C4801" t="str">
        <f>IFERROR(__xludf.DUMMYFUNCTION("GOOGLETRANSLATE(B4801, ""es"", ""en"")"),"Versatile I like to serve both the computer and for the smartphone. I use the SmartTV, tablet and smartphone. Release movies with the tablet and see the TV.")</f>
        <v>Versatile I like to serve both the computer and for the smartphone. I use the SmartTV, tablet and smartphone. Release movies with the tablet and see the TV.</v>
      </c>
    </row>
    <row r="4802">
      <c r="A4802" s="1">
        <v>5.0</v>
      </c>
      <c r="B4802" s="1" t="s">
        <v>4775</v>
      </c>
      <c r="C4802" t="str">
        <f>IFERROR(__xludf.DUMMYFUNCTION("GOOGLETRANSLATE(B4802, ""es"", ""en"")"),"cleaning robot Had long been wanting a cleaning robot as several of my friends have and they're doing great. The ECOVACS Deebot 900 OZMO has recommended me one of my friends. I put it yesterday and I really like how you leave the house. Posibiilidad has t"&amp;"o choose areas where you want to happen to make cleaning that seems like a hoot! ment is better and I can be doing other things while a robot cleans my house is great hahaha")</f>
        <v>cleaning robot Had long been wanting a cleaning robot as several of my friends have and they're doing great. The ECOVACS Deebot 900 OZMO has recommended me one of my friends. I put it yesterday and I really like how you leave the house. Posibiilidad has to choose areas where you want to happen to make cleaning that seems like a hoot! ment is better and I can be doing other things while a robot cleans my house is great hahaha</v>
      </c>
    </row>
    <row r="4803">
      <c r="A4803" s="1">
        <v>5.0</v>
      </c>
      <c r="B4803" s="1" t="s">
        <v>4776</v>
      </c>
      <c r="C4803" t="str">
        <f>IFERROR(__xludf.DUMMYFUNCTION("GOOGLETRANSLATE(B4803, ""es"", ""en"")"),"Round good product for children. Pringan No, do not smell or stain. Well in general. Value very good. but not too dry afternoons in use")</f>
        <v>Round good product for children. Pringan No, do not smell or stain. Well in general. Value very good. but not too dry afternoons in use</v>
      </c>
    </row>
    <row r="4804">
      <c r="A4804" s="1">
        <v>5.0</v>
      </c>
      <c r="B4804" s="1" t="s">
        <v>4777</v>
      </c>
      <c r="C4804" t="str">
        <f>IFERROR(__xludf.DUMMYFUNCTION("GOOGLETRANSLATE(B4804, ""es"", ""en"")"),"Good buy enough for what I needed, good size and easy to fix to the wall. DIN A4 documents fit and carries a shelf ...")</f>
        <v>Good buy enough for what I needed, good size and easy to fix to the wall. DIN A4 documents fit and carries a shelf ...</v>
      </c>
    </row>
    <row r="4805">
      <c r="A4805" s="1">
        <v>5.0</v>
      </c>
      <c r="B4805" s="1" t="s">
        <v>4778</v>
      </c>
      <c r="C4805" t="str">
        <f>IFERROR(__xludf.DUMMYFUNCTION("GOOGLETRANSLATE(B4805, ""es"", ""en"")"),"Excellent quality and very good smell, has helped me recover from a tendonitis.")</f>
        <v>Excellent quality and very good smell, has helped me recover from a tendonitis.</v>
      </c>
    </row>
    <row r="4806">
      <c r="A4806" s="1">
        <v>5.0</v>
      </c>
      <c r="B4806" s="1" t="s">
        <v>4779</v>
      </c>
      <c r="C4806" t="str">
        <f>IFERROR(__xludf.DUMMYFUNCTION("GOOGLETRANSLATE(B4806, ""es"", ""en"")"),"This very tough and flexible adhesive tape brings very good so once this stuck on both sides resists very well any weight. The tape is thicker than the normal double-sided tapes, is flexible and transparent to be almost not noticeable is set.")</f>
        <v>This very tough and flexible adhesive tape brings very good so once this stuck on both sides resists very well any weight. The tape is thicker than the normal double-sided tapes, is flexible and transparent to be almost not noticeable is set.</v>
      </c>
    </row>
    <row r="4807">
      <c r="A4807" s="1">
        <v>5.0</v>
      </c>
      <c r="B4807" s="1" t="s">
        <v>4780</v>
      </c>
      <c r="C4807" t="str">
        <f>IFERROR(__xludf.DUMMYFUNCTION("GOOGLETRANSLATE(B4807, ""es"", ""en"")"),"Very nice and good Nice warm")</f>
        <v>Very nice and good Nice warm</v>
      </c>
    </row>
    <row r="4808">
      <c r="A4808" s="1">
        <v>5.0</v>
      </c>
      <c r="B4808" s="1" t="s">
        <v>4781</v>
      </c>
      <c r="C4808" t="str">
        <f>IFERROR(__xludf.DUMMYFUNCTION("GOOGLETRANSLATE(B4808, ""es"", ""en"")"),"good blender &lt;a data-hook = ""product-link-linked"" class = ""link-to-normal"" href = ""/ Bosch-ErgoMixx-MSM66110-Mixer-de-hand-600-W-regulator-de-speed- and-function-Turbo-dome-with-four-blade-with-glass-of-mixtures-color-white-and-gray / dp / B00A925G3A"&amp;" / ref = cm_cr_getr_d_rvw_txt ie = UTF8 ""&gt; Bosch ErgoMixx MSM66110 - hand Mixer , 600 W, and Turbo speed regulator function, dome with four blades, with mixing vessel, white and gray &lt;/a&gt;, is just what is needed powerful and convenient")</f>
        <v>good blender &lt;a data-hook = "product-link-linked" class = "link-to-normal" href = "/ Bosch-ErgoMixx-MSM66110-Mixer-de-hand-600-W-regulator-de-speed- and-function-Turbo-dome-with-four-blade-with-glass-of-mixtures-color-white-and-gray / dp / B00A925G3A / ref = cm_cr_getr_d_rvw_txt ie = UTF8 "&gt; Bosch ErgoMixx MSM66110 - hand Mixer , 600 W, and Turbo speed regulator function, dome with four blades, with mixing vessel, white and gray &lt;/a&gt;, is just what is needed powerful and convenient</v>
      </c>
    </row>
    <row r="4809">
      <c r="A4809" s="1">
        <v>5.0</v>
      </c>
      <c r="B4809" s="1" t="s">
        <v>4782</v>
      </c>
      <c r="C4809" t="str">
        <f>IFERROR(__xludf.DUMMYFUNCTION("GOOGLETRANSLATE(B4809, ""es"", ""en"")"),"good kettle good product and good price")</f>
        <v>good kettle good product and good price</v>
      </c>
    </row>
    <row r="4810">
      <c r="A4810" s="1">
        <v>5.0</v>
      </c>
      <c r="B4810" s="1" t="s">
        <v>4783</v>
      </c>
      <c r="C4810" t="str">
        <f>IFERROR(__xludf.DUMMYFUNCTION("GOOGLETRANSLATE(B4810, ""es"", ""en"")"),"Great happy. Super comfortable and very useful for carrying items like mobile ... The snuff ... Lighters ... wallet ... Anything medium sized ... Very pleased with. Purchase. good quality. I recommend it.")</f>
        <v>Great happy. Super comfortable and very useful for carrying items like mobile ... The snuff ... Lighters ... wallet ... Anything medium sized ... Very pleased with. Purchase. good quality. I recommend it.</v>
      </c>
    </row>
    <row r="4811">
      <c r="A4811" s="1">
        <v>5.0</v>
      </c>
      <c r="B4811" s="1" t="s">
        <v>4784</v>
      </c>
      <c r="C4811" t="str">
        <f>IFERROR(__xludf.DUMMYFUNCTION("GOOGLETRANSLATE(B4811, ""es"", ""en"")"),"Comfortable and with good finishes distrusting I bought a little, because this type of headphone me fails to convince a lot. But there have been a surprise, they are comfortable and do not weigh anything prácticamnete. Only time I've used a couple of time"&amp;"s in the gym and I have only good words. Regarding the battery no complaints (so far), it goes well. They have a small downside is that charge via USB instead by a connector per magnet or something similar, which means it has a cap for USB ... we'll see w"&amp;"hat lasts. They bring a proper case, with two larger sizes ear. So far everything ok.")</f>
        <v>Comfortable and with good finishes distrusting I bought a little, because this type of headphone me fails to convince a lot. But there have been a surprise, they are comfortable and do not weigh anything prácticamnete. Only time I've used a couple of times in the gym and I have only good words. Regarding the battery no complaints (so far), it goes well. They have a small downside is that charge via USB instead by a connector per magnet or something similar, which means it has a cap for USB ... we'll see what lasts. They bring a proper case, with two larger sizes ear. So far everything ok.</v>
      </c>
    </row>
    <row r="4812">
      <c r="A4812" s="1">
        <v>5.0</v>
      </c>
      <c r="B4812" s="1" t="s">
        <v>4785</v>
      </c>
      <c r="C4812" t="str">
        <f>IFERROR(__xludf.DUMMYFUNCTION("GOOGLETRANSLATE(B4812, ""es"", ""en"")"),"Squeezer excellent quality / price The product is as described in the description. Works very well, it is easy to disassemble and clean. The only drawback I've found has been the difficulty of fitting the small oranges for juice extraction, having to plac"&amp;"e them carefully and slowly lowering the cap to keep moving.")</f>
        <v>Squeezer excellent quality / price The product is as described in the description. Works very well, it is easy to disassemble and clean. The only drawback I've found has been the difficulty of fitting the small oranges for juice extraction, having to place them carefully and slowly lowering the cap to keep moving.</v>
      </c>
    </row>
    <row r="4813">
      <c r="A4813" s="1">
        <v>5.0</v>
      </c>
      <c r="B4813" s="1" t="s">
        <v>4786</v>
      </c>
      <c r="C4813" t="str">
        <f>IFERROR(__xludf.DUMMYFUNCTION("GOOGLETRANSLATE(B4813, ""es"", ""en"")"),"Essential for the kitchen do not know how I could live without it. The reason for buying was to prepare infusions fastest in the morning in the thermos. But now I use daily cooking to add hot water or cooking to bring water to boil faster. A great product"&amp;" for the kitchen.")</f>
        <v>Essential for the kitchen do not know how I could live without it. The reason for buying was to prepare infusions fastest in the morning in the thermos. But now I use daily cooking to add hot water or cooking to bring water to boil faster. A great product for the kitchen.</v>
      </c>
    </row>
    <row r="4814">
      <c r="A4814" s="1">
        <v>5.0</v>
      </c>
      <c r="B4814" s="1" t="s">
        <v>4787</v>
      </c>
      <c r="C4814" t="str">
        <f>IFERROR(__xludf.DUMMYFUNCTION("GOOGLETRANSLATE(B4814, ""es"", ""en"")"),"Very good. Perfect. Very good. It works well and we had no problems with the product. Perfect for a tiny kitchen. It's very basic.")</f>
        <v>Very good. Perfect. Very good. It works well and we had no problems with the product. Perfect for a tiny kitchen. It's very basic.</v>
      </c>
    </row>
    <row r="4815">
      <c r="A4815" s="1">
        <v>5.0</v>
      </c>
      <c r="B4815" s="1" t="s">
        <v>4788</v>
      </c>
      <c r="C4815" t="str">
        <f>IFERROR(__xludf.DUMMYFUNCTION("GOOGLETRANSLATE(B4815, ""es"", ""en"")"),"Just like that photo. Just like that photo. Very pretty.")</f>
        <v>Just like that photo. Just like that photo. Very pretty.</v>
      </c>
    </row>
    <row r="4816">
      <c r="A4816" s="1">
        <v>5.0</v>
      </c>
      <c r="B4816" s="1" t="s">
        <v>4789</v>
      </c>
      <c r="C4816" t="str">
        <f>IFERROR(__xludf.DUMMYFUNCTION("GOOGLETRANSLATE(B4816, ""es"", ""en"")"),"perfect and well suited to our expectations and is of very good quality fit what we needed perfect")</f>
        <v>perfect and well suited to our expectations and is of very good quality fit what we needed perfect</v>
      </c>
    </row>
    <row r="4817">
      <c r="A4817" s="1">
        <v>5.0</v>
      </c>
      <c r="B4817" s="1" t="s">
        <v>4790</v>
      </c>
      <c r="C4817" t="str">
        <f>IFERROR(__xludf.DUMMYFUNCTION("GOOGLETRANSLATE(B4817, ""es"", ""en"")"),"Good buy. Good buy.")</f>
        <v>Good buy. Good buy.</v>
      </c>
    </row>
    <row r="4818">
      <c r="A4818" s="1">
        <v>5.0</v>
      </c>
      <c r="B4818" s="1" t="s">
        <v>4791</v>
      </c>
      <c r="C4818" t="str">
        <f>IFERROR(__xludf.DUMMYFUNCTION("GOOGLETRANSLATE(B4818, ""es"", ""en"")"),"Great Better than I expected")</f>
        <v>Great Better than I expected</v>
      </c>
    </row>
    <row r="4819">
      <c r="A4819" s="1">
        <v>5.0</v>
      </c>
      <c r="B4819" s="1" t="s">
        <v>4792</v>
      </c>
      <c r="C4819" t="str">
        <f>IFERROR(__xludf.DUMMYFUNCTION("GOOGLETRANSLATE(B4819, ""es"", ""en"")"),"Good product compact, small and reliable. I only had problem with tv, shark who does not recognize it. It's fast")</f>
        <v>Good product compact, small and reliable. I only had problem with tv, shark who does not recognize it. It's fast</v>
      </c>
    </row>
    <row r="4820">
      <c r="A4820" s="1">
        <v>2.0</v>
      </c>
      <c r="B4820" s="1" t="s">
        <v>4793</v>
      </c>
      <c r="C4820" t="str">
        <f>IFERROR(__xludf.DUMMYFUNCTION("GOOGLETRANSLATE(B4820, ""es"", ""en"")"),"I did not like was not what I expected to strap being so thin I had to give it away I like wider belt and was not as seen on the screen")</f>
        <v>I did not like was not what I expected to strap being so thin I had to give it away I like wider belt and was not as seen on the screen</v>
      </c>
    </row>
    <row r="4821">
      <c r="A4821" s="1">
        <v>3.0</v>
      </c>
      <c r="B4821" s="1" t="s">
        <v>4794</v>
      </c>
      <c r="C4821" t="str">
        <f>IFERROR(__xludf.DUMMYFUNCTION("GOOGLETRANSLATE(B4821, ""es"", ""en"")"),"Connection problems I do not know what happens with this album that sometimes get to see it and it is sometimes impossible. Right now it works but I had to uninstall the driver, to clean up the registry and a couple of other things. I hope that everything"&amp;" remains the same, I have the GoFlex Cinema of the brand and buy the best I've done, I hope this one did not disappoint.")</f>
        <v>Connection problems I do not know what happens with this album that sometimes get to see it and it is sometimes impossible. Right now it works but I had to uninstall the driver, to clean up the registry and a couple of other things. I hope that everything remains the same, I have the GoFlex Cinema of the brand and buy the best I've done, I hope this one did not disappoint.</v>
      </c>
    </row>
    <row r="4822">
      <c r="A4822" s="1">
        <v>3.0</v>
      </c>
      <c r="B4822" s="1" t="s">
        <v>4795</v>
      </c>
      <c r="C4822" t="str">
        <f>IFERROR(__xludf.DUMMYFUNCTION("GOOGLETRANSLATE(B4822, ""es"", ""en"")"),"A Little Olgado not well adjusted to the lines of the body. It's a little Olgado and is a big deal when you're wearing.")</f>
        <v>A Little Olgado not well adjusted to the lines of the body. It's a little Olgado and is a big deal when you're wearing.</v>
      </c>
    </row>
    <row r="4823">
      <c r="A4823" s="1">
        <v>1.0</v>
      </c>
      <c r="B4823" s="1" t="s">
        <v>4796</v>
      </c>
      <c r="C4823" t="str">
        <f>IFERROR(__xludf.DUMMYFUNCTION("GOOGLETRANSLATE(B4823, ""es"", ""en"")"),"Not recommended at all Las've been using 8 hours a day and I have lasted 3 months, and that they work in a workshop paint and body. One after month I buy that put them gel insoles because the sole had become quite hard and now after 3 months of use have I"&amp;" had to throw because the sole had disposed inside and it was impossible to spend two hours with them on . Very disappointed with them last tube 20 to € lasted me much more and were more comfortable. I not recommend if you go to work walking a lot or if y"&amp;"ou spend enough time squatting.")</f>
        <v>Not recommended at all Las've been using 8 hours a day and I have lasted 3 months, and that they work in a workshop paint and body. One after month I buy that put them gel insoles because the sole had become quite hard and now after 3 months of use have I had to throw because the sole had disposed inside and it was impossible to spend two hours with them on . Very disappointed with them last tube 20 to € lasted me much more and were more comfortable. I not recommend if you go to work walking a lot or if you spend enough time squatting.</v>
      </c>
    </row>
    <row r="4824">
      <c r="A4824" s="1">
        <v>1.0</v>
      </c>
      <c r="B4824" s="1" t="s">
        <v>4797</v>
      </c>
      <c r="C4824" t="str">
        <f>IFERROR(__xludf.DUMMYFUNCTION("GOOGLETRANSLATE(B4824, ""es"", ""en"")"),"Come running because I wanted to know is on time and running ... q would not come with a tab to remove so you can set the clock ... not if someone happened ... If you have been working or you have put in march ... Thanks")</f>
        <v>Come running because I wanted to know is on time and running ... q would not come with a tab to remove so you can set the clock ... not if someone happened ... If you have been working or you have put in march ... Thanks</v>
      </c>
    </row>
    <row r="4825">
      <c r="A4825" s="1">
        <v>4.0</v>
      </c>
      <c r="B4825" s="1" t="s">
        <v>4798</v>
      </c>
      <c r="C4825" t="str">
        <f>IFERROR(__xludf.DUMMYFUNCTION("GOOGLETRANSLATE(B4825, ""es"", ""en"")"),"As Picture Las bought for my husband I am happy, comfortable, everything combines color and also the quality of puma.")</f>
        <v>As Picture Las bought for my husband I am happy, comfortable, everything combines color and also the quality of puma.</v>
      </c>
    </row>
    <row r="4826">
      <c r="A4826" s="1">
        <v>4.0</v>
      </c>
      <c r="B4826" s="1" t="s">
        <v>4799</v>
      </c>
      <c r="C4826" t="str">
        <f>IFERROR(__xludf.DUMMYFUNCTION("GOOGLETRANSLATE(B4826, ""es"", ""en"")"),"Small but strong these magnets have been expected to be a little bigger, because there is no picture comparing sizes between a regular article and this magnet. In other words, they are very small. Anyway, although very small, they are strong. I can not us"&amp;"e these for the original reason I bought it, but I'm sure you find other things to use. Another thing is that they are a little fragile. He was proving that when it broke one. I attached photos so you can see how small they are.")</f>
        <v>Small but strong these magnets have been expected to be a little bigger, because there is no picture comparing sizes between a regular article and this magnet. In other words, they are very small. Anyway, although very small, they are strong. I can not use these for the original reason I bought it, but I'm sure you find other things to use. Another thing is that they are a little fragile. He was proving that when it broke one. I attached photos so you can see how small they are.</v>
      </c>
    </row>
    <row r="4827">
      <c r="A4827" s="1">
        <v>4.0</v>
      </c>
      <c r="B4827" s="1" t="s">
        <v>4800</v>
      </c>
      <c r="C4827" t="str">
        <f>IFERROR(__xludf.DUMMYFUNCTION("GOOGLETRANSLATE(B4827, ""es"", ""en"")"),"Good, nice and Barato..y 10 years of Pila !! I bought it for a friend by features that tiene.Es clock reliable and known brand (Casio), full and beautiful, green lights and the battery is guaranteed for 10 years. I do not give the fifth estrella..porque a"&amp;"lthough the picture the dial looks good, when actually looks as if the stack would be a little worn, but I suppose it well so you can endure 10 years, because although the strap is acero..el body clock is painted gray plastic, and although the picture is "&amp;"not nota..al naturally is quite noticeable, and do not know how to grow old said plastic (if you go later color painting ..) time will tell.")</f>
        <v>Good, nice and Barato..y 10 years of Pila !! I bought it for a friend by features that tiene.Es clock reliable and known brand (Casio), full and beautiful, green lights and the battery is guaranteed for 10 years. I do not give the fifth estrella..porque although the picture the dial looks good, when actually looks as if the stack would be a little worn, but I suppose it well so you can endure 10 years, because although the strap is acero..el body clock is painted gray plastic, and although the picture is not nota..al naturally is quite noticeable, and do not know how to grow old said plastic (if you go later color painting ..) time will tell.</v>
      </c>
    </row>
    <row r="4828">
      <c r="A4828" s="1">
        <v>4.0</v>
      </c>
      <c r="B4828" s="1" t="s">
        <v>4801</v>
      </c>
      <c r="C4828" t="str">
        <f>IFERROR(__xludf.DUMMYFUNCTION("GOOGLETRANSLATE(B4828, ""es"", ""en"")"),"Very big. Good quality but big mut.")</f>
        <v>Very big. Good quality but big mut.</v>
      </c>
    </row>
    <row r="4829">
      <c r="A4829" s="1">
        <v>4.0</v>
      </c>
      <c r="B4829" s="1" t="s">
        <v>4802</v>
      </c>
      <c r="C4829" t="str">
        <f>IFERROR(__xludf.DUMMYFUNCTION("GOOGLETRANSLATE(B4829, ""es"", ""en"")"),"Good quality but very large are of good quality, but the sizing is great, I ordered a 35-38 and 40-42 rather a")</f>
        <v>Good quality but very large are of good quality, but the sizing is great, I ordered a 35-38 and 40-42 rather a</v>
      </c>
    </row>
    <row r="4830">
      <c r="A4830" s="1">
        <v>5.0</v>
      </c>
      <c r="B4830" s="1" t="s">
        <v>4803</v>
      </c>
      <c r="C4830" t="str">
        <f>IFERROR(__xludf.DUMMYFUNCTION("GOOGLETRANSLATE(B4830, ""es"", ""en"")"),"Excellent price / capacity / performance. I always look for higher capacities but in very good brands like this, the price soars from 256 GB. I will use for full-resolution RAW photos or short videos with the camera. So far, only've had in photos and the "&amp;"response is very positive: saves a burst of 8 photos of about 70 MB in less than 3 seconds, just 3 tenths of a second of the last shot, I start another burst. I recommend it to those who need high performance without the price to skyrocket.")</f>
        <v>Excellent price / capacity / performance. I always look for higher capacities but in very good brands like this, the price soars from 256 GB. I will use for full-resolution RAW photos or short videos with the camera. So far, only've had in photos and the response is very positive: saves a burst of 8 photos of about 70 MB in less than 3 seconds, just 3 tenths of a second of the last shot, I start another burst. I recommend it to those who need high performance without the price to skyrocket.</v>
      </c>
    </row>
    <row r="4831">
      <c r="A4831" s="1">
        <v>5.0</v>
      </c>
      <c r="B4831" s="1" t="s">
        <v>4804</v>
      </c>
      <c r="C4831" t="str">
        <f>IFERROR(__xludf.DUMMYFUNCTION("GOOGLETRANSLATE(B4831, ""es"", ""en"")"),"Perfect comfortable than I expected and very nice place")</f>
        <v>Perfect comfortable than I expected and very nice place</v>
      </c>
    </row>
    <row r="4832">
      <c r="A4832" s="1">
        <v>5.0</v>
      </c>
      <c r="B4832" s="1" t="s">
        <v>4805</v>
      </c>
      <c r="C4832" t="str">
        <f>IFERROR(__xludf.DUMMYFUNCTION("GOOGLETRANSLATE(B4832, ""es"", ""en"")"),"Great! Great, of great quality and very good finishes. The great size.")</f>
        <v>Great! Great, of great quality and very good finishes. The great size.</v>
      </c>
    </row>
    <row r="4833">
      <c r="A4833" s="1">
        <v>5.0</v>
      </c>
      <c r="B4833" s="1" t="s">
        <v>4806</v>
      </c>
      <c r="C4833" t="str">
        <f>IFERROR(__xludf.DUMMYFUNCTION("GOOGLETRANSLATE(B4833, ""es"", ""en"")"),"Perfect Very good and great time")</f>
        <v>Perfect Very good and great time</v>
      </c>
    </row>
    <row r="4834">
      <c r="A4834" s="1">
        <v>5.0</v>
      </c>
      <c r="B4834" s="1" t="s">
        <v>4807</v>
      </c>
      <c r="C4834" t="str">
        <f>IFERROR(__xludf.DUMMYFUNCTION("GOOGLETRANSLATE(B4834, ""es"", ""en"")"),"Genial very useful. To go fast going very well. I do not agree with the comments calineta much. The only bad thing lanlongitud of the cable")</f>
        <v>Genial very useful. To go fast going very well. I do not agree with the comments calineta much. The only bad thing lanlongitud of the cable</v>
      </c>
    </row>
    <row r="4835">
      <c r="A4835" s="1">
        <v>5.0</v>
      </c>
      <c r="B4835" s="1" t="s">
        <v>4808</v>
      </c>
      <c r="C4835" t="str">
        <f>IFERROR(__xludf.DUMMYFUNCTION("GOOGLETRANSLATE(B4835, ""es"", ""en"")"),"Good driver water tank buy this item to regulate the DC and pH levels, reduces nitrate (NO3) and phosphate (PO4. ^ Vitamins Add and valuable minerals essential for health of fish and plants. (Not used to remove tap water color !!!) the truth then stabiliz"&amp;"ed try all values ​​described above. and the brand is well known throughout regards aquariums. highly recommended. it Comes with measuring cup and instructions in Spanish by peeling back of the label.")</f>
        <v>Good driver water tank buy this item to regulate the DC and pH levels, reduces nitrate (NO3) and phosphate (PO4. ^ Vitamins Add and valuable minerals essential for health of fish and plants. (Not used to remove tap water color !!!) the truth then stabilized try all values ​​described above. and the brand is well known throughout regards aquariums. highly recommended. it Comes with measuring cup and instructions in Spanish by peeling back of the label.</v>
      </c>
    </row>
    <row r="4836">
      <c r="A4836" s="1">
        <v>5.0</v>
      </c>
      <c r="B4836" s="1" t="s">
        <v>4809</v>
      </c>
      <c r="C4836" t="str">
        <f>IFERROR(__xludf.DUMMYFUNCTION("GOOGLETRANSLATE(B4836, ""es"", ""en"")"),"Shoes comfortable shoes comfortable and durable enough")</f>
        <v>Shoes comfortable shoes comfortable and durable enough</v>
      </c>
    </row>
    <row r="4837">
      <c r="A4837" s="1">
        <v>5.0</v>
      </c>
      <c r="B4837" s="1" t="s">
        <v>4810</v>
      </c>
      <c r="C4837" t="str">
        <f>IFERROR(__xludf.DUMMYFUNCTION("GOOGLETRANSLATE(B4837, ""es"", ""en"")"),"For videos I've purchased for videos and no one is the end")</f>
        <v>For videos I've purchased for videos and no one is the end</v>
      </c>
    </row>
    <row r="4838">
      <c r="A4838" s="1">
        <v>5.0</v>
      </c>
      <c r="B4838" s="1" t="s">
        <v>4811</v>
      </c>
      <c r="C4838" t="str">
        <f>IFERROR(__xludf.DUMMYFUNCTION("GOOGLETRANSLATE(B4838, ""es"", ""en"")"),"It is perfect right all")</f>
        <v>It is perfect right all</v>
      </c>
    </row>
    <row r="4839">
      <c r="A4839" s="1">
        <v>5.0</v>
      </c>
      <c r="B4839" s="1" t="s">
        <v>4812</v>
      </c>
      <c r="C4839" t="str">
        <f>IFERROR(__xludf.DUMMYFUNCTION("GOOGLETRANSLATE(B4839, ""es"", ""en"")"),"Correct size arrived before the stated time, are perfect")</f>
        <v>Correct size arrived before the stated time, are perfect</v>
      </c>
    </row>
    <row r="4840">
      <c r="A4840" s="1">
        <v>5.0</v>
      </c>
      <c r="B4840" s="1" t="s">
        <v>4813</v>
      </c>
      <c r="C4840" t="str">
        <f>IFERROR(__xludf.DUMMYFUNCTION("GOOGLETRANSLATE(B4840, ""es"", ""en"")"),"Very good reach and comfort The sound quality is expected in your price range but the Bluetooth range and comfort me surprised for good. The cargo box is not very strong but at the moment holds perfectly. Matching is easy but I can not control the volume "&amp;"from the headset, although in my case is not a drawback, it regulo from mobile.")</f>
        <v>Very good reach and comfort The sound quality is expected in your price range but the Bluetooth range and comfort me surprised for good. The cargo box is not very strong but at the moment holds perfectly. Matching is easy but I can not control the volume from the headset, although in my case is not a drawback, it regulo from mobile.</v>
      </c>
    </row>
    <row r="4841">
      <c r="A4841" s="1">
        <v>5.0</v>
      </c>
      <c r="B4841" s="1" t="s">
        <v>4814</v>
      </c>
      <c r="C4841" t="str">
        <f>IFERROR(__xludf.DUMMYFUNCTION("GOOGLETRANSLATE(B4841, ""es"", ""en"")"),"Utilísima very simple and practical.")</f>
        <v>Utilísima very simple and practical.</v>
      </c>
    </row>
    <row r="4842">
      <c r="A4842" s="1">
        <v>5.0</v>
      </c>
      <c r="B4842" s="1" t="s">
        <v>4815</v>
      </c>
      <c r="C4842" t="str">
        <f>IFERROR(__xludf.DUMMYFUNCTION("GOOGLETRANSLATE(B4842, ""es"", ""en"")"),"Very good quality and original posts A necklace nice silver goes with everything, my partner loved it apart from the original and its hidden message I LOVE YOU in 100 languages ​​which is easy to see if you approach Light mobile camera to your cubic zirco"&amp;"nia will reflect on any surface the word I love you in 100 languages, ideal to surprise your partner.")</f>
        <v>Very good quality and original posts A necklace nice silver goes with everything, my partner loved it apart from the original and its hidden message I LOVE YOU in 100 languages ​​which is easy to see if you approach Light mobile camera to your cubic zirconia will reflect on any surface the word I love you in 100 languages, ideal to surprise your partner.</v>
      </c>
    </row>
    <row r="4843">
      <c r="A4843" s="1">
        <v>5.0</v>
      </c>
      <c r="B4843" s="1" t="s">
        <v>4816</v>
      </c>
      <c r="C4843" t="str">
        <f>IFERROR(__xludf.DUMMYFUNCTION("GOOGLETRANSLATE(B4843, ""es"", ""en"")"),"Only they thrive well in the description that puts teats have two holes but only have 1")</f>
        <v>Only they thrive well in the description that puts teats have two holes but only have 1</v>
      </c>
    </row>
    <row r="4844">
      <c r="A4844" s="1">
        <v>5.0</v>
      </c>
      <c r="B4844" s="1" t="s">
        <v>4817</v>
      </c>
      <c r="C4844" t="str">
        <f>IFERROR(__xludf.DUMMYFUNCTION("GOOGLETRANSLATE(B4844, ""es"", ""en"")"),"Barbecue cleaning cleans very well")</f>
        <v>Barbecue cleaning cleans very well</v>
      </c>
    </row>
    <row r="4845">
      <c r="A4845" s="1">
        <v>5.0</v>
      </c>
      <c r="B4845" s="1" t="s">
        <v>4818</v>
      </c>
      <c r="C4845" t="str">
        <f>IFERROR(__xludf.DUMMYFUNCTION("GOOGLETRANSLATE(B4845, ""es"", ""en"")"),"To throw some good times very funny. Modulators have multiple voice, echo, you can connect via Bluetooth and use it as karaoke. It has good sound and good quality. I would buy.")</f>
        <v>To throw some good times very funny. Modulators have multiple voice, echo, you can connect via Bluetooth and use it as karaoke. It has good sound and good quality. I would buy.</v>
      </c>
    </row>
    <row r="4846">
      <c r="A4846" s="1">
        <v>5.0</v>
      </c>
      <c r="B4846" s="1" t="s">
        <v>4819</v>
      </c>
      <c r="C4846" t="str">
        <f>IFERROR(__xludf.DUMMYFUNCTION("GOOGLETRANSLATE(B4846, ""es"", ""en"")"),"Fulfilling expectations. I bought for my wife, she has said it is working well, she liked the device.")</f>
        <v>Fulfilling expectations. I bought for my wife, she has said it is working well, she liked the device.</v>
      </c>
    </row>
    <row r="4847">
      <c r="A4847" s="1">
        <v>5.0</v>
      </c>
      <c r="B4847" s="1" t="s">
        <v>4820</v>
      </c>
      <c r="C4847" t="str">
        <f>IFERROR(__xludf.DUMMYFUNCTION("GOOGLETRANSLATE(B4847, ""es"", ""en"")"),"Perfect. Fully recommended are quality shoes, and are informal, I apply to all, even to go to the office. It gives me lately by black buy, and these have been a success. The size corresponds well.")</f>
        <v>Perfect. Fully recommended are quality shoes, and are informal, I apply to all, even to go to the office. It gives me lately by black buy, and these have been a success. The size corresponds well.</v>
      </c>
    </row>
    <row r="4848">
      <c r="A4848" s="1">
        <v>5.0</v>
      </c>
      <c r="B4848" s="1" t="s">
        <v>4821</v>
      </c>
      <c r="C4848" t="str">
        <f>IFERROR(__xludf.DUMMYFUNCTION("GOOGLETRANSLATE(B4848, ""es"", ""en"")"),"Good moment Good quality product brand. Happy moment.")</f>
        <v>Good moment Good quality product brand. Happy moment.</v>
      </c>
    </row>
    <row r="4849">
      <c r="A4849" s="1">
        <v>2.0</v>
      </c>
      <c r="B4849" s="1" t="s">
        <v>4822</v>
      </c>
      <c r="C4849" t="str">
        <f>IFERROR(__xludf.DUMMYFUNCTION("GOOGLETRANSLATE(B4849, ""es"", ""en"")"),"Does not work well to connect with a box on the laptop, hear, all fatal, I want it back. Amazon deserves 10 delivery is very fast, but the product does not achieve the expected expectations, regarding the precio.esto went with a feeder box or as it is cal"&amp;"led, all fatal was for a microphone I buy my son and I want to return.")</f>
        <v>Does not work well to connect with a box on the laptop, hear, all fatal, I want it back. Amazon deserves 10 delivery is very fast, but the product does not achieve the expected expectations, regarding the precio.esto went with a feeder box or as it is called, all fatal was for a microphone I buy my son and I want to return.</v>
      </c>
    </row>
    <row r="4850">
      <c r="A4850" s="1">
        <v>3.0</v>
      </c>
      <c r="B4850" s="1" t="s">
        <v>4823</v>
      </c>
      <c r="C4850" t="str">
        <f>IFERROR(__xludf.DUMMYFUNCTION("GOOGLETRANSLATE(B4850, ""es"", ""en"")"),"Good value for money Obviously a product of this price can only be compared with another low-end. As for construction, the cable is quite acceptable and headphones seem to be made of an ordinary plastic. If we talk about sound, the handset behaves well to"&amp;" listen poscast, television, radio, etc. As for music, I have to say that sound good for its price but I have some similar JVC these sounds best prices and last. The sound, though acceptable, is not clean and dirty and opaque enough in the media. In short"&amp;", sound good for its price and not bad buy. But one can not expect the sound of momentum Senheisser M2, or the same Sony MDR-EX650APT, because they play in different leagues. I apologize to whom this last will seem a simple no-brainer.")</f>
        <v>Good value for money Obviously a product of this price can only be compared with another low-end. As for construction, the cable is quite acceptable and headphones seem to be made of an ordinary plastic. If we talk about sound, the handset behaves well to listen poscast, television, radio, etc. As for music, I have to say that sound good for its price but I have some similar JVC these sounds best prices and last. The sound, though acceptable, is not clean and dirty and opaque enough in the media. In short, sound good for its price and not bad buy. But one can not expect the sound of momentum Senheisser M2, or the same Sony MDR-EX650APT, because they play in different leagues. I apologize to whom this last will seem a simple no-brainer.</v>
      </c>
    </row>
    <row r="4851">
      <c r="A4851" s="1">
        <v>1.0</v>
      </c>
      <c r="B4851" s="1" t="s">
        <v>4824</v>
      </c>
      <c r="C4851" t="str">
        <f>IFERROR(__xludf.DUMMYFUNCTION("GOOGLETRANSLATE(B4851, ""es"", ""en"")"),"Are false is seen from afar that are false and the case is puma or bring labels or anything imitacion are not recommended at all.")</f>
        <v>Are false is seen from afar that are false and the case is puma or bring labels or anything imitacion are not recommended at all.</v>
      </c>
    </row>
    <row r="4852">
      <c r="A4852" s="1">
        <v>1.0</v>
      </c>
      <c r="B4852" s="1" t="s">
        <v>4825</v>
      </c>
      <c r="C4852" t="str">
        <f>IFERROR(__xludf.DUMMYFUNCTION("GOOGLETRANSLATE(B4852, ""es"", ""en"")"),"Garbage. It's rubbish. Fatal work, heard worse. Looks like a toy. The instructions are explained fatal. It is money thrown away.")</f>
        <v>Garbage. It's rubbish. Fatal work, heard worse. Looks like a toy. The instructions are explained fatal. It is money thrown away.</v>
      </c>
    </row>
    <row r="4853">
      <c r="A4853" s="1">
        <v>4.0</v>
      </c>
      <c r="B4853" s="1" t="s">
        <v>4826</v>
      </c>
      <c r="C4853" t="str">
        <f>IFERROR(__xludf.DUMMYFUNCTION("GOOGLETRANSLATE(B4853, ""es"", ""en"")"),"Perfect nice watch very well finished and easy to read I recommend you forget about having to change the battery or to wind")</f>
        <v>Perfect nice watch very well finished and easy to read I recommend you forget about having to change the battery or to wind</v>
      </c>
    </row>
    <row r="4854">
      <c r="A4854" s="1">
        <v>4.0</v>
      </c>
      <c r="B4854" s="1" t="s">
        <v>4827</v>
      </c>
      <c r="C4854" t="str">
        <f>IFERROR(__xludf.DUMMYFUNCTION("GOOGLETRANSLATE(B4854, ""es"", ""en"")"),"I liked very comfortable, yes. It's just that if you're a small carvings appearance looks a bit different from what I expected.")</f>
        <v>I liked very comfortable, yes. It's just that if you're a small carvings appearance looks a bit different from what I expected.</v>
      </c>
    </row>
    <row r="4855">
      <c r="A4855" s="1">
        <v>4.0</v>
      </c>
      <c r="B4855" s="1" t="s">
        <v>4828</v>
      </c>
      <c r="C4855" t="str">
        <f>IFERROR(__xludf.DUMMYFUNCTION("GOOGLETRANSLATE(B4855, ""es"", ""en"")"),"request the return of the product for being too big, a smaller size. the yoga pants I liked it, but it's too big. I request your return and will ask another size smaller.")</f>
        <v>request the return of the product for being too big, a smaller size. the yoga pants I liked it, but it's too big. I request your return and will ask another size smaller.</v>
      </c>
    </row>
    <row r="4856">
      <c r="A4856" s="1">
        <v>4.0</v>
      </c>
      <c r="B4856" s="1" t="s">
        <v>4829</v>
      </c>
      <c r="C4856" t="str">
        <f>IFERROR(__xludf.DUMMYFUNCTION("GOOGLETRANSLATE(B4856, ""es"", ""en"")"),"Good product meets perfectly directed. I bought 4 TB, why is it needed and comes perfectly. Windows 10 recognized me without problems. Not noisy. Good product. I recommend it.")</f>
        <v>Good product meets perfectly directed. I bought 4 TB, why is it needed and comes perfectly. Windows 10 recognized me without problems. Not noisy. Good product. I recommend it.</v>
      </c>
    </row>
    <row r="4857">
      <c r="A4857" s="1">
        <v>4.0</v>
      </c>
      <c r="B4857" s="1" t="s">
        <v>4830</v>
      </c>
      <c r="C4857" t="str">
        <f>IFERROR(__xludf.DUMMYFUNCTION("GOOGLETRANSLATE(B4857, ""es"", ""en"")"),"Ana &lt;div id = ""video-block-R2JR8UQSO7R196"" class = ""a-section a-spacing-small a-spacing-top mini video-block""&gt; &lt;div tabindex = ""0"" class = ""airy airy-svg vmin -unsupported airy-skin-beacon ""style ="" background-color: rgb (0, 0, 0) position: relat"&amp;"ive; width: 100%; height: 100%; font-size: 0px; overflow: hidden; outline: none; ""&gt; &lt;div class ="" airy-renderer-container ""style ="" position: relative; height: 100%; width: 100%; ""&gt; &lt;video id ="" 7 ""preload ="" auto ""src ="" https : //images-eu.ssl"&amp;"-images-amazon.com/images/I/81W8+zP10lS.mp4 ""style ="" position: absolute; left: 0px; top: 0px; overflow: hidden; height: 1px; width: 1px; ""&gt; &lt;/ video&gt; &lt;/ div&gt; &lt;div id ="" airy-slate-preload ""style ="" background-color: rgb (0, 0, 0); background-image:"&amp;" url (&amp; quot; https: / /images-eu.ssl-images-amazon.com/images/I/71HALLPJOPS.png&amp;quot;); background-size: Contain; background-position: center center; background-repeat: no-repeat; position: absolute; top: 0px; left: 0px; visibility: visible; width: 100%;"&amp;" height: 100%; ""&gt; &lt;/ div&gt; &lt;iframe scrolling ="" no ""FrameB order = ""0"" src = ""about: blank"" style = ""display: none;""&gt; &lt;/ iframe&gt; &lt;div tabindex = ""- 1"" class = ""airy-controls-container"" style = ""opacity: 0; visibility: hidden; ""&gt; &lt;div tabinde"&amp;"x ="" - 1 ""class ="" airy-screen-size-toggle airy-fullscreen ""&gt; &lt;/ div&gt; &lt;div tabindex ="" - 1 ""class ="" airy-container-bottom "" &gt; &lt;div tabindex = ""- 1"" class = ""airy-track-bar-spacer-left"" style = ""width: 11px;""&gt; &lt;/ div&gt; &lt;div tabindex = ""- 1"""&amp;" class = ""airy-play- airy toggle-play ""style ="" width: 12px; margin-right: 12px; ""&gt; &lt;/ div&gt; &lt;div tabindex ="" - 1 ""class ="" airy-audio-elements ""style ="" float: right; width: 34px; ""&gt; &lt;div tabindex ="" - 1 ""class ="" airy-audio-toggle airy-on """&amp;"&gt; &lt;/ div&gt; &lt;div tabindex ="" - 1 ""class ="" airy-audio-container ""style = ""opacity: 0; visibility: hidden; ""&gt; &lt;div tabindex ="" - 1 ""class ="" airy-audio-track-bar ""style ="" height: 80%; ""&gt; &lt;div tabindex ="" - 1 ""class ="" airy-audio- Scrubber-bar"&amp;" ""style ="" height: 85%; ""&gt; &lt;/ div&gt; &lt;div tabindex ="" - 1 ""class ="" airy-audio-scrubber ""style ="" height: 12px; bottom: 85% ""&gt; &lt;/ div&gt; &lt;/ div&gt; &lt;/ div&gt; &lt;/ div&gt; &lt;div tabindex ="" - 1 ""class ="" airy-duration-label ""style ="" float: right; width: 26"&amp;"px; margin-right: 4px; text-align: center; ""&gt; 0:06 &lt;/ div&gt; &lt;div tabindex ="" - 1 ""class ="" airy-track-bar-spacer-right ""style ="" float: right; width: 11px; ""&gt; &lt;/ div&gt; &lt;div tabindex ="" - 1 ""class ="" airy-track-bar-container ""style ="" margin-left"&amp;": 35px; margin-right: 75px; ""&gt; &lt;div tabindex ="" - 1 ""class ="" airy-airy-track-bar vertically-centering-table ""&gt; &lt;div tabindex ="" - 1 ""class ="" airy-Vertical-centering- table-cell ""&gt; &lt;div tabindex ="" - 1 ""class ="" airy-track bar-elements ""&gt; &lt;d"&amp;"iv tabindex ="" - 1 ""class ="" airy-progress bar ""style ="" width: 100%; ""&gt; &lt;/ div&gt; &lt;div tabindex ="" - 1 ""class ="" airy-scrubber-bar ""&gt; &lt;/ div&gt; &lt;div tabindex ="" - 1 ""class ="" airy-scrubber ""&gt; &lt;div tabindex ="" - 1 ""class ="" airy-scrubber-icon"&amp;" ""&gt; &lt;/ div&gt; &lt;div tabindex ="" - 1 ""class ="" airy-adjusted-AUI-tooltip ""style ="" opacity: 0; visibility: hidden; ""&gt; &lt;div tabindex ="" - 1 ""class ="" airy-adjusted-aui-tooltip-inner ""&gt; &lt;div tabindex ="" - 1 ""class ="" airy-current-time-label ""&gt; 0:"&amp;" 00 &lt;/ div&gt; &lt;/ div&gt; &lt;div tabindex = ""- 1"" class = ""airy-adjusted-AUI-arrow-border""&gt; &lt;div tabindex = ""- 1"" class = ""airy-adjusted-AUI-arrow"" &gt; &lt;/ div&gt; &lt;/ div&gt; &lt;/ div&gt; &lt;/ div&gt; &lt;/ div&gt; &lt;/ div&gt; &lt;/ div&gt; &lt;/ div&gt; &lt;/ div&gt; &lt;/ div&gt; &lt;div tabindex = ""- 1"" c"&amp;"lass = ""airy-age-gate airy-stage airy-Vertical-centering-table airy-dialog"" style = ""opacity: 0; visibility: hidden; ""&gt; &lt;div tabindex ="" - 1 ""class ="" airy-age-gate-Vertical-centering-table-cell airy-Vertical-centering-table-cell ""&gt; &lt;div tabindex "&amp;"="" - 1 ""class = ""airy-Vertical-centering-wrapper airy-age-gate-elements-wrapper""&gt; &lt;div tabindex = ""- 1"" class = ""airy-age-gate-elements airy-dialog-elements""&gt; &lt;div tabindex = "" -1 ""class ="" airy-age-gate-prompt ""&gt; This video is not Intended fo"&amp;"r all audiences What date were you born &lt;/ div&gt; &lt;div tabindex =.?"" - 1 ""class ="" airy-age-gate -inputs airy-dialog-inner-elements ""&gt; &lt;select tabindex ="" - 1 ""class ="" airy-age-gate-month ""&gt; &lt;option value ="" 1 ""&gt; January &lt;/ option&gt; &lt;option value "&amp;"="" 2 ""&gt; February &lt;/ option&gt; &lt;option value ="" 3 ""&gt; March &lt;/ option&gt; &lt;option value ="" 4 ""&gt; April &lt;/ option&gt; &lt;option value ="" 5 ""&gt; May &lt;/ option&gt; &lt;option value = ""6""&gt; June &lt;/ option&gt; &lt;option value = ""7""&gt; July &lt;/ option&gt; &lt;option value = ""8""&gt; Aug"&amp;"ust &lt;/ option&gt; &lt;option value = ""9""&gt; September &lt;/ option&gt; &lt;option value = ""10""&gt; October &lt;/ option&gt; &lt;option value = ""11""&gt; November &lt;/ option&gt; &lt;option value = ""12""&gt; December &lt;/ option&gt; &lt;/ select&gt; &lt;select tabindex = ""- 1"" class = ""airy-age-gate-day"&amp;"""&gt; &lt;opti on value = ""1""&gt; 1 &lt;/ option&gt; &lt;option value = ""2""&gt; 2 &lt;/ option&gt; &lt;option value = ""3""&gt; 3 &lt;/ option&gt; &lt;option value = ""4""&gt; 4 &lt;/ option &gt; &lt;option value = ""5""&gt; 5 &lt;/ option&gt; &lt;option value = ""6""&gt; 6 &lt;/ option&gt; &lt;option value = ""7""&gt; 7 &lt;/ optio"&amp;"n&gt; &lt;option value = ""8""&gt; 8 &lt; / option&gt; &lt;option value = ""9""&gt; 9 &lt;/ option&gt; &lt;option value = ""10""&gt; 10 &lt;/ option&gt; &lt;option value = ""11""&gt; 11 &lt;/ option&gt; &lt;option value = ""12""&gt; 12 &lt;/ option&gt; &lt;option value = ""13""&gt; 13 &lt;/ option&gt; &lt;option value = ""14""&gt; 14 "&amp;"&lt;/ option&gt; &lt;option value = ""15""&gt; 15 &lt;/ option&gt; &lt;option value = ""16 ""&gt; 16 &lt;/ option&gt; &lt;option value ="" 17 ""&gt; 17 &lt;/ option&gt; &lt;option value ="" 18 ""&gt; 18 &lt;/ option&gt; &lt;option value ="" 19 ""&gt; 19 &lt;/ option&gt; &lt;option value = ""20""&gt; 20 &lt;/ option&gt; &lt;option valu"&amp;"e = ""21""&gt; 21 &lt;/ option&gt; &lt;option value = ""22""&gt; 22 &lt;/ option&gt; &lt;option value = ""23""&gt; 23 &lt;/ option&gt; &lt;option value = ""24""&gt; 24 &lt;/ option&gt; &lt;option value = ""25""&gt; 25 &lt;/ option&gt; &lt;option value = ""26""&gt; 26 &lt;/ option&gt; &lt;option value = ""27""&gt; 27 &lt;/ option&gt; &lt;"&amp;"option value = ""28""&gt; 28 &lt;/ option&gt; &lt;option value = ""29""&gt; 29 &lt;/ option&gt; &lt;option value = ""30""&gt; 30 &lt;/ option&gt; &lt;option value = ""31""&gt; 31 &lt;/ option&gt; &lt;/ select&gt; &lt;select tabindex = ""- 1"" class = ""airy-age-gate-year""&gt; &lt;option value = ""2019""&gt; 2019 &lt;/ "&amp;"option&gt; &lt; option value = ""2018""&gt; 2018 &lt;/ option&gt; &lt;option value = ""2017""&gt; 2017 &lt;/ option&gt; &lt;option value = ""2016""&gt; ​​2016 &lt;/ option&gt; &lt;option value = ""2015""&gt; 2015 &lt;/ option &gt; &lt;option value = ""2014""&gt; 2014 &lt;/ option&gt; &lt;option value = ""2013""&gt; 2013 &lt;/"&amp;" option&gt; &lt;option value = ""2012""&gt; 2012 &lt;/ option&gt; &lt;option value = ""2011""&gt; 2011 &lt; / option&gt; &lt;option value = ""2010""&gt; 2010 &lt;/ option&gt; &lt;option value = ""2009""&gt; 2009 &lt;/ option&gt; &lt;option value = ""2008""&gt; 2008 &lt;/ option&gt; &lt;option value = ""2007""&gt; 2007 &lt;/ o"&amp;"ption&gt; &lt;option value = ""2006""&gt; 2006 &lt;/ option&gt; &lt;option value = ""2005""&gt; 2005 &lt;/ option&gt; &lt;option value = ""2004""&gt; 2004 &lt;/ option&gt; &lt;option value = ""2003 ""&gt; 2003 &lt;/ option&gt; &lt;option value ="" 2002 ""&gt; 2002 &lt;/ option&gt; &lt;option value ="" 2001 ""&gt; 2001 &lt;/ o"&amp;"ption&gt; &lt;option value ="" 2000 ""&gt; 2000 &lt;/ option&gt; &lt;option value = ""1999""&gt; 1999 &lt;/ option&gt; &lt;option value = ""1998""&gt; 1998 &lt;/ option&gt; &lt;option value = ""1997""&gt; 1997 &lt;/ option&gt; &lt;option value = ""1996""&gt; 1996 &lt;/ option&gt; &lt;option value = ""1995""&gt; 1995 &lt;/ opt"&amp;"ion&gt; &lt;option value = ""1994""&gt; 1994 &lt;/ option&gt; &lt;option value = ""1993""&gt; 1993 &lt;/ option&gt; &lt;option value = ""1992""&gt; 1992 &lt;/ option&gt; &lt;option value = ""1991""&gt; 1991 &lt;/ option&gt; &lt;option value = ""1990""&gt; 1990 &lt;/ option&gt; &lt;option value = "" 1989 ""&gt; 1989 &lt;/ opti"&amp;"on&gt; &lt;option value ="" 1988 ""&gt; 1988 &lt;/ option&gt; &lt;option value ="" 1987 ""&gt; 1987 &lt;/ option&gt; &lt;option value ="" 1986 ""&gt; 1986 &lt;/ option&gt; &lt;value option = ""1985""&gt; 1985 &lt;/ option&gt; &lt;option value = ""1984""&gt; 1984 &lt;/ option&gt; &lt;option value = ""1983""&gt; 1983 &lt;/ opti"&amp;"on&gt; &lt;option value = ""1982""&gt; 1982 &lt;/ option&gt; &lt; option value = ""1981""&gt; 1981 &lt;/ option&gt; &lt;option value = ""1980""&gt; 1980 &lt;/ option&gt; &lt;option value = ""1979""&gt; 1979 &lt;/ option&gt; &lt;option value = ""1978""&gt; 1978 &lt;/ option &gt; &lt;option value = ""1977""&gt; 1977 &lt;/ optio"&amp;"n&gt; &lt;option value = ""1976""&gt; 1976 &lt;/ option&gt; &lt;option value = ""1975""&gt; 1975 &lt;/ option&gt; &lt;option value = ""1974""&gt; 1974 &lt; / option&gt; &lt;option value = ""1973""&gt; 1973 &lt;/ option&gt; &lt;option value = ""1972""&gt; 1972 &lt;/ option&gt; &lt;option value = ""1971""&gt; 1971 &lt;/ option&gt;"&amp;" &lt;option value = ""1970""&gt; 1970 &lt;/ option&gt; &lt;option value = ""1969""&gt; 1969 &lt;/ option&gt; &lt;option value = ""1968""&gt; 1968 &lt;/ option&gt; &lt;option value = ""1967""&gt; 1967 &lt;/ option&gt; &lt;option value = ""1966 ""&gt; 1966 &lt;/ option&gt; &lt;option value ="" 1965 ""&gt; 1965 &lt;/ option&gt; "&amp;"&lt;option value ="" 1964 ""&gt; 1964 &lt;/ option&gt; &lt;option value ="" 1963 ""&gt; 1963 &lt;/ option&gt; &lt;option value = ""1962""&gt; 1962 &lt;/ option&gt; &lt;option value = ""1961""&gt; 1961 &lt;/ option&gt; &lt;option value = ""1960""&gt; 1960 &lt;/ op tion&gt; &lt;option value = ""1959""&gt; 1959 &lt;/ option&gt; "&amp;"&lt;option value = ""1958""&gt; 1958 &lt;/ option&gt; &lt;option value = ""1957""&gt; 1957 &lt;/ option&gt; &lt;option value = ""1956""&gt; 1956 &lt;/ option&gt; &lt;option value = ""1955""&gt; 1955 &lt;/ option&gt; &lt;option value = ""1954""&gt; 1954 &lt;/ option&gt; &lt;option value = ""1953""&gt; 1953 &lt;/ option&gt; &lt;op"&amp;"tion value = ""1952"" &gt; 1952 &lt;/ option&gt; &lt;option value = ""1951""&gt; 1951 &lt;/ option&gt; &lt;option value = ""1950""&gt; 1950 &lt;/ option&gt; &lt;option value = ""1949""&gt; 1949 &lt;/ option&gt; &lt;option value = "" 1948 ""&gt; 1948 &lt;/ option&gt; &lt;option value ="" 1947 ""&gt; 1947 &lt;/ option&gt; &lt;o"&amp;"ption value ="" 1946 ""&gt; 1946 &lt;/ option&gt; &lt;option value ="" 1945 ""&gt; 1945 &lt;/ option&gt; &lt;value option = ""1944""&gt; 1944 &lt;/ option&gt; &lt;option value = ""1943""&gt; 1943 &lt;/ option&gt; &lt;option value = ""1942""&gt; 1942 &lt;/ option&gt; &lt;option value = ""1941""&gt; 1941 &lt;/ option&gt; &lt; o"&amp;"ption value = ""1940""&gt; 1940 &lt;/ option&gt; &lt;option value = ""1939""&gt; 1939 &lt;/ option&gt; &lt;option value = ""1938""&gt; 1938 &lt;/ option&gt; &lt;option value = ""1937""&gt; 1937 &lt;/ option &gt; &lt;option value = ""1936""&gt; 1936 &lt;/ option&gt; &lt;option value = ""1935""&gt; 1935 &lt;/ option&gt; &lt;opt"&amp;"ion value = ""1934""&gt; 1934 &lt;/ option&gt; &lt;option value = ""1933""&gt; 1933 &lt; / option&gt; &lt;option value = ""1932""&gt; 1932 &lt;/ option&gt; &lt;option value = ""1931""&gt; 1931 &lt;/ option&gt; &lt;option v alue = ""1930""&gt; 1930 &lt;/ option&gt; &lt;option value = ""1929""&gt; 1929 &lt;/ option&gt; &lt;opti"&amp;"on value = ""1928""&gt; 1928 &lt;/ option&gt; &lt;option value = ""1927""&gt; 1927 &lt;/ option&gt; &lt;option value = ""1926""&gt; 1926 &lt;/ option&gt; &lt;option value = ""1925""&gt; 1925 &lt;/ option&gt; &lt;option value = ""1924""&gt; 1924 &lt;/ option&gt; &lt;option value = ""1923""&gt; 1923 &lt;/ option&gt; &lt;option "&amp;"value = ""1922""&gt; 1922 &lt;/ option&gt; &lt;option value = ""1921""&gt; 1921 &lt;/ option&gt; &lt;option value = ""1920""&gt; 1920 &lt;/ option&gt; &lt;option value = ""1919""&gt; 1919 &lt;/ option&gt; &lt;option value = ""1918""&gt; 1918 &lt;/ option&gt; &lt;option value = ""1917""&gt; 1917 &lt;/ option&gt; &lt;option val"&amp;"ue = ""1916""&gt; 1916 &lt;/ option&gt; &lt;option value = ""1915"" &gt; 1915 &lt;/ option&gt; &lt;option value = ""1914""&gt; 1914 &lt;/ option&gt; &lt;option value = ""1913""&gt; 1913 &lt;/ option&gt; &lt;option value = ""1912""&gt; 1912 &lt;/ option&gt; &lt;option value = "" 1911 ""&gt; 1911 &lt;/ option&gt; &lt;option val"&amp;"ue ="" 1910 ""&gt; 1910 &lt;/ option&gt; &lt;option value ="" 1909 ""&gt; 1909 &lt;/ option&gt; &lt;option value ="" 1908 ""&gt; 1908 &lt;/ option&gt; &lt;value option = ""1907""&gt; 1907 &lt;/ option&gt; &lt;option value = ""1906""&gt; 1906 &lt;/ option&gt; &lt;option value = ""1905""&gt; 1905 &lt;/ option&gt; &lt;option val"&amp;"ue = ""1904""&gt; 1904 &lt;/ option&gt; &lt; option value = ""1903""&gt; 1903 &lt;/ option&gt; &lt;option value = ""1902""&gt; 1902 &lt;/ option&gt; &lt;option value = ""1901""&gt; 19 01 &lt;/ option&gt; &lt;option value = ""1900""&gt; 1900 &lt;/ option&gt; &lt;/ select&gt; &lt;div tabindex = ""- 1"" class = ""airy-age-"&amp;"gate-submit airy-submit-button airy airy-submit- disabled ""&gt; Submit &lt;/ div&gt; &lt;/ div&gt; &lt;/ div&gt; &lt;/ div&gt; &lt;/ div&gt; &lt;/ div&gt; &lt;div tabindex ="" - 1 ""class ="" airy-install-flash-dialog airy-stage airy -vertical-centering-table-dialog airy airy-denied ""style ="" "&amp;"opacity: 0; visibility: hidden; ""&gt; &lt;div tabindex ="" - 1 ""class ="" airy-install-flash-Vertical-centering-table-cell airy-Vertical-centering-table-cell ""&gt; &lt;div tabindex ="" - 1 ""class = ""airy-Vertical-centering-wrapper airy-install-flash-elements-wra"&amp;"pper""&gt; &lt;div tabindex = ""- 1"" class = ""airy-install-flash-elements airy-dialog-elements""&gt; &lt;div tabindex = "" -1 ""class ="" airy-install-flash-prompt ""&gt; Adobe Flash Player is required to watch this video &lt;/ div&gt; &lt;div tabindex =."" - 1 ""class ="" air"&amp;"y-install-flash-button-wrapper airy -dialog-inner-elements ""&gt; &lt;div tabindex ="" - 1 ""class ="" airy-install-flash-button airy-button ""&gt; install Flash Player &lt;/ div&gt; &lt;/ div&gt; &lt;/ div&gt; &lt;/ div&gt; &lt;/ div&gt; &lt;/ div&gt; &lt;div tabindex = ""- 1"" class = ""airy-video-un"&amp;"supported-dialog airy-stage airy-Vertical-centering-table airy-dialog airy-denied"" style = ""opacity: 0; visibility: hidden; ""&gt; &lt;div tabindex ="" - 1 ""class ="" airy-video-unsupported-Vertical-centering-table-cell airy-Vertical-centering-table-cell ""&gt;"&amp;" &lt;div tabindex ="" - 1 ""class = ""airy-Vertical-centering-wrapper airy-video-unsupported-elements-wrapper""&gt; &lt;div tabindex = ""- 1"" class = ""airy-video-unsupported-elements airy-dialog-elements""&gt; &lt;div tabindex = "" -1 ""class ="" airy-video-unsupporte"&amp;"d-prompt ""&gt; &lt;/ div&gt; &lt;/ div&gt; &lt;/ div&gt; &lt;/ div&gt; &lt;/ div&gt; &lt;div tabindex ="" - 1 ""class ="" airy-loading- spinner-stage airy-stage ""&gt; &lt;div tabindex ="" - 1 ""class ="" airy-loading-spinner-Vertical-centering-table-cell airy-Vertical-centering-table-cell ""&gt; &lt;"&amp;"div tabindex ="" - 1 ""class ="" airy-loading-spinner-container airy-scalable-hint-container ""&gt; &lt;div tabindex ="" - 1 ""class ="" airy-loading-spinner-dummy airy-scalable-dummy ""&gt; &lt;/ div&gt; &lt; div tabindex = ""- 1"" class = ""airy-loading-spinner airy-hint"&amp;""" style = ""visibility: hidden;""&gt; &lt;/ div&gt; &lt;/ div&gt; &lt;/ div&gt; &lt;/ div&gt; &lt;div tabindex = ""- 1 ""class ="" airy-ads-screen-size-toggle airy-screen-size-toggle-fullscreen airy ""style ="" visibility: hidden; ""&gt; &lt;/ div&gt; &lt;div tabindex = ""-1"" class = ""airy-ad-"&amp;"prompt-container"" style = ""visibility: hidden;""&gt; &lt;div tabindex = ""- 1"" class = ""airy-ad-prompt-Vertical-centering-table-vertically airy centering-table ""&gt; &lt;div tabindex ="" - 1 ""class ="" airy-ad-prompt-Vertical-centering-table-cell airy-Vertical-"&amp;"centering-table-cell ""&gt; &lt;div tabindex ="" - 1 ""class = ""airy-ad-prompt-label""&gt; &lt;/ div&gt; &lt;/ div&gt; &lt;/ div&gt; &lt;/ div&gt; &lt;div tabindex = ""- 1"" class = ""airy-ads-controls-container"" style = ""visibility: hidden; ""&gt; &lt;div tabindex ="" - 1 ""class ="" airy-ads"&amp;"-audio-toggle airy-audio-toggle airy-on ""style ="" visibility: hidden; ""&gt; &lt;/ div&gt; &lt;div tabindex ="" - 1 ""class ="" airy-time-remaining-label-container ""&gt; &lt;div tabindex ="" - 1 ""class ="" airy-time-remaining-Vertical-centering-table airy-Vertical-cent"&amp;"ering-table ""&gt; &lt;div tabindex = ""- 1"" class = ""airy-time-remaining-Vertical-centering-table-cell airy-Vertical-centering-table-cell""&gt; &lt;div tabindex = ""- 1"" class = ""airy-Vertical-centering-wrapper airy-time-remaining-label-wrapper ""&gt; &lt;div tabindex"&amp;" ="" - 1 ""class ="" airy-time-remaining-label ""style ="" visibility: hidden; ""&gt; &lt;/ div&gt; &lt;div tabi ndex = ""- 1"" class = ""airy-ad-skip"" style = ""visibility: hidden;""&gt; &lt;/ div&gt; &lt;div tabindex = ""- 1"" class = ""airy-ad-end"" style = ""visibility: hid"&amp;"den ""&gt; &lt;/ div&gt; &lt;/ div&gt; &lt;/ div&gt; &lt;/ div&gt; &lt;/ div&gt; &lt;div tabindex ="" - 1 ""class ="" airy-learn-more ""style ="" visibility: hidden; ""&gt; &lt;/ div&gt; &lt;/ div&gt; &lt;div tabindex = ""- 1"" class = ""airy-play-toggle-hint-stage airy-stage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-toggle-hint hint airy-airy-play-hint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eu-images ."&amp;"ssl-images-amazon.com / images / I / 81W8 + zP10lS.mp4 ""Class ="" video-url ""&gt; &lt;input type ="" hidden ""name ="" ""value ="" https://images-eu.ssl-images-amazon.com/images/I/71HALLPJOPS.png ""class ="" video-slate-img-url ""&gt; &amp; nbsp; is beautiful, pay d"&amp;"esign, because it makes a lot of noise. It's bigger than it looks. Good finishes! Good! Good use")</f>
        <v>Ana &lt;div id = "video-block-R2JR8UQSO7R196" class = "a-section a-spacing-small a-spacing-top mini video-block"&gt; &lt;div tabindex = "0" class = "airy airy-svg vmin -unsupported airy-skin-beacon "style =" background-color: rgb (0, 0, 0) position: relative; width: 100%; height: 100%; font-size: 0px; overflow: hidden; outline: none; "&gt; &lt;div class =" airy-renderer-container "style =" position: relative; height: 100%; width: 100%; "&gt; &lt;video id =" 7 "preload =" auto "src =" https : //images-eu.ssl-images-amazon.com/images/I/81W8+zP10lS.mp4 "style =" position: absolute; left: 0px; top: 0px; overflow: hidden; height: 1px; width: 1px; "&gt; &lt;/ video&gt; &lt;/ div&gt; &lt;div id =" airy-slate-preload "style =" background-color: rgb (0, 0, 0); background-image: url (&amp; quot; https: / /images-eu.ssl-images-amazon.com/images/I/71HALLPJOPS.png&amp;quot;); background-size: Contain; background-position: center center; background-repeat: no-repeat; position: absolute; top: 0px; left: 0px; visibility: visible; width: 100%; height: 100%; "&gt; &lt;/ div&gt; &lt;iframe scrolling =" no "FrameB 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0:06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 bar-elements "&gt; &lt;div tabindex =" - 1 "class =" airy-progress bar "style =" width: 100%;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eu-images .ssl-images-amazon.com / images / I / 81W8 + zP10lS.mp4 "Class =" video-url "&gt; &lt;input type =" hidden "name =" "value =" https://images-eu.ssl-images-amazon.com/images/I/71HALLPJOPS.png "class =" video-slate-img-url "&gt; &amp; nbsp; is beautiful, pay design, because it makes a lot of noise. It's bigger than it looks. Good finishes! Good! Good use</v>
      </c>
    </row>
    <row r="4858">
      <c r="A4858" s="1">
        <v>5.0</v>
      </c>
      <c r="B4858" s="1" t="s">
        <v>4831</v>
      </c>
      <c r="C4858" t="str">
        <f>IFERROR(__xludf.DUMMYFUNCTION("GOOGLETRANSLATE(B4858, ""es"", ""en"")"),"A good memory card for that price. I've always used the SanDisk brand cards and have never been disappointed. This, though not very fast, is a good buy at that price.")</f>
        <v>A good memory card for that price. I've always used the SanDisk brand cards and have never been disappointed. This, though not very fast, is a good buy at that price.</v>
      </c>
    </row>
    <row r="4859">
      <c r="A4859" s="1">
        <v>5.0</v>
      </c>
      <c r="B4859" s="1" t="s">
        <v>4832</v>
      </c>
      <c r="C4859" t="str">
        <f>IFERROR(__xludf.DUMMYFUNCTION("GOOGLETRANSLATE(B4859, ""es"", ""en"")"),"I love Precious pendant is very fine and beautiful place")</f>
        <v>I love Precious pendant is very fine and beautiful place</v>
      </c>
    </row>
    <row r="4860">
      <c r="A4860" s="1">
        <v>5.0</v>
      </c>
      <c r="B4860" s="1" t="s">
        <v>4833</v>
      </c>
      <c r="C4860" t="str">
        <f>IFERROR(__xludf.DUMMYFUNCTION("GOOGLETRANSLATE(B4860, ""es"", ""en"")"),"Small high capacity as an offer, I have been very pleased with their quality compared to the price. They are items that today are used as both lost ... The pros is the great capacity. Cons that given its small size, is just as great for transport as easy "&amp;"to lose. Thank you.")</f>
        <v>Small high capacity as an offer, I have been very pleased with their quality compared to the price. They are items that today are used as both lost ... The pros is the great capacity. Cons that given its small size, is just as great for transport as easy to lose. Thank you.</v>
      </c>
    </row>
    <row r="4861">
      <c r="A4861" s="1">
        <v>5.0</v>
      </c>
      <c r="B4861" s="1" t="s">
        <v>4834</v>
      </c>
      <c r="C4861" t="str">
        <f>IFERROR(__xludf.DUMMYFUNCTION("GOOGLETRANSLATE(B4861, ""es"", ""en"")"),"The best thing about portable blender is that you do not need to be plugged into the current so can take it anywhere, use it a lot for children and so eat fruit daily")</f>
        <v>The best thing about portable blender is that you do not need to be plugged into the current so can take it anywhere, use it a lot for children and so eat fruit daily</v>
      </c>
    </row>
    <row r="4862">
      <c r="A4862" s="1">
        <v>5.0</v>
      </c>
      <c r="B4862" s="1" t="s">
        <v>4835</v>
      </c>
      <c r="C4862" t="str">
        <f>IFERROR(__xludf.DUMMYFUNCTION("GOOGLETRANSLATE(B4862, ""es"", ""en"")"),"Masajeador powerful recimendado Very good excellent massager. It was just what we expected came in one day. It has good power and is durable in addition to accessories and good battery life")</f>
        <v>Masajeador powerful recimendado Very good excellent massager. It was just what we expected came in one day. It has good power and is durable in addition to accessories and good battery life</v>
      </c>
    </row>
    <row r="4863">
      <c r="A4863" s="1">
        <v>5.0</v>
      </c>
      <c r="B4863" s="1" t="s">
        <v>4836</v>
      </c>
      <c r="C4863" t="str">
        <f>IFERROR(__xludf.DUMMYFUNCTION("GOOGLETRANSLATE(B4863, ""es"", ""en"")"),"It smells good fast shipping and good quality product, really nourishes the leather is not prigoso and leaves a good finish and also smells good")</f>
        <v>It smells good fast shipping and good quality product, really nourishes the leather is not prigoso and leaves a good finish and also smells good</v>
      </c>
    </row>
    <row r="4864">
      <c r="A4864" s="1">
        <v>5.0</v>
      </c>
      <c r="B4864" s="1" t="s">
        <v>4837</v>
      </c>
      <c r="C4864" t="str">
        <f>IFERROR(__xludf.DUMMYFUNCTION("GOOGLETRANSLATE(B4864, ""es"", ""en"")"),"pleasantly surprised pleasantly surprised, I was reluctant to headphones without a hitch on to the ear for fear falling during sports and lose the handset, and buy this model for its price and because I aesthetically look nice and discreet black is very e"&amp;"legant . The first thing I liked was the presentation a black box with pleasure. After the cargo box also has a very nice and elegant design, the rounded edges charm me that makes touch to the catch better. Headphones inside fit with a system of magnetism"&amp;" that makes it impossible to get him in the box wrong and avoid surprises later, the cargo box has a small battery that is charged in 90 minutes or less and headphones take more or less the same to be ready for use. You can also charge the headset without"&amp;" being in power, the battery can last 4 hours it is not bad. Both headphones are discreet and small with a nice touch are matched smoothly and quickly between them and then the phone or tablet is very simple like any other handset. When using fits perfect"&amp;"ly in your ear and you can not go wrong because it does not fit if not her. I have used the bike and no problems have not fallen at any time that was what I was afraid. In the headset it has a central button that handles everything on and off, pick up cal"&amp;"l or not, if we double clip on the right is next song and we do it on the left is previous song. If we do triple clip on the up right volume and if the left volume down. In short I loved her long battery life touch on the ear which is very comfortable for"&amp;" sport is fine is not easily dropped, easy to use.")</f>
        <v>pleasantly surprised pleasantly surprised, I was reluctant to headphones without a hitch on to the ear for fear falling during sports and lose the handset, and buy this model for its price and because I aesthetically look nice and discreet black is very elegant . The first thing I liked was the presentation a black box with pleasure. After the cargo box also has a very nice and elegant design, the rounded edges charm me that makes touch to the catch better. Headphones inside fit with a system of magnetism that makes it impossible to get him in the box wrong and avoid surprises later, the cargo box has a small battery that is charged in 90 minutes or less and headphones take more or less the same to be ready for use. You can also charge the headset without being in power, the battery can last 4 hours it is not bad. Both headphones are discreet and small with a nice touch are matched smoothly and quickly between them and then the phone or tablet is very simple like any other handset. When using fits perfectly in your ear and you can not go wrong because it does not fit if not her. I have used the bike and no problems have not fallen at any time that was what I was afraid. In the headset it has a central button that handles everything on and off, pick up call or not, if we double clip on the right is next song and we do it on the left is previous song. If we do triple clip on the up right volume and if the left volume down. In short I loved her long battery life touch on the ear which is very comfortable for sport is fine is not easily dropped, easy to use.</v>
      </c>
    </row>
    <row r="4865">
      <c r="A4865" s="1">
        <v>5.0</v>
      </c>
      <c r="B4865" s="1" t="s">
        <v>4838</v>
      </c>
      <c r="C4865" t="str">
        <f>IFERROR(__xludf.DUMMYFUNCTION("GOOGLETRANSLATE(B4865, ""es"", ""en"")"),"Good headphones caundo came not all him, resembled the typical first Chinese product without any pretensions, but here the first surprise: the manual was in perfect Spanish. Easy pairing, as they take them out practically to accept on the phone already pa"&amp;"ired easy to load, only to leave them at their base and provide for about 2 or 2.5 hours Sound spectacular for what seem some pretty good bass (council : change the number pads by other thicker to have an experience of brutal sound) the basis given for 2-"&amp;"3 loads so a whole day to spare you work for me have been the revelation: I work in a factory and I have to wear headphones 3M type to muffle the noise, well I can now take and also listen to music without inventions making cables and super comfortable fo"&amp;"r my work has been milk truth, not as will be more expensive but they go and they sound great.")</f>
        <v>Good headphones caundo came not all him, resembled the typical first Chinese product without any pretensions, but here the first surprise: the manual was in perfect Spanish. Easy pairing, as they take them out practically to accept on the phone already paired easy to load, only to leave them at their base and provide for about 2 or 2.5 hours Sound spectacular for what seem some pretty good bass (council : change the number pads by other thicker to have an experience of brutal sound) the basis given for 2-3 loads so a whole day to spare you work for me have been the revelation: I work in a factory and I have to wear headphones 3M type to muffle the noise, well I can now take and also listen to music without inventions making cables and super comfortable for my work has been milk truth, not as will be more expensive but they go and they sound great.</v>
      </c>
    </row>
    <row r="4866">
      <c r="A4866" s="1">
        <v>5.0</v>
      </c>
      <c r="B4866" s="1" t="s">
        <v>4839</v>
      </c>
      <c r="C4866" t="str">
        <f>IFERROR(__xludf.DUMMYFUNCTION("GOOGLETRANSLATE(B4866, ""es"", ""en"")"),"A wonder I love these shoes are better than I expected. They are very comfortable and are extremely well placed with a cowboy. The size is European size can fit.")</f>
        <v>A wonder I love these shoes are better than I expected. They are very comfortable and are extremely well placed with a cowboy. The size is European size can fit.</v>
      </c>
    </row>
    <row r="4867">
      <c r="A4867" s="1">
        <v>5.0</v>
      </c>
      <c r="B4867" s="1" t="s">
        <v>238</v>
      </c>
      <c r="C4867" t="str">
        <f>IFERROR(__xludf.DUMMYFUNCTION("GOOGLETRANSLATE(B4867, ""es"", ""en"")"),"perfect perfect")</f>
        <v>perfect perfect</v>
      </c>
    </row>
    <row r="4868">
      <c r="A4868" s="1">
        <v>5.0</v>
      </c>
      <c r="B4868" s="1" t="s">
        <v>4840</v>
      </c>
      <c r="C4868" t="str">
        <f>IFERROR(__xludf.DUMMYFUNCTION("GOOGLETRANSLATE(B4868, ""es"", ""en"")"),"pleasant heat for hours After two months of use are delighted. Ten minutes charge reaches a relatively high temperature. Then unplug and keeps the heat for hours. We put it in the footwell on the bed and is making us very cold bearable. I also used to app"&amp;"ly dry heat for back pain and is perfect. Highly recommended, although I bought another in a physical store cheaper than Amazon.")</f>
        <v>pleasant heat for hours After two months of use are delighted. Ten minutes charge reaches a relatively high temperature. Then unplug and keeps the heat for hours. We put it in the footwell on the bed and is making us very cold bearable. I also used to apply dry heat for back pain and is perfect. Highly recommended, although I bought another in a physical store cheaper than Amazon.</v>
      </c>
    </row>
    <row r="4869">
      <c r="A4869" s="1">
        <v>5.0</v>
      </c>
      <c r="B4869" s="1" t="s">
        <v>4841</v>
      </c>
      <c r="C4869" t="str">
        <f>IFERROR(__xludf.DUMMYFUNCTION("GOOGLETRANSLATE(B4869, ""es"", ""en"")"),"Salomon very happy with my Amazon iloecable Service, as always. Great product, great price, I'll take that. I shall not use or wear evaluate, that other users already do, and I'm not a pro.")</f>
        <v>Salomon very happy with my Amazon iloecable Service, as always. Great product, great price, I'll take that. I shall not use or wear evaluate, that other users already do, and I'm not a pro.</v>
      </c>
    </row>
    <row r="4870">
      <c r="A4870" s="1">
        <v>5.0</v>
      </c>
      <c r="B4870" s="1" t="s">
        <v>4842</v>
      </c>
      <c r="C4870" t="str">
        <f>IFERROR(__xludf.DUMMYFUNCTION("GOOGLETRANSLATE(B4870, ""es"", ""en"")"),"Encantado very practical. At the end I could get all videos from my iPhone without answering it to the PC.")</f>
        <v>Encantado very practical. At the end I could get all videos from my iPhone without answering it to the PC.</v>
      </c>
    </row>
    <row r="4871">
      <c r="A4871" s="1">
        <v>5.0</v>
      </c>
      <c r="B4871" s="1" t="s">
        <v>4843</v>
      </c>
      <c r="C4871" t="str">
        <f>IFERROR(__xludf.DUMMYFUNCTION("GOOGLETRANSLATE(B4871, ""es"", ""en"")"),"ADIDAS Duramo I liked everything. Pretty shoe, it is comodisima and you can walk all you want with it or is it perfect")</f>
        <v>ADIDAS Duramo I liked everything. Pretty shoe, it is comodisima and you can walk all you want with it or is it perfect</v>
      </c>
    </row>
    <row r="4872">
      <c r="A4872" s="1">
        <v>5.0</v>
      </c>
      <c r="B4872" s="1" t="s">
        <v>4844</v>
      </c>
      <c r="C4872" t="str">
        <f>IFERROR(__xludf.DUMMYFUNCTION("GOOGLETRANSLATE(B4872, ""es"", ""en"")"),"Comfortable and hard. They offer premium sound. The quality is quite loud and clear, perfect for music, movies and even phone calls. It has a control key, used to answer a call by pressing once work perfectly, they listen very bien.Son a robust headphones"&amp;" and with exceptional quality, for which the price / quality ratio is very good. Fully recommended.")</f>
        <v>Comfortable and hard. They offer premium sound. The quality is quite loud and clear, perfect for music, movies and even phone calls. It has a control key, used to answer a call by pressing once work perfectly, they listen very bien.Son a robust headphones and with exceptional quality, for which the price / quality ratio is very good. Fully recommended.</v>
      </c>
    </row>
    <row r="4873">
      <c r="A4873" s="1">
        <v>5.0</v>
      </c>
      <c r="B4873" s="1" t="s">
        <v>4845</v>
      </c>
      <c r="C4873" t="str">
        <f>IFERROR(__xludf.DUMMYFUNCTION("GOOGLETRANSLATE(B4873, ""es"", ""en"")"),"Blender Blender Philips brand quality. The mixer is simple, but is a solid product, and resistant. The main body of the mixer is finished in stainless steel, on the front, we have a rotary knob with which we light'll turn off the mixer, ye go by selecting"&amp;" the stirring speed. At the bottom four suction cups that hold us the mixer on the kitchen counter, you, prevent it from moving when we are working. Pitcher, strong and heavy, with a capacity of 2 liters. The cap, carrying the contact area with the mixer,"&amp;" a blade of silicon, so that nothing spills. As an accessory, comes a glass to make fruit smoothies, very practical, it comes with its set of blades in a separate accessory, and other accessory, which is the lid, pour the juices which, once crushed. Excep"&amp;"t the main body, all other parts and accessories, we put it in the dishwasher. Detail as to say it is not very noisy, far less than my old mixer. Philips puts us in our hand, lots of recipes and smoothies. We can access these, installed on mobile the ""He"&amp;"althy Drinks"" application, which can be found in Play Store. The power is 700 W. The speed selector has many positions.")</f>
        <v>Blender Blender Philips brand quality. The mixer is simple, but is a solid product, and resistant. The main body of the mixer is finished in stainless steel, on the front, we have a rotary knob with which we light'll turn off the mixer, ye go by selecting the stirring speed. At the bottom four suction cups that hold us the mixer on the kitchen counter, you, prevent it from moving when we are working. Pitcher, strong and heavy, with a capacity of 2 liters. The cap, carrying the contact area with the mixer, a blade of silicon, so that nothing spills. As an accessory, comes a glass to make fruit smoothies, very practical, it comes with its set of blades in a separate accessory, and other accessory, which is the lid, pour the juices which, once crushed. Except the main body, all other parts and accessories, we put it in the dishwasher. Detail as to say it is not very noisy, far less than my old mixer. Philips puts us in our hand, lots of recipes and smoothies. We can access these, installed on mobile the "Healthy Drinks" application, which can be found in Play Store. The power is 700 W. The speed selector has many positions.</v>
      </c>
    </row>
    <row r="4874">
      <c r="A4874" s="1">
        <v>5.0</v>
      </c>
      <c r="B4874" s="1" t="s">
        <v>4846</v>
      </c>
      <c r="C4874" t="str">
        <f>IFERROR(__xludf.DUMMYFUNCTION("GOOGLETRANSLATE(B4874, ""es"", ""en"")"),"The cult clock watch does not have any defect in my opinion, for the price quality is a gift, totally I recommend. Just a warning: It is a great watch, if you, like me, a little doll maybe do not end up being comfortable, but of course this is not a defec"&amp;"t of the clock.")</f>
        <v>The cult clock watch does not have any defect in my opinion, for the price quality is a gift, totally I recommend. Just a warning: It is a great watch, if you, like me, a little doll maybe do not end up being comfortable, but of course this is not a defect of the clock.</v>
      </c>
    </row>
    <row r="4875">
      <c r="A4875" s="1">
        <v>5.0</v>
      </c>
      <c r="B4875" s="1" t="s">
        <v>4847</v>
      </c>
      <c r="C4875" t="str">
        <f>IFERROR(__xludf.DUMMYFUNCTION("GOOGLETRANSLATE(B4875, ""es"", ""en"")"),"Outstanding sound excellent sound to match expected for this price. Are somewhat hot aldededor so after an hour of continuous use I have to take them off. Noise cancellation is great, completely isolated from external noises and sounds. Moment no problem "&amp;"with the Bluetooth connection or battery. The battery holds enough time for me more than enough.")</f>
        <v>Outstanding sound excellent sound to match expected for this price. Are somewhat hot aldededor so after an hour of continuous use I have to take them off. Noise cancellation is great, completely isolated from external noises and sounds. Moment no problem with the Bluetooth connection or battery. The battery holds enough time for me more than enough.</v>
      </c>
    </row>
    <row r="4876">
      <c r="A4876" s="1">
        <v>2.0</v>
      </c>
      <c r="B4876" s="1" t="s">
        <v>4848</v>
      </c>
      <c r="C4876" t="str">
        <f>IFERROR(__xludf.DUMMYFUNCTION("GOOGLETRANSLATE(B4876, ""es"", ""en"")"),"Very little comodidad.no I could go out with them you have to take one size fits most I've released and are not comfortable 2 pair and as XTi bother the can not carry return them are insufferable is 2 pair I ask my number and do a lot of damage")</f>
        <v>Very little comodidad.no I could go out with them you have to take one size fits most I've released and are not comfortable 2 pair and as XTi bother the can not carry return them are insufferable is 2 pair I ask my number and do a lot of damage</v>
      </c>
    </row>
    <row r="4877">
      <c r="A4877" s="1">
        <v>3.0</v>
      </c>
      <c r="B4877" s="1" t="s">
        <v>4849</v>
      </c>
      <c r="C4877" t="str">
        <f>IFERROR(__xludf.DUMMYFUNCTION("GOOGLETRANSLATE(B4877, ""es"", ""en"")"),"Inadvisable Very good subjection to the ear thanks to the included adapters (three ways) and three sizes of ear cushions supplied. The battery life of a little justilla headphones, but can be recharged from the case, but it takes half an hour and do it. L"&amp;"ittle convenient system control operations (up / down the volume, forward / backward, etc.) because, not being tactile, to press the headset 1, 2 or 3 times, which ends up hurting your ear. Sound, quite poor: serious shallow and sharp cracked, but the mai"&amp;"n flaw, for me, that is the right atrial desconectava intermittently throughout the period of use, so it was left to enjoy music and has been the reason returned any.")</f>
        <v>Inadvisable Very good subjection to the ear thanks to the included adapters (three ways) and three sizes of ear cushions supplied. The battery life of a little justilla headphones, but can be recharged from the case, but it takes half an hour and do it. Little convenient system control operations (up / down the volume, forward / backward, etc.) because, not being tactile, to press the headset 1, 2 or 3 times, which ends up hurting your ear. Sound, quite poor: serious shallow and sharp cracked, but the main flaw, for me, that is the right atrial desconectava intermittently throughout the period of use, so it was left to enjoy music and has been the reason returned any.</v>
      </c>
    </row>
    <row r="4878">
      <c r="A4878" s="1">
        <v>3.0</v>
      </c>
      <c r="B4878" s="1" t="s">
        <v>4850</v>
      </c>
      <c r="C4878" t="str">
        <f>IFERROR(__xludf.DUMMYFUNCTION("GOOGLETRANSLATE(B4878, ""es"", ""en"")"),"Clean but .. it is a comfortable material to use. But despite being clean it does not have much capacity adherent.")</f>
        <v>Clean but .. it is a comfortable material to use. But despite being clean it does not have much capacity adherent.</v>
      </c>
    </row>
    <row r="4879">
      <c r="A4879" s="1">
        <v>1.0</v>
      </c>
      <c r="B4879" s="1" t="s">
        <v>4851</v>
      </c>
      <c r="C4879" t="str">
        <f>IFERROR(__xludf.DUMMYFUNCTION("GOOGLETRANSLATE(B4879, ""es"", ""en"")"),"Arthur. I have broken me. With 16 months. It has started to turn off the screen. no longer see any numbers or letters. Very unhappy, I thought it would last me quite as it is recorded that the battery lasts 10 years. What I can do?")</f>
        <v>Arthur. I have broken me. With 16 months. It has started to turn off the screen. no longer see any numbers or letters. Very unhappy, I thought it would last me quite as it is recorded that the battery lasts 10 years. What I can do?</v>
      </c>
    </row>
    <row r="4880">
      <c r="A4880" s="1">
        <v>1.0</v>
      </c>
      <c r="B4880" s="1" t="s">
        <v>4852</v>
      </c>
      <c r="C4880" t="str">
        <f>IFERROR(__xludf.DUMMYFUNCTION("GOOGLETRANSLATE(B4880, ""es"", ""en"")"),"I asked. The pedi in black on black.")</f>
        <v>I asked. The pedi in black on black.</v>
      </c>
    </row>
    <row r="4881">
      <c r="A4881" s="1">
        <v>1.0</v>
      </c>
      <c r="B4881" s="1" t="s">
        <v>4853</v>
      </c>
      <c r="C4881" t="str">
        <f>IFERROR(__xludf.DUMMYFUNCTION("GOOGLETRANSLATE(B4881, ""es"", ""en"")"),"poor quality No good battery charge, the buttons are disassembled and moved. The micro single voice captures the top, not the side and regilla of the micro this aboyada ... wrong ... I want it back!")</f>
        <v>poor quality No good battery charge, the buttons are disassembled and moved. The micro single voice captures the top, not the side and regilla of the micro this aboyada ... wrong ... I want it back!</v>
      </c>
    </row>
    <row r="4882">
      <c r="A4882" s="1">
        <v>4.0</v>
      </c>
      <c r="B4882" s="1" t="s">
        <v>4854</v>
      </c>
      <c r="C4882" t="str">
        <f>IFERROR(__xludf.DUMMYFUNCTION("GOOGLETRANSLATE(B4882, ""es"", ""en"")"),"Good choice as inhalambrico micro headset works perfect, recoje voice very well and listen clear and high. Good battery life, at the least 3 hours without problem.")</f>
        <v>Good choice as inhalambrico micro headset works perfect, recoje voice very well and listen clear and high. Good battery life, at the least 3 hours without problem.</v>
      </c>
    </row>
    <row r="4883">
      <c r="A4883" s="1">
        <v>4.0</v>
      </c>
      <c r="B4883" s="1" t="s">
        <v>4855</v>
      </c>
      <c r="C4883" t="str">
        <f>IFERROR(__xludf.DUMMYFUNCTION("GOOGLETRANSLATE(B4883, ""es"", ""en"")"),"Almost perfect noise cancellation, you hear very well, the only but I put it to him that if you have glasses are a little more uncomfortable. good materials and the battery lasts a lot.")</f>
        <v>Almost perfect noise cancellation, you hear very well, the only but I put it to him that if you have glasses are a little more uncomfortable. good materials and the battery lasts a lot.</v>
      </c>
    </row>
    <row r="4884">
      <c r="A4884" s="1">
        <v>4.0</v>
      </c>
      <c r="B4884" s="1" t="s">
        <v>4856</v>
      </c>
      <c r="C4884" t="str">
        <f>IFERROR(__xludf.DUMMYFUNCTION("GOOGLETRANSLATE(B4884, ""es"", ""en"")"),"Magnets Hello, when I asked this article do not attach well to the extent when I received I was ... But it all and being very small hooks lot")</f>
        <v>Magnets Hello, when I asked this article do not attach well to the extent when I received I was ... But it all and being very small hooks lot</v>
      </c>
    </row>
    <row r="4885">
      <c r="A4885" s="1">
        <v>4.0</v>
      </c>
      <c r="B4885" s="1" t="s">
        <v>4857</v>
      </c>
      <c r="C4885" t="str">
        <f>IFERROR(__xludf.DUMMYFUNCTION("GOOGLETRANSLATE(B4885, ""es"", ""en"")"),"Cassio took 3 years in and perfect. Casio is my favorite brand of watches because they are hard to face. I use it every day at work and giving much cane. The glass is unbreakable have not a small arrañazo anything edges resin / rubber if they have stripes"&amp;" but ordinary. Today at work for the first time has released me buckle closure, I put him again and arranged")</f>
        <v>Cassio took 3 years in and perfect. Casio is my favorite brand of watches because they are hard to face. I use it every day at work and giving much cane. The glass is unbreakable have not a small arrañazo anything edges resin / rubber if they have stripes but ordinary. Today at work for the first time has released me buckle closure, I put him again and arranged</v>
      </c>
    </row>
    <row r="4886">
      <c r="A4886" s="1">
        <v>5.0</v>
      </c>
      <c r="B4886" s="1" t="s">
        <v>2296</v>
      </c>
      <c r="C4886" t="str">
        <f>IFERROR(__xludf.DUMMYFUNCTION("GOOGLETRANSLATE(B4886, ""es"", ""en"")"),"Quality high quality")</f>
        <v>Quality high quality</v>
      </c>
    </row>
    <row r="4887">
      <c r="A4887" s="1">
        <v>5.0</v>
      </c>
      <c r="B4887" s="1" t="s">
        <v>4858</v>
      </c>
      <c r="C4887" t="str">
        <f>IFERROR(__xludf.DUMMYFUNCTION("GOOGLETRANSLATE(B4887, ""es"", ""en"")"),"Very nice necklace I bought for these upcoming Christmas holidays and beautiful. Snowflake can be a bit small, but the necklace is very elegant.")</f>
        <v>Very nice necklace I bought for these upcoming Christmas holidays and beautiful. Snowflake can be a bit small, but the necklace is very elegant.</v>
      </c>
    </row>
    <row r="4888">
      <c r="A4888" s="1">
        <v>5.0</v>
      </c>
      <c r="B4888" s="1" t="s">
        <v>4859</v>
      </c>
      <c r="C4888" t="str">
        <f>IFERROR(__xludf.DUMMYFUNCTION("GOOGLETRANSLATE(B4888, ""es"", ""en"")"),"Paste tarps does its job abroad")</f>
        <v>Paste tarps does its job abroad</v>
      </c>
    </row>
    <row r="4889">
      <c r="A4889" s="1">
        <v>5.0</v>
      </c>
      <c r="B4889" s="1" t="s">
        <v>4860</v>
      </c>
      <c r="C4889" t="str">
        <f>IFERROR(__xludf.DUMMYFUNCTION("GOOGLETRANSLATE(B4889, ""es"", ""en"")"),"Perfecte All very well")</f>
        <v>Perfecte All very well</v>
      </c>
    </row>
    <row r="4890">
      <c r="A4890" s="1">
        <v>5.0</v>
      </c>
      <c r="B4890" s="1" t="s">
        <v>4861</v>
      </c>
      <c r="C4890" t="str">
        <f>IFERROR(__xludf.DUMMYFUNCTION("GOOGLETRANSLATE(B4890, ""es"", ""en"")"),"It gives a good buy good service, note that it is not the original but does successfully.")</f>
        <v>It gives a good buy good service, note that it is not the original but does successfully.</v>
      </c>
    </row>
    <row r="4891">
      <c r="A4891" s="1">
        <v>5.0</v>
      </c>
      <c r="B4891" s="1" t="s">
        <v>4862</v>
      </c>
      <c r="C4891" t="str">
        <f>IFERROR(__xludf.DUMMYFUNCTION("GOOGLETRANSLATE(B4891, ""es"", ""en"")"),"Very stable even if you sweat This Bluetooth headset is perfect for my kids. Often it will do morning exercise. He thought the sound without music was a little boring, so I bought on Amazon. Logistics takes time, so no hurry. When we receive it, we found "&amp;"very good, very clear sound when my son was sweating at home, this Bluetooth headset is very stable in the ear and not fall.")</f>
        <v>Very stable even if you sweat This Bluetooth headset is perfect for my kids. Often it will do morning exercise. He thought the sound without music was a little boring, so I bought on Amazon. Logistics takes time, so no hurry. When we receive it, we found very good, very clear sound when my son was sweating at home, this Bluetooth headset is very stable in the ear and not fall.</v>
      </c>
    </row>
    <row r="4892">
      <c r="A4892" s="1">
        <v>5.0</v>
      </c>
      <c r="B4892" s="1" t="s">
        <v>4863</v>
      </c>
      <c r="C4892" t="str">
        <f>IFERROR(__xludf.DUMMYFUNCTION("GOOGLETRANSLATE(B4892, ""es"", ""en"")"),"Shoes star, comfortable, beautiful and functional Cool, beautiful, set my foot with the number I always use the 38, although it is true that my foot is perhaps small, but comfortable and practical for dancing, not nailed anything and the price they are pe"&amp;"rfect. They are like you've left Dirty Dancing, a great choice, to see if enough last time.")</f>
        <v>Shoes star, comfortable, beautiful and functional Cool, beautiful, set my foot with the number I always use the 38, although it is true that my foot is perhaps small, but comfortable and practical for dancing, not nailed anything and the price they are perfect. They are like you've left Dirty Dancing, a great choice, to see if enough last time.</v>
      </c>
    </row>
    <row r="4893">
      <c r="A4893" s="1">
        <v>5.0</v>
      </c>
      <c r="B4893" s="1" t="s">
        <v>4864</v>
      </c>
      <c r="C4893" t="str">
        <f>IFERROR(__xludf.DUMMYFUNCTION("GOOGLETRANSLATE(B4893, ""es"", ""en"")"),"Charmed. It was love at first sight since I saw I liked and now very happy with my gshock")</f>
        <v>Charmed. It was love at first sight since I saw I liked and now very happy with my gshock</v>
      </c>
    </row>
    <row r="4894">
      <c r="A4894" s="1">
        <v>5.0</v>
      </c>
      <c r="B4894" s="1" t="s">
        <v>4865</v>
      </c>
      <c r="C4894" t="str">
        <f>IFERROR(__xludf.DUMMYFUNCTION("GOOGLETRANSLATE(B4894, ""es"", ""en"")"),"Okay!? No smells so strong, my I like the most intense smell, I have poneer 20gotas to 200ml of water and smells little money a 5 on a scale of 1 to 10")</f>
        <v>Okay!? No smells so strong, my I like the most intense smell, I have poneer 20gotas to 200ml of water and smells little money a 5 on a scale of 1 to 10</v>
      </c>
    </row>
    <row r="4895">
      <c r="A4895" s="1">
        <v>5.0</v>
      </c>
      <c r="B4895" s="1" t="s">
        <v>4866</v>
      </c>
      <c r="C4895" t="str">
        <f>IFERROR(__xludf.DUMMYFUNCTION("GOOGLETRANSLATE(B4895, ""es"", ""en"")"),"Great I expected. It has 2 volumene steam is programmable 1,3,6 operating hours or until water is terminated. It's super silenciso")</f>
        <v>Great I expected. It has 2 volumene steam is programmable 1,3,6 operating hours or until water is terminated. It's super silenciso</v>
      </c>
    </row>
    <row r="4896">
      <c r="A4896" s="1">
        <v>5.0</v>
      </c>
      <c r="B4896" s="1" t="s">
        <v>4867</v>
      </c>
      <c r="C4896" t="str">
        <f>IFERROR(__xludf.DUMMYFUNCTION("GOOGLETRANSLATE(B4896, ""es"", ""en"")"),"They are very good sound and comfort")</f>
        <v>They are very good sound and comfort</v>
      </c>
    </row>
    <row r="4897">
      <c r="A4897" s="1">
        <v>5.0</v>
      </c>
      <c r="B4897" s="1" t="s">
        <v>4868</v>
      </c>
      <c r="C4897" t="str">
        <f>IFERROR(__xludf.DUMMYFUNCTION("GOOGLETRANSLATE(B4897, ""es"", ""en"")"),"Your comfort E has gustadouchp use it for walking")</f>
        <v>Your comfort E has gustadouchp use it for walking</v>
      </c>
    </row>
    <row r="4898">
      <c r="A4898" s="1">
        <v>5.0</v>
      </c>
      <c r="B4898" s="1" t="s">
        <v>4869</v>
      </c>
      <c r="C4898" t="str">
        <f>IFERROR(__xludf.DUMMYFUNCTION("GOOGLETRANSLATE(B4898, ""es"", ""en"")"),"A simple and good headphones at a good price to fulfill its function. They are simple, but good quality for its price. Are the third we bought for my daughters, in different colors. They use them every day and resist perfectly. If we ever need another, we"&amp;" will repeat.")</f>
        <v>A simple and good headphones at a good price to fulfill its function. They are simple, but good quality for its price. Are the third we bought for my daughters, in different colors. They use them every day and resist perfectly. If we ever need another, we will repeat.</v>
      </c>
    </row>
    <row r="4899">
      <c r="A4899" s="1">
        <v>5.0</v>
      </c>
      <c r="B4899" s="1" t="s">
        <v>4870</v>
      </c>
      <c r="C4899" t="str">
        <f>IFERROR(__xludf.DUMMYFUNCTION("GOOGLETRANSLATE(B4899, ""es"", ""en"")"),"Perfect for doctors and nurses My sister is a nurse and spends all day walking from one place to another, so I needed a comfortable shoe. Many of her companions take Skechers, comfortable shoes, but something heavier than Crocs. It is true that for winter"&amp;" Crocs are often not very successful, but summer is a total success. Comfortable to a fault, they perspire a lot and get to not sweat the foot. It is ideal for walking between floors of hospitals, without having to carry the weight twins because they are "&amp;"a very light rubber makes go walking through clouds. The fact that here you have to buy Crocs, no other equal.")</f>
        <v>Perfect for doctors and nurses My sister is a nurse and spends all day walking from one place to another, so I needed a comfortable shoe. Many of her companions take Skechers, comfortable shoes, but something heavier than Crocs. It is true that for winter Crocs are often not very successful, but summer is a total success. Comfortable to a fault, they perspire a lot and get to not sweat the foot. It is ideal for walking between floors of hospitals, without having to carry the weight twins because they are a very light rubber makes go walking through clouds. The fact that here you have to buy Crocs, no other equal.</v>
      </c>
    </row>
    <row r="4900">
      <c r="A4900" s="1">
        <v>5.0</v>
      </c>
      <c r="B4900" s="1" t="s">
        <v>4871</v>
      </c>
      <c r="C4900" t="str">
        <f>IFERROR(__xludf.DUMMYFUNCTION("GOOGLETRANSLATE(B4900, ""es"", ""en"")"),"It was the perfect gift. He has been delighted with the quality.")</f>
        <v>It was the perfect gift. He has been delighted with the quality.</v>
      </c>
    </row>
    <row r="4901">
      <c r="A4901" s="1">
        <v>5.0</v>
      </c>
      <c r="B4901" s="1" t="s">
        <v>4872</v>
      </c>
      <c r="C4901" t="str">
        <f>IFERROR(__xludf.DUMMYFUNCTION("GOOGLETRANSLATE(B4901, ""es"", ""en"")"),"Comfortably perfect perfect")</f>
        <v>Comfortably perfect perfect</v>
      </c>
    </row>
    <row r="4902">
      <c r="A4902" s="1">
        <v>5.0</v>
      </c>
      <c r="B4902" s="1" t="s">
        <v>4873</v>
      </c>
      <c r="C4902" t="str">
        <f>IFERROR(__xludf.DUMMYFUNCTION("GOOGLETRANSLATE(B4902, ""es"", ""en"")"),"Perfect Truth left me like a glove thanks to the comments and opinions of people have completely successful with size. It is one of those tobilleros that are adjusted by the ankles and pockets have zipper which is appreciated.")</f>
        <v>Perfect Truth left me like a glove thanks to the comments and opinions of people have completely successful with size. It is one of those tobilleros that are adjusted by the ankles and pockets have zipper which is appreciated.</v>
      </c>
    </row>
    <row r="4903">
      <c r="A4903" s="1">
        <v>5.0</v>
      </c>
      <c r="B4903" s="1" t="s">
        <v>4874</v>
      </c>
      <c r="C4903" t="str">
        <f>IFERROR(__xludf.DUMMYFUNCTION("GOOGLETRANSLATE(B4903, ""es"", ""en"")"),"Supercompra Va amazing !!!. I totally recommend. Pressure as a professional, nothing to envy. I hope it is durable. Delighted with this purchase.")</f>
        <v>Supercompra Va amazing !!!. I totally recommend. Pressure as a professional, nothing to envy. I hope it is durable. Delighted with this purchase.</v>
      </c>
    </row>
    <row r="4904">
      <c r="A4904" s="1">
        <v>5.0</v>
      </c>
      <c r="B4904" s="1" t="s">
        <v>4875</v>
      </c>
      <c r="C4904" t="str">
        <f>IFERROR(__xludf.DUMMYFUNCTION("GOOGLETRANSLATE(B4904, ""es"", ""en"")"),"Bottle is the only bottle that my daughter wants the retina is the only one that grips well")</f>
        <v>Bottle is the only bottle that my daughter wants the retina is the only one that grips well</v>
      </c>
    </row>
    <row r="4905">
      <c r="A4905" s="1">
        <v>2.0</v>
      </c>
      <c r="B4905" s="1" t="s">
        <v>4876</v>
      </c>
      <c r="C4905" t="str">
        <f>IFERROR(__xludf.DUMMYFUNCTION("GOOGLETRANSLATE(B4905, ""es"", ""en"")"),"Bad product by folding folding takes up little space lousy, but I use almost all of this brand, mops, brooms etc ... you is the worst q I bought this brand because it is continuously out of the bar.")</f>
        <v>Bad product by folding folding takes up little space lousy, but I use almost all of this brand, mops, brooms etc ... you is the worst q I bought this brand because it is continuously out of the bar.</v>
      </c>
    </row>
    <row r="4906">
      <c r="A4906" s="1">
        <v>3.0</v>
      </c>
      <c r="B4906" s="1" t="s">
        <v>4877</v>
      </c>
      <c r="C4906" t="str">
        <f>IFERROR(__xludf.DUMMYFUNCTION("GOOGLETRANSLATE(B4906, ""es"", ""en"")"),"Lozada received the product a week ago, I have a question, I spent a few minutes of running is paused, and I have to go back to him again, the blades do not cut very well some pieces of pineapple, although purees leaves them quite well, I'll try one more "&amp;"week and only give it back, I wonder if you'd happened to someone in the automatically so slow. Thank you")</f>
        <v>Lozada received the product a week ago, I have a question, I spent a few minutes of running is paused, and I have to go back to him again, the blades do not cut very well some pieces of pineapple, although purees leaves them quite well, I'll try one more week and only give it back, I wonder if you'd happened to someone in the automatically so slow. Thank you</v>
      </c>
    </row>
    <row r="4907">
      <c r="A4907" s="1">
        <v>3.0</v>
      </c>
      <c r="B4907" s="1" t="s">
        <v>4878</v>
      </c>
      <c r="C4907" t="str">
        <f>IFERROR(__xludf.DUMMYFUNCTION("GOOGLETRANSLATE(B4907, ""es"", ""en"")"),"You can not ask for much for 20 € The earphones perform their function fully. They isolate themselves really well on the outside, are quite comfortable and leave you in your world, but the sound quality is much improved (logical for 20 €). Besides, the so"&amp;"und is very low and even putting the phone with volume butt could still hear very little, so I decided to return the next day to buy them. Poquillo I find something better even if you pay a little more")</f>
        <v>You can not ask for much for 20 € The earphones perform their function fully. They isolate themselves really well on the outside, are quite comfortable and leave you in your world, but the sound quality is much improved (logical for 20 €). Besides, the sound is very low and even putting the phone with volume butt could still hear very little, so I decided to return the next day to buy them. Poquillo I find something better even if you pay a little more</v>
      </c>
    </row>
    <row r="4908">
      <c r="A4908" s="1">
        <v>1.0</v>
      </c>
      <c r="B4908" s="1" t="s">
        <v>4879</v>
      </c>
      <c r="C4908" t="str">
        <f>IFERROR(__xludf.DUMMYFUNCTION("GOOGLETRANSLATE(B4908, ""es"", ""en"")"),"Poor durability not recommend them. One of the headphones stopped working two months. And that alone were used for occasional use")</f>
        <v>Poor durability not recommend them. One of the headphones stopped working two months. And that alone were used for occasional use</v>
      </c>
    </row>
    <row r="4909">
      <c r="A4909" s="1">
        <v>4.0</v>
      </c>
      <c r="B4909" s="1" t="s">
        <v>4880</v>
      </c>
      <c r="C4909" t="str">
        <f>IFERROR(__xludf.DUMMYFUNCTION("GOOGLETRANSLATE(B4909, ""es"", ""en"")"),"Good headphones bluetooth I have really enjoyed s are much like those of Apple. The very good sound quality even better than other higher priced sound great. Lias you touch a bit with me h delighted all of them. The trouble is they do not allow the volume"&amp;" up and down one track back and forth. Very fast delivery")</f>
        <v>Good headphones bluetooth I have really enjoyed s are much like those of Apple. The very good sound quality even better than other higher priced sound great. Lias you touch a bit with me h delighted all of them. The trouble is they do not allow the volume up and down one track back and forth. Very fast delivery</v>
      </c>
    </row>
    <row r="4910">
      <c r="A4910" s="1">
        <v>4.0</v>
      </c>
      <c r="B4910" s="1" t="s">
        <v>4881</v>
      </c>
      <c r="C4910" t="str">
        <f>IFERROR(__xludf.DUMMYFUNCTION("GOOGLETRANSLATE(B4910, ""es"", ""en"")"),"Pretty good is a good and easy to use device. Maybe I miss microphone input as it only has an entry would be useful mini JAC and one microphone or table ... but hey matches the description and has very good quality if you know how to use / configure. It i"&amp;"s very sensitive and has many options. I found it useful to record a song for the video clip. very good")</f>
        <v>Pretty good is a good and easy to use device. Maybe I miss microphone input as it only has an entry would be useful mini JAC and one microphone or table ... but hey matches the description and has very good quality if you know how to use / configure. It is very sensitive and has many options. I found it useful to record a song for the video clip. very good</v>
      </c>
    </row>
    <row r="4911">
      <c r="A4911" s="1">
        <v>4.0</v>
      </c>
      <c r="B4911" s="1" t="s">
        <v>4882</v>
      </c>
      <c r="C4911" t="str">
        <f>IFERROR(__xludf.DUMMYFUNCTION("GOOGLETRANSLATE(B4911, ""es"", ""en"")"),"Expected expected.")</f>
        <v>Expected expected.</v>
      </c>
    </row>
    <row r="4912">
      <c r="A4912" s="1">
        <v>4.0</v>
      </c>
      <c r="B4912" s="1" t="s">
        <v>4883</v>
      </c>
      <c r="C4912" t="str">
        <f>IFERROR(__xludf.DUMMYFUNCTION("GOOGLETRANSLATE(B4912, ""es"", ""en"")"),"Good good humidifier humidifier. Just noise. The only but I put it to him that in programming only offers 2/4 hours, when others have for one hour. Otherwise well. And comfortable to have the remote control")</f>
        <v>Good good humidifier humidifier. Just noise. The only but I put it to him that in programming only offers 2/4 hours, when others have for one hour. Otherwise well. And comfortable to have the remote control</v>
      </c>
    </row>
    <row r="4913">
      <c r="A4913" s="1">
        <v>4.0</v>
      </c>
      <c r="B4913" s="1" t="s">
        <v>4884</v>
      </c>
      <c r="C4913" t="str">
        <f>IFERROR(__xludf.DUMMYFUNCTION("GOOGLETRANSLATE(B4913, ""es"", ""en"")"),"Good and pretty good shoes, comfortable and beautiful. As the pictures.")</f>
        <v>Good and pretty good shoes, comfortable and beautiful. As the pictures.</v>
      </c>
    </row>
    <row r="4914">
      <c r="A4914" s="1">
        <v>5.0</v>
      </c>
      <c r="B4914" s="1" t="s">
        <v>4885</v>
      </c>
      <c r="C4914" t="str">
        <f>IFERROR(__xludf.DUMMYFUNCTION("GOOGLETRANSLATE(B4914, ""es"", ""en"")"),"Contenta warming heats the bed and graduate it better power Good Buy")</f>
        <v>Contenta warming heats the bed and graduate it better power Good Buy</v>
      </c>
    </row>
    <row r="4915">
      <c r="A4915" s="1">
        <v>5.0</v>
      </c>
      <c r="B4915" s="1" t="s">
        <v>4886</v>
      </c>
      <c r="C4915" t="str">
        <f>IFERROR(__xludf.DUMMYFUNCTION("GOOGLETRANSLATE(B4915, ""es"", ""en"")"),"My crystal clear moon was streaked windshields. Almost everything I could eliminate! Crstal polish was afraid, but went well")</f>
        <v>My crystal clear moon was streaked windshields. Almost everything I could eliminate! Crstal polish was afraid, but went well</v>
      </c>
    </row>
    <row r="4916">
      <c r="A4916" s="1">
        <v>5.0</v>
      </c>
      <c r="B4916" s="1" t="s">
        <v>4887</v>
      </c>
      <c r="C4916" t="str">
        <f>IFERROR(__xludf.DUMMYFUNCTION("GOOGLETRANSLATE(B4916, ""es"", ""en"")"),"+ Microphone kit Not bad quality offering price plus accessories that has supplied the moment makes your paper, I give it a 7 / 10. Of course I can not imagine that price to acquire such a good microphone.")</f>
        <v>+ Microphone kit Not bad quality offering price plus accessories that has supplied the moment makes your paper, I give it a 7 / 10. Of course I can not imagine that price to acquire such a good microphone.</v>
      </c>
    </row>
    <row r="4917">
      <c r="A4917" s="1">
        <v>5.0</v>
      </c>
      <c r="B4917" s="1" t="s">
        <v>4888</v>
      </c>
      <c r="C4917" t="str">
        <f>IFERROR(__xludf.DUMMYFUNCTION("GOOGLETRANSLATE(B4917, ""es"", ""en"")"),"reliable materials and good. Good product, easy to use each independent and reliable connector. Excellent")</f>
        <v>reliable materials and good. Good product, easy to use each independent and reliable connector. Excellent</v>
      </c>
    </row>
    <row r="4918">
      <c r="A4918" s="1">
        <v>5.0</v>
      </c>
      <c r="B4918" s="1" t="s">
        <v>4889</v>
      </c>
      <c r="C4918" t="str">
        <f>IFERROR(__xludf.DUMMYFUNCTION("GOOGLETRANSLATE(B4918, ""es"", ""en"")"),"Very useful is a device super useful. Especially with IPhone which is very difficult to synchronize with the PC. Put it, copies, and pass it to the PC. Easier impossible. Same goes for Android. The only downside is that when you're not using, the slots ar"&amp;"e poorly protected, so you must save it to avoid accidental breakage. That if, comes with its metal box for it.")</f>
        <v>Very useful is a device super useful. Especially with IPhone which is very difficult to synchronize with the PC. Put it, copies, and pass it to the PC. Easier impossible. Same goes for Android. The only downside is that when you're not using, the slots are poorly protected, so you must save it to avoid accidental breakage. That if, comes with its metal box for it.</v>
      </c>
    </row>
    <row r="4919">
      <c r="A4919" s="1">
        <v>5.0</v>
      </c>
      <c r="B4919" s="1" t="s">
        <v>4890</v>
      </c>
      <c r="C4919" t="str">
        <f>IFERROR(__xludf.DUMMYFUNCTION("GOOGLETRANSLATE(B4919, ""es"", ""en"")"),"I'm happy right, not squeeze your head, you hear very clear and no problem connecting with tv helmets")</f>
        <v>I'm happy right, not squeeze your head, you hear very clear and no problem connecting with tv helmets</v>
      </c>
    </row>
    <row r="4920">
      <c r="A4920" s="1">
        <v>5.0</v>
      </c>
      <c r="B4920" s="1" t="s">
        <v>4891</v>
      </c>
      <c r="C4920" t="str">
        <f>IFERROR(__xludf.DUMMYFUNCTION("GOOGLETRANSLATE(B4920, ""es"", ""en"")"),"An excellent guitar jack. Overall texture, sound and fear of tangling no problem. For the money is good product.")</f>
        <v>An excellent guitar jack. Overall texture, sound and fear of tangling no problem. For the money is good product.</v>
      </c>
    </row>
    <row r="4921">
      <c r="A4921" s="1">
        <v>5.0</v>
      </c>
      <c r="B4921" s="1" t="s">
        <v>4892</v>
      </c>
      <c r="C4921" t="str">
        <f>IFERROR(__xludf.DUMMYFUNCTION("GOOGLETRANSLATE(B4921, ""es"", ""en"")"),"That is silver is very nice and thin")</f>
        <v>That is silver is very nice and thin</v>
      </c>
    </row>
    <row r="4922">
      <c r="A4922" s="1">
        <v>5.0</v>
      </c>
      <c r="B4922" s="1" t="s">
        <v>4893</v>
      </c>
      <c r="C4922" t="str">
        <f>IFERROR(__xludf.DUMMYFUNCTION("GOOGLETRANSLATE(B4922, ""es"", ""en"")"),"Immediate shipment all right and everything very correct, I gave it back because it was repeated a gift")</f>
        <v>Immediate shipment all right and everything very correct, I gave it back because it was repeated a gift</v>
      </c>
    </row>
    <row r="4923">
      <c r="A4923" s="1">
        <v>5.0</v>
      </c>
      <c r="B4923" s="1" t="s">
        <v>4894</v>
      </c>
      <c r="C4923" t="str">
        <f>IFERROR(__xludf.DUMMYFUNCTION("GOOGLETRANSLATE(B4923, ""es"", ""en"")"),"I'm so glad I chose this herbidor by price and valuation of other buyers, and I'm very happy with the choice. I utlizo him in my office and it is enough. The design is nice, has a capacity of 1.2 l. and is very fast heating water. Amazon's service was ver"&amp;"y fast, in just a couple of days.")</f>
        <v>I'm so glad I chose this herbidor by price and valuation of other buyers, and I'm very happy with the choice. I utlizo him in my office and it is enough. The design is nice, has a capacity of 1.2 l. and is very fast heating water. Amazon's service was very fast, in just a couple of days.</v>
      </c>
    </row>
    <row r="4924">
      <c r="A4924" s="1">
        <v>5.0</v>
      </c>
      <c r="B4924" s="1" t="s">
        <v>4895</v>
      </c>
      <c r="C4924" t="str">
        <f>IFERROR(__xludf.DUMMYFUNCTION("GOOGLETRANSLATE(B4924, ""es"", ""en"")"),"Medina Esme are very comfortable, completely non-slip and beautiful. I recommend it and would buy them if necessary. Q advise models to design more.")</f>
        <v>Medina Esme are very comfortable, completely non-slip and beautiful. I recommend it and would buy them if necessary. Q advise models to design more.</v>
      </c>
    </row>
    <row r="4925">
      <c r="A4925" s="1">
        <v>5.0</v>
      </c>
      <c r="B4925" s="1" t="s">
        <v>4896</v>
      </c>
      <c r="C4925" t="str">
        <f>IFERROR(__xludf.DUMMYFUNCTION("GOOGLETRANSLATE(B4925, ""es"", ""en"")"),"Very good product very good product! I blender is two weeks and conveniently use to beat the food makes my baby 6 months. Much more practical q xq normal mixer is smaller and in addition to the small you can take it be travel if you need. Great quality - "&amp;"price. One day I dared to make hummus and has even cost him his job, it is clear that it is not for that, but it did!")</f>
        <v>Very good product very good product! I blender is two weeks and conveniently use to beat the food makes my baby 6 months. Much more practical q xq normal mixer is smaller and in addition to the small you can take it be travel if you need. Great quality - price. One day I dared to make hummus and has even cost him his job, it is clear that it is not for that, but it did!</v>
      </c>
    </row>
    <row r="4926">
      <c r="A4926" s="1">
        <v>5.0</v>
      </c>
      <c r="B4926" s="1" t="s">
        <v>4897</v>
      </c>
      <c r="C4926" t="str">
        <f>IFERROR(__xludf.DUMMYFUNCTION("GOOGLETRANSLATE(B4926, ""es"", ""en"")"),"very good comfort")</f>
        <v>very good comfort</v>
      </c>
    </row>
    <row r="4927">
      <c r="A4927" s="1">
        <v>5.0</v>
      </c>
      <c r="B4927" s="1" t="s">
        <v>4898</v>
      </c>
      <c r="C4927" t="str">
        <f>IFERROR(__xludf.DUMMYFUNCTION("GOOGLETRANSLATE(B4927, ""es"", ""en"")"),"For now, it works well I have it plugged into a Sony television and now works well. TV so no problem formatted and watching movies. It's all plugged in while.")</f>
        <v>For now, it works well I have it plugged into a Sony television and now works well. TV so no problem formatted and watching movies. It's all plugged in while.</v>
      </c>
    </row>
    <row r="4928">
      <c r="A4928" s="1">
        <v>5.0</v>
      </c>
      <c r="B4928" s="1" t="s">
        <v>4899</v>
      </c>
      <c r="C4928" t="str">
        <f>IFERROR(__xludf.DUMMYFUNCTION("GOOGLETRANSLATE(B4928, ""es"", ""en"")"),"WARMING FAST &lt;div id = ""video-block-R27Z00T7JPCX3V"" class = ""a-section a-spacing-small a-spacing-top mini video-block""&gt; &lt;div tabindex = ""0"" class = ""airy airy-svg vmin-supported airy-skin-beacon ""style ="" background-color: rgb (0, 0, 0) position:"&amp;" relative; width: 100%; height: 100%; font-size: 0px; overflow: hidden; outline : none; ""&gt; &lt;div class ="" airy-renderer-container ""style ="" position: relative; height: 100%; width: 100%; ""&gt; &lt;video id ="" 110 ""preload ="" auto ""src ="" https://images"&amp;"-eu.ssl-images-amazon.com/images/I/91PtKk4tmnS.mp4 ""style ="" position: absolute; left: 0px; top: 0px; overflow: hidden; height: 1px; width: 1px ; ""&gt; &lt;/ video&gt; &lt;/ div&gt; &lt;div id ="" airy-slate-preload ""style ="" background-color: rgb (0, 0, 0); backgroun"&amp;"d-image: url (&amp; quot; https: // images-eu.ssl-images-amazon.com/images/I/81R98CNofxS.png&amp;quot;); background-size: Contain; background-position: center center; background-repeat: no-repeat; position: absolute; top: 0px ; left: 0px; visibility: visible; wid"&amp;"th: 100%; height: 100%; ""&gt; &lt;/ div&gt; &lt;iframe scrolling = ""No"" frameborder = ""0"" src = ""about: blank"" style = ""display: none;""&gt; &lt;/ iframe&gt; &lt;div tabindex = ""- 1"" class = ""airy-controls-container"" style = ""opacity : 0; visibility: hidden; ""&gt; &lt;di"&amp;"v tabindex ="" - 1 ""class ="" airy-screen-size-toggle airy-fullscreen ""&gt; &lt;/ div&gt; &lt;div tabindex ="" - 1 ""class ="" airy-container-bottom "" &gt; &lt;div tabindex = ""- 1"" class = ""airy-track-bar-spacer-left"" style = ""width: 11px;""&gt; &lt;/ div&gt; &lt;div tabindex "&amp;"= ""- 1"" class = ""airy-play- airy toggle-play ""style ="" width: 12px; margin-right: 12px; ""&gt; &lt;/ div&gt; &lt;div tabindex ="" - 1 ""class ="" airy-audio-elements ""style ="" float: right; width: 34px; ""&gt; &lt;div tabindex ="" - 1 ""class ="" airy-audio-toggle a"&amp;"iry-on ""&gt; &lt;/ div&gt; &lt;div tabindex ="" - 1 ""class ="" airy-audio-container ""style = ""opacity: 0; visibility: hidden; ""&gt; &lt;div tabindex ="" - 1 ""class ="" airy-audio-track-bar ""style ="" height: 80%; ""&gt; &lt;div tabindex ="" - 1 ""class ="" airy-audio- Scr"&amp;"ubber-bar ""style ="" height: 85%; ""&gt; &lt;/ div&gt; &lt;div tabindex ="" - 1 ""class ="" airy-audio-scrubber ""style ="" height: 12px; bottom: 85% ""&gt; &lt;/ div&gt; &lt;/ div&gt; &lt;/ div&gt; &lt;/ div&gt; &lt;div tabindex ="" - 1 ""class ="" airy-duration-label ""style ="" float: right; "&amp;"width: 26px; margin-right: 4px; text-align: center; ""&gt; 0:00 &lt;/ div&gt; &lt;div tabindex ="" - 1 ""class ="" airy-track-bar-spacer-right ""style ="" float: right; width: 11px; ""&gt; &lt;/ div&gt; &lt;div tabindex ="" - 1 ""class ="" airy-track-bar-container ""style ="" ma"&amp;"rgin-left: 35px; margin-right: 75px; ""&gt; &lt;div tabindex ="" - 1 ""class ="" airy-airy-track-bar vertically-centering-table ""&gt; &lt;div tabindex ="" - 1 ""class ="" airy-Vertical-centering- table-cell ""&gt; &lt;div tabindex ="" - 1 ""class ="" airy-track-bar-elemen"&amp;"ts ""&gt; &lt;div tabindex ="" - 1 ""class ="" airy-progress-bar ""&gt; &lt;/ div&gt; &lt;div tabindex = ""- 1"" class = ""airy-scrubber-bar""&gt; &lt;/ div&gt; &lt;div tabindex = ""- 1"" class = ""airy-scrubber""&gt; &lt;div tabindex = ""- 1"" class = ""airy-scrubber- icon ""&gt; &lt;/ div&gt; &lt;div"&amp;" tabindex ="" - 1 ""class ="" airy-adjusted-AUI-tooltip ""style ="" opacity: 0; visibility: hidden; ""&gt; &lt;div tabindex ="" - 1 ""class ="" airy-adjusted-aui-tooltip-inner ""&gt; &lt;div tabindex ="" - 1 ""class ="" airy-current-time-label ""&gt; 0: 00 &lt;/ div&gt; &lt;/ di"&amp;"v&gt; &lt;div tabindex = ""- 1"" class = ""airy-adjusted-AUI-arrow-border""&gt; &lt;div tabindex = ""- 1"" class = ""airy-adjusted-AUI-arrow"" &gt; &lt;/ div&gt; &lt;/ div&gt; &lt;/ div&gt; &lt;/ div&gt; &lt;/ div&gt; &lt;/ div&gt; &lt;/ div&gt; &lt;/ div&gt; &lt;/ div&gt; &lt;/ div&gt; &lt;div tabindex = ""- 1"" class = ""airy-age"&amp;"-gate airy-stage airy-Vertical-centering-table airy-dialog"" style = ""opacity: 0; visibility: hidden; ""&gt; &lt;div tabindex ="" - 1 ""class ="" airy-age-gate-Vertical-centering-table-cell airy-Vertical-centering-table-cell ""&gt; &lt;div tabindex ="" - 1 ""class ="&amp;" ""airy-Vertical-centering-wrapper airy-age-gate-elements-wrapper""&gt; &lt;div tabindex = ""- 1"" class = ""airy-age-gate-elements airy-dialog-elements""&gt; &lt;div tabindex = "" -1 ""class ="" airy-age-gate-prompt ""&gt; This video is not Intended for all audiences W"&amp;"hat date were you born &lt;/ div&gt; &lt;div tabindex =.?"" - 1 ""class ="" airy-age-gate -inputs airy-dialog-inner-elements ""&gt; &lt;select tabindex ="" - 1 ""class ="" airy-age-gate-month ""&gt; &lt;option value ="" 1 ""&gt; January &lt;/ option&gt; &lt;option value ="" 2 ""&gt; Februar"&amp;"y &lt;/ option&gt; &lt;option value ="" 3 ""&gt; March &lt;/ option&gt; &lt;option value ="" 4 ""&gt; April &lt;/ option&gt; &lt;option value ="" 5 ""&gt; May &lt;/ option&gt; &lt;option value = ""6""&gt; June &lt;/ option&gt; &lt;option value = ""7""&gt; July &lt;/ option&gt; &lt;option value = ""8""&gt; August &lt;/ option&gt; &lt;o"&amp;"ption value = ""9""&gt; September &lt;/ option&gt; &lt;option value = ""10""&gt; October &lt;/ option&gt; &lt;option value = ""11""&gt; November &lt;/ option&gt; &lt;option value = ""12""&gt; December &lt;/ option&gt; &lt;/ select&gt; &lt;select tabindex = ""- 1"" class = ""airy-age-gate-day""&gt; &lt;opti on valu"&amp;"e = ""1""&gt; 1 &lt;/ option&gt; &lt;option value = ""2""&gt; 2 &lt;/ option&gt; &lt;option value = ""3""&gt; 3 &lt;/ option&gt; &lt;option value = ""4""&gt; 4 &lt;/ option &gt; &lt;option value = ""5""&gt; 5 &lt;/ option&gt; &lt;option value = ""6""&gt; 6 &lt;/ option&gt; &lt;option value = ""7""&gt; 7 &lt;/ option&gt; &lt;option value "&amp;"= ""8""&gt; 8 &lt; / option&gt; &lt;option value = ""9""&gt; 9 &lt;/ option&gt; &lt;option value = ""10""&gt; 10 &lt;/ option&gt; &lt;option value = ""11""&gt; 11 &lt;/ option&gt; &lt;option value = ""12""&gt; 12 &lt;/ option&gt; &lt;option value = ""13""&gt; 13 &lt;/ option&gt; &lt;option value = ""14""&gt; 14 &lt;/ option&gt; &lt;optio"&amp;"n value = ""15""&gt; 15 &lt;/ option&gt; &lt;option value = ""16 ""&gt; 16 &lt;/ option&gt; &lt;option value ="" 17 ""&gt; 17 &lt;/ option&gt; &lt;option value ="" 18 ""&gt; 18 &lt;/ option&gt; &lt;option value ="" 19 ""&gt; 19 &lt;/ option&gt; &lt;option value = ""20""&gt; 20 &lt;/ option&gt; &lt;option value = ""21""&gt; 21 &lt;/"&amp;"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option "&amp;"value = ""2018""&gt; 2018 &lt;/ option&gt; &lt;option value = ""2017""&gt; 2017 &lt;/ option&gt; &lt;option value = ""2016""&gt; ​​2016 &lt;/ option&gt; &lt;option value = ""2015""&gt; 2015 &lt;/ option &gt; &lt;option value = ""2014""&gt; 2014 &lt;/ option&gt; &lt;option value = ""2013""&gt; 2013 &lt;/ option&gt; &lt;option "&amp;"value = ""2012""&gt; 2012 &lt;/ option&gt; &lt;option value = ""2011""&gt; 2011 &lt; / option&gt; &lt;option value = ""2010""&gt; 2010 &lt;/ option&gt; &lt;option value = ""2009""&gt; 2009 &lt;/ option&gt; &lt;option value = ""2008""&gt; 2008 &lt;/ option&gt; &lt;option value = ""2007""&gt; 2007 &lt;/ option&gt; &lt;option va"&amp;"lue = ""2006""&gt; 2006 &lt;/ option&gt; &lt;option value = ""2005""&gt; 2005 &lt;/ option&gt; &lt;option value = ""2004""&gt; 2004 &lt;/ option&gt; &lt;option value = ""2003 ""&gt; 2003 &lt;/ option&gt; &lt;option value ="" 2002 ""&gt; 2002 &lt;/ option&gt; &lt;option value ="" 2001 ""&gt; 2001 &lt;/ option&gt; &lt;option va"&amp;"lue ="" 2000 ""&gt; 2000 &lt;/ option&gt; &lt;option value = ""1999""&gt; 1999 &lt;/ option&gt; &lt;option value = ""1998""&gt; 1998 &lt;/ option&gt; &lt;option value = ""1997""&gt; 1997 &lt;/ option&gt; &lt;option value = ""1996""&gt; 1996 &lt;/ option&gt; &lt;option value = ""1995""&gt; 1995 &lt;/ option&gt; &lt;option valu"&amp;"e = ""1994""&gt; 1994 &lt;/ option&gt; &lt;option value = ""1993""&gt; 1993 &lt;/ option&gt; &lt;option value = ""1992""&gt; 1992 &lt;/ option&gt; &lt;option value = ""1991""&gt; 1991 &lt;/ option&gt; &lt;option value = ""1990""&gt; 1990 &lt;/ option&gt; &lt;option value = "" 1989 ""&gt; 1989 &lt;/ option&gt; &lt;option value"&amp;" ="" 1988 ""&gt; 1988 &lt;/ option&gt; &lt;option value ="" 1987 ""&gt; 1987 &lt;/ option&gt; &lt;option value ="" 1986 ""&gt; 1986 &lt;/ option&gt; &lt;value option = ""1985""&gt; 1985 &lt;/ option&gt; &lt;option value = ""1984""&gt; 1984 &lt;/ option&gt; &lt;option value = ""1983""&gt; 1983 &lt;/ option&gt; &lt;option value"&amp;" = ""1982""&gt; 1982 &lt;/ option&gt; &lt; option value = ""1981""&gt; 1981 &lt;/ option&gt; &lt;option value = ""1980""&gt; 1980 &lt;/ option&gt; &lt;option value = ""1979""&gt; 1979 &lt;/ option&gt; &lt;option value = ""1978""&gt; 1978 &lt;/ option &gt; &lt;option value = ""1977""&gt; 1977 &lt;/ option&gt; &lt;option value "&amp;"= ""1976""&gt;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 "&amp;"""1958""&gt; 1958 &lt;/ option&gt; &lt;option value = ""1957""&gt; 1957 &lt;/ option&gt; &lt;option value = ""1956""&gt; 1956 &lt;/ option&gt; &lt;option value = ""1955""&gt; 1955 &lt;/ option&gt; &lt;option value = ""1954""&gt; 1954 &lt;/ option&gt; &lt;option value = ""1953""&gt; 1953 &lt;/ option&gt; &lt;option value = ""1"&amp;"952"" &gt; 1952 &lt;/ option&gt; &lt;option value = ""1951""&gt; 1951 &lt;/ option&gt; &lt;option value = ""1950""&gt; 1950 &lt;/ option&gt; &lt;option value = ""1949""&gt; 1949 &lt;/ option&gt; &lt;option value = "" 1948 ""&gt; 1948 &lt;/ option&gt; &lt;option value ="" 1947 ""&gt; 1947 &lt;/ option&gt; &lt;option value ="" "&amp;"1946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""19"&amp;"34""&gt; 1934 &lt;/ option&gt; &lt;option value = ""1933""&gt; 1933 &lt; / option&gt; &lt;option value = ""1932""&gt; 1932 &lt;/ option&gt; &lt;option value = ""1931""&gt; 1931 &lt;/ option&gt; &lt;option v alue = ""1930""&gt; 1930 &lt;/ option&gt; &lt;option value = ""1929""&gt; 1929 &lt;/ option&gt; &lt;option value = ""192"&amp;"8""&gt;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 1"&amp;"916 &lt;/ option&gt; &lt;option value = ""1915"" &gt; 1915 &lt;/ option&gt; &lt;option value = ""1914""&gt; 1914 &lt;/ option&gt; &lt;option value = ""1913""&gt; 1913 &lt;/ option&gt; &lt;option value = ""1912""&gt; 1912 &lt;/ option&gt; &lt;option value = "" 1911 ""&gt; 1911 &lt;/ option&gt; &lt;option value ="" 1910 ""&gt; "&amp;"1910 &lt;/ option&gt; &lt;option value ="" 1909 ""&gt; 1909 &lt;/ option&gt; &lt;option value ="" 1908 ""&gt; 1908 &lt;/ option&gt; &lt;value option = ""1907""&gt; 1907 &lt;/ option&gt; &lt;option value = ""1906""&gt; 1906 &lt;/ option&gt; &lt;option value = ""1905""&gt; 1905 &lt;/ option&gt; &lt;option value = ""1904""&gt; 1"&amp;"904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tabindex =."" - 1 ""class ="" airy-install-flash-"&amp;"button-wrapper airy -dialog-inner-elements ""&gt; &lt;div tabindex ="" - 1 ""class ="" airy-install-flash-button airy-button ""&gt; install Flash Player &lt;/ div&gt; &lt;/ div&gt; &lt;/ div&gt; &lt;/ div&gt; &lt;/ div&gt; &lt;/ div&gt; &lt;div tabindex = ""- 1"" class = ""airy-video-unsupported-dialog"&amp;" 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91PtKk4tmnS.mp4 ""Class ="" video-url ""&gt; &lt;input type ="" hidden ""name ="" ""value ="" https://images-eu.ssl-images-amazon.com/images/I/81R98CNofxS.png ""class ="" video-slate-img-url ""&gt; &amp; nbsp; Perfect electric blanket. I like a lo"&amp;"t, it is very easy to use and what I like most is that it brings timer from 30 to 120 min, which I consider very useful bedtime not have to turn it off. Its fabric is very soft, very comfortable and then heated.")</f>
        <v>WARMING FAST &lt;div id = "video-block-R27Z00T7JPCX3V" class = "a-section a-spacing-small a-spacing-top mini video-block"&gt; &lt;div tabindex = "0" class = "airy airy-svg vmin-supported airy-skin-beacon "style =" background-color: rgb (0, 0, 0) position: relative; width: 100%; height: 100%; font-size: 0px; overflow: hidden; outline : none; "&gt; &lt;div class =" airy-renderer-container "style =" position: relative; height: 100%; width: 100%; "&gt; &lt;video id =" 110 "preload =" auto "src =" https://images-eu.ssl-images-amazon.com/images/I/91PtKk4tmnS.mp4 "style =" position: absolute; left: 0px; top: 0px; overflow: hidden; height: 1px; width: 1px ; "&gt; &lt;/ video&gt; &lt;/ div&gt; &lt;div id =" airy-slate-preload "style =" background-color: rgb (0, 0, 0); background-image: url (&amp; quot; https: // images-eu.ssl-images-amazon.com/images/I/81R98CNofxS.png&amp;quot;); background-size: Contain; background-position: center center; background-repeat: no-repeat; position: absolute; top: 0px ; left: 0px; visibility: visible; width: 100%; height: 100%; "&gt; &lt;/ div&gt; &lt;iframe scrolling = "No" frameborder = "0" src = "about: blank" style = "display: none;"&gt; &lt;/ iframe&gt; &lt;div tabindex = "- 1" class = "airy-controls-container" style = "opacity :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91PtKk4tmnS.mp4 "Class =" video-url "&gt; &lt;input type =" hidden "name =" "value =" https://images-eu.ssl-images-amazon.com/images/I/81R98CNofxS.png "class =" video-slate-img-url "&gt; &amp; nbsp; Perfect electric blanket. I like a lot, it is very easy to use and what I like most is that it brings timer from 30 to 120 min, which I consider very useful bedtime not have to turn it off. Its fabric is very soft, very comfortable and then heated.</v>
      </c>
    </row>
    <row r="4929">
      <c r="A4929" s="1">
        <v>5.0</v>
      </c>
      <c r="B4929" s="1" t="s">
        <v>4900</v>
      </c>
      <c r="C4929" t="str">
        <f>IFERROR(__xludf.DUMMYFUNCTION("GOOGLETRANSLATE(B4929, ""es"", ""en"")"),"Original Converse seem to me the originals. I compared to the others and I find no difference. The numbering is correct.")</f>
        <v>Original Converse seem to me the originals. I compared to the others and I find no difference. The numbering is correct.</v>
      </c>
    </row>
    <row r="4930">
      <c r="A4930" s="1">
        <v>5.0</v>
      </c>
      <c r="B4930" s="1" t="s">
        <v>4901</v>
      </c>
      <c r="C4930" t="str">
        <f>IFERROR(__xludf.DUMMYFUNCTION("GOOGLETRANSLATE(B4930, ""es"", ""en"")"),"Cristina Okay, this brand never fails me, they were for a girl and left her like a glove. It is delighted and me too, of course")</f>
        <v>Cristina Okay, this brand never fails me, they were for a girl and left her like a glove. It is delighted and me too, of course</v>
      </c>
    </row>
    <row r="4931">
      <c r="A4931" s="1">
        <v>5.0</v>
      </c>
      <c r="B4931" s="1" t="s">
        <v>4902</v>
      </c>
      <c r="C4931" t="str">
        <f>IFERROR(__xludf.DUMMYFUNCTION("GOOGLETRANSLATE(B4931, ""es"", ""en"")"),"No surprises No surprises. I know the product and the only thing you ask in these cases is that there are no surprises.")</f>
        <v>No surprises No surprises. I know the product and the only thing you ask in these cases is that there are no surprises.</v>
      </c>
    </row>
    <row r="4932">
      <c r="A4932" s="1">
        <v>5.0</v>
      </c>
      <c r="B4932" s="1" t="s">
        <v>4903</v>
      </c>
      <c r="C4932" t="str">
        <f>IFERROR(__xludf.DUMMYFUNCTION("GOOGLETRANSLATE(B4932, ""es"", ""en"")"),"Bag perfect for me the perfect bag !! Has lots of pockets, it is spacious and has the perfect size. Good finish. Very happy with the purchase")</f>
        <v>Bag perfect for me the perfect bag !! Has lots of pockets, it is spacious and has the perfect size. Good finish. Very happy with the purchase</v>
      </c>
    </row>
    <row r="4933">
      <c r="A4933" s="1">
        <v>2.0</v>
      </c>
      <c r="B4933" s="1" t="s">
        <v>4904</v>
      </c>
      <c r="C4933" t="str">
        <f>IFERROR(__xludf.DUMMYFUNCTION("GOOGLETRANSLATE(B4933, ""es"", ""en"")"),"Flawed One of the outstanding put nothing broke, the engagement seems to be coming defective, one came more rigid than the other,")</f>
        <v>Flawed One of the outstanding put nothing broke, the engagement seems to be coming defective, one came more rigid than the other,</v>
      </c>
    </row>
    <row r="4934">
      <c r="A4934" s="1">
        <v>3.0</v>
      </c>
      <c r="B4934" s="1" t="s">
        <v>4905</v>
      </c>
      <c r="C4934" t="str">
        <f>IFERROR(__xludf.DUMMYFUNCTION("GOOGLETRANSLATE(B4934, ""es"", ""en"")"),"Does not stop to meet my expectations to be a brand that is known, the quality does not stop from adequate. In two months of use begins to lose the drawing.")</f>
        <v>Does not stop to meet my expectations to be a brand that is known, the quality does not stop from adequate. In two months of use begins to lose the drawing.</v>
      </c>
    </row>
    <row r="4935">
      <c r="A4935" s="1">
        <v>1.0</v>
      </c>
      <c r="B4935" s="1" t="s">
        <v>4906</v>
      </c>
      <c r="C4935" t="str">
        <f>IFERROR(__xludf.DUMMYFUNCTION("GOOGLETRANSLATE(B4935, ""es"", ""en"")"),"To avoid repeating the toe is narrow and just hurting, fame breeding ...")</f>
        <v>To avoid repeating the toe is narrow and just hurting, fame breeding ...</v>
      </c>
    </row>
    <row r="4936">
      <c r="A4936" s="1">
        <v>1.0</v>
      </c>
      <c r="B4936" s="1" t="s">
        <v>4907</v>
      </c>
      <c r="C4936" t="str">
        <f>IFERROR(__xludf.DUMMYFUNCTION("GOOGLETRANSLATE(B4936, ""es"", ""en"")"),"Powerful seemed ... it seemed very powerful, but since the first day I saw the anchor rod was plastic and indeed crashed out there. Poorly manufactured. I hope the return of the amount ...")</f>
        <v>Powerful seemed ... it seemed very powerful, but since the first day I saw the anchor rod was plastic and indeed crashed out there. Poorly manufactured. I hope the return of the amount ...</v>
      </c>
    </row>
    <row r="4937">
      <c r="A4937" s="1">
        <v>1.0</v>
      </c>
      <c r="B4937" s="1" t="s">
        <v>4908</v>
      </c>
      <c r="C4937" t="str">
        <f>IFERROR(__xludf.DUMMYFUNCTION("GOOGLETRANSLATE(B4937, ""es"", ""en"")"),"Lousy poor quality zipper hooks, the fabric is very bad ... not worth")</f>
        <v>Lousy poor quality zipper hooks, the fabric is very bad ... not worth</v>
      </c>
    </row>
    <row r="4938">
      <c r="A4938" s="1">
        <v>4.0</v>
      </c>
      <c r="B4938" s="1" t="s">
        <v>4909</v>
      </c>
      <c r="C4938" t="str">
        <f>IFERROR(__xludf.DUMMYFUNCTION("GOOGLETRANSLATE(B4938, ""es"", ""en"")"),"Very good quality nuy They look good and are very well")</f>
        <v>Very good quality nuy They look good and are very well</v>
      </c>
    </row>
    <row r="4939">
      <c r="A4939" s="1">
        <v>4.0</v>
      </c>
      <c r="B4939" s="1" t="s">
        <v>4910</v>
      </c>
      <c r="C4939" t="str">
        <f>IFERROR(__xludf.DUMMYFUNCTION("GOOGLETRANSLATE(B4939, ""es"", ""en"")"),"Recommended are super comfortable and very good quality, the problem that the fabric is very delicate and any liquid that falls off than water, the brand is, the color will be so clear, but otherwise super comfortable")</f>
        <v>Recommended are super comfortable and very good quality, the problem that the fabric is very delicate and any liquid that falls off than water, the brand is, the color will be so clear, but otherwise super comfortable</v>
      </c>
    </row>
    <row r="4940">
      <c r="A4940" s="1">
        <v>4.0</v>
      </c>
      <c r="B4940" s="1" t="s">
        <v>4911</v>
      </c>
      <c r="C4940" t="str">
        <f>IFERROR(__xludf.DUMMYFUNCTION("GOOGLETRANSLATE(B4940, ""es"", ""en"")"),"José.a. Good worth buying money is pretty good. It is recommended for beginners who start moving in this world")</f>
        <v>José.a. Good worth buying money is pretty good. It is recommended for beginners who start moving in this world</v>
      </c>
    </row>
    <row r="4941">
      <c r="A4941" s="1">
        <v>4.0</v>
      </c>
      <c r="B4941" s="1" t="s">
        <v>4912</v>
      </c>
      <c r="C4941" t="str">
        <f>IFERROR(__xludf.DUMMYFUNCTION("GOOGLETRANSLATE(B4941, ""es"", ""en"")"),"Good product meets what you may be asked to this product. Is comfortable, heated bien..etc")</f>
        <v>Good product meets what you may be asked to this product. Is comfortable, heated bien..etc</v>
      </c>
    </row>
    <row r="4942">
      <c r="A4942" s="1">
        <v>4.0</v>
      </c>
      <c r="B4942" s="1" t="s">
        <v>4913</v>
      </c>
      <c r="C4942" t="str">
        <f>IFERROR(__xludf.DUMMYFUNCTION("GOOGLETRANSLATE(B4942, ""es"", ""en"")"),"Good quality I've decided to buy this model, because in my house there is a heating pad of this brand that was my grandmother's and it still works. Good quality, made only missing a cover, otherwise perfect. I will turn itself off after 90 minutes checked"&amp;".")</f>
        <v>Good quality I've decided to buy this model, because in my house there is a heating pad of this brand that was my grandmother's and it still works. Good quality, made only missing a cover, otherwise perfect. I will turn itself off after 90 minutes checked.</v>
      </c>
    </row>
    <row r="4943">
      <c r="A4943" s="1">
        <v>5.0</v>
      </c>
      <c r="B4943" s="1" t="s">
        <v>4914</v>
      </c>
      <c r="C4943" t="str">
        <f>IFERROR(__xludf.DUMMYFUNCTION("GOOGLETRANSLATE(B4943, ""es"", ""en"")"),"Is practical is practical")</f>
        <v>Is practical is practical</v>
      </c>
    </row>
    <row r="4944">
      <c r="A4944" s="1">
        <v>5.0</v>
      </c>
      <c r="B4944" s="1" t="s">
        <v>4915</v>
      </c>
      <c r="C4944" t="str">
        <f>IFERROR(__xludf.DUMMYFUNCTION("GOOGLETRANSLATE(B4944, ""es"", ""en"")"),"Super novel This alarm clock is light cane has various colors and intensities, have built-in radio and alarm can adjust the volume of both and is easy to install and I love it.")</f>
        <v>Super novel This alarm clock is light cane has various colors and intensities, have built-in radio and alarm can adjust the volume of both and is easy to install and I love it.</v>
      </c>
    </row>
    <row r="4945">
      <c r="A4945" s="1">
        <v>5.0</v>
      </c>
      <c r="B4945" s="1" t="s">
        <v>4916</v>
      </c>
      <c r="C4945" t="str">
        <f>IFERROR(__xludf.DUMMYFUNCTION("GOOGLETRANSLATE(B4945, ""es"", ""en"")"),"Very good Perfect micro smartphone if you want to put, for example, a voice live. If it links the spring you can a normal using micro and luxury.")</f>
        <v>Very good Perfect micro smartphone if you want to put, for example, a voice live. If it links the spring you can a normal using micro and luxury.</v>
      </c>
    </row>
    <row r="4946">
      <c r="A4946" s="1">
        <v>5.0</v>
      </c>
      <c r="B4946" s="1" t="s">
        <v>4917</v>
      </c>
      <c r="C4946" t="str">
        <f>IFERROR(__xludf.DUMMYFUNCTION("GOOGLETRANSLATE(B4946, ""es"", ""en"")"),"Casio G SHOCK intelligent A wonder, a casio with the functions and resistance of a G SHOCK, with the extra being a smart watch with pedometer and activity, connectable via Bluetooth to mobile, upgrading to the instant all its functions, and allowing manag"&amp;"ing them from the phone. Amazon's service, as always, fast and flawless.")</f>
        <v>Casio G SHOCK intelligent A wonder, a casio with the functions and resistance of a G SHOCK, with the extra being a smart watch with pedometer and activity, connectable via Bluetooth to mobile, upgrading to the instant all its functions, and allowing managing them from the phone. Amazon's service, as always, fast and flawless.</v>
      </c>
    </row>
    <row r="4947">
      <c r="A4947" s="1">
        <v>5.0</v>
      </c>
      <c r="B4947" s="1" t="s">
        <v>4918</v>
      </c>
      <c r="C4947" t="str">
        <f>IFERROR(__xludf.DUMMYFUNCTION("GOOGLETRANSLATE(B4947, ""es"", ""en"")"),"Comfortable I liked a lot, but do not speak about sports, are safety shoes and I like to look like a sport. The he used for work")</f>
        <v>Comfortable I liked a lot, but do not speak about sports, are safety shoes and I like to look like a sport. The he used for work</v>
      </c>
    </row>
    <row r="4948">
      <c r="A4948" s="1">
        <v>5.0</v>
      </c>
      <c r="B4948" s="1" t="s">
        <v>4919</v>
      </c>
      <c r="C4948" t="str">
        <f>IFERROR(__xludf.DUMMYFUNCTION("GOOGLETRANSLATE(B4948, ""es"", ""en"")"),"This meets beater perfect everything I expected much enhanced effectiveness, use the mini chopper pretty well not only herbs but to cut fine vegetables.")</f>
        <v>This meets beater perfect everything I expected much enhanced effectiveness, use the mini chopper pretty well not only herbs but to cut fine vegetables.</v>
      </c>
    </row>
    <row r="4949">
      <c r="A4949" s="1">
        <v>5.0</v>
      </c>
      <c r="B4949" s="1" t="s">
        <v>4920</v>
      </c>
      <c r="C4949" t="str">
        <f>IFERROR(__xludf.DUMMYFUNCTION("GOOGLETRANSLATE(B4949, ""es"", ""en"")"),"Recommended Very comfortable and warm. Color and feel very nice")</f>
        <v>Recommended Very comfortable and warm. Color and feel very nice</v>
      </c>
    </row>
    <row r="4950">
      <c r="A4950" s="1">
        <v>5.0</v>
      </c>
      <c r="B4950" s="1" t="s">
        <v>4921</v>
      </c>
      <c r="C4950" t="str">
        <f>IFERROR(__xludf.DUMMYFUNCTION("GOOGLETRANSLATE(B4950, ""es"", ""en"")"),"Pants comfortable and well made for very good price. It was what I expected, correct size (S chose one for 1.57 and 50 kilos) and good quality. I've washed several times, shrugged slightly as first course but it is. Very comfortable and the fabric is plea"&amp;"sant to the touch.")</f>
        <v>Pants comfortable and well made for very good price. It was what I expected, correct size (S chose one for 1.57 and 50 kilos) and good quality. I've washed several times, shrugged slightly as first course but it is. Very comfortable and the fabric is pleasant to the touch.</v>
      </c>
    </row>
    <row r="4951">
      <c r="A4951" s="1">
        <v>5.0</v>
      </c>
      <c r="B4951" s="1" t="s">
        <v>4922</v>
      </c>
      <c r="C4951" t="str">
        <f>IFERROR(__xludf.DUMMYFUNCTION("GOOGLETRANSLATE(B4951, ""es"", ""en"")"),"Perfect Works fine, staple well")</f>
        <v>Perfect Works fine, staple well</v>
      </c>
    </row>
    <row r="4952">
      <c r="A4952" s="1">
        <v>5.0</v>
      </c>
      <c r="B4952" s="1" t="s">
        <v>4923</v>
      </c>
      <c r="C4952" t="str">
        <f>IFERROR(__xludf.DUMMYFUNCTION("GOOGLETRANSLATE(B4952, ""es"", ""en"")"),"Proud of their product Very good cable with a very good quality / price, and have the detail of barbed send a gift game, I recommend is buying 100%")</f>
        <v>Proud of their product Very good cable with a very good quality / price, and have the detail of barbed send a gift game, I recommend is buying 100%</v>
      </c>
    </row>
    <row r="4953">
      <c r="A4953" s="1">
        <v>5.0</v>
      </c>
      <c r="B4953" s="1" t="s">
        <v>4924</v>
      </c>
      <c r="C4953" t="str">
        <f>IFERROR(__xludf.DUMMYFUNCTION("GOOGLETRANSLATE(B4953, ""es"", ""en"")"),"Good backpack I think you are missing any other pocket for storing small things or to better organize")</f>
        <v>Good backpack I think you are missing any other pocket for storing small things or to better organize</v>
      </c>
    </row>
    <row r="4954">
      <c r="A4954" s="1">
        <v>5.0</v>
      </c>
      <c r="B4954" s="1" t="s">
        <v>4925</v>
      </c>
      <c r="C4954" t="str">
        <f>IFERROR(__xludf.DUMMYFUNCTION("GOOGLETRANSLATE(B4954, ""es"", ""en"")"),"KabelDirekt Excellent product, good value for money, perfectly fulfills its function, good speaker cable, perfect, very happy with the purchase.")</f>
        <v>KabelDirekt Excellent product, good value for money, perfectly fulfills its function, good speaker cable, perfect, very happy with the purchase.</v>
      </c>
    </row>
    <row r="4955">
      <c r="A4955" s="1">
        <v>5.0</v>
      </c>
      <c r="B4955" s="1" t="s">
        <v>4926</v>
      </c>
      <c r="C4955" t="str">
        <f>IFERROR(__xludf.DUMMYFUNCTION("GOOGLETRANSLATE(B4955, ""es"", ""en"")"),"excellent connectivity bluetooth and aux in the same town feel of the material excellent, good sound and multiple connectivity. They are lightweight to be a big helmets, includes a case for transport, nice touch. you can also connect via Bluetooth and cab"&amp;"le, ideal if you run out of battery or if you use them in a studio like me.")</f>
        <v>excellent connectivity bluetooth and aux in the same town feel of the material excellent, good sound and multiple connectivity. They are lightweight to be a big helmets, includes a case for transport, nice touch. you can also connect via Bluetooth and cable, ideal if you run out of battery or if you use them in a studio like me.</v>
      </c>
    </row>
    <row r="4956">
      <c r="A4956" s="1">
        <v>5.0</v>
      </c>
      <c r="B4956" s="1" t="s">
        <v>4927</v>
      </c>
      <c r="C4956" t="str">
        <f>IFERROR(__xludf.DUMMYFUNCTION("GOOGLETRANSLATE(B4956, ""es"", ""en"")"),"There are very good very good, and are the same as specified, well endure wear and depues a few weeks of use remain the same.")</f>
        <v>There are very good very good, and are the same as specified, well endure wear and depues a few weeks of use remain the same.</v>
      </c>
    </row>
    <row r="4957">
      <c r="A4957" s="1">
        <v>5.0</v>
      </c>
      <c r="B4957" s="1" t="s">
        <v>4928</v>
      </c>
      <c r="C4957" t="str">
        <f>IFERROR(__xludf.DUMMYFUNCTION("GOOGLETRANSLATE(B4957, ""es"", ""en"")"),"Fast delivery works properly. Fast delivery")</f>
        <v>Fast delivery works properly. Fast delivery</v>
      </c>
    </row>
    <row r="4958">
      <c r="A4958" s="1">
        <v>5.0</v>
      </c>
      <c r="B4958" s="1" t="s">
        <v>4929</v>
      </c>
      <c r="C4958" t="str">
        <f>IFERROR(__xludf.DUMMYFUNCTION("GOOGLETRANSLATE(B4958, ""es"", ""en"")"),"A nice touch. My wife was delighted him.")</f>
        <v>A nice touch. My wife was delighted him.</v>
      </c>
    </row>
    <row r="4959">
      <c r="A4959" s="1">
        <v>5.0</v>
      </c>
      <c r="B4959" s="1" t="s">
        <v>4930</v>
      </c>
      <c r="C4959" t="str">
        <f>IFERROR(__xludf.DUMMYFUNCTION("GOOGLETRANSLATE(B4959, ""es"", ""en"")"),"Aromas very nice. Good selection of aromas, and all very nice, nothing extravagant or cloying. I especially love the lemon. It gives a feeling of freshness to the room very good. I'm using 3 drops in a humidifier 100 ml, and the smell is mild and pleasant"&amp;", I do not like too intense. Eye oils which are not used for any humidifier, many only work with water-soluble aromas.")</f>
        <v>Aromas very nice. Good selection of aromas, and all very nice, nothing extravagant or cloying. I especially love the lemon. It gives a feeling of freshness to the room very good. I'm using 3 drops in a humidifier 100 ml, and the smell is mild and pleasant, I do not like too intense. Eye oils which are not used for any humidifier, many only work with water-soluble aromas.</v>
      </c>
    </row>
    <row r="4960">
      <c r="A4960" s="1">
        <v>5.0</v>
      </c>
      <c r="B4960" s="1" t="s">
        <v>4931</v>
      </c>
      <c r="C4960" t="str">
        <f>IFERROR(__xludf.DUMMYFUNCTION("GOOGLETRANSLATE(B4960, ""es"", ""en"")"),"Silver pendant is very thin and the chain is beautiful to me hencantado design.")</f>
        <v>Silver pendant is very thin and the chain is beautiful to me hencantado design.</v>
      </c>
    </row>
    <row r="4961">
      <c r="A4961" s="1">
        <v>2.0</v>
      </c>
      <c r="B4961" s="1" t="s">
        <v>4932</v>
      </c>
      <c r="C4961" t="str">
        <f>IFERROR(__xludf.DUMMYFUNCTION("GOOGLETRANSLATE(B4961, ""es"", ""en"")"),"Box shattered box and hit by shattered everywhere ...")</f>
        <v>Box shattered box and hit by shattered everywhere ...</v>
      </c>
    </row>
    <row r="4962">
      <c r="A4962" s="1">
        <v>3.0</v>
      </c>
      <c r="B4962" s="1" t="s">
        <v>4933</v>
      </c>
      <c r="C4962" t="str">
        <f>IFERROR(__xludf.DUMMYFUNCTION("GOOGLETRANSLATE(B4962, ""es"", ""en"")"),"Good. Squeezing well and doing both at once, it is faster. Ne can be washed in the dishwasher, so you have to be using a brush if you want to clean it. I do not know what will last, but it seems to be a very high quality.")</f>
        <v>Good. Squeezing well and doing both at once, it is faster. Ne can be washed in the dishwasher, so you have to be using a brush if you want to clean it. I do not know what will last, but it seems to be a very high quality.</v>
      </c>
    </row>
    <row r="4963">
      <c r="A4963" s="1">
        <v>3.0</v>
      </c>
      <c r="B4963" s="1" t="s">
        <v>4934</v>
      </c>
      <c r="C4963" t="str">
        <f>IFERROR(__xludf.DUMMYFUNCTION("GOOGLETRANSLATE(B4963, ""es"", ""en"")"),"Like a vacuum cleaner bag, nothing in itself is a good vacuum cleaner that does the job. But I stopped working a year and a half. There is only one service in Valencia and attention to the public leaves much to be desired. I much stuck animal hairs in the"&amp;" brush below. You have to change the filters every six months for suction well. Like a vacuum cleaner bag, nothing")</f>
        <v>Like a vacuum cleaner bag, nothing in itself is a good vacuum cleaner that does the job. But I stopped working a year and a half. There is only one service in Valencia and attention to the public leaves much to be desired. I much stuck animal hairs in the brush below. You have to change the filters every six months for suction well. Like a vacuum cleaner bag, nothing</v>
      </c>
    </row>
    <row r="4964">
      <c r="A4964" s="1">
        <v>3.0</v>
      </c>
      <c r="B4964" s="1" t="s">
        <v>4935</v>
      </c>
      <c r="C4964" t="str">
        <f>IFERROR(__xludf.DUMMYFUNCTION("GOOGLETRANSLATE(B4964, ""es"", ""en"")"),"eye that needs 48v phantom .. Well I put 3 star porveso same. I bought it because I needed for a recording and I could not use pq without fuciona phantom. Not that captures little is that no phantom is like singing to a rock. My table has phantom hand but"&amp;" had a dual XLR (Canon) without xlr no phantom .. so I could not use it until I went to my local test by one. The cable comes in addition to being harmful to feed quality is not worth ... that include cable that mierdon ?? Infirmando keep records of how p"&amp;"q still have not used it.")</f>
        <v>eye that needs 48v phantom .. Well I put 3 star porveso same. I bought it because I needed for a recording and I could not use pq without fuciona phantom. Not that captures little is that no phantom is like singing to a rock. My table has phantom hand but had a dual XLR (Canon) without xlr no phantom .. so I could not use it until I went to my local test by one. The cable comes in addition to being harmful to feed quality is not worth ... that include cable that mierdon ?? Infirmando keep records of how pq still have not used it.</v>
      </c>
    </row>
    <row r="4965">
      <c r="A4965" s="1">
        <v>1.0</v>
      </c>
      <c r="B4965" s="1" t="s">
        <v>4936</v>
      </c>
      <c r="C4965" t="str">
        <f>IFERROR(__xludf.DUMMYFUNCTION("GOOGLETRANSLATE(B4965, ""es"", ""en"")"),"Slime does. Do not buy to make slime that does not work I will not buy my son because I wanted to slime and has not left. He has tried all forms and does not work")</f>
        <v>Slime does. Do not buy to make slime that does not work I will not buy my son because I wanted to slime and has not left. He has tried all forms and does not work</v>
      </c>
    </row>
    <row r="4966">
      <c r="A4966" s="1">
        <v>1.0</v>
      </c>
      <c r="B4966" s="1" t="s">
        <v>4937</v>
      </c>
      <c r="C4966" t="str">
        <f>IFERROR(__xludf.DUMMYFUNCTION("GOOGLETRANSLATE(B4966, ""es"", ""en"")"),"The trinket trinket is very nice but came in a mini bag transparent Delgado me that much to be desired as it was to give")</f>
        <v>The trinket trinket is very nice but came in a mini bag transparent Delgado me that much to be desired as it was to give</v>
      </c>
    </row>
    <row r="4967">
      <c r="A4967" s="1">
        <v>4.0</v>
      </c>
      <c r="B4967" s="1" t="s">
        <v>4938</v>
      </c>
      <c r="C4967" t="str">
        <f>IFERROR(__xludf.DUMMYFUNCTION("GOOGLETRANSLATE(B4967, ""es"", ""en"")"),"Neli Very comfortable, easy to carry by its elasticity, value for money and more surprising being a pack with 3 units")</f>
        <v>Neli Very comfortable, easy to carry by its elasticity, value for money and more surprising being a pack with 3 units</v>
      </c>
    </row>
    <row r="4968">
      <c r="A4968" s="1">
        <v>4.0</v>
      </c>
      <c r="B4968" s="1" t="s">
        <v>4939</v>
      </c>
      <c r="C4968" t="str">
        <f>IFERROR(__xludf.DUMMYFUNCTION("GOOGLETRANSLATE(B4968, ""es"", ""en"")"),"PERFECT FOR THE HOUSE. DO MUCH NOISE, ASPIRA very well and is very manageable TO MAKE cleanings. ROWENTA NEVER disappoints me. okay")</f>
        <v>PERFECT FOR THE HOUSE. DO MUCH NOISE, ASPIRA very well and is very manageable TO MAKE cleanings. ROWENTA NEVER disappoints me. okay</v>
      </c>
    </row>
    <row r="4969">
      <c r="A4969" s="1">
        <v>4.0</v>
      </c>
      <c r="B4969" s="1" t="s">
        <v>4940</v>
      </c>
      <c r="C4969" t="str">
        <f>IFERROR(__xludf.DUMMYFUNCTION("GOOGLETRANSLATE(B4969, ""es"", ""en"")"),"I think very good choice is a good choice: good materials, good finishes and details to consider, as the wider opening which facilitates entry of water. The size is perfect (approx. 2 liters). I hope it lasts more than others and so the slightly higher pr"&amp;"ice is justified.")</f>
        <v>I think very good choice is a good choice: good materials, good finishes and details to consider, as the wider opening which facilitates entry of water. The size is perfect (approx. 2 liters). I hope it lasts more than others and so the slightly higher price is justified.</v>
      </c>
    </row>
    <row r="4970">
      <c r="A4970" s="1">
        <v>4.0</v>
      </c>
      <c r="B4970" s="1" t="s">
        <v>4941</v>
      </c>
      <c r="C4970" t="str">
        <f>IFERROR(__xludf.DUMMYFUNCTION("GOOGLETRANSLATE(B4970, ""es"", ""en"")"),"Boots are correct as expected, the size does not correspond to European or American are the most used")</f>
        <v>Boots are correct as expected, the size does not correspond to European or American are the most used</v>
      </c>
    </row>
    <row r="4971">
      <c r="A4971" s="1">
        <v>5.0</v>
      </c>
      <c r="B4971" s="1" t="s">
        <v>4942</v>
      </c>
      <c r="C4971" t="str">
        <f>IFERROR(__xludf.DUMMYFUNCTION("GOOGLETRANSLATE(B4971, ""es"", ""en"")"),"Good memories Good value for money in their time, pleased with this purchase, the elegant design and durable material. Although it has gone up significantly since I bought them in 2015.")</f>
        <v>Good memories Good value for money in their time, pleased with this purchase, the elegant design and durable material. Although it has gone up significantly since I bought them in 2015.</v>
      </c>
    </row>
    <row r="4972">
      <c r="A4972" s="1">
        <v>5.0</v>
      </c>
      <c r="B4972" s="1" t="s">
        <v>4943</v>
      </c>
      <c r="C4972" t="str">
        <f>IFERROR(__xludf.DUMMYFUNCTION("GOOGLETRANSLATE(B4972, ""es"", ""en"")"),"Good buy Good price and good quality, comfortable and beautiful, I am satisfied with the purchase. The expected size")</f>
        <v>Good buy Good price and good quality, comfortable and beautiful, I am satisfied with the purchase. The expected size</v>
      </c>
    </row>
    <row r="4973">
      <c r="A4973" s="1">
        <v>5.0</v>
      </c>
      <c r="B4973" s="1" t="s">
        <v>4944</v>
      </c>
      <c r="C4973" t="str">
        <f>IFERROR(__xludf.DUMMYFUNCTION("GOOGLETRANSLATE(B4973, ""es"", ""en"")"),"Very nice-comfortable Although everyone likes, I like pretty, black, smooth skin quality, relatively flexible, good ... personally I use sole 42, in this case 41.5 and ordered the complete success, fit like a glove. They are waterproof and do not know how"&amp;" to behave with water. If you get it at a good price, buy more than recommended.")</f>
        <v>Very nice-comfortable Although everyone likes, I like pretty, black, smooth skin quality, relatively flexible, good ... personally I use sole 42, in this case 41.5 and ordered the complete success, fit like a glove. They are waterproof and do not know how to behave with water. If you get it at a good price, buy more than recommended.</v>
      </c>
    </row>
    <row r="4974">
      <c r="A4974" s="1">
        <v>5.0</v>
      </c>
      <c r="B4974" s="1" t="s">
        <v>4945</v>
      </c>
      <c r="C4974" t="str">
        <f>IFERROR(__xludf.DUMMYFUNCTION("GOOGLETRANSLATE(B4974, ""es"", ""en"")"),"Very good quality mouse suitable for MAC")</f>
        <v>Very good quality mouse suitable for MAC</v>
      </c>
    </row>
    <row r="4975">
      <c r="A4975" s="1">
        <v>5.0</v>
      </c>
      <c r="B4975" s="1" t="s">
        <v>4946</v>
      </c>
      <c r="C4975" t="str">
        <f>IFERROR(__xludf.DUMMYFUNCTION("GOOGLETRANSLATE(B4975, ""es"", ""en"")"),"A nice CASIO watch, neither too large nor too small with many functions. A watch multi function comprehensive basic range")</f>
        <v>A nice CASIO watch, neither too large nor too small with many functions. A watch multi function comprehensive basic range</v>
      </c>
    </row>
    <row r="4976">
      <c r="A4976" s="1">
        <v>5.0</v>
      </c>
      <c r="B4976" s="1" t="s">
        <v>4947</v>
      </c>
      <c r="C4976" t="str">
        <f>IFERROR(__xludf.DUMMYFUNCTION("GOOGLETRANSLATE(B4976, ""es"", ""en"")"),"I like Excellent It was like I would highly recommend it to everyone and do not know what else to put and")</f>
        <v>I like Excellent It was like I would highly recommend it to everyone and do not know what else to put and</v>
      </c>
    </row>
    <row r="4977">
      <c r="A4977" s="1">
        <v>5.0</v>
      </c>
      <c r="B4977" s="1" t="s">
        <v>4948</v>
      </c>
      <c r="C4977" t="str">
        <f>IFERROR(__xludf.DUMMYFUNCTION("GOOGLETRANSLATE(B4977, ""es"", ""en"")"),"Value for money 100% recommended")</f>
        <v>Value for money 100% recommended</v>
      </c>
    </row>
    <row r="4978">
      <c r="A4978" s="1">
        <v>5.0</v>
      </c>
      <c r="B4978" s="1" t="s">
        <v>4949</v>
      </c>
      <c r="C4978" t="str">
        <f>IFERROR(__xludf.DUMMYFUNCTION("GOOGLETRANSLATE(B4978, ""es"", ""en"")"),"It is Larguita, take a leotard shirt very comfortable and nice")</f>
        <v>It is Larguita, take a leotard shirt very comfortable and nice</v>
      </c>
    </row>
    <row r="4979">
      <c r="A4979" s="1">
        <v>5.0</v>
      </c>
      <c r="B4979" s="1" t="s">
        <v>4950</v>
      </c>
      <c r="C4979" t="str">
        <f>IFERROR(__xludf.DUMMYFUNCTION("GOOGLETRANSLATE(B4979, ""es"", ""en"")"),"Excellent quality wonderful ... super comfortable not disappoint the money you spend on them ... not the first not the last shoe I bought this brand")</f>
        <v>Excellent quality wonderful ... super comfortable not disappoint the money you spend on them ... not the first not the last shoe I bought this brand</v>
      </c>
    </row>
    <row r="4980">
      <c r="A4980" s="1">
        <v>5.0</v>
      </c>
      <c r="B4980" s="1" t="s">
        <v>4951</v>
      </c>
      <c r="C4980" t="str">
        <f>IFERROR(__xludf.DUMMYFUNCTION("GOOGLETRANSLATE(B4980, ""es"", ""en"")"),"Very good very good product, fits the description. It not as tight as it appears in the ankle is not fully adjusted. Entertains enough with which it is suitable for winter and this price is very good.")</f>
        <v>Very good very good product, fits the description. It not as tight as it appears in the ankle is not fully adjusted. Entertains enough with which it is suitable for winter and this price is very good.</v>
      </c>
    </row>
    <row r="4981">
      <c r="A4981" s="1">
        <v>5.0</v>
      </c>
      <c r="B4981" s="1" t="s">
        <v>4952</v>
      </c>
      <c r="C4981" t="str">
        <f>IFERROR(__xludf.DUMMYFUNCTION("GOOGLETRANSLATE(B4981, ""es"", ""en"")"),"Good price and fast delivery .... good super excellent product that I use super power did not have much but I will ..... great as it")</f>
        <v>Good price and fast delivery .... good super excellent product that I use super power did not have much but I will ..... great as it</v>
      </c>
    </row>
    <row r="4982">
      <c r="A4982" s="1">
        <v>5.0</v>
      </c>
      <c r="B4982" s="1" t="s">
        <v>4953</v>
      </c>
      <c r="C4982" t="str">
        <f>IFERROR(__xludf.DUMMYFUNCTION("GOOGLETRANSLATE(B4982, ""es"", ""en"")"),"Autoesterilizables. They are very good. Is the brand that likes to the small. why, but Not so. The advantage that we are autoesterilizables has been great for travel. Not having to carry the sterilizer contraption.")</f>
        <v>Autoesterilizables. They are very good. Is the brand that likes to the small. why, but Not so. The advantage that we are autoesterilizables has been great for travel. Not having to carry the sterilizer contraption.</v>
      </c>
    </row>
    <row r="4983">
      <c r="A4983" s="1">
        <v>5.0</v>
      </c>
      <c r="B4983" s="1" t="s">
        <v>4954</v>
      </c>
      <c r="C4983" t="str">
        <f>IFERROR(__xludf.DUMMYFUNCTION("GOOGLETRANSLATE(B4983, ""es"", ""en"")"),"Ample space for backup for 99.9 euros 2.7 Tib now have additional space for backup: ample capacity ... that will end being small. ;-) The rate is reasonable, 80 to 100 MB / s connected to a USB 3.1 port Genesis 1, running a very low noise level. Overall, "&amp;"very good. I am satisfied with the purchase.")</f>
        <v>Ample space for backup for 99.9 euros 2.7 Tib now have additional space for backup: ample capacity ... that will end being small. ;-) The rate is reasonable, 80 to 100 MB / s connected to a USB 3.1 port Genesis 1, running a very low noise level. Overall, very good. I am satisfied with the purchase.</v>
      </c>
    </row>
    <row r="4984">
      <c r="A4984" s="1">
        <v>5.0</v>
      </c>
      <c r="B4984" s="1" t="s">
        <v>4955</v>
      </c>
      <c r="C4984" t="str">
        <f>IFERROR(__xludf.DUMMYFUNCTION("GOOGLETRANSLATE(B4984, ""es"", ""en"")"),"Diffuser nice! I am very happy with it, has a very nice design, but it is plastic wood seems !. Works like a charm!. I have perfumed house !!. Has come nicely packaged !!")</f>
        <v>Diffuser nice! I am very happy with it, has a very nice design, but it is plastic wood seems !. Works like a charm!. I have perfumed house !!. Has come nicely packaged !!</v>
      </c>
    </row>
    <row r="4985">
      <c r="A4985" s="1">
        <v>5.0</v>
      </c>
      <c r="B4985" s="1" t="s">
        <v>4956</v>
      </c>
      <c r="C4985" t="str">
        <f>IFERROR(__xludf.DUMMYFUNCTION("GOOGLETRANSLATE(B4985, ""es"", ""en"")"),"Good mat materials are good and excellent lighting.")</f>
        <v>Good mat materials are good and excellent lighting.</v>
      </c>
    </row>
    <row r="4986">
      <c r="A4986" s="1">
        <v>5.0</v>
      </c>
      <c r="B4986" s="1" t="s">
        <v>4957</v>
      </c>
      <c r="C4986" t="str">
        <f>IFERROR(__xludf.DUMMYFUNCTION("GOOGLETRANSLATE(B4986, ""es"", ""en"")"),"Little can be said right product as it is known by almost everyone. Glue effective, robust and durable.")</f>
        <v>Little can be said right product as it is known by almost everyone. Glue effective, robust and durable.</v>
      </c>
    </row>
    <row r="4987">
      <c r="A4987" s="1">
        <v>5.0</v>
      </c>
      <c r="B4987" s="1" t="s">
        <v>4958</v>
      </c>
      <c r="C4987" t="str">
        <f>IFERROR(__xludf.DUMMYFUNCTION("GOOGLETRANSLATE(B4987, ""es"", ""en"")"),"good very good product. I use a test 39 and as I did I was advised one 40 and the truth that great.")</f>
        <v>good very good product. I use a test 39 and as I did I was advised one 40 and the truth that great.</v>
      </c>
    </row>
    <row r="4988">
      <c r="A4988" s="1">
        <v>5.0</v>
      </c>
      <c r="B4988" s="1" t="s">
        <v>4959</v>
      </c>
      <c r="C4988" t="str">
        <f>IFERROR(__xludf.DUMMYFUNCTION("GOOGLETRANSLATE(B4988, ""es"", ""en"")"),"Fully complies with its objective very good product, good quality, and had another who buy it to have a spare and I'm very happy with this product. fulfills its function very well")</f>
        <v>Fully complies with its objective very good product, good quality, and had another who buy it to have a spare and I'm very happy with this product. fulfills its function very well</v>
      </c>
    </row>
    <row r="4989">
      <c r="A4989" s="1">
        <v>5.0</v>
      </c>
      <c r="B4989" s="1" t="s">
        <v>4960</v>
      </c>
      <c r="C4989" t="str">
        <f>IFERROR(__xludf.DUMMYFUNCTION("GOOGLETRANSLATE(B4989, ""es"", ""en"")"),"Relacción money also fit perfectly for the price you have adapters including silicone parts. Good quality materials and also good audio quality.")</f>
        <v>Relacción money also fit perfectly for the price you have adapters including silicone parts. Good quality materials and also good audio quality.</v>
      </c>
    </row>
    <row r="4990">
      <c r="A4990" s="1">
        <v>2.0</v>
      </c>
      <c r="B4990" s="1" t="s">
        <v>4961</v>
      </c>
      <c r="C4990" t="str">
        <f>IFERROR(__xludf.DUMMYFUNCTION("GOOGLETRANSLATE(B4990, ""es"", ""en"")"),"NOT WHAT I EXPECTED used to swim but the numbers when not seen, that is, I put it in the walking option because swimming does not have it and if I want to see when I can not see it, first because the numbers are not see, are not fluorescent, I just used t"&amp;"o see the pulsations and the steps taken, if I want to see the time at that time while I'm swimming I have to exit the application to view the time.")</f>
        <v>NOT WHAT I EXPECTED used to swim but the numbers when not seen, that is, I put it in the walking option because swimming does not have it and if I want to see when I can not see it, first because the numbers are not see, are not fluorescent, I just used to see the pulsations and the steps taken, if I want to see the time at that time while I'm swimming I have to exit the application to view the time.</v>
      </c>
    </row>
    <row r="4991">
      <c r="A4991" s="1">
        <v>3.0</v>
      </c>
      <c r="B4991" s="1" t="s">
        <v>4962</v>
      </c>
      <c r="C4991" t="str">
        <f>IFERROR(__xludf.DUMMYFUNCTION("GOOGLETRANSLATE(B4991, ""es"", ""en"")"),"Regular sometimes stutters one of headphones and listening to the not quite right")</f>
        <v>Regular sometimes stutters one of headphones and listening to the not quite right</v>
      </c>
    </row>
    <row r="4992">
      <c r="A4992" s="1">
        <v>1.0</v>
      </c>
      <c r="B4992" s="1" t="s">
        <v>4963</v>
      </c>
      <c r="C4992" t="str">
        <f>IFERROR(__xludf.DUMMYFUNCTION("GOOGLETRANSLATE(B4992, ""es"", ""en"")"),"He is going like crazy I had q return because I did not like. Crashing into the furniture abruptly and walks haphazardly. It could be a whole hour in the same room and would not others. Now I have one with mapping and no color. No mapping never buy any.")</f>
        <v>He is going like crazy I had q return because I did not like. Crashing into the furniture abruptly and walks haphazardly. It could be a whole hour in the same room and would not others. Now I have one with mapping and no color. No mapping never buy any.</v>
      </c>
    </row>
    <row r="4993">
      <c r="A4993" s="1">
        <v>1.0</v>
      </c>
      <c r="B4993" s="1" t="s">
        <v>4964</v>
      </c>
      <c r="C4993" t="str">
        <f>IFERROR(__xludf.DUMMYFUNCTION("GOOGLETRANSLATE(B4993, ""es"", ""en"")"),"Nothing comfort Nothing comfort, they are very hard, with nothing slips are a hazard with wet soil, the price had to be more quality, very hard template")</f>
        <v>Nothing comfort Nothing comfort, they are very hard, with nothing slips are a hazard with wet soil, the price had to be more quality, very hard template</v>
      </c>
    </row>
    <row r="4994">
      <c r="A4994" s="1">
        <v>4.0</v>
      </c>
      <c r="B4994" s="1" t="s">
        <v>4965</v>
      </c>
      <c r="C4994" t="str">
        <f>IFERROR(__xludf.DUMMYFUNCTION("GOOGLETRANSLATE(B4994, ""es"", ""en"")"),"As well as expected size is great and has a pretty good speed, but the package came dobladl and took off the stick of the casing, so I've stuck manually without problems. Let's enjoy it")</f>
        <v>As well as expected size is great and has a pretty good speed, but the package came dobladl and took off the stick of the casing, so I've stuck manually without problems. Let's enjoy it</v>
      </c>
    </row>
    <row r="4995">
      <c r="A4995" s="1">
        <v>4.0</v>
      </c>
      <c r="B4995" s="1" t="s">
        <v>4966</v>
      </c>
      <c r="C4995" t="str">
        <f>IFERROR(__xludf.DUMMYFUNCTION("GOOGLETRANSLATE(B4995, ""es"", ""en"")"),"Good Value go very well what happens that is transparent though he is either legal right")</f>
        <v>Good Value go very well what happens that is transparent though he is either legal right</v>
      </c>
    </row>
    <row r="4996">
      <c r="A4996" s="1">
        <v>4.0</v>
      </c>
      <c r="B4996" s="1" t="s">
        <v>4967</v>
      </c>
      <c r="C4996" t="str">
        <f>IFERROR(__xludf.DUMMYFUNCTION("GOOGLETRANSLATE(B4996, ""es"", ""en"")"),"Impressed by its low price I came early and this watch looks very nice, super-economical price")</f>
        <v>Impressed by its low price I came early and this watch looks very nice, super-economical price</v>
      </c>
    </row>
    <row r="4997">
      <c r="A4997" s="1">
        <v>4.0</v>
      </c>
      <c r="B4997" s="1" t="s">
        <v>4968</v>
      </c>
      <c r="C4997" t="str">
        <f>IFERROR(__xludf.DUMMYFUNCTION("GOOGLETRANSLATE(B4997, ""es"", ""en"")"),"Prefio Quality is something noisy and does not measure the water. Otherwise, great.")</f>
        <v>Prefio Quality is something noisy and does not measure the water. Otherwise, great.</v>
      </c>
    </row>
    <row r="4998">
      <c r="A4998" s="1">
        <v>4.0</v>
      </c>
      <c r="B4998" s="1" t="s">
        <v>4969</v>
      </c>
      <c r="C4998" t="str">
        <f>IFERROR(__xludf.DUMMYFUNCTION("GOOGLETRANSLATE(B4998, ""es"", ""en"")"),"I was pleasantly surprised has really surprised me how well it goes with W7. I would recommend that the value and convenience is fantastic")</f>
        <v>I was pleasantly surprised has really surprised me how well it goes with W7. I would recommend that the value and convenience is fantastic</v>
      </c>
    </row>
    <row r="4999">
      <c r="A4999" s="1">
        <v>5.0</v>
      </c>
      <c r="B4999" s="1" t="s">
        <v>4970</v>
      </c>
      <c r="C4999" t="str">
        <f>IFERROR(__xludf.DUMMYFUNCTION("GOOGLETRANSLATE(B4999, ""es"", ""en"")"),"Very good buy needed a thermos for bottles away from home and it really was a wise move. Water is kept warm for hours. Now I do serve up at night to not wait until the bibi is heated and thus do not mourn my little hunger.")</f>
        <v>Very good buy needed a thermos for bottles away from home and it really was a wise move. Water is kept warm for hours. Now I do serve up at night to not wait until the bibi is heated and thus do not mourn my little hunger.</v>
      </c>
    </row>
    <row r="5000">
      <c r="A5000" s="1">
        <v>5.0</v>
      </c>
      <c r="B5000" s="1" t="s">
        <v>4971</v>
      </c>
      <c r="C5000" t="str">
        <f>IFERROR(__xludf.DUMMYFUNCTION("GOOGLETRANSLATE(B5000, ""es"", ""en"")"),"10/10 beautiful with a very good presentation, my partner was delighted with, will buy this brand safe")</f>
        <v>10/10 beautiful with a very good presentation, my partner was delighted with, will buy this brand safe</v>
      </c>
    </row>
    <row r="5001">
      <c r="A5001" s="1">
        <v>5.0</v>
      </c>
      <c r="B5001" s="1" t="s">
        <v>4972</v>
      </c>
      <c r="C5001" t="str">
        <f>IFERROR(__xludf.DUMMYFUNCTION("GOOGLETRANSLATE(B5001, ""es"", ""en"")"),"Excellent watch. It has exceeded my expectations. The chain is somewhat slight. But the NH35A mechanism is very precise. Outperforms much more expensive watches.")</f>
        <v>Excellent watch. It has exceeded my expectations. The chain is somewhat slight. But the NH35A mechanism is very precise. Outperforms much more expensive watches.</v>
      </c>
    </row>
    <row r="5002">
      <c r="A5002" s="1">
        <v>5.0</v>
      </c>
      <c r="B5002" s="1" t="s">
        <v>4973</v>
      </c>
      <c r="C5002" t="str">
        <f>IFERROR(__xludf.DUMMYFUNCTION("GOOGLETRANSLATE(B5002, ""es"", ""en"")"),"Right socks perfect, super breathable and comfortable. Very happy")</f>
        <v>Right socks perfect, super breathable and comfortable. Very happy</v>
      </c>
    </row>
    <row r="5003">
      <c r="A5003" s="1">
        <v>5.0</v>
      </c>
      <c r="B5003" s="1" t="s">
        <v>4974</v>
      </c>
      <c r="C5003" t="str">
        <f>IFERROR(__xludf.DUMMYFUNCTION("GOOGLETRANSLATE(B5003, ""es"", ""en"")"),"Cotton good quality good. No fluff strip. Very comfortable and soft touch. They are well placed mid-calf. Uses my son when football coaches and will not fall")</f>
        <v>Cotton good quality good. No fluff strip. Very comfortable and soft touch. They are well placed mid-calf. Uses my son when football coaches and will not fall</v>
      </c>
    </row>
    <row r="5004">
      <c r="A5004" s="1">
        <v>5.0</v>
      </c>
      <c r="B5004" s="1" t="s">
        <v>4975</v>
      </c>
      <c r="C5004" t="str">
        <f>IFERROR(__xludf.DUMMYFUNCTION("GOOGLETRANSLATE(B5004, ""es"", ""en"")"),"Meets expectations &lt;div id = ""video-block-RK01YHFJ4H8YZ"" class = ""a-section a-spacing-small a-spacing-top mini video-block""&gt; &lt;/ div&gt; &lt;input type = ""hidden"" name = """" value = ""https://images-eu.ssl-images-amazon.com/images/I/B1g8YV+h8IS.mp4"" clas"&amp;"s = ""video-url""&gt; &lt;input type = ""hidden"" name = "" ""value ="" https://images-eu.ssl-images-amazon.com/images/I/A1UktqTjIVS.png ""class ="" video-slate-img-url ""&gt; &amp; nbsp; I have back problems and started looking this type of mats, after seeing that of"&amp;" Pranamat and watch worth more than 100 € decided to try a cheaper, is light and quite complete because it also carries a pillow for cervical, meets time as specified, I use 10 minutes it is more than enough.")</f>
        <v>Meets expectations &lt;div id = "video-block-RK01YHFJ4H8YZ" class = "a-section a-spacing-small a-spacing-top mini video-block"&gt; &lt;/ div&gt; &lt;input type = "hidden" name = "" value = "https://images-eu.ssl-images-amazon.com/images/I/B1g8YV+h8IS.mp4" class = "video-url"&gt; &lt;input type = "hidden" name = " "value =" https://images-eu.ssl-images-amazon.com/images/I/A1UktqTjIVS.png "class =" video-slate-img-url "&gt; &amp; nbsp; I have back problems and started looking this type of mats, after seeing that of Pranamat and watch worth more than 100 € decided to try a cheaper, is light and quite complete because it also carries a pillow for cervical, meets time as specified, I use 10 minutes it is more than enough.</v>
      </c>
    </row>
    <row r="5005">
      <c r="A5005" s="1">
        <v>5.0</v>
      </c>
      <c r="B5005" s="1" t="s">
        <v>4976</v>
      </c>
      <c r="C5005" t="str">
        <f>IFERROR(__xludf.DUMMYFUNCTION("GOOGLETRANSLATE(B5005, ""es"", ""en"")"),"Great had another model with more accessories and it broke and this is great and I WORTH other accessories")</f>
        <v>Great had another model with more accessories and it broke and this is great and I WORTH other accessories</v>
      </c>
    </row>
    <row r="5006">
      <c r="A5006" s="1">
        <v>5.0</v>
      </c>
      <c r="B5006" s="1" t="s">
        <v>4977</v>
      </c>
      <c r="C5006" t="str">
        <f>IFERROR(__xludf.DUMMYFUNCTION("GOOGLETRANSLATE(B5006, ""es"", ""en"")"),"Super toilet I love this bottle, a glass being much easier to clean and more hygienic for the baby. The only downside is that being crystal A baby lo.puede not hold only by weight. For me the best bottle of all.")</f>
        <v>Super toilet I love this bottle, a glass being much easier to clean and more hygienic for the baby. The only downside is that being crystal A baby lo.puede not hold only by weight. For me the best bottle of all.</v>
      </c>
    </row>
    <row r="5007">
      <c r="A5007" s="1">
        <v>5.0</v>
      </c>
      <c r="B5007" s="1" t="s">
        <v>4978</v>
      </c>
      <c r="C5007" t="str">
        <f>IFERROR(__xludf.DUMMYFUNCTION("GOOGLETRANSLATE(B5007, ""es"", ""en"")"),"Great portable speaker Ibiza. Perfect for parties and events. Good sound. The micros very good. Money very well. Q All instructions are very terse.")</f>
        <v>Great portable speaker Ibiza. Perfect for parties and events. Good sound. The micros very good. Money very well. Q All instructions are very terse.</v>
      </c>
    </row>
    <row r="5008">
      <c r="A5008" s="1">
        <v>5.0</v>
      </c>
      <c r="B5008" s="1" t="s">
        <v>4979</v>
      </c>
      <c r="C5008" t="str">
        <f>IFERROR(__xludf.DUMMYFUNCTION("GOOGLETRANSLATE(B5008, ""es"", ""en"")"),"SNZG15K1 snzg15k1 Seiko Seiko 5 sport automatic military man with 7S36 caliber 23 rubies, with three needles with double calendar in English / German. Matt steel case, black dial and black textile fashion b. The crystal is mineral hardlex. Waterproof 100 "&amp;"meters. Diameter case 41 millimeters (crown only).")</f>
        <v>SNZG15K1 snzg15k1 Seiko Seiko 5 sport automatic military man with 7S36 caliber 23 rubies, with three needles with double calendar in English / German. Matt steel case, black dial and black textile fashion b. The crystal is mineral hardlex. Waterproof 100 meters. Diameter case 41 millimeters (crown only).</v>
      </c>
    </row>
    <row r="5009">
      <c r="A5009" s="1">
        <v>5.0</v>
      </c>
      <c r="B5009" s="1" t="s">
        <v>4980</v>
      </c>
      <c r="C5009" t="str">
        <f>IFERROR(__xludf.DUMMYFUNCTION("GOOGLETRANSLATE(B5009, ""es"", ""en"")"),"Nice and cheap. Buy these matching earrings with a pendant with blue tones and the combination was great. They are very nice and stylish. You have loved.")</f>
        <v>Nice and cheap. Buy these matching earrings with a pendant with blue tones and the combination was great. They are very nice and stylish. You have loved.</v>
      </c>
    </row>
    <row r="5010">
      <c r="A5010" s="1">
        <v>5.0</v>
      </c>
      <c r="B5010" s="1" t="s">
        <v>4981</v>
      </c>
      <c r="C5010" t="str">
        <f>IFERROR(__xludf.DUMMYFUNCTION("GOOGLETRANSLATE(B5010, ""es"", ""en"")"),"It's super comfortable'm a personal trainer and I liked")</f>
        <v>It's super comfortable'm a personal trainer and I liked</v>
      </c>
    </row>
    <row r="5011">
      <c r="A5011" s="1">
        <v>5.0</v>
      </c>
      <c r="B5011" s="1" t="s">
        <v>4982</v>
      </c>
      <c r="C5011" t="str">
        <f>IFERROR(__xludf.DUMMYFUNCTION("GOOGLETRANSLATE(B5011, ""es"", ""en"")"),"Brutal speed. New life for your computer. Well priced. Without going into complicated technical specifications, this next-generation hard disk has very good performance, mainly because: It has excellent recording and writing speed with low power consumpti"&amp;"on and low heat. It is ideal to expand the memory of your laptop or have a small external hard drive (you need a housing, that's cheap). IMPORTANT. Does not apply to ""old"" equipment, check that your computer has a PCIe slot nvme. (NOT WORTH THE TYPE OF "&amp;"A LIFETIME SATA). No doubt the mark is a guarantee tranquility and confidence, there is little to say respect. Price: SSDs are continually going down, and now this memory is reasonably priced, in my opinion. Installation. Simple and quick. In my case I ha"&amp;"d no problem, everything ok.")</f>
        <v>Brutal speed. New life for your computer. Well priced. Without going into complicated technical specifications, this next-generation hard disk has very good performance, mainly because: It has excellent recording and writing speed with low power consumption and low heat. It is ideal to expand the memory of your laptop or have a small external hard drive (you need a housing, that's cheap). IMPORTANT. Does not apply to "old" equipment, check that your computer has a PCIe slot nvme. (NOT WORTH THE TYPE OF A LIFETIME SATA). No doubt the mark is a guarantee tranquility and confidence, there is little to say respect. Price: SSDs are continually going down, and now this memory is reasonably priced, in my opinion. Installation. Simple and quick. In my case I had no problem, everything ok.</v>
      </c>
    </row>
    <row r="5012">
      <c r="A5012" s="1">
        <v>5.0</v>
      </c>
      <c r="B5012" s="1" t="s">
        <v>4983</v>
      </c>
      <c r="C5012" t="str">
        <f>IFERROR(__xludf.DUMMYFUNCTION("GOOGLETRANSLATE(B5012, ""es"", ""en"")"),"perfect as shown in the picture")</f>
        <v>perfect as shown in the picture</v>
      </c>
    </row>
    <row r="5013">
      <c r="A5013" s="1">
        <v>5.0</v>
      </c>
      <c r="B5013" s="1" t="s">
        <v>4984</v>
      </c>
      <c r="C5013" t="str">
        <f>IFERROR(__xludf.DUMMYFUNCTION("GOOGLETRANSLATE(B5013, ""es"", ""en"")"),"I love . Practical, small and simple: perfect")</f>
        <v>I love . Practical, small and simple: perfect</v>
      </c>
    </row>
    <row r="5014">
      <c r="A5014" s="1">
        <v>5.0</v>
      </c>
      <c r="B5014" s="1" t="s">
        <v>461</v>
      </c>
      <c r="C5014" t="str">
        <f>IFERROR(__xludf.DUMMYFUNCTION("GOOGLETRANSLATE(B5014, ""es"", ""en"")"),"excellent excellent")</f>
        <v>excellent excellent</v>
      </c>
    </row>
    <row r="5015">
      <c r="A5015" s="1">
        <v>5.0</v>
      </c>
      <c r="B5015" s="1" t="s">
        <v>4985</v>
      </c>
      <c r="C5015" t="str">
        <f>IFERROR(__xludf.DUMMYFUNCTION("GOOGLETRANSLATE(B5015, ""es"", ""en"")"),"Very comfortable option practices use them for everything they are great for going to the beach")</f>
        <v>Very comfortable option practices use them for everything they are great for going to the beach</v>
      </c>
    </row>
    <row r="5016">
      <c r="A5016" s="1">
        <v>5.0</v>
      </c>
      <c r="B5016" s="1" t="s">
        <v>4986</v>
      </c>
      <c r="C5016" t="str">
        <f>IFERROR(__xludf.DUMMYFUNCTION("GOOGLETRANSLATE(B5016, ""es"", ""en"")"),"It meets strip excellent function perfectly and has a completion pretty well finished. the existence of the two USB ports for charging electronic devices are pleasing through them without having to make use of one of the outlets. Absolutely recommended.")</f>
        <v>It meets strip excellent function perfectly and has a completion pretty well finished. the existence of the two USB ports for charging electronic devices are pleasing through them without having to make use of one of the outlets. Absolutely recommended.</v>
      </c>
    </row>
    <row r="5017">
      <c r="A5017" s="1">
        <v>5.0</v>
      </c>
      <c r="B5017" s="1" t="s">
        <v>4987</v>
      </c>
      <c r="C5017" t="str">
        <f>IFERROR(__xludf.DUMMYFUNCTION("GOOGLETRANSLATE(B5017, ""es"", ""en"")"),"Mola practice")</f>
        <v>Mola practice</v>
      </c>
    </row>
    <row r="5018">
      <c r="A5018" s="1">
        <v>2.0</v>
      </c>
      <c r="B5018" s="1" t="s">
        <v>4988</v>
      </c>
      <c r="C5018" t="str">
        <f>IFERROR(__xludf.DUMMYFUNCTION("GOOGLETRANSLATE(B5018, ""es"", ""en"")"),"Decepcion the quality leaves something to be desired, they are very fine, without antideslizande material toe and heel, so do not look good on the ground. They are small.")</f>
        <v>Decepcion the quality leaves something to be desired, they are very fine, without antideslizande material toe and heel, so do not look good on the ground. They are small.</v>
      </c>
    </row>
    <row r="5019">
      <c r="A5019" s="1">
        <v>3.0</v>
      </c>
      <c r="B5019" s="1" t="s">
        <v>4989</v>
      </c>
      <c r="C5019" t="str">
        <f>IFERROR(__xludf.DUMMYFUNCTION("GOOGLETRANSLATE(B5019, ""es"", ""en"")"),"Disappointment great care slipper but I came with the sole r white colors")</f>
        <v>Disappointment great care slipper but I came with the sole r white colors</v>
      </c>
    </row>
    <row r="5020">
      <c r="A5020" s="1">
        <v>3.0</v>
      </c>
      <c r="B5020" s="1" t="s">
        <v>4990</v>
      </c>
      <c r="C5020" t="str">
        <f>IFERROR(__xludf.DUMMYFUNCTION("GOOGLETRANSLATE(B5020, ""es"", ""en"")"),"Malfunctioned FROM DAY right out, I tried it and it worked just the right side. Fiddling with the pin, I got that worked both earbuds. But I thought I could be a matter of connecting the laptop where he had logged in (Los just bought!). Well, no. I tried "&amp;"them on another computer and a mobile phone, and they felt the same. Since then, there they are. That sometimes work only on one side and there you go fiddling with the pin to work for both. I went to change them because they cost is not worth making the "&amp;"return. 3 stars is because I think that the problem with my headphones is a blip. And because many years ago I had the same model and I worked well. If you do not have the problem that stops ringing on the one hand, the sound value / price is more than ac"&amp;"ceptable.")</f>
        <v>Malfunctioned FROM DAY right out, I tried it and it worked just the right side. Fiddling with the pin, I got that worked both earbuds. But I thought I could be a matter of connecting the laptop where he had logged in (Los just bought!). Well, no. I tried them on another computer and a mobile phone, and they felt the same. Since then, there they are. That sometimes work only on one side and there you go fiddling with the pin to work for both. I went to change them because they cost is not worth making the return. 3 stars is because I think that the problem with my headphones is a blip. And because many years ago I had the same model and I worked well. If you do not have the problem that stops ringing on the one hand, the sound value / price is more than acceptable.</v>
      </c>
    </row>
    <row r="5021">
      <c r="A5021" s="1">
        <v>1.0</v>
      </c>
      <c r="B5021" s="1" t="s">
        <v>4991</v>
      </c>
      <c r="C5021" t="str">
        <f>IFERROR(__xludf.DUMMYFUNCTION("GOOGLETRANSLATE(B5021, ""es"", ""en"")"),"I give it a zero It has nothing to do with photography, are of poor quality. Total.Me deception is a totally disappoints Get introduced a product and then have nothing to do. That's what is called mislead the consumer")</f>
        <v>I give it a zero It has nothing to do with photography, are of poor quality. Total.Me deception is a totally disappoints Get introduced a product and then have nothing to do. That's what is called mislead the consumer</v>
      </c>
    </row>
    <row r="5022">
      <c r="A5022" s="1">
        <v>1.0</v>
      </c>
      <c r="B5022" s="1" t="s">
        <v>4992</v>
      </c>
      <c r="C5022" t="str">
        <f>IFERROR(__xludf.DUMMYFUNCTION("GOOGLETRANSLATE(B5022, ""es"", ""en"")"),"Very tight pants man in the legs and very loose at the waist, the fabric is not what I expected hera")</f>
        <v>Very tight pants man in the legs and very loose at the waist, the fabric is not what I expected hera</v>
      </c>
    </row>
    <row r="5023">
      <c r="A5023" s="1">
        <v>4.0</v>
      </c>
      <c r="B5023" s="1" t="s">
        <v>4993</v>
      </c>
      <c r="C5023" t="str">
        <f>IFERROR(__xludf.DUMMYFUNCTION("GOOGLETRANSLATE(B5023, ""es"", ""en"")"),"What is offered without deceit original look and act like them. They do not cheat, sound good and provide the service expected of these headphones. Good buy for a price very tight. The only but are slow to arrive")</f>
        <v>What is offered without deceit original look and act like them. They do not cheat, sound good and provide the service expected of these headphones. Good buy for a price very tight. The only but are slow to arrive</v>
      </c>
    </row>
    <row r="5024">
      <c r="A5024" s="1">
        <v>4.0</v>
      </c>
      <c r="B5024" s="1" t="s">
        <v>4994</v>
      </c>
      <c r="C5024" t="str">
        <f>IFERROR(__xludf.DUMMYFUNCTION("GOOGLETRANSLATE(B5024, ""es"", ""en"")"),"Useful functions")</f>
        <v>Useful functions</v>
      </c>
    </row>
    <row r="5025">
      <c r="A5025" s="1">
        <v>4.0</v>
      </c>
      <c r="B5025" s="1" t="s">
        <v>4995</v>
      </c>
      <c r="C5025" t="str">
        <f>IFERROR(__xludf.DUMMYFUNCTION("GOOGLETRANSLATE(B5025, ""es"", ""en"")"),"Expected but folded packaging No big deal, because what he wanted was the memory card, but what is the plastic in which was wrapped was like folded, creased, which is not good I get.")</f>
        <v>Expected but folded packaging No big deal, because what he wanted was the memory card, but what is the plastic in which was wrapped was like folded, creased, which is not good I get.</v>
      </c>
    </row>
    <row r="5026">
      <c r="A5026" s="1">
        <v>4.0</v>
      </c>
      <c r="B5026" s="1" t="s">
        <v>4996</v>
      </c>
      <c r="C5026" t="str">
        <f>IFERROR(__xludf.DUMMYFUNCTION("GOOGLETRANSLATE(B5026, ""es"", ""en"")"),"Works allows me to use the bass with headphones or connect it to a home computer music. The rhythms are a bit complex to practice with them.")</f>
        <v>Works allows me to use the bass with headphones or connect it to a home computer music. The rhythms are a bit complex to practice with them.</v>
      </c>
    </row>
    <row r="5027">
      <c r="A5027" s="1">
        <v>4.0</v>
      </c>
      <c r="B5027" s="1" t="s">
        <v>4997</v>
      </c>
      <c r="C5027" t="str">
        <f>IFERROR(__xludf.DUMMYFUNCTION("GOOGLETRANSLATE(B5027, ""es"", ""en"")"),"Rather expensive quite expensive")</f>
        <v>Rather expensive quite expensive</v>
      </c>
    </row>
    <row r="5028">
      <c r="A5028" s="1">
        <v>5.0</v>
      </c>
      <c r="B5028" s="1" t="s">
        <v>4998</v>
      </c>
      <c r="C5028" t="str">
        <f>IFERROR(__xludf.DUMMYFUNCTION("GOOGLETRANSLATE(B5028, ""es"", ""en"")"),"Okay delivery")</f>
        <v>Okay delivery</v>
      </c>
    </row>
    <row r="5029">
      <c r="A5029" s="1">
        <v>5.0</v>
      </c>
      <c r="B5029" s="1" t="s">
        <v>4999</v>
      </c>
      <c r="C5029" t="str">
        <f>IFERROR(__xludf.DUMMYFUNCTION("GOOGLETRANSLATE(B5029, ""es"", ""en"")"),"I bought it fell short of expectations for a gift to a legionary and liked it a lot. Not as ""Hulk"" as seen in the photos.")</f>
        <v>I bought it fell short of expectations for a gift to a legionary and liked it a lot. Not as "Hulk" as seen in the photos.</v>
      </c>
    </row>
    <row r="5030">
      <c r="A5030" s="1">
        <v>5.0</v>
      </c>
      <c r="B5030" s="1" t="s">
        <v>5000</v>
      </c>
      <c r="C5030" t="str">
        <f>IFERROR(__xludf.DUMMYFUNCTION("GOOGLETRANSLATE(B5030, ""es"", ""en"")"),"I'm surprised ... Run the phone is small, portable and with many Pros. - Sensitivity keys (the beginning are one tough Pelin, but after giving cane, you will enjoy playing). - the pads, Knobs, joystick, are well designed and are very smooth in operation. "&amp;"- Works with Smartphone, using an adapter that is not included (Universal) you can use your phone to control via MIDI Daw you have installed. and this is one of the features I said. Cons: Keys are literally levers, and touch a bit rare. The joy is very go"&amp;"od but I miss the Pitch and Mod wheel Conclusion. It shows that it is a keyboard for Performance, Home production studio by the size and well designed. You will not regret the purchase.")</f>
        <v>I'm surprised ... Run the phone is small, portable and with many Pros. - Sensitivity keys (the beginning are one tough Pelin, but after giving cane, you will enjoy playing). - the pads, Knobs, joystick, are well designed and are very smooth in operation. - Works with Smartphone, using an adapter that is not included (Universal) you can use your phone to control via MIDI Daw you have installed. and this is one of the features I said. Cons: Keys are literally levers, and touch a bit rare. The joy is very good but I miss the Pitch and Mod wheel Conclusion. It shows that it is a keyboard for Performance, Home production studio by the size and well designed. You will not regret the purchase.</v>
      </c>
    </row>
    <row r="5031">
      <c r="A5031" s="1">
        <v>5.0</v>
      </c>
      <c r="B5031" s="1" t="s">
        <v>5001</v>
      </c>
      <c r="C5031" t="str">
        <f>IFERROR(__xludf.DUMMYFUNCTION("GOOGLETRANSLATE(B5031, ""es"", ""en"")"),"Price / quality ratio OK Ni headphones flights from the pile and closed helmets more expensive, I decided on these normalitos (recommended by an acquaintance who had them) and the truth is that they function to spare. They adapt well to the ear, hear well"&amp;" and can take care in their FUNDIT.")</f>
        <v>Price / quality ratio OK Ni headphones flights from the pile and closed helmets more expensive, I decided on these normalitos (recommended by an acquaintance who had them) and the truth is that they function to spare. They adapt well to the ear, hear well and can take care in their FUNDIT.</v>
      </c>
    </row>
    <row r="5032">
      <c r="A5032" s="1">
        <v>5.0</v>
      </c>
      <c r="B5032" s="1" t="s">
        <v>5002</v>
      </c>
      <c r="C5032" t="str">
        <f>IFERROR(__xludf.DUMMYFUNCTION("GOOGLETRANSLATE(B5032, ""es"", ""en"")"),"Comfortable for exercise are very comfortable, come with several types of handset to choose the one that best fits your ear, are linked quickly and even can get only one, the box is a last and that indicates the load that each once loaded one one can turn"&amp;" it off from the whole, they are fairly discreet and listen very well, the sound will corde with the videos, I recommend it 100%.")</f>
        <v>Comfortable for exercise are very comfortable, come with several types of handset to choose the one that best fits your ear, are linked quickly and even can get only one, the box is a last and that indicates the load that each once loaded one one can turn it off from the whole, they are fairly discreet and listen very well, the sound will corde with the videos, I recommend it 100%.</v>
      </c>
    </row>
    <row r="5033">
      <c r="A5033" s="1">
        <v>5.0</v>
      </c>
      <c r="B5033" s="1" t="s">
        <v>5003</v>
      </c>
      <c r="C5033" t="str">
        <f>IFERROR(__xludf.DUMMYFUNCTION("GOOGLETRANSLATE(B5033, ""es"", ""en"")"),"everything perfect all ok")</f>
        <v>everything perfect all ok</v>
      </c>
    </row>
    <row r="5034">
      <c r="A5034" s="1">
        <v>5.0</v>
      </c>
      <c r="B5034" s="1" t="s">
        <v>5004</v>
      </c>
      <c r="C5034" t="str">
        <f>IFERROR(__xludf.DUMMYFUNCTION("GOOGLETRANSLATE(B5034, ""es"", ""en"")"),"Lucia good headphones sound very good, not heard anything from the outside, you isolate yourself from the outside world .Very good buy. All right")</f>
        <v>Lucia good headphones sound very good, not heard anything from the outside, you isolate yourself from the outside world .Very good buy. All right</v>
      </c>
    </row>
    <row r="5035">
      <c r="A5035" s="1">
        <v>5.0</v>
      </c>
      <c r="B5035" s="1" t="s">
        <v>5005</v>
      </c>
      <c r="C5035" t="str">
        <f>IFERROR(__xludf.DUMMYFUNCTION("GOOGLETRANSLATE(B5035, ""es"", ""en"")"),"Very full, good sound, folding and cheap. Very full, good sound, folding and cheap. What more could you want? To have radio and microSD slot, immediately hooked by bluetooth and coverage spans the puiso, which can broadcast from anywhere and move freely a"&amp;"round your floor. Great autonomy.")</f>
        <v>Very full, good sound, folding and cheap. Very full, good sound, folding and cheap. What more could you want? To have radio and microSD slot, immediately hooked by bluetooth and coverage spans the puiso, which can broadcast from anywhere and move freely around your floor. Great autonomy.</v>
      </c>
    </row>
    <row r="5036">
      <c r="A5036" s="1">
        <v>5.0</v>
      </c>
      <c r="B5036" s="1" t="s">
        <v>5006</v>
      </c>
      <c r="C5036" t="str">
        <f>IFERROR(__xludf.DUMMYFUNCTION("GOOGLETRANSLATE(B5036, ""es"", ""en"")"),"100% recommended Llego all very well !!! 100% recommended the product is original and brought what you see in the picture ...")</f>
        <v>100% recommended Llego all very well !!! 100% recommended the product is original and brought what you see in the picture ...</v>
      </c>
    </row>
    <row r="5037">
      <c r="A5037" s="1">
        <v>5.0</v>
      </c>
      <c r="B5037" s="1" t="s">
        <v>5007</v>
      </c>
      <c r="C5037" t="str">
        <f>IFERROR(__xludf.DUMMYFUNCTION("GOOGLETRANSLATE(B5037, ""es"", ""en"")"),"Highly recommended highly recommended both quality and price. It is very difficult to find a product with this format elsewhere. In addition they send you a guide on how to use it optimally.")</f>
        <v>Highly recommended highly recommended both quality and price. It is very difficult to find a product with this format elsewhere. In addition they send you a guide on how to use it optimally.</v>
      </c>
    </row>
    <row r="5038">
      <c r="A5038" s="1">
        <v>5.0</v>
      </c>
      <c r="B5038" s="1" t="s">
        <v>5008</v>
      </c>
      <c r="C5038" t="str">
        <f>IFERROR(__xludf.DUMMYFUNCTION("GOOGLETRANSLATE(B5038, ""es"", ""en"")"),"Esther very useful. Are a lot of different colors and vivid. To me it has helped me a great help to find the point where I smooth that camouflages between wool. Also to be marking points. It is so cool")</f>
        <v>Esther very useful. Are a lot of different colors and vivid. To me it has helped me a great help to find the point where I smooth that camouflages between wool. Also to be marking points. It is so cool</v>
      </c>
    </row>
    <row r="5039">
      <c r="A5039" s="1">
        <v>5.0</v>
      </c>
      <c r="B5039" s="1" t="s">
        <v>5009</v>
      </c>
      <c r="C5039" t="str">
        <f>IFERROR(__xludf.DUMMYFUNCTION("GOOGLETRANSLATE(B5039, ""es"", ""en"")"),"Breathable and very adjustable Comfortable")</f>
        <v>Breathable and very adjustable Comfortable</v>
      </c>
    </row>
    <row r="5040">
      <c r="A5040" s="1">
        <v>5.0</v>
      </c>
      <c r="B5040" s="1" t="s">
        <v>5010</v>
      </c>
      <c r="C5040" t="str">
        <f>IFERROR(__xludf.DUMMYFUNCTION("GOOGLETRANSLATE(B5040, ""es"", ""en"")"),"Take your data where you need very good price, storage capacity up to 128GB, it is 3.0 so it is fast. For me it has the perfect size and design, I've put on my keychain, you never know when you need a pendrive. Very happy, I repeat purchase.")</f>
        <v>Take your data where you need very good price, storage capacity up to 128GB, it is 3.0 so it is fast. For me it has the perfect size and design, I've put on my keychain, you never know when you need a pendrive. Very happy, I repeat purchase.</v>
      </c>
    </row>
    <row r="5041">
      <c r="A5041" s="1">
        <v>5.0</v>
      </c>
      <c r="B5041" s="1" t="s">
        <v>5011</v>
      </c>
      <c r="C5041" t="str">
        <f>IFERROR(__xludf.DUMMYFUNCTION("GOOGLETRANSLATE(B5041, ""es"", ""en"")"),"I love For me the best bottles. Both my son and my daughter have used.")</f>
        <v>I love For me the best bottles. Both my son and my daughter have used.</v>
      </c>
    </row>
    <row r="5042">
      <c r="A5042" s="1">
        <v>5.0</v>
      </c>
      <c r="B5042" s="1" t="s">
        <v>5012</v>
      </c>
      <c r="C5042" t="str">
        <f>IFERROR(__xludf.DUMMYFUNCTION("GOOGLETRANSLATE(B5042, ""es"", ""en"")"),"No objections are the usual water, perhaps with a more reddish color than others I've used. Remarkably resilient and comfortable. They have adapted perfectly from the first start.")</f>
        <v>No objections are the usual water, perhaps with a more reddish color than others I've used. Remarkably resilient and comfortable. They have adapted perfectly from the first start.</v>
      </c>
    </row>
    <row r="5043">
      <c r="A5043" s="1">
        <v>5.0</v>
      </c>
      <c r="B5043" s="1" t="s">
        <v>5013</v>
      </c>
      <c r="C5043" t="str">
        <f>IFERROR(__xludf.DUMMYFUNCTION("GOOGLETRANSLATE(B5043, ""es"", ""en"")"),"He was looking for comfortable and lightweight helmet light and comfortable for children and fulfill their function")</f>
        <v>He was looking for comfortable and lightweight helmet light and comfortable for children and fulfill their function</v>
      </c>
    </row>
    <row r="5044">
      <c r="A5044" s="1">
        <v>5.0</v>
      </c>
      <c r="B5044" s="1" t="s">
        <v>5014</v>
      </c>
      <c r="C5044" t="str">
        <f>IFERROR(__xludf.DUMMYFUNCTION("GOOGLETRANSLATE(B5044, ""es"", ""en"")"),"While the first cleaning was successful. He expected to remain behind bars with a more thorough cleaning.")</f>
        <v>While the first cleaning was successful. He expected to remain behind bars with a more thorough cleaning.</v>
      </c>
    </row>
    <row r="5045">
      <c r="A5045" s="1">
        <v>5.0</v>
      </c>
      <c r="B5045" s="1" t="s">
        <v>5015</v>
      </c>
      <c r="C5045" t="str">
        <f>IFERROR(__xludf.DUMMYFUNCTION("GOOGLETRANSLATE(B5045, ""es"", ""en"")"),"Half!! Shoes well what I asked, but I asked a second time and cost me 10 euros more than the first and think they took me pelo.Eso can not hacerealizar, if they make a cut and not me I had to send them have kept the price poetry failure and so they took 1"&amp;"0 euros more.")</f>
        <v>Half!! Shoes well what I asked, but I asked a second time and cost me 10 euros more than the first and think they took me pelo.Eso can not hacerealizar, if they make a cut and not me I had to send them have kept the price poetry failure and so they took 10 euros more.</v>
      </c>
    </row>
    <row r="5046">
      <c r="A5046" s="1">
        <v>2.0</v>
      </c>
      <c r="B5046" s="1" t="s">
        <v>5016</v>
      </c>
      <c r="C5046" t="str">
        <f>IFERROR(__xludf.DUMMYFUNCTION("GOOGLETRANSLATE(B5046, ""es"", ""en"")"),"I did not like had never bought anything not essential oils but buying a humidifier buy these. If all are not the same but have almost no aroma. Even in the concentrate bottle smell something but adding water drops to just smell and aroma quickly leaves. "&amp;"I do not buy them again")</f>
        <v>I did not like had never bought anything not essential oils but buying a humidifier buy these. If all are not the same but have almost no aroma. Even in the concentrate bottle smell something but adding water drops to just smell and aroma quickly leaves. I do not buy them again</v>
      </c>
    </row>
    <row r="5047">
      <c r="A5047" s="1">
        <v>3.0</v>
      </c>
      <c r="B5047" s="1" t="s">
        <v>5017</v>
      </c>
      <c r="C5047" t="str">
        <f>IFERROR(__xludf.DUMMYFUNCTION("GOOGLETRANSLATE(B5047, ""es"", ""en"")"),"Good for a few months were very good but I did not last long enough. I have treated like any other headphones I've had and others have lasted me years and these few months were damaged me. They sound a bit but it's still as if he were listening to the son"&amp;"gs in instrumental and I imagine that was damaged near the jack. But they were good while they lasted, they drop the pads a bit easier but more than that come with a handy and easy to store in case wherever.")</f>
        <v>Good for a few months were very good but I did not last long enough. I have treated like any other headphones I've had and others have lasted me years and these few months were damaged me. They sound a bit but it's still as if he were listening to the songs in instrumental and I imagine that was damaged near the jack. But they were good while they lasted, they drop the pads a bit easier but more than that come with a handy and easy to store in case wherever.</v>
      </c>
    </row>
    <row r="5048">
      <c r="A5048" s="1">
        <v>1.0</v>
      </c>
      <c r="B5048" s="1" t="s">
        <v>5018</v>
      </c>
      <c r="C5048" t="str">
        <f>IFERROR(__xludf.DUMMYFUNCTION("GOOGLETRANSLATE(B5048, ""es"", ""en"")"),"Lousy shoddy quality and poor quality licra 1 day depart ilos .. and give a lot size")</f>
        <v>Lousy shoddy quality and poor quality licra 1 day depart ilos .. and give a lot size</v>
      </c>
    </row>
    <row r="5049">
      <c r="A5049" s="1">
        <v>1.0</v>
      </c>
      <c r="B5049" s="1" t="s">
        <v>5019</v>
      </c>
      <c r="C5049" t="str">
        <f>IFERROR(__xludf.DUMMYFUNCTION("GOOGLETRANSLATE(B5049, ""es"", ""en"")"),"He stuffed sleazy heat moves to all sides and not distributed well all over the foot")</f>
        <v>He stuffed sleazy heat moves to all sides and not distributed well all over the foot</v>
      </c>
    </row>
    <row r="5050">
      <c r="A5050" s="1">
        <v>1.0</v>
      </c>
      <c r="B5050" s="1" t="s">
        <v>5020</v>
      </c>
      <c r="C5050" t="str">
        <f>IFERROR(__xludf.DUMMYFUNCTION("GOOGLETRANSLATE(B5050, ""es"", ""en"")"),"I do not recommend purchase very unhappy. The first day of use and the lever broke.")</f>
        <v>I do not recommend purchase very unhappy. The first day of use and the lever broke.</v>
      </c>
    </row>
    <row r="5051">
      <c r="A5051" s="1">
        <v>4.0</v>
      </c>
      <c r="B5051" s="1" t="s">
        <v>5021</v>
      </c>
      <c r="C5051" t="str">
        <f>IFERROR(__xludf.DUMMYFUNCTION("GOOGLETRANSLATE(B5051, ""es"", ""en"")"),"PLEASED Well of work time perfectly, ie when not in use has a range of charge 48 hours is within the normal operation until no delayed date nothing, and the eye is very good, I'm happy with the purchase.")</f>
        <v>PLEASED Well of work time perfectly, ie when not in use has a range of charge 48 hours is within the normal operation until no delayed date nothing, and the eye is very good, I'm happy with the purchase.</v>
      </c>
    </row>
    <row r="5052">
      <c r="A5052" s="1">
        <v>4.0</v>
      </c>
      <c r="B5052" s="1" t="s">
        <v>5022</v>
      </c>
      <c r="C5052" t="str">
        <f>IFERROR(__xludf.DUMMYFUNCTION("GOOGLETRANSLATE(B5052, ""es"", ""en"")"),"Satisfied good product that meets the description at a good price. Recommended")</f>
        <v>Satisfied good product that meets the description at a good price. Recommended</v>
      </c>
    </row>
    <row r="5053">
      <c r="A5053" s="1">
        <v>4.0</v>
      </c>
      <c r="B5053" s="1" t="s">
        <v>5023</v>
      </c>
      <c r="C5053" t="str">
        <f>IFERROR(__xludf.DUMMYFUNCTION("GOOGLETRANSLATE(B5053, ""es"", ""en"")"),"Good size quality price good quality camera handy for a couple of goals and some add-ons")</f>
        <v>Good size quality price good quality camera handy for a couple of goals and some add-ons</v>
      </c>
    </row>
    <row r="5054">
      <c r="A5054" s="1">
        <v>4.0</v>
      </c>
      <c r="B5054" s="1" t="s">
        <v>5024</v>
      </c>
      <c r="C5054" t="str">
        <f>IFERROR(__xludf.DUMMYFUNCTION("GOOGLETRANSLATE(B5054, ""es"", ""en"")"),"Ability to indirectly expand the memory of the mobile USB terminals should have more protection")</f>
        <v>Ability to indirectly expand the memory of the mobile USB terminals should have more protection</v>
      </c>
    </row>
    <row r="5055">
      <c r="A5055" s="1">
        <v>5.0</v>
      </c>
      <c r="B5055" s="1" t="s">
        <v>5025</v>
      </c>
      <c r="C5055" t="str">
        <f>IFERROR(__xludf.DUMMYFUNCTION("GOOGLETRANSLATE(B5055, ""es"", ""en"")"),"A hard disk that meets the expectations Despite the very bad packed come, the hard drive is working properly. Without being in the best western family of hard drive has a transfer rate correcta.El noise is almost zero and has been easy to install.")</f>
        <v>A hard disk that meets the expectations Despite the very bad packed come, the hard drive is working properly. Without being in the best western family of hard drive has a transfer rate correcta.El noise is almost zero and has been easy to install.</v>
      </c>
    </row>
    <row r="5056">
      <c r="A5056" s="1">
        <v>5.0</v>
      </c>
      <c r="B5056" s="1" t="s">
        <v>5026</v>
      </c>
      <c r="C5056" t="str">
        <f>IFERROR(__xludf.DUMMYFUNCTION("GOOGLETRANSLATE(B5056, ""es"", ""en"")"),"Great I like not wearing resistance in contact with water, so it is not filled with lime and herbidor is always clean. I always have about the pollete kitchen because silver color convina estupendamenete and I use it every day several times. It is quick t"&amp;"o heat water for anything and keeps water hot for quite a while")</f>
        <v>Great I like not wearing resistance in contact with water, so it is not filled with lime and herbidor is always clean. I always have about the pollete kitchen because silver color convina estupendamenete and I use it every day several times. It is quick to heat water for anything and keeps water hot for quite a while</v>
      </c>
    </row>
    <row r="5057">
      <c r="A5057" s="1">
        <v>5.0</v>
      </c>
      <c r="B5057" s="1" t="s">
        <v>5027</v>
      </c>
      <c r="C5057" t="str">
        <f>IFERROR(__xludf.DUMMYFUNCTION("GOOGLETRANSLATE(B5057, ""es"", ""en"")"),"Perfect to take my tablet 7 ""is perfect for carrying the tablet, phone, wallets, etc ... thanks to its multiple pockets. They can put shoulder perfectly and is comfortable to wear.")</f>
        <v>Perfect to take my tablet 7 "is perfect for carrying the tablet, phone, wallets, etc ... thanks to its multiple pockets. They can put shoulder perfectly and is comfortable to wear.</v>
      </c>
    </row>
    <row r="5058">
      <c r="A5058" s="1">
        <v>5.0</v>
      </c>
      <c r="B5058" s="1" t="s">
        <v>5028</v>
      </c>
      <c r="C5058" t="str">
        <f>IFERROR(__xludf.DUMMYFUNCTION("GOOGLETRANSLATE(B5058, ""es"", ""en"")"),"Served quickly. It conforms to that offered by the manufacturer")</f>
        <v>Served quickly. It conforms to that offered by the manufacturer</v>
      </c>
    </row>
    <row r="5059">
      <c r="A5059" s="1">
        <v>5.0</v>
      </c>
      <c r="B5059" s="1" t="s">
        <v>5029</v>
      </c>
      <c r="C5059" t="str">
        <f>IFERROR(__xludf.DUMMYFUNCTION("GOOGLETRANSLATE(B5059, ""es"", ""en"")"),"After perfect for any party to try a few times, we have realized why it is so successful. It works perfectly syncs with the phone and is very fun to sing in karaoke plan with him. For us, perfect!")</f>
        <v>After perfect for any party to try a few times, we have realized why it is so successful. It works perfectly syncs with the phone and is very fun to sing in karaoke plan with him. For us, perfect!</v>
      </c>
    </row>
    <row r="5060">
      <c r="A5060" s="1">
        <v>5.0</v>
      </c>
      <c r="B5060" s="1" t="s">
        <v>5030</v>
      </c>
      <c r="C5060" t="str">
        <f>IFERROR(__xludf.DUMMYFUNCTION("GOOGLETRANSLATE(B5060, ""es"", ""en"")"),"The qualities of superior quality backpack deserve the extra price, good zippers, good fabrics. The design and color are the same as the photos, fits a 15.6 "".")</f>
        <v>The qualities of superior quality backpack deserve the extra price, good zippers, good fabrics. The design and color are the same as the photos, fits a 15.6 ".</v>
      </c>
    </row>
    <row r="5061">
      <c r="A5061" s="1">
        <v>5.0</v>
      </c>
      <c r="B5061" s="1" t="s">
        <v>5031</v>
      </c>
      <c r="C5061" t="str">
        <f>IFERROR(__xludf.DUMMYFUNCTION("GOOGLETRANSLATE(B5061, ""es"", ""en"")"),"powerful. I would say too strong for such a small cup, overflows if you are going to stop. This ""default"" for me is a virtue, I use a wider and ready container.")</f>
        <v>powerful. I would say too strong for such a small cup, overflows if you are going to stop. This "default" for me is a virtue, I use a wider and ready container.</v>
      </c>
    </row>
    <row r="5062">
      <c r="A5062" s="1">
        <v>5.0</v>
      </c>
      <c r="B5062" s="1" t="s">
        <v>5032</v>
      </c>
      <c r="C5062" t="str">
        <f>IFERROR(__xludf.DUMMYFUNCTION("GOOGLETRANSLATE(B5062, ""es"", ""en"")"),"Good comfortable since I bought, I use more than 8 hours daily, and as if nothing. They hear perfectly, have enough volume for those who like to feel the music, and as I say, not noticeable at all you're wearing. Another thing pretty good to see is that t"&amp;"he cable is as twisted but with a cover, which makes it more difficult that it can break or bend and stop working one.")</f>
        <v>Good comfortable since I bought, I use more than 8 hours daily, and as if nothing. They hear perfectly, have enough volume for those who like to feel the music, and as I say, not noticeable at all you're wearing. Another thing pretty good to see is that the cable is as twisted but with a cover, which makes it more difficult that it can break or bend and stop working one.</v>
      </c>
    </row>
    <row r="5063">
      <c r="A5063" s="1">
        <v>5.0</v>
      </c>
      <c r="B5063" s="1" t="s">
        <v>5033</v>
      </c>
      <c r="C5063" t="str">
        <f>IFERROR(__xludf.DUMMYFUNCTION("GOOGLETRANSLATE(B5063, ""es"", ""en"")"),"Quality unbeatable price. They are really comfortable and the sound quality is amazing. Isolates you from everything and you stay immersed in what you hear. They are beautifully presented with charging base, which avoids problems of where cables etc. In a"&amp;"ddition, if we had an emergency, also it serves to charge the phone. The battery lasts quite. I recommend these headphones to everyone, because in very few value liken him.")</f>
        <v>Quality unbeatable price. They are really comfortable and the sound quality is amazing. Isolates you from everything and you stay immersed in what you hear. They are beautifully presented with charging base, which avoids problems of where cables etc. In addition, if we had an emergency, also it serves to charge the phone. The battery lasts quite. I recommend these headphones to everyone, because in very few value liken him.</v>
      </c>
    </row>
    <row r="5064">
      <c r="A5064" s="1">
        <v>5.0</v>
      </c>
      <c r="B5064" s="1" t="s">
        <v>5034</v>
      </c>
      <c r="C5064" t="str">
        <f>IFERROR(__xludf.DUMMYFUNCTION("GOOGLETRANSLATE(B5064, ""es"", ""en"")"),"I recommend using it after a long time I can say that going extremely well at the beginning hurts a little but when you wake up ufff is a stress relief that I suffer from cervical, I can say is super good")</f>
        <v>I recommend using it after a long time I can say that going extremely well at the beginning hurts a little but when you wake up ufff is a stress relief that I suffer from cervical, I can say is super good</v>
      </c>
    </row>
    <row r="5065">
      <c r="A5065" s="1">
        <v>5.0</v>
      </c>
      <c r="B5065" s="1" t="s">
        <v>5035</v>
      </c>
      <c r="C5065" t="str">
        <f>IFERROR(__xludf.DUMMYFUNCTION("GOOGLETRANSLATE(B5065, ""es"", ""en"")"),"For a set size M 40 M size is fine, but tight, so if you prefer to stay looser the best garment L. Otherwise a shirt super cool, thin cotton fabric for spring. perfect delivery, the day indicated.")</f>
        <v>For a set size M 40 M size is fine, but tight, so if you prefer to stay looser the best garment L. Otherwise a shirt super cool, thin cotton fabric for spring. perfect delivery, the day indicated.</v>
      </c>
    </row>
    <row r="5066">
      <c r="A5066" s="1">
        <v>5.0</v>
      </c>
      <c r="B5066" s="1" t="s">
        <v>5036</v>
      </c>
      <c r="C5066" t="str">
        <f>IFERROR(__xludf.DUMMYFUNCTION("GOOGLETRANSLATE(B5066, ""es"", ""en"")"),"Value Relationship comfort best sports shoes after the Babolat, I've had, I use them for the gym and are perfect. The sole material is adaptable to the heel and provides great comfort.")</f>
        <v>Value Relationship comfort best sports shoes after the Babolat, I've had, I use them for the gym and are perfect. The sole material is adaptable to the heel and provides great comfort.</v>
      </c>
    </row>
    <row r="5067">
      <c r="A5067" s="1">
        <v>5.0</v>
      </c>
      <c r="B5067" s="1" t="s">
        <v>5037</v>
      </c>
      <c r="C5067" t="str">
        <f>IFERROR(__xludf.DUMMYFUNCTION("GOOGLETRANSLATE(B5067, ""es"", ""en"")"),"good comfort are running")</f>
        <v>good comfort are running</v>
      </c>
    </row>
    <row r="5068">
      <c r="A5068" s="1">
        <v>5.0</v>
      </c>
      <c r="B5068" s="1" t="s">
        <v>5038</v>
      </c>
      <c r="C5068" t="str">
        <f>IFERROR(__xludf.DUMMYFUNCTION("GOOGLETRANSLATE(B5068, ""es"", ""en"")"),"Light and warm. I love how light it is and what shelters. It is very comfortable size ... well, a bit small but like other brands.")</f>
        <v>Light and warm. I love how light it is and what shelters. It is very comfortable size ... well, a bit small but like other brands.</v>
      </c>
    </row>
    <row r="5069">
      <c r="A5069" s="1">
        <v>5.0</v>
      </c>
      <c r="B5069" s="1" t="s">
        <v>5039</v>
      </c>
      <c r="C5069" t="str">
        <f>IFERROR(__xludf.DUMMYFUNCTION("GOOGLETRANSLATE(B5069, ""es"", ""en"")"),"Such good quality which she says. Adidas clothing Total Quality")</f>
        <v>Such good quality which she says. Adidas clothing Total Quality</v>
      </c>
    </row>
    <row r="5070">
      <c r="A5070" s="1">
        <v>5.0</v>
      </c>
      <c r="B5070" s="1" t="s">
        <v>5040</v>
      </c>
      <c r="C5070" t="str">
        <f>IFERROR(__xludf.DUMMYFUNCTION("GOOGLETRANSLATE(B5070, ""es"", ""en"")"),"quality and design nice and good bien.Para calidad.Sienta very cold and the ideal rain")</f>
        <v>quality and design nice and good bien.Para calidad.Sienta very cold and the ideal rain</v>
      </c>
    </row>
    <row r="5071">
      <c r="A5071" s="1">
        <v>5.0</v>
      </c>
      <c r="B5071" s="1" t="s">
        <v>5041</v>
      </c>
      <c r="C5071" t="str">
        <f>IFERROR(__xludf.DUMMYFUNCTION("GOOGLETRANSLATE(B5071, ""es"", ""en"")"),"Elegant collection of 6 fragrances or essential oils. In principle I have no opinion on not having used it yet, but it comes very well packaged and with its box perfectly intact YLS 6 oils: cherry, gardenia, jasmine, rose, white tea and one I do not know "&amp;"now what aroma. I mean the phial called Ylang yYlang.")</f>
        <v>Elegant collection of 6 fragrances or essential oils. In principle I have no opinion on not having used it yet, but it comes very well packaged and with its box perfectly intact YLS 6 oils: cherry, gardenia, jasmine, rose, white tea and one I do not know now what aroma. I mean the phial called Ylang yYlang.</v>
      </c>
    </row>
    <row r="5072">
      <c r="A5072" s="1">
        <v>5.0</v>
      </c>
      <c r="B5072" s="1" t="s">
        <v>5042</v>
      </c>
      <c r="C5072" t="str">
        <f>IFERROR(__xludf.DUMMYFUNCTION("GOOGLETRANSLATE(B5072, ""es"", ""en"")"),"Mop all right")</f>
        <v>Mop all right</v>
      </c>
    </row>
    <row r="5073">
      <c r="A5073" s="1">
        <v>5.0</v>
      </c>
      <c r="B5073" s="1" t="s">
        <v>5043</v>
      </c>
      <c r="C5073" t="str">
        <f>IFERROR(__xludf.DUMMYFUNCTION("GOOGLETRANSLATE(B5073, ""es"", ""en"")"),"Very good buy carvings Panama Jack this year are somewhat larger than usual. Normally I have 44 but I asked for a 43 and is perfect.")</f>
        <v>Very good buy carvings Panama Jack this year are somewhat larger than usual. Normally I have 44 but I asked for a 43 and is perfect.</v>
      </c>
    </row>
    <row r="5074">
      <c r="A5074" s="1">
        <v>2.0</v>
      </c>
      <c r="B5074" s="1" t="s">
        <v>5044</v>
      </c>
      <c r="C5074" t="str">
        <f>IFERROR(__xludf.DUMMYFUNCTION("GOOGLETRANSLATE(B5074, ""es"", ""en"")"),"The title does not match. All good. Good price. But on the cover puts MY ADVENTURE WITH YOU, rather than what you put into your photos. I find a way to cheat.")</f>
        <v>The title does not match. All good. Good price. But on the cover puts MY ADVENTURE WITH YOU, rather than what you put into your photos. I find a way to cheat.</v>
      </c>
    </row>
    <row r="5075">
      <c r="A5075" s="1">
        <v>3.0</v>
      </c>
      <c r="B5075" s="1" t="s">
        <v>5045</v>
      </c>
      <c r="C5075" t="str">
        <f>IFERROR(__xludf.DUMMYFUNCTION("GOOGLETRANSLATE(B5075, ""es"", ""en"")"),"More or less ..... Not bad? But I do not just convinced, I do not see good results, maybe other people feel better. I guess it depending on skin type.")</f>
        <v>More or less ..... Not bad? But I do not just convinced, I do not see good results, maybe other people feel better. I guess it depending on skin type.</v>
      </c>
    </row>
    <row r="5076">
      <c r="A5076" s="1">
        <v>3.0</v>
      </c>
      <c r="B5076" s="1" t="s">
        <v>5046</v>
      </c>
      <c r="C5076" t="str">
        <f>IFERROR(__xludf.DUMMYFUNCTION("GOOGLETRANSLATE(B5076, ""es"", ""en"")"),"Handles low contrast numbers that identify the hours are enough grades and perform their function very well when light is scarce. The handles should be more contratastadas, low cost light work see the time.")</f>
        <v>Handles low contrast numbers that identify the hours are enough grades and perform their function very well when light is scarce. The handles should be more contratastadas, low cost light work see the time.</v>
      </c>
    </row>
    <row r="5077">
      <c r="A5077" s="1">
        <v>3.0</v>
      </c>
      <c r="B5077" s="1" t="s">
        <v>5047</v>
      </c>
      <c r="C5077" t="str">
        <f>IFERROR(__xludf.DUMMYFUNCTION("GOOGLETRANSLATE(B5077, ""es"", ""en"")"),"They are good only thing is that using the flange back bends and can disturb")</f>
        <v>They are good only thing is that using the flange back bends and can disturb</v>
      </c>
    </row>
    <row r="5078">
      <c r="A5078" s="1">
        <v>1.0</v>
      </c>
      <c r="B5078" s="1" t="s">
        <v>5048</v>
      </c>
      <c r="C5078" t="str">
        <f>IFERROR(__xludf.DUMMYFUNCTION("GOOGLETRANSLATE(B5078, ""es"", ""en"")"),"I expected more to be a microphone RODE The quality of the support is lousy. Is weak, audio from the microphone have not tried it but to be an expensive microphone I expected more. It looks like a Chinese microphone 20 euros but marked ""RODE"".")</f>
        <v>I expected more to be a microphone RODE The quality of the support is lousy. Is weak, audio from the microphone have not tried it but to be an expensive microphone I expected more. It looks like a Chinese microphone 20 euros but marked "RODE".</v>
      </c>
    </row>
    <row r="5079">
      <c r="A5079" s="1">
        <v>1.0</v>
      </c>
      <c r="B5079" s="1" t="s">
        <v>5049</v>
      </c>
      <c r="C5079" t="str">
        <f>IFERROR(__xludf.DUMMYFUNCTION("GOOGLETRANSLATE(B5079, ""es"", ""en"")"),"I have no words is papelina and super small. I use a L size XL and is hardly closed. I will not buy more.")</f>
        <v>I have no words is papelina and super small. I use a L size XL and is hardly closed. I will not buy more.</v>
      </c>
    </row>
    <row r="5080">
      <c r="A5080" s="1">
        <v>4.0</v>
      </c>
      <c r="B5080" s="1" t="s">
        <v>5050</v>
      </c>
      <c r="C5080" t="str">
        <f>IFERROR(__xludf.DUMMYFUNCTION("GOOGLETRANSLATE(B5080, ""es"", ""en"")"),"Good value for money. For now it works pretty well, although I have no time with him. It does not have as much power as a vacuum cleaner with cable, but makes it very comfortable cleaning the floor for the day. For most deep cleanings or when to suck grit"&amp;" necessary to resort to another more powerful. but it is very comfortable and ultimately is what it is and for that price you could not ask for more. Cable aspirators give more laziness.")</f>
        <v>Good value for money. For now it works pretty well, although I have no time with him. It does not have as much power as a vacuum cleaner with cable, but makes it very comfortable cleaning the floor for the day. For most deep cleanings or when to suck grit necessary to resort to another more powerful. but it is very comfortable and ultimately is what it is and for that price you could not ask for more. Cable aspirators give more laziness.</v>
      </c>
    </row>
    <row r="5081">
      <c r="A5081" s="1">
        <v>4.0</v>
      </c>
      <c r="B5081" s="1" t="s">
        <v>5051</v>
      </c>
      <c r="C5081" t="str">
        <f>IFERROR(__xludf.DUMMYFUNCTION("GOOGLETRANSLATE(B5081, ""es"", ""en"")"),"Okay, but dazzles is fine, but expected something bigger. For now it works perfectly")</f>
        <v>Okay, but dazzles is fine, but expected something bigger. For now it works perfectly</v>
      </c>
    </row>
    <row r="5082">
      <c r="A5082" s="1">
        <v>4.0</v>
      </c>
      <c r="B5082" s="1" t="s">
        <v>5052</v>
      </c>
      <c r="C5082" t="str">
        <f>IFERROR(__xludf.DUMMYFUNCTION("GOOGLETRANSLATE(B5082, ""es"", ""en"")"),"Very good buy Highly recommended for rainy environments. And moreover not easy to transport. The hat covers the head and works perfectly windbreaks too. I do not pay 5 * because the pockets are open, they could close them. Size equivalent to yours. 38 and"&amp;" asked use S-M above.")</f>
        <v>Very good buy Highly recommended for rainy environments. And moreover not easy to transport. The hat covers the head and works perfectly windbreaks too. I do not pay 5 * because the pockets are open, they could close them. Size equivalent to yours. 38 and asked use S-M above.</v>
      </c>
    </row>
    <row r="5083">
      <c r="A5083" s="1">
        <v>4.0</v>
      </c>
      <c r="B5083" s="1" t="s">
        <v>5053</v>
      </c>
      <c r="C5083" t="str">
        <f>IFERROR(__xludf.DUMMYFUNCTION("GOOGLETRANSLATE(B5083, ""es"", ""en"")"),"G. J. Money, exceptional. Regular belt, for the total price of the clock is correct. At night, only the hands are. Totally recommended for the price you have.")</f>
        <v>G. J. Money, exceptional. Regular belt, for the total price of the clock is correct. At night, only the hands are. Totally recommended for the price you have.</v>
      </c>
    </row>
    <row r="5084">
      <c r="A5084" s="1">
        <v>4.0</v>
      </c>
      <c r="B5084" s="1" t="s">
        <v>5054</v>
      </c>
      <c r="C5084" t="str">
        <f>IFERROR(__xludf.DUMMYFUNCTION("GOOGLETRANSLATE(B5084, ""es"", ""en"")"),"Ok ordered a 44 q q usually use what brought them and they were big contact the seller and in less than a week and had other d a size less so q everything ok")</f>
        <v>Ok ordered a 44 q q usually use what brought them and they were big contact the seller and in less than a week and had other d a size less so q everything ok</v>
      </c>
    </row>
    <row r="5085">
      <c r="A5085" s="1">
        <v>5.0</v>
      </c>
      <c r="B5085" s="1" t="s">
        <v>5055</v>
      </c>
      <c r="C5085" t="str">
        <f>IFERROR(__xludf.DUMMYFUNCTION("GOOGLETRANSLATE(B5085, ""es"", ""en"")"),"Comfortable and good material At first he planned to return them, as was written that were a woman, that worthless for any gender, as well as comfortable the picked Velcro, because I have the instep of the right high and thus can regulate foot, I'm deligh"&amp;"ted and I can only recommend them.")</f>
        <v>Comfortable and good material At first he planned to return them, as was written that were a woman, that worthless for any gender, as well as comfortable the picked Velcro, because I have the instep of the right high and thus can regulate foot, I'm delighted and I can only recommend them.</v>
      </c>
    </row>
    <row r="5086">
      <c r="A5086" s="1">
        <v>5.0</v>
      </c>
      <c r="B5086" s="1" t="s">
        <v>5056</v>
      </c>
      <c r="C5086" t="str">
        <f>IFERROR(__xludf.DUMMYFUNCTION("GOOGLETRANSLATE(B5086, ""es"", ""en"")"),"Perfect to clean the inside of bottles I use to remove lime glass bottles a little &amp; nbsp; &lt;a data-hook = ""product-link-linked"" class = ""to-link-normal"" href = ""/ Fairy ? Original-Dishwasher-a-mano-2-5-l / dp / B00PJTHUMI / ref = ie = UTF8 cm_cr_arp_"&amp;"d_rvw_txt ""&gt; Fairy - Original - hand dishwashing - 2.5 l &lt;/a&gt; &amp; nbsp; and &lt;a data-hook = ""product-link-linked"" class = ""a-link-normal"" href = ""/ Viakal-limescale-Gel-cleaner-limescale-750-ml / dp / B00XJSZQRC / ref = cm_cr_arp_d_rvw_txt? ie = UTF8"""&amp;"&gt; Viakal limescale - cleansing gel descaling, 750 ml &lt;/a&gt; &amp; nbsp ;, stays as new and of the water tank of the coffee maker &amp; nbsp; &lt;a data-hook = ""product-link-linked"" class = ""to-link-normal"" href = ""/ Bosch TASSIMO-Vivy-TAS1252-Coffee-multibebidas-"&amp;"automatic-de-capsule-design-compact-color-black / dp / B00MOADPQ0 / ref = cm_cr_arp_d_rvw_txt ie = UTF8?""&gt; Bosch TASSIMO Vivy TAS1252 - Coffee multibebidas automatic capsule, compact design, black color &lt;/a&gt; Highly recommended")</f>
        <v>Perfect to clean the inside of bottles I use to remove lime glass bottles a little &amp; nbsp; &lt;a data-hook = "product-link-linked" class = "to-link-normal" href = "/ Fairy ? Original-Dishwasher-a-mano-2-5-l / dp / B00PJTHUMI / ref = ie = UTF8 cm_cr_arp_d_rvw_txt "&gt; Fairy - Original - hand dishwashing - 2.5 l &lt;/a&gt; &amp; nbsp; and &lt;a data-hook = "product-link-linked" class = "a-link-normal" href = "/ Viakal-limescale-Gel-cleaner-limescale-750-ml / dp / B00XJSZQRC / ref = cm_cr_arp_d_rvw_txt? ie = UTF8"&gt; Viakal limescale - cleansing gel descaling, 750 ml &lt;/a&gt; &amp; nbsp ;, stays as new and of the water tank of the coffee maker &amp; nbsp; &lt;a data-hook = "product-link-linked" class = "to-link-normal" href = "/ Bosch TASSIMO-Vivy-TAS1252-Coffee-multibebidas-automatic-de-capsule-design-compact-color-black / dp / B00MOADPQ0 / ref = cm_cr_arp_d_rvw_txt ie = UTF8?"&gt; Bosch TASSIMO Vivy TAS1252 - Coffee multibebidas automatic capsule, compact design, black color &lt;/a&gt; Highly recommended</v>
      </c>
    </row>
    <row r="5087">
      <c r="A5087" s="1">
        <v>5.0</v>
      </c>
      <c r="B5087" s="1" t="s">
        <v>5057</v>
      </c>
      <c r="C5087" t="str">
        <f>IFERROR(__xludf.DUMMYFUNCTION("GOOGLETRANSLATE(B5087, ""es"", ""en"")"),"Highly recommended is very simple to use, has a good price and also his style is beautiful. I use it every day and for me this great!")</f>
        <v>Highly recommended is very simple to use, has a good price and also his style is beautiful. I use it every day and for me this great!</v>
      </c>
    </row>
    <row r="5088">
      <c r="A5088" s="1">
        <v>5.0</v>
      </c>
      <c r="B5088" s="1" t="s">
        <v>5058</v>
      </c>
      <c r="C5088" t="str">
        <f>IFERROR(__xludf.DUMMYFUNCTION("GOOGLETRANSLATE(B5088, ""es"", ""en"")"),"Supersilencioso The truth is that after using it several weeks is amazing, very easy to clean and very quiet, nothing to do with the other he had. Logicamente noise is not zero, but if that does not bother at all to making juices, can be made in the middl"&amp;"e of the night did not wake the family ... :-) Highly recommended.")</f>
        <v>Supersilencioso The truth is that after using it several weeks is amazing, very easy to clean and very quiet, nothing to do with the other he had. Logicamente noise is not zero, but if that does not bother at all to making juices, can be made in the middle of the night did not wake the family ... :-) Highly recommended.</v>
      </c>
    </row>
    <row r="5089">
      <c r="A5089" s="1">
        <v>5.0</v>
      </c>
      <c r="B5089" s="1" t="s">
        <v>5059</v>
      </c>
      <c r="C5089" t="str">
        <f>IFERROR(__xludf.DUMMYFUNCTION("GOOGLETRANSLATE(B5089, ""es"", ""en"")"),"The quality. The product so far works perfectly and is very easy to handle. It also has an instruction book in Spanish very explanatory.")</f>
        <v>The quality. The product so far works perfectly and is very easy to handle. It also has an instruction book in Spanish very explanatory.</v>
      </c>
    </row>
    <row r="5090">
      <c r="A5090" s="1">
        <v>5.0</v>
      </c>
      <c r="B5090" s="1" t="s">
        <v>5060</v>
      </c>
      <c r="C5090" t="str">
        <f>IFERROR(__xludf.DUMMYFUNCTION("GOOGLETRANSLATE(B5090, ""es"", ""en"")"),"great works very well, it is correct and well packaged and with its leatherette gives estilazo to the pack, on the other hand does not work as micro to record the audio of the videos of the phone, is not if you have to do something in the configuration of"&amp;" the mobile, I'll try to see if it resolves but I will have to return")</f>
        <v>great works very well, it is correct and well packaged and with its leatherette gives estilazo to the pack, on the other hand does not work as micro to record the audio of the videos of the phone, is not if you have to do something in the configuration of the mobile, I'll try to see if it resolves but I will have to return</v>
      </c>
    </row>
    <row r="5091">
      <c r="A5091" s="1">
        <v>5.0</v>
      </c>
      <c r="B5091" s="1" t="s">
        <v>5061</v>
      </c>
      <c r="C5091" t="str">
        <f>IFERROR(__xludf.DUMMYFUNCTION("GOOGLETRANSLATE(B5091, ""es"", ""en"")"),"Good power mixer comprehensive as it brings a series of interchangeable extras, his arm, a glass, a picador, a whisks and even a stand to install in your kitchen and let your blender supported and always have it on hand. I'm very happy with his power. I h"&amp;"ope it lasts long. He sent perfect and trustworthy seller")</f>
        <v>Good power mixer comprehensive as it brings a series of interchangeable extras, his arm, a glass, a picador, a whisks and even a stand to install in your kitchen and let your blender supported and always have it on hand. I'm very happy with his power. I hope it lasts long. He sent perfect and trustworthy seller</v>
      </c>
    </row>
    <row r="5092">
      <c r="A5092" s="1">
        <v>5.0</v>
      </c>
      <c r="B5092" s="1" t="s">
        <v>5062</v>
      </c>
      <c r="C5092" t="str">
        <f>IFERROR(__xludf.DUMMYFUNCTION("GOOGLETRANSLATE(B5092, ""es"", ""en"")"),"PENDING The received within the period indicated me, but the wait was rather long. What is more I like its original design and price. The only time I put a couple of times, so they're as cute as when received. I recommend it.")</f>
        <v>PENDING The received within the period indicated me, but the wait was rather long. What is more I like its original design and price. The only time I put a couple of times, so they're as cute as when received. I recommend it.</v>
      </c>
    </row>
    <row r="5093">
      <c r="A5093" s="1">
        <v>5.0</v>
      </c>
      <c r="B5093" s="1" t="s">
        <v>5063</v>
      </c>
      <c r="C5093" t="str">
        <f>IFERROR(__xludf.DUMMYFUNCTION("GOOGLETRANSLATE(B5093, ""es"", ""en"")"),"Very useful for work comfortable and stylish, I needed to go to work. Happy shopping, wishing to last me a long time.")</f>
        <v>Very useful for work comfortable and stylish, I needed to go to work. Happy shopping, wishing to last me a long time.</v>
      </c>
    </row>
    <row r="5094">
      <c r="A5094" s="1">
        <v>5.0</v>
      </c>
      <c r="B5094" s="1" t="s">
        <v>5064</v>
      </c>
      <c r="C5094" t="str">
        <f>IFERROR(__xludf.DUMMYFUNCTION("GOOGLETRANSLATE(B5094, ""es"", ""en"")"),"A rich ZUMOS the beginning to smell, as you use it disappears, easy to clean, it is very easily removed. It has enough strength and no overheats")</f>
        <v>A rich ZUMOS the beginning to smell, as you use it disappears, easy to clean, it is very easily removed. It has enough strength and no overheats</v>
      </c>
    </row>
    <row r="5095">
      <c r="A5095" s="1">
        <v>5.0</v>
      </c>
      <c r="B5095" s="1" t="s">
        <v>5065</v>
      </c>
      <c r="C5095" t="str">
        <f>IFERROR(__xludf.DUMMYFUNCTION("GOOGLETRANSLATE(B5095, ""es"", ""en"")"),"Fantastic kettle is a powerful, fast and very good quality")</f>
        <v>Fantastic kettle is a powerful, fast and very good quality</v>
      </c>
    </row>
    <row r="5096">
      <c r="A5096" s="1">
        <v>5.0</v>
      </c>
      <c r="B5096" s="1" t="s">
        <v>5066</v>
      </c>
      <c r="C5096" t="str">
        <f>IFERROR(__xludf.DUMMYFUNCTION("GOOGLETRANSLATE(B5096, ""es"", ""en"")"),"Excellent. Without a but. I work perfect, I can not say anything bad about them. Compared to other have the best value I could find. Buy recommended.")</f>
        <v>Excellent. Without a but. I work perfect, I can not say anything bad about them. Compared to other have the best value I could find. Buy recommended.</v>
      </c>
    </row>
    <row r="5097">
      <c r="A5097" s="1">
        <v>5.0</v>
      </c>
      <c r="B5097" s="1" t="s">
        <v>5067</v>
      </c>
      <c r="C5097" t="str">
        <f>IFERROR(__xludf.DUMMYFUNCTION("GOOGLETRANSLATE(B5097, ""es"", ""en"")"),"J.A. domene very convenient and comfortable to wear recommend is spacious and above all for the price is quite affordable any more.")</f>
        <v>J.A. domene very convenient and comfortable to wear recommend is spacious and above all for the price is quite affordable any more.</v>
      </c>
    </row>
    <row r="5098">
      <c r="A5098" s="1">
        <v>5.0</v>
      </c>
      <c r="B5098" s="1" t="s">
        <v>5068</v>
      </c>
      <c r="C5098" t="str">
        <f>IFERROR(__xludf.DUMMYFUNCTION("GOOGLETRANSLATE(B5098, ""es"", ""en"")"),"The recommended purchase works great product, connects very fast, as you take it out of the box is ready to connect. I've used on trips of more than two hours nonstop without battery problems or interruptions. The audio quality is very good, they are not "&amp;"a professional headphones but for the price they fall short of good. No electrical noise or echoes, overall a very good buy. Would buy")</f>
        <v>The recommended purchase works great product, connects very fast, as you take it out of the box is ready to connect. I've used on trips of more than two hours nonstop without battery problems or interruptions. The audio quality is very good, they are not a professional headphones but for the price they fall short of good. No electrical noise or echoes, overall a very good buy. Would buy</v>
      </c>
    </row>
    <row r="5099">
      <c r="A5099" s="1">
        <v>5.0</v>
      </c>
      <c r="B5099" s="1" t="s">
        <v>5069</v>
      </c>
      <c r="C5099" t="str">
        <f>IFERROR(__xludf.DUMMYFUNCTION("GOOGLETRANSLATE(B5099, ""es"", ""en"")"),"Contenta chock 36 and a half and I still just 37. If you have between 37 and 38 better ask 38. Otherwise perfect all")</f>
        <v>Contenta chock 36 and a half and I still just 37. If you have between 37 and 38 better ask 38. Otherwise perfect all</v>
      </c>
    </row>
    <row r="5100">
      <c r="A5100" s="1">
        <v>5.0</v>
      </c>
      <c r="B5100" s="1" t="s">
        <v>5070</v>
      </c>
      <c r="C5100" t="str">
        <f>IFERROR(__xludf.DUMMYFUNCTION("GOOGLETRANSLATE(B5100, ""es"", ""en"")"),"Good quality service")</f>
        <v>Good quality service</v>
      </c>
    </row>
    <row r="5101">
      <c r="A5101" s="1">
        <v>5.0</v>
      </c>
      <c r="B5101" s="1" t="s">
        <v>5071</v>
      </c>
      <c r="C5101" t="str">
        <f>IFERROR(__xludf.DUMMYFUNCTION("GOOGLETRANSLATE(B5101, ""es"", ""en"")"),"Best Van fine but difficult to clean")</f>
        <v>Best Van fine but difficult to clean</v>
      </c>
    </row>
    <row r="5102">
      <c r="A5102" s="1">
        <v>5.0</v>
      </c>
      <c r="B5102" s="1" t="s">
        <v>5072</v>
      </c>
      <c r="C5102" t="str">
        <f>IFERROR(__xludf.DUMMYFUNCTION("GOOGLETRANSLATE(B5102, ""es"", ""en"")"),"christmas Gift")</f>
        <v>christmas Gift</v>
      </c>
    </row>
    <row r="5103">
      <c r="A5103" s="1">
        <v>5.0</v>
      </c>
      <c r="B5103" s="1" t="s">
        <v>5073</v>
      </c>
      <c r="C5103" t="str">
        <f>IFERROR(__xludf.DUMMYFUNCTION("GOOGLETRANSLATE(B5103, ""es"", ""en"")"),"I recommend very effective and rapid improvement in a man of 90 years within limits due to wear of the joint")</f>
        <v>I recommend very effective and rapid improvement in a man of 90 years within limits due to wear of the joint</v>
      </c>
    </row>
    <row r="5104">
      <c r="A5104" s="1">
        <v>2.0</v>
      </c>
      <c r="B5104" s="1" t="s">
        <v>5074</v>
      </c>
      <c r="C5104" t="str">
        <f>IFERROR(__xludf.DUMMYFUNCTION("GOOGLETRANSLATE(B5104, ""es"", ""en"")"),"with more quality is broken and being maintained. All new and already cut out a particularly malisima")</f>
        <v>with more quality is broken and being maintained. All new and already cut out a particularly malisima</v>
      </c>
    </row>
    <row r="5105">
      <c r="A5105" s="1">
        <v>3.0</v>
      </c>
      <c r="B5105" s="1" t="s">
        <v>5075</v>
      </c>
      <c r="C5105" t="str">
        <f>IFERROR(__xludf.DUMMYFUNCTION("GOOGLETRANSLATE(B5105, ""es"", ""en"")"),"Nice, but very nice and pleasant stamping fabric wide waist Leggins, but the waist is too wide and you go down.")</f>
        <v>Nice, but very nice and pleasant stamping fabric wide waist Leggins, but the waist is too wide and you go down.</v>
      </c>
    </row>
    <row r="5106">
      <c r="A5106" s="1">
        <v>1.0</v>
      </c>
      <c r="B5106" s="1" t="s">
        <v>5076</v>
      </c>
      <c r="C5106" t="str">
        <f>IFERROR(__xludf.DUMMYFUNCTION("GOOGLETRANSLATE(B5106, ""es"", ""en"")"),"bodrio clock already for that price you can not ask pears to the elm, but say it is a robust clock is saying a lot for a watch that is all plastic. It gives the pego in sight, but the slightest movement, the battery is out of place and stops. In short, a "&amp;"clock that is as much for the kids to play, and hopefully take about 5 minutes. It is a complete hoax")</f>
        <v>bodrio clock already for that price you can not ask pears to the elm, but say it is a robust clock is saying a lot for a watch that is all plastic. It gives the pego in sight, but the slightest movement, the battery is out of place and stops. In short, a clock that is as much for the kids to play, and hopefully take about 5 minutes. It is a complete hoax</v>
      </c>
    </row>
    <row r="5107">
      <c r="A5107" s="1">
        <v>1.0</v>
      </c>
      <c r="B5107" s="1" t="s">
        <v>5077</v>
      </c>
      <c r="C5107" t="str">
        <f>IFERROR(__xludf.DUMMYFUNCTION("GOOGLETRANSLATE(B5107, ""es"", ""en"")"),"I lasted less than 2 months. I received it on 1 August and yesterday, September 24 was the union was from where the ribbon for hanging. 2 months has lasted. It is somewhat small, but adequate.")</f>
        <v>I lasted less than 2 months. I received it on 1 August and yesterday, September 24 was the union was from where the ribbon for hanging. 2 months has lasted. It is somewhat small, but adequate.</v>
      </c>
    </row>
    <row r="5108">
      <c r="A5108" s="1">
        <v>4.0</v>
      </c>
      <c r="B5108" s="1" t="s">
        <v>5078</v>
      </c>
      <c r="C5108" t="str">
        <f>IFERROR(__xludf.DUMMYFUNCTION("GOOGLETRANSLATE(B5108, ""es"", ""en"")"),"Fulfills its function. I have a yeti blue, and although they are compatible to the time after the support does not hold the weight of the micro, then the base that holds everything starts to get loose but slowly. Fulfills its function.")</f>
        <v>Fulfills its function. I have a yeti blue, and although they are compatible to the time after the support does not hold the weight of the micro, then the base that holds everything starts to get loose but slowly. Fulfills its function.</v>
      </c>
    </row>
    <row r="5109">
      <c r="A5109" s="1">
        <v>4.0</v>
      </c>
      <c r="B5109" s="1" t="s">
        <v>5079</v>
      </c>
      <c r="C5109" t="str">
        <f>IFERROR(__xludf.DUMMYFUNCTION("GOOGLETRANSLATE(B5109, ""es"", ""en"")"),"Good cable at an affordable price. Perfectly fulfills its mission. The wire provides sufficient quality crisp sound. For the asking price, you can not ask for anything better.")</f>
        <v>Good cable at an affordable price. Perfectly fulfills its mission. The wire provides sufficient quality crisp sound. For the asking price, you can not ask for anything better.</v>
      </c>
    </row>
    <row r="5110">
      <c r="A5110" s="1">
        <v>4.0</v>
      </c>
      <c r="B5110" s="1" t="s">
        <v>5080</v>
      </c>
      <c r="C5110" t="str">
        <f>IFERROR(__xludf.DUMMYFUNCTION("GOOGLETRANSLATE(B5110, ""es"", ""en"")"),"/ Value This brand I like, being very comfortable")</f>
        <v>/ Value This brand I like, being very comfortable</v>
      </c>
    </row>
    <row r="5111">
      <c r="A5111" s="1">
        <v>4.0</v>
      </c>
      <c r="B5111" s="1" t="s">
        <v>5081</v>
      </c>
      <c r="C5111" t="str">
        <f>IFERROR(__xludf.DUMMYFUNCTION("GOOGLETRANSLATE(B5111, ""es"", ""en"")"),"comfy I arrived this morning, I've put one and not have me removed. She loved to walk home and I think they'll take good trot! They are soft and do not quickly forget you're wearing them. In addition, chest hold well and make up beautifully. I ordered a X"&amp;"L because I have a broad back (I use a 95B, but I asked for the equivalent of a 100B) Very happy with purchase.")</f>
        <v>comfy I arrived this morning, I've put one and not have me removed. She loved to walk home and I think they'll take good trot! They are soft and do not quickly forget you're wearing them. In addition, chest hold well and make up beautifully. I ordered a XL because I have a broad back (I use a 95B, but I asked for the equivalent of a 100B) Very happy with purchase.</v>
      </c>
    </row>
    <row r="5112">
      <c r="A5112" s="1">
        <v>4.0</v>
      </c>
      <c r="B5112" s="1" t="s">
        <v>5082</v>
      </c>
      <c r="C5112" t="str">
        <f>IFERROR(__xludf.DUMMYFUNCTION("GOOGLETRANSLATE(B5112, ""es"", ""en"")"),"This pretty well. I do not give five stars because funds of interior pockets unstitched the third use. Otherwise, very well, very comfortable and durable else (except as funds inside pockets). For my taste grateful if you would strap ten or fifteen cm. lo"&amp;"nger (to take cross outside the outer garment), but that can go tastes.")</f>
        <v>This pretty well. I do not give five stars because funds of interior pockets unstitched the third use. Otherwise, very well, very comfortable and durable else (except as funds inside pockets). For my taste grateful if you would strap ten or fifteen cm. longer (to take cross outside the outer garment), but that can go tastes.</v>
      </c>
    </row>
    <row r="5113">
      <c r="A5113" s="1">
        <v>5.0</v>
      </c>
      <c r="B5113" s="1" t="s">
        <v>5083</v>
      </c>
      <c r="C5113" t="str">
        <f>IFERROR(__xludf.DUMMYFUNCTION("GOOGLETRANSLATE(B5113, ""es"", ""en"")"),"So comfortable wonderful!")</f>
        <v>So comfortable wonderful!</v>
      </c>
    </row>
    <row r="5114">
      <c r="A5114" s="1">
        <v>5.0</v>
      </c>
      <c r="B5114" s="1" t="s">
        <v>5084</v>
      </c>
      <c r="C5114" t="str">
        <f>IFERROR(__xludf.DUMMYFUNCTION("GOOGLETRANSLATE(B5114, ""es"", ""en"")"),"I do not see is pretty ugly moment put")</f>
        <v>I do not see is pretty ugly moment put</v>
      </c>
    </row>
    <row r="5115">
      <c r="A5115" s="1">
        <v>5.0</v>
      </c>
      <c r="B5115" s="1" t="s">
        <v>5085</v>
      </c>
      <c r="C5115" t="str">
        <f>IFERROR(__xludf.DUMMYFUNCTION("GOOGLETRANSLATE(B5115, ""es"", ""en"")"),"Very nice for my husband loved")</f>
        <v>Very nice for my husband loved</v>
      </c>
    </row>
    <row r="5116">
      <c r="A5116" s="1">
        <v>5.0</v>
      </c>
      <c r="B5116" s="1" t="s">
        <v>5086</v>
      </c>
      <c r="C5116" t="str">
        <f>IFERROR(__xludf.DUMMYFUNCTION("GOOGLETRANSLATE(B5116, ""es"", ""en"")"),"Very good product Much more comfortable than I expected given its price, but I'm very happy with them also with the advantages of PRIME is really recommended !!")</f>
        <v>Very good product Much more comfortable than I expected given its price, but I'm very happy with them also with the advantages of PRIME is really recommended !!</v>
      </c>
    </row>
    <row r="5117">
      <c r="A5117" s="1">
        <v>5.0</v>
      </c>
      <c r="B5117" s="1" t="s">
        <v>5087</v>
      </c>
      <c r="C5117" t="str">
        <f>IFERROR(__xludf.DUMMYFUNCTION("GOOGLETRANSLATE(B5117, ""es"", ""en"")"),"Perfect, faithful to the Great photography")</f>
        <v>Perfect, faithful to the Great photography</v>
      </c>
    </row>
    <row r="5118">
      <c r="A5118" s="1">
        <v>5.0</v>
      </c>
      <c r="B5118" s="1" t="s">
        <v>5088</v>
      </c>
      <c r="C5118" t="str">
        <f>IFERROR(__xludf.DUMMYFUNCTION("GOOGLETRANSLATE(B5118, ""es"", ""en"")"),"Quality very striking and beautiful")</f>
        <v>Quality very striking and beautiful</v>
      </c>
    </row>
    <row r="5119">
      <c r="A5119" s="1">
        <v>5.0</v>
      </c>
      <c r="B5119" s="1" t="s">
        <v>5089</v>
      </c>
      <c r="C5119" t="str">
        <f>IFERROR(__xludf.DUMMYFUNCTION("GOOGLETRANSLATE(B5119, ""es"", ""en"")"),"Happy with purchase! Looks good, has a very elegant design. It can be combined with all styles. It was a good choice!")</f>
        <v>Happy with purchase! Looks good, has a very elegant design. It can be combined with all styles. It was a good choice!</v>
      </c>
    </row>
    <row r="5120">
      <c r="A5120" s="1">
        <v>5.0</v>
      </c>
      <c r="B5120" s="1" t="s">
        <v>5090</v>
      </c>
      <c r="C5120" t="str">
        <f>IFERROR(__xludf.DUMMYFUNCTION("GOOGLETRANSLATE(B5120, ""es"", ""en"")"),"Great value for money quite surprised. They sound very good for what they cost, have been operating well since I bought them and are quite comfortable. Yes, they are large compared to others I've seen. The battery lasts long enough, I do not use a lot and"&amp;" I have not yet charged")</f>
        <v>Great value for money quite surprised. They sound very good for what they cost, have been operating well since I bought them and are quite comfortable. Yes, they are large compared to others I've seen. The battery lasts long enough, I do not use a lot and I have not yet charged</v>
      </c>
    </row>
    <row r="5121">
      <c r="A5121" s="1">
        <v>5.0</v>
      </c>
      <c r="B5121" s="1" t="s">
        <v>5091</v>
      </c>
      <c r="C5121" t="str">
        <f>IFERROR(__xludf.DUMMYFUNCTION("GOOGLETRANSLATE(B5121, ""es"", ""en"")"),"FOR MY MP3 by size and speed is a pendrive ideal for filling of MP3s and take them on the radio. It is very compact and its red color makes it difficult to lose. Also when you are reading a very powerful red light it is on. The transfer rate as you can se"&amp;"e is quite acceptable and its capacity of 32 GB make it essential to fill with favorite discographies.")</f>
        <v>FOR MY MP3 by size and speed is a pendrive ideal for filling of MP3s and take them on the radio. It is very compact and its red color makes it difficult to lose. Also when you are reading a very powerful red light it is on. The transfer rate as you can see is quite acceptable and its capacity of 32 GB make it essential to fill with favorite discographies.</v>
      </c>
    </row>
    <row r="5122">
      <c r="A5122" s="1">
        <v>5.0</v>
      </c>
      <c r="B5122" s="1" t="s">
        <v>5092</v>
      </c>
      <c r="C5122" t="str">
        <f>IFERROR(__xludf.DUMMYFUNCTION("GOOGLETRANSLATE(B5122, ""es"", ""en"")"),"Very good coffee. Very good coffee. Regular flavor and creaminess can. Use coffee beans and ground. You can regulate the amount of coffee. The steam valve works perfectly. But only one. As it is cleaned every time you turn and Seba pay, pulls a lot of wat"&amp;"er, but instead, always kept clean.")</f>
        <v>Very good coffee. Very good coffee. Regular flavor and creaminess can. Use coffee beans and ground. You can regulate the amount of coffee. The steam valve works perfectly. But only one. As it is cleaned every time you turn and Seba pay, pulls a lot of water, but instead, always kept clean.</v>
      </c>
    </row>
    <row r="5123">
      <c r="A5123" s="1">
        <v>5.0</v>
      </c>
      <c r="B5123" s="1" t="s">
        <v>5093</v>
      </c>
      <c r="C5123" t="str">
        <f>IFERROR(__xludf.DUMMYFUNCTION("GOOGLETRANSLATE(B5123, ""es"", ""en"")"),"Very good not disappoint even ice bite the principle smells a bit burnt but then disappears")</f>
        <v>Very good not disappoint even ice bite the principle smells a bit burnt but then disappears</v>
      </c>
    </row>
    <row r="5124">
      <c r="A5124" s="1">
        <v>5.0</v>
      </c>
      <c r="B5124" s="1" t="s">
        <v>5094</v>
      </c>
      <c r="C5124" t="str">
        <f>IFERROR(__xludf.DUMMYFUNCTION("GOOGLETRANSLATE(B5124, ""es"", ""en"")"),"Perfect. Encanradisimo with purchase. It was a gift for a relative, and fill the photo album of her children again ... he broke the single hard drive I had and I will provide all the photos from a backup that I have the whole family . They are not as expe"&amp;"cted. It worked smoothly. 100% recommended.")</f>
        <v>Perfect. Encanradisimo with purchase. It was a gift for a relative, and fill the photo album of her children again ... he broke the single hard drive I had and I will provide all the photos from a backup that I have the whole family . They are not as expected. It worked smoothly. 100% recommended.</v>
      </c>
    </row>
    <row r="5125">
      <c r="A5125" s="1">
        <v>5.0</v>
      </c>
      <c r="B5125" s="1" t="s">
        <v>5095</v>
      </c>
      <c r="C5125" t="str">
        <f>IFERROR(__xludf.DUMMYFUNCTION("GOOGLETRANSLATE(B5125, ""es"", ""en"")"),"Comfortable and good buy space for many documents.")</f>
        <v>Comfortable and good buy space for many documents.</v>
      </c>
    </row>
    <row r="5126">
      <c r="A5126" s="1">
        <v>5.0</v>
      </c>
      <c r="B5126" s="1" t="s">
        <v>5096</v>
      </c>
      <c r="C5126" t="str">
        <f>IFERROR(__xludf.DUMMYFUNCTION("GOOGLETRANSLATE(B5126, ""es"", ""en"")"),"very good. volvere to buy I really like to play sports. volvere to buy because the price is very attractive quality. I hope they continue to sell much time because I have so many socks for a good season")</f>
        <v>very good. volvere to buy I really like to play sports. volvere to buy because the price is very attractive quality. I hope they continue to sell much time because I have so many socks for a good season</v>
      </c>
    </row>
    <row r="5127">
      <c r="A5127" s="1">
        <v>5.0</v>
      </c>
      <c r="B5127" s="1" t="s">
        <v>5097</v>
      </c>
      <c r="C5127" t="str">
        <f>IFERROR(__xludf.DUMMYFUNCTION("GOOGLETRANSLATE(B5127, ""es"", ""en"")"),"Cool I go a tad large but with a solucionadísimo template. I have 39 and even knowing that he wore big I bought the 39 because it was cheaper. My boyfriend has them and I have them made the same illusion, but platform. They are very comfortable. The premi"&amp;"ered for a trip and against all prognosis did me no harm.")</f>
        <v>Cool I go a tad large but with a solucionadísimo template. I have 39 and even knowing that he wore big I bought the 39 because it was cheaper. My boyfriend has them and I have them made the same illusion, but platform. They are very comfortable. The premiered for a trip and against all prognosis did me no harm.</v>
      </c>
    </row>
    <row r="5128">
      <c r="A5128" s="1">
        <v>5.0</v>
      </c>
      <c r="B5128" s="1" t="s">
        <v>5098</v>
      </c>
      <c r="C5128" t="str">
        <f>IFERROR(__xludf.DUMMYFUNCTION("GOOGLETRANSLATE(B5128, ""es"", ""en"")"),"Very functional is perfect, robust, good performance and good quality.")</f>
        <v>Very functional is perfect, robust, good performance and good quality.</v>
      </c>
    </row>
    <row r="5129">
      <c r="A5129" s="1">
        <v>5.0</v>
      </c>
      <c r="B5129" s="1" t="s">
        <v>5099</v>
      </c>
      <c r="C5129" t="str">
        <f>IFERROR(__xludf.DUMMYFUNCTION("GOOGLETRANSLATE(B5129, ""es"", ""en"")"),"Gorgeous shoes. Beautiful, comfy, perfect finish")</f>
        <v>Gorgeous shoes. Beautiful, comfy, perfect finish</v>
      </c>
    </row>
    <row r="5130">
      <c r="A5130" s="1">
        <v>5.0</v>
      </c>
      <c r="B5130" s="1" t="s">
        <v>5100</v>
      </c>
      <c r="C5130" t="str">
        <f>IFERROR(__xludf.DUMMYFUNCTION("GOOGLETRANSLATE(B5130, ""es"", ""en"")"),"MIDI Cable OK! It was what I wanted!")</f>
        <v>MIDI Cable OK! It was what I wanted!</v>
      </c>
    </row>
    <row r="5131">
      <c r="A5131" s="1">
        <v>5.0</v>
      </c>
      <c r="B5131" s="1" t="s">
        <v>5101</v>
      </c>
      <c r="C5131" t="str">
        <f>IFERROR(__xludf.DUMMYFUNCTION("GOOGLETRANSLATE(B5131, ""es"", ""en"")"),"Beautiful but very large Skecher")</f>
        <v>Beautiful but very large Skecher</v>
      </c>
    </row>
    <row r="5132">
      <c r="A5132" s="1">
        <v>2.0</v>
      </c>
      <c r="B5132" s="1" t="s">
        <v>5102</v>
      </c>
      <c r="C5132" t="str">
        <f>IFERROR(__xludf.DUMMYFUNCTION("GOOGLETRANSLATE(B5132, ""es"", ""en"")"),"Very loose. Loose, does not hold good weight Something p120 and fasteners are passed easily ...")</f>
        <v>Very loose. Loose, does not hold good weight Something p120 and fasteners are passed easily ...</v>
      </c>
    </row>
    <row r="5133">
      <c r="A5133" s="1">
        <v>3.0</v>
      </c>
      <c r="B5133" s="1" t="s">
        <v>5103</v>
      </c>
      <c r="C5133" t="str">
        <f>IFERROR(__xludf.DUMMYFUNCTION("GOOGLETRANSLATE(B5133, ""es"", ""en"")"),"You heard wrong. Edited 16/10/19 Reading the opinions of other buyers is possible that my unit is wrong. While receiving the audio is acceptable, the microphone is lousy. In phone calls always they hear me complain that fatal, and when you connect to your"&amp;" computer to talk on Skype or any other communication program, the same. You have to fight a bit to connect to the bluetooth, but hey, the end is connected. I regret my purchase, really. Shame. EDITED to 16/10, the unit was wrong. The service to the custo"&amp;"mer, very attentive and I have solved the problem quickly.")</f>
        <v>You heard wrong. Edited 16/10/19 Reading the opinions of other buyers is possible that my unit is wrong. While receiving the audio is acceptable, the microphone is lousy. In phone calls always they hear me complain that fatal, and when you connect to your computer to talk on Skype or any other communication program, the same. You have to fight a bit to connect to the bluetooth, but hey, the end is connected. I regret my purchase, really. Shame. EDITED to 16/10, the unit was wrong. The service to the customer, very attentive and I have solved the problem quickly.</v>
      </c>
    </row>
    <row r="5134">
      <c r="A5134" s="1">
        <v>3.0</v>
      </c>
      <c r="B5134" s="1" t="s">
        <v>5104</v>
      </c>
      <c r="C5134" t="str">
        <f>IFERROR(__xludf.DUMMYFUNCTION("GOOGLETRANSLATE(B5134, ""es"", ""en"")"),"Size Mark size 36 1/3 and 36 2/3 reached me ... just a little but are very nice.")</f>
        <v>Size Mark size 36 1/3 and 36 2/3 reached me ... just a little but are very nice.</v>
      </c>
    </row>
    <row r="5135">
      <c r="A5135" s="1">
        <v>1.0</v>
      </c>
      <c r="B5135" s="1" t="s">
        <v>5105</v>
      </c>
      <c r="C5135" t="str">
        <f>IFERROR(__xludf.DUMMYFUNCTION("GOOGLETRANSLATE(B5135, ""es"", ""en"")"),"Very bad Las bought by the comments and I have been disappointed enough. They WEIGH boots are very rigid lot and I do not recommend buying them")</f>
        <v>Very bad Las bought by the comments and I have been disappointed enough. They WEIGH boots are very rigid lot and I do not recommend buying them</v>
      </c>
    </row>
    <row r="5136">
      <c r="A5136" s="1">
        <v>1.0</v>
      </c>
      <c r="B5136" s="1" t="s">
        <v>5106</v>
      </c>
      <c r="C5136" t="str">
        <f>IFERROR(__xludf.DUMMYFUNCTION("GOOGLETRANSLATE(B5136, ""es"", ""en"")"),"Not 925 has come one month later, and the quality does not match what is offered. It is not 925 silver, has found a jeweler.")</f>
        <v>Not 925 has come one month later, and the quality does not match what is offered. It is not 925 silver, has found a jeweler.</v>
      </c>
    </row>
    <row r="5137">
      <c r="A5137" s="1">
        <v>4.0</v>
      </c>
      <c r="B5137" s="1" t="s">
        <v>5107</v>
      </c>
      <c r="C5137" t="str">
        <f>IFERROR(__xludf.DUMMYFUNCTION("GOOGLETRANSLATE(B5137, ""es"", ""en"")"),"Very fast delivery and in perfect condition. perfect shoes, very fast delivery.")</f>
        <v>Very fast delivery and in perfect condition. perfect shoes, very fast delivery.</v>
      </c>
    </row>
    <row r="5138">
      <c r="A5138" s="1">
        <v>4.0</v>
      </c>
      <c r="B5138" s="1" t="s">
        <v>5108</v>
      </c>
      <c r="C5138" t="str">
        <f>IFERROR(__xludf.DUMMYFUNCTION("GOOGLETRANSLATE(B5138, ""es"", ""en"")"),"Bookbinder meets its goal")</f>
        <v>Bookbinder meets its goal</v>
      </c>
    </row>
    <row r="5139">
      <c r="A5139" s="1">
        <v>4.0</v>
      </c>
      <c r="B5139" s="1" t="s">
        <v>5109</v>
      </c>
      <c r="C5139" t="str">
        <f>IFERROR(__xludf.DUMMYFUNCTION("GOOGLETRANSLATE(B5139, ""es"", ""en"")"),"Okay, it works correctly. It is fine, tough and staple a number of leaves.")</f>
        <v>Okay, it works correctly. It is fine, tough and staple a number of leaves.</v>
      </c>
    </row>
    <row r="5140">
      <c r="A5140" s="1">
        <v>4.0</v>
      </c>
      <c r="B5140" s="1" t="s">
        <v>5110</v>
      </c>
      <c r="C5140" t="str">
        <f>IFERROR(__xludf.DUMMYFUNCTION("GOOGLETRANSLATE(B5140, ""es"", ""en"")"),"The quality cheap but quality compared to others in the same price is much higher. Although the price is not fragile, it is resistant, function as supposed. I use it with Maschine Native Instruments and Ableton Live and works perfectly, plug &amp; amp; play. "&amp;"He came with a serial number for Ableton Live 9, which costs 80 € foi a pleasant surprise.")</f>
        <v>The quality cheap but quality compared to others in the same price is much higher. Although the price is not fragile, it is resistant, function as supposed. I use it with Maschine Native Instruments and Ableton Live and works perfectly, plug &amp; amp; play. He came with a serial number for Ableton Live 9, which costs 80 € foi a pleasant surprise.</v>
      </c>
    </row>
    <row r="5141">
      <c r="A5141" s="1">
        <v>4.0</v>
      </c>
      <c r="B5141" s="1" t="s">
        <v>5111</v>
      </c>
      <c r="C5141" t="str">
        <f>IFERROR(__xludf.DUMMYFUNCTION("GOOGLETRANSLATE(B5141, ""es"", ""en"")"),"Diferent and Original, i bé works, pel preu little thing is pot demanar")</f>
        <v>Diferent and Original, i bé works, pel preu little thing is pot demanar</v>
      </c>
    </row>
    <row r="5142">
      <c r="A5142" s="1">
        <v>5.0</v>
      </c>
      <c r="B5142" s="1" t="s">
        <v>5112</v>
      </c>
      <c r="C5142" t="str">
        <f>IFERROR(__xludf.DUMMYFUNCTION("GOOGLETRANSLATE(B5142, ""es"", ""en"")"),"Perfect for the gym I have liked these headphones are perfect for jogging or going to the gym. The box that brings to load has an LCD panel to display the battery status and that has surprised me. The battery can hold you all day everyday use. Pair it eas"&amp;"ily and matched both at once, I've had others that were more complicated to match them, and that is appreciated for clumsy people like me. A curious detail is that the box is also a powerbank 2500 mah and saved me on occasion.")</f>
        <v>Perfect for the gym I have liked these headphones are perfect for jogging or going to the gym. The box that brings to load has an LCD panel to display the battery status and that has surprised me. The battery can hold you all day everyday use. Pair it easily and matched both at once, I've had others that were more complicated to match them, and that is appreciated for clumsy people like me. A curious detail is that the box is also a powerbank 2500 mah and saved me on occasion.</v>
      </c>
    </row>
    <row r="5143">
      <c r="A5143" s="1">
        <v>5.0</v>
      </c>
      <c r="B5143" s="1" t="s">
        <v>5113</v>
      </c>
      <c r="C5143" t="str">
        <f>IFERROR(__xludf.DUMMYFUNCTION("GOOGLETRANSLATE(B5143, ""es"", ""en"")"),"Casio Casio lifetime!")</f>
        <v>Casio Casio lifetime!</v>
      </c>
    </row>
    <row r="5144">
      <c r="A5144" s="1">
        <v>5.0</v>
      </c>
      <c r="B5144" s="1" t="s">
        <v>5114</v>
      </c>
      <c r="C5144" t="str">
        <f>IFERROR(__xludf.DUMMYFUNCTION("GOOGLETRANSLATE(B5144, ""es"", ""en"")"),"Good but VERY GOOD My PC is for work and often use multiple web pages simultaneously, more Word, Publisher, XL both more grabacionnes voice and video and empiezaba to go slow. I've already bought and install¡ado this and is going well and thanks to all th"&amp;"e people who repondio my questions :)")</f>
        <v>Good but VERY GOOD My PC is for work and often use multiple web pages simultaneously, more Word, Publisher, XL both more grabacionnes voice and video and empiezaba to go slow. I've already bought and install¡ado this and is going well and thanks to all the people who repondio my questions :)</v>
      </c>
    </row>
    <row r="5145">
      <c r="A5145" s="1">
        <v>5.0</v>
      </c>
      <c r="B5145" s="1" t="s">
        <v>5115</v>
      </c>
      <c r="C5145" t="str">
        <f>IFERROR(__xludf.DUMMYFUNCTION("GOOGLETRANSLATE(B5145, ""es"", ""en"")"),"Headphones work I am very surprised with such developments in this type of devices. While others buy for my girlfriend and these are noticed more advanced and new. Pretty good sound quality. I can only say that if you're not a purist audio quality, of cou"&amp;"rse, it will sound like much, is spectacular mix between bass and treble. Are controlled by touch, to stop the music, receive call, on, off, etc very comfortable. Technology come with CVC 6.0 Noise Control and note much as you isolated from the outside, b"&amp;"eing the cleanest sound without interference from the outside. built-in microphone that brings is good and when they call batsante clean voice is heard. Other similar devices do not incorporate micro. Connectivity is very fast and intuitive and can be con"&amp;"nected to more recipients and mobile, pc, etc. They adapt very well to the ear and held securely, even if you move a lot, so I use them a lot and are great for deporte¡ be recharged within its box, which also has loads to recharge about 3 times and that i"&amp;"s very comfortable. I liked its design and how they look in the ear and can recommend them to 100 x100. Normally I use to work for its good quality for voice and calls.")</f>
        <v>Headphones work I am very surprised with such developments in this type of devices. While others buy for my girlfriend and these are noticed more advanced and new. Pretty good sound quality. I can only say that if you're not a purist audio quality, of course, it will sound like much, is spectacular mix between bass and treble. Are controlled by touch, to stop the music, receive call, on, off, etc very comfortable. Technology come with CVC 6.0 Noise Control and note much as you isolated from the outside, being the cleanest sound without interference from the outside. built-in microphone that brings is good and when they call batsante clean voice is heard. Other similar devices do not incorporate micro. Connectivity is very fast and intuitive and can be connected to more recipients and mobile, pc, etc. They adapt very well to the ear and held securely, even if you move a lot, so I use them a lot and are great for deporte¡ be recharged within its box, which also has loads to recharge about 3 times and that is very comfortable. I liked its design and how they look in the ear and can recommend them to 100 x100. Normally I use to work for its good quality for voice and calls.</v>
      </c>
    </row>
    <row r="5146">
      <c r="A5146" s="1">
        <v>5.0</v>
      </c>
      <c r="B5146" s="1" t="s">
        <v>5116</v>
      </c>
      <c r="C5146" t="str">
        <f>IFERROR(__xludf.DUMMYFUNCTION("GOOGLETRANSLATE(B5146, ""es"", ""en"")"),"All right Very comfortable and beautiful")</f>
        <v>All right Very comfortable and beautiful</v>
      </c>
    </row>
    <row r="5147">
      <c r="A5147" s="1">
        <v>5.0</v>
      </c>
      <c r="B5147" s="1" t="s">
        <v>5117</v>
      </c>
      <c r="C5147" t="str">
        <f>IFERROR(__xludf.DUMMYFUNCTION("GOOGLETRANSLATE(B5147, ""es"", ""en"")"),"Good price quality always on size XL at an unbeatable price. The box is in German")</f>
        <v>Good price quality always on size XL at an unbeatable price. The box is in German</v>
      </c>
    </row>
    <row r="5148">
      <c r="A5148" s="1">
        <v>5.0</v>
      </c>
      <c r="B5148" s="1" t="s">
        <v>5118</v>
      </c>
      <c r="C5148" t="str">
        <f>IFERROR(__xludf.DUMMYFUNCTION("GOOGLETRANSLATE(B5148, ""es"", ""en"")"),"Everything perfect shoes")</f>
        <v>Everything perfect shoes</v>
      </c>
    </row>
    <row r="5149">
      <c r="A5149" s="1">
        <v>5.0</v>
      </c>
      <c r="B5149" s="1" t="s">
        <v>5119</v>
      </c>
      <c r="C5149" t="str">
        <f>IFERROR(__xludf.DUMMYFUNCTION("GOOGLETRANSLATE(B5149, ""es"", ""en"")"),"Necessary to ""rejuvenate"" Gives an old computer faster startup processes are faster I have 2 identical one laptop and another on desktop and work very well fast and reliable services!")</f>
        <v>Necessary to "rejuvenate" Gives an old computer faster startup processes are faster I have 2 identical one laptop and another on desktop and work very well fast and reliable services!</v>
      </c>
    </row>
    <row r="5150">
      <c r="A5150" s="1">
        <v>5.0</v>
      </c>
      <c r="B5150" s="1" t="s">
        <v>5120</v>
      </c>
      <c r="C5150" t="str">
        <f>IFERROR(__xludf.DUMMYFUNCTION("GOOGLETRANSLATE(B5150, ""es"", ""en"")"),"ADIDAS HOODED Talla correct")</f>
        <v>ADIDAS HOODED Talla correct</v>
      </c>
    </row>
    <row r="5151">
      <c r="A5151" s="1">
        <v>5.0</v>
      </c>
      <c r="B5151" s="1" t="s">
        <v>5121</v>
      </c>
      <c r="C5151" t="str">
        <f>IFERROR(__xludf.DUMMYFUNCTION("GOOGLETRANSLATE(B5151, ""es"", ""en"")"),"Great ... Very good quality, perfectly fits the head and nothing, moving very comfortable, my wife used to cross stitch and for electronics, recommended.")</f>
        <v>Great ... Very good quality, perfectly fits the head and nothing, moving very comfortable, my wife used to cross stitch and for electronics, recommended.</v>
      </c>
    </row>
    <row r="5152">
      <c r="A5152" s="1">
        <v>5.0</v>
      </c>
      <c r="B5152" s="1" t="s">
        <v>5122</v>
      </c>
      <c r="C5152" t="str">
        <f>IFERROR(__xludf.DUMMYFUNCTION("GOOGLETRANSLATE(B5152, ""es"", ""en"")"),"Manageable great accessibility to clean difficult places")</f>
        <v>Manageable great accessibility to clean difficult places</v>
      </c>
    </row>
    <row r="5153">
      <c r="A5153" s="1">
        <v>5.0</v>
      </c>
      <c r="B5153" s="1" t="s">
        <v>5123</v>
      </c>
      <c r="C5153" t="str">
        <f>IFERROR(__xludf.DUMMYFUNCTION("GOOGLETRANSLATE(B5153, ""es"", ""en"")"),"The recognized brand product is satisfactory moments, we should expect to not fail, therefore, my opinion is very subjective because initially I take one day of use.")</f>
        <v>The recognized brand product is satisfactory moments, we should expect to not fail, therefore, my opinion is very subjective because initially I take one day of use.</v>
      </c>
    </row>
    <row r="5154">
      <c r="A5154" s="1">
        <v>5.0</v>
      </c>
      <c r="B5154" s="1" t="s">
        <v>5124</v>
      </c>
      <c r="C5154" t="str">
        <f>IFERROR(__xludf.DUMMYFUNCTION("GOOGLETRANSLATE(B5154, ""es"", ""en"")"),"I was looking for functional and economical.")</f>
        <v>I was looking for functional and economical.</v>
      </c>
    </row>
    <row r="5155">
      <c r="A5155" s="1">
        <v>5.0</v>
      </c>
      <c r="B5155" s="1" t="s">
        <v>5125</v>
      </c>
      <c r="C5155" t="str">
        <f>IFERROR(__xludf.DUMMYFUNCTION("GOOGLETRANSLATE(B5155, ""es"", ""en"")"),"Two tripods and a bag of cheap transportation. You can not ask more for this money, I use a Behringer B615D for it is quite heavy and it endures problem. Very happy with the purchase.")</f>
        <v>Two tripods and a bag of cheap transportation. You can not ask more for this money, I use a Behringer B615D for it is quite heavy and it endures problem. Very happy with the purchase.</v>
      </c>
    </row>
    <row r="5156">
      <c r="A5156" s="1">
        <v>5.0</v>
      </c>
      <c r="B5156" s="1" t="s">
        <v>5126</v>
      </c>
      <c r="C5156" t="str">
        <f>IFERROR(__xludf.DUMMYFUNCTION("GOOGLETRANSLATE(B5156, ""es"", ""en"")"),"Product satisfaction in perfect condition and prospects .It compliance with the expected q")</f>
        <v>Product satisfaction in perfect condition and prospects .It compliance with the expected q</v>
      </c>
    </row>
    <row r="5157">
      <c r="A5157" s="1">
        <v>5.0</v>
      </c>
      <c r="B5157" s="1" t="s">
        <v>5127</v>
      </c>
      <c r="C5157" t="str">
        <f>IFERROR(__xludf.DUMMYFUNCTION("GOOGLETRANSLATE(B5157, ""es"", ""en"")"),"Good fabric is a good garment for cold days, harbors enough and is quite well placed. I recommend in this color")</f>
        <v>Good fabric is a good garment for cold days, harbors enough and is quite well placed. I recommend in this color</v>
      </c>
    </row>
    <row r="5158">
      <c r="A5158" s="1">
        <v>5.0</v>
      </c>
      <c r="B5158" s="1" t="s">
        <v>5128</v>
      </c>
      <c r="C5158" t="str">
        <f>IFERROR(__xludf.DUMMYFUNCTION("GOOGLETRANSLATE(B5158, ""es"", ""en"")"),"It is what is advertised. Not recommended are cheap but what is advertised: comfortable and good quality. The color is perhaps clearer than that seen in the photo.")</f>
        <v>It is what is advertised. Not recommended are cheap but what is advertised: comfortable and good quality. The color is perhaps clearer than that seen in the photo.</v>
      </c>
    </row>
    <row r="5159">
      <c r="A5159" s="1">
        <v>5.0</v>
      </c>
      <c r="B5159" s="1" t="s">
        <v>5129</v>
      </c>
      <c r="C5159" t="str">
        <f>IFERROR(__xludf.DUMMYFUNCTION("GOOGLETRANSLATE(B5159, ""es"", ""en"")"),"Mobility makes no noise and very good prasporte also")</f>
        <v>Mobility makes no noise and very good prasporte also</v>
      </c>
    </row>
    <row r="5160">
      <c r="A5160" s="1">
        <v>2.0</v>
      </c>
      <c r="B5160" s="1" t="s">
        <v>5130</v>
      </c>
      <c r="C5160" t="str">
        <f>IFERROR(__xludf.DUMMYFUNCTION("GOOGLETRANSLATE(B5160, ""es"", ""en"")"),"Same size and width different by color Buy one gray and seemed perfect so I made a second purchase of one gray and one green and the surprise was that despite being all the same size green is narrower waist, hence my low rating for green")</f>
        <v>Same size and width different by color Buy one gray and seemed perfect so I made a second purchase of one gray and one green and the surprise was that despite being all the same size green is narrower waist, hence my low rating for green</v>
      </c>
    </row>
    <row r="5161">
      <c r="A5161" s="1">
        <v>3.0</v>
      </c>
      <c r="B5161" s="1" t="s">
        <v>5131</v>
      </c>
      <c r="C5161" t="str">
        <f>IFERROR(__xludf.DUMMYFUNCTION("GOOGLETRANSLATE(B5161, ""es"", ""en"")"),"Design Hello generally doing well but has a serious problem and it will not fit the lock opens only well and easily, you have to be careful about that. Regards.")</f>
        <v>Design Hello generally doing well but has a serious problem and it will not fit the lock opens only well and easily, you have to be careful about that. Regards.</v>
      </c>
    </row>
    <row r="5162">
      <c r="A5162" s="1">
        <v>3.0</v>
      </c>
      <c r="B5162" s="1" t="s">
        <v>5132</v>
      </c>
      <c r="C5162" t="str">
        <f>IFERROR(__xludf.DUMMYFUNCTION("GOOGLETRANSLATE(B5162, ""es"", ""en"")"),"👍 I think are fine although I have not used much because I bought them while better ones. I guess I will use when they break the good until I buy better ones")</f>
        <v>👍 I think are fine although I have not used much because I bought them while better ones. I guess I will use when they break the good until I buy better ones</v>
      </c>
    </row>
    <row r="5163">
      <c r="A5163" s="1">
        <v>1.0</v>
      </c>
      <c r="B5163" s="1" t="s">
        <v>5133</v>
      </c>
      <c r="C5163" t="str">
        <f>IFERROR(__xludf.DUMMYFUNCTION("GOOGLETRANSLATE(B5163, ""es"", ""en"")"),"DECEPTIVE NOT OPERATE THE PS4 EVEN")</f>
        <v>DECEPTIVE NOT OPERATE THE PS4 EVEN</v>
      </c>
    </row>
    <row r="5164">
      <c r="A5164" s="1">
        <v>1.0</v>
      </c>
      <c r="B5164" s="1" t="s">
        <v>5134</v>
      </c>
      <c r="C5164" t="str">
        <f>IFERROR(__xludf.DUMMYFUNCTION("GOOGLETRANSLATE(B5164, ""es"", ""en"")"),"To return it literally disconnects constantly. It works very badly.")</f>
        <v>To return it literally disconnects constantly. It works very badly.</v>
      </c>
    </row>
    <row r="5165">
      <c r="A5165" s="1">
        <v>1.0</v>
      </c>
      <c r="B5165" s="1" t="s">
        <v>5135</v>
      </c>
      <c r="C5165" t="str">
        <f>IFERROR(__xludf.DUMMYFUNCTION("GOOGLETRANSLATE(B5165, ""es"", ""en"")"),"Mal The clock has stopped working in just 2 weeks without apparent cause and suddenly. Give connection problems with bluetooth and the training computer has failed several times. Completely disappointed. We'll see the return ...")</f>
        <v>Mal The clock has stopped working in just 2 weeks without apparent cause and suddenly. Give connection problems with bluetooth and the training computer has failed several times. Completely disappointed. We'll see the return ...</v>
      </c>
    </row>
    <row r="5166">
      <c r="A5166" s="1">
        <v>4.0</v>
      </c>
      <c r="B5166" s="1" t="s">
        <v>5136</v>
      </c>
      <c r="C5166" t="str">
        <f>IFERROR(__xludf.DUMMYFUNCTION("GOOGLETRANSLATE(B5166, ""es"", ""en"")"),"Recommended This product was lost along the way, because of the company's parcel, I solved the problem very quickly letting me choose another command or refund my money. I must say that I asked for more clothes seller and the product quality is not bad fo"&amp;"r the price they have.")</f>
        <v>Recommended This product was lost along the way, because of the company's parcel, I solved the problem very quickly letting me choose another command or refund my money. I must say that I asked for more clothes seller and the product quality is not bad for the price they have.</v>
      </c>
    </row>
    <row r="5167">
      <c r="A5167" s="1">
        <v>4.0</v>
      </c>
      <c r="B5167" s="1" t="s">
        <v>5137</v>
      </c>
      <c r="C5167" t="str">
        <f>IFERROR(__xludf.DUMMYFUNCTION("GOOGLETRANSLATE(B5167, ""es"", ""en"")"),"Well I arrive on time. I ordered a L as use a 42. Even I have not used since I bought it for those days when I leave pilates and refreshes so I can not judge its outcome a washed once. If necessary in the future I will add comments on the matter. The slee"&amp;"ves are very tight")</f>
        <v>Well I arrive on time. I ordered a L as use a 42. Even I have not used since I bought it for those days when I leave pilates and refreshes so I can not judge its outcome a washed once. If necessary in the future I will add comments on the matter. The sleeves are very tight</v>
      </c>
    </row>
    <row r="5168">
      <c r="A5168" s="1">
        <v>4.0</v>
      </c>
      <c r="B5168" s="1" t="s">
        <v>5138</v>
      </c>
      <c r="C5168" t="str">
        <f>IFERROR(__xludf.DUMMYFUNCTION("GOOGLETRANSLATE(B5168, ""es"", ""en"")"),"When you are comfortable you put them gives a rare sensation in the foot plant but I suppose it's the template you have. At the time the feeling is passed")</f>
        <v>When you are comfortable you put them gives a rare sensation in the foot plant but I suppose it's the template you have. At the time the feeling is passed</v>
      </c>
    </row>
    <row r="5169">
      <c r="A5169" s="1">
        <v>4.0</v>
      </c>
      <c r="B5169" s="1" t="s">
        <v>5139</v>
      </c>
      <c r="C5169" t="str">
        <f>IFERROR(__xludf.DUMMYFUNCTION("GOOGLETRANSLATE(B5169, ""es"", ""en"")"),"Very comfortable at a good price Good quality footwear. It's a little last close. Very comfortable.")</f>
        <v>Very comfortable at a good price Good quality footwear. It's a little last close. Very comfortable.</v>
      </c>
    </row>
    <row r="5170">
      <c r="A5170" s="1">
        <v>5.0</v>
      </c>
      <c r="B5170" s="1" t="s">
        <v>5140</v>
      </c>
      <c r="C5170" t="str">
        <f>IFERROR(__xludf.DUMMYFUNCTION("GOOGLETRANSLATE(B5170, ""es"", ""en"")"),"Excellent value for money excellent value for money. Can cut to take the role, it is not necessary to use the entire sheet for something small.")</f>
        <v>Excellent value for money excellent value for money. Can cut to take the role, it is not necessary to use the entire sheet for something small.</v>
      </c>
    </row>
    <row r="5171">
      <c r="A5171" s="1">
        <v>5.0</v>
      </c>
      <c r="B5171" s="1" t="s">
        <v>5141</v>
      </c>
      <c r="C5171" t="str">
        <f>IFERROR(__xludf.DUMMYFUNCTION("GOOGLETRANSLATE(B5171, ""es"", ""en"")"),"Acerte good in size. It is using my father")</f>
        <v>Acerte good in size. It is using my father</v>
      </c>
    </row>
    <row r="5172">
      <c r="A5172" s="1">
        <v>5.0</v>
      </c>
      <c r="B5172" s="1" t="s">
        <v>5142</v>
      </c>
      <c r="C5172" t="str">
        <f>IFERROR(__xludf.DUMMYFUNCTION("GOOGLETRANSLATE(B5172, ""es"", ""en"")"),"Quality and comfort Very good quality")</f>
        <v>Quality and comfort Very good quality</v>
      </c>
    </row>
    <row r="5173">
      <c r="A5173" s="1">
        <v>5.0</v>
      </c>
      <c r="B5173" s="1" t="s">
        <v>5143</v>
      </c>
      <c r="C5173" t="str">
        <f>IFERROR(__xludf.DUMMYFUNCTION("GOOGLETRANSLATE(B5173, ""es"", ""en"")"),"I love very nice and comfortable")</f>
        <v>I love very nice and comfortable</v>
      </c>
    </row>
    <row r="5174">
      <c r="A5174" s="1">
        <v>5.0</v>
      </c>
      <c r="B5174" s="1" t="s">
        <v>5144</v>
      </c>
      <c r="C5174" t="str">
        <f>IFERROR(__xludf.DUMMYFUNCTION("GOOGLETRANSLATE(B5174, ""es"", ""en"")"),"Very nice color and good quality also")</f>
        <v>Very nice color and good quality also</v>
      </c>
    </row>
    <row r="5175">
      <c r="A5175" s="1">
        <v>5.0</v>
      </c>
      <c r="B5175" s="1" t="s">
        <v>5145</v>
      </c>
      <c r="C5175" t="str">
        <f>IFERROR(__xludf.DUMMYFUNCTION("GOOGLETRANSLATE(B5175, ""es"", ""en"")"),"Quality reasonable price")</f>
        <v>Quality reasonable price</v>
      </c>
    </row>
    <row r="5176">
      <c r="A5176" s="1">
        <v>5.0</v>
      </c>
      <c r="B5176" s="1" t="s">
        <v>5146</v>
      </c>
      <c r="C5176" t="str">
        <f>IFERROR(__xludf.DUMMYFUNCTION("GOOGLETRANSLATE(B5176, ""es"", ""en"")"),"Very good product. Very good product.")</f>
        <v>Very good product. Very good product.</v>
      </c>
    </row>
    <row r="5177">
      <c r="A5177" s="1">
        <v>5.0</v>
      </c>
      <c r="B5177" s="1" t="s">
        <v>5147</v>
      </c>
      <c r="C5177" t="str">
        <f>IFERROR(__xludf.DUMMYFUNCTION("GOOGLETRANSLATE(B5177, ""es"", ""en"")"),"Adri A relos simple but robust. Enduring the blows very well and condicioned little favorabled. A good and strong product at an affordable price.")</f>
        <v>Adri A relos simple but robust. Enduring the blows very well and condicioned little favorabled. A good and strong product at an affordable price.</v>
      </c>
    </row>
    <row r="5178">
      <c r="A5178" s="1">
        <v>5.0</v>
      </c>
      <c r="B5178" s="1" t="s">
        <v>5148</v>
      </c>
      <c r="C5178" t="str">
        <f>IFERROR(__xludf.DUMMYFUNCTION("GOOGLETRANSLATE(B5178, ""es"", ""en"")"),"great great listening listening and connects to the phone without problems. Super comfortable and fun")</f>
        <v>great great listening listening and connects to the phone without problems. Super comfortable and fun</v>
      </c>
    </row>
    <row r="5179">
      <c r="A5179" s="1">
        <v>5.0</v>
      </c>
      <c r="B5179" s="1" t="s">
        <v>5149</v>
      </c>
      <c r="C5179" t="str">
        <f>IFERROR(__xludf.DUMMYFUNCTION("GOOGLETRANSLATE(B5179, ""es"", ""en"")"),"Excellent Very complete in terms of features and accessories and a good price for power and accessories you have.")</f>
        <v>Excellent Very complete in terms of features and accessories and a good price for power and accessories you have.</v>
      </c>
    </row>
    <row r="5180">
      <c r="A5180" s="1">
        <v>5.0</v>
      </c>
      <c r="B5180" s="1" t="s">
        <v>5150</v>
      </c>
      <c r="C5180" t="str">
        <f>IFERROR(__xludf.DUMMYFUNCTION("GOOGLETRANSLATE(B5180, ""es"", ""en"")"),"The fantastic product I bought because I have a red for years and are very comfortable. Calzan somewhat small but eventually stretches slightly contour holding foot (not sole). Perfectly fit the foot and are durable and elegant. I recommend the product an"&amp;"d the seller")</f>
        <v>The fantastic product I bought because I have a red for years and are very comfortable. Calzan somewhat small but eventually stretches slightly contour holding foot (not sole). Perfectly fit the foot and are durable and elegant. I recommend the product and the seller</v>
      </c>
    </row>
    <row r="5181">
      <c r="A5181" s="1">
        <v>5.0</v>
      </c>
      <c r="B5181" s="1" t="s">
        <v>5151</v>
      </c>
      <c r="C5181" t="str">
        <f>IFERROR(__xludf.DUMMYFUNCTION("GOOGLETRANSLATE(B5181, ""es"", ""en"")"),"Good sound good, the source can be up to very good (TV, PC, Mobile) although I prefer to late evening to avoid disturbing. Perfect two-wire system, short ideal for mobile and can move freely extension (office table) while using. I prefer a slightly larger"&amp;" helmets and pads, for convenience although I started using in summer and do not give excessive heat. The headband with metal arc sometimes resonates if it vibrates, the touch or meneas head. The quality price relation is very good.")</f>
        <v>Good sound good, the source can be up to very good (TV, PC, Mobile) although I prefer to late evening to avoid disturbing. Perfect two-wire system, short ideal for mobile and can move freely extension (office table) while using. I prefer a slightly larger helmets and pads, for convenience although I started using in summer and do not give excessive heat. The headband with metal arc sometimes resonates if it vibrates, the touch or meneas head. The quality price relation is very good.</v>
      </c>
    </row>
    <row r="5182">
      <c r="A5182" s="1">
        <v>5.0</v>
      </c>
      <c r="B5182" s="1" t="s">
        <v>5152</v>
      </c>
      <c r="C5182" t="str">
        <f>IFERROR(__xludf.DUMMYFUNCTION("GOOGLETRANSLATE(B5182, ""es"", ""en"")"),"I am delighted good super comfortable to wear and great exercise daily. Recommended.")</f>
        <v>I am delighted good super comfortable to wear and great exercise daily. Recommended.</v>
      </c>
    </row>
    <row r="5183">
      <c r="A5183" s="1">
        <v>5.0</v>
      </c>
      <c r="B5183" s="1" t="s">
        <v>5153</v>
      </c>
      <c r="C5183" t="str">
        <f>IFERROR(__xludf.DUMMYFUNCTION("GOOGLETRANSLATE(B5183, ""es"", ""en"")"),"Power and autonomy Cracking unit. Compared to the previous twice the power. I am delighted, my house is large and has ample autonomy to finish whole. By putting a noisy but maybe a little, but it is secondary. Great buy")</f>
        <v>Power and autonomy Cracking unit. Compared to the previous twice the power. I am delighted, my house is large and has ample autonomy to finish whole. By putting a noisy but maybe a little, but it is secondary. Great buy</v>
      </c>
    </row>
    <row r="5184">
      <c r="A5184" s="1">
        <v>5.0</v>
      </c>
      <c r="B5184" s="1" t="s">
        <v>5154</v>
      </c>
      <c r="C5184" t="str">
        <f>IFERROR(__xludf.DUMMYFUNCTION("GOOGLETRANSLATE(B5184, ""es"", ""en"")"),"great value for money! 2 good scissors for 8 €")</f>
        <v>great value for money! 2 good scissors for 8 €</v>
      </c>
    </row>
    <row r="5185">
      <c r="A5185" s="1">
        <v>5.0</v>
      </c>
      <c r="B5185" s="1" t="s">
        <v>5155</v>
      </c>
      <c r="C5185" t="str">
        <f>IFERROR(__xludf.DUMMYFUNCTION("GOOGLETRANSLATE(B5185, ""es"", ""en"")"),"First impressions very good I have arrived and I put the name of my daughter, as it is to make clothes for the nursery. Now really great, and you can go removing and as desired")</f>
        <v>First impressions very good I have arrived and I put the name of my daughter, as it is to make clothes for the nursery. Now really great, and you can go removing and as desired</v>
      </c>
    </row>
    <row r="5186">
      <c r="A5186" s="1">
        <v>5.0</v>
      </c>
      <c r="B5186" s="1" t="s">
        <v>147</v>
      </c>
      <c r="C5186" t="str">
        <f>IFERROR(__xludf.DUMMYFUNCTION("GOOGLETRANSLATE(B5186, ""es"", ""en"")"),"All perfect perfect all")</f>
        <v>All perfect perfect all</v>
      </c>
    </row>
    <row r="5187">
      <c r="A5187" s="1">
        <v>5.0</v>
      </c>
      <c r="B5187" s="1" t="s">
        <v>5156</v>
      </c>
      <c r="C5187" t="str">
        <f>IFERROR(__xludf.DUMMYFUNCTION("GOOGLETRANSLATE(B5187, ""es"", ""en"")"),"As always comfortable Skechers are guaranteed comfort. They fit perfectly and have a very nice color")</f>
        <v>As always comfortable Skechers are guaranteed comfort. They fit perfectly and have a very nice color</v>
      </c>
    </row>
    <row r="5188">
      <c r="A5188" s="1">
        <v>5.0</v>
      </c>
      <c r="B5188" s="1" t="s">
        <v>5157</v>
      </c>
      <c r="C5188" t="str">
        <f>IFERROR(__xludf.DUMMYFUNCTION("GOOGLETRANSLATE(B5188, ""es"", ""en"")"),"Very good. It has come as indicated by the description and photo. A cup, nothing is boiling. It is great! I recommend buying if what you're looking.")</f>
        <v>Very good. It has come as indicated by the description and photo. A cup, nothing is boiling. It is great! I recommend buying if what you're looking.</v>
      </c>
    </row>
    <row r="5189">
      <c r="A5189" s="1">
        <v>2.0</v>
      </c>
      <c r="B5189" s="1" t="s">
        <v>5158</v>
      </c>
      <c r="C5189" t="str">
        <f>IFERROR(__xludf.DUMMYFUNCTION("GOOGLETRANSLATE(B5189, ""es"", ""en"")"),"Great sound, low sound quality is of high quality and are conodos, but a week of use was broken. Amazon responded well to the return")</f>
        <v>Great sound, low sound quality is of high quality and are conodos, but a week of use was broken. Amazon responded well to the return</v>
      </c>
    </row>
    <row r="5190">
      <c r="A5190" s="1">
        <v>3.0</v>
      </c>
      <c r="B5190" s="1" t="s">
        <v>5159</v>
      </c>
      <c r="C5190" t="str">
        <f>IFERROR(__xludf.DUMMYFUNCTION("GOOGLETRANSLATE(B5190, ""es"", ""en"")"),"Good but improvable Serves massage but the use vibration becomes a bit annoying after a while. Difficult to use by the weight of the product, the heat does not come to appreciate, but the fact that the product is of good quality and always saves you from "&amp;"trouble, also say that thanks to the can handle reach back areas without no one will help you. I think that value is positive.")</f>
        <v>Good but improvable Serves massage but the use vibration becomes a bit annoying after a while. Difficult to use by the weight of the product, the heat does not come to appreciate, but the fact that the product is of good quality and always saves you from trouble, also say that thanks to the can handle reach back areas without no one will help you. I think that value is positive.</v>
      </c>
    </row>
    <row r="5191">
      <c r="A5191" s="1">
        <v>3.0</v>
      </c>
      <c r="B5191" s="1" t="s">
        <v>5160</v>
      </c>
      <c r="C5191" t="str">
        <f>IFERROR(__xludf.DUMMYFUNCTION("GOOGLETRANSLATE(B5191, ""es"", ""en"")"),"Small and bite smaller than expected. I will proceed to return it further material which are composed itchy skin and uncomfortable, is as a wool coat foot.")</f>
        <v>Small and bite smaller than expected. I will proceed to return it further material which are composed itchy skin and uncomfortable, is as a wool coat foot.</v>
      </c>
    </row>
    <row r="5192">
      <c r="A5192" s="1">
        <v>1.0</v>
      </c>
      <c r="B5192" s="1" t="s">
        <v>5161</v>
      </c>
      <c r="C5192" t="str">
        <f>IFERROR(__xludf.DUMMYFUNCTION("GOOGLETRANSLATE(B5192, ""es"", ""en"")"),"They broke with less than 10 uses very bad, I doubt they are original. I have Converse 14 years ago are better than these, the sole took off in the early months. Yes Guarantee 0. I say it was misuse seller .... Disgraceful ... 90 € trashed")</f>
        <v>They broke with less than 10 uses very bad, I doubt they are original. I have Converse 14 years ago are better than these, the sole took off in the early months. Yes Guarantee 0. I say it was misuse seller .... Disgraceful ... 90 € trashed</v>
      </c>
    </row>
    <row r="5193">
      <c r="A5193" s="1">
        <v>1.0</v>
      </c>
      <c r="B5193" s="1" t="s">
        <v>5162</v>
      </c>
      <c r="C5193" t="str">
        <f>IFERROR(__xludf.DUMMYFUNCTION("GOOGLETRANSLATE(B5193, ""es"", ""en"")"),"It serves not do anything. It seems that blurs the scratch but no. Only dirty slit and then disappear back the product to the same. It is useless.")</f>
        <v>It serves not do anything. It seems that blurs the scratch but no. Only dirty slit and then disappear back the product to the same. It is useless.</v>
      </c>
    </row>
    <row r="5194">
      <c r="A5194" s="1">
        <v>4.0</v>
      </c>
      <c r="B5194" s="1" t="s">
        <v>5163</v>
      </c>
      <c r="C5194" t="str">
        <f>IFERROR(__xludf.DUMMYFUNCTION("GOOGLETRANSLATE(B5194, ""es"", ""en"")"),"Expectations met expectations fulfilled")</f>
        <v>Expectations met expectations fulfilled</v>
      </c>
    </row>
    <row r="5195">
      <c r="A5195" s="1">
        <v>4.0</v>
      </c>
      <c r="B5195" s="1" t="s">
        <v>5164</v>
      </c>
      <c r="C5195" t="str">
        <f>IFERROR(__xludf.DUMMYFUNCTION("GOOGLETRANSLATE(B5195, ""es"", ""en"")"),"Comfort is a very comfortable piece fits perfectly, it's like wearing nothing")</f>
        <v>Comfort is a very comfortable piece fits perfectly, it's like wearing nothing</v>
      </c>
    </row>
    <row r="5196">
      <c r="A5196" s="1">
        <v>4.0</v>
      </c>
      <c r="B5196" s="1" t="s">
        <v>5165</v>
      </c>
      <c r="C5196" t="str">
        <f>IFERROR(__xludf.DUMMYFUNCTION("GOOGLETRANSLATE(B5196, ""es"", ""en"")"),"I expected I found it problematic extension of the mop stick, I'm tall and I need it to the maximum, is released quite often")</f>
        <v>I expected I found it problematic extension of the mop stick, I'm tall and I need it to the maximum, is released quite often</v>
      </c>
    </row>
    <row r="5197">
      <c r="A5197" s="1">
        <v>4.0</v>
      </c>
      <c r="B5197" s="1" t="s">
        <v>5166</v>
      </c>
      <c r="C5197" t="str">
        <f>IFERROR(__xludf.DUMMYFUNCTION("GOOGLETRANSLATE(B5197, ""es"", ""en"")"),"It's very good product at the baby likes that particular teat and bottle shape is very comfortable for little hands, I have said Rodo")</f>
        <v>It's very good product at the baby likes that particular teat and bottle shape is very comfortable for little hands, I have said Rodo</v>
      </c>
    </row>
    <row r="5198">
      <c r="A5198" s="1">
        <v>4.0</v>
      </c>
      <c r="B5198" s="1" t="s">
        <v>5167</v>
      </c>
      <c r="C5198" t="str">
        <f>IFERROR(__xludf.DUMMYFUNCTION("GOOGLETRANSLATE(B5198, ""es"", ""en"")"),"Comfortable sandals are comfortable enough to walk. And the size is the right size. To me they are going pretty well.")</f>
        <v>Comfortable sandals are comfortable enough to walk. And the size is the right size. To me they are going pretty well.</v>
      </c>
    </row>
    <row r="5199">
      <c r="A5199" s="1">
        <v>5.0</v>
      </c>
      <c r="B5199" s="1" t="s">
        <v>5168</v>
      </c>
      <c r="C5199" t="str">
        <f>IFERROR(__xludf.DUMMYFUNCTION("GOOGLETRANSLATE(B5199, ""es"", ""en"")"),"Highly recommended I recommend to know the size before (I went to the English court to be sure) holds the chest perfectly for sports, consider carrying seams diagonal chest according to people can be annoying or not. I loved it!")</f>
        <v>Highly recommended I recommend to know the size before (I went to the English court to be sure) holds the chest perfectly for sports, consider carrying seams diagonal chest according to people can be annoying or not. I loved it!</v>
      </c>
    </row>
    <row r="5200">
      <c r="A5200" s="1">
        <v>5.0</v>
      </c>
      <c r="B5200" s="1" t="s">
        <v>5169</v>
      </c>
      <c r="C5200" t="str">
        <f>IFERROR(__xludf.DUMMYFUNCTION("GOOGLETRANSLATE(B5200, ""es"", ""en"")"),"Comfortable slippers I bought it because I liked")</f>
        <v>Comfortable slippers I bought it because I liked</v>
      </c>
    </row>
    <row r="5201">
      <c r="A5201" s="1">
        <v>5.0</v>
      </c>
      <c r="B5201" s="1" t="s">
        <v>5170</v>
      </c>
      <c r="C5201" t="str">
        <f>IFERROR(__xludf.DUMMYFUNCTION("GOOGLETRANSLATE(B5201, ""es"", ""en"")"),"Very good shoes S1P very comfortable very good shoe safety S1P with composite toecap very comfortable I gave a waterproofing product to improve its resistance to water and dirt I put a template gel and requested a number more than the one I use and all pe"&amp;"rfect")</f>
        <v>Very good shoes S1P very comfortable very good shoe safety S1P with composite toecap very comfortable I gave a waterproofing product to improve its resistance to water and dirt I put a template gel and requested a number more than the one I use and all perfect</v>
      </c>
    </row>
    <row r="5202">
      <c r="A5202" s="1">
        <v>5.0</v>
      </c>
      <c r="B5202" s="1" t="s">
        <v>5171</v>
      </c>
      <c r="C5202" t="str">
        <f>IFERROR(__xludf.DUMMYFUNCTION("GOOGLETRANSLATE(B5202, ""es"", ""en"")"),"The great Seagate know and I like. Good album for the PC.")</f>
        <v>The great Seagate know and I like. Good album for the PC.</v>
      </c>
    </row>
    <row r="5203">
      <c r="A5203" s="1">
        <v>5.0</v>
      </c>
      <c r="B5203" s="1" t="s">
        <v>5172</v>
      </c>
      <c r="C5203" t="str">
        <f>IFERROR(__xludf.DUMMYFUNCTION("GOOGLETRANSLATE(B5203, ""es"", ""en"")"),"Works'm really happy. This material does not smell. Sella well and seems to have durability (I've only been using it a couple of weeks).")</f>
        <v>Works'm really happy. This material does not smell. Sella well and seems to have durability (I've only been using it a couple of weeks).</v>
      </c>
    </row>
    <row r="5204">
      <c r="A5204" s="1">
        <v>5.0</v>
      </c>
      <c r="B5204" s="1" t="s">
        <v>5173</v>
      </c>
      <c r="C5204" t="str">
        <f>IFERROR(__xludf.DUMMYFUNCTION("GOOGLETRANSLATE(B5204, ""es"", ""en"")"),"Remain good buy according to size. It is not for nothing transpires. Very comfortable.")</f>
        <v>Remain good buy according to size. It is not for nothing transpires. Very comfortable.</v>
      </c>
    </row>
    <row r="5205">
      <c r="A5205" s="1">
        <v>5.0</v>
      </c>
      <c r="B5205" s="1" t="s">
        <v>5174</v>
      </c>
      <c r="C5205" t="str">
        <f>IFERROR(__xludf.DUMMYFUNCTION("GOOGLETRANSLATE(B5205, ""es"", ""en"")"),"Good, excellent.")</f>
        <v>Good, excellent.</v>
      </c>
    </row>
    <row r="5206">
      <c r="A5206" s="1">
        <v>5.0</v>
      </c>
      <c r="B5206" s="1" t="s">
        <v>5175</v>
      </c>
      <c r="C5206" t="str">
        <f>IFERROR(__xludf.DUMMYFUNCTION("GOOGLETRANSLATE(B5206, ""es"", ""en"")"),"Comfort Maximum comfort. A treat for your feet")</f>
        <v>Comfort Maximum comfort. A treat for your feet</v>
      </c>
    </row>
    <row r="5207">
      <c r="A5207" s="1">
        <v>5.0</v>
      </c>
      <c r="B5207" s="1" t="s">
        <v>5176</v>
      </c>
      <c r="C5207" t="str">
        <f>IFERROR(__xludf.DUMMYFUNCTION("GOOGLETRANSLATE(B5207, ""es"", ""en"")"),"Simple and basic A simple clock with the basics. Stopwatch and countdown. perfect operation. large and visible numbers. Fantastica light illuminating completely dark screen")</f>
        <v>Simple and basic A simple clock with the basics. Stopwatch and countdown. perfect operation. large and visible numbers. Fantastica light illuminating completely dark screen</v>
      </c>
    </row>
    <row r="5208">
      <c r="A5208" s="1">
        <v>5.0</v>
      </c>
      <c r="B5208" s="1" t="s">
        <v>5177</v>
      </c>
      <c r="C5208" t="str">
        <f>IFERROR(__xludf.DUMMYFUNCTION("GOOGLETRANSLATE(B5208, ""es"", ""en"")"),"It is very convenient to use and very simple. Super headset and cable for maximum comfort, clear sound, treble and bass balance. It is very convenient to use and very simple.")</f>
        <v>It is very convenient to use and very simple. Super headset and cable for maximum comfort, clear sound, treble and bass balance. It is very convenient to use and very simple.</v>
      </c>
    </row>
    <row r="5209">
      <c r="A5209" s="1">
        <v>5.0</v>
      </c>
      <c r="B5209" s="1" t="s">
        <v>5178</v>
      </c>
      <c r="C5209" t="str">
        <f>IFERROR(__xludf.DUMMYFUNCTION("GOOGLETRANSLATE(B5209, ""es"", ""en"")"),"Good buy Very handy for everyday, for work, very comfortable to wear at all times, looks for any occasion. I is coming out pretty good, I bought another gift")</f>
        <v>Good buy Very handy for everyday, for work, very comfortable to wear at all times, looks for any occasion. I is coming out pretty good, I bought another gift</v>
      </c>
    </row>
    <row r="5210">
      <c r="A5210" s="1">
        <v>5.0</v>
      </c>
      <c r="B5210" s="1" t="s">
        <v>5179</v>
      </c>
      <c r="C5210" t="str">
        <f>IFERROR(__xludf.DUMMYFUNCTION("GOOGLETRANSLATE(B5210, ""es"", ""en"")"),"High Power good price &lt;div id = ""video-block-R3I8TVS9NK0W3B"" class = ""a-section a-spacing-small a-spacing-top mini video-block""&gt; &lt;div tabindex = ""0"" class = ""airy airy-svg vmin-supported airy-skin-beacon ""style ="" background-color: rgb (0, 0, 0) "&amp;"position: relative; width: 100%; height: 100%; font-size: 0px; overflow: hidden; outline: none; ""&gt; &lt;div class ="" airy-renderer-container ""style ="" position: relative; height: 100%; width: 100%; ""&gt; &lt;video id ="" 37 ""preload ="" auto "" src = ""https:"&amp;"//images-eu.ssl-images-amazon.com/images/I/C1Ucp5NHVwS.mp4"" style = ""position: absolute; left: 0px; top: 0px; overflow: hidden; height: 1px; width: 1px; ""&gt; &lt;/ video&gt; &lt;/ div&gt; &lt;div id ="" airy-slate-preload ""style ="" background-color: rgb (0, 0, 0); ba"&amp;"ckground-image: url (&amp; quot; https : //images-eu.ssl-images-amazon.com/images/I/71nyqd8AVES.png&amp;quot;); background-size: Contain; background-position: center center; background-repeat: no-repeat; position: absolute; top: 0px; left: 0px; visibility: visibl"&amp;"e; width: 100%; height: 100%; ""&gt; &lt;/ div&gt; &lt;ifram and scrolling = ""no"" frameborder = ""0"" src = ""about: blank"" style = ""display: none;""&gt; &lt;/ iframe&gt; &lt;div tabindex = ""- 1"" class = ""airy-controls-container"" style = ""opacity: 0; visibility: hidden;"&amp;" ""&gt; &lt;div tabindex ="" - 1 ""class ="" airy-screen-size-toggle airy-fullscreen ""&gt; &lt;/ div&gt; &lt;div tabindex ="" - 1 ""class ="" airy-container-bottom "" &gt; &lt;div tabindex = ""- 1"" class = ""airy-track-bar-spacer-left"" style = ""width: 11px;""&gt; &lt;/ div&gt; &lt;div t"&amp;"abindex = ""- 1"" class = ""airy-play- airy toggle-play ""style ="" width: 12px; margin-right: 12px; ""&gt; &lt;/ div&gt; &lt;div tabindex ="" - 1 ""class ="" airy-audio-elements ""style ="" float: right; width: 34px; ""&gt; &lt;div tabindex ="" - 1 ""class ="" airy-audio-"&amp;"toggle airy-on ""&gt; &lt;/ div&gt; &lt;div tabindex ="" - 1 ""class ="" airy-audio-container ""style = ""opacity: 0; visibility: hidden; ""&gt; &lt;div tabindex ="" - 1 ""class ="" airy-audio-track-bar ""style ="" height: 80%; ""&gt; &lt;div tabindex ="" - 1 ""class ="" airy-au"&amp;"dio- Scrubber-bar ""style ="" height: 85%; ""&gt; &lt;/ div&gt; &lt;div tabindex ="" - 1 ""class ="" airy-audio-scrubber ""style ="" height: 12px; bottom: 85% ""&gt; &lt;/ div&gt; &lt;/ div&gt; &lt;/ div&gt; &lt;/ div&gt; &lt;div tabindex ="" - 1 ""class ="" airy-duration-label ""style ="" float:"&amp;" right; width: 26px; margin-right: 4px; text-align: center; ""&gt; 0:00 &lt;/ div&gt; &lt;div tabindex ="" - 1 ""class ="" airy-track-bar-spacer-right ""style ="" float: right; width: 11px; ""&gt; &lt;/ div&gt; &lt;div tabindex ="" - 1 ""class ="" airy-track-bar-container ""styl"&amp;"e ="" margin-left: 35px; margin-right: 75px; ""&gt; &lt;div tabindex ="" - 1 ""class ="" airy-airy-track-bar vertically-centering-table ""&gt; &lt;div tabindex ="" - 1 ""class ="" airy-Vertical-centering- table-cell ""&gt; &lt;div tabindex ="" - 1 ""class ="" airy-track-ba"&amp;"r-elements ""&gt; &lt;div tabindex ="" - 1 ""class ="" airy-progress-bar ""&gt; &lt;/ div&gt; &lt;div tabindex = ""- 1"" class = ""airy-scrubber-bar""&gt; &lt;/ div&gt; &lt;div tabindex = ""- 1"" class = ""airy-scrubber""&gt; &lt;div tabindex = ""- 1"" class = ""airy-scrubber- icon ""&gt; &lt;/ d"&amp;"iv&gt; &lt;div tabindex ="" - 1 ""class ="" airy-adjusted-AUI-tooltip ""style ="" opacity: 0; visibility: hidden; ""&gt; &lt;div tabindex ="" - 1 ""class ="" airy-adjusted-aui-tooltip-inner ""&gt; &lt;div tabindex ="" - 1 ""class ="" airy-current-time-label ""&gt; 0: 00 &lt;/ di"&amp;"v&gt; &lt;/ div&gt; &lt;div tabindex = ""- 1"" class = ""airy-adjusted-AUI-arrow-border""&gt; &lt;div tabindex = ""- 1"" class = ""airy-adjusted-AUI-arrow"" &gt; &lt;/ div&gt; &lt;/ div&gt; &lt;/ div&gt; &lt;/ div&gt; &lt;/ div&gt; &lt;/ div&gt; &lt;/ div&gt; &lt;/ div&gt; &lt;/ div&gt; &lt;/ div&gt; &lt;div tabindex = ""- 1"" class = """&amp;"airy-age-gate airy-stage airy-Vertical-centering-table airy-dialog"" style = ""opacity: 0; visibility: hidden; ""&gt; &lt;div tabindex ="" - 1 ""class ="" airy-age-gate-Vertical-centering-table-cell airy-Vertical-centering-table-cell ""&gt; &lt;div tabindex ="" - 1 "&amp;"""class = ""airy-Vertical-centering-wrapper airy-age-gate-elements-wrapper""&gt; &lt;div tabindex = ""- 1"" class = ""airy-age-gate-elements airy-dialog-elements""&gt; &lt;div tabindex = "" -1 ""class ="" airy-age-gate-prompt ""&gt; This video is not Intended for all au"&amp;"diences What date were you born &lt;/ div&gt; &lt;div tabindex =.?"" - 1 ""class ="" airy-age-gate -inputs airy-dialog-inner-elements ""&gt; &lt;select tabindex ="" - 1 ""class ="" airy-age-gate-month ""&gt; &lt;option value ="" 1 ""&gt; January &lt;/ option&gt; &lt;option value ="" 2 """&amp;"&gt; February &lt;/ option&gt; &lt;option value ="" 3 ""&gt; March &lt;/ option&gt; &lt;option value ="" 4 ""&gt; April &lt;/ option&gt; &lt;option value ="" 5 ""&gt; May &lt;/ option&gt; &lt;option value = ""6""&gt; June &lt;/ option&gt; &lt;option value = ""7""&gt; July &lt;/ option&gt; &lt;option value = ""8""&gt; August &lt;/ o"&amp;"ption&gt; &lt;option value = ""9""&gt; September &lt;/ option&gt; &lt;option value = ""10""&gt; October &lt;/ option&gt; &lt;option value = ""11""&gt; November &lt;/ option&gt; &lt;option value = ""12""&gt; December &lt;/ option&gt; &lt;/ select&gt; &lt;select tabindex = ""- 1"" class = ""airy-age-gate-day""&gt; &lt;opt"&amp;"i on value = ""1""&gt; 1 &lt;/ option&gt; &lt;option value = ""2""&gt; 2 &lt;/ option&gt; &lt;option value = ""3""&gt; 3 &lt;/ option&gt; &lt;option value = ""4""&gt; 4 &lt;/ option &gt; &lt;option value = ""5""&gt; 5 &lt;/ option&gt; &lt;option value = ""6""&gt; 6 &lt;/ option&gt; &lt;option value = ""7""&gt; 7 &lt;/ option&gt; &lt;opti"&amp;"on value = ""8""&gt; 8 &lt; / option&gt; &lt;option value = ""9""&gt; 9 &lt;/ option&gt; &lt;option value = ""10""&gt; 10 &lt;/ option&gt; &lt;option value = ""11""&gt; 11 &lt;/ option&gt; &lt;option value = ""12""&gt; 12 &lt;/ option&gt; &lt;option value = ""13""&gt; 13 &lt;/ option&gt; &lt;option value = ""14""&gt; 14 &lt;/ optio"&amp;"n&gt; &lt;option value = ""15""&gt; 15 &lt;/ option&gt; &lt;option value = ""16 ""&gt; 16 &lt;/ option&gt; &lt;option value ="" 17 ""&gt; 17 &lt;/ option&gt; &lt;option value ="" 18 ""&gt; 18 &lt;/ option&gt; &lt;option value ="" 19 ""&gt; 19 &lt;/ option&gt; &lt;option value = ""20""&gt; 20 &lt;/ option&gt; &lt;option value = ""21"&amp;"""&gt; 21 &lt;/ option&gt; &lt;option value = ""22""&gt; 22 &lt;/ option&gt; &lt;option value = ""23""&gt; 23 &lt;/ option&gt; &lt;option value = ""24""&gt; 24 &lt;/ option&gt; &lt;option value = ""25""&gt; 25 &lt;/ option&gt; &lt;option value = ""26""&gt; 26 &lt;/ option&gt; &lt;option value = ""27""&gt; 27 &lt;/ option&gt; &lt;option v"&amp;"alue = ""28""&gt; 28 &lt;/ option&gt; &lt;option value = ""29""&gt; 29 &lt;/ option&gt; &lt;option value = ""30""&gt; 30 &lt;/ option&gt; &lt;option value = ""31""&gt; 31 &lt;/ option&gt; &lt;/ select&gt; &lt;select tabindex = ""- 1"" class = ""airy-age-gate-year""&gt; &lt;option value = ""2019""&gt; 2019 &lt;/ option&gt; "&amp;"&lt; option value = ""2018""&gt; 2018 &lt;/ option&gt; &lt;option value = ""2017""&gt; 2017 &lt;/ option&gt; &lt;option value = ""2016""&gt; ​​2016 &lt;/ option&gt; &lt;option value = ""2015""&gt; 2015 &lt;/ option &gt; &lt;option value = ""2014""&gt; 2014 &lt;/ option&gt; &lt;option value = ""2013""&gt; 2013 &lt;/ option&gt;"&amp;" &lt;option value = ""2012""&gt; 2012 &lt;/ option&gt; &lt;option value = ""2011""&gt; 2011 &lt; / option&gt; &lt;option value = ""2010""&gt; 2010 &lt;/ option&gt; &lt;option value = ""2009""&gt; 2009 &lt;/ option&gt; &lt;option value = ""2008""&gt; 2008 &lt;/ option&gt; &lt;option value = ""2007""&gt; 2007 &lt;/ option&gt; &lt;"&amp;"option value = ""2006""&gt; 2006 &lt;/ option&gt; &lt;option value = ""2005""&gt; 2005 &lt;/ option&gt; &lt;option value = ""2004""&gt; 2004 &lt;/ option&gt; &lt;option value = ""2003 ""&gt; 2003 &lt;/ option&gt; &lt;option value ="" 2002 ""&gt; 2002 &lt;/ option&gt; &lt;option value ="" 2001 ""&gt; 2001 &lt;/ option&gt; &lt;"&amp;"option value ="" 2000 ""&gt; 2000 &lt;/ option&gt; &lt;option value = ""1999""&gt; 1999 &lt;/ option&gt; &lt;option value = ""1998""&gt; 1998 &lt;/ option&gt; &lt;option value = ""1997""&gt; 1997 &lt;/ option&gt; &lt;option value = ""1996""&gt; 1996 &lt;/ option&gt; &lt;option value = ""1995""&gt; 1995 &lt;/ option&gt; &lt;op"&amp;"tion value = ""1994""&gt; 1994 &lt;/ option&gt; &lt;option value = ""1993""&gt; 1993 &lt;/ option&gt; &lt;option value = ""1992""&gt; 1992 &lt;/ option&gt; &lt;option value = ""1991""&gt; 1991 &lt;/ option&gt; &lt;option value = ""1990""&gt; 1990 &lt;/ option&gt; &lt;option value = "" 1989 ""&gt; 1989 &lt;/ option&gt; &lt;opt"&amp;"ion value ="" 1988 ""&gt; 1988 &lt;/ option&gt; &lt;option value ="" 1987 ""&gt; 1987 &lt;/ option&gt; &lt;option value ="" 1986 ""&gt; 1986 &lt;/ option&gt; &lt;value option = ""1985""&gt; 1985 &lt;/ option&gt; &lt;option value = ""1984""&gt; 1984 &lt;/ option&gt; &lt;option value = ""1983""&gt; 1983 &lt;/ option&gt; &lt;opt"&amp;"ion value = ""1982""&gt; 1982 &lt;/ option&gt; &lt; option value = ""1981""&gt; 1981 &lt;/ option&gt; &lt;option value = ""1980""&gt; 1980 &lt;/ option&gt; &lt;option value = ""1979""&gt; 1979 &lt;/ option&gt; &lt;option value = ""1978""&gt; 1978 &lt;/ option &gt; &lt;option value = ""1977""&gt; 1977 &lt;/ option&gt; &lt;opti"&amp;"on value = ""1976""&gt; 1976 &lt;/ option&gt; &lt;option value = ""1975""&gt; 1975 &lt;/ option&gt; &lt;option value = ""1974""&gt; 1974 &lt; / option&gt; &lt;option value = ""1973""&gt; 1973 &lt;/ option&gt; &lt;option value = ""1972""&gt; 1972 &lt;/ option&gt; &lt;option value = ""1971""&gt; 1971 &lt;/ option&gt; &lt;option"&amp;" value = ""1970""&gt; 1970 &lt;/ option&gt; &lt;option value = ""1969""&gt; 1969 &lt;/ option&gt; &lt;option value = ""1968""&gt; 1968 &lt;/ option&gt; &lt;option value = ""1967""&gt; 1967 &lt;/ option&gt; &lt;option value = ""1966 ""&gt; 1966 &lt;/ option&gt; &lt;option value ="" 1965 ""&gt; 1965 &lt;/ option&gt; &lt;option "&amp;"value ="" 1964 ""&gt; 1964 &lt;/ option&gt; &lt;option value ="" 1963 ""&gt; 1963 &lt;/ option&gt; &lt;option value = ""1962""&gt; 1962 &lt;/ option&gt; &lt;option value = ""1961""&gt; 1961 &lt;/ option&gt; &lt;option value = ""1960""&gt; 1960 &lt;/ op tion&gt; &lt;option value = ""1959""&gt; 1959 &lt;/ option&gt; &lt;option "&amp;"value = ""1958""&gt; 1958 &lt;/ option&gt; &lt;option value = ""1957""&gt; 1957 &lt;/ option&gt; &lt;option value = ""1956""&gt; 1956 &lt;/ option&gt; &lt;option value = ""1955""&gt; 1955 &lt;/ option&gt; &lt;option value = ""1954""&gt; 1954 &lt;/ option&gt; &lt;option value = ""1953""&gt; 1953 &lt;/ option&gt; &lt;option val"&amp;"ue = ""1952"" &gt; 1952 &lt;/ option&gt; &lt;option value = ""1951""&gt; 1951 &lt;/ option&gt; &lt;option value = ""1950""&gt; 1950 &lt;/ option&gt; &lt;option value = ""1949""&gt; 1949 &lt;/ option&gt; &lt;option value = "" 1948 ""&gt; 1948 &lt;/ option&gt; &lt;option value ="" 1947 ""&gt; 1947 &lt;/ option&gt; &lt;option va"&amp;"lue ="" 1946 ""&gt; 1946 &lt;/ option&gt; &lt;option value ="" 1945 ""&gt; 1945 &lt;/ option&gt; &lt;value option = ""1944""&gt; 1944 &lt;/ option&gt; &lt;option value = ""1943""&gt; 1943 &lt;/ option&gt; &lt;option value = ""1942""&gt; 1942 &lt;/ option&gt; &lt;option value = ""1941""&gt; 1941 &lt;/ option&gt; &lt; option va"&amp;"lue = ""1940""&gt; 1940 &lt;/ option&gt; &lt;option value = ""1939""&gt; 1939 &lt;/ option&gt; &lt;option value = ""1938""&gt; 1938 &lt;/ option&gt; &lt;option value = ""1937""&gt; 1937 &lt;/ option &gt; &lt;option value = ""1936""&gt; 1936 &lt;/ option&gt; &lt;option value = ""1935""&gt; 1935 &lt;/ option&gt; &lt;option valu"&amp;"e = ""1934""&gt; 1934 &lt;/ option&gt; &lt;option value = ""1933""&gt; 1933 &lt; / option&gt; &lt;option value = ""1932""&gt; 1932 &lt;/ option&gt; &lt;option value = ""1931""&gt; 1931 &lt;/ option&gt; &lt;option v alue = ""1930""&gt; 1930 &lt;/ option&gt; &lt;option value = ""1929""&gt; 1929 &lt;/ option&gt; &lt;option value"&amp;" = ""1928""&gt; 1928 &lt;/ option&gt; &lt;option value = ""1927""&gt; 1927 &lt;/ option&gt; &lt;option value = ""1926""&gt; 1926 &lt;/ option&gt; &lt;option value = ""1925""&gt; 1925 &lt;/ option&gt; &lt;option value = ""1924""&gt; 1924 &lt;/ option&gt; &lt;option value = ""1923""&gt; 1923 &lt;/ option&gt; &lt;option value = "&amp;"""1922""&gt; 1922 &lt;/ option&gt; &lt;option value = ""1921""&gt; 1921 &lt;/ option&gt; &lt;option value = ""1920""&gt; 1920 &lt;/ option&gt; &lt;option value = ""1919""&gt; 1919 &lt;/ option&gt; &lt;option value = ""1918""&gt; 1918 &lt;/ option&gt; &lt;option value = ""1917""&gt; 1917 &lt;/ option&gt; &lt;option value = ""1"&amp;"916""&gt; 1916 &lt;/ option&gt; &lt;option value = ""1915"" &gt; 1915 &lt;/ option&gt; &lt;option value = ""1914""&gt; 1914 &lt;/ option&gt; &lt;option value = ""1913""&gt; 1913 &lt;/ option&gt; &lt;option value = ""1912""&gt; 1912 &lt;/ option&gt; &lt;option value = "" 1911 ""&gt; 1911 &lt;/ option&gt; &lt;option value ="" 1"&amp;"910 ""&gt; 1910 &lt;/ option&gt; &lt;option value ="" 1909 ""&gt; 1909 &lt;/ option&gt; &lt;option value ="" 1908 ""&gt; 1908 &lt;/ option&gt; &lt;value option = ""1907""&gt; 1907 &lt;/ option&gt; &lt;option value = ""1906""&gt; 1906 &lt;/ option&gt; &lt;option value = ""1905""&gt; 1905 &lt;/ option&gt; &lt;option value = ""1"&amp;"904""&gt; 1904 &lt;/ option&gt; &lt; option value = ""1903""&gt; 1903 &lt;/ option&gt; &lt;option value = ""1902""&gt; 1902 &lt;/ option&gt; &lt;option value = ""1901""&gt; 19 01 &lt;/ option&gt; &lt;option value = ""1900""&gt; 1900 &lt;/ option&gt; &lt;/ select&gt; &lt;div tabindex = ""- 1"" class = ""airy-age-gate-sub"&amp;"mit airy-submit-button airy airy-submit- disabled ""&gt; Submit &lt;/ div&gt; &lt;/ div&gt; &lt;/ div&gt; &lt;/ div&gt; &lt;/ div&gt; &lt;/ div&gt; &lt;div tabindex ="" - 1 ""class ="" airy-install-flash-dialog airy-stage airy -vertical-centering-table-dialog airy airy-denied ""style ="" opacity:"&amp;" 0; visibility: hidden; ""&gt; &lt;div tabindex ="" - 1 ""class ="" airy-install-flash-Vertical-centering-table-cell airy-Vertical-centering-table-cell ""&gt; &lt;div tabindex ="" - 1 ""class = ""airy-Vertical-centering-wrapper airy-install-flash-elements-wrapper""&gt; "&amp;"&lt;div tabindex = ""- 1"" class = ""airy-install-flash-elements airy-dialog-elements""&gt; &lt;div tabindex = "" -1 ""class ="" airy-install-flash-prompt ""&gt; Adobe Flash Player is required to watch this video &lt;/ div&gt; &lt;div tabindex =."" - 1 ""class ="" airy-instal"&amp;"l-flash-button-wrapper airy -dialog-inner-elements ""&gt; &lt;div tabindex ="" - 1 ""class ="" airy-install-flash-button airy-button ""&gt; install Flash Player &lt;/ div&gt; &lt;/ div&gt; &lt;/ div&gt; &lt;/ div&gt; &lt;/ div&gt; &lt;/ div&gt; &lt;div tabindex = ""- 1"" class = ""airy-video-unsupporte"&amp;"d-dialog airy-stage airy-Vertical-centering-table airy-dialog airy-denied"" style = ""opacity: 0; visibility: hidden; ""&gt; &lt;div tabindex ="" - 1 ""class ="" airy-video-unsupported-Vertical-centering-table-cell airy-Vertical-centering-table-cell ""&gt; &lt;div ta"&amp;"bindex ="" - 1 ""class = ""airy-Vertical-centering-wrapper airy-video-unsupported-elements-wrapper""&gt; &lt;div tabindex = ""- 1"" class = ""airy-video-unsupported-elements airy-dialog-elements""&gt; &lt;div tabindex = "" -1 ""class ="" airy-video-unsupported-prompt"&amp;" ""&gt; &lt;/ div&gt; &lt;/ div&gt; &lt;/ div&gt; &lt;/ div&gt; &lt;/ div&gt; &lt;div tabindex ="" - 1 ""class ="" airy-loading- spinner-stage airy-stage ""&gt; &lt;div tabindex ="" - 1 ""class ="" airy-loading-spinner-Vertical-centering-table-cell airy-Vertical-centering-table-cell ""&gt; &lt;div tabi"&amp;"ndex ="" - 1 ""class ="" airy-loading-spinner-container airy-scalable-hint-container ""&gt; &lt;div tabindex ="" - 1 ""class ="" airy-loading-spinner-dummy airy-scalable-dummy ""&gt; &lt;/ div&gt; &lt; div tabindex = ""- 1"" class = ""airy-loading-spinner airy-hint"" style"&amp;" = ""visibility: hidden;""&gt; &lt;/ div&gt; &lt;/ div&gt; &lt;/ div&gt; &lt;/ div&gt; &lt;div tabindex = ""- 1 ""class ="" airy-ads-screen-size-toggle airy-screen-size-toggle-fullscreen airy ""style ="" visibility: hidden; ""&gt; &lt;/ div&gt; &lt;div tabindex = ""-1"" class = ""airy-ad-prompt-c"&amp;"ontainer"" style = ""visibility: hidden;""&gt; &lt;div tabindex = ""- 1"" class = ""airy-ad-prompt-Vertical-centering-table-vertically airy centering-table ""&gt; &lt;div tabindex ="" - 1 ""class ="" airy-ad-prompt-Vertical-centering-table-cell airy-Vertical-centerin"&amp;"g-table-cell ""&gt; &lt;div tabindex ="" - 1 ""class = ""airy-ad-prompt-label""&gt; &lt;/ div&gt; &lt;/ div&gt; &lt;/ div&gt; &lt;/ div&gt; &lt;div tabindex = ""- 1"" class = ""airy-ads-controls-container"" style = ""visibility: hidden; ""&gt; &lt;div tabindex ="" - 1 ""class ="" airy-ads-audio-t"&amp;"oggle airy-audio-toggle airy-on ""style ="" visibility: hidden; ""&gt; &lt;/ div&gt; &lt;div tabindex ="" - 1 ""class ="" airy-time-remaining-label-container ""&gt; &lt;div tabindex ="" - 1 ""class ="" airy-time-remaining-Vertical-centering-table airy-Vertical-centering-ta"&amp;"ble ""&gt; &lt;div tabindex = ""- 1"" class = ""airy-time-remaining-Vertical-centering-table-cell airy-Vertical-centering-table-cell""&gt; &lt;div tabindex = ""- 1"" class = ""airy-Vertical-centering-wrapper airy-time-remaining-label-wrapper ""&gt; &lt;div tabindex ="" - 1"&amp;" ""class ="" airy-time-remaining-label ""style ="" visibility: hidden; ""&gt; &lt;/ div&gt; &lt;div tabi ndex = ""- 1"" class = ""airy-ad-skip"" style = ""visibility: hidden;""&gt; &lt;/ div&gt; &lt;div tabindex = ""- 1"" class = ""airy-ad-end"" style = ""visibility: hidden ""&gt; "&amp;"&lt;/ div&gt; &lt;/ div&gt; &lt;/ div&gt; &lt;/ div&gt; &lt;/ div&gt; &lt;div tabindex ="" - 1 ""class ="" airy-learn-more ""style ="" visibility: hidden; ""&gt; &lt;/ div&gt; &lt;/ div&gt; &lt;div tabindex = ""- 1"" class = ""airy-play-toggle-hint-stage airy-stage airy-cursor""&gt; &lt;div tabindex = ""- 1"" c"&amp;"lass = ""airy-play -toggle-hint-Vertical-centering-table-cell airy-Vertical-centering-table-cell airy-cursor ""&gt; &lt;div tabindex ="" - 1 ""class ="" airy-play-toggle-hint-container airy-scalable- Hint-container ""&gt; &lt;div tabindex ="" - 1 ""class ="" airy-pla"&amp;"y-toggle-hint-dummy airy-scalable-dummy ""&gt; &lt;/ div&gt; &lt;div tabindex ="" - 1 ""class ="" airy-play -toggle-hint hint airy-airy-play-hint ""style ="" opacity: 1; visibility: visible; ""&gt; &lt;/ div&gt; &lt;/ div&gt; &lt;/ div&gt; &lt;/ div&gt; &lt;div tabindex ="" - 1 ""class ="" airy-r"&amp;"eplay-hint-stage airy-stage ""style ="" visibility: hidden ; ""&gt; &lt;div tabindex ="" - 1 ""class ="" airy-replay-hint-Vertical-centering-table-cell airy-Vertical-centering-table-cell airy-cursor ""&gt; &lt;div tabindex ="" - 1 ""class = ""airy-replay-hint-contain"&amp;"er airy-scalable-hint-container""&gt; &lt;div tabindex = ""- 1"" class = ""airy-replay-hint-dummy airy-scalable-dummy""&gt; &lt;/ div&gt; &lt;div tabindex = ""- 1"" class = ""airy-replay-hint airy-hint""&gt; &lt;/ div&gt; &lt;/ div&gt; &lt;/ div&gt; &lt;/ div&gt; &lt;div tabindex = ""- 1"" class = ""ai"&amp;"ry-autoplay-hint -stage airy-stage ""style ="" visibility: hidden; ""&gt; &lt;div tabindex ="" - 1 ""class ="" airy-autoplay-hint-Vertical-centering-table-cell airy-Vertical-centering-table-cell airy- cursor ""&gt; &lt;div tabindex ="" - 1 ""class ="" autoplay airy-a"&amp;"iry-hint-container-scalable-hint-container ""&gt; &lt;div tabindex ="" - 1 ""class ="" airy-autoplay-hint-dummy airy- scalable-dummy ""&gt; &lt;/ div&gt; &lt;/ div&gt; &lt;/ div&gt; &lt;/ div&gt; &lt;/ div&gt; &lt;/ div&gt; &lt;input type ="" hidden ""name ="" ""value ="" https: // images-eu .ssl-image"&amp;"s-amazon.com / images / I / C1Ucp5NHVwS.mp4 ""Class ="" video-url ""&gt; &lt;input type ="" hidden ""name ="" ""value ="" https://images-eu.ssl-images-amazon.com/images/I/71nyqd8AVES.png ""class ="" video-slate-img-url ""&gt; &amp; nbsp; mixer-blender with many option"&amp;"s. I really like diferrnted preparations requiring this type of machine, smothies, pancakes, hummus, pasta for cannelloni ... I had a hand mixer that I was always small, with the ability of this (2l) and now I have the power I need versatility, it is also"&amp;" very easy to clean, water filled halfway, you put 2 drops lavabajilla, turn it on and rinse left alone. Very practical!")</f>
        <v>High Power good price &lt;div id = "video-block-R3I8TVS9NK0W3B" class = "a-section a-spacing-small a-spacing-top mini video-block"&gt; &lt;div tabindex = "0" class = "airy airy-svg vmin-supported airy-skin-beacon "style =" background-color: rgb (0, 0, 0) position: relative; width: 100%; height: 100%; font-size: 0px; overflow: hidden; outline: none; "&gt; &lt;div class =" airy-renderer-container "style =" position: relative; height: 100%; width: 100%; "&gt; &lt;video id =" 37 "preload =" auto " src = "https://images-eu.ssl-images-amazon.com/images/I/C1Ucp5NHVwS.mp4" style = "position: absolute; left: 0px; top: 0px; overflow: hidden; height: 1px; width: 1px; "&gt; &lt;/ video&gt; &lt;/ div&gt; &lt;div id =" airy-slate-preload "style =" background-color: rgb (0, 0, 0); background-image: url (&amp; quot; https : //images-eu.ssl-images-amazon.com/images/I/71nyqd8AVES.png&amp;quot;); background-size: Contain; background-position: center center; background-repeat: no-repeat; position: absolute; top: 0px; left: 0px; visibility: visible; width: 100%; height: 100%; "&gt; &lt;/ div&gt; &lt;ifram and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C1Ucp5NHVwS.mp4 "Class =" video-url "&gt; &lt;input type =" hidden "name =" "value =" https://images-eu.ssl-images-amazon.com/images/I/71nyqd8AVES.png "class =" video-slate-img-url "&gt; &amp; nbsp; mixer-blender with many options. I really like diferrnted preparations requiring this type of machine, smothies, pancakes, hummus, pasta for cannelloni ... I had a hand mixer that I was always small, with the ability of this (2l) and now I have the power I need versatility, it is also very easy to clean, water filled halfway, you put 2 drops lavabajilla, turn it on and rinse left alone. Very practical!</v>
      </c>
    </row>
    <row r="5211">
      <c r="A5211" s="1">
        <v>5.0</v>
      </c>
      <c r="B5211" s="1" t="s">
        <v>5180</v>
      </c>
      <c r="C5211" t="str">
        <f>IFERROR(__xludf.DUMMYFUNCTION("GOOGLETRANSLATE(B5211, ""es"", ""en"")"),"It is impeccable! Very cool and good qualities. Product real brand and is very cool.")</f>
        <v>It is impeccable! Very cool and good qualities. Product real brand and is very cool.</v>
      </c>
    </row>
    <row r="5212">
      <c r="A5212" s="1">
        <v>5.0</v>
      </c>
      <c r="B5212" s="1" t="s">
        <v>5181</v>
      </c>
      <c r="C5212" t="str">
        <f>IFERROR(__xludf.DUMMYFUNCTION("GOOGLETRANSLATE(B5212, ""es"", ""en"")"),"Casio is a ... little to contribute to something that we all know. Casio is infallible and eternal ... A watch fantastic as everyone made from this corporation.")</f>
        <v>Casio is a ... little to contribute to something that we all know. Casio is infallible and eternal ... A watch fantastic as everyone made from this corporation.</v>
      </c>
    </row>
    <row r="5213">
      <c r="A5213" s="1">
        <v>5.0</v>
      </c>
      <c r="B5213" s="1" t="s">
        <v>5182</v>
      </c>
      <c r="C5213" t="str">
        <f>IFERROR(__xludf.DUMMYFUNCTION("GOOGLETRANSLATE(B5213, ""es"", ""en"")"),"Perfect is perfect, as in the photo colors and everything looks good and does not weigh much. I'm glad I bought")</f>
        <v>Perfect is perfect, as in the photo colors and everything looks good and does not weigh much. I'm glad I bought</v>
      </c>
    </row>
    <row r="5214">
      <c r="A5214" s="1">
        <v>5.0</v>
      </c>
      <c r="B5214" s="1" t="s">
        <v>5183</v>
      </c>
      <c r="C5214" t="str">
        <f>IFERROR(__xludf.DUMMYFUNCTION("GOOGLETRANSLATE(B5214, ""es"", ""en"")"),"It's what you expect is what you expect and has also arrived earlier than expected. You can buy with confidence.")</f>
        <v>It's what you expect is what you expect and has also arrived earlier than expected. You can buy with confidence.</v>
      </c>
    </row>
    <row r="5215">
      <c r="A5215" s="1">
        <v>5.0</v>
      </c>
      <c r="B5215" s="1" t="s">
        <v>5184</v>
      </c>
      <c r="C5215" t="str">
        <f>IFERROR(__xludf.DUMMYFUNCTION("GOOGLETRANSLATE(B5215, ""es"", ""en"")"),"Perfect! The clock fine, good quality, the only thing is that I thought it was black I saw maybe bad picture but actually it's brown! But the rest really nice")</f>
        <v>Perfect! The clock fine, good quality, the only thing is that I thought it was black I saw maybe bad picture but actually it's brown! But the rest really nice</v>
      </c>
    </row>
    <row r="5216">
      <c r="A5216" s="1">
        <v>5.0</v>
      </c>
      <c r="B5216" s="1" t="s">
        <v>5185</v>
      </c>
      <c r="C5216" t="str">
        <f>IFERROR(__xludf.DUMMYFUNCTION("GOOGLETRANSLATE(B5216, ""es"", ""en"")"),"Just measure 👍🏻👍🏻")</f>
        <v>Just measure 👍🏻👍🏻</v>
      </c>
    </row>
    <row r="5217">
      <c r="A5217" s="1">
        <v>5.0</v>
      </c>
      <c r="B5217" s="1" t="s">
        <v>5186</v>
      </c>
      <c r="C5217" t="str">
        <f>IFERROR(__xludf.DUMMYFUNCTION("GOOGLETRANSLATE(B5217, ""es"", ""en"")"),"These fantastic sport tights are the most comfortable I've had stitches. Are perfect (and flattering) they are very comfortable and securely attach the belly area. I love. The size is true to the description. I ordered the XL and I look good (with other p"&amp;"roducts, the XL is equivalent to L and I are small, but these great). The only negative I would comment on is that they give a little bit of heat at rest.")</f>
        <v>These fantastic sport tights are the most comfortable I've had stitches. Are perfect (and flattering) they are very comfortable and securely attach the belly area. I love. The size is true to the description. I ordered the XL and I look good (with other products, the XL is equivalent to L and I are small, but these great). The only negative I would comment on is that they give a little bit of heat at rest.</v>
      </c>
    </row>
    <row r="5218">
      <c r="A5218" s="1">
        <v>2.0</v>
      </c>
      <c r="B5218" s="1" t="s">
        <v>5187</v>
      </c>
      <c r="C5218" t="str">
        <f>IFERROR(__xludf.DUMMYFUNCTION("GOOGLETRANSLATE(B5218, ""es"", ""en"")"),"Not fast consume too much time copying or moving files, I thought it was fault but I asked borrow one and the same. Use Mac and why not if you will not believe it but can take up to 7 min by passing 1GB")</f>
        <v>Not fast consume too much time copying or moving files, I thought it was fault but I asked borrow one and the same. Use Mac and why not if you will not believe it but can take up to 7 min by passing 1GB</v>
      </c>
    </row>
    <row r="5219">
      <c r="A5219" s="1">
        <v>3.0</v>
      </c>
      <c r="B5219" s="1" t="s">
        <v>5188</v>
      </c>
      <c r="C5219" t="str">
        <f>IFERROR(__xludf.DUMMYFUNCTION("GOOGLETRANSLATE(B5219, ""es"", ""en"")"),"Very heavy sound quality is pretty good but are quite heavy. Stand much of the ear so I do not recommend them for sports. If either you enter up to a little empty well insulated from the outside but if you do some light exercise are not at all comfortable"&amp;" and you can even fall.")</f>
        <v>Very heavy sound quality is pretty good but are quite heavy. Stand much of the ear so I do not recommend them for sports. If either you enter up to a little empty well insulated from the outside but if you do some light exercise are not at all comfortable and you can even fall.</v>
      </c>
    </row>
    <row r="5220">
      <c r="A5220" s="1">
        <v>3.0</v>
      </c>
      <c r="B5220" s="1" t="s">
        <v>5189</v>
      </c>
      <c r="C5220" t="str">
        <f>IFERROR(__xludf.DUMMYFUNCTION("GOOGLETRANSLATE(B5220, ""es"", ""en"")"),"Very small sizes too small, they really seem to silver, we will see over time if they retain their luster.")</f>
        <v>Very small sizes too small, they really seem to silver, we will see over time if they retain their luster.</v>
      </c>
    </row>
    <row r="5221">
      <c r="A5221" s="1">
        <v>1.0</v>
      </c>
      <c r="B5221" s="1" t="s">
        <v>5190</v>
      </c>
      <c r="C5221" t="str">
        <f>IFERROR(__xludf.DUMMYFUNCTION("GOOGLETRANSLATE(B5221, ""es"", ""en"")"),"Very badly botched finish, circles under stand that do not fit into the hollow q have the sole and poorly finished logo, returned")</f>
        <v>Very badly botched finish, circles under stand that do not fit into the hollow q have the sole and poorly finished logo, returned</v>
      </c>
    </row>
    <row r="5222">
      <c r="A5222" s="1">
        <v>1.0</v>
      </c>
      <c r="B5222" s="1" t="s">
        <v>5191</v>
      </c>
      <c r="C5222" t="str">
        <f>IFERROR(__xludf.DUMMYFUNCTION("GOOGLETRANSLATE(B5222, ""es"", ""en"")"),"Mal article I broke the first month of having it, there is a problem in anchoring the base and the other elements, causes it to lose power and can not be used. I changed it for another equal and the same thing has happened.")</f>
        <v>Mal article I broke the first month of having it, there is a problem in anchoring the base and the other elements, causes it to lose power and can not be used. I changed it for another equal and the same thing has happened.</v>
      </c>
    </row>
    <row r="5223">
      <c r="A5223" s="1">
        <v>4.0</v>
      </c>
      <c r="B5223" s="1" t="s">
        <v>5192</v>
      </c>
      <c r="C5223" t="str">
        <f>IFERROR(__xludf.DUMMYFUNCTION("GOOGLETRANSLATE(B5223, ""es"", ""en"")"),"Seems good quality'm happy")</f>
        <v>Seems good quality'm happy</v>
      </c>
    </row>
    <row r="5224">
      <c r="A5224" s="1">
        <v>4.0</v>
      </c>
      <c r="B5224" s="1" t="s">
        <v>5193</v>
      </c>
      <c r="C5224" t="str">
        <f>IFERROR(__xludf.DUMMYFUNCTION("GOOGLETRANSLATE(B5224, ""es"", ""en"")"),"good option to relieve pain patches are easy to install and provide enough heat from the beginning. I would have gone very well and I have not had to take any painkiller when've been wearing. I seem a little expensive but effective")</f>
        <v>good option to relieve pain patches are easy to install and provide enough heat from the beginning. I would have gone very well and I have not had to take any painkiller when've been wearing. I seem a little expensive but effective</v>
      </c>
    </row>
    <row r="5225">
      <c r="A5225" s="1">
        <v>4.0</v>
      </c>
      <c r="B5225" s="1" t="s">
        <v>5194</v>
      </c>
      <c r="C5225" t="str">
        <f>IFERROR(__xludf.DUMMYFUNCTION("GOOGLETRANSLATE(B5225, ""es"", ""en"")"),"It was more or less what I was looking a little smaller than I thought. Magnet function a little sparse but what it is valid for")</f>
        <v>It was more or less what I was looking a little smaller than I thought. Magnet function a little sparse but what it is valid for</v>
      </c>
    </row>
    <row r="5226">
      <c r="A5226" s="1">
        <v>4.0</v>
      </c>
      <c r="B5226" s="1" t="s">
        <v>5195</v>
      </c>
      <c r="C5226" t="str">
        <f>IFERROR(__xludf.DUMMYFUNCTION("GOOGLETRANSLATE(B5226, ""es"", ""en"")"),"Large mesh is great for M, I've had to return, the truth is not bad for the price you have, but the big stay was not as would a smaller, return by Amazon smoothly as ever Quick.")</f>
        <v>Large mesh is great for M, I've had to return, the truth is not bad for the price you have, but the big stay was not as would a smaller, return by Amazon smoothly as ever Quick.</v>
      </c>
    </row>
    <row r="5227">
      <c r="A5227" s="1">
        <v>4.0</v>
      </c>
      <c r="B5227" s="1" t="s">
        <v>5196</v>
      </c>
      <c r="C5227" t="str">
        <f>IFERROR(__xludf.DUMMYFUNCTION("GOOGLETRANSLATE(B5227, ""es"", ""en"")"),"Cool they are functional and very practical")</f>
        <v>Cool they are functional and very practical</v>
      </c>
    </row>
    <row r="5228">
      <c r="A5228" s="1">
        <v>5.0</v>
      </c>
      <c r="B5228" s="1" t="s">
        <v>5197</v>
      </c>
      <c r="C5228" t="str">
        <f>IFERROR(__xludf.DUMMYFUNCTION("GOOGLETRANSLATE(B5228, ""es"", ""en"")"),"Terrific comfort")</f>
        <v>Terrific comfort</v>
      </c>
    </row>
    <row r="5229">
      <c r="A5229" s="1">
        <v>5.0</v>
      </c>
      <c r="B5229" s="1" t="s">
        <v>5198</v>
      </c>
      <c r="C5229" t="str">
        <f>IFERROR(__xludf.DUMMYFUNCTION("GOOGLETRANSLATE(B5229, ""es"", ""en"")"),"Good quality design and quality")</f>
        <v>Good quality design and quality</v>
      </c>
    </row>
    <row r="5230">
      <c r="A5230" s="1">
        <v>5.0</v>
      </c>
      <c r="B5230" s="1" t="s">
        <v>5199</v>
      </c>
      <c r="C5230" t="str">
        <f>IFERROR(__xludf.DUMMYFUNCTION("GOOGLETRANSLATE(B5230, ""es"", ""en"")"),"Very good buy clock quality at an unbeatable price. I use it daily and for work. It has been quite a shock and is very durable.")</f>
        <v>Very good buy clock quality at an unbeatable price. I use it daily and for work. It has been quite a shock and is very durable.</v>
      </c>
    </row>
    <row r="5231">
      <c r="A5231" s="1">
        <v>5.0</v>
      </c>
      <c r="B5231" s="1" t="s">
        <v>5200</v>
      </c>
      <c r="C5231" t="str">
        <f>IFERROR(__xludf.DUMMYFUNCTION("GOOGLETRANSLATE(B5231, ""es"", ""en"")"),"Original and perfect in original size Son and my daughter love, have left us 82 euros,")</f>
        <v>Original and perfect in original size Son and my daughter love, have left us 82 euros,</v>
      </c>
    </row>
    <row r="5232">
      <c r="A5232" s="1">
        <v>5.0</v>
      </c>
      <c r="B5232" s="1" t="s">
        <v>5201</v>
      </c>
      <c r="C5232" t="str">
        <f>IFERROR(__xludf.DUMMYFUNCTION("GOOGLETRANSLATE(B5232, ""es"", ""en"")"),"Value are advertised as such, they are comfortable and used every day, the price also perfect.")</f>
        <v>Value are advertised as such, they are comfortable and used every day, the price also perfect.</v>
      </c>
    </row>
    <row r="5233">
      <c r="A5233" s="1">
        <v>5.0</v>
      </c>
      <c r="B5233" s="1" t="s">
        <v>5202</v>
      </c>
      <c r="C5233" t="str">
        <f>IFERROR(__xludf.DUMMYFUNCTION("GOOGLETRANSLATE(B5233, ""es"", ""en"")"),"Its low price and very nice quality Haber is not a hooded top quality, but for the money you have, the truth is that this perfect")</f>
        <v>Its low price and very nice quality Haber is not a hooded top quality, but for the money you have, the truth is that this perfect</v>
      </c>
    </row>
    <row r="5234">
      <c r="A5234" s="1">
        <v>5.0</v>
      </c>
      <c r="B5234" s="1" t="s">
        <v>5203</v>
      </c>
      <c r="C5234" t="str">
        <f>IFERROR(__xludf.DUMMYFUNCTION("GOOGLETRANSLATE(B5234, ""es"", ""en"")"),"Practical and ergonomic. &lt;Div id = ""video-block-RVEJLSI3ZSJU8"" class = ""a-section a-spacing-small a-spacing-top mini video-block""&gt; &lt;/ div&gt; &lt;input type = ""hidden"" name = """" value = ""https://images-eu.ssl-images-amazon.com/images/I/81ISGIrU50S.mp4"&amp;""" class = ""video-url""&gt; &lt;input type = ""hidden"" name = """" value = ""https: //images-eu.ssl-images-amazon.com/images/I/A1W-ZkaT1HS.png ""class ="" video-slate-img-url ""&gt; &amp; nbsp; I loved this blender / juicer laptop is very easy use and its appearance"&amp;" is very good (I is very robust and with good quality material). The blades are afilidasimas and make fruit porridge at a time, it is convenient to remove the blade power plug and take the wringer like a thermos to work. I made several shakes and I manage"&amp;"d to finish the full charge of the battery, so no battery for a while. Cleaning the pileup is very simple and quick, just have a thread and it would be ready to clean. Honestly, I can not be happier with this purchase, I love to put ice cubes in the batte"&amp;"r and then catch me later at work, you can take the whole juicer but I only took the part of the deposit in case.")</f>
        <v>Practical and ergonomic. &lt;Div id = "video-block-RVEJLSI3ZSJU8" class = "a-section a-spacing-small a-spacing-top mini video-block"&gt; &lt;/ div&gt; &lt;input type = "hidden" name = "" value = "https://images-eu.ssl-images-amazon.com/images/I/81ISGIrU50S.mp4" class = "video-url"&gt; &lt;input type = "hidden" name = "" value = "https: //images-eu.ssl-images-amazon.com/images/I/A1W-ZkaT1HS.png "class =" video-slate-img-url "&gt; &amp; nbsp; I loved this blender / juicer laptop is very easy use and its appearance is very good (I is very robust and with good quality material). The blades are afilidasimas and make fruit porridge at a time, it is convenient to remove the blade power plug and take the wringer like a thermos to work. I made several shakes and I managed to finish the full charge of the battery, so no battery for a while. Cleaning the pileup is very simple and quick, just have a thread and it would be ready to clean. Honestly, I can not be happier with this purchase, I love to put ice cubes in the batter and then catch me later at work, you can take the whole juicer but I only took the part of the deposit in case.</v>
      </c>
    </row>
    <row r="5235">
      <c r="A5235" s="1">
        <v>5.0</v>
      </c>
      <c r="B5235" s="1" t="s">
        <v>5204</v>
      </c>
      <c r="C5235" t="str">
        <f>IFERROR(__xludf.DUMMYFUNCTION("GOOGLETRANSLATE(B5235, ""es"", ""en"")"),"No, I was very good and ex nivelsble, like")</f>
        <v>No, I was very good and ex nivelsble, like</v>
      </c>
    </row>
    <row r="5236">
      <c r="A5236" s="1">
        <v>5.0</v>
      </c>
      <c r="B5236" s="1" t="s">
        <v>1108</v>
      </c>
      <c r="C5236" t="str">
        <f>IFERROR(__xludf.DUMMYFUNCTION("GOOGLETRANSLATE(B5236, ""es"", ""en"")"),"Perfect Love")</f>
        <v>Perfect Love</v>
      </c>
    </row>
    <row r="5237">
      <c r="A5237" s="1">
        <v>5.0</v>
      </c>
      <c r="B5237" s="1" t="s">
        <v>5205</v>
      </c>
      <c r="C5237" t="str">
        <f>IFERROR(__xludf.DUMMYFUNCTION("GOOGLETRANSLATE(B5237, ""es"", ""en"")"),"Good quality and good price. The expected. Perfect for the perfect replacement mop. I very pleased with this cleaning system and product quality.")</f>
        <v>Good quality and good price. The expected. Perfect for the perfect replacement mop. I very pleased with this cleaning system and product quality.</v>
      </c>
    </row>
    <row r="5238">
      <c r="A5238" s="1">
        <v>5.0</v>
      </c>
      <c r="B5238" s="1" t="s">
        <v>5206</v>
      </c>
      <c r="C5238" t="str">
        <f>IFERROR(__xludf.DUMMYFUNCTION("GOOGLETRANSLATE(B5238, ""es"", ""en"")"),"plenty of power very good vacuum cleaner, ye've bought four for several families and everyone is thrilled, simple operation, sucks very well, with both worth brushes all types of floors and carpets, a vacuum cleaner 10.")</f>
        <v>plenty of power very good vacuum cleaner, ye've bought four for several families and everyone is thrilled, simple operation, sucks very well, with both worth brushes all types of floors and carpets, a vacuum cleaner 10.</v>
      </c>
    </row>
    <row r="5239">
      <c r="A5239" s="1">
        <v>5.0</v>
      </c>
      <c r="B5239" s="1" t="s">
        <v>5207</v>
      </c>
      <c r="C5239" t="str">
        <f>IFERROR(__xludf.DUMMYFUNCTION("GOOGLETRANSLATE(B5239, ""es"", ""en"")"),"Nice and comfortable. You put them with jeans and are great. The've used on rainy days and thought it would come to nothing but water. Very happy with your purchase and comfort.")</f>
        <v>Nice and comfortable. You put them with jeans and are great. The've used on rainy days and thought it would come to nothing but water. Very happy with your purchase and comfort.</v>
      </c>
    </row>
    <row r="5240">
      <c r="A5240" s="1">
        <v>5.0</v>
      </c>
      <c r="B5240" s="1" t="s">
        <v>5208</v>
      </c>
      <c r="C5240" t="str">
        <f>IFERROR(__xludf.DUMMYFUNCTION("GOOGLETRANSLATE(B5240, ""es"", ""en"")"),"She needed scissors scissors that cut good and truth, which I have right")</f>
        <v>She needed scissors scissors that cut good and truth, which I have right</v>
      </c>
    </row>
    <row r="5241">
      <c r="A5241" s="1">
        <v>5.0</v>
      </c>
      <c r="B5241" s="1" t="s">
        <v>5209</v>
      </c>
      <c r="C5241" t="str">
        <f>IFERROR(__xludf.DUMMYFUNCTION("GOOGLETRANSLATE(B5241, ""es"", ""en"")"),"Drive very fast and small. Fantastic SSD. Very fast and small. If you're going to use on a Mac you have to activate the TRIM through the terminal. Very easy.")</f>
        <v>Drive very fast and small. Fantastic SSD. Very fast and small. If you're going to use on a Mac you have to activate the TRIM through the terminal. Very easy.</v>
      </c>
    </row>
    <row r="5242">
      <c r="A5242" s="1">
        <v>5.0</v>
      </c>
      <c r="B5242" s="1" t="s">
        <v>5210</v>
      </c>
      <c r="C5242" t="str">
        <f>IFERROR(__xludf.DUMMYFUNCTION("GOOGLETRANSLATE(B5242, ""es"", ""en"")"),"Very cool I have been pleasantly surprised, they are very cool, and the number I use 39 is what it is, look great, yes, if you have a bit wide best foot you clasped goals with a shoehorn that costs nothing because then zips up cost a little, I do, but bei"&amp;"ng so blanditas fit perfectly.")</f>
        <v>Very cool I have been pleasantly surprised, they are very cool, and the number I use 39 is what it is, look great, yes, if you have a bit wide best foot you clasped goals with a shoehorn that costs nothing because then zips up cost a little, I do, but being so blanditas fit perfectly.</v>
      </c>
    </row>
    <row r="5243">
      <c r="A5243" s="1">
        <v>5.0</v>
      </c>
      <c r="B5243" s="1" t="s">
        <v>5211</v>
      </c>
      <c r="C5243" t="str">
        <f>IFERROR(__xludf.DUMMYFUNCTION("GOOGLETRANSLATE(B5243, ""es"", ""en"")"),"Sneakers. So comfortable.")</f>
        <v>Sneakers. So comfortable.</v>
      </c>
    </row>
    <row r="5244">
      <c r="A5244" s="1">
        <v>5.0</v>
      </c>
      <c r="B5244" s="1" t="s">
        <v>5212</v>
      </c>
      <c r="C5244" t="str">
        <f>IFERROR(__xludf.DUMMYFUNCTION("GOOGLETRANSLATE(B5244, ""es"", ""en"")"),"Value I bought these headphones for my trips so we can remove noise around. I clearly successful. Not heard almost nothing about the noise. I am not an expert on the sound of music, so in my opinion has a very good sound these helmets. Best of all is that"&amp;" you can connect via bluetooth and so does not bother you any cable. Anyway, the cable also comes if at any time you want. Synchronization via Bluetooth is quick and without any problems. The battery lasts quite. They are very comfortable as they have goo"&amp;"d pads and fit. After spending many hours with them on I do not have any hassle. They have three buttons, the power button functions as play-pause and volume buttons. more and vol. least serve to advance song depending on the press to do. RIB come in a bl"&amp;"ack zippered pouch and inside has an elastic strip that headphones do not move.")</f>
        <v>Value I bought these headphones for my trips so we can remove noise around. I clearly successful. Not heard almost nothing about the noise. I am not an expert on the sound of music, so in my opinion has a very good sound these helmets. Best of all is that you can connect via bluetooth and so does not bother you any cable. Anyway, the cable also comes if at any time you want. Synchronization via Bluetooth is quick and without any problems. The battery lasts quite. They are very comfortable as they have good pads and fit. After spending many hours with them on I do not have any hassle. They have three buttons, the power button functions as play-pause and volume buttons. more and vol. least serve to advance song depending on the press to do. RIB come in a black zippered pouch and inside has an elastic strip that headphones do not move.</v>
      </c>
    </row>
    <row r="5245">
      <c r="A5245" s="1">
        <v>5.0</v>
      </c>
      <c r="B5245" s="1" t="s">
        <v>5213</v>
      </c>
      <c r="C5245" t="str">
        <f>IFERROR(__xludf.DUMMYFUNCTION("GOOGLETRANSLATE(B5245, ""es"", ""en"")"),"I like it because adherence and resilient see all you have is that the sides is too sticky and others that I used were not otherwise everything well")</f>
        <v>I like it because adherence and resilient see all you have is that the sides is too sticky and others that I used were not otherwise everything well</v>
      </c>
    </row>
    <row r="5246">
      <c r="A5246" s="1">
        <v>2.0</v>
      </c>
      <c r="B5246" s="1" t="s">
        <v>5214</v>
      </c>
      <c r="C5246" t="str">
        <f>IFERROR(__xludf.DUMMYFUNCTION("GOOGLETRANSLATE(B5246, ""es"", ""en"")"),"They should not be so fair and apparently carrying cords are seen as comfortable weigh not impossible but not sagging get enough. Descanbiarlas because I had not got metermelas for probarmelas. A shame because they are seen comfortable. I like the kind of"&amp;" cord that lead but I was disappointed.")</f>
        <v>They should not be so fair and apparently carrying cords are seen as comfortable weigh not impossible but not sagging get enough. Descanbiarlas because I had not got metermelas for probarmelas. A shame because they are seen comfortable. I like the kind of cord that lead but I was disappointed.</v>
      </c>
    </row>
    <row r="5247">
      <c r="A5247" s="1">
        <v>3.0</v>
      </c>
      <c r="B5247" s="1" t="s">
        <v>5215</v>
      </c>
      <c r="C5247" t="str">
        <f>IFERROR(__xludf.DUMMYFUNCTION("GOOGLETRANSLATE(B5247, ""es"", ""en"")"),"They are not wrong. They are not bad, they are quite comfortable, the problem we see is the battery does not last even two hours, an hour and a quarter or so is over, and I suppose that over time this will get worse, if it's for a talk one bit long as you"&amp;" stay half, the rest is not bad.")</f>
        <v>They are not wrong. They are not bad, they are quite comfortable, the problem we see is the battery does not last even two hours, an hour and a quarter or so is over, and I suppose that over time this will get worse, if it's for a talk one bit long as you stay half, the rest is not bad.</v>
      </c>
    </row>
    <row r="5248">
      <c r="A5248" s="1">
        <v>1.0</v>
      </c>
      <c r="B5248" s="1" t="s">
        <v>5216</v>
      </c>
      <c r="C5248" t="str">
        <f>IFERROR(__xludf.DUMMYFUNCTION("GOOGLETRANSLATE(B5248, ""es"", ""en"")"),"Neither he came in cash, and poor quality for snow, of course not, perhaps to be home. poor quality")</f>
        <v>Neither he came in cash, and poor quality for snow, of course not, perhaps to be home. poor quality</v>
      </c>
    </row>
    <row r="5249">
      <c r="A5249" s="1">
        <v>1.0</v>
      </c>
      <c r="B5249" s="1" t="s">
        <v>5217</v>
      </c>
      <c r="C5249" t="str">
        <f>IFERROR(__xludf.DUMMYFUNCTION("GOOGLETRANSLATE(B5249, ""es"", ""en"")"),"Does not meet my expectations were quickly warms the engine, so it is for, is not convenient to clean. I thought it was better quality, not recommended")</f>
        <v>Does not meet my expectations were quickly warms the engine, so it is for, is not convenient to clean. I thought it was better quality, not recommended</v>
      </c>
    </row>
    <row r="5250">
      <c r="A5250" s="1">
        <v>4.0</v>
      </c>
      <c r="B5250" s="1" t="s">
        <v>5218</v>
      </c>
      <c r="C5250" t="str">
        <f>IFERROR(__xludf.DUMMYFUNCTION("GOOGLETRANSLATE(B5250, ""es"", ""en"")"),"Good quality product quality is good. The size, however, is a bit larger than esperado.Prácticemente size L (requested) is framed between a L and XL.")</f>
        <v>Good quality product quality is good. The size, however, is a bit larger than esperado.Prácticemente size L (requested) is framed between a L and XL.</v>
      </c>
    </row>
    <row r="5251">
      <c r="A5251" s="1">
        <v>4.0</v>
      </c>
      <c r="B5251" s="1" t="s">
        <v>5219</v>
      </c>
      <c r="C5251" t="str">
        <f>IFERROR(__xludf.DUMMYFUNCTION("GOOGLETRANSLATE(B5251, ""es"", ""en"")"),"As explained in the web very comfortable and great for the fingers do not remain frozen")</f>
        <v>As explained in the web very comfortable and great for the fingers do not remain frozen</v>
      </c>
    </row>
    <row r="5252">
      <c r="A5252" s="1">
        <v>4.0</v>
      </c>
      <c r="B5252" s="1" t="s">
        <v>5220</v>
      </c>
      <c r="C5252" t="str">
        <f>IFERROR(__xludf.DUMMYFUNCTION("GOOGLETRANSLATE(B5252, ""es"", ""en"")"),"Blenders three in a very clean and very good at grinding")</f>
        <v>Blenders three in a very clean and very good at grinding</v>
      </c>
    </row>
    <row r="5253">
      <c r="A5253" s="1">
        <v>4.0</v>
      </c>
      <c r="B5253" s="1" t="s">
        <v>5221</v>
      </c>
      <c r="C5253" t="str">
        <f>IFERROR(__xludf.DUMMYFUNCTION("GOOGLETRANSLATE(B5253, ""es"", ""en"")"),"It works great. I am delighted, keeps my top q equal the first day when I staged it.")</f>
        <v>It works great. I am delighted, keeps my top q equal the first day when I staged it.</v>
      </c>
    </row>
    <row r="5254">
      <c r="A5254" s="1">
        <v>5.0</v>
      </c>
      <c r="B5254" s="1" t="s">
        <v>5222</v>
      </c>
      <c r="C5254" t="str">
        <f>IFERROR(__xludf.DUMMYFUNCTION("GOOGLETRANSLATE(B5254, ""es"", ""en"")"),"Are the original A fairly be cheaper than the shops I saw he was afraid that they were not original, but they are. My daughter bought them in London in the official store this summer and comparing them, are exactly alike. The number was right: I spend 38 "&amp;"and 38 asked. I remain perfect. I order arrived quickly and in perfect condition. Fully recommended.")</f>
        <v>Are the original A fairly be cheaper than the shops I saw he was afraid that they were not original, but they are. My daughter bought them in London in the official store this summer and comparing them, are exactly alike. The number was right: I spend 38 and 38 asked. I remain perfect. I order arrived quickly and in perfect condition. Fully recommended.</v>
      </c>
    </row>
    <row r="5255">
      <c r="A5255" s="1">
        <v>5.0</v>
      </c>
      <c r="B5255" s="1" t="s">
        <v>5223</v>
      </c>
      <c r="C5255" t="str">
        <f>IFERROR(__xludf.DUMMYFUNCTION("GOOGLETRANSLATE(B5255, ""es"", ""en"")"),"Perfect quality runing")</f>
        <v>Perfect quality runing</v>
      </c>
    </row>
    <row r="5256">
      <c r="A5256" s="1">
        <v>5.0</v>
      </c>
      <c r="B5256" s="1" t="s">
        <v>5224</v>
      </c>
      <c r="C5256" t="str">
        <f>IFERROR(__xludf.DUMMYFUNCTION("GOOGLETRANSLATE(B5256, ""es"", ""en"")"),"The quality Price ..... asked for my daughter and now is haunted by the price they can not ask them more .....")</f>
        <v>The quality Price ..... asked for my daughter and now is haunted by the price they can not ask them more .....</v>
      </c>
    </row>
    <row r="5257">
      <c r="A5257" s="1">
        <v>5.0</v>
      </c>
      <c r="B5257" s="1" t="s">
        <v>5225</v>
      </c>
      <c r="C5257" t="str">
        <f>IFERROR(__xludf.DUMMYFUNCTION("GOOGLETRANSLATE(B5257, ""es"", ""en"")"),"Quality ! I really liked the advise")</f>
        <v>Quality ! I really liked the advise</v>
      </c>
    </row>
    <row r="5258">
      <c r="A5258" s="1">
        <v>5.0</v>
      </c>
      <c r="B5258" s="1" t="s">
        <v>5226</v>
      </c>
      <c r="C5258" t="str">
        <f>IFERROR(__xludf.DUMMYFUNCTION("GOOGLETRANSLATE(B5258, ""es"", ""en"")"),"I had my doubts, but .... I was hesitant about buying this shoulder by features, price and size, but it was a success. Both of size and characteristics I find it very useful (water resistant and scratch). I saw several cheaper but certainly bandoliers thi"&amp;"s was the best choice.")</f>
        <v>I had my doubts, but .... I was hesitant about buying this shoulder by features, price and size, but it was a success. Both of size and characteristics I find it very useful (water resistant and scratch). I saw several cheaper but certainly bandoliers this was the best choice.</v>
      </c>
    </row>
    <row r="5259">
      <c r="A5259" s="1">
        <v>5.0</v>
      </c>
      <c r="B5259" s="1" t="s">
        <v>5227</v>
      </c>
      <c r="C5259" t="str">
        <f>IFERROR(__xludf.DUMMYFUNCTION("GOOGLETRANSLATE(B5259, ""es"", ""en"")"),"Best Value. All plastic finish but good.")</f>
        <v>Best Value. All plastic finish but good.</v>
      </c>
    </row>
    <row r="5260">
      <c r="A5260" s="1">
        <v>5.0</v>
      </c>
      <c r="B5260" s="1" t="s">
        <v>5228</v>
      </c>
      <c r="C5260" t="str">
        <f>IFERROR(__xludf.DUMMYFUNCTION("GOOGLETRANSLATE(B5260, ""es"", ""en"")"),"Good product arrived on time and very good value for money.")</f>
        <v>Good product arrived on time and very good value for money.</v>
      </c>
    </row>
    <row r="5261">
      <c r="A5261" s="1">
        <v>5.0</v>
      </c>
      <c r="B5261" s="1" t="s">
        <v>5229</v>
      </c>
      <c r="C5261" t="str">
        <f>IFERROR(__xludf.DUMMYFUNCTION("GOOGLETRANSLATE(B5261, ""es"", ""en"")"),"The purchase successful use in sporting activities (biking, hiking, continuous run) I think it will be very useful in my goals (reduce some of those surplus flab)")</f>
        <v>The purchase successful use in sporting activities (biking, hiking, continuous run) I think it will be very useful in my goals (reduce some of those surplus flab)</v>
      </c>
    </row>
    <row r="5262">
      <c r="A5262" s="1">
        <v>5.0</v>
      </c>
      <c r="B5262" s="1" t="s">
        <v>5230</v>
      </c>
      <c r="C5262" t="str">
        <f>IFERROR(__xludf.DUMMYFUNCTION("GOOGLETRANSLATE(B5262, ""es"", ""en"")"),"Electronic pad Touch me looks nice. And what I like is that it has automatic shut off, do not have to lie or to sleep with the fear that is plugged .. 6 different potenciass Command, put it best butt and then when regular hot.")</f>
        <v>Electronic pad Touch me looks nice. And what I like is that it has automatic shut off, do not have to lie or to sleep with the fear that is plugged .. 6 different potenciass Command, put it best butt and then when regular hot.</v>
      </c>
    </row>
    <row r="5263">
      <c r="A5263" s="1">
        <v>5.0</v>
      </c>
      <c r="B5263" s="1" t="s">
        <v>5231</v>
      </c>
      <c r="C5263" t="str">
        <f>IFERROR(__xludf.DUMMYFUNCTION("GOOGLETRANSLATE(B5263, ""es"", ""en"")"),"Good quality pitcher works great, heats water in a very short time and keeps the time you want, plus the size of the container is large enough and materials and aesthetics are very buenas.parece that will last a long time.")</f>
        <v>Good quality pitcher works great, heats water in a very short time and keeps the time you want, plus the size of the container is large enough and materials and aesthetics are very buenas.parece that will last a long time.</v>
      </c>
    </row>
    <row r="5264">
      <c r="A5264" s="1">
        <v>5.0</v>
      </c>
      <c r="B5264" s="1" t="s">
        <v>5232</v>
      </c>
      <c r="C5264" t="str">
        <f>IFERROR(__xludf.DUMMYFUNCTION("GOOGLETRANSLATE(B5264, ""es"", ""en"")"),"I look great sneakers are lightweight and comfortable, also they breathe well")</f>
        <v>I look great sneakers are lightweight and comfortable, also they breathe well</v>
      </c>
    </row>
    <row r="5265">
      <c r="A5265" s="1">
        <v>5.0</v>
      </c>
      <c r="B5265" s="1" t="s">
        <v>5233</v>
      </c>
      <c r="C5265" t="str">
        <f>IFERROR(__xludf.DUMMYFUNCTION("GOOGLETRANSLATE(B5265, ""es"", ""en"")"),"Excellent I loved ... I have come very fast and in good packaging. As for the vacuum cleaner itself, it is ... very beautiful, powerful and comfortable pump. As only negative thing, adding that it is a bit noisier than I expected")</f>
        <v>Excellent I loved ... I have come very fast and in good packaging. As for the vacuum cleaner itself, it is ... very beautiful, powerful and comfortable pump. As only negative thing, adding that it is a bit noisier than I expected</v>
      </c>
    </row>
    <row r="5266">
      <c r="A5266" s="1">
        <v>5.0</v>
      </c>
      <c r="B5266" s="1" t="s">
        <v>5234</v>
      </c>
      <c r="C5266" t="str">
        <f>IFERROR(__xludf.DUMMYFUNCTION("GOOGLETRANSLATE(B5266, ""es"", ""en"")"),"Good result already taken a few weeks with her and has not taken a problem. Light, comfortable and griddle. recommendable")</f>
        <v>Good result already taken a few weeks with her and has not taken a problem. Light, comfortable and griddle. recommendable</v>
      </c>
    </row>
    <row r="5267">
      <c r="A5267" s="1">
        <v>5.0</v>
      </c>
      <c r="B5267" s="1" t="s">
        <v>5235</v>
      </c>
      <c r="C5267" t="str">
        <f>IFERROR(__xludf.DUMMYFUNCTION("GOOGLETRANSLATE(B5267, ""es"", ""en"")"),"Great conpra Very comfortable light and they are beautiful. I work abroad and are completely waterproof. 10")</f>
        <v>Great conpra Very comfortable light and they are beautiful. I work abroad and are completely waterproof. 10</v>
      </c>
    </row>
    <row r="5268">
      <c r="A5268" s="1">
        <v>5.0</v>
      </c>
      <c r="B5268" s="1" t="s">
        <v>5236</v>
      </c>
      <c r="C5268" t="str">
        <f>IFERROR(__xludf.DUMMYFUNCTION("GOOGLETRANSLATE(B5268, ""es"", ""en"")"),"great vacuum cleaner! It is great for home, slides and moves very well. It is a great price for the quality and absorption power it has. In addition, other heads are great for small sites or for the car")</f>
        <v>great vacuum cleaner! It is great for home, slides and moves very well. It is a great price for the quality and absorption power it has. In addition, other heads are great for small sites or for the car</v>
      </c>
    </row>
    <row r="5269">
      <c r="A5269" s="1">
        <v>5.0</v>
      </c>
      <c r="B5269" s="1" t="s">
        <v>5237</v>
      </c>
      <c r="C5269" t="str">
        <f>IFERROR(__xludf.DUMMYFUNCTION("GOOGLETRANSLATE(B5269, ""es"", ""en"")"),"Good money is a great product, has very good audio and microphone. headband fits nicely in addition to being padded does not bother you in the head. The only bad thing, sometimes bother padded earphones ears a little, I guess it's a matter of adaptation.")</f>
        <v>Good money is a great product, has very good audio and microphone. headband fits nicely in addition to being padded does not bother you in the head. The only bad thing, sometimes bother padded earphones ears a little, I guess it's a matter of adaptation.</v>
      </c>
    </row>
    <row r="5270">
      <c r="A5270" s="1">
        <v>5.0</v>
      </c>
      <c r="B5270" s="1" t="s">
        <v>5238</v>
      </c>
      <c r="C5270" t="str">
        <f>IFERROR(__xludf.DUMMYFUNCTION("GOOGLETRANSLATE(B5270, ""es"", ""en"")"),"Very effective and natural. I thought it would not work but it's going very well. Especially noticeable on a few days. It had bad odor in a closed many years ago and did not want to take freshener. It has taken almost everything. Highly effective.")</f>
        <v>Very effective and natural. I thought it would not work but it's going very well. Especially noticeable on a few days. It had bad odor in a closed many years ago and did not want to take freshener. It has taken almost everything. Highly effective.</v>
      </c>
    </row>
    <row r="5271">
      <c r="A5271" s="1">
        <v>5.0</v>
      </c>
      <c r="B5271" s="1" t="s">
        <v>5239</v>
      </c>
      <c r="C5271" t="str">
        <f>IFERROR(__xludf.DUMMYFUNCTION("GOOGLETRANSLATE(B5271, ""es"", ""en"")"),"Value very good for the price, it's very good, I use it every day and is very good")</f>
        <v>Value very good for the price, it's very good, I use it every day and is very good</v>
      </c>
    </row>
    <row r="5272">
      <c r="A5272" s="1">
        <v>5.0</v>
      </c>
      <c r="B5272" s="1" t="s">
        <v>1425</v>
      </c>
      <c r="C5272" t="str">
        <f>IFERROR(__xludf.DUMMYFUNCTION("GOOGLETRANSLATE(B5272, ""es"", ""en"")"),"perfect perfect")</f>
        <v>perfect perfect</v>
      </c>
    </row>
    <row r="5273">
      <c r="A5273" s="1">
        <v>2.0</v>
      </c>
      <c r="B5273" s="1" t="s">
        <v>5240</v>
      </c>
      <c r="C5273" t="str">
        <f>IFERROR(__xludf.DUMMYFUNCTION("GOOGLETRANSLATE(B5273, ""es"", ""en"")"),"Unhappy with the quality of the product package arrived on time from one day to another, but the product, the price does not match the quality of the product, looks more like a clock 4 euros, that of 13 and paid for. The only good thing is that if you hav"&amp;"e a large wrist you'll be fine")</f>
        <v>Unhappy with the quality of the product package arrived on time from one day to another, but the product, the price does not match the quality of the product, looks more like a clock 4 euros, that of 13 and paid for. The only good thing is that if you have a large wrist you'll be fine</v>
      </c>
    </row>
    <row r="5274">
      <c r="A5274" s="1">
        <v>3.0</v>
      </c>
      <c r="B5274" s="1" t="s">
        <v>5241</v>
      </c>
      <c r="C5274" t="str">
        <f>IFERROR(__xludf.DUMMYFUNCTION("GOOGLETRANSLATE(B5274, ""es"", ""en"")"),"Give little carving understand that it is a product that should be attached to the body, but the sizing is a little short, I use size S usually T-shirts, and this could not go (well yes, but I pressed much waist and arms). I recommend getting a full size.")</f>
        <v>Give little carving understand that it is a product that should be attached to the body, but the sizing is a little short, I use size S usually T-shirts, and this could not go (well yes, but I pressed much waist and arms). I recommend getting a full size.</v>
      </c>
    </row>
    <row r="5275">
      <c r="A5275" s="1">
        <v>3.0</v>
      </c>
      <c r="B5275" s="1" t="s">
        <v>5242</v>
      </c>
      <c r="C5275" t="str">
        <f>IFERROR(__xludf.DUMMYFUNCTION("GOOGLETRANSLATE(B5275, ""es"", ""en"")"),"Celo A heat medium quality not very good, but also to break the first, how good was the price that came 8 rolls, we heat at home for a few years.")</f>
        <v>Celo A heat medium quality not very good, but also to break the first, how good was the price that came 8 rolls, we heat at home for a few years.</v>
      </c>
    </row>
    <row r="5276">
      <c r="A5276" s="1">
        <v>1.0</v>
      </c>
      <c r="B5276" s="1" t="s">
        <v>5243</v>
      </c>
      <c r="C5276" t="str">
        <f>IFERROR(__xludf.DUMMYFUNCTION("GOOGLETRANSLATE(B5276, ""es"", ""en"")"),"Not suitable for Slime My daughter bought it to make slime and does not work. So my purchase can not qualify as positive.")</f>
        <v>Not suitable for Slime My daughter bought it to make slime and does not work. So my purchase can not qualify as positive.</v>
      </c>
    </row>
    <row r="5277">
      <c r="A5277" s="1">
        <v>1.0</v>
      </c>
      <c r="B5277" s="1" t="s">
        <v>5244</v>
      </c>
      <c r="C5277" t="str">
        <f>IFERROR(__xludf.DUMMYFUNCTION("GOOGLETRANSLATE(B5277, ""es"", ""en"")"),"White is not transparent Too bad I bought why put it was white and not white is transparent and everything else.")</f>
        <v>White is not transparent Too bad I bought why put it was white and not white is transparent and everything else.</v>
      </c>
    </row>
    <row r="5278">
      <c r="A5278" s="1">
        <v>4.0</v>
      </c>
      <c r="B5278" s="1" t="s">
        <v>5245</v>
      </c>
      <c r="C5278" t="str">
        <f>IFERROR(__xludf.DUMMYFUNCTION("GOOGLETRANSLATE(B5278, ""es"", ""en"")"),"Good nice watch Casio watch with a price set with several options for saving time, turns, etc. It fits well even in children. My 8 year old son has stayed with him.")</f>
        <v>Good nice watch Casio watch with a price set with several options for saving time, turns, etc. It fits well even in children. My 8 year old son has stayed with him.</v>
      </c>
    </row>
    <row r="5279">
      <c r="A5279" s="1">
        <v>4.0</v>
      </c>
      <c r="B5279" s="1" t="s">
        <v>5246</v>
      </c>
      <c r="C5279" t="str">
        <f>IFERROR(__xludf.DUMMYFUNCTION("GOOGLETRANSLATE(B5279, ""es"", ""en"")"),"Well well in amplitube iphone6s it sounds good in amplifier or even a minicadena.entretenido to test and good value precio.recomiendo for iPhone")</f>
        <v>Well well in amplitube iphone6s it sounds good in amplifier or even a minicadena.entretenido to test and good value precio.recomiendo for iPhone</v>
      </c>
    </row>
    <row r="5280">
      <c r="A5280" s="1">
        <v>4.0</v>
      </c>
      <c r="B5280" s="1" t="s">
        <v>5247</v>
      </c>
      <c r="C5280" t="str">
        <f>IFERROR(__xludf.DUMMYFUNCTION("GOOGLETRANSLATE(B5280, ""es"", ""en"")"),"EXCELLENT! buy the best I could do. So far all memory cards that I bought did not last more than two weeks, all data is eliminated, but with this I have not had any problems. Compatibility with other Samsung devices is excellent, much better than cards fr"&amp;"om other brands. Data synchronization is very fast, thanks to the SD adapter that brings, is compatible with virtually any device. It really is a highly recommended purchase if you want a very functional, compatible and durable card.")</f>
        <v>EXCELLENT! buy the best I could do. So far all memory cards that I bought did not last more than two weeks, all data is eliminated, but with this I have not had any problems. Compatibility with other Samsung devices is excellent, much better than cards from other brands. Data synchronization is very fast, thanks to the SD adapter that brings, is compatible with virtually any device. It really is a highly recommended purchase if you want a very functional, compatible and durable card.</v>
      </c>
    </row>
    <row r="5281">
      <c r="A5281" s="1">
        <v>4.0</v>
      </c>
      <c r="B5281" s="1" t="s">
        <v>5248</v>
      </c>
      <c r="C5281" t="str">
        <f>IFERROR(__xludf.DUMMYFUNCTION("GOOGLETRANSLATE(B5281, ""es"", ""en"")"),"It's like me is not served to study lamp.")</f>
        <v>It's like me is not served to study lamp.</v>
      </c>
    </row>
    <row r="5282">
      <c r="A5282" s="1">
        <v>4.0</v>
      </c>
      <c r="B5282" s="1" t="s">
        <v>5249</v>
      </c>
      <c r="C5282" t="str">
        <f>IFERROR(__xludf.DUMMYFUNCTION("GOOGLETRANSLATE(B5282, ""es"", ""en"")"),"If the end, if they give good result, good buy. I buy the second. The first was for a gift and happy ha, the second for my wife who also liked. Good finishes and good value for money. Maybe a little small.")</f>
        <v>If the end, if they give good result, good buy. I buy the second. The first was for a gift and happy ha, the second for my wife who also liked. Good finishes and good value for money. Maybe a little small.</v>
      </c>
    </row>
    <row r="5283">
      <c r="A5283" s="1">
        <v>5.0</v>
      </c>
      <c r="B5283" s="1" t="s">
        <v>5250</v>
      </c>
      <c r="C5283" t="str">
        <f>IFERROR(__xludf.DUMMYFUNCTION("GOOGLETRANSLATE(B5283, ""es"", ""en"")"),"Fully recommended After more than a year writing the opinion and if I could buy them again, I guess it would buy the 2GB or more. I bought two disks to install on a NAS carrying on since then (May 2013), turn it off some nights, but back tomorrow to work,"&amp;" right now I have done a test disc and no error, besides being quite silent . So I can only say that encantadisimo. I read some negative opinions of the disks but I ""took a chance"" WD is a reliable brand but it is impossible that 100% of products out wi"&amp;"thout errors. Summarizing highly recommended product. By shipping, package, date, etc, then what to say ... as usual Amazon October 1.")</f>
        <v>Fully recommended After more than a year writing the opinion and if I could buy them again, I guess it would buy the 2GB or more. I bought two disks to install on a NAS carrying on since then (May 2013), turn it off some nights, but back tomorrow to work, right now I have done a test disc and no error, besides being quite silent . So I can only say that encantadisimo. I read some negative opinions of the disks but I "took a chance" WD is a reliable brand but it is impossible that 100% of products out without errors. Summarizing highly recommended product. By shipping, package, date, etc, then what to say ... as usual Amazon October 1.</v>
      </c>
    </row>
    <row r="5284">
      <c r="A5284" s="1">
        <v>5.0</v>
      </c>
      <c r="B5284" s="1" t="s">
        <v>5251</v>
      </c>
      <c r="C5284" t="str">
        <f>IFERROR(__xludf.DUMMYFUNCTION("GOOGLETRANSLATE(B5284, ""es"", ""en"")"),"Pretty and cheap. It gives a nice massage to the scalp. The tips are protected to avoid scratching.")</f>
        <v>Pretty and cheap. It gives a nice massage to the scalp. The tips are protected to avoid scratching.</v>
      </c>
    </row>
    <row r="5285">
      <c r="A5285" s="1">
        <v>5.0</v>
      </c>
      <c r="B5285" s="1" t="s">
        <v>5252</v>
      </c>
      <c r="C5285" t="str">
        <f>IFERROR(__xludf.DUMMYFUNCTION("GOOGLETRANSLATE(B5285, ""es"", ""en"")"),"Incredible. 10 quality and performance helmets down a treat. Perfect in every moment. They fit quite well in the ear and not fall. Ideal for any sport or activity. It binds perfect time and not lose the signal. The touch is amazing and perfect answers. I "&amp;"had one physical button and they are immensely more comfortable. Nothing to do. Autonomy are between 3:30 and 4h without charge. The box is a little weak but doing very well and are perfectly. The box is the smallest I've had perfect for a pocket.")</f>
        <v>Incredible. 10 quality and performance helmets down a treat. Perfect in every moment. They fit quite well in the ear and not fall. Ideal for any sport or activity. It binds perfect time and not lose the signal. The touch is amazing and perfect answers. I had one physical button and they are immensely more comfortable. Nothing to do. Autonomy are between 3:30 and 4h without charge. The box is a little weak but doing very well and are perfectly. The box is the smallest I've had perfect for a pocket.</v>
      </c>
    </row>
    <row r="5286">
      <c r="A5286" s="1">
        <v>5.0</v>
      </c>
      <c r="B5286" s="1" t="s">
        <v>5253</v>
      </c>
      <c r="C5286" t="str">
        <f>IFERROR(__xludf.DUMMYFUNCTION("GOOGLETRANSLATE(B5286, ""es"", ""en"")"),"They are top !! Perfect !!")</f>
        <v>They are top !! Perfect !!</v>
      </c>
    </row>
    <row r="5287">
      <c r="A5287" s="1">
        <v>5.0</v>
      </c>
      <c r="B5287" s="1" t="s">
        <v>5254</v>
      </c>
      <c r="C5287" t="str">
        <f>IFERROR(__xludf.DUMMYFUNCTION("GOOGLETRANSLATE(B5287, ""es"", ""en"")"),"A trevol arrived earlier than expected, is as shown in the image .I liked it really cool, when you change color, my mother asked me to another for her and my sister.")</f>
        <v>A trevol arrived earlier than expected, is as shown in the image .I liked it really cool, when you change color, my mother asked me to another for her and my sister.</v>
      </c>
    </row>
    <row r="5288">
      <c r="A5288" s="1">
        <v>5.0</v>
      </c>
      <c r="B5288" s="1" t="s">
        <v>5255</v>
      </c>
      <c r="C5288" t="str">
        <f>IFERROR(__xludf.DUMMYFUNCTION("GOOGLETRANSLATE(B5288, ""es"", ""en"")"),"Brilliant and the best shopping done. Very good quality and presentation. Apart from other watches in the same range.")</f>
        <v>Brilliant and the best shopping done. Very good quality and presentation. Apart from other watches in the same range.</v>
      </c>
    </row>
    <row r="5289">
      <c r="A5289" s="1">
        <v>5.0</v>
      </c>
      <c r="B5289" s="1" t="s">
        <v>5256</v>
      </c>
      <c r="C5289" t="str">
        <f>IFERROR(__xludf.DUMMYFUNCTION("GOOGLETRANSLATE(B5289, ""es"", ""en"")"),"Headphones correct value for money We have liked these headphones, I bought for my boyfriend who used to work for both listening to music and to receive calls and is happy, says you hear great and have not given any problems the days it takes to use them,"&amp;" use them daily. The sound is correct, the material seems to quality, looks like it will last quite and design is sober but nice. They come with a clip if you want them hooked. Come beautifully presented in a box, can be used as a detail with someone :) T"&amp;"here is nothing that we do not have enjoyed the moment.")</f>
        <v>Headphones correct value for money We have liked these headphones, I bought for my boyfriend who used to work for both listening to music and to receive calls and is happy, says you hear great and have not given any problems the days it takes to use them, use them daily. The sound is correct, the material seems to quality, looks like it will last quite and design is sober but nice. They come with a clip if you want them hooked. Come beautifully presented in a box, can be used as a detail with someone :) There is nothing that we do not have enjoyed the moment.</v>
      </c>
    </row>
    <row r="5290">
      <c r="A5290" s="1">
        <v>5.0</v>
      </c>
      <c r="B5290" s="1" t="s">
        <v>5257</v>
      </c>
      <c r="C5290" t="str">
        <f>IFERROR(__xludf.DUMMYFUNCTION("GOOGLETRANSLATE(B5290, ""es"", ""en"")"),"Perfect Perfect equal to or better than the originals. I'll buy it.")</f>
        <v>Perfect Perfect equal to or better than the originals. I'll buy it.</v>
      </c>
    </row>
    <row r="5291">
      <c r="A5291" s="1">
        <v>5.0</v>
      </c>
      <c r="B5291" s="1" t="s">
        <v>5258</v>
      </c>
      <c r="C5291" t="str">
        <f>IFERROR(__xludf.DUMMYFUNCTION("GOOGLETRANSLATE(B5291, ""es"", ""en"")"),"Value for the price it is up to other higher-priced products and more popularity. Nothing negative, to the contrary, quality cable tested a Fender Hot Rod Deluxe III with pedalboard and Gibson Les Paul and no background noise, all is said. PS: Delivery as"&amp;" always perfect both in time and in packaging and detallazo of the seller I was not expecting at all.")</f>
        <v>Value for the price it is up to other higher-priced products and more popularity. Nothing negative, to the contrary, quality cable tested a Fender Hot Rod Deluxe III with pedalboard and Gibson Les Paul and no background noise, all is said. PS: Delivery as always perfect both in time and in packaging and detallazo of the seller I was not expecting at all.</v>
      </c>
    </row>
    <row r="5292">
      <c r="A5292" s="1">
        <v>5.0</v>
      </c>
      <c r="B5292" s="1" t="s">
        <v>5259</v>
      </c>
      <c r="C5292" t="str">
        <f>IFERROR(__xludf.DUMMYFUNCTION("GOOGLETRANSLATE(B5292, ""es"", ""en"")"),"Simple to use and great desonide quality Great sound quality")</f>
        <v>Simple to use and great desonide quality Great sound quality</v>
      </c>
    </row>
    <row r="5293">
      <c r="A5293" s="1">
        <v>5.0</v>
      </c>
      <c r="B5293" s="1" t="s">
        <v>5260</v>
      </c>
      <c r="C5293" t="str">
        <f>IFERROR(__xludf.DUMMYFUNCTION("GOOGLETRANSLATE(B5293, ""es"", ""en"")"),"Very pleased with purchase very happy with the description and image of the product to find it. Delivered earlier than expected. Perfect Tracking Highly recommended.")</f>
        <v>Very pleased with purchase very happy with the description and image of the product to find it. Delivered earlier than expected. Perfect Tracking Highly recommended.</v>
      </c>
    </row>
    <row r="5294">
      <c r="A5294" s="1">
        <v>5.0</v>
      </c>
      <c r="B5294" s="1" t="s">
        <v>5261</v>
      </c>
      <c r="C5294" t="str">
        <f>IFERROR(__xludf.DUMMYFUNCTION("GOOGLETRANSLATE(B5294, ""es"", ""en"")"),"Utility much I loved this product. They have other removable hard, are very useful to me ,. I am testing this brand, but so far everything is going great, My five stars for this brand and seller.")</f>
        <v>Utility much I loved this product. They have other removable hard, are very useful to me ,. I am testing this brand, but so far everything is going great, My five stars for this brand and seller.</v>
      </c>
    </row>
    <row r="5295">
      <c r="A5295" s="1">
        <v>5.0</v>
      </c>
      <c r="B5295" s="1" t="s">
        <v>5262</v>
      </c>
      <c r="C5295" t="str">
        <f>IFERROR(__xludf.DUMMYFUNCTION("GOOGLETRANSLATE(B5295, ""es"", ""en"")"),"A great buy had previously bought another disk the same, but 500GB to replace the internal disk of an iMac 21 ""and the operation has been very good, so I bought this to replace the internal disk of a laptop HP Pavillion that was very slow and got very ho"&amp;"t. with this album the slowness problems have completely disappeared and the operating temperature (and hence the noise of the fan) has dropped several degrees. highly recommended, especially when there is an offer price because if not, it is expensive.")</f>
        <v>A great buy had previously bought another disk the same, but 500GB to replace the internal disk of an iMac 21 "and the operation has been very good, so I bought this to replace the internal disk of a laptop HP Pavillion that was very slow and got very hot. with this album the slowness problems have completely disappeared and the operating temperature (and hence the noise of the fan) has dropped several degrees. highly recommended, especially when there is an offer price because if not, it is expensive.</v>
      </c>
    </row>
    <row r="5296">
      <c r="A5296" s="1">
        <v>5.0</v>
      </c>
      <c r="B5296" s="1" t="s">
        <v>5263</v>
      </c>
      <c r="C5296" t="str">
        <f>IFERROR(__xludf.DUMMYFUNCTION("GOOGLETRANSLATE(B5296, ""es"", ""en"")"),"Very happy. The highly recommend it. Powerful, beautiful and makes little noise. Very happy. The highly recommend it. Powerful, beautiful and makes little noise. I love to see it over my counter. The glass is very large.")</f>
        <v>Very happy. The highly recommend it. Powerful, beautiful and makes little noise. Very happy. The highly recommend it. Powerful, beautiful and makes little noise. I love to see it over my counter. The glass is very large.</v>
      </c>
    </row>
    <row r="5297">
      <c r="A5297" s="1">
        <v>5.0</v>
      </c>
      <c r="B5297" s="1" t="s">
        <v>5264</v>
      </c>
      <c r="C5297" t="str">
        <f>IFERROR(__xludf.DUMMYFUNCTION("GOOGLETRANSLATE(B5297, ""es"", ""en"")"),"Pillow comfortable, practical and economical. I bought it to relieve my back pain has been a success. The shipment was correct and within the period, with its box, packaging and instructions. As for the pad materials they are soft and pleasant to the touc"&amp;"h, once in operation can regulate the intensity of calor.Muy good value for money. Recommendable.")</f>
        <v>Pillow comfortable, practical and economical. I bought it to relieve my back pain has been a success. The shipment was correct and within the period, with its box, packaging and instructions. As for the pad materials they are soft and pleasant to the touch, once in operation can regulate the intensity of calor.Muy good value for money. Recommendable.</v>
      </c>
    </row>
    <row r="5298">
      <c r="A5298" s="1">
        <v>5.0</v>
      </c>
      <c r="B5298" s="1" t="s">
        <v>5265</v>
      </c>
      <c r="C5298" t="str">
        <f>IFERROR(__xludf.DUMMYFUNCTION("GOOGLETRANSLATE(B5298, ""es"", ""en"")"),"I was very surprised, for good. Very happy with the purchase. It has sorprised me for good. They are very nice and stylish. Very easily they connect to the mobile via Bluetooth also have microphone so we can use it as a speakerphone. Each handset has 2 to"&amp;"uch buttons. With these buttons turns on and off, is raised and lowered the volume and can stop the music we are listening. The box where stored is small and the top super leather. This box at the front brings 4 LED lights so we can measure the battery le"&amp;"vel.")</f>
        <v>I was very surprised, for good. Very happy with the purchase. It has sorprised me for good. They are very nice and stylish. Very easily they connect to the mobile via Bluetooth also have microphone so we can use it as a speakerphone. Each handset has 2 touch buttons. With these buttons turns on and off, is raised and lowered the volume and can stop the music we are listening. The box where stored is small and the top super leather. This box at the front brings 4 LED lights so we can measure the battery level.</v>
      </c>
    </row>
    <row r="5299">
      <c r="A5299" s="1">
        <v>5.0</v>
      </c>
      <c r="B5299" s="1" t="s">
        <v>5266</v>
      </c>
      <c r="C5299" t="str">
        <f>IFERROR(__xludf.DUMMYFUNCTION("GOOGLETRANSLATE(B5299, ""es"", ""en"")"),"Fantastico, meets to spare, actually I had my doubts from sony or .... But at the end cogi sony WH1000M3 can be matched to more than one didpositivo, the sound is very very good on my opinion of course, it is matched to the first very stable connection, t"&amp;"he noise canceling best and very comfortable accessories like sleeve is fantastic and quality, the app with many many parameters and sound settings, equalizer, noise cancellation, etc ... GRATA Surprise VERY PLEASED AND AM and very recommendable")</f>
        <v>Fantastico, meets to spare, actually I had my doubts from sony or .... But at the end cogi sony WH1000M3 can be matched to more than one didpositivo, the sound is very very good on my opinion of course, it is matched to the first very stable connection, the noise canceling best and very comfortable accessories like sleeve is fantastic and quality, the app with many many parameters and sound settings, equalizer, noise cancellation, etc ... GRATA Surprise VERY PLEASED AND AM and very recommendable</v>
      </c>
    </row>
    <row r="5300">
      <c r="A5300" s="1">
        <v>5.0</v>
      </c>
      <c r="B5300" s="1" t="s">
        <v>5267</v>
      </c>
      <c r="C5300" t="str">
        <f>IFERROR(__xludf.DUMMYFUNCTION("GOOGLETRANSLATE(B5300, ""es"", ""en"")"),"Compact, lightweight and practical needed a drive pen to carry documents, photos, drawings .. of work, but at the end ended with a lot of pen drives, expensive, although of enough capacity always fell short and had to distribute files two or three and the"&amp;"n go crazy looking which had the second part or just the file that I needed. This hard drive has made my life easier, because in a single device can carry everything you need and more. It is very thin and compact, barely weighs anything and is easy to car"&amp;"ry in any pocket, purse, backpack or briefcase without disturbing and excel too. Capacity is great for my needs. Really very happy with this hard drive,")</f>
        <v>Compact, lightweight and practical needed a drive pen to carry documents, photos, drawings .. of work, but at the end ended with a lot of pen drives, expensive, although of enough capacity always fell short and had to distribute files two or three and then go crazy looking which had the second part or just the file that I needed. This hard drive has made my life easier, because in a single device can carry everything you need and more. It is very thin and compact, barely weighs anything and is easy to carry in any pocket, purse, backpack or briefcase without disturbing and excel too. Capacity is great for my needs. Really very happy with this hard drive,</v>
      </c>
    </row>
    <row r="5301">
      <c r="A5301" s="1">
        <v>5.0</v>
      </c>
      <c r="B5301" s="1" t="s">
        <v>5268</v>
      </c>
      <c r="C5301" t="str">
        <f>IFERROR(__xludf.DUMMYFUNCTION("GOOGLETRANSLATE(B5301, ""es"", ""en"")"),"It's expected is a gift for my daughter. I hope you do fly in the race will on 17 November in Barcelona.")</f>
        <v>It's expected is a gift for my daughter. I hope you do fly in the race will on 17 November in Barcelona.</v>
      </c>
    </row>
    <row r="5302">
      <c r="A5302" s="1">
        <v>2.0</v>
      </c>
      <c r="B5302" s="1" t="s">
        <v>5269</v>
      </c>
      <c r="C5302" t="str">
        <f>IFERROR(__xludf.DUMMYFUNCTION("GOOGLETRANSLATE(B5302, ""es"", ""en"")"),"Is comfortable is not at all like the photo, but it is comfortable and priced right.")</f>
        <v>Is comfortable is not at all like the photo, but it is comfortable and priced right.</v>
      </c>
    </row>
    <row r="5303">
      <c r="A5303" s="1">
        <v>3.0</v>
      </c>
      <c r="B5303" s="1" t="s">
        <v>5270</v>
      </c>
      <c r="C5303" t="str">
        <f>IFERROR(__xludf.DUMMYFUNCTION("GOOGLETRANSLATE(B5303, ""es"", ""en"")"),"For the price and the brand he has expected more Well I really have not lasted only 4 months and have already begun to split gaps and material")</f>
        <v>For the price and the brand he has expected more Well I really have not lasted only 4 months and have already begun to split gaps and material</v>
      </c>
    </row>
    <row r="5304">
      <c r="A5304" s="1">
        <v>3.0</v>
      </c>
      <c r="B5304" s="1" t="s">
        <v>5271</v>
      </c>
      <c r="C5304" t="str">
        <f>IFERROR(__xludf.DUMMYFUNCTION("GOOGLETRANSLATE(B5304, ""es"", ""en"")"),"well the product would have to have other aromas some of the aromas are not very good, but the smell of eucalyptus and lemon fabric well")</f>
        <v>well the product would have to have other aromas some of the aromas are not very good, but the smell of eucalyptus and lemon fabric well</v>
      </c>
    </row>
    <row r="5305">
      <c r="A5305" s="1">
        <v>1.0</v>
      </c>
      <c r="B5305" s="1" t="s">
        <v>5272</v>
      </c>
      <c r="C5305" t="str">
        <f>IFERROR(__xludf.DUMMYFUNCTION("GOOGLETRANSLATE(B5305, ""es"", ""en"")"),"It is the latest model are not the latest model wireless charging.")</f>
        <v>It is the latest model are not the latest model wireless charging.</v>
      </c>
    </row>
    <row r="5306">
      <c r="A5306" s="1">
        <v>1.0</v>
      </c>
      <c r="B5306" s="1" t="s">
        <v>5273</v>
      </c>
      <c r="C5306" t="str">
        <f>IFERROR(__xludf.DUMMYFUNCTION("GOOGLETRANSLATE(B5306, ""es"", ""en"")"),"Everything you run it pleased this that died hard disk appreciate work well and after settling what my client with everything loaded and be three hours of operation working died suddenly black screen laptop did not detect hard drive often ruckus buy based"&amp;" on the opinions but my concrete-out bad mind me waiting for me to deliver what the customer and exchange it for another brand")</f>
        <v>Everything you run it pleased this that died hard disk appreciate work well and after settling what my client with everything loaded and be three hours of operation working died suddenly black screen laptop did not detect hard drive often ruckus buy based on the opinions but my concrete-out bad mind me waiting for me to deliver what the customer and exchange it for another brand</v>
      </c>
    </row>
    <row r="5307">
      <c r="A5307" s="1">
        <v>1.0</v>
      </c>
      <c r="B5307" s="1" t="s">
        <v>5274</v>
      </c>
      <c r="C5307" t="str">
        <f>IFERROR(__xludf.DUMMYFUNCTION("GOOGLETRANSLATE(B5307, ""es"", ""en"")"),"mischaracterization The return will not have the strikeouts in the heel or the tip, as indicated")</f>
        <v>mischaracterization The return will not have the strikeouts in the heel or the tip, as indicated</v>
      </c>
    </row>
    <row r="5308">
      <c r="A5308" s="1">
        <v>4.0</v>
      </c>
      <c r="B5308" s="1" t="s">
        <v>5275</v>
      </c>
      <c r="C5308" t="str">
        <f>IFERROR(__xludf.DUMMYFUNCTION("GOOGLETRANSLATE(B5308, ""es"", ""en"")"),"lightweight yet practical light have everything. but I personally out an hour or more are annoying me and some damage. but I recommend")</f>
        <v>lightweight yet practical light have everything. but I personally out an hour or more are annoying me and some damage. but I recommend</v>
      </c>
    </row>
    <row r="5309">
      <c r="A5309" s="1">
        <v>4.0</v>
      </c>
      <c r="B5309" s="1" t="s">
        <v>5276</v>
      </c>
      <c r="C5309" t="str">
        <f>IFERROR(__xludf.DUMMYFUNCTION("GOOGLETRANSLATE(B5309, ""es"", ""en"")"),"money for what they have cost deserve a remarkably high quality / price")</f>
        <v>money for what they have cost deserve a remarkably high quality / price</v>
      </c>
    </row>
    <row r="5310">
      <c r="A5310" s="1">
        <v>4.0</v>
      </c>
      <c r="B5310" s="1" t="s">
        <v>5277</v>
      </c>
      <c r="C5310" t="str">
        <f>IFERROR(__xludf.DUMMYFUNCTION("GOOGLETRANSLATE(B5310, ""es"", ""en"")"),"generally good when heated becomes a danger because all the heat is transmitted steel must be very careful with children.")</f>
        <v>generally good when heated becomes a danger because all the heat is transmitted steel must be very careful with children.</v>
      </c>
    </row>
    <row r="5311">
      <c r="A5311" s="1">
        <v>4.0</v>
      </c>
      <c r="B5311" s="1" t="s">
        <v>5278</v>
      </c>
      <c r="C5311" t="str">
        <f>IFERROR(__xludf.DUMMYFUNCTION("GOOGLETRANSLATE(B5311, ""es"", ""en"")"),"A great sleep aid I have insomnia for years and decided to try it. The truth is that it really works, helps you relax and fried fall within minutes. Unlike other opinions that say you need a few nights to get used, it worked with me since the second day. "&amp;"Worth a try if you are someone who give many turns in bed, is a very simple but very effective system time, and I think it can also be very helpful in reducing anxiety. As only negatives would add a level dimmer light (in very dark rooms may be too strong"&amp;"), define a little circle (in the not see roof a circle, but rather a blur of light) and would lower the price, which is a bit high. Moreover, it is a good solution for insomnia and that really works within minutes. Congratulations to its creators :)")</f>
        <v>A great sleep aid I have insomnia for years and decided to try it. The truth is that it really works, helps you relax and fried fall within minutes. Unlike other opinions that say you need a few nights to get used, it worked with me since the second day. Worth a try if you are someone who give many turns in bed, is a very simple but very effective system time, and I think it can also be very helpful in reducing anxiety. As only negatives would add a level dimmer light (in very dark rooms may be too strong), define a little circle (in the not see roof a circle, but rather a blur of light) and would lower the price, which is a bit high. Moreover, it is a good solution for insomnia and that really works within minutes. Congratulations to its creators :)</v>
      </c>
    </row>
    <row r="5312">
      <c r="A5312" s="1">
        <v>4.0</v>
      </c>
      <c r="B5312" s="1" t="s">
        <v>5279</v>
      </c>
      <c r="C5312" t="str">
        <f>IFERROR(__xludf.DUMMYFUNCTION("GOOGLETRANSLATE(B5312, ""es"", ""en"")"),"Normalillo very good watch glass. The clock does just fine. I personally do not understand how to put a nylon straps watch, but that each with their own tastes, I've already changed by a skin. More important to me, this watch comes with a crystal Hadlex a"&amp;"ccording seiko is more resistenre one mineral to abrasion usual. Well, my experience has been nothing positive and has been shredded in a few days of very careful use. Or a stroke, or an exit to the beach, mountains or any place where it is normal to scra"&amp;"tching. If we assume that for this price little more can you ask for, it's a great watch, but if the resistance is a priority, better look for one that has a sapphire crystal.")</f>
        <v>Normalillo very good watch glass. The clock does just fine. I personally do not understand how to put a nylon straps watch, but that each with their own tastes, I've already changed by a skin. More important to me, this watch comes with a crystal Hadlex according seiko is more resistenre one mineral to abrasion usual. Well, my experience has been nothing positive and has been shredded in a few days of very careful use. Or a stroke, or an exit to the beach, mountains or any place where it is normal to scratching. If we assume that for this price little more can you ask for, it's a great watch, but if the resistance is a priority, better look for one that has a sapphire crystal.</v>
      </c>
    </row>
    <row r="5313">
      <c r="A5313" s="1">
        <v>5.0</v>
      </c>
      <c r="B5313" s="1" t="s">
        <v>5280</v>
      </c>
      <c r="C5313" t="str">
        <f>IFERROR(__xludf.DUMMYFUNCTION("GOOGLETRANSLATE(B5313, ""es"", ""en"")"),"Perfect quality, was for a gift. Very fast shipping by seller.")</f>
        <v>Perfect quality, was for a gift. Very fast shipping by seller.</v>
      </c>
    </row>
    <row r="5314">
      <c r="A5314" s="1">
        <v>5.0</v>
      </c>
      <c r="B5314" s="1" t="s">
        <v>5281</v>
      </c>
      <c r="C5314" t="str">
        <f>IFERROR(__xludf.DUMMYFUNCTION("GOOGLETRANSLATE(B5314, ""es"", ""en"")"),"Good product works properly")</f>
        <v>Good product works properly</v>
      </c>
    </row>
    <row r="5315">
      <c r="A5315" s="1">
        <v>5.0</v>
      </c>
      <c r="B5315" s="1" t="s">
        <v>5282</v>
      </c>
      <c r="C5315" t="str">
        <f>IFERROR(__xludf.DUMMYFUNCTION("GOOGLETRANSLATE(B5315, ""es"", ""en"")"),"I love great, very comfortable. I'm usually an L but ordered a M and I are perfect. It has a soft tissue and are great for any sport. It has a side pocket inside for mobile or mp3, I just found out now, I am delighted")</f>
        <v>I love great, very comfortable. I'm usually an L but ordered a M and I are perfect. It has a soft tissue and are great for any sport. It has a side pocket inside for mobile or mp3, I just found out now, I am delighted</v>
      </c>
    </row>
    <row r="5316">
      <c r="A5316" s="1">
        <v>5.0</v>
      </c>
      <c r="B5316" s="1" t="s">
        <v>5283</v>
      </c>
      <c r="C5316" t="str">
        <f>IFERROR(__xludf.DUMMYFUNCTION("GOOGLETRANSLATE(B5316, ""es"", ""en"")"),"Very comfortable very comfortable")</f>
        <v>Very comfortable very comfortable</v>
      </c>
    </row>
    <row r="5317">
      <c r="A5317" s="1">
        <v>5.0</v>
      </c>
      <c r="B5317" s="1" t="s">
        <v>5284</v>
      </c>
      <c r="C5317" t="str">
        <f>IFERROR(__xludf.DUMMYFUNCTION("GOOGLETRANSLATE(B5317, ""es"", ""en"")"),"It's perfect chiquitina and is seeking only the need for me so it takes up very little space and although there are people who complain that all is in one piece because for me it is much better. It is a device whose size can be plugged in anywhere, I mean"&amp;" in the kitchen, and you do not need more length of the cable since in the same place the water is poured and it is even I think longer would be so cumbersome. The model is very nice, whitey.")</f>
        <v>It's perfect chiquitina and is seeking only the need for me so it takes up very little space and although there are people who complain that all is in one piece because for me it is much better. It is a device whose size can be plugged in anywhere, I mean in the kitchen, and you do not need more length of the cable since in the same place the water is poured and it is even I think longer would be so cumbersome. The model is very nice, whitey.</v>
      </c>
    </row>
    <row r="5318">
      <c r="A5318" s="1">
        <v>5.0</v>
      </c>
      <c r="B5318" s="1" t="s">
        <v>5285</v>
      </c>
      <c r="C5318" t="str">
        <f>IFERROR(__xludf.DUMMYFUNCTION("GOOGLETRANSLATE(B5318, ""es"", ""en"")"),"It's comfortable and gives me allergies very cool and comfortable")</f>
        <v>It's comfortable and gives me allergies very cool and comfortable</v>
      </c>
    </row>
    <row r="5319">
      <c r="A5319" s="1">
        <v>5.0</v>
      </c>
      <c r="B5319" s="1" t="s">
        <v>5286</v>
      </c>
      <c r="C5319" t="str">
        <f>IFERROR(__xludf.DUMMYFUNCTION("GOOGLETRANSLATE(B5319, ""es"", ""en"")"),"Above average in its category. Amazing. I have compared to other microphones in the same range, and gives some results well above average. Very satisfied with the purchase. I highly recommend it.")</f>
        <v>Above average in its category. Amazing. I have compared to other microphones in the same range, and gives some results well above average. Very satisfied with the purchase. I highly recommend it.</v>
      </c>
    </row>
    <row r="5320">
      <c r="A5320" s="1">
        <v>5.0</v>
      </c>
      <c r="B5320" s="1" t="s">
        <v>5287</v>
      </c>
      <c r="C5320" t="str">
        <f>IFERROR(__xludf.DUMMYFUNCTION("GOOGLETRANSLATE(B5320, ""es"", ""en"")"),"Very good quality at a good price I chose this model card in the camera I bought does not support 64Gb, I have several Samsung PRO SSD and several TVs and phones Samsung, this never disappoints brand, everything always works as expected, no surprises. Tra"&amp;"snferencia speed is optimal, I record all my action video camera smoothly and microSD adapter comes in handy for me that I plug in a laptop and can easily take videos and photos recorded, just great.")</f>
        <v>Very good quality at a good price I chose this model card in the camera I bought does not support 64Gb, I have several Samsung PRO SSD and several TVs and phones Samsung, this never disappoints brand, everything always works as expected, no surprises. Trasnferencia speed is optimal, I record all my action video camera smoothly and microSD adapter comes in handy for me that I plug in a laptop and can easily take videos and photos recorded, just great.</v>
      </c>
    </row>
    <row r="5321">
      <c r="A5321" s="1">
        <v>5.0</v>
      </c>
      <c r="B5321" s="1" t="s">
        <v>5288</v>
      </c>
      <c r="C5321" t="str">
        <f>IFERROR(__xludf.DUMMYFUNCTION("GOOGLETRANSLATE(B5321, ""es"", ""en"")"),"The most important thing is that I can play for free almost the entire catalog of ps2 The product I arrived a few days ago, although I've only been able to try it now in my old PS2. I can only say it works perfectly and, thanks to this memory card, I can "&amp;"reminiscing very good titles that I barely remembered. Your purchase is more than recommended for anyone who has a ps2 into oblivion.")</f>
        <v>The most important thing is that I can play for free almost the entire catalog of ps2 The product I arrived a few days ago, although I've only been able to try it now in my old PS2. I can only say it works perfectly and, thanks to this memory card, I can reminiscing very good titles that I barely remembered. Your purchase is more than recommended for anyone who has a ps2 into oblivion.</v>
      </c>
    </row>
    <row r="5322">
      <c r="A5322" s="1">
        <v>5.0</v>
      </c>
      <c r="B5322" s="1" t="s">
        <v>5289</v>
      </c>
      <c r="C5322" t="str">
        <f>IFERROR(__xludf.DUMMYFUNCTION("GOOGLETRANSLATE(B5322, ""es"", ""en"")"),"They are very cool and very comfortable very comfortable if they get dirty quickly. I do not hurt anything the first day and the white being makes you the darker leg.")</f>
        <v>They are very cool and very comfortable very comfortable if they get dirty quickly. I do not hurt anything the first day and the white being makes you the darker leg.</v>
      </c>
    </row>
    <row r="5323">
      <c r="A5323" s="1">
        <v>5.0</v>
      </c>
      <c r="B5323" s="1" t="s">
        <v>5290</v>
      </c>
      <c r="C5323" t="str">
        <f>IFERROR(__xludf.DUMMYFUNCTION("GOOGLETRANSLATE(B5323, ""es"", ""en"")"),"Reduced size is very apañao Sounds good has headphone jack, rock distortion modes and reberberacion are noticing is great, the chorus is that it shows a little less but it does the does the trick. I am happy with this article recommend if you do not have "&amp;"space, if you want to move with or play in stereo without putting together a great ché hullabaloo and speaker phone also works with an auxiliary audio two males is a good Makina few V")</f>
        <v>Reduced size is very apañao Sounds good has headphone jack, rock distortion modes and reberberacion are noticing is great, the chorus is that it shows a little less but it does the does the trick. I am happy with this article recommend if you do not have space, if you want to move with or play in stereo without putting together a great ché hullabaloo and speaker phone also works with an auxiliary audio two males is a good Makina few V</v>
      </c>
    </row>
    <row r="5324">
      <c r="A5324" s="1">
        <v>5.0</v>
      </c>
      <c r="B5324" s="1" t="s">
        <v>5291</v>
      </c>
      <c r="C5324" t="str">
        <f>IFERROR(__xludf.DUMMYFUNCTION("GOOGLETRANSLATE(B5324, ""es"", ""en"")"),"As expected perfect always I use this brand to training room. Delivery at the specified time.")</f>
        <v>As expected perfect always I use this brand to training room. Delivery at the specified time.</v>
      </c>
    </row>
    <row r="5325">
      <c r="A5325" s="1">
        <v>5.0</v>
      </c>
      <c r="B5325" s="1" t="s">
        <v>5292</v>
      </c>
      <c r="C5325" t="str">
        <f>IFERROR(__xludf.DUMMYFUNCTION("GOOGLETRANSLATE(B5325, ""es"", ""en"")"),"For my better than expected")</f>
        <v>For my better than expected</v>
      </c>
    </row>
    <row r="5326">
      <c r="A5326" s="1">
        <v>5.0</v>
      </c>
      <c r="B5326" s="1" t="s">
        <v>5293</v>
      </c>
      <c r="C5326" t="str">
        <f>IFERROR(__xludf.DUMMYFUNCTION("GOOGLETRANSLATE(B5326, ""es"", ""en"")"),"great are better than the picture, super comfortable, very light, very bontos. always buy a larger number considering that in winter take fat calsetines")</f>
        <v>great are better than the picture, super comfortable, very light, very bontos. always buy a larger number considering that in winter take fat calsetines</v>
      </c>
    </row>
    <row r="5327">
      <c r="A5327" s="1">
        <v>5.0</v>
      </c>
      <c r="B5327" s="1" t="s">
        <v>5294</v>
      </c>
      <c r="C5327" t="str">
        <f>IFERROR(__xludf.DUMMYFUNCTION("GOOGLETRANSLATE(B5327, ""es"", ""en"")"),"a toy for little ones I bought for my son, because he likes to sing the music, this microphone has liked a lot, is a wireless microphone connection Bluetooth and integrated speakerphone and voice recorder, used to play music and sing at any time. It is ve"&amp;"ry compatibility can be connected to all Bluetooth devices etc, it is a good gift for kids,")</f>
        <v>a toy for little ones I bought for my son, because he likes to sing the music, this microphone has liked a lot, is a wireless microphone connection Bluetooth and integrated speakerphone and voice recorder, used to play music and sing at any time. It is very compatibility can be connected to all Bluetooth devices etc, it is a good gift for kids,</v>
      </c>
    </row>
    <row r="5328">
      <c r="A5328" s="1">
        <v>5.0</v>
      </c>
      <c r="B5328" s="1" t="s">
        <v>5295</v>
      </c>
      <c r="C5328" t="str">
        <f>IFERROR(__xludf.DUMMYFUNCTION("GOOGLETRANSLATE(B5328, ""es"", ""en"")"),"Like good buy has come q photo")</f>
        <v>Like good buy has come q photo</v>
      </c>
    </row>
    <row r="5329">
      <c r="A5329" s="1">
        <v>5.0</v>
      </c>
      <c r="B5329" s="1" t="s">
        <v>5296</v>
      </c>
      <c r="C5329" t="str">
        <f>IFERROR(__xludf.DUMMYFUNCTION("GOOGLETRANSLATE(B5329, ""es"", ""en"")"),"Original Great, to the being of low intensity 0.8A is perfect if you leave the phone at night because loads more slowly and less heat the battery.")</f>
        <v>Original Great, to the being of low intensity 0.8A is perfect if you leave the phone at night because loads more slowly and less heat the battery.</v>
      </c>
    </row>
    <row r="5330">
      <c r="A5330" s="1">
        <v>5.0</v>
      </c>
      <c r="B5330" s="1" t="s">
        <v>5297</v>
      </c>
      <c r="C5330" t="str">
        <f>IFERROR(__xludf.DUMMYFUNCTION("GOOGLETRANSLATE(B5330, ""es"", ""en"")"),"Much better than I expected excellent material, very nice and super comfortable. Much better than me when I bought esparaba")</f>
        <v>Much better than I expected excellent material, very nice and super comfortable. Much better than me when I bought esparaba</v>
      </c>
    </row>
    <row r="5331">
      <c r="A5331" s="1">
        <v>2.0</v>
      </c>
      <c r="B5331" s="1" t="s">
        <v>5298</v>
      </c>
      <c r="C5331" t="str">
        <f>IFERROR(__xludf.DUMMYFUNCTION("GOOGLETRANSLATE(B5331, ""es"", ""en"")"),"You give me little less llevais. Obviously the price is low and therefore can not ask for much, is not this bad but I fear that the thread (it is nothing) little will to resist, it's a shame that although instead of three only you enviasen one thread was "&amp;"of better quality, but hey, having regard resists.")</f>
        <v>You give me little less llevais. Obviously the price is low and therefore can not ask for much, is not this bad but I fear that the thread (it is nothing) little will to resist, it's a shame that although instead of three only you enviasen one thread was of better quality, but hey, having regard resists.</v>
      </c>
    </row>
    <row r="5332">
      <c r="A5332" s="1">
        <v>3.0</v>
      </c>
      <c r="B5332" s="1" t="s">
        <v>5299</v>
      </c>
      <c r="C5332" t="str">
        <f>IFERROR(__xludf.DUMMYFUNCTION("GOOGLETRANSLATE(B5332, ""es"", ""en"")"),"Something Something short cuts for L. weighs nothing. It's all polyester")</f>
        <v>Something Something short cuts for L. weighs nothing. It's all polyester</v>
      </c>
    </row>
    <row r="5333">
      <c r="A5333" s="1">
        <v>3.0</v>
      </c>
      <c r="B5333" s="1" t="s">
        <v>5300</v>
      </c>
      <c r="C5333" t="str">
        <f>IFERROR(__xludf.DUMMYFUNCTION("GOOGLETRANSLATE(B5333, ""es"", ""en"")"),"Low speed comfort I liked the size and weight. I did not like the speed of writing and reading is less than pendrive like other brands. I also liked that very hot. I've only tested with USB 2.0.")</f>
        <v>Low speed comfort I liked the size and weight. I did not like the speed of writing and reading is less than pendrive like other brands. I also liked that very hot. I've only tested with USB 2.0.</v>
      </c>
    </row>
    <row r="5334">
      <c r="A5334" s="1">
        <v>1.0</v>
      </c>
      <c r="B5334" s="1" t="s">
        <v>5301</v>
      </c>
      <c r="C5334" t="str">
        <f>IFERROR(__xludf.DUMMYFUNCTION("GOOGLETRANSLATE(B5334, ""es"", ""en"")"),"buy two veses this maqina buy two veses this maqina first time used two months broken and then buy new and really was not new now this tamben the engine sounded thought the brand was very good but not")</f>
        <v>buy two veses this maqina buy two veses this maqina first time used two months broken and then buy new and really was not new now this tamben the engine sounded thought the brand was very good but not</v>
      </c>
    </row>
    <row r="5335">
      <c r="A5335" s="1">
        <v>1.0</v>
      </c>
      <c r="B5335" s="1" t="s">
        <v>5302</v>
      </c>
      <c r="C5335" t="str">
        <f>IFERROR(__xludf.DUMMYFUNCTION("GOOGLETRANSLATE(B5335, ""es"", ""en"")"),"100 staples anything. 100 staples? They do not get to 80. I'll take it for not being with packages already and ka.")</f>
        <v>100 staples anything. 100 staples? They do not get to 80. I'll take it for not being with packages already and ka.</v>
      </c>
    </row>
    <row r="5336">
      <c r="A5336" s="1">
        <v>4.0</v>
      </c>
      <c r="B5336" s="1" t="s">
        <v>5303</v>
      </c>
      <c r="C5336" t="str">
        <f>IFERROR(__xludf.DUMMYFUNCTION("GOOGLETRANSLATE(B5336, ""es"", ""en"")"),"Very good choice for an external hard drive The enclosure is metallic and has caps screwed on a sturdy support, so I doubt they end up breaking into the future. The only thing is not convinced that the plate is slightly loose but is very easy to fix with "&amp;"a little imagination.")</f>
        <v>Very good choice for an external hard drive The enclosure is metallic and has caps screwed on a sturdy support, so I doubt they end up breaking into the future. The only thing is not convinced that the plate is slightly loose but is very easy to fix with a little imagination.</v>
      </c>
    </row>
    <row r="5337">
      <c r="A5337" s="1">
        <v>4.0</v>
      </c>
      <c r="B5337" s="1" t="s">
        <v>5304</v>
      </c>
      <c r="C5337" t="str">
        <f>IFERROR(__xludf.DUMMYFUNCTION("GOOGLETRANSLATE(B5337, ""es"", ""en"")"),"As in photo bag is the same as in the photo. It has exterior zippers. Within a zipper and two open pockets, ideal for things you use regularly as your mobile phone. It is appropriate, neither small nor wallet type. The fabric seems sturdy.")</f>
        <v>As in photo bag is the same as in the photo. It has exterior zippers. Within a zipper and two open pockets, ideal for things you use regularly as your mobile phone. It is appropriate, neither small nor wallet type. The fabric seems sturdy.</v>
      </c>
    </row>
    <row r="5338">
      <c r="A5338" s="1">
        <v>4.0</v>
      </c>
      <c r="B5338" s="1" t="s">
        <v>5305</v>
      </c>
      <c r="C5338" t="str">
        <f>IFERROR(__xludf.DUMMYFUNCTION("GOOGLETRANSLATE(B5338, ""es"", ""en"")"),"I've always loved this model received them earlier than expected (great as ever by Amazon) and the state of them is perfect. I have nothing to say except that choosing the size that I always use in most shoes left me something (just a little) big, but gre"&amp;"at rest.")</f>
        <v>I've always loved this model received them earlier than expected (great as ever by Amazon) and the state of them is perfect. I have nothing to say except that choosing the size that I always use in most shoes left me something (just a little) big, but great rest.</v>
      </c>
    </row>
    <row r="5339">
      <c r="A5339" s="1">
        <v>4.0</v>
      </c>
      <c r="B5339" s="1" t="s">
        <v>5306</v>
      </c>
      <c r="C5339" t="str">
        <f>IFERROR(__xludf.DUMMYFUNCTION("GOOGLETRANSLATE(B5339, ""es"", ""en"")"),"They are perfect Hello! They are typical lifetime converse but with platform and are true. I encourage you to take them because they come very well fonde closet. I also want the blank, but I'm afraid because they get dirty very quickly. The use 24 hours o"&amp;"f the day. They are very comfortable.")</f>
        <v>They are perfect Hello! They are typical lifetime converse but with platform and are true. I encourage you to take them because they come very well fonde closet. I also want the blank, but I'm afraid because they get dirty very quickly. The use 24 hours of the day. They are very comfortable.</v>
      </c>
    </row>
    <row r="5340">
      <c r="A5340" s="1">
        <v>5.0</v>
      </c>
      <c r="B5340" s="1" t="s">
        <v>5307</v>
      </c>
      <c r="C5340" t="str">
        <f>IFERROR(__xludf.DUMMYFUNCTION("GOOGLETRANSLATE(B5340, ""es"", ""en"")"),"Good quality product cost. Description of the seller right with reality. Good product")</f>
        <v>Good quality product cost. Description of the seller right with reality. Good product</v>
      </c>
    </row>
    <row r="5341">
      <c r="A5341" s="1">
        <v>5.0</v>
      </c>
      <c r="B5341" s="1" t="s">
        <v>5308</v>
      </c>
      <c r="C5341" t="str">
        <f>IFERROR(__xludf.DUMMYFUNCTION("GOOGLETRANSLATE(B5341, ""es"", ""en"")"),"Something slow but it was worth, the air chamber is true I bought for my mother, and although the package came slow (considering I'm Prime), then I give it 5 stars because the air chamber is true. and my mother said to be very comfortable, easy to put on "&amp;"and very nice. Quality / price by 9 out of ten hehe.")</f>
        <v>Something slow but it was worth, the air chamber is true I bought for my mother, and although the package came slow (considering I'm Prime), then I give it 5 stars because the air chamber is true. and my mother said to be very comfortable, easy to put on and very nice. Quality / price by 9 out of ten hehe.</v>
      </c>
    </row>
    <row r="5342">
      <c r="A5342" s="1">
        <v>5.0</v>
      </c>
      <c r="B5342" s="1" t="s">
        <v>5309</v>
      </c>
      <c r="C5342" t="str">
        <f>IFERROR(__xludf.DUMMYFUNCTION("GOOGLETRANSLATE(B5342, ""es"", ""en"")"),"JUERGA GARANTIZADA APPARATUS GENIAL. NO MISSING nothing. POWERFUL SPEAKER, MP3, Bluetooth, two microphones, TROLER to transport, will only need to take several years to be perfect")</f>
        <v>JUERGA GARANTIZADA APPARATUS GENIAL. NO MISSING nothing. POWERFUL SPEAKER, MP3, Bluetooth, two microphones, TROLER to transport, will only need to take several years to be perfect</v>
      </c>
    </row>
    <row r="5343">
      <c r="A5343" s="1">
        <v>5.0</v>
      </c>
      <c r="B5343" s="1" t="s">
        <v>5310</v>
      </c>
      <c r="C5343" t="str">
        <f>IFERROR(__xludf.DUMMYFUNCTION("GOOGLETRANSLATE(B5343, ""es"", ""en"")"),"Its a great alarm clock function makes casio, as you might not expect from the brand. It sounds strong, looks good time. Fantastic.")</f>
        <v>Its a great alarm clock function makes casio, as you might not expect from the brand. It sounds strong, looks good time. Fantastic.</v>
      </c>
    </row>
    <row r="5344">
      <c r="A5344" s="1">
        <v>5.0</v>
      </c>
      <c r="B5344" s="1" t="s">
        <v>5311</v>
      </c>
      <c r="C5344" t="str">
        <f>IFERROR(__xludf.DUMMYFUNCTION("GOOGLETRANSLATE(B5344, ""es"", ""en"")"),"This thermometer well")</f>
        <v>This thermometer well</v>
      </c>
    </row>
    <row r="5345">
      <c r="A5345" s="1">
        <v>5.0</v>
      </c>
      <c r="B5345" s="1" t="s">
        <v>5312</v>
      </c>
      <c r="C5345" t="str">
        <f>IFERROR(__xludf.DUMMYFUNCTION("GOOGLETRANSLATE(B5345, ""es"", ""en"")"),"Comfortable and fit well with all these shoes, like all I've used this brand, have given me a great result. I bought them to travel and I have been very comfortable.")</f>
        <v>Comfortable and fit well with all these shoes, like all I've used this brand, have given me a great result. I bought them to travel and I have been very comfortable.</v>
      </c>
    </row>
    <row r="5346">
      <c r="A5346" s="1">
        <v>5.0</v>
      </c>
      <c r="B5346" s="1" t="s">
        <v>5313</v>
      </c>
      <c r="C5346" t="str">
        <f>IFERROR(__xludf.DUMMYFUNCTION("GOOGLETRANSLATE(B5346, ""es"", ""en"")"),"Easy to connect and hear well-Ear Headphones are very good and are beautifully presented give a sense of being very premium. The box where they seem jewelry, beautifully presented, and the box-battery is small and goes very well to take even pants pocket."&amp;" To pair the two headphones what have I done to been off Bluetooth on the phone, remove the two headphones, the lights will turn on the momonto is are matching each other, within 10 seconds turn Bluetooth on the phone and look for speakers and give it to "&amp;"connect to me to run and operate the first two at a time. I tried to put the phone in a room and go to another room to see if they stand the distance, and I have worked without problem even with two walls in between. Replacement pads have included chargin"&amp;"g cable. For me the price is a very good buy, they are also very nice.")</f>
        <v>Easy to connect and hear well-Ear Headphones are very good and are beautifully presented give a sense of being very premium. The box where they seem jewelry, beautifully presented, and the box-battery is small and goes very well to take even pants pocket. To pair the two headphones what have I done to been off Bluetooth on the phone, remove the two headphones, the lights will turn on the momonto is are matching each other, within 10 seconds turn Bluetooth on the phone and look for speakers and give it to connect to me to run and operate the first two at a time. I tried to put the phone in a room and go to another room to see if they stand the distance, and I have worked without problem even with two walls in between. Replacement pads have included charging cable. For me the price is a very good buy, they are also very nice.</v>
      </c>
    </row>
    <row r="5347">
      <c r="A5347" s="1">
        <v>5.0</v>
      </c>
      <c r="B5347" s="1" t="s">
        <v>5314</v>
      </c>
      <c r="C5347" t="str">
        <f>IFERROR(__xludf.DUMMYFUNCTION("GOOGLETRANSLATE(B5347, ""es"", ""en"")"),"Very handy and weighs just great support, it fits perfectly to the table and is well supported. The anti pop filter is much larger and the difference is noticeable. The support for the micro is good in my case I have a meteor samson and perfectly engages "&amp;"the thread, and despite the weight of the microphone is firmly. Highly recommended for the price is perfect and very comfortable to use.")</f>
        <v>Very handy and weighs just great support, it fits perfectly to the table and is well supported. The anti pop filter is much larger and the difference is noticeable. The support for the micro is good in my case I have a meteor samson and perfectly engages the thread, and despite the weight of the microphone is firmly. Highly recommended for the price is perfect and very comfortable to use.</v>
      </c>
    </row>
    <row r="5348">
      <c r="A5348" s="1">
        <v>5.0</v>
      </c>
      <c r="B5348" s="1" t="s">
        <v>5315</v>
      </c>
      <c r="C5348" t="str">
        <f>IFERROR(__xludf.DUMMYFUNCTION("GOOGLETRANSLATE(B5348, ""es"", ""en"")"),"Although gentle exercise bra for wearing rings is not a bra for high impact. I use it for aerobics and zumba and chest wiggling when you jump or when you make strong moves.")</f>
        <v>Although gentle exercise bra for wearing rings is not a bra for high impact. I use it for aerobics and zumba and chest wiggling when you jump or when you make strong moves.</v>
      </c>
    </row>
    <row r="5349">
      <c r="A5349" s="1">
        <v>5.0</v>
      </c>
      <c r="B5349" s="1" t="s">
        <v>5316</v>
      </c>
      <c r="C5349" t="str">
        <f>IFERROR(__xludf.DUMMYFUNCTION("GOOGLETRANSLATE(B5349, ""es"", ""en"")"),"SMALL AND great capacity was looking for a high-capacity USB reader and I came across this SANDISK in a bid to Amazon. I have to say it back to the end but because it got very hot and appeared a better deal. The writing speed is not quite there but the re"&amp;"ading is very fast so I am satisfied as a whole. The price, for less than 15 euros is a bargain. I highly recommend anyone who wants to have thousands of documents on your keychain or as a backup on your holiday travel. For me, I wanted to give intensive,"&amp;" excessive heating did not like and I opted for a classic USB to see if not so hot. It's something. If someone wants to be saved and easily accessible data I have to say that the quality / price is more than 5 stars.")</f>
        <v>SMALL AND great capacity was looking for a high-capacity USB reader and I came across this SANDISK in a bid to Amazon. I have to say it back to the end but because it got very hot and appeared a better deal. The writing speed is not quite there but the reading is very fast so I am satisfied as a whole. The price, for less than 15 euros is a bargain. I highly recommend anyone who wants to have thousands of documents on your keychain or as a backup on your holiday travel. For me, I wanted to give intensive, excessive heating did not like and I opted for a classic USB to see if not so hot. It's something. If someone wants to be saved and easily accessible data I have to say that the quality / price is more than 5 stars.</v>
      </c>
    </row>
    <row r="5350">
      <c r="A5350" s="1">
        <v>5.0</v>
      </c>
      <c r="B5350" s="1" t="s">
        <v>5317</v>
      </c>
      <c r="C5350" t="str">
        <f>IFERROR(__xludf.DUMMYFUNCTION("GOOGLETRANSLATE(B5350, ""es"", ""en"")"),"Fantastic !!! Incredible original boot. Comfortable, nice and a lot of quality. Shoes excato number. Design lifetime, with contemporary design platform.")</f>
        <v>Fantastic !!! Incredible original boot. Comfortable, nice and a lot of quality. Shoes excato number. Design lifetime, with contemporary design platform.</v>
      </c>
    </row>
    <row r="5351">
      <c r="A5351" s="1">
        <v>5.0</v>
      </c>
      <c r="B5351" s="1" t="s">
        <v>5318</v>
      </c>
      <c r="C5351" t="str">
        <f>IFERROR(__xludf.DUMMYFUNCTION("GOOGLETRANSLATE(B5351, ""es"", ""en"")"),"Peefecto Perfect! I ordered a number less than that commonly chock. They think there is nothing to add Maas are the converse of a lifetime.")</f>
        <v>Peefecto Perfect! I ordered a number less than that commonly chock. They think there is nothing to add Maas are the converse of a lifetime.</v>
      </c>
    </row>
    <row r="5352">
      <c r="A5352" s="1">
        <v>5.0</v>
      </c>
      <c r="B5352" s="1" t="s">
        <v>5319</v>
      </c>
      <c r="C5352" t="str">
        <f>IFERROR(__xludf.DUMMYFUNCTION("GOOGLETRANSLATE(B5352, ""es"", ""en"")"),"Good Practical Functionality")</f>
        <v>Good Practical Functionality</v>
      </c>
    </row>
    <row r="5353">
      <c r="A5353" s="1">
        <v>5.0</v>
      </c>
      <c r="B5353" s="1" t="s">
        <v>5320</v>
      </c>
      <c r="C5353" t="str">
        <f>IFERROR(__xludf.DUMMYFUNCTION("GOOGLETRANSLATE(B5353, ""es"", ""en"")"),"cool megustomucho")</f>
        <v>cool megustomucho</v>
      </c>
    </row>
    <row r="5354">
      <c r="A5354" s="1">
        <v>5.0</v>
      </c>
      <c r="B5354" s="1" t="s">
        <v>5321</v>
      </c>
      <c r="C5354" t="str">
        <f>IFERROR(__xludf.DUMMYFUNCTION("GOOGLETRANSLATE(B5354, ""es"", ""en"")"),"Fantastico.producto and cheap pots, fires, alumunio .... is great to remove those stains that cost a bit. q only thing sending paid for each q are prompted, not by sending out ... but for two euros. Highly recommended, I really doing great.")</f>
        <v>Fantastico.producto and cheap pots, fires, alumunio .... is great to remove those stains that cost a bit. q only thing sending paid for each q are prompted, not by sending out ... but for two euros. Highly recommended, I really doing great.</v>
      </c>
    </row>
    <row r="5355">
      <c r="A5355" s="1">
        <v>5.0</v>
      </c>
      <c r="B5355" s="1" t="s">
        <v>5322</v>
      </c>
      <c r="C5355" t="str">
        <f>IFERROR(__xludf.DUMMYFUNCTION("GOOGLETRANSLATE(B5355, ""es"", ""en"")"),"Martens boots Product as I expected")</f>
        <v>Martens boots Product as I expected</v>
      </c>
    </row>
    <row r="5356">
      <c r="A5356" s="1">
        <v>5.0</v>
      </c>
      <c r="B5356" s="1" t="s">
        <v>5323</v>
      </c>
      <c r="C5356" t="str">
        <f>IFERROR(__xludf.DUMMYFUNCTION("GOOGLETRANSLATE(B5356, ""es"", ""en"")"),"Fresh rods must be assumed that beer is not exactly cheap (no bids, 5.99 turnover of 2 liters), but the end result is outstanding, like taking a stick to good temperature and foam ""really "". The varieties are too expensive, but if one likes the Heineken"&amp;" on tap is an excellent choice. And recommended the fresh barrels in the refrigerator so that the machine does not work so much and to have them ready almost time to get them (if they get into the freezer half an hour earlier, the better). Important to re"&amp;"spect the space recommended by the manufacturer for ventilation (expels hot air can damage the appliance end up if not well ventilated). Also, pass a vacuum cleaner every three or four months for the fan having at the bottom, because you can accumulate li"&amp;"nt and prevent it do its function to cool the motor. Very good amount 2 liters of parts (the other devices are of 5 liters and may be excessive). It would be desirable to acquire more places. I know, you can buy from Amazon, supermarket El Corte Ingles, U"&amp;"labox and the website of The Sub")</f>
        <v>Fresh rods must be assumed that beer is not exactly cheap (no bids, 5.99 turnover of 2 liters), but the end result is outstanding, like taking a stick to good temperature and foam "really ". The varieties are too expensive, but if one likes the Heineken on tap is an excellent choice. And recommended the fresh barrels in the refrigerator so that the machine does not work so much and to have them ready almost time to get them (if they get into the freezer half an hour earlier, the better). Important to respect the space recommended by the manufacturer for ventilation (expels hot air can damage the appliance end up if not well ventilated). Also, pass a vacuum cleaner every three or four months for the fan having at the bottom, because you can accumulate lint and prevent it do its function to cool the motor. Very good amount 2 liters of parts (the other devices are of 5 liters and may be excessive). It would be desirable to acquire more places. I know, you can buy from Amazon, supermarket El Corte Ingles, Ulabox and the website of The Sub</v>
      </c>
    </row>
    <row r="5357">
      <c r="A5357" s="1">
        <v>5.0</v>
      </c>
      <c r="B5357" s="1" t="s">
        <v>5324</v>
      </c>
      <c r="C5357" t="str">
        <f>IFERROR(__xludf.DUMMYFUNCTION("GOOGLETRANSLATE(B5357, ""es"", ""en"")"),"Good Very nice, comfortable and useful, amazon the best price you can find in many other places, and also have all the advantages of being amazon")</f>
        <v>Good Very nice, comfortable and useful, amazon the best price you can find in many other places, and also have all the advantages of being amazon</v>
      </c>
    </row>
    <row r="5358">
      <c r="A5358" s="1">
        <v>5.0</v>
      </c>
      <c r="B5358" s="1" t="s">
        <v>5325</v>
      </c>
      <c r="C5358" t="str">
        <f>IFERROR(__xludf.DUMMYFUNCTION("GOOGLETRANSLATE(B5358, ""es"", ""en"")"),"High capacity and speed not'm no expert on cards but its storage capacity and speed convinces me suits my needs. I use it for my Canon 2000D SLR camera.")</f>
        <v>High capacity and speed not'm no expert on cards but its storage capacity and speed convinces me suits my needs. I use it for my Canon 2000D SLR camera.</v>
      </c>
    </row>
    <row r="5359">
      <c r="A5359" s="1">
        <v>2.0</v>
      </c>
      <c r="B5359" s="1" t="s">
        <v>5326</v>
      </c>
      <c r="C5359" t="str">
        <f>IFERROR(__xludf.DUMMYFUNCTION("GOOGLETRANSLATE(B5359, ""es"", ""en"")"),"Not recommended I liked how comfortable they are. Regulero sound, if you modify the equalizer improves enough, but if not, come by default with a horrible EQ, is playing bass and does not seem low, but a digitized sound, it's like distorted reality of sou"&amp;"nds. But worst of all is to send a headset that nothing you open the box and lit up like put in the description. Q I load them and turn them on manually, the battery ran out and no longer reloaded more. Too bad, because I really do not come with any seal "&amp;"or anything, ie could well prove they work before sending. This looks perfectly resold to those who are so bad to try their luck if they get someone colarselos. And unfortunately this has all the earmarks that do many sellers.")</f>
        <v>Not recommended I liked how comfortable they are. Regulero sound, if you modify the equalizer improves enough, but if not, come by default with a horrible EQ, is playing bass and does not seem low, but a digitized sound, it's like distorted reality of sounds. But worst of all is to send a headset that nothing you open the box and lit up like put in the description. Q I load them and turn them on manually, the battery ran out and no longer reloaded more. Too bad, because I really do not come with any seal or anything, ie could well prove they work before sending. This looks perfectly resold to those who are so bad to try their luck if they get someone colarselos. And unfortunately this has all the earmarks that do many sellers.</v>
      </c>
    </row>
    <row r="5360">
      <c r="A5360" s="1">
        <v>3.0</v>
      </c>
      <c r="B5360" s="1" t="s">
        <v>5327</v>
      </c>
      <c r="C5360" t="str">
        <f>IFERROR(__xludf.DUMMYFUNCTION("GOOGLETRANSLATE(B5360, ""es"", ""en"")"),"Isla O. T aesthetically beautiful. I do not recommend white, very dirty. To emphasize that the first set out balls.")</f>
        <v>Isla O. T aesthetically beautiful. I do not recommend white, very dirty. To emphasize that the first set out balls.</v>
      </c>
    </row>
    <row r="5361">
      <c r="A5361" s="1">
        <v>3.0</v>
      </c>
      <c r="B5361" s="1" t="s">
        <v>5328</v>
      </c>
      <c r="C5361" t="str">
        <f>IFERROR(__xludf.DUMMYFUNCTION("GOOGLETRANSLATE(B5361, ""es"", ""en"")"),"The low protection and presentation have recently and the only thing to say is that for the brand that is, the packaging was very tatty. It came in a plastic and virtually unprotected. On the quality, it is early to say.")</f>
        <v>The low protection and presentation have recently and the only thing to say is that for the brand that is, the packaging was very tatty. It came in a plastic and virtually unprotected. On the quality, it is early to say.</v>
      </c>
    </row>
    <row r="5362">
      <c r="A5362" s="1">
        <v>1.0</v>
      </c>
      <c r="B5362" s="1" t="s">
        <v>5329</v>
      </c>
      <c r="C5362" t="str">
        <f>IFERROR(__xludf.DUMMYFUNCTION("GOOGLETRANSLATE(B5362, ""es"", ""en"")"),"Too small too small infant size does not meet expectations")</f>
        <v>Too small too small infant size does not meet expectations</v>
      </c>
    </row>
    <row r="5363">
      <c r="A5363" s="1">
        <v>1.0</v>
      </c>
      <c r="B5363" s="1" t="s">
        <v>5330</v>
      </c>
      <c r="C5363" t="str">
        <f>IFERROR(__xludf.DUMMYFUNCTION("GOOGLETRANSLATE(B5363, ""es"", ""en"")"),"FALSE am convinced that it is a copy, is false. Details of the sphere, letters Schock RESIST are partially covered, for the same indication that the submersible 20bar. In addition, the material of the case and band looks bad, and the belt does not close s"&amp;"moothly, it costs close it. Finally, when a view from above the area of ​​the clock mechanism is between the gap 6 and 7. FALSE.")</f>
        <v>FALSE am convinced that it is a copy, is false. Details of the sphere, letters Schock RESIST are partially covered, for the same indication that the submersible 20bar. In addition, the material of the case and band looks bad, and the belt does not close smoothly, it costs close it. Finally, when a view from above the area of ​​the clock mechanism is between the gap 6 and 7. FALSE.</v>
      </c>
    </row>
    <row r="5364">
      <c r="A5364" s="1">
        <v>4.0</v>
      </c>
      <c r="B5364" s="1" t="s">
        <v>5331</v>
      </c>
      <c r="C5364" t="str">
        <f>IFERROR(__xludf.DUMMYFUNCTION("GOOGLETRANSLATE(B5364, ""es"", ""en"")"),"Great versatility if you need a lot of power only 1 month that I have done, so far very good, very good power if you want to shred some type d nuts. Cutterhead (accessory) having a support blade that creates d a double bottom very annoying when used with "&amp;"liquids, as these remain below and are not incorporated into the mixture. I guess that is intended for when ice pick, but for other elaborations is inconvenient.")</f>
        <v>Great versatility if you need a lot of power only 1 month that I have done, so far very good, very good power if you want to shred some type d nuts. Cutterhead (accessory) having a support blade that creates d a double bottom very annoying when used with liquids, as these remain below and are not incorporated into the mixture. I guess that is intended for when ice pick, but for other elaborations is inconvenient.</v>
      </c>
    </row>
    <row r="5365">
      <c r="A5365" s="1">
        <v>4.0</v>
      </c>
      <c r="B5365" s="1" t="s">
        <v>5332</v>
      </c>
      <c r="C5365" t="str">
        <f>IFERROR(__xludf.DUMMYFUNCTION("GOOGLETRANSLATE(B5365, ""es"", ""en"")"),"Perform their function. It's a simple shoe but seems resistant finishes. Valid for multiple uses (go to the gym, running, even for day to day informal). Comfortable, but it feels like the foot is a little out of the shoe, especially when you put them the "&amp;"first few times but then you get used to it. So I do not get it 5 stars, but it is a good product for the price it costs (I bought downgraded to 25%).")</f>
        <v>Perform their function. It's a simple shoe but seems resistant finishes. Valid for multiple uses (go to the gym, running, even for day to day informal). Comfortable, but it feels like the foot is a little out of the shoe, especially when you put them the first few times but then you get used to it. So I do not get it 5 stars, but it is a good product for the price it costs (I bought downgraded to 25%).</v>
      </c>
    </row>
    <row r="5366">
      <c r="A5366" s="1">
        <v>4.0</v>
      </c>
      <c r="B5366" s="1" t="s">
        <v>5333</v>
      </c>
      <c r="C5366" t="str">
        <f>IFERROR(__xludf.DUMMYFUNCTION("GOOGLETRANSLATE(B5366, ""es"", ""en"")"),"Quality passable passable for the price it has. The rebate they say they do, is exaggerated because the clock does not cost worth it. The word ""Invicta"" found inside the box, glued to the field, you have a crooked letter.")</f>
        <v>Quality passable passable for the price it has. The rebate they say they do, is exaggerated because the clock does not cost worth it. The word "Invicta" found inside the box, glued to the field, you have a crooked letter.</v>
      </c>
    </row>
    <row r="5367">
      <c r="A5367" s="1">
        <v>4.0</v>
      </c>
      <c r="B5367" s="1" t="s">
        <v>5334</v>
      </c>
      <c r="C5367" t="str">
        <f>IFERROR(__xludf.DUMMYFUNCTION("GOOGLETRANSLATE(B5367, ""es"", ""en"")"),"AEG WUB 5647'm happy with the calientacamas. It is superheated. The price seems very cheap for the quality of the product. I recommend it")</f>
        <v>AEG WUB 5647'm happy with the calientacamas. It is superheated. The price seems very cheap for the quality of the product. I recommend it</v>
      </c>
    </row>
    <row r="5368">
      <c r="A5368" s="1">
        <v>4.0</v>
      </c>
      <c r="B5368" s="1" t="s">
        <v>5335</v>
      </c>
      <c r="C5368" t="str">
        <f>IFERROR(__xludf.DUMMYFUNCTION("GOOGLETRANSLATE(B5368, ""es"", ""en"")"),"Practical travel bag allows travel with clothes for a couple of days (men) in a space enough and I can include a 14-inch notebook. Missing a hand grip tape because you only have to hang on the shoulder.")</f>
        <v>Practical travel bag allows travel with clothes for a couple of days (men) in a space enough and I can include a 14-inch notebook. Missing a hand grip tape because you only have to hang on the shoulder.</v>
      </c>
    </row>
    <row r="5369">
      <c r="A5369" s="1">
        <v>5.0</v>
      </c>
      <c r="B5369" s="1" t="s">
        <v>5336</v>
      </c>
      <c r="C5369" t="str">
        <f>IFERROR(__xludf.DUMMYFUNCTION("GOOGLETRANSLATE(B5369, ""es"", ""en"")"),"Recommend came in one day, two weeks with the card and delighted I q had 8g Kigston from q came out, I preferred to buy this brand again q has never given me problems and 18 € I do not think anything expensive, go to another brand to save 2 € does not com"&amp;"pensate .. Those who give you a extrella saying that only has 115, I think you should know before talking bits calculation you doing out about 119, taking the amount encuenta number from 8 to 10% ... or even a menda which says it has 20 gb and have it for"&amp;"matted to fast32")</f>
        <v>Recommend came in one day, two weeks with the card and delighted I q had 8g Kigston from q came out, I preferred to buy this brand again q has never given me problems and 18 € I do not think anything expensive, go to another brand to save 2 € does not compensate .. Those who give you a extrella saying that only has 115, I think you should know before talking bits calculation you doing out about 119, taking the amount encuenta number from 8 to 10% ... or even a menda which says it has 20 gb and have it formatted to fast32</v>
      </c>
    </row>
    <row r="5370">
      <c r="A5370" s="1">
        <v>5.0</v>
      </c>
      <c r="B5370" s="1" t="s">
        <v>5337</v>
      </c>
      <c r="C5370" t="str">
        <f>IFERROR(__xludf.DUMMYFUNCTION("GOOGLETRANSLATE(B5370, ""es"", ""en"")"),"Encantada Very good, fast and the product is perfect")</f>
        <v>Encantada Very good, fast and the product is perfect</v>
      </c>
    </row>
    <row r="5371">
      <c r="A5371" s="1">
        <v>5.0</v>
      </c>
      <c r="B5371" s="1" t="s">
        <v>5338</v>
      </c>
      <c r="C5371" t="str">
        <f>IFERROR(__xludf.DUMMYFUNCTION("GOOGLETRANSLATE(B5371, ""es"", ""en"")"),"Prwciosos Preciosos")</f>
        <v>Prwciosos Preciosos</v>
      </c>
    </row>
    <row r="5372">
      <c r="A5372" s="1">
        <v>5.0</v>
      </c>
      <c r="B5372" s="1" t="s">
        <v>5339</v>
      </c>
      <c r="C5372" t="str">
        <f>IFERROR(__xludf.DUMMYFUNCTION("GOOGLETRANSLATE(B5372, ""es"", ""en"")"),"A quick drive, efficient and low-energy Bought to replace the disk of a portable unit used to download photograph cards trips and outings to avoid having to carry many cards or laptop. The disc arrived perfectly packed and protected. Installation and form"&amp;"atting the disk without problems. I use a Nexto N2700 to download SD and CF cards with photos and videos. Battery consumption is quite low. The noise is not noticeable. Transfer thanks to the cache is very fast, transferred from CF 32GB HD in about 14 min"&amp;"utes. The disc is 5400rpm and maintaining constant spin transfer disc do not copy failures occur. With an SSD battery consumption and transfer it would be faster, but 2TB SSD with these features costs 4 times more")</f>
        <v>A quick drive, efficient and low-energy Bought to replace the disk of a portable unit used to download photograph cards trips and outings to avoid having to carry many cards or laptop. The disc arrived perfectly packed and protected. Installation and formatting the disk without problems. I use a Nexto N2700 to download SD and CF cards with photos and videos. Battery consumption is quite low. The noise is not noticeable. Transfer thanks to the cache is very fast, transferred from CF 32GB HD in about 14 minutes. The disc is 5400rpm and maintaining constant spin transfer disc do not copy failures occur. With an SSD battery consumption and transfer it would be faster, but 2TB SSD with these features costs 4 times more</v>
      </c>
    </row>
    <row r="5373">
      <c r="A5373" s="1">
        <v>5.0</v>
      </c>
      <c r="B5373" s="1" t="s">
        <v>524</v>
      </c>
      <c r="C5373" t="str">
        <f>IFERROR(__xludf.DUMMYFUNCTION("GOOGLETRANSLATE(B5373, ""es"", ""en"")"),"Brilliant brilliant")</f>
        <v>Brilliant brilliant</v>
      </c>
    </row>
    <row r="5374">
      <c r="A5374" s="1">
        <v>5.0</v>
      </c>
      <c r="B5374" s="1" t="s">
        <v>5340</v>
      </c>
      <c r="C5374" t="str">
        <f>IFERROR(__xludf.DUMMYFUNCTION("GOOGLETRANSLATE(B5374, ""es"", ""en"")"),"If I wanted my daughter loved")</f>
        <v>If I wanted my daughter loved</v>
      </c>
    </row>
    <row r="5375">
      <c r="A5375" s="1">
        <v>5.0</v>
      </c>
      <c r="B5375" s="1" t="s">
        <v>5341</v>
      </c>
      <c r="C5375" t="str">
        <f>IFERROR(__xludf.DUMMYFUNCTION("GOOGLETRANSLATE(B5375, ""es"", ""en"")"),"They are a very refreshing masks for the eyes to reduce dark circles and bags. Attaches to perfection and is not at all uncomfortable, in fact you can even forget that llevas.Para dry skin noticeable to the first day of use and thanks to the high number o"&amp;"f patches containing have for many días.Te leaves Super hydrated skin !!! I recommend it")</f>
        <v>They are a very refreshing masks for the eyes to reduce dark circles and bags. Attaches to perfection and is not at all uncomfortable, in fact you can even forget that llevas.Para dry skin noticeable to the first day of use and thanks to the high number of patches containing have for many días.Te leaves Super hydrated skin !!! I recommend it</v>
      </c>
    </row>
    <row r="5376">
      <c r="A5376" s="1">
        <v>5.0</v>
      </c>
      <c r="B5376" s="1" t="s">
        <v>5342</v>
      </c>
      <c r="C5376" t="str">
        <f>IFERROR(__xludf.DUMMYFUNCTION("GOOGLETRANSLATE(B5376, ""es"", ""en"")"),"Very good cable Cable good for the price you have. Meets expectations. No noise, time is not screwed me.")</f>
        <v>Very good cable Cable good for the price you have. Meets expectations. No noise, time is not screwed me.</v>
      </c>
    </row>
    <row r="5377">
      <c r="A5377" s="1">
        <v>5.0</v>
      </c>
      <c r="B5377" s="1" t="s">
        <v>5343</v>
      </c>
      <c r="C5377" t="str">
        <f>IFERROR(__xludf.DUMMYFUNCTION("GOOGLETRANSLATE(B5377, ""es"", ""en"")"),"They slip resistant enough but are very perfect, after 3 months are like the first day")</f>
        <v>They slip resistant enough but are very perfect, after 3 months are like the first day</v>
      </c>
    </row>
    <row r="5378">
      <c r="A5378" s="1">
        <v>5.0</v>
      </c>
      <c r="B5378" s="1" t="s">
        <v>5344</v>
      </c>
      <c r="C5378" t="str">
        <f>IFERROR(__xludf.DUMMYFUNCTION("GOOGLETRANSLATE(B5378, ""es"", ""en"")"),"What a surprise!! I have to admit that this product has surprised me. I suffered a sports injury and my physio advised me to perform pelvic floor exercises, preferably with an exerciser. I was quite skeptical, but recommended me to try this and has been a"&amp;" success. I am slowly improving discomfort and now I have returned to the sport when just a month ago I was nearly impossible. It is a product well worth it.")</f>
        <v>What a surprise!! I have to admit that this product has surprised me. I suffered a sports injury and my physio advised me to perform pelvic floor exercises, preferably with an exerciser. I was quite skeptical, but recommended me to try this and has been a success. I am slowly improving discomfort and now I have returned to the sport when just a month ago I was nearly impossible. It is a product well worth it.</v>
      </c>
    </row>
    <row r="5379">
      <c r="A5379" s="1">
        <v>5.0</v>
      </c>
      <c r="B5379" s="1" t="s">
        <v>5345</v>
      </c>
      <c r="C5379" t="str">
        <f>IFERROR(__xludf.DUMMYFUNCTION("GOOGLETRANSLATE(B5379, ""es"", ""en"")"),"Grip and comfort The product looks good quality, it is early to say whether it is durable because only me I've put several occasions, the truth that does the job, are well grab the wooden floors exercise room, nice and stylish, I have nothing negative to "&amp;"report.")</f>
        <v>Grip and comfort The product looks good quality, it is early to say whether it is durable because only me I've put several occasions, the truth that does the job, are well grab the wooden floors exercise room, nice and stylish, I have nothing negative to report.</v>
      </c>
    </row>
    <row r="5380">
      <c r="A5380" s="1">
        <v>5.0</v>
      </c>
      <c r="B5380" s="1" t="s">
        <v>5346</v>
      </c>
      <c r="C5380" t="str">
        <f>IFERROR(__xludf.DUMMYFUNCTION("GOOGLETRANSLATE(B5380, ""es"", ""en"")"),"Very robust buying teacher, mechanical pumps tested d after 6 months is working with great precision. Very nice background seen, and looks good. Highly recommended for about 100 euros")</f>
        <v>Very robust buying teacher, mechanical pumps tested d after 6 months is working with great precision. Very nice background seen, and looks good. Highly recommended for about 100 euros</v>
      </c>
    </row>
    <row r="5381">
      <c r="A5381" s="1">
        <v>5.0</v>
      </c>
      <c r="B5381" s="1" t="s">
        <v>5347</v>
      </c>
      <c r="C5381" t="str">
        <f>IFERROR(__xludf.DUMMYFUNCTION("GOOGLETRANSLATE(B5381, ""es"", ""en"")"),"Sound pretty decent'm usually pretty picky about sound, and these Sennheiser headphones have a sound that leaves me unsatisfied, is listening decent also are resilient and have an attractive design")</f>
        <v>Sound pretty decent'm usually pretty picky about sound, and these Sennheiser headphones have a sound that leaves me unsatisfied, is listening decent also are resilient and have an attractive design</v>
      </c>
    </row>
    <row r="5382">
      <c r="A5382" s="1">
        <v>5.0</v>
      </c>
      <c r="B5382" s="1" t="s">
        <v>5348</v>
      </c>
      <c r="C5382" t="str">
        <f>IFERROR(__xludf.DUMMYFUNCTION("GOOGLETRANSLATE(B5382, ""es"", ""en"")"),"ESPECTACULARES HEADSET; COMFORTABLE AND VERY GOOD SOUND Headphones Orit are spectacular because they have a quality in amazing finishes, use a compatible high fidelity, which allows them to play the same content regardless of the distance they are. The co"&amp;"ntent of the package is very good, includes a charging cable USB-C type, perfect for fast loading of the charging case (where they are introduced and keep the wireless headset for charging) and a small LCD screen indicating the battery's case in percent, "&amp;"and when headphones are introduced, indicating they are inside. In turn, employ the use of magnets for closing the charging station, and also to attract the headphones to their place within it. Regarding playback quality and battery life, we should mentio"&amp;"n first the long battery life, as well as the quick battery charge. On the other hand, the audio quality is quite good, especially if you are playing from where you can equalize the audio sound and adapt it to the headphones. Finally, note the number of p"&amp;"arts and elements for headphones fit your ear without falling. Therefore I recommend these headphones to anyone and is give a note of 9'5 / 10.")</f>
        <v>ESPECTACULARES HEADSET; COMFORTABLE AND VERY GOOD SOUND Headphones Orit are spectacular because they have a quality in amazing finishes, use a compatible high fidelity, which allows them to play the same content regardless of the distance they are. The content of the package is very good, includes a charging cable USB-C type, perfect for fast loading of the charging case (where they are introduced and keep the wireless headset for charging) and a small LCD screen indicating the battery's case in percent, and when headphones are introduced, indicating they are inside. In turn, employ the use of magnets for closing the charging station, and also to attract the headphones to their place within it. Regarding playback quality and battery life, we should mention first the long battery life, as well as the quick battery charge. On the other hand, the audio quality is quite good, especially if you are playing from where you can equalize the audio sound and adapt it to the headphones. Finally, note the number of parts and elements for headphones fit your ear without falling. Therefore I recommend these headphones to anyone and is give a note of 9'5 / 10.</v>
      </c>
    </row>
    <row r="5383">
      <c r="A5383" s="1">
        <v>5.0</v>
      </c>
      <c r="B5383" s="1" t="s">
        <v>5349</v>
      </c>
      <c r="C5383" t="str">
        <f>IFERROR(__xludf.DUMMYFUNCTION("GOOGLETRANSLATE(B5383, ""es"", ""en"")"),"As expected comodisima")</f>
        <v>As expected comodisima</v>
      </c>
    </row>
    <row r="5384">
      <c r="A5384" s="1">
        <v>5.0</v>
      </c>
      <c r="B5384" s="1" t="s">
        <v>5350</v>
      </c>
      <c r="C5384" t="str">
        <f>IFERROR(__xludf.DUMMYFUNCTION("GOOGLETRANSLATE(B5384, ""es"", ""en"")"),"Perfect arrived on the date indicated and are of different color, exactly the same as seen in the photo. They are not very big but I just wanted so, enter a good handful of pens or markers. The quality depends on the use made of, in my case I think it wil"&amp;"l last long. The liner those who came to me ben van is not smaller than the outside as I saw in some reviews. I repeat safe")</f>
        <v>Perfect arrived on the date indicated and are of different color, exactly the same as seen in the photo. They are not very big but I just wanted so, enter a good handful of pens or markers. The quality depends on the use made of, in my case I think it will last long. The liner those who came to me ben van is not smaller than the outside as I saw in some reviews. I repeat safe</v>
      </c>
    </row>
    <row r="5385">
      <c r="A5385" s="1">
        <v>5.0</v>
      </c>
      <c r="B5385" s="1" t="s">
        <v>5351</v>
      </c>
      <c r="C5385" t="str">
        <f>IFERROR(__xludf.DUMMYFUNCTION("GOOGLETRANSLATE(B5385, ""es"", ""en"")"),"Highly recommended I always compto this brand of baby bottles. They are perfect addition to beautiful")</f>
        <v>Highly recommended I always compto this brand of baby bottles. They are perfect addition to beautiful</v>
      </c>
    </row>
    <row r="5386">
      <c r="A5386" s="1">
        <v>5.0</v>
      </c>
      <c r="B5386" s="1" t="s">
        <v>5352</v>
      </c>
      <c r="C5386" t="str">
        <f>IFERROR(__xludf.DUMMYFUNCTION("GOOGLETRANSLATE(B5386, ""es"", ""en"")"),"Great for gift I have given to a family member who always complained that their Bluetooth headsets were bad, and has been pleased. They sound good, they are very comfortable, and very much isolated from the noise. He used to work, and not have to move muc"&amp;"h, so I do not know whether to recommend high-intensity sports, I do not know if they would catch well, although I imagine yes (I have not had problems with them). The case seems fragile, and say that it seems that it is not. He has fallen a thousand time"&amp;"s (things have small children) and are without a scratch. The battery lasts long enough, about six hours with intermittent use, and allows loading a box five to six times more, so quite happy. Continuous if you use the battery should last between two and "&amp;"three hours.")</f>
        <v>Great for gift I have given to a family member who always complained that their Bluetooth headsets were bad, and has been pleased. They sound good, they are very comfortable, and very much isolated from the noise. He used to work, and not have to move much, so I do not know whether to recommend high-intensity sports, I do not know if they would catch well, although I imagine yes (I have not had problems with them). The case seems fragile, and say that it seems that it is not. He has fallen a thousand times (things have small children) and are without a scratch. The battery lasts long enough, about six hours with intermittent use, and allows loading a box five to six times more, so quite happy. Continuous if you use the battery should last between two and three hours.</v>
      </c>
    </row>
    <row r="5387">
      <c r="A5387" s="1">
        <v>5.0</v>
      </c>
      <c r="B5387" s="1" t="s">
        <v>5353</v>
      </c>
      <c r="C5387" t="str">
        <f>IFERROR(__xludf.DUMMYFUNCTION("GOOGLETRANSLATE(B5387, ""es"", ""en"")"),"happy with the good choice and a good price, I love and edemas made in España.Eso gave me the push definitivo.Además very bonitas.Volvería to buy")</f>
        <v>happy with the good choice and a good price, I love and edemas made in España.Eso gave me the push definitivo.Además very bonitas.Volvería to buy</v>
      </c>
    </row>
    <row r="5388">
      <c r="A5388" s="1">
        <v>2.0</v>
      </c>
      <c r="B5388" s="1" t="s">
        <v>5354</v>
      </c>
      <c r="C5388" t="str">
        <f>IFERROR(__xludf.DUMMYFUNCTION("GOOGLETRANSLATE(B5388, ""es"", ""en"")"),"Too expensive and low battery After 6 months of use about 3-4 hours a day ... The bad: The battery has rarely lasted me more than 6 hours. Gums ears hurt and the beginning get to make skin wounds ear. Not worth the price I paid for it. The sound quality i"&amp;"s normal pulling acceptable. The microphone often fails or is not heard nearly. The good: Insulate very well outside sound, I rarely dropped them drop some rain or wet my hands, but for now, seems to have had no water seepage problem. Barring any abdomina"&amp;"l exercise, I think I never have left. Easy to set up. Finished in quality materials.")</f>
        <v>Too expensive and low battery After 6 months of use about 3-4 hours a day ... The bad: The battery has rarely lasted me more than 6 hours. Gums ears hurt and the beginning get to make skin wounds ear. Not worth the price I paid for it. The sound quality is normal pulling acceptable. The microphone often fails or is not heard nearly. The good: Insulate very well outside sound, I rarely dropped them drop some rain or wet my hands, but for now, seems to have had no water seepage problem. Barring any abdominal exercise, I think I never have left. Easy to set up. Finished in quality materials.</v>
      </c>
    </row>
    <row r="5389">
      <c r="A5389" s="1">
        <v>3.0</v>
      </c>
      <c r="B5389" s="1" t="s">
        <v>5355</v>
      </c>
      <c r="C5389" t="str">
        <f>IFERROR(__xludf.DUMMYFUNCTION("GOOGLETRANSLATE(B5389, ""es"", ""en"")"),"Not bad A simple clock to set a price, when buying watches with this type of belt have to be very mindful that we almost certainly remove some other link.")</f>
        <v>Not bad A simple clock to set a price, when buying watches with this type of belt have to be very mindful that we almost certainly remove some other link.</v>
      </c>
    </row>
    <row r="5390">
      <c r="A5390" s="1">
        <v>1.0</v>
      </c>
      <c r="B5390" s="1" t="s">
        <v>5356</v>
      </c>
      <c r="C5390" t="str">
        <f>IFERROR(__xludf.DUMMYFUNCTION("GOOGLETRANSLATE(B5390, ""es"", ""en"")"),"Nothing satisfied Actually I have used very little because wrinkle all plastic and not just plasticized well and every now and then is cooled and the green light turns off. I do not recommend.")</f>
        <v>Nothing satisfied Actually I have used very little because wrinkle all plastic and not just plasticized well and every now and then is cooled and the green light turns off. I do not recommend.</v>
      </c>
    </row>
    <row r="5391">
      <c r="A5391" s="1">
        <v>1.0</v>
      </c>
      <c r="B5391" s="1" t="s">
        <v>5357</v>
      </c>
      <c r="C5391" t="str">
        <f>IFERROR(__xludf.DUMMYFUNCTION("GOOGLETRANSLATE(B5391, ""es"", ""en"")"),"He likes the warmth and not be so quick as it should be heated that gives pleasure, plastic scratch the first to insert it into a USB port, and is not as quick to be 3.0 thought it would be better for brand and concept but I'll take that has 64 gigabytes "&amp;"and little else.")</f>
        <v>He likes the warmth and not be so quick as it should be heated that gives pleasure, plastic scratch the first to insert it into a USB port, and is not as quick to be 3.0 thought it would be better for brand and concept but I'll take that has 64 gigabytes and little else.</v>
      </c>
    </row>
    <row r="5392">
      <c r="A5392" s="1">
        <v>4.0</v>
      </c>
      <c r="B5392" s="1" t="s">
        <v>5358</v>
      </c>
      <c r="C5392" t="str">
        <f>IFERROR(__xludf.DUMMYFUNCTION("GOOGLETRANSLATE(B5392, ""es"", ""en"")"),"It looks small but goes into much all right")</f>
        <v>It looks small but goes into much all right</v>
      </c>
    </row>
    <row r="5393">
      <c r="A5393" s="1">
        <v>4.0</v>
      </c>
      <c r="B5393" s="1" t="s">
        <v>5359</v>
      </c>
      <c r="C5393" t="str">
        <f>IFERROR(__xludf.DUMMYFUNCTION("GOOGLETRANSLATE(B5393, ""es"", ""en"")"),"For more than a cup. It works very well. Good value for money. Great to boil up to 1.7 l quickly. The only but you have to put at least 1/2 liter so it is not practical to prepare a single cup of water.")</f>
        <v>For more than a cup. It works very well. Good value for money. Great to boil up to 1.7 l quickly. The only but you have to put at least 1/2 liter so it is not practical to prepare a single cup of water.</v>
      </c>
    </row>
    <row r="5394">
      <c r="A5394" s="1">
        <v>4.0</v>
      </c>
      <c r="B5394" s="1" t="s">
        <v>5360</v>
      </c>
      <c r="C5394" t="str">
        <f>IFERROR(__xludf.DUMMYFUNCTION("GOOGLETRANSLATE(B5394, ""es"", ""en"")"),"Men serve is more expensive than male model and work just as well.")</f>
        <v>Men serve is more expensive than male model and work just as well.</v>
      </c>
    </row>
    <row r="5395">
      <c r="A5395" s="1">
        <v>4.0</v>
      </c>
      <c r="B5395" s="1" t="s">
        <v>5361</v>
      </c>
      <c r="C5395" t="str">
        <f>IFERROR(__xludf.DUMMYFUNCTION("GOOGLETRANSLATE(B5395, ""es"", ""en"")"),"Complies for money. I like finishing the tapas. Only fault being black cardstock I'd like vegetables that protect the photos were black instead of white.")</f>
        <v>Complies for money. I like finishing the tapas. Only fault being black cardstock I'd like vegetables that protect the photos were black instead of white.</v>
      </c>
    </row>
    <row r="5396">
      <c r="A5396" s="1">
        <v>4.0</v>
      </c>
      <c r="B5396" s="1" t="s">
        <v>5362</v>
      </c>
      <c r="C5396" t="str">
        <f>IFERROR(__xludf.DUMMYFUNCTION("GOOGLETRANSLATE(B5396, ""es"", ""en"")"),"I like it so far, and took a year with them (I always check after a while) I are great. Applications for jogging and connect perfectly with the phone. Sound pretty good (for this price more than enough). I adapt well to the ear and not fall. Also I went o"&amp;"ut to run with them raining and there has been no problem")</f>
        <v>I like it so far, and took a year with them (I always check after a while) I are great. Applications for jogging and connect perfectly with the phone. Sound pretty good (for this price more than enough). I adapt well to the ear and not fall. Also I went out to run with them raining and there has been no problem</v>
      </c>
    </row>
    <row r="5397">
      <c r="A5397" s="1">
        <v>5.0</v>
      </c>
      <c r="B5397" s="1" t="s">
        <v>5363</v>
      </c>
      <c r="C5397" t="str">
        <f>IFERROR(__xludf.DUMMYFUNCTION("GOOGLETRANSLATE(B5397, ""es"", ""en"")"),"And are Perfect position, good quality and best price, and this put the cable and the sound is much improved over the previous Cable")</f>
        <v>And are Perfect position, good quality and best price, and this put the cable and the sound is much improved over the previous Cable</v>
      </c>
    </row>
    <row r="5398">
      <c r="A5398" s="1">
        <v>5.0</v>
      </c>
      <c r="B5398" s="1" t="s">
        <v>5364</v>
      </c>
      <c r="C5398" t="str">
        <f>IFERROR(__xludf.DUMMYFUNCTION("GOOGLETRANSLATE(B5398, ""es"", ""en"")"),"Very good quality amplifier going pretty well, I use it mainly to play at home bingo because they are many, and we always have problems with high speak for all to hear, and amplifier is the problem abruptly sorted. I liked it a lot. Furthermore, although "&amp;"not tried but has a USB port where you imagine you can listen to music from there, because it also has card slot, so it is a great success to put our favorite music. Diadems with respect to the microphone is very comfortable and quite nice, with great fle"&amp;"xibility to sneak the microphone comes as you see, I'm very happy with this amp.")</f>
        <v>Very good quality amplifier going pretty well, I use it mainly to play at home bingo because they are many, and we always have problems with high speak for all to hear, and amplifier is the problem abruptly sorted. I liked it a lot. Furthermore, although not tried but has a USB port where you imagine you can listen to music from there, because it also has card slot, so it is a great success to put our favorite music. Diadems with respect to the microphone is very comfortable and quite nice, with great flexibility to sneak the microphone comes as you see, I'm very happy with this amp.</v>
      </c>
    </row>
    <row r="5399">
      <c r="A5399" s="1">
        <v>5.0</v>
      </c>
      <c r="B5399" s="1" t="s">
        <v>5365</v>
      </c>
      <c r="C5399" t="str">
        <f>IFERROR(__xludf.DUMMYFUNCTION("GOOGLETRANSLATE(B5399, ""es"", ""en"")"),"My kids very happy bibe no longer used but when I bought them loved. The butt used and are very comfortable")</f>
        <v>My kids very happy bibe no longer used but when I bought them loved. The butt used and are very comfortable</v>
      </c>
    </row>
    <row r="5400">
      <c r="A5400" s="1">
        <v>5.0</v>
      </c>
      <c r="B5400" s="1" t="s">
        <v>5366</v>
      </c>
      <c r="C5400" t="str">
        <f>IFERROR(__xludf.DUMMYFUNCTION("GOOGLETRANSLATE(B5400, ""es"", ""en"")"),"Everything meets all perfect. The product complies with all stated in the description. I worried size (using a 37 floor) but as I gave the option to change it if I was not good asked the 37 and luckily did not have to change anything because I have this p"&amp;"erfect. Very fast delivery, 100% recommended.")</f>
        <v>Everything meets all perfect. The product complies with all stated in the description. I worried size (using a 37 floor) but as I gave the option to change it if I was not good asked the 37 and luckily did not have to change anything because I have this perfect. Very fast delivery, 100% recommended.</v>
      </c>
    </row>
    <row r="5401">
      <c r="A5401" s="1">
        <v>5.0</v>
      </c>
      <c r="B5401" s="1" t="s">
        <v>5367</v>
      </c>
      <c r="C5401" t="str">
        <f>IFERROR(__xludf.DUMMYFUNCTION("GOOGLETRANSLATE(B5401, ""es"", ""en"")"),"Còmodes i resistents. Are Adidas, TOT M'agrada.")</f>
        <v>Còmodes i resistents. Are Adidas, TOT M'agrada.</v>
      </c>
    </row>
    <row r="5402">
      <c r="A5402" s="1">
        <v>5.0</v>
      </c>
      <c r="B5402" s="1" t="s">
        <v>5368</v>
      </c>
      <c r="C5402" t="str">
        <f>IFERROR(__xludf.DUMMYFUNCTION("GOOGLETRANSLATE(B5402, ""es"", ""en"")"),"Yolaine Spectacular !!! They love, just what q sought. Value for money very good, correct number and super comfortable. We continue buying, thank you.")</f>
        <v>Yolaine Spectacular !!! They love, just what q sought. Value for money very good, correct number and super comfortable. We continue buying, thank you.</v>
      </c>
    </row>
    <row r="5403">
      <c r="A5403" s="1">
        <v>5.0</v>
      </c>
      <c r="B5403" s="1" t="s">
        <v>5369</v>
      </c>
      <c r="C5403" t="str">
        <f>IFERROR(__xludf.DUMMYFUNCTION("GOOGLETRANSLATE(B5403, ""es"", ""en"")"),"Sound quality 10 But upon arrival I wanted to open them and to my surprise are very very handsome. Already the catch I've noticed that are of good quality, are loaded automatically when you put them in the box that brings and also has USB to load it into "&amp;"the stream. Great fit in the ear because it is small. They do not fall, or you have to put the strength for you between me well as has happened with previous headphones. Pairs with superfast mobile and hear great. Undoubtedly, the three had these are the "&amp;"best. Others will digitally marked the battery you have left. I recommend it!")</f>
        <v>Sound quality 10 But upon arrival I wanted to open them and to my surprise are very very handsome. Already the catch I've noticed that are of good quality, are loaded automatically when you put them in the box that brings and also has USB to load it into the stream. Great fit in the ear because it is small. They do not fall, or you have to put the strength for you between me well as has happened with previous headphones. Pairs with superfast mobile and hear great. Undoubtedly, the three had these are the best. Others will digitally marked the battery you have left. I recommend it!</v>
      </c>
    </row>
    <row r="5404">
      <c r="A5404" s="1">
        <v>5.0</v>
      </c>
      <c r="B5404" s="1" t="s">
        <v>5370</v>
      </c>
      <c r="C5404" t="str">
        <f>IFERROR(__xludf.DUMMYFUNCTION("GOOGLETRANSLATE(B5404, ""es"", ""en"")"),"Well all right")</f>
        <v>Well all right</v>
      </c>
    </row>
    <row r="5405">
      <c r="A5405" s="1">
        <v>5.0</v>
      </c>
      <c r="B5405" s="1" t="s">
        <v>5371</v>
      </c>
      <c r="C5405" t="str">
        <f>IFERROR(__xludf.DUMMYFUNCTION("GOOGLETRANSLATE(B5405, ""es"", ""en"")"),"Beautiful The size is manageable, but only if you want to put the photos as you indicated. Otherwise there is much space. Coverage is beautiful and soft and looks pretty tough. Black leaves are not of great quality, but the double-sided adhesive get stuck"&amp;" (and you can take off carefully if you have been distorted picture). One of the things that made me decide on this album rather than other Amazon was that between pages there is a very thin transparent white sheet that protects the photos to avoid damage"&amp;" each other.")</f>
        <v>Beautiful The size is manageable, but only if you want to put the photos as you indicated. Otherwise there is much space. Coverage is beautiful and soft and looks pretty tough. Black leaves are not of great quality, but the double-sided adhesive get stuck (and you can take off carefully if you have been distorted picture). One of the things that made me decide on this album rather than other Amazon was that between pages there is a very thin transparent white sheet that protects the photos to avoid damage each other.</v>
      </c>
    </row>
    <row r="5406">
      <c r="A5406" s="1">
        <v>5.0</v>
      </c>
      <c r="B5406" s="1" t="s">
        <v>5372</v>
      </c>
      <c r="C5406" t="str">
        <f>IFERROR(__xludf.DUMMYFUNCTION("GOOGLETRANSLATE(B5406, ""es"", ""en"")"),"Antonio This beautiful sienpre hope to wear it is fine and it is cheap and very good quality buy more I like")</f>
        <v>Antonio This beautiful sienpre hope to wear it is fine and it is cheap and very good quality buy more I like</v>
      </c>
    </row>
    <row r="5407">
      <c r="A5407" s="1">
        <v>5.0</v>
      </c>
      <c r="B5407" s="1" t="s">
        <v>5373</v>
      </c>
      <c r="C5407" t="str">
        <f>IFERROR(__xludf.DUMMYFUNCTION("GOOGLETRANSLATE(B5407, ""es"", ""en"")"),"According Ok all perfect description")</f>
        <v>According Ok all perfect description</v>
      </c>
    </row>
    <row r="5408">
      <c r="A5408" s="1">
        <v>5.0</v>
      </c>
      <c r="B5408" s="1" t="s">
        <v>5374</v>
      </c>
      <c r="C5408" t="str">
        <f>IFERROR(__xludf.DUMMYFUNCTION("GOOGLETRANSLATE(B5408, ""es"", ""en"")"),"Don phenomenal for my son, had other boots that much tired feet and they are happy, the brand is a guarantee, so very good, a month that has made.")</f>
        <v>Don phenomenal for my son, had other boots that much tired feet and they are happy, the brand is a guarantee, so very good, a month that has made.</v>
      </c>
    </row>
    <row r="5409">
      <c r="A5409" s="1">
        <v>5.0</v>
      </c>
      <c r="B5409" s="1" t="s">
        <v>5375</v>
      </c>
      <c r="C5409" t="str">
        <f>IFERROR(__xludf.DUMMYFUNCTION("GOOGLETRANSLATE(B5409, ""es"", ""en"")"),"Bass sound and comfortable helmets seem comfortable and my daughters are delighted. The product is perfectly wrapped and protected, the sound is not high and well my daughters liked.")</f>
        <v>Bass sound and comfortable helmets seem comfortable and my daughters are delighted. The product is perfectly wrapped and protected, the sound is not high and well my daughters liked.</v>
      </c>
    </row>
    <row r="5410">
      <c r="A5410" s="1">
        <v>5.0</v>
      </c>
      <c r="B5410" s="1" t="s">
        <v>5376</v>
      </c>
      <c r="C5410" t="str">
        <f>IFERROR(__xludf.DUMMYFUNCTION("GOOGLETRANSLATE(B5410, ""es"", ""en"")"),"Pendrive with very good finish The design of the pendrive is very minimalist. Each side has an input type: USB or USBC. The USBC is the standard that is currently imposing so it is necessary to have a pendrive to spend documents on your phone to the PC an"&amp;"d this pendrive fulfills this function effectively without heat. A good finish and a modern design make this model combine very well with its wide range of color.")</f>
        <v>Pendrive with very good finish The design of the pendrive is very minimalist. Each side has an input type: USB or USBC. The USBC is the standard that is currently imposing so it is necessary to have a pendrive to spend documents on your phone to the PC and this pendrive fulfills this function effectively without heat. A good finish and a modern design make this model combine very well with its wide range of color.</v>
      </c>
    </row>
    <row r="5411">
      <c r="A5411" s="1">
        <v>5.0</v>
      </c>
      <c r="B5411" s="1" t="s">
        <v>5377</v>
      </c>
      <c r="C5411" t="str">
        <f>IFERROR(__xludf.DUMMYFUNCTION("GOOGLETRANSLATE(B5411, ""es"", ""en"")"),"Stylish and comfortable I had to change size because I ordered a number more thinking that would be tight .. At the end I changed the size that is ... It is perfect and the return was very fast .. No problem.")</f>
        <v>Stylish and comfortable I had to change size because I ordered a number more thinking that would be tight .. At the end I changed the size that is ... It is perfect and the return was very fast .. No problem.</v>
      </c>
    </row>
    <row r="5412">
      <c r="A5412" s="1">
        <v>5.0</v>
      </c>
      <c r="B5412" s="1" t="s">
        <v>5378</v>
      </c>
      <c r="C5412" t="str">
        <f>IFERROR(__xludf.DUMMYFUNCTION("GOOGLETRANSLATE(B5412, ""es"", ""en"")"),"Stunningly comfortable. I is perfect. I asked one shoed 42.5 and 42. To say they are comfortable is an understatement. Very good quality.")</f>
        <v>Stunningly comfortable. I is perfect. I asked one shoed 42.5 and 42. To say they are comfortable is an understatement. Very good quality.</v>
      </c>
    </row>
    <row r="5413">
      <c r="A5413" s="1">
        <v>5.0</v>
      </c>
      <c r="B5413" s="1" t="s">
        <v>5379</v>
      </c>
      <c r="C5413" t="str">
        <f>IFERROR(__xludf.DUMMYFUNCTION("GOOGLETRANSLATE(B5413, ""es"", ""en"")"),"Quiet, very little weight very happy, the product arrived very quickly, on time, well presented in its box and your cable. The hard drive is highly recommended as it just weighs, it is very light very comfortable to wear anywhere and very quiet, not notic"&amp;"eable when working, is to connect and use it on any system. This great value for money, I bought the 160GB that remain in 149gb (normal, happens all disks) and speed is very good, being USB 3.0. Ideal for disk backup and a very good design and finish. rec"&amp;"ommendable")</f>
        <v>Quiet, very little weight very happy, the product arrived very quickly, on time, well presented in its box and your cable. The hard drive is highly recommended as it just weighs, it is very light very comfortable to wear anywhere and very quiet, not noticeable when working, is to connect and use it on any system. This great value for money, I bought the 160GB that remain in 149gb (normal, happens all disks) and speed is very good, being USB 3.0. Ideal for disk backup and a very good design and finish. recommendable</v>
      </c>
    </row>
    <row r="5414">
      <c r="A5414" s="1">
        <v>5.0</v>
      </c>
      <c r="B5414" s="1" t="s">
        <v>42</v>
      </c>
      <c r="C5414" t="str">
        <f>IFERROR(__xludf.DUMMYFUNCTION("GOOGLETRANSLATE(B5414, ""es"", ""en"")"),"Well well")</f>
        <v>Well well</v>
      </c>
    </row>
    <row r="5415">
      <c r="A5415" s="1">
        <v>2.0</v>
      </c>
      <c r="B5415" s="1" t="s">
        <v>5380</v>
      </c>
      <c r="C5415" t="str">
        <f>IFERROR(__xludf.DUMMYFUNCTION("GOOGLETRANSLATE(B5415, ""es"", ""en"")"),"Daniel Not very skinny, a tad tight, but not much. Mido 1.85 and 79kg weight, and asked for the M, L and the pedi before is large.")</f>
        <v>Daniel Not very skinny, a tad tight, but not much. Mido 1.85 and 79kg weight, and asked for the M, L and the pedi before is large.</v>
      </c>
    </row>
    <row r="5416">
      <c r="A5416" s="1">
        <v>3.0</v>
      </c>
      <c r="B5416" s="1" t="s">
        <v>5381</v>
      </c>
      <c r="C5416" t="str">
        <f>IFERROR(__xludf.DUMMYFUNCTION("GOOGLETRANSLATE(B5416, ""es"", ""en"")"),"frameworks and bought these shoes tabrajo but I chock 43 ay qe ask for a number less porqe are quite large")</f>
        <v>frameworks and bought these shoes tabrajo but I chock 43 ay qe ask for a number less porqe are quite large</v>
      </c>
    </row>
    <row r="5417">
      <c r="A5417" s="1">
        <v>3.0</v>
      </c>
      <c r="B5417" s="1" t="s">
        <v>5382</v>
      </c>
      <c r="C5417" t="str">
        <f>IFERROR(__xludf.DUMMYFUNCTION("GOOGLETRANSLATE(B5417, ""es"", ""en"")"),"Seagate good quality. Poor quality packaging Seagate own good but comes wrapped in bubble wrap without original box. Presentation very poor.")</f>
        <v>Seagate good quality. Poor quality packaging Seagate own good but comes wrapped in bubble wrap without original box. Presentation very poor.</v>
      </c>
    </row>
    <row r="5418">
      <c r="A5418" s="1">
        <v>1.0</v>
      </c>
      <c r="B5418" s="1" t="s">
        <v>5383</v>
      </c>
      <c r="C5418" t="str">
        <f>IFERROR(__xludf.DUMMYFUNCTION("GOOGLETRANSLATE(B5418, ""es"", ""en"")"),"Nice but very very small but it's not ugly sized for little girls, impossible to put into an adult neck and look")</f>
        <v>Nice but very very small but it's not ugly sized for little girls, impossible to put into an adult neck and look</v>
      </c>
    </row>
    <row r="5419">
      <c r="A5419" s="1">
        <v>1.0</v>
      </c>
      <c r="B5419" s="1" t="s">
        <v>5384</v>
      </c>
      <c r="C5419" t="str">
        <f>IFERROR(__xludf.DUMMYFUNCTION("GOOGLETRANSLATE(B5419, ""es"", ""en"")"),"Low quality cable very low quality")</f>
        <v>Low quality cable very low quality</v>
      </c>
    </row>
    <row r="5420">
      <c r="A5420" s="1">
        <v>1.0</v>
      </c>
      <c r="B5420" s="1" t="s">
        <v>5385</v>
      </c>
      <c r="C5420" t="str">
        <f>IFERROR(__xludf.DUMMYFUNCTION("GOOGLETRANSLATE(B5420, ""es"", ""en"")"),"zero malisimo quality fabric, zero quality")</f>
        <v>zero malisimo quality fabric, zero quality</v>
      </c>
    </row>
    <row r="5421">
      <c r="A5421" s="1">
        <v>4.0</v>
      </c>
      <c r="B5421" s="1" t="s">
        <v>5386</v>
      </c>
      <c r="C5421" t="str">
        <f>IFERROR(__xludf.DUMMYFUNCTION("GOOGLETRANSLATE(B5421, ""es"", ""en"")"),"Very handy for small contractures &lt;div id = ""video-block-RB00MHVG08ULI"" class = ""a-section a-spacing-small a-spacing-top mini video-block""&gt; &lt;div tabindex = ""0"" class = ""airy airy-svg vmin-supported airy-skin-beacon ""style ="" background-color: rgb"&amp;" (0, 0, 0) position: relative; width: 100%; height: 100%; font-size: 0px; overflow: hidden; outline: none; ""&gt; &lt;div class ="" airy-renderer-container ""style ="" position: relative; height: 100%; width: 100%; ""&gt; &lt;video id ="" 63 ""preload ="" auto "" src"&amp;" = ""https://images-eu.ssl-images-amazon.com/images/I/91hf2hkyyrS.mp4"" style = ""position: absolute; left: 0px; top: 0px; overflow: hidden; height: 1px; width: 1px; ""&gt; &lt;/ video&gt; &lt;/ div&gt; &lt;div id ="" airy-slate-preload ""style ="" background-color: rgb (0"&amp;", 0, 0); background-image: url (&amp; quot; https : //images-eu.ssl-images-amazon.com/images/I/B1kSk53PNAS.png&amp;quot;); background-size: Contain; background-position: center center; background-repeat: no-repeat; position: absolute; top: 0px; left: 0px; visibil"&amp;"ity: visible; width: 100%; height: 100%; "" &gt; &lt;/ Div&gt; &lt;iframe scrolling = ""no"" frameborder = ""0"" src = ""about: blank"" style = ""display: none;""&gt; &lt;/ iframe&gt; &lt;div tabindex = ""- 1"" class = ""airy- controls-container ""style ="" opacity: 0; visibilit"&amp;"y: hidden; ""&gt; &lt;div tabindex ="" - 1 ""class ="" airy-screen-size-toggle airy-fullscreen ""&gt; &lt;/ div&gt; &lt;div tabindex ="" - 1 ""class ="" airy-container-bottom "" &gt; &lt;div tabindex = ""- 1"" class = ""airy-track-bar-spacer-left"" style = ""width: 11px;""&gt; &lt;/ d"&amp;"iv&gt; &lt;div tabindex = ""- 1"" class = ""airy-play- airy toggle-play ""style ="" width: 12px; margin-right: 12px; ""&gt; &lt;/ div&gt; &lt;div tabindex ="" - 1 ""class ="" airy-audio-elements ""style ="" float: right; width: 34px; ""&gt; &lt;div tabindex ="" - 1 ""class ="" a"&amp;"iry-audio-toggle airy-on ""&gt; &lt;/ div&gt; &lt;div tabindex ="" - 1 ""class ="" airy-audio-container ""style = ""opacity: 0; visibility: hidden; ""&gt; &lt;div tabindex ="" - 1 ""class ="" airy-audio-track-bar ""style ="" height: 80%; ""&gt; &lt;div tabindex ="" - 1 ""class ="&amp;""" airy-audio- Scrubber-bar ""style ="" height: 85%; ""&gt; &lt;/ div&gt; &lt;div tabindex ="" - 1 ""class ="" airy-audio-scrubber ""style ="" height: 12px; bottom: 85% ""&gt; &lt;/ div&gt; &lt;/ div&gt; &lt;/ div&gt; &lt;/ div&gt; &lt;div tabindex ="" - 1 ""class ="" airy-duration-label ""style "&amp;"="" float: right; width: 26px; margin-right: 4px; text-align: center; ""&gt; 0:00 &lt;/ div&gt; &lt;div tabindex ="" - 1 ""class ="" airy-track-bar-spacer-right ""style ="" float: right; width: 11px; ""&gt; &lt;/ div&gt; &lt;div tabindex ="" - 1 ""class ="" airy-track-bar-contai"&amp;"ner ""style ="" margin-left: 35px; margin-right: 75px; ""&gt; &lt;div tabindex ="" - 1 ""class ="" airy-airy-track-bar vertically-centering-table ""&gt; &lt;div tabindex ="" - 1 ""class ="" airy-Vertical-centering- table-cell ""&gt; &lt;div tabindex ="" - 1 ""class ="" air"&amp;"y-track-bar-elements ""&gt; &lt;div tabindex ="" - 1 ""class ="" airy-progress-bar ""&gt; &lt;/ div&gt; &lt;div tabindex = ""- 1"" class = ""airy-scrubber-bar""&gt; &lt;/ div&gt; &lt;div tabindex = ""- 1"" class = ""airy-scrubber""&gt; &lt;div tabindex = ""- 1"" class = ""airy-scrubber- ico"&amp;"n ""&gt; &lt;/ div&gt; &lt;div tabindex ="" - 1 ""class ="" airy-adjusted-AUI-tooltip ""style ="" opacity: 0; visibility: hidden; ""&gt; &lt;div tabindex ="" - 1 ""class ="" airy-adjusted-aui-tooltip-inner ""&gt; &lt;div tabindex ="" - 1 ""class ="" airy-current-time-label ""&gt; 0"&amp;": 00 &lt;/ div&gt; &lt;/ div&gt; &lt;div tabindex = ""- 1"" class = ""airy-adjusted-AUI-arrow-border""&gt; &lt;div tabindex = ""- 1"" class = ""airy-adjusted-AUI-arrow"" &gt; &lt;/ div&gt; &lt;/ div&gt; &lt;/ div&gt; &lt;/ div&gt; &lt;/ div&gt; &lt;/ div&gt; &lt;/ div&gt; &lt;/ div&gt; &lt;/ div&gt; &lt;/ div&gt; &lt;div tabindex = ""- 1"" "&amp;"class = ""airy-age-gate airy-stage airy-Vertical-centering-table airy-dialog"" style = ""opacity: 0; visibility: hidden; ""&gt; &lt;div tabindex ="" - 1 ""class ="" airy-age-gate-Vertical-centering-table-cell airy-Vertical-centering-table-cell ""&gt; &lt;div tabindex"&amp;" ="" - 1 ""class = ""airy-Vertical-centering-wrapper airy-age-gate-elements-wrapper""&gt; &lt;div tabindex = ""- 1"" class = ""airy-age-gate-elements airy-dialog-elements""&gt; &lt;div tabindex = "" -1 ""class ="" airy-age-gate-prompt ""&gt; This video is not Intended f"&amp;"or all audiences What date were you born &lt;/ div&gt; &lt;div tabindex =.?"" - 1 ""class ="" airy-age-gate -inputs airy-dialog-inner-elements ""&gt; &lt;select tabindex ="" - 1 ""class ="" airy-age-gate-month ""&gt; &lt;option value ="" 1 ""&gt; January &lt;/ option&gt; &lt;option value"&amp;" ="" 2 ""&gt; February &lt;/ option&gt; &lt;option value ="" 3 ""&gt; March &lt;/ option&gt; &lt;option value ="" 4 ""&gt; April &lt;/ option&gt; &lt;option value ="" 5 ""&gt; May &lt;/ option&gt; &lt;option value = ""6""&gt; June &lt;/ option&gt; &lt;option value = ""7""&gt; July &lt;/ option&gt; &lt;option value = ""8""&gt; Au"&amp;"gust &lt;/ option&gt; &lt;option value = ""9""&gt; September &lt;/ option&gt; &lt;option value = ""10""&gt; October &lt;/ option&gt; &lt;option value = ""11""&gt; November &lt;/ option&gt; &lt;option value = ""12""&gt; December &lt;/ option&gt; &lt;/ select&gt; &lt;select tabindex = ""- 1"" class = ""airy-age-gate-da"&amp;"y""&gt; &lt;opti on value = ""1""&gt; 1 &lt;/ option&gt; &lt;option value = ""2""&gt; 2 &lt;/ option&gt; &lt;option value = ""3""&gt; 3 &lt;/ option&gt; &lt;option value = ""4""&gt; 4 &lt;/ option &gt; &lt;option value = ""5""&gt; 5 &lt;/ option&gt; &lt;option value = ""6""&gt; 6 &lt;/ option&gt; &lt;option value = ""7""&gt; 7 &lt;/ opti"&amp;"on&gt; &lt;option value = ""8""&gt; 8 &lt; / option&gt; &lt;option value = ""9""&gt; 9 &lt;/ option&gt; &lt;option value = ""10""&gt; 10 &lt;/ option&gt; &lt;option value = ""11""&gt; 11 &lt;/ option&gt; &lt;option value = ""12""&gt; 12 &lt;/ option&gt; &lt;option value = ""13""&gt; 13 &lt;/ option&gt; &lt;option value = ""14""&gt; 14"&amp;" &lt;/ option&gt; &lt;option value = ""15""&gt; 15 &lt;/ option&gt; &lt;option value = ""16 ""&gt; 16 &lt;/ option&gt; &lt;option value ="" 17 ""&gt; 17 &lt;/ option&gt; &lt;option value ="" 18 ""&gt; 18 &lt;/ option&gt; &lt;option value ="" 19 ""&gt; 19 &lt;/ option&gt; &lt;option value = ""20""&gt; 20 &lt;/ option&gt; &lt;option val"&amp;"ue = ""21""&gt; 21 &lt;/ option&gt; &lt;option value = ""22""&gt; 22 &lt;/ option&gt; &lt;option value = ""23""&gt; 23 &lt;/ option&gt; &lt;option value = ""24""&gt; 24 &lt;/ option&gt; &lt;option value = ""25""&gt; 25 &lt;/ option&gt; &lt;option value = ""26""&gt; 26 &lt;/ option&gt; &lt;option value = ""27""&gt; 27 &lt;/ option&gt; "&amp;"&lt;option value = ""28""&gt; 28 &lt;/ option&gt; &lt;option value = ""29""&gt; 29 &lt;/ option&gt; &lt;option value = ""30""&gt; 30 &lt;/ option&gt; &lt;option value = ""31""&gt; 31 &lt;/ option&gt; &lt;/ select&gt; &lt;select tabindex = ""- 1"" class = ""airy-age-gate-year""&gt; &lt;option value = ""2019""&gt; 2019 &lt;/"&amp;" option&gt; &lt; option value = ""2018""&gt; 2018 &lt;/ option&gt; &lt;option value = ""2017""&gt; 2017 &lt;/ option&gt; &lt;option value = ""2016""&gt; ​​2016 &lt;/ option&gt; &lt;option value = ""2015""&gt; 2015 &lt;/ option &gt; &lt;option value = ""2014""&gt; 2014 &lt;/ option&gt; &lt;option value = ""2013""&gt; 2013 &lt;"&amp;"/ option&gt; &lt;option value = ""2012""&gt; 2012 &lt;/ option&gt; &lt;option value = ""2011""&gt; 2011 &lt; / option&gt; &lt;option value = ""2010""&gt; 2010 &lt;/ option&gt; &lt;option value = ""2009""&gt; 2009 &lt;/ option&gt; &lt;option value = ""2008""&gt; 2008 &lt;/ option&gt; &lt;option value = ""2007""&gt; 2007 &lt;/ "&amp;"option&gt; &lt;option value = ""2006""&gt; 2006 &lt;/ option&gt; &lt;option value = ""2005""&gt; 2005 &lt;/ option&gt; &lt;option value = ""2004""&gt; 2004 &lt;/ option&gt; &lt;option value = ""2003 ""&gt; 2003 &lt;/ option&gt; &lt;option value ="" 2002 ""&gt; 2002 &lt;/ option&gt; &lt;option value ="" 2001 ""&gt; 2001 &lt;/ "&amp;"option&gt; &lt;option value ="" 2000 ""&gt; 2000 &lt;/ option&gt; &lt;option value = ""1999""&gt; 1999 &lt;/ option&gt; &lt;option value = ""1998""&gt; 1998 &lt;/ option&gt; &lt;option value = ""1997""&gt; 1997 &lt;/ option&gt; &lt;option value = ""1996""&gt; 1996 &lt;/ option&gt; &lt;option value = ""1995""&gt; 1995 &lt;/ op"&amp;"tion&gt; &lt;option value = ""1994""&gt; 1994 &lt;/ option&gt; &lt;option value = ""1993""&gt; 1993 &lt;/ option&gt; &lt;option value = ""1992""&gt; 1992 &lt;/ option&gt; &lt;option value = ""1991""&gt; 1991 &lt;/ option&gt; &lt;option value = ""1990""&gt; 1990 &lt;/ option&gt; &lt;option value = "" 1989 ""&gt; 1989 &lt;/ opt"&amp;"ion&gt; &lt;option value ="" 1988 ""&gt; 1988 &lt;/ option&gt; &lt;option value ="" 1987 ""&gt; 1987 &lt;/ option&gt; &lt;option value ="" 1986 ""&gt; 1986 &lt;/ option&gt; &lt;value option = ""1985""&gt; 1985 &lt;/ option&gt; &lt;option value = ""1984""&gt; 1984 &lt;/ option&gt; &lt;option value = ""1983""&gt; 1983 &lt;/ opt"&amp;"ion&gt; &lt;option value = ""1982""&gt; 1982 &lt;/ option&gt; &lt; option value = ""1981""&gt; 1981 &lt;/ option&gt; &lt;option value = ""1980""&gt; 1980 &lt;/ option&gt; &lt;option value = ""1979""&gt; 1979 &lt;/ option&gt; &lt;option value = ""1978""&gt; 1978 &lt;/ option &gt; &lt;option value = ""1977""&gt; 1977 &lt;/ opti"&amp;"on&gt; &lt;option value = ""1976""&gt; 1976 &lt;/ option&gt; &lt;option value = ""1975""&gt; 1975 &lt;/ option&gt; &lt;option value = ""1974""&gt; 1974 &lt; / option&gt; &lt;option value = ""1973""&gt; 1973 &lt;/ option&gt; &lt;option value = ""1972""&gt; 1972 &lt;/ option&gt; &lt;option value = ""1971""&gt; 1971 &lt;/ option"&amp;"&gt; &lt;option value = ""1970""&gt; 1970 &lt;/ option&gt; &lt;option value = ""1969""&gt; 1969 &lt;/ option&gt; &lt;option value = ""1968""&gt; 1968 &lt;/ option&gt; &lt;option value = ""1967""&gt; 1967 &lt;/ option&gt; &lt;option value = ""1966 ""&gt; 1966 &lt;/ option&gt; &lt;option value ="" 1965 ""&gt; 1965 &lt;/ option&gt;"&amp;" &lt;option value ="" 1964 ""&gt; 1964 &lt;/ option&gt; &lt;option value ="" 1963 ""&gt; 1963 &lt;/ option&gt; &lt;option value = ""1962""&gt; 1962 &lt;/ option&gt; &lt;option value = ""1961""&gt; 1961 &lt;/ option&gt; &lt;option value = ""1960""&gt; 1960 &lt;/ op tion&gt; &lt;option value = ""1959""&gt; 1959 &lt;/ option&gt;"&amp;" &lt;option value = ""1958""&gt; 1958 &lt;/ option&gt; &lt;option value = ""1957""&gt; 1957 &lt;/ option&gt; &lt;option value = ""1956""&gt; 1956 &lt;/ option&gt; &lt;option value = ""1955""&gt; 1955 &lt;/ option&gt; &lt;option value = ""1954""&gt; 1954 &lt;/ option&gt; &lt;option value = ""1953""&gt; 1953 &lt;/ option&gt; &lt;o"&amp;"ption value = ""1952"" &gt; 1952 &lt;/ option&gt; &lt;option value = ""1951""&gt; 1951 &lt;/ option&gt; &lt;option value = ""1950""&gt; 1950 &lt;/ option&gt; &lt;option value = ""1949""&gt; 1949 &lt;/ option&gt; &lt;option value = "" 1948 ""&gt; 1948 &lt;/ option&gt; &lt;option value ="" 1947 ""&gt; 1947 &lt;/ option&gt; &lt;"&amp;"option value ="" 1946 ""&gt; 1946 &lt;/ option&gt; &lt;option value ="" 1945 ""&gt; 1945 &lt;/ option&gt; &lt;value option = ""1944""&gt; 1944 &lt;/ option&gt; &lt;option value = ""1943""&gt; 1943 &lt;/ option&gt; &lt;option value = ""1942""&gt; 1942 &lt;/ option&gt; &lt;option value = ""1941""&gt; 1941 &lt;/ option&gt; &lt; "&amp;"option value = ""1940""&gt; 1940 &lt;/ option&gt; &lt;option value = ""1939""&gt; 1939 &lt;/ option&gt; &lt;option value = ""1938""&gt; 1938 &lt;/ option&gt; &lt;option value = ""1937""&gt; 1937 &lt;/ option &gt; &lt;option value = ""1936""&gt; 1936 &lt;/ option&gt; &lt;option value = ""1935""&gt; 1935 &lt;/ option&gt; &lt;op"&amp;"tion value = ""1934""&gt; 1934 &lt;/ option&gt; &lt;option value = ""1933""&gt; 1933 &lt; / option&gt; &lt;option value = ""1932""&gt; 1932 &lt;/ option&gt; &lt;option value = ""1931""&gt; 1931 &lt;/ option&gt; &lt;option v alue = ""1930""&gt; 1930 &lt;/ option&gt; &lt;option value = ""1929""&gt; 1929 &lt;/ option&gt; &lt;opt"&amp;"ion value = ""1928""&gt; 1928 &lt;/ option&gt; &lt;option value = ""1927""&gt; 1927 &lt;/ option&gt; &lt;option value = ""1926""&gt; 1926 &lt;/ option&gt; &lt;option value = ""1925""&gt; 1925 &lt;/ option&gt; &lt;option value = ""1924""&gt; 1924 &lt;/ option&gt; &lt;option value = ""1923""&gt; 1923 &lt;/ option&gt; &lt;option"&amp;" value = ""1922""&gt; 1922 &lt;/ option&gt; &lt;option value = ""1921""&gt; 1921 &lt;/ option&gt; &lt;option value = ""1920""&gt; 1920 &lt;/ option&gt; &lt;option value = ""1919""&gt; 1919 &lt;/ option&gt; &lt;option value = ""1918""&gt; 1918 &lt;/ option&gt; &lt;option value = ""1917""&gt; 1917 &lt;/ option&gt; &lt;option va"&amp;"lue = ""1916""&gt; 1916 &lt;/ option&gt; &lt;option value = ""1915"" &gt; 1915 &lt;/ option&gt; &lt;option value = ""1914""&gt; 1914 &lt;/ option&gt; &lt;option value = ""1913""&gt; 1913 &lt;/ option&gt; &lt;option value = ""1912""&gt; 1912 &lt;/ option&gt; &lt;option value = "" 1911 ""&gt; 1911 &lt;/ option&gt; &lt;option va"&amp;"lue ="" 1910 ""&gt; 1910 &lt;/ option&gt; &lt;option value ="" 1909 ""&gt; 1909 &lt;/ option&gt; &lt;option value ="" 1908 ""&gt; 1908 &lt;/ option&gt; &lt;value option = ""1907""&gt; 1907 &lt;/ option&gt; &lt;option value = ""1906""&gt; 1906 &lt;/ option&gt; &lt;option value = ""1905""&gt; 1905 &lt;/ option&gt; &lt;option va"&amp;"lue = ""1904""&gt; 1904 &lt;/ option&gt; &lt; option value = ""1903""&gt; 1903 &lt;/ option&gt; &lt;option value = ""1902""&gt; 1902 &lt;/ option&gt; &lt;option value = ""1901""&gt; 19 01 &lt;/ option&gt; &lt;option value = ""1900""&gt; 1900 &lt;/ option&gt; &lt;/ select&gt; &lt;div tabindex = ""- 1"" class = ""airy-age"&amp;"-gate-submit airy-submit-button airy airy-submit- disabled ""&gt; Submit &lt;/ div&gt; &lt;/ div&gt; &lt;/ div&gt; &lt;/ div&gt; &lt;/ div&gt; &lt;/ div&gt; &lt;div tabindex ="" - 1 ""class ="" airy-install-flash-dialog airy-stage airy -vertical-centering-table-dialog airy airy-denied ""style ="""&amp;" opacity: 0; visibility: hidden; ""&gt; &lt;div tabindex ="" - 1 ""class ="" airy-install-flash-Vertical-centering-table-cell airy-Vertical-centering-table-cell ""&gt; &lt;div tabindex ="" - 1 ""class = ""airy-Vertical-centering-wrapper airy-install-flash-elements-wr"&amp;"apper""&gt; &lt;div tabindex = ""- 1"" class = ""airy-install-flash-elements airy-dialog-elements""&gt; &lt;div tabindex = "" -1 ""class ="" airy-install-flash-prompt ""&gt; Adobe Flash Player is required to watch this video &lt;/ div&gt; &lt;div tabindex =."" - 1 ""class ="" ai"&amp;"ry-install-flash-button-wrapper airy -dialog-inner-elements ""&gt; &lt;div tabindex ="" - 1 ""class ="" airy-install-flash-button airy-button ""&gt; install Flash Player &lt;/ div&gt; &lt;/ div&gt; &lt;/ div&gt; &lt;/ div&gt; &lt;/ div&gt; &lt;/ div&gt; &lt;div tabindex = ""- 1"" class = ""airy-video-u"&amp;"nsupported-dialog airy-stage airy-Vertical-centering-table airy-dialog airy-denied"" style = ""opacity: 0; visibility: hidden; ""&gt; &lt;div tabindex ="" - 1 ""class ="" airy-video-unsupported-Vertical-centering-table-cell airy-Vertical-centering-table-cell """&amp;"&gt; &lt;div tabindex ="" - 1 ""class = ""airy-Vertical-centering-wrapper airy-video-unsupported-elements-wrapper""&gt; &lt;div tabindex = ""- 1"" class = ""airy-video-unsupported-elements airy-dialog-elements""&gt; &lt;div tabindex = "" -1 ""class ="" airy-video-unsupport"&amp;"ed-prompt ""&gt; &lt;/ div&gt; &lt;/ div&gt; &lt;/ div&gt; &lt;/ div&gt; &lt;/ div&gt; &lt;div tabindex ="" - 1 ""class ="" airy-loading- spinner-stage airy-stage ""&gt; &lt;div tabindex ="" - 1 ""class ="" airy-loading-spinner-Vertical-centering-table-cell airy-Vertical-centering-table-cell ""&gt; "&amp;"&lt;div tabindex ="" - 1 ""class ="" airy-loading-spinner-container airy-scalable-hint-container ""&gt; &lt;div tabindex ="" - 1 ""class ="" airy-loading-spinner-dummy airy-scalable-dummy ""&gt; &lt;/ div&gt; &lt; div tabindex = ""- 1"" class = ""airy-loading-spinner airy-hin"&amp;"t"" style = ""visibility: hidden;""&gt; &lt;/ div&gt; &lt;/ div&gt; &lt;/ div&gt; &lt;/ div&gt; &lt;div tabindex = ""- 1 ""class ="" airy-ads-screen-size-toggle airy-screen-size-toggle-fullscreen airy ""style ="" visibility: hidden; ""&gt; &lt;/ div&gt; &lt;div tabindex = ""-1"" class = ""airy-ad"&amp;"-prompt-container"" style = ""visibility: hidden;""&gt; &lt;div tabindex = ""- 1"" class = ""airy-ad-prompt-Vertical-centering-table-vertically airy centering-table ""&gt; &lt;div tabindex ="" - 1 ""class ="" airy-ad-prompt-Vertical-centering-table-cell airy-Vertical"&amp;"-centering-table-cell ""&gt; &lt;div tabindex ="" - 1 ""class = ""airy-ad-prompt-label""&gt; &lt;/ div&gt; &lt;/ div&gt; &lt;/ div&gt; &lt;/ div&gt; &lt;div tabindex = ""- 1"" class = ""airy-ads-controls-container"" style = ""visibility: hidden; ""&gt; &lt;div tabindex ="" - 1 ""class ="" airy-ad"&amp;"s-audio-toggle airy-audio-toggle airy-on ""style ="" visibility: hidden; ""&gt; &lt;/ div&gt; &lt;div tabindex ="" - 1 ""class ="" airy-time-remaining-label-container ""&gt; &lt;div tabindex ="" - 1 ""class ="" airy-time-remaining-Vertical-centering-table airy-Vertical-cen"&amp;"tering-table ""&gt; &lt;div tabindex = ""- 1"" class = ""airy-time-remaining-Vertical-centering-table-cell airy-Vertical-centering-table-cell""&gt; &lt;div tabindex = ""- 1"" class = ""airy-Vertical-centering-wrapper airy-time-remaining-label-wrapper ""&gt; &lt;div tabinde"&amp;"x ="" - 1 ""class ="" airy-time-remaining-label ""style ="" visibility: hidden; ""&gt; &lt;/ div&gt; &lt;div tabi ndex = ""- 1"" class = ""airy-ad-skip"" style = ""visibility: hidden;""&gt; &lt;/ div&gt; &lt;div tabindex = ""- 1"" class = ""airy-ad-end"" style = ""visibility: hi"&amp;"dden ""&gt; &lt;/ div&gt; &lt;/ div&gt; &lt;/ div&gt; &lt;/ div&gt; &lt;/ div&gt; &lt;div tabindex ="" - 1 ""class ="" airy-learn-more ""style ="" visibility: hidden; ""&gt; &lt;/ div&gt; &lt;/ div&gt; &lt;div tabindex = ""- 1"" class = ""airy-play-toggle-hint-stage airy-stage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-toggle-hint hint airy-airy-play-hint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images-eu ."&amp;"ssl-images-amazon.com / images / I / 91hf2hkyyrS.mp4 ""Class ="" video-url ""&gt; &lt;input type ="" hidden ""name ="" ""value ="" https://images-eu.ssl-images-amazon.com/images/I/B1kSk53PNAS.png ""class ="" video-slate-img-url ""&gt; &amp; nbsp; back pain disappears "&amp;"in 10 minutes if they are not strong")</f>
        <v>Very handy for small contractures &lt;div id = "video-block-RB00MHVG08ULI" class = "a-section a-spacing-small a-spacing-top mini video-block"&gt; &lt;div tabindex = "0" class = "airy airy-svg vmin-supported airy-skin-beacon "style =" background-color: rgb (0, 0, 0) position: relative; width: 100%; height: 100%; font-size: 0px; overflow: hidden; outline: none; "&gt; &lt;div class =" airy-renderer-container "style =" position: relative; height: 100%; width: 100%; "&gt; &lt;video id =" 63 "preload =" auto " src = "https://images-eu.ssl-images-amazon.com/images/I/91hf2hkyyrS.mp4" style = "position: absolute; left: 0px; top: 0px; overflow: hidden; height: 1px; width: 1px; "&gt; &lt;/ video&gt; &lt;/ div&gt; &lt;div id =" airy-slate-preload "style =" background-color: rgb (0, 0, 0); background-image: url (&amp; quot; https : //images-eu.ssl-images-amazon.com/images/I/B1kSk53PNAS.png&amp;quot;); background-size: Contain; background-position: center center; background-repeat: no-repeat; position: absolute; top: 0px; left: 0px; visibility: visible; width: 100%; height: 100%; " &gt; &lt;/ Div&gt; &lt;iframe scrolling = "no" frameborder = "0" src = "about: blank" style = "display: none;"&gt; &lt;/ iframe&gt; &lt;div tabindex = "- 1" class = "airy- 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91hf2hkyyrS.mp4 "Class =" video-url "&gt; &lt;input type =" hidden "name =" "value =" https://images-eu.ssl-images-amazon.com/images/I/B1kSk53PNAS.png "class =" video-slate-img-url "&gt; &amp; nbsp; back pain disappears in 10 minutes if they are not strong</v>
      </c>
    </row>
    <row r="5422">
      <c r="A5422" s="1">
        <v>4.0</v>
      </c>
      <c r="B5422" s="1" t="s">
        <v>5387</v>
      </c>
      <c r="C5422" t="str">
        <f>IFERROR(__xludf.DUMMYFUNCTION("GOOGLETRANSLATE(B5422, ""es"", ""en"")"),"good product quality")</f>
        <v>good product quality</v>
      </c>
    </row>
    <row r="5423">
      <c r="A5423" s="1">
        <v>4.0</v>
      </c>
      <c r="B5423" s="1" t="s">
        <v>5388</v>
      </c>
      <c r="C5423" t="str">
        <f>IFERROR(__xludf.DUMMYFUNCTION("GOOGLETRANSLATE(B5423, ""es"", ""en"")"),"Product suitable suitable Product")</f>
        <v>Product suitable suitable Product</v>
      </c>
    </row>
    <row r="5424">
      <c r="A5424" s="1">
        <v>4.0</v>
      </c>
      <c r="B5424" s="1" t="s">
        <v>5389</v>
      </c>
      <c r="C5424" t="str">
        <f>IFERROR(__xludf.DUMMYFUNCTION("GOOGLETRANSLATE(B5424, ""es"", ""en"")"),"Nice I liked the quality of the product and its good price")</f>
        <v>Nice I liked the quality of the product and its good price</v>
      </c>
    </row>
    <row r="5425">
      <c r="A5425" s="1">
        <v>4.0</v>
      </c>
      <c r="B5425" s="1" t="s">
        <v>5390</v>
      </c>
      <c r="C5425" t="str">
        <f>IFERROR(__xludf.DUMMYFUNCTION("GOOGLETRANSLATE(B5425, ""es"", ""en"")"),"Comodo comfort")</f>
        <v>Comodo comfort</v>
      </c>
    </row>
    <row r="5426">
      <c r="A5426" s="1">
        <v>5.0</v>
      </c>
      <c r="B5426" s="1" t="s">
        <v>5391</v>
      </c>
      <c r="C5426" t="str">
        <f>IFERROR(__xludf.DUMMYFUNCTION("GOOGLETRANSLATE(B5426, ""es"", ""en"")"),"Excellent ! I ordered the micro and came with default voice button / radio, contact the seller without any problems I replaced it in no time. Excellent!!")</f>
        <v>Excellent ! I ordered the micro and came with default voice button / radio, contact the seller without any problems I replaced it in no time. Excellent!!</v>
      </c>
    </row>
    <row r="5427">
      <c r="A5427" s="1">
        <v>5.0</v>
      </c>
      <c r="B5427" s="1" t="s">
        <v>5392</v>
      </c>
      <c r="C5427" t="str">
        <f>IFERROR(__xludf.DUMMYFUNCTION("GOOGLETRANSLATE(B5427, ""es"", ""en"")"),"Without lies it is exactly what it says")</f>
        <v>Without lies it is exactly what it says</v>
      </c>
    </row>
    <row r="5428">
      <c r="A5428" s="1">
        <v>5.0</v>
      </c>
      <c r="B5428" s="1" t="s">
        <v>5393</v>
      </c>
      <c r="C5428" t="str">
        <f>IFERROR(__xludf.DUMMYFUNCTION("GOOGLETRANSLATE(B5428, ""es"", ""en"")"),"Value for money still remains my Mac mid 2009 and only 3 Gigabits, this SSD has given life without being able to use its full capacity by the above mencionado.menos a minute to start the operating system, much improved opening applications and Internet br"&amp;"owsing very surprised, also improved battery consumption aLL pluses, very happy and I would almost say ridiculous price for what brought me to 36,00 eur on offer, well packed and very fast delivery all a gift Christmas for my MacBook Pro mid-2009 highly r"&amp;"ecommended.")</f>
        <v>Value for money still remains my Mac mid 2009 and only 3 Gigabits, this SSD has given life without being able to use its full capacity by the above mencionado.menos a minute to start the operating system, much improved opening applications and Internet browsing very surprised, also improved battery consumption aLL pluses, very happy and I would almost say ridiculous price for what brought me to 36,00 eur on offer, well packed and very fast delivery all a gift Christmas for my MacBook Pro mid-2009 highly recommended.</v>
      </c>
    </row>
    <row r="5429">
      <c r="A5429" s="1">
        <v>5.0</v>
      </c>
      <c r="B5429" s="1" t="s">
        <v>5394</v>
      </c>
      <c r="C5429" t="str">
        <f>IFERROR(__xludf.DUMMYFUNCTION("GOOGLETRANSLATE(B5429, ""es"", ""en"")"),"Comfortable and had a pair of Asics (the patriot 8), I really like the brand. They are super comfortable and lightweight. right sizing, I recommend")</f>
        <v>Comfortable and had a pair of Asics (the patriot 8), I really like the brand. They are super comfortable and lightweight. right sizing, I recommend</v>
      </c>
    </row>
    <row r="5430">
      <c r="A5430" s="1">
        <v>5.0</v>
      </c>
      <c r="B5430" s="1" t="s">
        <v>5395</v>
      </c>
      <c r="C5430" t="str">
        <f>IFERROR(__xludf.DUMMYFUNCTION("GOOGLETRANSLATE(B5430, ""es"", ""en"")"),"José A. Perfect, very happy. Fast shipping and product that meets expectations 100%. Very nice watch, hard, accurate. Perdecto for day to day or to wear")</f>
        <v>José A. Perfect, very happy. Fast shipping and product that meets expectations 100%. Very nice watch, hard, accurate. Perdecto for day to day or to wear</v>
      </c>
    </row>
    <row r="5431">
      <c r="A5431" s="1">
        <v>5.0</v>
      </c>
      <c r="B5431" s="1" t="s">
        <v>5396</v>
      </c>
      <c r="C5431" t="str">
        <f>IFERROR(__xludf.DUMMYFUNCTION("GOOGLETRANSLATE(B5431, ""es"", ""en"")"),"Perfect for Power Point If you're one of those people who usually do presentations, for the price it certainly is a purchase very, very satisfying. I gave him my partner who uses it very often, and is thrilled. Elegant pen shaped so that when having it on"&amp;" hand does not call too much attention to the public. It has a handy clip if you want to save it in a pocket !!! As for connectivity, it has a built-in USB, which on a Windows 10 recognizes it instantly. You can scroll through an entire classroom or large"&amp;" office without any interference or problems. The USB has magnetic suction which hampers their potential loss. The laser itself large enough distances, appreciating sharply. Has a stack, incidentally, included !!! Power Point presentation is perfect, incl"&amp;"uding links to play media directly. For PDF files, also you can be displayed and controlled, although perhaps not the best product for that functionality. Very fact missing a sleeve or bag to keep the product while it is not in use. Otherwise, highly reco"&amp;"mmended!!!")</f>
        <v>Perfect for Power Point If you're one of those people who usually do presentations, for the price it certainly is a purchase very, very satisfying. I gave him my partner who uses it very often, and is thrilled. Elegant pen shaped so that when having it on hand does not call too much attention to the public. It has a handy clip if you want to save it in a pocket !!! As for connectivity, it has a built-in USB, which on a Windows 10 recognizes it instantly. You can scroll through an entire classroom or large office without any interference or problems. The USB has magnetic suction which hampers their potential loss. The laser itself large enough distances, appreciating sharply. Has a stack, incidentally, included !!! Power Point presentation is perfect, including links to play media directly. For PDF files, also you can be displayed and controlled, although perhaps not the best product for that functionality. Very fact missing a sleeve or bag to keep the product while it is not in use. Otherwise, highly recommended!!!</v>
      </c>
    </row>
    <row r="5432">
      <c r="A5432" s="1">
        <v>5.0</v>
      </c>
      <c r="B5432" s="1" t="s">
        <v>5397</v>
      </c>
      <c r="C5432" t="str">
        <f>IFERROR(__xludf.DUMMYFUNCTION("GOOGLETRANSLATE(B5432, ""es"", ""en"")"),"Rugged and powerful incredible power. Bato even ice. It also has a lot of accessories. It looks tough. Super fast shipping")</f>
        <v>Rugged and powerful incredible power. Bato even ice. It also has a lot of accessories. It looks tough. Super fast shipping</v>
      </c>
    </row>
    <row r="5433">
      <c r="A5433" s="1">
        <v>5.0</v>
      </c>
      <c r="B5433" s="1" t="s">
        <v>5398</v>
      </c>
      <c r="C5433" t="str">
        <f>IFERROR(__xludf.DUMMYFUNCTION("GOOGLETRANSLATE(B5433, ""es"", ""en"")"),"Very practical good product at a good price. Very comfortable remote control you have and the have up to 500 ml you forget to keep an eye constantly refilling.")</f>
        <v>Very practical good product at a good price. Very comfortable remote control you have and the have up to 500 ml you forget to keep an eye constantly refilling.</v>
      </c>
    </row>
    <row r="5434">
      <c r="A5434" s="1">
        <v>5.0</v>
      </c>
      <c r="B5434" s="1" t="s">
        <v>5399</v>
      </c>
      <c r="C5434" t="str">
        <f>IFERROR(__xludf.DUMMYFUNCTION("GOOGLETRANSLATE(B5434, ""es"", ""en"")"),"Very practical is a blender very practical and comfortable to use, I led her to work every dis. is the best thing very easily cleaned and does not stain.")</f>
        <v>Very practical is a blender very practical and comfortable to use, I led her to work every dis. is the best thing very easily cleaned and does not stain.</v>
      </c>
    </row>
    <row r="5435">
      <c r="A5435" s="1">
        <v>5.0</v>
      </c>
      <c r="B5435" s="1" t="s">
        <v>5400</v>
      </c>
      <c r="C5435" t="str">
        <f>IFERROR(__xludf.DUMMYFUNCTION("GOOGLETRANSLATE(B5435, ""es"", ""en"")"),"Perfect item very versatile, discreet and comfortable 100% recommended")</f>
        <v>Perfect item very versatile, discreet and comfortable 100% recommended</v>
      </c>
    </row>
    <row r="5436">
      <c r="A5436" s="1">
        <v>5.0</v>
      </c>
      <c r="B5436" s="1" t="s">
        <v>5401</v>
      </c>
      <c r="C5436" t="str">
        <f>IFERROR(__xludf.DUMMYFUNCTION("GOOGLETRANSLATE(B5436, ""es"", ""en"")"),"Value Does the job")</f>
        <v>Value Does the job</v>
      </c>
    </row>
    <row r="5437">
      <c r="A5437" s="1">
        <v>5.0</v>
      </c>
      <c r="B5437" s="1" t="s">
        <v>5402</v>
      </c>
      <c r="C5437" t="str">
        <f>IFERROR(__xludf.DUMMYFUNCTION("GOOGLETRANSLATE(B5437, ""es"", ""en"")"),"The headphones have good sound quality is very light and ears remain within the pads do not tire of use. Headphones material is good and seems durable. Pairing with my android phone was made in just 10 seconds. For the comfort and quality of the sound and"&amp;" what you pay for, I think it is a real option to consider. The headphones have good sound quality, the system has noise cancellation is good, not hear anything. By the way, it comes in an elegant box and can also be a good gift for anyone who likes this "&amp;"kind of headphones.")</f>
        <v>The headphones have good sound quality is very light and ears remain within the pads do not tire of use. Headphones material is good and seems durable. Pairing with my android phone was made in just 10 seconds. For the comfort and quality of the sound and what you pay for, I think it is a real option to consider. The headphones have good sound quality, the system has noise cancellation is good, not hear anything. By the way, it comes in an elegant box and can also be a good gift for anyone who likes this kind of headphones.</v>
      </c>
    </row>
    <row r="5438">
      <c r="A5438" s="1">
        <v>5.0</v>
      </c>
      <c r="B5438" s="1" t="s">
        <v>5403</v>
      </c>
      <c r="C5438" t="str">
        <f>IFERROR(__xludf.DUMMYFUNCTION("GOOGLETRANSLATE(B5438, ""es"", ""en"")"),"I recommend 100% word cook recommend buying has my mother since I have no memory and teng 20 years, by chance also have it in the kitchen work and I bought it makes a few days because of all that and I played in many kitchens no it looks like you how good"&amp;" it is and what hard (I work as a cook)")</f>
        <v>I recommend 100% word cook recommend buying has my mother since I have no memory and teng 20 years, by chance also have it in the kitchen work and I bought it makes a few days because of all that and I played in many kitchens no it looks like you how good it is and what hard (I work as a cook)</v>
      </c>
    </row>
    <row r="5439">
      <c r="A5439" s="1">
        <v>5.0</v>
      </c>
      <c r="B5439" s="1" t="s">
        <v>5404</v>
      </c>
      <c r="C5439" t="str">
        <f>IFERROR(__xludf.DUMMYFUNCTION("GOOGLETRANSLATE(B5439, ""es"", ""en"")"),"Its price Its mission is worth it")</f>
        <v>Its price Its mission is worth it</v>
      </c>
    </row>
    <row r="5440">
      <c r="A5440" s="1">
        <v>5.0</v>
      </c>
      <c r="B5440" s="1" t="s">
        <v>5405</v>
      </c>
      <c r="C5440" t="str">
        <f>IFERROR(__xludf.DUMMYFUNCTION("GOOGLETRANSLATE(B5440, ""es"", ""en"")"),"Comfortable Ideal to keep your savings. Bring a small drawer for coins and comes with 3 keys.")</f>
        <v>Comfortable Ideal to keep your savings. Bring a small drawer for coins and comes with 3 keys.</v>
      </c>
    </row>
    <row r="5441">
      <c r="A5441" s="1">
        <v>5.0</v>
      </c>
      <c r="B5441" s="1" t="s">
        <v>5406</v>
      </c>
      <c r="C5441" t="str">
        <f>IFERROR(__xludf.DUMMYFUNCTION("GOOGLETRANSLATE(B5441, ""es"", ""en"")"),"Excellent!!! Deluxe works with the condenser microphone. Incredible as low price, you can have a quality product and as good performance. Its size is small, almost no space and has the necessary inputs. I am very happy with this product")</f>
        <v>Excellent!!! Deluxe works with the condenser microphone. Incredible as low price, you can have a quality product and as good performance. Its size is small, almost no space and has the necessary inputs. I am very happy with this product</v>
      </c>
    </row>
    <row r="5442">
      <c r="A5442" s="1">
        <v>5.0</v>
      </c>
      <c r="B5442" s="1" t="s">
        <v>5407</v>
      </c>
      <c r="C5442" t="str">
        <f>IFERROR(__xludf.DUMMYFUNCTION("GOOGLETRANSLATE(B5442, ""es"", ""en"")"),"Shipping fast, comfort assured Perfect condition and finished without error. A little scratch but no trace of having been used.")</f>
        <v>Shipping fast, comfort assured Perfect condition and finished without error. A little scratch but no trace of having been used.</v>
      </c>
    </row>
    <row r="5443">
      <c r="A5443" s="1">
        <v>5.0</v>
      </c>
      <c r="B5443" s="1" t="s">
        <v>5408</v>
      </c>
      <c r="C5443" t="str">
        <f>IFERROR(__xludf.DUMMYFUNCTION("GOOGLETRANSLATE(B5443, ""es"", ""en"")"),"GOOD BUY Good quality. The connector was surprised by the harshness. Good buy, besides bringing the forks to remove built-in radio")</f>
        <v>GOOD BUY Good quality. The connector was surprised by the harshness. Good buy, besides bringing the forks to remove built-in radio</v>
      </c>
    </row>
    <row r="5444">
      <c r="A5444" s="1">
        <v>5.0</v>
      </c>
      <c r="B5444" s="1" t="s">
        <v>5409</v>
      </c>
      <c r="C5444" t="str">
        <f>IFERROR(__xludf.DUMMYFUNCTION("GOOGLETRANSLATE(B5444, ""es"", ""en"")"),"Amazing I can not say anything bad about these helmets, use I'm giving it to play and listen to music and the truth that the sound quality is good quality. My previous helmets were ""Gaming"" about steelseries 650 and the sound difference is huge both in "&amp;"music and games all that is gaming and marketing 5.1. What else can you ask hooves 120-150 turkeys excluding 70 amp but honestly no helmets best quality / price.")</f>
        <v>Amazing I can not say anything bad about these helmets, use I'm giving it to play and listen to music and the truth that the sound quality is good quality. My previous helmets were "Gaming" about steelseries 650 and the sound difference is huge both in music and games all that is gaming and marketing 5.1. What else can you ask hooves 120-150 turkeys excluding 70 amp but honestly no helmets best quality / price.</v>
      </c>
    </row>
    <row r="5445">
      <c r="A5445" s="1">
        <v>2.0</v>
      </c>
      <c r="B5445" s="1" t="s">
        <v>5410</v>
      </c>
      <c r="C5445" t="str">
        <f>IFERROR(__xludf.DUMMYFUNCTION("GOOGLETRANSLATE(B5445, ""es"", ""en"")"),"pequeñas¡¡¡¡¡ small Merrell Again, you have to buy at least 2 sizes more.")</f>
        <v>pequeñas¡¡¡¡¡ small Merrell Again, you have to buy at least 2 sizes more.</v>
      </c>
    </row>
    <row r="5446">
      <c r="A5446" s="1">
        <v>3.0</v>
      </c>
      <c r="B5446" s="1" t="s">
        <v>5411</v>
      </c>
      <c r="C5446" t="str">
        <f>IFERROR(__xludf.DUMMYFUNCTION("GOOGLETRANSLATE(B5446, ""es"", ""en"")"),"It's pretty nice but it gets knot with the double chain design is not very good")</f>
        <v>It's pretty nice but it gets knot with the double chain design is not very good</v>
      </c>
    </row>
    <row r="5447">
      <c r="A5447" s="1">
        <v>3.0</v>
      </c>
      <c r="B5447" s="1" t="s">
        <v>5412</v>
      </c>
      <c r="C5447" t="str">
        <f>IFERROR(__xludf.DUMMYFUNCTION("GOOGLETRANSLATE(B5447, ""es"", ""en"")"),"It sounds good fall very falcil the ears")</f>
        <v>It sounds good fall very falcil the ears</v>
      </c>
    </row>
    <row r="5448">
      <c r="A5448" s="1">
        <v>1.0</v>
      </c>
      <c r="B5448" s="1" t="s">
        <v>5413</v>
      </c>
      <c r="C5448" t="str">
        <f>IFERROR(__xludf.DUMMYFUNCTION("GOOGLETRANSLATE(B5448, ""es"", ""en"")"),"I do not recommend These dance shoes are d very poor quality. Descosidos come with tendrils. The toes will go out and touch the floor with them, and that I ordered a size less because I have small feet. Impossible to use them.")</f>
        <v>I do not recommend These dance shoes are d very poor quality. Descosidos come with tendrils. The toes will go out and touch the floor with them, and that I ordered a size less because I have small feet. Impossible to use them.</v>
      </c>
    </row>
    <row r="5449">
      <c r="A5449" s="1">
        <v>1.0</v>
      </c>
      <c r="B5449" s="1" t="s">
        <v>5414</v>
      </c>
      <c r="C5449" t="str">
        <f>IFERROR(__xludf.DUMMYFUNCTION("GOOGLETRANSLATE(B5449, ""es"", ""en"")"),"Copycat product (or seems) the product comes in a white box pretty dodgy, rather than in the original box. both they had the All brand shoes heels star in the part of the unpainted rubber. I'm pretty sure at 90% that are imitation. The I returned at the m"&amp;"oment. The return went smoothly.")</f>
        <v>Copycat product (or seems) the product comes in a white box pretty dodgy, rather than in the original box. both they had the All brand shoes heels star in the part of the unpainted rubber. I'm pretty sure at 90% that are imitation. The I returned at the moment. The return went smoothly.</v>
      </c>
    </row>
    <row r="5450">
      <c r="A5450" s="1">
        <v>4.0</v>
      </c>
      <c r="B5450" s="1" t="s">
        <v>5415</v>
      </c>
      <c r="C5450" t="str">
        <f>IFERROR(__xludf.DUMMYFUNCTION("GOOGLETRANSLATE(B5450, ""es"", ""en"")"),"Cheap comfortable and pretty good sound quality, and quite nice, the only problem is the cable bends just a little stop ringing for one of them")</f>
        <v>Cheap comfortable and pretty good sound quality, and quite nice, the only problem is the cable bends just a little stop ringing for one of them</v>
      </c>
    </row>
    <row r="5451">
      <c r="A5451" s="1">
        <v>4.0</v>
      </c>
      <c r="B5451" s="1" t="s">
        <v>5416</v>
      </c>
      <c r="C5451" t="str">
        <f>IFERROR(__xludf.DUMMYFUNCTION("GOOGLETRANSLATE(B5451, ""es"", ""en"")"),"I love beautiful and practical. Sewn could say that and better than some are breaking. Overall it is very practical and beautiful. I repeat no doubt")</f>
        <v>I love beautiful and practical. Sewn could say that and better than some are breaking. Overall it is very practical and beautiful. I repeat no doubt</v>
      </c>
    </row>
    <row r="5452">
      <c r="A5452" s="1">
        <v>4.0</v>
      </c>
      <c r="B5452" s="1" t="s">
        <v>5417</v>
      </c>
      <c r="C5452" t="str">
        <f>IFERROR(__xludf.DUMMYFUNCTION("GOOGLETRANSLATE(B5452, ""es"", ""en"")"),"OK Heats water works very quickly, in my mini kitchen takes up too much and be careful because it burns out.")</f>
        <v>OK Heats water works very quickly, in my mini kitchen takes up too much and be careful because it burns out.</v>
      </c>
    </row>
    <row r="5453">
      <c r="A5453" s="1">
        <v>4.0</v>
      </c>
      <c r="B5453" s="1" t="s">
        <v>5418</v>
      </c>
      <c r="C5453" t="str">
        <f>IFERROR(__xludf.DUMMYFUNCTION("GOOGLETRANSLATE(B5453, ""es"", ""en"")"),"Good size, power and temperature control everything perfect. It is large, which is perfect for me. It has six power intensities and the automatic shutdown after a period of use. I do not put five because sometimes does not work well / Off button ignition "&amp;"and a couple of times has been ""suspended"", being necessary to disconnect the power and on again. The cable is quite long and can disconnect from the pad.")</f>
        <v>Good size, power and temperature control everything perfect. It is large, which is perfect for me. It has six power intensities and the automatic shutdown after a period of use. I do not put five because sometimes does not work well / Off button ignition and a couple of times has been "suspended", being necessary to disconnect the power and on again. The cable is quite long and can disconnect from the pad.</v>
      </c>
    </row>
    <row r="5454">
      <c r="A5454" s="1">
        <v>5.0</v>
      </c>
      <c r="B5454" s="1" t="s">
        <v>5419</v>
      </c>
      <c r="C5454" t="str">
        <f>IFERROR(__xludf.DUMMYFUNCTION("GOOGLETRANSLATE(B5454, ""es"", ""en"")"),"Perfect Bottles are perfect for feeding the baby, because with these bottles do not give them colic")</f>
        <v>Perfect Bottles are perfect for feeding the baby, because with these bottles do not give them colic</v>
      </c>
    </row>
    <row r="5455">
      <c r="A5455" s="1">
        <v>5.0</v>
      </c>
      <c r="B5455" s="1" t="s">
        <v>5420</v>
      </c>
      <c r="C5455" t="str">
        <f>IFERROR(__xludf.DUMMYFUNCTION("GOOGLETRANSLATE(B5455, ""es"", ""en"")"),"I have almost perfect year wearing them daily and kept spotless. Han rain, dust and mud and does not enter anything at the boot supported. The only ""fault"" I got him, is the side guard patch is dry and fast breaks. Still, they continue to protect 100%")</f>
        <v>I have almost perfect year wearing them daily and kept spotless. Han rain, dust and mud and does not enter anything at the boot supported. The only "fault" I got him, is the side guard patch is dry and fast breaks. Still, they continue to protect 100%</v>
      </c>
    </row>
    <row r="5456">
      <c r="A5456" s="1">
        <v>5.0</v>
      </c>
      <c r="B5456" s="1" t="s">
        <v>5421</v>
      </c>
      <c r="C5456" t="str">
        <f>IFERROR(__xludf.DUMMYFUNCTION("GOOGLETRANSLATE(B5456, ""es"", ""en"")"),"Successful purchase 100% excellent and extraordinary product Microfono exceptional extraordinary product quality microphone best of the best. The sound of the voice 10/10, both to sing and to locution. The quality of the awesome product the wonderful endi"&amp;"ngs. A professional microphone in every aspect. 100% recommend extraordinary microphones. Have no doubt you are looking for a professional microphone.")</f>
        <v>Successful purchase 100% excellent and extraordinary product Microfono exceptional extraordinary product quality microphone best of the best. The sound of the voice 10/10, both to sing and to locution. The quality of the awesome product the wonderful endings. A professional microphone in every aspect. 100% recommend extraordinary microphones. Have no doubt you are looking for a professional microphone.</v>
      </c>
    </row>
    <row r="5457">
      <c r="A5457" s="1">
        <v>5.0</v>
      </c>
      <c r="B5457" s="1" t="s">
        <v>5422</v>
      </c>
      <c r="C5457" t="str">
        <f>IFERROR(__xludf.DUMMYFUNCTION("GOOGLETRANSLATE(B5457, ""es"", ""en"")"),"Kettle helpful !! Is a typical kettle, little can be said about him. It serves its purpose, quality is as described. Pretty good in my opinion. Very useful indicator of one, two or three cups to not waste water or electricity. If the design you like, do n"&amp;"ot hesitate to buy it. I recommend it!!!")</f>
        <v>Kettle helpful !! Is a typical kettle, little can be said about him. It serves its purpose, quality is as described. Pretty good in my opinion. Very useful indicator of one, two or three cups to not waste water or electricity. If the design you like, do not hesitate to buy it. I recommend it!!!</v>
      </c>
    </row>
    <row r="5458">
      <c r="A5458" s="1">
        <v>5.0</v>
      </c>
      <c r="B5458" s="1" t="s">
        <v>5423</v>
      </c>
      <c r="C5458" t="str">
        <f>IFERROR(__xludf.DUMMYFUNCTION("GOOGLETRANSLATE(B5458, ""es"", ""en"")"),"The value sweatshirt is beautiful and has a very nice touch. Frankly highly recommended.")</f>
        <v>The value sweatshirt is beautiful and has a very nice touch. Frankly highly recommended.</v>
      </c>
    </row>
    <row r="5459">
      <c r="A5459" s="1">
        <v>5.0</v>
      </c>
      <c r="B5459" s="1" t="s">
        <v>5424</v>
      </c>
      <c r="C5459" t="str">
        <f>IFERROR(__xludf.DUMMYFUNCTION("GOOGLETRANSLATE(B5459, ""es"", ""en"")"),"He is very cool ...... is delighted with them as expected")</f>
        <v>He is very cool ...... is delighted with them as expected</v>
      </c>
    </row>
    <row r="5460">
      <c r="A5460" s="1">
        <v>5.0</v>
      </c>
      <c r="B5460" s="1" t="s">
        <v>5425</v>
      </c>
      <c r="C5460" t="str">
        <f>IFERROR(__xludf.DUMMYFUNCTION("GOOGLETRANSLATE(B5460, ""es"", ""en"")"),"relaxing relaxing")</f>
        <v>relaxing relaxing</v>
      </c>
    </row>
    <row r="5461">
      <c r="A5461" s="1">
        <v>5.0</v>
      </c>
      <c r="B5461" s="1" t="s">
        <v>5426</v>
      </c>
      <c r="C5461" t="str">
        <f>IFERROR(__xludf.DUMMYFUNCTION("GOOGLETRANSLATE(B5461, ""es"", ""en"")"),"perfect purchase! Great !!! look perfect on the bracelet and I came neatly packaged and fast. Very happy with the purchase!")</f>
        <v>perfect purchase! Great !!! look perfect on the bracelet and I came neatly packaged and fast. Very happy with the purchase!</v>
      </c>
    </row>
    <row r="5462">
      <c r="A5462" s="1">
        <v>5.0</v>
      </c>
      <c r="B5462" s="1" t="s">
        <v>5427</v>
      </c>
      <c r="C5462" t="str">
        <f>IFERROR(__xludf.DUMMYFUNCTION("GOOGLETRANSLATE(B5462, ""es"", ""en"")"),"I was right I made a good buy. All as I expected. Slippers respond accurately measures the sizes, not like other brands, such as Havaiianas.")</f>
        <v>I was right I made a good buy. All as I expected. Slippers respond accurately measures the sizes, not like other brands, such as Havaiianas.</v>
      </c>
    </row>
    <row r="5463">
      <c r="A5463" s="1">
        <v>5.0</v>
      </c>
      <c r="B5463" s="1" t="s">
        <v>5428</v>
      </c>
      <c r="C5463" t="str">
        <f>IFERROR(__xludf.DUMMYFUNCTION("GOOGLETRANSLATE(B5463, ""es"", ""en"")"),"I buy the best you can do I've been shopping at Amazon 5 years. This product is either the best or the best buys I've done. Is awesome. It has good quality and well descontracturando massage. You have to grab to put pressure but not tired at all. Perhaps "&amp;"more uncomfortable for the part of the lumbar but a few times you got the hang. This product is perfect love")</f>
        <v>I buy the best you can do I've been shopping at Amazon 5 years. This product is either the best or the best buys I've done. Is awesome. It has good quality and well descontracturando massage. You have to grab to put pressure but not tired at all. Perhaps more uncomfortable for the part of the lumbar but a few times you got the hang. This product is perfect love</v>
      </c>
    </row>
    <row r="5464">
      <c r="A5464" s="1">
        <v>5.0</v>
      </c>
      <c r="B5464" s="1" t="s">
        <v>5429</v>
      </c>
      <c r="C5464" t="str">
        <f>IFERROR(__xludf.DUMMYFUNCTION("GOOGLETRANSLATE(B5464, ""es"", ""en"")"),"Perfect 2weeks ago I got it and perfect it looks as good finishes")</f>
        <v>Perfect 2weeks ago I got it and perfect it looks as good finishes</v>
      </c>
    </row>
    <row r="5465">
      <c r="A5465" s="1">
        <v>5.0</v>
      </c>
      <c r="B5465" s="1" t="s">
        <v>5430</v>
      </c>
      <c r="C5465" t="str">
        <f>IFERROR(__xludf.DUMMYFUNCTION("GOOGLETRANSLATE(B5465, ""es"", ""en"")"),"Quality and elegance. Excellent watch. I've been with him a month and works with Swiss precision. Aesthetic sober but very elegant. Quality material. Comfortable, and having dark, combines sphere with any color of clothing and accessories.")</f>
        <v>Quality and elegance. Excellent watch. I've been with him a month and works with Swiss precision. Aesthetic sober but very elegant. Quality material. Comfortable, and having dark, combines sphere with any color of clothing and accessories.</v>
      </c>
    </row>
    <row r="5466">
      <c r="A5466" s="1">
        <v>5.0</v>
      </c>
      <c r="B5466" s="1" t="s">
        <v>5431</v>
      </c>
      <c r="C5466" t="str">
        <f>IFERROR(__xludf.DUMMYFUNCTION("GOOGLETRANSLATE(B5466, ""es"", ""en"")"),"Perfect. Great buy. It's fast and large data storage.")</f>
        <v>Perfect. Great buy. It's fast and large data storage.</v>
      </c>
    </row>
    <row r="5467">
      <c r="A5467" s="1">
        <v>5.0</v>
      </c>
      <c r="B5467" s="1" t="s">
        <v>5432</v>
      </c>
      <c r="C5467" t="str">
        <f>IFERROR(__xludf.DUMMYFUNCTION("GOOGLETRANSLATE(B5467, ""es"", ""en"")"),"Awesome good and useful product")</f>
        <v>Awesome good and useful product</v>
      </c>
    </row>
    <row r="5468">
      <c r="A5468" s="1">
        <v>5.0</v>
      </c>
      <c r="B5468" s="1" t="s">
        <v>5433</v>
      </c>
      <c r="C5468" t="str">
        <f>IFERROR(__xludf.DUMMYFUNCTION("GOOGLETRANSLATE(B5468, ""es"", ""en"")"),"Calza something small number have to ask one more than usual. I recommend this shoe, very comfortable and feel good. I love the color. It looks good for a casual style with jeans.")</f>
        <v>Calza something small number have to ask one more than usual. I recommend this shoe, very comfortable and feel good. I love the color. It looks good for a casual style with jeans.</v>
      </c>
    </row>
    <row r="5469">
      <c r="A5469" s="1">
        <v>5.0</v>
      </c>
      <c r="B5469" s="1" t="s">
        <v>5434</v>
      </c>
      <c r="C5469" t="str">
        <f>IFERROR(__xludf.DUMMYFUNCTION("GOOGLETRANSLATE(B5469, ""es"", ""en"")"),"Perfect I am very satisfied with this purchase, all the materials and finishes deserve the category of very good product and its 5 stars")</f>
        <v>Perfect I am very satisfied with this purchase, all the materials and finishes deserve the category of very good product and its 5 stars</v>
      </c>
    </row>
    <row r="5470">
      <c r="A5470" s="1">
        <v>5.0</v>
      </c>
      <c r="B5470" s="1" t="s">
        <v>5435</v>
      </c>
      <c r="C5470" t="str">
        <f>IFERROR(__xludf.DUMMYFUNCTION("GOOGLETRANSLATE(B5470, ""es"", ""en"")"),"Very nice and simple is the collar nicer than it is. It is tiny, very bright and has shapes that stand out when carried. I really like the finish that has the jewel, as the metallic silver generated in the form of heart gives the end to how shining cubic "&amp;"zirconia in the center. The truth is that I liked to buy it because it looks like pure poetry. Simulating silver purity and light intensity zirconia.")</f>
        <v>Very nice and simple is the collar nicer than it is. It is tiny, very bright and has shapes that stand out when carried. I really like the finish that has the jewel, as the metallic silver generated in the form of heart gives the end to how shining cubic zirconia in the center. The truth is that I liked to buy it because it looks like pure poetry. Simulating silver purity and light intensity zirconia.</v>
      </c>
    </row>
    <row r="5471">
      <c r="A5471" s="1">
        <v>5.0</v>
      </c>
      <c r="B5471" s="1" t="s">
        <v>5436</v>
      </c>
      <c r="C5471" t="str">
        <f>IFERROR(__xludf.DUMMYFUNCTION("GOOGLETRANSLATE(B5471, ""es"", ""en"")"),"I liked comfort, they are practical and comfortable shoes in my company gave me were killing me pain, now pain sensation is gone, they are good quality comfortable and great price")</f>
        <v>I liked comfort, they are practical and comfortable shoes in my company gave me were killing me pain, now pain sensation is gone, they are good quality comfortable and great price</v>
      </c>
    </row>
    <row r="5472">
      <c r="A5472" s="1">
        <v>5.0</v>
      </c>
      <c r="B5472" s="1" t="s">
        <v>5437</v>
      </c>
      <c r="C5472" t="str">
        <f>IFERROR(__xludf.DUMMYFUNCTION("GOOGLETRANSLATE(B5472, ""es"", ""en"")"),"very good very cool and comfortable. plus the price a 10, but in this color and size, if you like other things change. Yet still winning bid AMAZON.100%")</f>
        <v>very good very cool and comfortable. plus the price a 10, but in this color and size, if you like other things change. Yet still winning bid AMAZON.100%</v>
      </c>
    </row>
    <row r="5473">
      <c r="A5473" s="1">
        <v>2.0</v>
      </c>
      <c r="B5473" s="1" t="s">
        <v>5438</v>
      </c>
      <c r="C5473" t="str">
        <f>IFERROR(__xludf.DUMMYFUNCTION("GOOGLETRANSLATE(B5473, ""es"", ""en"")"),"Not bad bag is like the image but inside pockets are very short, almost can not keep anything.")</f>
        <v>Not bad bag is like the image but inside pockets are very short, almost can not keep anything.</v>
      </c>
    </row>
    <row r="5474">
      <c r="A5474" s="1">
        <v>3.0</v>
      </c>
      <c r="B5474" s="1" t="s">
        <v>5439</v>
      </c>
      <c r="C5474" t="str">
        <f>IFERROR(__xludf.DUMMYFUNCTION("GOOGLETRANSLATE(B5474, ""es"", ""en"")"),"Good performance but small size is glued and adihere the clothes very well, is very fine with which doubles well. Eye, is not waterproof. A little lacking in size")</f>
        <v>Good performance but small size is glued and adihere the clothes very well, is very fine with which doubles well. Eye, is not waterproof. A little lacking in size</v>
      </c>
    </row>
    <row r="5475">
      <c r="A5475" s="1">
        <v>3.0</v>
      </c>
      <c r="B5475" s="1" t="s">
        <v>5440</v>
      </c>
      <c r="C5475" t="str">
        <f>IFERROR(__xludf.DUMMYFUNCTION("GOOGLETRANSLATE(B5475, ""es"", ""en"")"),"Simple and functional Overall well, we have to consider the price. What more can you ask for that price. Based on that, the connection to the device was rapid, perfectly heard. Truth does not use them for sport, for that particular do not die very functio"&amp;"nal. The cable is very short and the area where the battery seems heavy for headphone cable goes. The materials are generally quite simple, but for the use I intend to give to me is more than enough. As for the battery, I hold me pretty well now, I use to"&amp;" see series and a couple of chapters me often endure.")</f>
        <v>Simple and functional Overall well, we have to consider the price. What more can you ask for that price. Based on that, the connection to the device was rapid, perfectly heard. Truth does not use them for sport, for that particular do not die very functional. The cable is very short and the area where the battery seems heavy for headphone cable goes. The materials are generally quite simple, but for the use I intend to give to me is more than enough. As for the battery, I hold me pretty well now, I use to see series and a couple of chapters me often endure.</v>
      </c>
    </row>
    <row r="5476">
      <c r="A5476" s="1">
        <v>1.0</v>
      </c>
      <c r="B5476" s="1" t="s">
        <v>5441</v>
      </c>
      <c r="C5476" t="str">
        <f>IFERROR(__xludf.DUMMYFUNCTION("GOOGLETRANSLATE(B5476, ""es"", ""en"")"),"Weakness of the product enseguidad undoes")</f>
        <v>Weakness of the product enseguidad undoes</v>
      </c>
    </row>
    <row r="5477">
      <c r="A5477" s="1">
        <v>1.0</v>
      </c>
      <c r="B5477" s="1" t="s">
        <v>5442</v>
      </c>
      <c r="C5477" t="str">
        <f>IFERROR(__xludf.DUMMYFUNCTION("GOOGLETRANSLATE(B5477, ""es"", ""en"")"),"I would like to exchange it for a bigger shoe size by size, it is smaller than expected and adjusted, would have to order a size more convenient to use ..")</f>
        <v>I would like to exchange it for a bigger shoe size by size, it is smaller than expected and adjusted, would have to order a size more convenient to use ..</v>
      </c>
    </row>
    <row r="5478">
      <c r="A5478" s="1">
        <v>4.0</v>
      </c>
      <c r="B5478" s="1" t="s">
        <v>5443</v>
      </c>
      <c r="C5478" t="str">
        <f>IFERROR(__xludf.DUMMYFUNCTION("GOOGLETRANSLATE(B5478, ""es"", ""en"")"),"Biberon system different ... I am happy with the product because I wanted to avoid reject the chest and has been. But less than a month of use teat gives a little, so I have to write to Medela to make the claim. My mother has a hard time using this type o"&amp;"f baby bottle because it is accustomed to lifetime.")</f>
        <v>Biberon system different ... I am happy with the product because I wanted to avoid reject the chest and has been. But less than a month of use teat gives a little, so I have to write to Medela to make the claim. My mother has a hard time using this type of baby bottle because it is accustomed to lifetime.</v>
      </c>
    </row>
    <row r="5479">
      <c r="A5479" s="1">
        <v>4.0</v>
      </c>
      <c r="B5479" s="1" t="s">
        <v>5444</v>
      </c>
      <c r="C5479" t="str">
        <f>IFERROR(__xludf.DUMMYFUNCTION("GOOGLETRANSLATE(B5479, ""es"", ""en"")"),"Design good quality. Advisable to ask for another number to not tighten.")</f>
        <v>Design good quality. Advisable to ask for another number to not tighten.</v>
      </c>
    </row>
    <row r="5480">
      <c r="A5480" s="1">
        <v>4.0</v>
      </c>
      <c r="B5480" s="1" t="s">
        <v>5445</v>
      </c>
      <c r="C5480" t="str">
        <f>IFERROR(__xludf.DUMMYFUNCTION("GOOGLETRANSLATE(B5480, ""es"", ""en"")"),"Good mixer !! Braun blender with a few accessories! Good mixer, every perfect moment, sending amazon fast as ever, without any problems, the blades seem quality and multiple speeds is an extra value! I did not like the plastic buttons, wait to see that su"&amp;"ch a few months of use!")</f>
        <v>Good mixer !! Braun blender with a few accessories! Good mixer, every perfect moment, sending amazon fast as ever, without any problems, the blades seem quality and multiple speeds is an extra value! I did not like the plastic buttons, wait to see that such a few months of use!</v>
      </c>
    </row>
    <row r="5481">
      <c r="A5481" s="1">
        <v>4.0</v>
      </c>
      <c r="B5481" s="1" t="s">
        <v>5446</v>
      </c>
      <c r="C5481" t="str">
        <f>IFERROR(__xludf.DUMMYFUNCTION("GOOGLETRANSLATE(B5481, ""es"", ""en"")"),"Slippers are well nice and comfortable, a little smaller than normal. Easy to clean.")</f>
        <v>Slippers are well nice and comfortable, a little smaller than normal. Easy to clean.</v>
      </c>
    </row>
    <row r="5482">
      <c r="A5482" s="1">
        <v>4.0</v>
      </c>
      <c r="B5482" s="1" t="s">
        <v>5447</v>
      </c>
      <c r="C5482" t="str">
        <f>IFERROR(__xludf.DUMMYFUNCTION("GOOGLETRANSLATE(B5482, ""es"", ""en"")"),"I advise These heads are going very well, they are practical, mopping and perfectly drained leaving a super clean and shiny floor. Dries quickly.")</f>
        <v>I advise These heads are going very well, they are practical, mopping and perfectly drained leaving a super clean and shiny floor. Dries quickly.</v>
      </c>
    </row>
    <row r="5483">
      <c r="A5483" s="1">
        <v>5.0</v>
      </c>
      <c r="B5483" s="1" t="s">
        <v>5448</v>
      </c>
      <c r="C5483" t="str">
        <f>IFERROR(__xludf.DUMMYFUNCTION("GOOGLETRANSLATE(B5483, ""es"", ""en"")"),"It smells great smells super good with very few drops")</f>
        <v>It smells great smells super good with very few drops</v>
      </c>
    </row>
    <row r="5484">
      <c r="A5484" s="1">
        <v>5.0</v>
      </c>
      <c r="B5484" s="1" t="s">
        <v>5449</v>
      </c>
      <c r="C5484" t="str">
        <f>IFERROR(__xludf.DUMMYFUNCTION("GOOGLETRANSLATE(B5484, ""es"", ""en"")"),"Adhesion Good adhesion")</f>
        <v>Adhesion Good adhesion</v>
      </c>
    </row>
    <row r="5485">
      <c r="A5485" s="1">
        <v>5.0</v>
      </c>
      <c r="B5485" s="1" t="s">
        <v>5450</v>
      </c>
      <c r="C5485" t="str">
        <f>IFERROR(__xludf.DUMMYFUNCTION("GOOGLETRANSLATE(B5485, ""es"", ""en"")"),"Very good very good")</f>
        <v>Very good very good</v>
      </c>
    </row>
    <row r="5486">
      <c r="A5486" s="1">
        <v>5.0</v>
      </c>
      <c r="B5486" s="1" t="s">
        <v>5451</v>
      </c>
      <c r="C5486" t="str">
        <f>IFERROR(__xludf.DUMMYFUNCTION("GOOGLETRANSLATE(B5486, ""es"", ""en"")"),"I expected is what I expected, perfect for what we wanted, which was a headset with volume limitations for a child of 9 years.")</f>
        <v>I expected is what I expected, perfect for what we wanted, which was a headset with volume limitations for a child of 9 years.</v>
      </c>
    </row>
    <row r="5487">
      <c r="A5487" s="1">
        <v>5.0</v>
      </c>
      <c r="B5487" s="1" t="s">
        <v>5452</v>
      </c>
      <c r="C5487" t="str">
        <f>IFERROR(__xludf.DUMMYFUNCTION("GOOGLETRANSLATE(B5487, ""es"", ""en"")"),"The earrings are as they come in the image I have really enjoyed the three pairs of earrings.")</f>
        <v>The earrings are as they come in the image I have really enjoyed the three pairs of earrings.</v>
      </c>
    </row>
    <row r="5488">
      <c r="A5488" s="1">
        <v>5.0</v>
      </c>
      <c r="B5488" s="1" t="s">
        <v>5453</v>
      </c>
      <c r="C5488" t="str">
        <f>IFERROR(__xludf.DUMMYFUNCTION("GOOGLETRANSLATE(B5488, ""es"", ""en"")"),"They are beautiful exactly as shown")</f>
        <v>They are beautiful exactly as shown</v>
      </c>
    </row>
    <row r="5489">
      <c r="A5489" s="1">
        <v>5.0</v>
      </c>
      <c r="B5489" s="1" t="s">
        <v>5454</v>
      </c>
      <c r="C5489" t="str">
        <f>IFERROR(__xludf.DUMMYFUNCTION("GOOGLETRANSLATE(B5489, ""es"", ""en"")"),"Comodos are quite wide and that's fine instead of being long and have much capacity for when they start with cereals.")</f>
        <v>Comodos are quite wide and that's fine instead of being long and have much capacity for when they start with cereals.</v>
      </c>
    </row>
    <row r="5490">
      <c r="A5490" s="1">
        <v>5.0</v>
      </c>
      <c r="B5490" s="1" t="s">
        <v>5455</v>
      </c>
      <c r="C5490" t="str">
        <f>IFERROR(__xludf.DUMMYFUNCTION("GOOGLETRANSLATE(B5490, ""es"", ""en"")"),"Good product &lt;div id = ""video-block-RHSPCMLW8K19X"" class = ""a-section a-spacing-small a-spacing-top mini video-block""&gt; &lt;/ div&gt; &lt;input type = ""hidden"" name = "" ""value ="" https://images-eu.ssl-images-amazon.com/images/I/A1p9M2L9ZMS.mp4 ""class ="" "&amp;"video-url ""&gt; &lt;input type ="" hidden ""name ="" ""value ="" https://images-eu.ssl-images-amazon.com/images/I/B1X1BfB0auS.png ""class ="" video-slate-img-url ""&gt; &amp; nbsp; diffuser An elegant and easy to use. It is simple to prepare and assemble for providin"&amp;"g a service and decorative both their shape and material such as lights.")</f>
        <v>Good product &lt;div id = "video-block-RHSPCMLW8K19X" class = "a-section a-spacing-small a-spacing-top mini video-block"&gt; &lt;/ div&gt; &lt;input type = "hidden" name = " "value =" https://images-eu.ssl-images-amazon.com/images/I/A1p9M2L9ZMS.mp4 "class =" video-url "&gt; &lt;input type =" hidden "name =" "value =" https://images-eu.ssl-images-amazon.com/images/I/B1X1BfB0auS.png "class =" video-slate-img-url "&gt; &amp; nbsp; diffuser An elegant and easy to use. It is simple to prepare and assemble for providing a service and decorative both their shape and material such as lights.</v>
      </c>
    </row>
    <row r="5491">
      <c r="A5491" s="1">
        <v>5.0</v>
      </c>
      <c r="B5491" s="1" t="s">
        <v>5456</v>
      </c>
      <c r="C5491" t="str">
        <f>IFERROR(__xludf.DUMMYFUNCTION("GOOGLETRANSLATE(B5491, ""es"", ""en"")"),"excelentr thought it would be heavy and is tops! superego beautiful elegant and also with extraordinary design I love it! recommended")</f>
        <v>excelentr thought it would be heavy and is tops! superego beautiful elegant and also with extraordinary design I love it! recommended</v>
      </c>
    </row>
    <row r="5492">
      <c r="A5492" s="1">
        <v>5.0</v>
      </c>
      <c r="B5492" s="1" t="s">
        <v>5457</v>
      </c>
      <c r="C5492" t="str">
        <f>IFERROR(__xludf.DUMMYFUNCTION("GOOGLETRANSLATE(B5492, ""es"", ""en"")"),"'Super friendly, comfortable and relaxing !! It's wonderful, I've tried and I left super-relaxed, it's like wearing heating up. Among my cousins ​​and I have purchased 5 units to give to grandparents and an aunt. I'm sure this Christmas will triumph with "&amp;"this gift also will thank them very much.")</f>
        <v>'Super friendly, comfortable and relaxing !! It's wonderful, I've tried and I left super-relaxed, it's like wearing heating up. Among my cousins ​​and I have purchased 5 units to give to grandparents and an aunt. I'm sure this Christmas will triumph with this gift also will thank them very much.</v>
      </c>
    </row>
    <row r="5493">
      <c r="A5493" s="1">
        <v>5.0</v>
      </c>
      <c r="B5493" s="1" t="s">
        <v>5458</v>
      </c>
      <c r="C5493" t="str">
        <f>IFERROR(__xludf.DUMMYFUNCTION("GOOGLETRANSLATE(B5493, ""es"", ""en"")"),"Grief is the speed that is heated out a lot and for children or elderly people is a danger, otherwise excellent heat up very quickly")</f>
        <v>Grief is the speed that is heated out a lot and for children or elderly people is a danger, otherwise excellent heat up very quickly</v>
      </c>
    </row>
    <row r="5494">
      <c r="A5494" s="1">
        <v>5.0</v>
      </c>
      <c r="B5494" s="1" t="s">
        <v>5459</v>
      </c>
      <c r="C5494" t="str">
        <f>IFERROR(__xludf.DUMMYFUNCTION("GOOGLETRANSLATE(B5494, ""es"", ""en"")"),"Very comfortable to wear ... Great and well done ...")</f>
        <v>Very comfortable to wear ... Great and well done ...</v>
      </c>
    </row>
    <row r="5495">
      <c r="A5495" s="1">
        <v>5.0</v>
      </c>
      <c r="B5495" s="1" t="s">
        <v>5460</v>
      </c>
      <c r="C5495" t="str">
        <f>IFERROR(__xludf.DUMMYFUNCTION("GOOGLETRANSLATE(B5495, ""es"", ""en"")"),"Prefect Good price and quality year franchise")</f>
        <v>Prefect Good price and quality year franchise</v>
      </c>
    </row>
    <row r="5496">
      <c r="A5496" s="1">
        <v>5.0</v>
      </c>
      <c r="B5496" s="1" t="s">
        <v>5461</v>
      </c>
      <c r="C5496" t="str">
        <f>IFERROR(__xludf.DUMMYFUNCTION("GOOGLETRANSLATE(B5496, ""es"", ""en"")"),"By far the best for all kinds of quick repairs and durable Unlike other cyanoacrylate adhesives stuck that promise good and then not stick your fingers more, this is noted QUALITY. It is the first time I had two complicated things (the rubber washer door "&amp;"and leading toy semaforo thousand repairs) and to the first, effortlessly and in seconds have been perfect. The washing machine no longer loses the broken rubber has been very good and the toy is like new (so to speak because it takes so much tute not sti"&amp;"cking that perfect). I recommend it without hesitation, quick, clean, effective, flexible, Now I only use it to put a patch on the cover tubuless mountain bike that seems to be new. I see the price more than fair especially with the savings fix things com"&amp;"plicated. Recommended to 100%")</f>
        <v>By far the best for all kinds of quick repairs and durable Unlike other cyanoacrylate adhesives stuck that promise good and then not stick your fingers more, this is noted QUALITY. It is the first time I had two complicated things (the rubber washer door and leading toy semaforo thousand repairs) and to the first, effortlessly and in seconds have been perfect. The washing machine no longer loses the broken rubber has been very good and the toy is like new (so to speak because it takes so much tute not sticking that perfect). I recommend it without hesitation, quick, clean, effective, flexible, Now I only use it to put a patch on the cover tubuless mountain bike that seems to be new. I see the price more than fair especially with the savings fix things complicated. Recommended to 100%</v>
      </c>
    </row>
    <row r="5497">
      <c r="A5497" s="1">
        <v>5.0</v>
      </c>
      <c r="B5497" s="1" t="s">
        <v>5462</v>
      </c>
      <c r="C5497" t="str">
        <f>IFERROR(__xludf.DUMMYFUNCTION("GOOGLETRANSLATE(B5497, ""es"", ""en"")"),"The great buy for my husband is happy, very comfortable because the toe and vamp are somewhat wider than normal sport, which makes if you have wide feet you wear comodomente,")</f>
        <v>The great buy for my husband is happy, very comfortable because the toe and vamp are somewhat wider than normal sport, which makes if you have wide feet you wear comodomente,</v>
      </c>
    </row>
    <row r="5498">
      <c r="A5498" s="1">
        <v>5.0</v>
      </c>
      <c r="B5498" s="1" t="s">
        <v>5463</v>
      </c>
      <c r="C5498" t="str">
        <f>IFERROR(__xludf.DUMMYFUNCTION("GOOGLETRANSLATE(B5498, ""es"", ""en"")"),"Naba Very good")</f>
        <v>Naba Very good</v>
      </c>
    </row>
    <row r="5499">
      <c r="A5499" s="1">
        <v>5.0</v>
      </c>
      <c r="B5499" s="1" t="s">
        <v>5464</v>
      </c>
      <c r="C5499" t="str">
        <f>IFERROR(__xludf.DUMMYFUNCTION("GOOGLETRANSLATE(B5499, ""es"", ""en"")"),"Smoothies love began to try this summer smoothies and have loved so much that I decided to buy this mincer, I think it is ideal as it has a glass itself where you can take without spotting another container. It is strong enough to chop raw fruits and vege"&amp;"tables, also incorporates two systems which needed it most, one to grind coffee and other meat grinder and make hamburgers. I think it's a very good price for how versatile it is.")</f>
        <v>Smoothies love began to try this summer smoothies and have loved so much that I decided to buy this mincer, I think it is ideal as it has a glass itself where you can take without spotting another container. It is strong enough to chop raw fruits and vegetables, also incorporates two systems which needed it most, one to grind coffee and other meat grinder and make hamburgers. I think it's a very good price for how versatile it is.</v>
      </c>
    </row>
    <row r="5500">
      <c r="A5500" s="1">
        <v>5.0</v>
      </c>
      <c r="B5500" s="1" t="s">
        <v>5465</v>
      </c>
      <c r="C5500" t="str">
        <f>IFERROR(__xludf.DUMMYFUNCTION("GOOGLETRANSLATE(B5500, ""es"", ""en"")"),"Spectacular sound good buy, comfortable and easy to install. I miss a small case for storage. Happy with purchase, very good.")</f>
        <v>Spectacular sound good buy, comfortable and easy to install. I miss a small case for storage. Happy with purchase, very good.</v>
      </c>
    </row>
    <row r="5501">
      <c r="A5501" s="1">
        <v>2.0</v>
      </c>
      <c r="B5501" s="1" t="s">
        <v>5466</v>
      </c>
      <c r="C5501" t="str">
        <f>IFERROR(__xludf.DUMMYFUNCTION("GOOGLETRANSLATE(B5501, ""es"", ""en"")"),"I bought two into one work well was good for the other used grated came paresis. Rest well work well they are what are rustic q use or sports.")</f>
        <v>I bought two into one work well was good for the other used grated came paresis. Rest well work well they are what are rustic q use or sports.</v>
      </c>
    </row>
    <row r="5502">
      <c r="A5502" s="1">
        <v>3.0</v>
      </c>
      <c r="B5502" s="1" t="s">
        <v>5467</v>
      </c>
      <c r="C5502" t="str">
        <f>IFERROR(__xludf.DUMMYFUNCTION("GOOGLETRANSLATE(B5502, ""es"", ""en"")"),"Puma Very comfortable, all size I ordered a fairly large and looks like an S XS")</f>
        <v>Puma Very comfortable, all size I ordered a fairly large and looks like an S XS</v>
      </c>
    </row>
    <row r="5503">
      <c r="A5503" s="1">
        <v>3.0</v>
      </c>
      <c r="B5503" s="1" t="s">
        <v>5468</v>
      </c>
      <c r="C5503" t="str">
        <f>IFERROR(__xludf.DUMMYFUNCTION("GOOGLETRANSLATE(B5503, ""es"", ""en"")"),"I like little stiff but little stiff.")</f>
        <v>I like little stiff but little stiff.</v>
      </c>
    </row>
    <row r="5504">
      <c r="A5504" s="1">
        <v>1.0</v>
      </c>
      <c r="B5504" s="1" t="s">
        <v>5469</v>
      </c>
      <c r="C5504" t="str">
        <f>IFERROR(__xludf.DUMMYFUNCTION("GOOGLETRANSLATE(B5504, ""es"", ""en"")"),"They cause pain in the ear cause pain in the ears, to using a while, I caused pain has not gone in 5 hours, even thought to go to the doctor because it never happened with any other handset. RECOMMEND purchase totally had a very bad, could not sleep many "&amp;"hours nuisance")</f>
        <v>They cause pain in the ear cause pain in the ears, to using a while, I caused pain has not gone in 5 hours, even thought to go to the doctor because it never happened with any other handset. RECOMMEND purchase totally had a very bad, could not sleep many hours nuisance</v>
      </c>
    </row>
    <row r="5505">
      <c r="A5505" s="1">
        <v>1.0</v>
      </c>
      <c r="B5505" s="1" t="s">
        <v>5470</v>
      </c>
      <c r="C5505" t="str">
        <f>IFERROR(__xludf.DUMMYFUNCTION("GOOGLETRANSLATE(B5505, ""es"", ""en"")"),"Leave all black. I spoiled me a lot of things at home. 'Let all black !!! A product very poorly done - 0/10 advised not to buy")</f>
        <v>Leave all black. I spoiled me a lot of things at home. 'Let all black !!! A product very poorly done - 0/10 advised not to buy</v>
      </c>
    </row>
    <row r="5506">
      <c r="A5506" s="1">
        <v>4.0</v>
      </c>
      <c r="B5506" s="1" t="s">
        <v>5471</v>
      </c>
      <c r="C5506" t="str">
        <f>IFERROR(__xludf.DUMMYFUNCTION("GOOGLETRANSLATE(B5506, ""es"", ""en"")"),"Good quality cherishes. Entertains enough, is not a sweatshirt fleece entretiempo is more style. Well choose one size M and I wear a size 52. 50 American size is always larger than the Spanish")</f>
        <v>Good quality cherishes. Entertains enough, is not a sweatshirt fleece entretiempo is more style. Well choose one size M and I wear a size 52. 50 American size is always larger than the Spanish</v>
      </c>
    </row>
    <row r="5507">
      <c r="A5507" s="1">
        <v>4.0</v>
      </c>
      <c r="B5507" s="1" t="s">
        <v>5472</v>
      </c>
      <c r="C5507" t="str">
        <f>IFERROR(__xludf.DUMMYFUNCTION("GOOGLETRANSLATE(B5507, ""es"", ""en"")"),"Good enough for everything he wanted")</f>
        <v>Good enough for everything he wanted</v>
      </c>
    </row>
    <row r="5508">
      <c r="A5508" s="1">
        <v>4.0</v>
      </c>
      <c r="B5508" s="1" t="s">
        <v>5473</v>
      </c>
      <c r="C5508" t="str">
        <f>IFERROR(__xludf.DUMMYFUNCTION("GOOGLETRANSLATE(B5508, ""es"", ""en"")"),"New Balance's got a good price to 39 €. New Balance are beautiful and we know that last long. To have enough fabric that will certainly ugly time. The N shines indoors when given the light. Happy with purchase")</f>
        <v>New Balance's got a good price to 39 €. New Balance are beautiful and we know that last long. To have enough fabric that will certainly ugly time. The N shines indoors when given the light. Happy with purchase</v>
      </c>
    </row>
    <row r="5509">
      <c r="A5509" s="1">
        <v>4.0</v>
      </c>
      <c r="B5509" s="1" t="s">
        <v>5474</v>
      </c>
      <c r="C5509" t="str">
        <f>IFERROR(__xludf.DUMMYFUNCTION("GOOGLETRANSLATE(B5509, ""es"", ""en"")"),"Very comfortable and good size Bottles are fine. The only thing I like less, but put, is that when lavas sometimes remain as fogged because of the material from which they are made. Moreover, the size is perfect and are very comfortable, and teats have th"&amp;"e perfect opening for the introduction of the first ladles of cereals.")</f>
        <v>Very comfortable and good size Bottles are fine. The only thing I like less, but put, is that when lavas sometimes remain as fogged because of the material from which they are made. Moreover, the size is perfect and are very comfortable, and teats have the perfect opening for the introduction of the first ladles of cereals.</v>
      </c>
    </row>
    <row r="5510">
      <c r="A5510" s="1">
        <v>4.0</v>
      </c>
      <c r="B5510" s="1" t="s">
        <v>5475</v>
      </c>
      <c r="C5510" t="str">
        <f>IFERROR(__xludf.DUMMYFUNCTION("GOOGLETRANSLATE(B5510, ""es"", ""en"")"),"Buenos not slip socks Pilates. No slip and after a few washes still like the first time you use")</f>
        <v>Buenos not slip socks Pilates. No slip and after a few washes still like the first time you use</v>
      </c>
    </row>
    <row r="5511">
      <c r="A5511" s="1">
        <v>5.0</v>
      </c>
      <c r="B5511" s="1" t="s">
        <v>5476</v>
      </c>
      <c r="C5511" t="str">
        <f>IFERROR(__xludf.DUMMYFUNCTION("GOOGLETRANSLATE(B5511, ""es"", ""en"")"),"very practical super")</f>
        <v>very practical super</v>
      </c>
    </row>
    <row r="5512">
      <c r="A5512" s="1">
        <v>5.0</v>
      </c>
      <c r="B5512" s="1" t="s">
        <v>5477</v>
      </c>
      <c r="C5512" t="str">
        <f>IFERROR(__xludf.DUMMYFUNCTION("GOOGLETRANSLATE(B5512, ""es"", ""en"")"),"Excellent value I chose the black, and I can not be happier. Not easy to find an album of this color for such an affordable price! Each page is a small sheet of thin paper, onion type, which makes photos that are placed not stick between them. Definitely "&amp;"recommended.")</f>
        <v>Excellent value I chose the black, and I can not be happier. Not easy to find an album of this color for such an affordable price! Each page is a small sheet of thin paper, onion type, which makes photos that are placed not stick between them. Definitely recommended.</v>
      </c>
    </row>
    <row r="5513">
      <c r="A5513" s="1">
        <v>5.0</v>
      </c>
      <c r="B5513" s="1" t="s">
        <v>5478</v>
      </c>
      <c r="C5513" t="str">
        <f>IFERROR(__xludf.DUMMYFUNCTION("GOOGLETRANSLATE(B5513, ""es"", ""en"")"),"Great Great just what I expected")</f>
        <v>Great Great just what I expected</v>
      </c>
    </row>
    <row r="5514">
      <c r="A5514" s="1">
        <v>5.0</v>
      </c>
      <c r="B5514" s="1" t="s">
        <v>5479</v>
      </c>
      <c r="C5514" t="str">
        <f>IFERROR(__xludf.DUMMYFUNCTION("GOOGLETRANSLATE(B5514, ""es"", ""en"")"),"Good buy good grip, great grip and support for mountain")</f>
        <v>Good buy good grip, great grip and support for mountain</v>
      </c>
    </row>
    <row r="5515">
      <c r="A5515" s="1">
        <v>5.0</v>
      </c>
      <c r="B5515" s="1" t="s">
        <v>5480</v>
      </c>
      <c r="C5515" t="str">
        <f>IFERROR(__xludf.DUMMYFUNCTION("GOOGLETRANSLATE(B5515, ""es"", ""en"")"),"Very happy very good buy, first bought other wireless small to make sport of the same brand and as was so happy, I decided to buy big as well and was a success, is heard of wonder and link to the first both mobile and mac computer system and Android, I ha"&amp;"ve them for over a year and little more than 3 and have never given me any problem none of the two. Advise is brand 100%")</f>
        <v>Very happy very good buy, first bought other wireless small to make sport of the same brand and as was so happy, I decided to buy big as well and was a success, is heard of wonder and link to the first both mobile and mac computer system and Android, I have them for over a year and little more than 3 and have never given me any problem none of the two. Advise is brand 100%</v>
      </c>
    </row>
    <row r="5516">
      <c r="A5516" s="1">
        <v>5.0</v>
      </c>
      <c r="B5516" s="1" t="s">
        <v>5481</v>
      </c>
      <c r="C5516" t="str">
        <f>IFERROR(__xludf.DUMMYFUNCTION("GOOGLETRANSLATE(B5516, ""es"", ""en"")"),"The useful invention to 100% 👏 years ago as SWIFFER ☆☆☆☆☆ had the idea and still the best of the best ... Congratulations and thank you (07/11/2019)")</f>
        <v>The useful invention to 100% 👏 years ago as SWIFFER ☆☆☆☆☆ had the idea and still the best of the best ... Congratulations and thank you (07/11/2019)</v>
      </c>
    </row>
    <row r="5517">
      <c r="A5517" s="1">
        <v>5.0</v>
      </c>
      <c r="B5517" s="1" t="s">
        <v>5482</v>
      </c>
      <c r="C5517" t="str">
        <f>IFERROR(__xludf.DUMMYFUNCTION("GOOGLETRANSLATE(B5517, ""es"", ""en"")"),"Ideal for day to day has been a gift for my mother and have been ideal because they have laces and this facilitates much. The fabric is breathable and weigh nothing. The template is very comfortable and are easy to install.")</f>
        <v>Ideal for day to day has been a gift for my mother and have been ideal because they have laces and this facilitates much. The fabric is breathable and weigh nothing. The template is very comfortable and are easy to install.</v>
      </c>
    </row>
    <row r="5518">
      <c r="A5518" s="1">
        <v>5.0</v>
      </c>
      <c r="B5518" s="1" t="s">
        <v>5483</v>
      </c>
      <c r="C5518" t="str">
        <f>IFERROR(__xludf.DUMMYFUNCTION("GOOGLETRANSLATE(B5518, ""es"", ""en"")"),"It costs so little grasp. It is an ultra-small flash drive, not comes out of metal, plastic fine only. I bought it for my car, you are always connected to the USB and does not bother at all, practically disappears. Perfect music listening, not cut, and I "&amp;"can not say anything more respect. Very happy because I caught it at half the price they put so even worth, the brand says it all.")</f>
        <v>It costs so little grasp. It is an ultra-small flash drive, not comes out of metal, plastic fine only. I bought it for my car, you are always connected to the USB and does not bother at all, practically disappears. Perfect music listening, not cut, and I can not say anything more respect. Very happy because I caught it at half the price they put so even worth, the brand says it all.</v>
      </c>
    </row>
    <row r="5519">
      <c r="A5519" s="1">
        <v>5.0</v>
      </c>
      <c r="B5519" s="1" t="s">
        <v>5484</v>
      </c>
      <c r="C5519" t="str">
        <f>IFERROR(__xludf.DUMMYFUNCTION("GOOGLETRANSLATE(B5519, ""es"", ""en"")"),"I was going complies adding liquid glue, I took to pass a cable network flat wall and it has been very subject.")</f>
        <v>I was going complies adding liquid glue, I took to pass a cable network flat wall and it has been very subject.</v>
      </c>
    </row>
    <row r="5520">
      <c r="A5520" s="1">
        <v>5.0</v>
      </c>
      <c r="B5520" s="1" t="s">
        <v>5485</v>
      </c>
      <c r="C5520" t="str">
        <f>IFERROR(__xludf.DUMMYFUNCTION("GOOGLETRANSLATE(B5520, ""es"", ""en"")"),"Golden slippers. Carve right. They are very light and love in gold. I think a lot of use this summer. They do chafing and comfortable.")</f>
        <v>Golden slippers. Carve right. They are very light and love in gold. I think a lot of use this summer. They do chafing and comfortable.</v>
      </c>
    </row>
    <row r="5521">
      <c r="A5521" s="1">
        <v>5.0</v>
      </c>
      <c r="B5521" s="1" t="s">
        <v>5486</v>
      </c>
      <c r="C5521" t="str">
        <f>IFERROR(__xludf.DUMMYFUNCTION("GOOGLETRANSLATE(B5521, ""es"", ""en"")"),"Kit deco accessories gifts My daughter needed for an event of the celebrations for couples a set for presents for people and looking quite found this which is pretty good, very complete and elegant.")</f>
        <v>Kit deco accessories gifts My daughter needed for an event of the celebrations for couples a set for presents for people and looking quite found this which is pretty good, very complete and elegant.</v>
      </c>
    </row>
    <row r="5522">
      <c r="A5522" s="1">
        <v>5.0</v>
      </c>
      <c r="B5522" s="1" t="s">
        <v>5487</v>
      </c>
      <c r="C5522" t="str">
        <f>IFERROR(__xludf.DUMMYFUNCTION("GOOGLETRANSLATE(B5522, ""es"", ""en"")"),"Ideal for PS4 PS4 buy it for my other hard drive since I had continually gave me problems to recognize it. This took several months and never once told me not to recognize it. It seems made purposely to PS4")</f>
        <v>Ideal for PS4 PS4 buy it for my other hard drive since I had continually gave me problems to recognize it. This took several months and never once told me not to recognize it. It seems made purposely to PS4</v>
      </c>
    </row>
    <row r="5523">
      <c r="A5523" s="1">
        <v>5.0</v>
      </c>
      <c r="B5523" s="1" t="s">
        <v>5488</v>
      </c>
      <c r="C5523" t="str">
        <f>IFERROR(__xludf.DUMMYFUNCTION("GOOGLETRANSLATE(B5523, ""es"", ""en"")"),"Q relaxes me while I watch TV, I just give you a massage without realizing it. Gives nothing lazy For this gizmo will not know if something xq q I have recently, but like pasármelo my face and neck while watching TV. I like the freshness of the stone")</f>
        <v>Q relaxes me while I watch TV, I just give you a massage without realizing it. Gives nothing lazy For this gizmo will not know if something xq q I have recently, but like pasármelo my face and neck while watching TV. I like the freshness of the stone</v>
      </c>
    </row>
    <row r="5524">
      <c r="A5524" s="1">
        <v>5.0</v>
      </c>
      <c r="B5524" s="1" t="s">
        <v>5489</v>
      </c>
      <c r="C5524" t="str">
        <f>IFERROR(__xludf.DUMMYFUNCTION("GOOGLETRANSLATE(B5524, ""es"", ""en"")"),"I like perfect, so far perfect feel super good. let's see if it reduces dark circles with days")</f>
        <v>I like perfect, so far perfect feel super good. let's see if it reduces dark circles with days</v>
      </c>
    </row>
    <row r="5525">
      <c r="A5525" s="1">
        <v>5.0</v>
      </c>
      <c r="B5525" s="1" t="s">
        <v>5490</v>
      </c>
      <c r="C5525" t="str">
        <f>IFERROR(__xludf.DUMMYFUNCTION("GOOGLETRANSLATE(B5525, ""es"", ""en"")"),"Araceli is as described on the website. I bought it to give away and loved it. A practical and original gift.")</f>
        <v>Araceli is as described on the website. I bought it to give away and loved it. A practical and original gift.</v>
      </c>
    </row>
    <row r="5526">
      <c r="A5526" s="1">
        <v>5.0</v>
      </c>
      <c r="B5526" s="1" t="s">
        <v>524</v>
      </c>
      <c r="C5526" t="str">
        <f>IFERROR(__xludf.DUMMYFUNCTION("GOOGLETRANSLATE(B5526, ""es"", ""en"")"),"Brilliant brilliant")</f>
        <v>Brilliant brilliant</v>
      </c>
    </row>
    <row r="5527">
      <c r="A5527" s="1">
        <v>5.0</v>
      </c>
      <c r="B5527" s="1" t="s">
        <v>5491</v>
      </c>
      <c r="C5527" t="str">
        <f>IFERROR(__xludf.DUMMYFUNCTION("GOOGLETRANSLATE(B5527, ""es"", ""en"")"),"They are very nice sound quality is quite good are very comfortable and very nice. My son has dropped me and a couple of times and still perfect.")</f>
        <v>They are very nice sound quality is quite good are very comfortable and very nice. My son has dropped me and a couple of times and still perfect.</v>
      </c>
    </row>
    <row r="5528">
      <c r="A5528" s="1">
        <v>5.0</v>
      </c>
      <c r="B5528" s="1" t="s">
        <v>5492</v>
      </c>
      <c r="C5528" t="str">
        <f>IFERROR(__xludf.DUMMYFUNCTION("GOOGLETRANSLATE(B5528, ""es"", ""en"")"),"Good, what we wanted. Good value for money. Good acomprar her again, what we wanted. Good value for money. The acomprar back. Bate and triturated well. No unnecessary add-ons .. highly recommend it. Amazon perfect service as always")</f>
        <v>Good, what we wanted. Good value for money. Good acomprar her again, what we wanted. Good value for money. The acomprar back. Bate and triturated well. No unnecessary add-ons .. highly recommend it. Amazon perfect service as always</v>
      </c>
    </row>
    <row r="5529">
      <c r="A5529" s="1">
        <v>5.0</v>
      </c>
      <c r="B5529" s="1" t="s">
        <v>5493</v>
      </c>
      <c r="C5529" t="str">
        <f>IFERROR(__xludf.DUMMYFUNCTION("GOOGLETRANSLATE(B5529, ""es"", ""en"")"),"Samsung does not disappoint Samsung does not disappoint")</f>
        <v>Samsung does not disappoint Samsung does not disappoint</v>
      </c>
    </row>
    <row r="5530">
      <c r="A5530" s="1">
        <v>2.0</v>
      </c>
      <c r="B5530" s="1" t="s">
        <v>5494</v>
      </c>
      <c r="C5530" t="str">
        <f>IFERROR(__xludf.DUMMYFUNCTION("GOOGLETRANSLATE(B5530, ""es"", ""en"")"),"ball leaves only the use of a few days is leaving much ball .... and do not like the feeling of having to be constantly pulling the balls are made from rubbing.")</f>
        <v>ball leaves only the use of a few days is leaving much ball .... and do not like the feeling of having to be constantly pulling the balls are made from rubbing.</v>
      </c>
    </row>
    <row r="5531">
      <c r="A5531" s="1">
        <v>3.0</v>
      </c>
      <c r="B5531" s="1" t="s">
        <v>5495</v>
      </c>
      <c r="C5531" t="str">
        <f>IFERROR(__xludf.DUMMYFUNCTION("GOOGLETRANSLATE(B5531, ""es"", ""en"")"),"Nice product is made of a material that produces unpleasant odor")</f>
        <v>Nice product is made of a material that produces unpleasant odor</v>
      </c>
    </row>
    <row r="5532">
      <c r="A5532" s="1">
        <v>1.0</v>
      </c>
      <c r="B5532" s="1" t="s">
        <v>5496</v>
      </c>
      <c r="C5532" t="str">
        <f>IFERROR(__xludf.DUMMYFUNCTION("GOOGLETRANSLATE(B5532, ""es"", ""en"")"),"Best cuts a toy knife blades do not cut well and after fighting with him on several occasions Finally, takes its place on the wall of the single kitchen with kitchen paper and transparent paper and aluminum have returned to their drawer. Very disappointed"&amp;". Now I have a gizmo hanging on the wall ....")</f>
        <v>Best cuts a toy knife blades do not cut well and after fighting with him on several occasions Finally, takes its place on the wall of the single kitchen with kitchen paper and transparent paper and aluminum have returned to their drawer. Very disappointed. Now I have a gizmo hanging on the wall ....</v>
      </c>
    </row>
    <row r="5533">
      <c r="A5533" s="1">
        <v>1.0</v>
      </c>
      <c r="B5533" s="1" t="s">
        <v>5497</v>
      </c>
      <c r="C5533" t="str">
        <f>IFERROR(__xludf.DUMMYFUNCTION("GOOGLETRANSLATE(B5533, ""es"", ""en"")"),"not notice the 800 W, do not fit the pieces and difficult to clean the blender I think they sent me was not right because if not that, is that Bosch is very wrong. First did not fit the foot with the engine, had some play, second, not noticed 800 W, lacke"&amp;"d force and third, the dome of the blades with that piece of plastic which ollitos golf ball is difficult to clean (I had to clean by hand after removing it from the dishwasher). Disappointed with the device, asking not have wanted to repeat it, I'll try "&amp;"another brand to see. I returned and initially without problems by Amazon.")</f>
        <v>not notice the 800 W, do not fit the pieces and difficult to clean the blender I think they sent me was not right because if not that, is that Bosch is very wrong. First did not fit the foot with the engine, had some play, second, not noticed 800 W, lacked force and third, the dome of the blades with that piece of plastic which ollitos golf ball is difficult to clean (I had to clean by hand after removing it from the dishwasher). Disappointed with the device, asking not have wanted to repeat it, I'll try another brand to see. I returned and initially without problems by Amazon.</v>
      </c>
    </row>
    <row r="5534">
      <c r="A5534" s="1">
        <v>1.0</v>
      </c>
      <c r="B5534" s="1" t="s">
        <v>5498</v>
      </c>
      <c r="C5534" t="str">
        <f>IFERROR(__xludf.DUMMYFUNCTION("GOOGLETRANSLATE(B5534, ""es"", ""en"")"),"I use that is not too big, and I'm tired of asking for change for a size less and do not listen to me ... that I have them for next year")</f>
        <v>I use that is not too big, and I'm tired of asking for change for a size less and do not listen to me ... that I have them for next year</v>
      </c>
    </row>
    <row r="5535">
      <c r="A5535" s="1">
        <v>4.0</v>
      </c>
      <c r="B5535" s="1" t="s">
        <v>5499</v>
      </c>
      <c r="C5535" t="str">
        <f>IFERROR(__xludf.DUMMYFUNCTION("GOOGLETRANSLATE(B5535, ""es"", ""en"")"),"Perfect leaves hair soft, that if you use 10 drops counted and hair, not at the root, if you greasiness. it lasts much what the price is good for the duration of the oil")</f>
        <v>Perfect leaves hair soft, that if you use 10 drops counted and hair, not at the root, if you greasiness. it lasts much what the price is good for the duration of the oil</v>
      </c>
    </row>
    <row r="5536">
      <c r="A5536" s="1">
        <v>4.0</v>
      </c>
      <c r="B5536" s="1" t="s">
        <v>5500</v>
      </c>
      <c r="C5536" t="str">
        <f>IFERROR(__xludf.DUMMYFUNCTION("GOOGLETRANSLATE(B5536, ""es"", ""en"")"),"Too bad very good box and glass are plastic, I think it will be easily scratched. As other reviewers said, it is very light. Add and remove meshes me was easy.")</f>
        <v>Too bad very good box and glass are plastic, I think it will be easily scratched. As other reviewers said, it is very light. Add and remove meshes me was easy.</v>
      </c>
    </row>
    <row r="5537">
      <c r="A5537" s="1">
        <v>4.0</v>
      </c>
      <c r="B5537" s="1" t="s">
        <v>5501</v>
      </c>
      <c r="C5537" t="str">
        <f>IFERROR(__xludf.DUMMYFUNCTION("GOOGLETRANSLATE(B5537, ""es"", ""en"")"),"If you do not want to spend 800 €, that this is perfect I have it a few days ago, but the coffee is very good, it is easily adjustable and the only but I put it to him the water used in each cleaning ... But everything else a 10!")</f>
        <v>If you do not want to spend 800 €, that this is perfect I have it a few days ago, but the coffee is very good, it is easily adjustable and the only but I put it to him the water used in each cleaning ... But everything else a 10!</v>
      </c>
    </row>
    <row r="5538">
      <c r="A5538" s="1">
        <v>4.0</v>
      </c>
      <c r="B5538" s="1" t="s">
        <v>5502</v>
      </c>
      <c r="C5538" t="str">
        <f>IFERROR(__xludf.DUMMYFUNCTION("GOOGLETRANSLATE(B5538, ""es"", ""en"")"),"Good quality fulfills its purpose, good quality at a good price")</f>
        <v>Good quality fulfills its purpose, good quality at a good price</v>
      </c>
    </row>
    <row r="5539">
      <c r="A5539" s="1">
        <v>4.0</v>
      </c>
      <c r="B5539" s="1" t="s">
        <v>5503</v>
      </c>
      <c r="C5539" t="str">
        <f>IFERROR(__xludf.DUMMYFUNCTION("GOOGLETRANSLATE(B5539, ""es"", ""en"")"),"perfect Good")</f>
        <v>perfect Good</v>
      </c>
    </row>
    <row r="5540">
      <c r="A5540" s="1">
        <v>5.0</v>
      </c>
      <c r="B5540" s="1" t="s">
        <v>5504</v>
      </c>
      <c r="C5540" t="str">
        <f>IFERROR(__xludf.DUMMYFUNCTION("GOOGLETRANSLATE(B5540, ""es"", ""en"")"),"It is tiny and almost concealable. I love to use it in the car. I bought this pendrive to listen to unlimited music in the car. I am very happy, because the speed of reading and writing is very good and being so small it does not bother anything. Delighte"&amp;"d to have been lowered their price and being a mark of trust I am now very quiet. I recommend 100%")</f>
        <v>It is tiny and almost concealable. I love to use it in the car. I bought this pendrive to listen to unlimited music in the car. I am very happy, because the speed of reading and writing is very good and being so small it does not bother anything. Delighted to have been lowered their price and being a mark of trust I am now very quiet. I recommend 100%</v>
      </c>
    </row>
    <row r="5541">
      <c r="A5541" s="1">
        <v>5.0</v>
      </c>
      <c r="B5541" s="1" t="s">
        <v>5505</v>
      </c>
      <c r="C5541" t="str">
        <f>IFERROR(__xludf.DUMMYFUNCTION("GOOGLETRANSLATE(B5541, ""es"", ""en"")"),"Good and inexpensive decided to buy it for the price and although several people not me I recommended think otherwise, it is very easy to install plus it's fast, install the OS on the SSD and firing laptop takes me about 5 seconds on at the minute it took"&amp;" me before")</f>
        <v>Good and inexpensive decided to buy it for the price and although several people not me I recommended think otherwise, it is very easy to install plus it's fast, install the OS on the SSD and firing laptop takes me about 5 seconds on at the minute it took me before</v>
      </c>
    </row>
    <row r="5542">
      <c r="A5542" s="1">
        <v>5.0</v>
      </c>
      <c r="B5542" s="1" t="s">
        <v>5506</v>
      </c>
      <c r="C5542" t="str">
        <f>IFERROR(__xludf.DUMMYFUNCTION("GOOGLETRANSLATE(B5542, ""es"", ""en"")"),"OK, everything's fine")</f>
        <v>OK, everything's fine</v>
      </c>
    </row>
    <row r="5543">
      <c r="A5543" s="1">
        <v>5.0</v>
      </c>
      <c r="B5543" s="1" t="s">
        <v>5507</v>
      </c>
      <c r="C5543" t="str">
        <f>IFERROR(__xludf.DUMMYFUNCTION("GOOGLETRANSLATE(B5543, ""es"", ""en"")"),"small storage card memory card 32GB microSD and SD adapter for use on any computer. We have acquired the storage of photos from a camera and we is great. perfectly fulfills its function.")</f>
        <v>small storage card memory card 32GB microSD and SD adapter for use on any computer. We have acquired the storage of photos from a camera and we is great. perfectly fulfills its function.</v>
      </c>
    </row>
    <row r="5544">
      <c r="A5544" s="1">
        <v>5.0</v>
      </c>
      <c r="B5544" s="1" t="s">
        <v>5508</v>
      </c>
      <c r="C5544" t="str">
        <f>IFERROR(__xludf.DUMMYFUNCTION("GOOGLETRANSLATE(B5544, ""es"", ""en"")"),"Beautiful, elegant, economical, functional, good stuff to say no look, it's awesome, design beautiful, elegant, very economical, steel strap, it is waterproof to 30 mtrs, the truth that when I received it and opened it was not satisfied, the following spe"&amp;"ctacular recommend without a doubt, needs no batteries, rope will not come on or, correct operation is delayed Anyway, I give 1 November 10")</f>
        <v>Beautiful, elegant, economical, functional, good stuff to say no look, it's awesome, design beautiful, elegant, very economical, steel strap, it is waterproof to 30 mtrs, the truth that when I received it and opened it was not satisfied, the following spectacular recommend without a doubt, needs no batteries, rope will not come on or, correct operation is delayed Anyway, I give 1 November 10</v>
      </c>
    </row>
    <row r="5545">
      <c r="A5545" s="1">
        <v>5.0</v>
      </c>
      <c r="B5545" s="1" t="s">
        <v>5509</v>
      </c>
      <c r="C5545" t="str">
        <f>IFERROR(__xludf.DUMMYFUNCTION("GOOGLETRANSLATE(B5545, ""es"", ""en"")"),"Watch very practical. You watch with solar charging, so you forget the battery for a lot of years. A radiocontrolado being always take him with the exact time, at least in my case the connecting every night at 3.02 pm. The size is right for my taste, is a"&amp;" medium-sized and serves large and smaller wrists, mine is 16.5 cm. Anyway I'm happy with the purchase and as always sending perfect Amazon came to me the next day.")</f>
        <v>Watch very practical. You watch with solar charging, so you forget the battery for a lot of years. A radiocontrolado being always take him with the exact time, at least in my case the connecting every night at 3.02 pm. The size is right for my taste, is a medium-sized and serves large and smaller wrists, mine is 16.5 cm. Anyway I'm happy with the purchase and as always sending perfect Amazon came to me the next day.</v>
      </c>
    </row>
    <row r="5546">
      <c r="A5546" s="1">
        <v>5.0</v>
      </c>
      <c r="B5546" s="1" t="s">
        <v>5510</v>
      </c>
      <c r="C5546" t="str">
        <f>IFERROR(__xludf.DUMMYFUNCTION("GOOGLETRANSLATE(B5546, ""es"", ""en"")"),"Value Gift")</f>
        <v>Value Gift</v>
      </c>
    </row>
    <row r="5547">
      <c r="A5547" s="1">
        <v>5.0</v>
      </c>
      <c r="B5547" s="1" t="s">
        <v>5511</v>
      </c>
      <c r="C5547" t="str">
        <f>IFERROR(__xludf.DUMMYFUNCTION("GOOGLETRANSLATE(B5547, ""es"", ""en"")"),"I bought these bracelets bracelets good gift and liked them. They have good finish and are genuine leather. Happy with them.")</f>
        <v>I bought these bracelets bracelets good gift and liked them. They have good finish and are genuine leather. Happy with them.</v>
      </c>
    </row>
    <row r="5548">
      <c r="A5548" s="1">
        <v>5.0</v>
      </c>
      <c r="B5548" s="1" t="s">
        <v>5512</v>
      </c>
      <c r="C5548" t="str">
        <f>IFERROR(__xludf.DUMMYFUNCTION("GOOGLETRANSLATE(B5548, ""es"", ""en"")"),"It works perfectly Va perfect bell and at a great price")</f>
        <v>It works perfectly Va perfect bell and at a great price</v>
      </c>
    </row>
    <row r="5549">
      <c r="A5549" s="1">
        <v>5.0</v>
      </c>
      <c r="B5549" s="1" t="s">
        <v>5513</v>
      </c>
      <c r="C5549" t="str">
        <f>IFERROR(__xludf.DUMMYFUNCTION("GOOGLETRANSLATE(B5549, ""es"", ""en"")"),"Precious and amazing sound quality I was looking for a Bluetooth headset headband noise canceling that they had to make a gift, as my partner spends hours studying and need not have distractions around. At home we have other handsets of the same brand and"&amp;" I am delighted with them, so I will not think twice. Upon arrival, we found a protective cover quite hard to fully protect the headphones. We access via a zipper inside it, where we placed the headphones perfecatmente thanks to its 90 ° rotation, which e"&amp;"nables space-saving and suffer less when they are saved. They are very comfortable, occupying the entire ear to isolate from the outside. Connect to the mobile phone or laptop without problem, when you have synchronized we hear a message that confirms us."&amp;" In the case we are also a jack cable to connect cable and micro-USB to USB for charging cable. Charging is completed in just over an hour and lets you listen to more than twelve hours of uninterrupted music, perfect for travel by train or metro. The soun"&amp;"d quality is spectacular with good bass and treble clarity on not distort and allow you to enjoy music and movies to perfection. It is certainly a great product, recommended a 100%")</f>
        <v>Precious and amazing sound quality I was looking for a Bluetooth headset headband noise canceling that they had to make a gift, as my partner spends hours studying and need not have distractions around. At home we have other handsets of the same brand and I am delighted with them, so I will not think twice. Upon arrival, we found a protective cover quite hard to fully protect the headphones. We access via a zipper inside it, where we placed the headphones perfecatmente thanks to its 90 ° rotation, which enables space-saving and suffer less when they are saved. They are very comfortable, occupying the entire ear to isolate from the outside. Connect to the mobile phone or laptop without problem, when you have synchronized we hear a message that confirms us. In the case we are also a jack cable to connect cable and micro-USB to USB for charging cable. Charging is completed in just over an hour and lets you listen to more than twelve hours of uninterrupted music, perfect for travel by train or metro. The sound quality is spectacular with good bass and treble clarity on not distort and allow you to enjoy music and movies to perfection. It is certainly a great product, recommended a 100%</v>
      </c>
    </row>
    <row r="5550">
      <c r="A5550" s="1">
        <v>5.0</v>
      </c>
      <c r="B5550" s="1" t="s">
        <v>5514</v>
      </c>
      <c r="C5550" t="str">
        <f>IFERROR(__xludf.DUMMYFUNCTION("GOOGLETRANSLATE(B5550, ""es"", ""en"")"),"A classic saying this perfection of jewelry. Big brand, takes care of the maximum details, with two terminals incorporated to prevent loss of the elements and beads as a safety stop. elegant, comfortable and flexible to wear design. easy but secure clasp."&amp;" Excellent purchase and shipping")</f>
        <v>A classic saying this perfection of jewelry. Big brand, takes care of the maximum details, with two terminals incorporated to prevent loss of the elements and beads as a safety stop. elegant, comfortable and flexible to wear design. easy but secure clasp. Excellent purchase and shipping</v>
      </c>
    </row>
    <row r="5551">
      <c r="A5551" s="1">
        <v>5.0</v>
      </c>
      <c r="B5551" s="1" t="s">
        <v>5515</v>
      </c>
      <c r="C5551" t="str">
        <f>IFERROR(__xludf.DUMMYFUNCTION("GOOGLETRANSLATE(B5551, ""es"", ""en"")"),"All expectations perfect jacket, he feels very well and is quite warm. I got what I expected in size color and quality feelings very good quality")</f>
        <v>All expectations perfect jacket, he feels very well and is quite warm. I got what I expected in size color and quality feelings very good quality</v>
      </c>
    </row>
    <row r="5552">
      <c r="A5552" s="1">
        <v>5.0</v>
      </c>
      <c r="B5552" s="1" t="s">
        <v>5516</v>
      </c>
      <c r="C5552" t="str">
        <f>IFERROR(__xludf.DUMMYFUNCTION("GOOGLETRANSLATE(B5552, ""es"", ""en"")"),"Very nice. Some finite but tiny hooks are pretty well placed, comfortable and recommend whether so much give a 10.")</f>
        <v>Very nice. Some finite but tiny hooks are pretty well placed, comfortable and recommend whether so much give a 10.</v>
      </c>
    </row>
    <row r="5553">
      <c r="A5553" s="1">
        <v>5.0</v>
      </c>
      <c r="B5553" s="1" t="s">
        <v>5517</v>
      </c>
      <c r="C5553" t="str">
        <f>IFERROR(__xludf.DUMMYFUNCTION("GOOGLETRANSLATE(B5553, ""es"", ""en"")"),"Perfect quality Price does not disappoint. Perfect for GoPro, the difference is noticeable. Fully advisable. Do not hesitate to buy it, ideal price and reliable quality.")</f>
        <v>Perfect quality Price does not disappoint. Perfect for GoPro, the difference is noticeable. Fully advisable. Do not hesitate to buy it, ideal price and reliable quality.</v>
      </c>
    </row>
    <row r="5554">
      <c r="A5554" s="1">
        <v>5.0</v>
      </c>
      <c r="B5554" s="1" t="s">
        <v>5518</v>
      </c>
      <c r="C5554" t="str">
        <f>IFERROR(__xludf.DUMMYFUNCTION("GOOGLETRANSLATE(B5554, ""es"", ""en"")"),"The best virgin CD market in value. They not deteriorate over the years. Surely the brand's best-selling blank CDs, as their value is unbeatable. The most important thing is that they do not deteriorate with the passage of time and the data is safe.")</f>
        <v>The best virgin CD market in value. They not deteriorate over the years. Surely the brand's best-selling blank CDs, as their value is unbeatable. The most important thing is that they do not deteriorate with the passage of time and the data is safe.</v>
      </c>
    </row>
    <row r="5555">
      <c r="A5555" s="1">
        <v>5.0</v>
      </c>
      <c r="B5555" s="1" t="s">
        <v>5519</v>
      </c>
      <c r="C5555" t="str">
        <f>IFERROR(__xludf.DUMMYFUNCTION("GOOGLETRANSLATE(B5555, ""es"", ""en"")"),"Excellent Good support, engage either the microphone, and the weight base, thus perfectly holds the micro. I received it right away to ask.")</f>
        <v>Excellent Good support, engage either the microphone, and the weight base, thus perfectly holds the micro. I received it right away to ask.</v>
      </c>
    </row>
    <row r="5556">
      <c r="A5556" s="1">
        <v>5.0</v>
      </c>
      <c r="B5556" s="1" t="s">
        <v>5520</v>
      </c>
      <c r="C5556" t="str">
        <f>IFERROR(__xludf.DUMMYFUNCTION("GOOGLETRANSLATE(B5556, ""es"", ""en"")"),"Recommended. I took an offer that left them below the price competition. The shoes are very comfortable, good quality and size is correct.")</f>
        <v>Recommended. I took an offer that left them below the price competition. The shoes are very comfortable, good quality and size is correct.</v>
      </c>
    </row>
    <row r="5557">
      <c r="A5557" s="1">
        <v>5.0</v>
      </c>
      <c r="B5557" s="1" t="s">
        <v>5521</v>
      </c>
      <c r="C5557" t="str">
        <f>IFERROR(__xludf.DUMMYFUNCTION("GOOGLETRANSLATE(B5557, ""es"", ""en"")"),"Functional and quality if looking for something to level navigation technology today, get rid of this watch. If you are looking for a simple, practical and also watch points north, and has thermometer, this is your watch. Functional, a little retro and qu"&amp;"ality Casio.")</f>
        <v>Functional and quality if looking for something to level navigation technology today, get rid of this watch. If you are looking for a simple, practical and also watch points north, and has thermometer, this is your watch. Functional, a little retro and quality Casio.</v>
      </c>
    </row>
    <row r="5558">
      <c r="A5558" s="1">
        <v>5.0</v>
      </c>
      <c r="B5558" s="1" t="s">
        <v>5522</v>
      </c>
      <c r="C5558" t="str">
        <f>IFERROR(__xludf.DUMMYFUNCTION("GOOGLETRANSLATE(B5558, ""es"", ""en"")"),"meets all expectations as expected")</f>
        <v>meets all expectations as expected</v>
      </c>
    </row>
    <row r="5559">
      <c r="A5559" s="1">
        <v>2.0</v>
      </c>
      <c r="B5559" s="1" t="s">
        <v>5523</v>
      </c>
      <c r="C5559" t="str">
        <f>IFERROR(__xludf.DUMMYFUNCTION("GOOGLETRANSLATE(B5559, ""es"", ""en"")"),"ODOR Hi sneakers as expected, but the smell is unbearable, like moisture, ""plastic"" etc .. I understand they are original for the price, I have other similar brands and has never happened to me. What solution can give me? Thanks greetings")</f>
        <v>ODOR Hi sneakers as expected, but the smell is unbearable, like moisture, "plastic" etc .. I understand they are original for the price, I have other similar brands and has never happened to me. What solution can give me? Thanks greetings</v>
      </c>
    </row>
    <row r="5560">
      <c r="A5560" s="1">
        <v>3.0</v>
      </c>
      <c r="B5560" s="1" t="s">
        <v>5524</v>
      </c>
      <c r="C5560" t="str">
        <f>IFERROR(__xludf.DUMMYFUNCTION("GOOGLETRANSLATE(B5560, ""es"", ""en"")"),"I have a nice 42 and are very fair, long and wide at the toe area. 42 man much better")</f>
        <v>I have a nice 42 and are very fair, long and wide at the toe area. 42 man much better</v>
      </c>
    </row>
    <row r="5561">
      <c r="A5561" s="1">
        <v>3.0</v>
      </c>
      <c r="B5561" s="1" t="s">
        <v>5525</v>
      </c>
      <c r="C5561" t="str">
        <f>IFERROR(__xludf.DUMMYFUNCTION("GOOGLETRANSLATE(B5561, ""es"", ""en"")"),"Overrated I decided to buy these headphones for how well they talked about them, but are personally overvalued. Being on sale from 110-50 € is a very attractive offer. They are comfortable and very practical, but my low score is the low quality of the sou"&amp;"nd, everyone speaks super good quality sound but do not know whether they will mine that does not sound so good or that the sound quality is so long . Lacks some sharpness and lack bass. The best sound is more or less half the power, and as you go up the "&amp;"volume lost a lot of quality sound. That said, worth from 50 €.")</f>
        <v>Overrated I decided to buy these headphones for how well they talked about them, but are personally overvalued. Being on sale from 110-50 € is a very attractive offer. They are comfortable and very practical, but my low score is the low quality of the sound, everyone speaks super good quality sound but do not know whether they will mine that does not sound so good or that the sound quality is so long . Lacks some sharpness and lack bass. The best sound is more or less half the power, and as you go up the volume lost a lot of quality sound. That said, worth from 50 €.</v>
      </c>
    </row>
    <row r="5562">
      <c r="A5562" s="1">
        <v>3.0</v>
      </c>
      <c r="B5562" s="1" t="s">
        <v>5526</v>
      </c>
      <c r="C5562" t="str">
        <f>IFERROR(__xludf.DUMMYFUNCTION("GOOGLETRANSLATE(B5562, ""es"", ""en"")"),"Pendrive good heats but got more pendrive of this brand and have always worked well. This also makes it far, but the problem is that quite hot every time I get into the phone, even when only two minutes.")</f>
        <v>Pendrive good heats but got more pendrive of this brand and have always worked well. This also makes it far, but the problem is that quite hot every time I get into the phone, even when only two minutes.</v>
      </c>
    </row>
    <row r="5563">
      <c r="A5563" s="1">
        <v>1.0</v>
      </c>
      <c r="B5563" s="1" t="s">
        <v>5527</v>
      </c>
      <c r="C5563" t="str">
        <f>IFERROR(__xludf.DUMMYFUNCTION("GOOGLETRANSLATE(B5563, ""es"", ""en"")"),"Nothing shoddy recommended after 3 months no trace of the gold, or the part of ls eyes, the stones are barely opaque than that since have. There is a bracelet for daily use. Definitely not recommend it for anything.")</f>
        <v>Nothing shoddy recommended after 3 months no trace of the gold, or the part of ls eyes, the stones are barely opaque than that since have. There is a bracelet for daily use. Definitely not recommend it for anything.</v>
      </c>
    </row>
    <row r="5564">
      <c r="A5564" s="1">
        <v>1.0</v>
      </c>
      <c r="B5564" s="1" t="s">
        <v>5528</v>
      </c>
      <c r="C5564" t="str">
        <f>IFERROR(__xludf.DUMMYFUNCTION("GOOGLETRANSLATE(B5564, ""es"", ""en"")"),"It has broken soon not have lasted a year")</f>
        <v>It has broken soon not have lasted a year</v>
      </c>
    </row>
    <row r="5565">
      <c r="A5565" s="1">
        <v>4.0</v>
      </c>
      <c r="B5565" s="1" t="s">
        <v>5529</v>
      </c>
      <c r="C5565" t="str">
        <f>IFERROR(__xludf.DUMMYFUNCTION("GOOGLETRANSLATE(B5565, ""es"", ""en"")"),"Although a classic watch comes in a cardboard confection it is surely not the original, is well protected and no damage. The watch is a classic, well known. its robustness and good performance shows. default is the only difference between the material of "&amp;"the box and the belt. Up box are plastic plated while below the box and the belt is stainless steel. This harms not only the color appearance of the clock (initially subtle difference, but it shows the days ..) if not the durability of the components. I'm"&amp;" certainly pleased by the commitment value of this watch.")</f>
        <v>Although a classic watch comes in a cardboard confection it is surely not the original, is well protected and no damage. The watch is a classic, well known. its robustness and good performance shows. default is the only difference between the material of the box and the belt. Up box are plastic plated while below the box and the belt is stainless steel. This harms not only the color appearance of the clock (initially subtle difference, but it shows the days ..) if not the durability of the components. I'm certainly pleased by the commitment value of this watch.</v>
      </c>
    </row>
    <row r="5566">
      <c r="A5566" s="1">
        <v>4.0</v>
      </c>
      <c r="B5566" s="1" t="s">
        <v>5530</v>
      </c>
      <c r="C5566" t="str">
        <f>IFERROR(__xludf.DUMMYFUNCTION("GOOGLETRANSLATE(B5566, ""es"", ""en"")"),"Super I like its design.")</f>
        <v>Super I like its design.</v>
      </c>
    </row>
    <row r="5567">
      <c r="A5567" s="1">
        <v>4.0</v>
      </c>
      <c r="B5567" s="1" t="s">
        <v>5531</v>
      </c>
      <c r="C5567" t="str">
        <f>IFERROR(__xludf.DUMMYFUNCTION("GOOGLETRANSLATE(B5567, ""es"", ""en"")"),"Mark did not seem to me, the quality of the product I paid the price q, I bought 2 and a model has been € 23 and is much better than this model")</f>
        <v>Mark did not seem to me, the quality of the product I paid the price q, I bought 2 and a model has been € 23 and is much better than this model</v>
      </c>
    </row>
    <row r="5568">
      <c r="A5568" s="1">
        <v>4.0</v>
      </c>
      <c r="B5568" s="1" t="s">
        <v>5532</v>
      </c>
      <c r="C5568" t="str">
        <f>IFERROR(__xludf.DUMMYFUNCTION("GOOGLETRANSLATE(B5568, ""es"", ""en"")"),"Simple and effective quality / Right price clearly hear the paste you see is only the body of the watch is quite thick enough poking wrist.")</f>
        <v>Simple and effective quality / Right price clearly hear the paste you see is only the body of the watch is quite thick enough poking wrist.</v>
      </c>
    </row>
    <row r="5569">
      <c r="A5569" s="1">
        <v>5.0</v>
      </c>
      <c r="B5569" s="1" t="s">
        <v>5533</v>
      </c>
      <c r="C5569" t="str">
        <f>IFERROR(__xludf.DUMMYFUNCTION("GOOGLETRANSLATE(B5569, ""es"", ""en"")"),"Conga 4090 !! Fantastic !! We were undecided whether to take this robot or other different brand of similar characteristics and truth .. that we were right, we are very happy and satisfied with the conga 4090. From moment we've used with brush pet, as we "&amp;"have a and let the house spotless, leaves no hair. Cleaning the house a short time ago, I think is not very noisy, the other was more and had less suction; Once that defined the outline of the house, does not hit for anything or baseboards or furniture .."&amp;" other left us different brand if it did. The mapping system, the mobile app and the remote worked without any problems from the beginning. So far we have not had occasion to use the scrubbing system, we will shortly .. but as vacuuming !! FANTASTIC !!")</f>
        <v>Conga 4090 !! Fantastic !! We were undecided whether to take this robot or other different brand of similar characteristics and truth .. that we were right, we are very happy and satisfied with the conga 4090. From moment we've used with brush pet, as we have a and let the house spotless, leaves no hair. Cleaning the house a short time ago, I think is not very noisy, the other was more and had less suction; Once that defined the outline of the house, does not hit for anything or baseboards or furniture .. other left us different brand if it did. The mapping system, the mobile app and the remote worked without any problems from the beginning. So far we have not had occasion to use the scrubbing system, we will shortly .. but as vacuuming !! FANTASTIC !!</v>
      </c>
    </row>
    <row r="5570">
      <c r="A5570" s="1">
        <v>5.0</v>
      </c>
      <c r="B5570" s="1" t="s">
        <v>5534</v>
      </c>
      <c r="C5570" t="str">
        <f>IFERROR(__xludf.DUMMYFUNCTION("GOOGLETRANSLATE(B5570, ""es"", ""en"")"),"Surrogate perfect example of a traditional hard drive (HDD) on a laptop in my case. Goes very fast in both reading and writing (about 10 times faster than the HDD), spends less battery (if you use it on a laptop and generates less heat). It is very easy t"&amp;"o replace your old hard drive for an SSD Remember that should be 2.5 ""to have the same size as the portable HDD.")</f>
        <v>Surrogate perfect example of a traditional hard drive (HDD) on a laptop in my case. Goes very fast in both reading and writing (about 10 times faster than the HDD), spends less battery (if you use it on a laptop and generates less heat). It is very easy to replace your old hard drive for an SSD Remember that should be 2.5 "to have the same size as the portable HDD.</v>
      </c>
    </row>
    <row r="5571">
      <c r="A5571" s="1">
        <v>5.0</v>
      </c>
      <c r="B5571" s="1" t="s">
        <v>5535</v>
      </c>
      <c r="C5571" t="str">
        <f>IFERROR(__xludf.DUMMYFUNCTION("GOOGLETRANSLATE(B5571, ""es"", ""en"")"),"Frank Marti Very good watch, knew the model. The descrpcion Amazon does not match the model should describe it properly, it is necessary")</f>
        <v>Frank Marti Very good watch, knew the model. The descrpcion Amazon does not match the model should describe it properly, it is necessary</v>
      </c>
    </row>
    <row r="5572">
      <c r="A5572" s="1">
        <v>5.0</v>
      </c>
      <c r="B5572" s="1" t="s">
        <v>5536</v>
      </c>
      <c r="C5572" t="str">
        <f>IFERROR(__xludf.DUMMYFUNCTION("GOOGLETRANSLATE(B5572, ""es"", ""en"")"),"Capricho expensive decked out for holidays but all q barrels are very expensive,")</f>
        <v>Capricho expensive decked out for holidays but all q barrels are very expensive,</v>
      </c>
    </row>
    <row r="5573">
      <c r="A5573" s="1">
        <v>5.0</v>
      </c>
      <c r="B5573" s="1" t="s">
        <v>5537</v>
      </c>
      <c r="C5573" t="str">
        <f>IFERROR(__xludf.DUMMYFUNCTION("GOOGLETRANSLATE(B5573, ""es"", ""en"")"),"mouse pad The product conforms to what you see in the pictures and is very well topped'm happy with")</f>
        <v>mouse pad The product conforms to what you see in the pictures and is very well topped'm happy with</v>
      </c>
    </row>
    <row r="5574">
      <c r="A5574" s="1">
        <v>5.0</v>
      </c>
      <c r="B5574" s="1" t="s">
        <v>5538</v>
      </c>
      <c r="C5574" t="str">
        <f>IFERROR(__xludf.DUMMYFUNCTION("GOOGLETRANSLATE(B5574, ""es"", ""en"")"),"Good price / quality expected. No complaints. I think even the files are passed faster than I had before. highly recommended")</f>
        <v>Good price / quality expected. No complaints. I think even the files are passed faster than I had before. highly recommended</v>
      </c>
    </row>
    <row r="5575">
      <c r="A5575" s="1">
        <v>5.0</v>
      </c>
      <c r="B5575" s="1" t="s">
        <v>5539</v>
      </c>
      <c r="C5575" t="str">
        <f>IFERROR(__xludf.DUMMYFUNCTION("GOOGLETRANSLATE(B5575, ""es"", ""en"")"),"What I really like with templates was not good for me. This I have it in my house in the drawer of the computer, and when I feel I wear and I'm changing up, me going great. To rest them, I really like")</f>
        <v>What I really like with templates was not good for me. This I have it in my house in the drawer of the computer, and when I feel I wear and I'm changing up, me going great. To rest them, I really like</v>
      </c>
    </row>
    <row r="5576">
      <c r="A5576" s="1">
        <v>5.0</v>
      </c>
      <c r="B5576" s="1" t="s">
        <v>5540</v>
      </c>
      <c r="C5576" t="str">
        <f>IFERROR(__xludf.DUMMYFUNCTION("GOOGLETRANSLATE(B5576, ""es"", ""en"")"),"Perfect and lasting longer have a couple of years and goes perfectly. Clean with a dash of vinegar to the water, because it accumulates lime after about three months of continuous use (two to three times day), less use not accumulate lime. Very nice and c"&amp;"ompact, it is perfect.")</f>
        <v>Perfect and lasting longer have a couple of years and goes perfectly. Clean with a dash of vinegar to the water, because it accumulates lime after about three months of continuous use (two to three times day), less use not accumulate lime. Very nice and compact, it is perfect.</v>
      </c>
    </row>
    <row r="5577">
      <c r="A5577" s="1">
        <v>5.0</v>
      </c>
      <c r="B5577" s="1" t="s">
        <v>5541</v>
      </c>
      <c r="C5577" t="str">
        <f>IFERROR(__xludf.DUMMYFUNCTION("GOOGLETRANSLATE(B5577, ""es"", ""en"")"),"Worth My daughter loved the article")</f>
        <v>Worth My daughter loved the article</v>
      </c>
    </row>
    <row r="5578">
      <c r="A5578" s="1">
        <v>5.0</v>
      </c>
      <c r="B5578" s="1" t="s">
        <v>5542</v>
      </c>
      <c r="C5578" t="str">
        <f>IFERROR(__xludf.DUMMYFUNCTION("GOOGLETRANSLATE(B5578, ""es"", ""en"")"),"Perfect came early, and just what I needed. Very easy to use and better than on cable to get comfortable.")</f>
        <v>Perfect came early, and just what I needed. Very easy to use and better than on cable to get comfortable.</v>
      </c>
    </row>
    <row r="5579">
      <c r="A5579" s="1">
        <v>5.0</v>
      </c>
      <c r="B5579" s="1" t="s">
        <v>5543</v>
      </c>
      <c r="C5579" t="str">
        <f>IFERROR(__xludf.DUMMYFUNCTION("GOOGLETRANSLATE(B5579, ""es"", ""en"")"),"A basic Adidas at a great price. Adidas classic jacket, valid for sports or to wear informal plan. quality own brand. In a tad longer than other sizes L even of the same brand.")</f>
        <v>A basic Adidas at a great price. Adidas classic jacket, valid for sports or to wear informal plan. quality own brand. In a tad longer than other sizes L even of the same brand.</v>
      </c>
    </row>
    <row r="5580">
      <c r="A5580" s="1">
        <v>5.0</v>
      </c>
      <c r="B5580" s="1" t="s">
        <v>5544</v>
      </c>
      <c r="C5580" t="str">
        <f>IFERROR(__xludf.DUMMYFUNCTION("GOOGLETRANSLATE(B5580, ""es"", ""en"")"),"I expected no less, finishes and comfort 10 already had bought another watch very similar brand. Knowing their good quality and finishes for the price it has decided to buy one for a family birthday. Clock is a very comfortable, well finished and with a g"&amp;"ood quality glass that provides a feeling of being in front of a clock much more value.")</f>
        <v>I expected no less, finishes and comfort 10 already had bought another watch very similar brand. Knowing their good quality and finishes for the price it has decided to buy one for a family birthday. Clock is a very comfortable, well finished and with a good quality glass that provides a feeling of being in front of a clock much more value.</v>
      </c>
    </row>
    <row r="5581">
      <c r="A5581" s="1">
        <v>5.0</v>
      </c>
      <c r="B5581" s="1" t="s">
        <v>5545</v>
      </c>
      <c r="C5581" t="str">
        <f>IFERROR(__xludf.DUMMYFUNCTION("GOOGLETRANSLATE(B5581, ""es"", ""en"")"),"Guaranteed fun. We bought it for days when we gather with family and friends, whether to celebrate a birthday or a party and has been a total success. At the beginning it costs a bit, but once we started using it all fears are removed and everyone wants t"&amp;"o be the next use. Its use is very simple, in addition to being faster and more economical than systems karaoke video game consoles we used before. Simply turn on Bluetooth and pair it with the phone, computer or tablet, search for the song you want throu"&amp;"gh any program or web crawler in karaoke mode, and ....... to sing. The microphone itself is built with quality materials, it is not heavy and its size much like any micro, except in the area of ​​the speakers, the sound is loud and clear enough for use i"&amp;"n a bedroom, living room or even now in summer the outdoors. It powered by lithium-ion batteries, easily rechargeable via the included USB cable, and can connect via Bluetooth or cable audio 3.5mm jack connection also included. In the central part of the "&amp;"speakers has the button on / off and pause, volume controls voice and music, and forward / back songs, another to add or remove echo our voice and one more to muffle the voice the original song is heard better our own singing voice and an SD card slot, on"&amp;"e 3.5 mm Jack connection and the last to recharge the batteries, all. For 35 € it cost us, it is a highly recommended article for use at parties, birthdays or meetings and have fun assured all attendees.")</f>
        <v>Guaranteed fun. We bought it for days when we gather with family and friends, whether to celebrate a birthday or a party and has been a total success. At the beginning it costs a bit, but once we started using it all fears are removed and everyone wants to be the next use. Its use is very simple, in addition to being faster and more economical than systems karaoke video game consoles we used before. Simply turn on Bluetooth and pair it with the phone, computer or tablet, search for the song you want through any program or web crawler in karaoke mode, and ....... to sing. The microphone itself is built with quality materials, it is not heavy and its size much like any micro, except in the area of ​​the speakers, the sound is loud and clear enough for use in a bedroom, living room or even now in summer the outdoors. It powered by lithium-ion batteries, easily rechargeable via the included USB cable, and can connect via Bluetooth or cable audio 3.5mm jack connection also included. In the central part of the speakers has the button on / off and pause, volume controls voice and music, and forward / back songs, another to add or remove echo our voice and one more to muffle the voice the original song is heard better our own singing voice and an SD card slot, one 3.5 mm Jack connection and the last to recharge the batteries, all. For 35 € it cost us, it is a highly recommended article for use at parties, birthdays or meetings and have fun assured all attendees.</v>
      </c>
    </row>
    <row r="5582">
      <c r="A5582" s="1">
        <v>5.0</v>
      </c>
      <c r="B5582" s="1" t="s">
        <v>5546</v>
      </c>
      <c r="C5582" t="str">
        <f>IFERROR(__xludf.DUMMYFUNCTION("GOOGLETRANSLATE(B5582, ""es"", ""en"")"),"RJB good feel and nice sweatshirt. I have a little wide, so buying bad. But the fact that its simplicity and feel of the garment loved it.")</f>
        <v>RJB good feel and nice sweatshirt. I have a little wide, so buying bad. But the fact that its simplicity and feel of the garment loved it.</v>
      </c>
    </row>
    <row r="5583">
      <c r="A5583" s="1">
        <v>5.0</v>
      </c>
      <c r="B5583" s="1" t="s">
        <v>5547</v>
      </c>
      <c r="C5583" t="str">
        <f>IFERROR(__xludf.DUMMYFUNCTION("GOOGLETRANSLATE(B5583, ""es"", ""en"")"),"Brush right inside bottles or places with the narrow mouth.")</f>
        <v>Brush right inside bottles or places with the narrow mouth.</v>
      </c>
    </row>
    <row r="5584">
      <c r="A5584" s="1">
        <v>5.0</v>
      </c>
      <c r="B5584" s="1" t="s">
        <v>5548</v>
      </c>
      <c r="C5584" t="str">
        <f>IFERROR(__xludf.DUMMYFUNCTION("GOOGLETRANSLATE(B5584, ""es"", ""en"")"),"Quality American Quality tape Tesa tape in an American 50 mm. Useful for many repairs. The glue is of quality and tape weft is consistent")</f>
        <v>Quality American Quality tape Tesa tape in an American 50 mm. Useful for many repairs. The glue is of quality and tape weft is consistent</v>
      </c>
    </row>
    <row r="5585">
      <c r="A5585" s="1">
        <v>5.0</v>
      </c>
      <c r="B5585" s="1" t="s">
        <v>5549</v>
      </c>
      <c r="C5585" t="str">
        <f>IFERROR(__xludf.DUMMYFUNCTION("GOOGLETRANSLATE(B5585, ""es"", ""en"")"),"Monísima came well packaged and is very nice, I liked me a lot, because'll buy another set is beautiful !!")</f>
        <v>Monísima came well packaged and is very nice, I liked me a lot, because'll buy another set is beautiful !!</v>
      </c>
    </row>
    <row r="5586">
      <c r="A5586" s="1">
        <v>5.0</v>
      </c>
      <c r="B5586" s="1" t="s">
        <v>5550</v>
      </c>
      <c r="C5586" t="str">
        <f>IFERROR(__xludf.DUMMYFUNCTION("GOOGLETRANSLATE(B5586, ""es"", ""en"")"),"A gift very grateful xD I bought it for a gift of cumoleaños and so I've been told is fine XD has different vibration modes and different degrees of intensity, and an LED that lights up following each mode.")</f>
        <v>A gift very grateful xD I bought it for a gift of cumoleaños and so I've been told is fine XD has different vibration modes and different degrees of intensity, and an LED that lights up following each mode.</v>
      </c>
    </row>
    <row r="5587">
      <c r="A5587" s="1">
        <v>2.0</v>
      </c>
      <c r="B5587" s="1" t="s">
        <v>5551</v>
      </c>
      <c r="C5587" t="str">
        <f>IFERROR(__xludf.DUMMYFUNCTION("GOOGLETRANSLATE(B5587, ""es"", ""en"")"),"Upgradeable Supports XP SP3, but need to format in NTFS Windows 7 or later. It does not take LED to indicate their status. Too wide, no other device can connect to the nearest USB port. Otherwise correct.")</f>
        <v>Upgradeable Supports XP SP3, but need to format in NTFS Windows 7 or later. It does not take LED to indicate their status. Too wide, no other device can connect to the nearest USB port. Otherwise correct.</v>
      </c>
    </row>
    <row r="5588">
      <c r="A5588" s="1">
        <v>3.0</v>
      </c>
      <c r="B5588" s="1" t="s">
        <v>5552</v>
      </c>
      <c r="C5588" t="str">
        <f>IFERROR(__xludf.DUMMYFUNCTION("GOOGLETRANSLATE(B5588, ""es"", ""en"")"),"Choppy I've returned because the voice was cut off when listening to audio or music. Talking on the phone experience OK. As for the material is quality, I have changed for aukey and has nothing to do, the buttons are very soft in the plantronics.")</f>
        <v>Choppy I've returned because the voice was cut off when listening to audio or music. Talking on the phone experience OK. As for the material is quality, I have changed for aukey and has nothing to do, the buttons are very soft in the plantronics.</v>
      </c>
    </row>
    <row r="5589">
      <c r="A5589" s="1">
        <v>1.0</v>
      </c>
      <c r="B5589" s="1" t="s">
        <v>5553</v>
      </c>
      <c r="C5589" t="str">
        <f>IFERROR(__xludf.DUMMYFUNCTION("GOOGLETRANSLATE(B5589, ""es"", ""en"")"),"To throw Converse bought 9 August 17, virtually unused, I can see it in the photos and detached from the side from the first day, try to stick them last year without result, are becoming worse. My sister bought a store and are identical new without taking"&amp;" off. Sometimes cheap is expensive, a shame and now who claim me?")</f>
        <v>To throw Converse bought 9 August 17, virtually unused, I can see it in the photos and detached from the side from the first day, try to stick them last year without result, are becoming worse. My sister bought a store and are identical new without taking off. Sometimes cheap is expensive, a shame and now who claim me?</v>
      </c>
    </row>
    <row r="5590">
      <c r="A5590" s="1">
        <v>1.0</v>
      </c>
      <c r="B5590" s="1" t="s">
        <v>5554</v>
      </c>
      <c r="C5590" t="str">
        <f>IFERROR(__xludf.DUMMYFUNCTION("GOOGLETRANSLATE(B5590, ""es"", ""en"")"),"sizing error for the second time and ask the sizing is incorrect 39/40 EU corresponds neither with 38 EU are very small")</f>
        <v>sizing error for the second time and ask the sizing is incorrect 39/40 EU corresponds neither with 38 EU are very small</v>
      </c>
    </row>
    <row r="5591">
      <c r="A5591" s="1">
        <v>4.0</v>
      </c>
      <c r="B5591" s="1" t="s">
        <v>5555</v>
      </c>
      <c r="C5591" t="str">
        <f>IFERROR(__xludf.DUMMYFUNCTION("GOOGLETRANSLATE(B5591, ""es"", ""en"")"),"Good buy Great sound quality in relation to price. I have spent many years buying helmets of this brand and is always a hit. Only little niggle, and so did not give 5 stars is that the headband can become upset when something takes a long time. In any cas"&amp;"e I recommend 100%")</f>
        <v>Good buy Great sound quality in relation to price. I have spent many years buying helmets of this brand and is always a hit. Only little niggle, and so did not give 5 stars is that the headband can become upset when something takes a long time. In any case I recommend 100%</v>
      </c>
    </row>
    <row r="5592">
      <c r="A5592" s="1">
        <v>4.0</v>
      </c>
      <c r="B5592" s="1" t="s">
        <v>5556</v>
      </c>
      <c r="C5592" t="str">
        <f>IFERROR(__xludf.DUMMYFUNCTION("GOOGLETRANSLATE(B5592, ""es"", ""en"")"),"Good for the money do not have much quality, they are aesthetically beautiful but the material is regular and the interior has almost fluffy. I do not think that will last long because in one day are already marked. They give enough size to not having muc"&amp;"h padding inside, but not to ask for a least of which chocks. I put 4 estrelles because they are cheap and very comfortable.")</f>
        <v>Good for the money do not have much quality, they are aesthetically beautiful but the material is regular and the interior has almost fluffy. I do not think that will last long because in one day are already marked. They give enough size to not having much padding inside, but not to ask for a least of which chocks. I put 4 estrelles because they are cheap and very comfortable.</v>
      </c>
    </row>
    <row r="5593">
      <c r="A5593" s="1">
        <v>4.0</v>
      </c>
      <c r="B5593" s="1" t="s">
        <v>5557</v>
      </c>
      <c r="C5593" t="str">
        <f>IFERROR(__xludf.DUMMYFUNCTION("GOOGLETRANSLATE(B5593, ""es"", ""en"")"),"Adidas Good value for what you pay. Cómodos.Son are soft and excellent for walking long distances.")</f>
        <v>Adidas Good value for what you pay. Cómodos.Son are soft and excellent for walking long distances.</v>
      </c>
    </row>
    <row r="5594">
      <c r="A5594" s="1">
        <v>4.0</v>
      </c>
      <c r="B5594" s="1" t="s">
        <v>5558</v>
      </c>
      <c r="C5594" t="str">
        <f>IFERROR(__xludf.DUMMYFUNCTION("GOOGLETRANSLATE(B5594, ""es"", ""en"")"),"Sound unbelievable. Deep bass sound amazing. Deep bass. Perhaps the only downside would be that bother shortly after take a while. Are interchangeable pads according ear size")</f>
        <v>Sound unbelievable. Deep bass sound amazing. Deep bass. Perhaps the only downside would be that bother shortly after take a while. Are interchangeable pads according ear size</v>
      </c>
    </row>
    <row r="5595">
      <c r="A5595" s="1">
        <v>4.0</v>
      </c>
      <c r="B5595" s="1" t="s">
        <v>5559</v>
      </c>
      <c r="C5595" t="str">
        <f>IFERROR(__xludf.DUMMYFUNCTION("GOOGLETRANSLATE(B5595, ""es"", ""en"")"),"Recommended good buy, such in the photo, comfortable with not having cable design is like the photo and the cover is great. The sound quality is good according to the price.")</f>
        <v>Recommended good buy, such in the photo, comfortable with not having cable design is like the photo and the cover is great. The sound quality is good according to the price.</v>
      </c>
    </row>
    <row r="5596">
      <c r="A5596" s="1">
        <v>5.0</v>
      </c>
      <c r="B5596" s="1" t="s">
        <v>5560</v>
      </c>
      <c r="C5596" t="str">
        <f>IFERROR(__xludf.DUMMYFUNCTION("GOOGLETRANSLATE(B5596, ""es"", ""en"")"),"Very useful complies perfectly with your objective. Aesthetically looks good.")</f>
        <v>Very useful complies perfectly with your objective. Aesthetically looks good.</v>
      </c>
    </row>
    <row r="5597">
      <c r="A5597" s="1">
        <v>5.0</v>
      </c>
      <c r="B5597" s="1" t="s">
        <v>5561</v>
      </c>
      <c r="C5597" t="str">
        <f>IFERROR(__xludf.DUMMYFUNCTION("GOOGLETRANSLATE(B5597, ""es"", ""en"")"),"Features good value for money. It works very well and has the features you need to record on camera.")</f>
        <v>Features good value for money. It works very well and has the features you need to record on camera.</v>
      </c>
    </row>
    <row r="5598">
      <c r="A5598" s="1">
        <v>5.0</v>
      </c>
      <c r="B5598" s="1" t="s">
        <v>5562</v>
      </c>
      <c r="C5598" t="str">
        <f>IFERROR(__xludf.DUMMYFUNCTION("GOOGLETRANSLATE(B5598, ""es"", ""en"")"),"Very good shoes Phenomenal")</f>
        <v>Very good shoes Phenomenal</v>
      </c>
    </row>
    <row r="5599">
      <c r="A5599" s="1">
        <v>5.0</v>
      </c>
      <c r="B5599" s="1" t="s">
        <v>5563</v>
      </c>
      <c r="C5599" t="str">
        <f>IFERROR(__xludf.DUMMYFUNCTION("GOOGLETRANSLATE(B5599, ""es"", ""en"")"),"Such right which I expected, in perfect condition, and fair, comfortable and very helpful sized walk in the countryside")</f>
        <v>Such right which I expected, in perfect condition, and fair, comfortable and very helpful sized walk in the countryside</v>
      </c>
    </row>
    <row r="5600">
      <c r="A5600" s="1">
        <v>5.0</v>
      </c>
      <c r="B5600" s="1" t="s">
        <v>5564</v>
      </c>
      <c r="C5600" t="str">
        <f>IFERROR(__xludf.DUMMYFUNCTION("GOOGLETRANSLATE(B5600, ""es"", ""en"")"),"Excellent sound quality excellent sound quality, along with the adapter brings great befell me to go running. Apart they adapt very well to the ear that is ideal for not moving while you are walking or running.")</f>
        <v>Excellent sound quality excellent sound quality, along with the adapter brings great befell me to go running. Apart they adapt very well to the ear that is ideal for not moving while you are walking or running.</v>
      </c>
    </row>
    <row r="5601">
      <c r="A5601" s="1">
        <v>5.0</v>
      </c>
      <c r="B5601" s="1" t="s">
        <v>5565</v>
      </c>
      <c r="C5601" t="str">
        <f>IFERROR(__xludf.DUMMYFUNCTION("GOOGLETRANSLATE(B5601, ""es"", ""en"")"),"Pendrive design is very minimalist. Often I lose my drives pen, which is why I buy products like this, I can put in my llavero.Puedo keep everything you need and take it always with me because it also brings a hole to hook it on your keychain, bag or wher"&amp;"e you want .Cumple also function well.")</f>
        <v>Pendrive design is very minimalist. Often I lose my drives pen, which is why I buy products like this, I can put in my llavero.Puedo keep everything you need and take it always with me because it also brings a hole to hook it on your keychain, bag or where you want .Cumple also function well.</v>
      </c>
    </row>
    <row r="5602">
      <c r="A5602" s="1">
        <v>5.0</v>
      </c>
      <c r="B5602" s="1" t="s">
        <v>5566</v>
      </c>
      <c r="C5602" t="str">
        <f>IFERROR(__xludf.DUMMYFUNCTION("GOOGLETRANSLATE(B5602, ""es"", ""en"")"),"Value insuperable is very comfortable and easy to use. Heated water much faster than the microwave, and it does not have to be aware because when breaks to boil the water shuts off automatically. Good Value for money unbeatable 100% recommended")</f>
        <v>Value insuperable is very comfortable and easy to use. Heated water much faster than the microwave, and it does not have to be aware because when breaks to boil the water shuts off automatically. Good Value for money unbeatable 100% recommended</v>
      </c>
    </row>
    <row r="5603">
      <c r="A5603" s="1">
        <v>5.0</v>
      </c>
      <c r="B5603" s="1" t="s">
        <v>5567</v>
      </c>
      <c r="C5603" t="str">
        <f>IFERROR(__xludf.DUMMYFUNCTION("GOOGLETRANSLATE(B5603, ""es"", ""en"")"),"Simplicity of use Very easy to use with 5 speeds and turbo sticks to knead very important to us because thereby how much we use something else to highlight is its cleanliness is dishwasher safe")</f>
        <v>Simplicity of use Very easy to use with 5 speeds and turbo sticks to knead very important to us because thereby how much we use something else to highlight is its cleanliness is dishwasher safe</v>
      </c>
    </row>
    <row r="5604">
      <c r="A5604" s="1">
        <v>5.0</v>
      </c>
      <c r="B5604" s="1" t="s">
        <v>5568</v>
      </c>
      <c r="C5604" t="str">
        <f>IFERROR(__xludf.DUMMYFUNCTION("GOOGLETRANSLATE(B5604, ""es"", ""en"")"),"High quality cable Of course I'm pleasantly surprised with this purchase. If you have any doubt about this product you can ask me here under this review.")</f>
        <v>High quality cable Of course I'm pleasantly surprised with this purchase. If you have any doubt about this product you can ask me here under this review.</v>
      </c>
    </row>
    <row r="5605">
      <c r="A5605" s="1">
        <v>5.0</v>
      </c>
      <c r="B5605" s="1" t="s">
        <v>5569</v>
      </c>
      <c r="C5605" t="str">
        <f>IFERROR(__xludf.DUMMYFUNCTION("GOOGLETRANSLATE(B5605, ""es"", ""en"")"),"happy perfect, improvements over the previous model and volume of physical input for faster manipulation, the only thing against it is using two batteries instead of one")</f>
        <v>happy perfect, improvements over the previous model and volume of physical input for faster manipulation, the only thing against it is using two batteries instead of one</v>
      </c>
    </row>
    <row r="5606">
      <c r="A5606" s="1">
        <v>5.0</v>
      </c>
      <c r="B5606" s="1" t="s">
        <v>5570</v>
      </c>
      <c r="C5606" t="str">
        <f>IFERROR(__xludf.DUMMYFUNCTION("GOOGLETRANSLATE(B5606, ""es"", ""en"")"),"Good quality. Recomedable my point of view, the product should be assessed for their quality, because each child is different and what for one may prove to be another failure. This product is in line with other brand products. Good quality and good finish"&amp;". recommendable")</f>
        <v>Good quality. Recomedable my point of view, the product should be assessed for their quality, because each child is different and what for one may prove to be another failure. This product is in line with other brand products. Good quality and good finish. recommendable</v>
      </c>
    </row>
    <row r="5607">
      <c r="A5607" s="1">
        <v>5.0</v>
      </c>
      <c r="B5607" s="1" t="s">
        <v>5571</v>
      </c>
      <c r="C5607" t="str">
        <f>IFERROR(__xludf.DUMMYFUNCTION("GOOGLETRANSLATE(B5607, ""es"", ""en"")"),"Very moisturizing hydrating ojera patches. Are easily applied, they remain attached to the eyecup. At the beginning they move a little but after a few minutes drying and will remain fixed. No notes that carry.")</f>
        <v>Very moisturizing hydrating ojera patches. Are easily applied, they remain attached to the eyecup. At the beginning they move a little but after a few minutes drying and will remain fixed. No notes that carry.</v>
      </c>
    </row>
    <row r="5608">
      <c r="A5608" s="1">
        <v>5.0</v>
      </c>
      <c r="B5608" s="1" t="s">
        <v>5572</v>
      </c>
      <c r="C5608" t="str">
        <f>IFERROR(__xludf.DUMMYFUNCTION("GOOGLETRANSLATE(B5608, ""es"", ""en"")"),"Excellent Very useful")</f>
        <v>Excellent Very useful</v>
      </c>
    </row>
    <row r="5609">
      <c r="A5609" s="1">
        <v>5.0</v>
      </c>
      <c r="B5609" s="1" t="s">
        <v>5573</v>
      </c>
      <c r="C5609" t="str">
        <f>IFERROR(__xludf.DUMMYFUNCTION("GOOGLETRANSLATE(B5609, ""es"", ""en"")"),"Good price / quality ratio is a good product. It arrived perfectly packed and quality seen in manufacturing. It has been found making recordings with a condenser microphone with excellent result.")</f>
        <v>Good price / quality ratio is a good product. It arrived perfectly packed and quality seen in manufacturing. It has been found making recordings with a condenser microphone with excellent result.</v>
      </c>
    </row>
    <row r="5610">
      <c r="A5610" s="1">
        <v>5.0</v>
      </c>
      <c r="B5610" s="1" t="s">
        <v>5574</v>
      </c>
      <c r="C5610" t="str">
        <f>IFERROR(__xludf.DUMMYFUNCTION("GOOGLETRANSLATE(B5610, ""es"", ""en"")"),"Genial recommend good buy've I loved me very comfortable perfect size and very nice perfect buy we")</f>
        <v>Genial recommend good buy've I loved me very comfortable perfect size and very nice perfect buy we</v>
      </c>
    </row>
    <row r="5611">
      <c r="A5611" s="1">
        <v>5.0</v>
      </c>
      <c r="B5611" s="1" t="s">
        <v>5575</v>
      </c>
      <c r="C5611" t="str">
        <f>IFERROR(__xludf.DUMMYFUNCTION("GOOGLETRANSLATE(B5611, ""es"", ""en"")"),"As the originals are fine")</f>
        <v>As the originals are fine</v>
      </c>
    </row>
    <row r="5612">
      <c r="A5612" s="1">
        <v>5.0</v>
      </c>
      <c r="B5612" s="1" t="s">
        <v>5576</v>
      </c>
      <c r="C5612" t="str">
        <f>IFERROR(__xludf.DUMMYFUNCTION("GOOGLETRANSLATE(B5612, ""es"", ""en"")"),"Quitapelusas Better than I thought, very useful.")</f>
        <v>Quitapelusas Better than I thought, very useful.</v>
      </c>
    </row>
    <row r="5613">
      <c r="A5613" s="1">
        <v>5.0</v>
      </c>
      <c r="B5613" s="1" t="s">
        <v>5577</v>
      </c>
      <c r="C5613" t="str">
        <f>IFERROR(__xludf.DUMMYFUNCTION("GOOGLETRANSLATE(B5613, ""es"", ""en"")"),"comfort Convenience")</f>
        <v>comfort Convenience</v>
      </c>
    </row>
    <row r="5614">
      <c r="A5614" s="1">
        <v>5.0</v>
      </c>
      <c r="B5614" s="1" t="s">
        <v>5578</v>
      </c>
      <c r="C5614" t="str">
        <f>IFERROR(__xludf.DUMMYFUNCTION("GOOGLETRANSLATE(B5614, ""es"", ""en"")"),"Cases useful. Very good quality cover and at a price without competition, have the quality needed to plasticize the work you do.")</f>
        <v>Cases useful. Very good quality cover and at a price without competition, have the quality needed to plasticize the work you do.</v>
      </c>
    </row>
    <row r="5615">
      <c r="A5615" s="1">
        <v>2.0</v>
      </c>
      <c r="B5615" s="1" t="s">
        <v>5579</v>
      </c>
      <c r="C5615" t="str">
        <f>IFERROR(__xludf.DUMMYFUNCTION("GOOGLETRANSLATE(B5615, ""es"", ""en"")"),"What bothers walking is heating up. ..great. ..but homespun forget about them ... the sole seed filling is firm and does not weigh a lot and every time you move to step")</f>
        <v>What bothers walking is heating up. ..great. ..but homespun forget about them ... the sole seed filling is firm and does not weigh a lot and every time you move to step</v>
      </c>
    </row>
    <row r="5616">
      <c r="A5616" s="1">
        <v>3.0</v>
      </c>
      <c r="B5616" s="1" t="s">
        <v>5580</v>
      </c>
      <c r="C5616" t="str">
        <f>IFERROR(__xludf.DUMMYFUNCTION("GOOGLETRANSLATE(B5616, ""es"", ""en"")"),"For the same price there are a variety of 3.0 Well, I bought this pendrive for delivery of a job. At the time of passing the data to hurry I've noticed that is very slow ... For the price was assumed that it was a 3.0 and it turns out is a 2.0, I have sev"&amp;"eral Sandisk 3.0 with the same capacity and same price. Ultimately, the price seems expensive for being a 2.0. Itself is correct, small and simple pendrive. It works correctly and has made the role I wanted, but with surprise ......")</f>
        <v>For the same price there are a variety of 3.0 Well, I bought this pendrive for delivery of a job. At the time of passing the data to hurry I've noticed that is very slow ... For the price was assumed that it was a 3.0 and it turns out is a 2.0, I have several Sandisk 3.0 with the same capacity and same price. Ultimately, the price seems expensive for being a 2.0. Itself is correct, small and simple pendrive. It works correctly and has made the role I wanted, but with surprise ......</v>
      </c>
    </row>
    <row r="5617">
      <c r="A5617" s="1">
        <v>3.0</v>
      </c>
      <c r="B5617" s="1" t="s">
        <v>5581</v>
      </c>
      <c r="C5617" t="str">
        <f>IFERROR(__xludf.DUMMYFUNCTION("GOOGLETRANSLATE(B5617, ""es"", ""en"")"),"All right unless missing correct current adapters Everything but missing power adapters for wall. In the description that there are 2 places in the box but there is no room for them. Although if you plug the charger phantom to the mobile work equally well"&amp;". The quality of the microphone is on its price and without the phantom, the filter and a power source sound is equal to or worse than a mobile micro.")</f>
        <v>All right unless missing correct current adapters Everything but missing power adapters for wall. In the description that there are 2 places in the box but there is no room for them. Although if you plug the charger phantom to the mobile work equally well. The quality of the microphone is on its price and without the phantom, the filter and a power source sound is equal to or worse than a mobile micro.</v>
      </c>
    </row>
    <row r="5618">
      <c r="A5618" s="1">
        <v>1.0</v>
      </c>
      <c r="B5618" s="1" t="s">
        <v>5582</v>
      </c>
      <c r="C5618" t="str">
        <f>IFERROR(__xludf.DUMMYFUNCTION("GOOGLETRANSLATE(B5618, ""es"", ""en"")"),"It has not seemed good quality plastic. It is not noisy. Good design. Unfortunately I did not seem good quality plastic. She was very interested in supporting a brand Valenciana plus I had liked their design and size.")</f>
        <v>It has not seemed good quality plastic. It is not noisy. Good design. Unfortunately I did not seem good quality plastic. She was very interested in supporting a brand Valenciana plus I had liked their design and size.</v>
      </c>
    </row>
    <row r="5619">
      <c r="A5619" s="1">
        <v>1.0</v>
      </c>
      <c r="B5619" s="1" t="s">
        <v>5583</v>
      </c>
      <c r="C5619" t="str">
        <f>IFERROR(__xludf.DUMMYFUNCTION("GOOGLETRANSLATE(B5619, ""es"", ""en"")"),"He stopped working as watches AliExpress one month and one day after buying it stopped working Is this a Casio really? I have other and have worked for decades")</f>
        <v>He stopped working as watches AliExpress one month and one day after buying it stopped working Is this a Casio really? I have other and have worked for decades</v>
      </c>
    </row>
    <row r="5620">
      <c r="A5620" s="1">
        <v>4.0</v>
      </c>
      <c r="B5620" s="1" t="s">
        <v>5584</v>
      </c>
      <c r="C5620" t="str">
        <f>IFERROR(__xludf.DUMMYFUNCTION("GOOGLETRANSLATE(B5620, ""es"", ""en"")"),"Okay The microphone is fine but would be nice to bring rechargeable Pilar")</f>
        <v>Okay The microphone is fine but would be nice to bring rechargeable Pilar</v>
      </c>
    </row>
    <row r="5621">
      <c r="A5621" s="1">
        <v>4.0</v>
      </c>
      <c r="B5621" s="1" t="s">
        <v>5585</v>
      </c>
      <c r="C5621" t="str">
        <f>IFERROR(__xludf.DUMMYFUNCTION("GOOGLETRANSLATE(B5621, ""es"", ""en"")"),"Good buy the product well, the quality is the same as one bought in jewelry. The only drawbacks, the warranty is sealed and, on the other hand, the clock brought box or anything, came in a thin cardboard, as in my case was a gift, I had to find a box.")</f>
        <v>Good buy the product well, the quality is the same as one bought in jewelry. The only drawbacks, the warranty is sealed and, on the other hand, the clock brought box or anything, came in a thin cardboard, as in my case was a gift, I had to find a box.</v>
      </c>
    </row>
    <row r="5622">
      <c r="A5622" s="1">
        <v>4.0</v>
      </c>
      <c r="B5622" s="1" t="s">
        <v>5586</v>
      </c>
      <c r="C5622" t="str">
        <f>IFERROR(__xludf.DUMMYFUNCTION("GOOGLETRANSLATE(B5622, ""es"", ""en"")"),"Perfect Perfect. It goes very well. Worth its price")</f>
        <v>Perfect Perfect. It goes very well. Worth its price</v>
      </c>
    </row>
    <row r="5623">
      <c r="A5623" s="1">
        <v>4.0</v>
      </c>
      <c r="B5623" s="1" t="s">
        <v>5587</v>
      </c>
      <c r="C5623" t="str">
        <f>IFERROR(__xludf.DUMMYFUNCTION("GOOGLETRANSLATE(B5623, ""es"", ""en"")"),"Very thin but perfect Wine a little scratched, and is very thin! But it will work perfect for patronaje with French curve!")</f>
        <v>Very thin but perfect Wine a little scratched, and is very thin! But it will work perfect for patronaje with French curve!</v>
      </c>
    </row>
    <row r="5624">
      <c r="A5624" s="1">
        <v>4.0</v>
      </c>
      <c r="B5624" s="1" t="s">
        <v>5588</v>
      </c>
      <c r="C5624" t="str">
        <f>IFERROR(__xludf.DUMMYFUNCTION("GOOGLETRANSLATE(B5624, ""es"", ""en"")"),"Nice, but something small for my taste. It is a very nice watch, the strap is made of steel, but the box was not sure if it is metal or plastic. To my taste it is rather small, rather pulling woman's watch, but that is in taste. Otherwise I'm super happy "&amp;"with it. Used for everyday or for special occasions. It has 10 years warranty CASIO.")</f>
        <v>Nice, but something small for my taste. It is a very nice watch, the strap is made of steel, but the box was not sure if it is metal or plastic. To my taste it is rather small, rather pulling woman's watch, but that is in taste. Otherwise I'm super happy with it. Used for everyday or for special occasions. It has 10 years warranty CASIO.</v>
      </c>
    </row>
    <row r="5625">
      <c r="A5625" s="1">
        <v>5.0</v>
      </c>
      <c r="B5625" s="1" t="s">
        <v>5589</v>
      </c>
      <c r="C5625" t="str">
        <f>IFERROR(__xludf.DUMMYFUNCTION("GOOGLETRANSLATE(B5625, ""es"", ""en"")"),"well it is a very desirable product, excellent quality. The aromas are intense and very successful for every occasion. I would definitely buy.")</f>
        <v>well it is a very desirable product, excellent quality. The aromas are intense and very successful for every occasion. I would definitely buy.</v>
      </c>
    </row>
    <row r="5626">
      <c r="A5626" s="1">
        <v>5.0</v>
      </c>
      <c r="B5626" s="1" t="s">
        <v>5590</v>
      </c>
      <c r="C5626" t="str">
        <f>IFERROR(__xludf.DUMMYFUNCTION("GOOGLETRANSLATE(B5626, ""es"", ""en"")"),"Very good Cool")</f>
        <v>Very good Cool</v>
      </c>
    </row>
    <row r="5627">
      <c r="A5627" s="1">
        <v>5.0</v>
      </c>
      <c r="B5627" s="1" t="s">
        <v>5591</v>
      </c>
      <c r="C5627" t="str">
        <f>IFERROR(__xludf.DUMMYFUNCTION("GOOGLETRANSLATE(B5627, ""es"", ""en"")"),"I liked pretty great as expected and satisfied")</f>
        <v>I liked pretty great as expected and satisfied</v>
      </c>
    </row>
    <row r="5628">
      <c r="A5628" s="1">
        <v>5.0</v>
      </c>
      <c r="B5628" s="1" t="s">
        <v>5592</v>
      </c>
      <c r="C5628" t="str">
        <f>IFERROR(__xludf.DUMMYFUNCTION("GOOGLETRANSLATE(B5628, ""es"", ""en"")"),"SanDisk Extreme SDSDXVE-032G-GZEIN I use it with my Nikon camera, it fits perfectly and is quick transfer to the PC. Same view with 16GB. Good buy.")</f>
        <v>SanDisk Extreme SDSDXVE-032G-GZEIN I use it with my Nikon camera, it fits perfectly and is quick transfer to the PC. Same view with 16GB. Good buy.</v>
      </c>
    </row>
    <row r="5629">
      <c r="A5629" s="1">
        <v>5.0</v>
      </c>
      <c r="B5629" s="1" t="s">
        <v>5593</v>
      </c>
      <c r="C5629" t="str">
        <f>IFERROR(__xludf.DUMMYFUNCTION("GOOGLETRANSLATE(B5629, ""es"", ""en"")"),"Excellent value and speed Possibly the best choice of HDD disk you can do now. Good quality and incredible speed for the price (my anteior album barely reached 60MB / s) As for the shipment was delayed, but came very well protected with many layers of bub"&amp;"ble wrap and a good box")</f>
        <v>Excellent value and speed Possibly the best choice of HDD disk you can do now. Good quality and incredible speed for the price (my anteior album barely reached 60MB / s) As for the shipment was delayed, but came very well protected with many layers of bubble wrap and a good box</v>
      </c>
    </row>
    <row r="5630">
      <c r="A5630" s="1">
        <v>5.0</v>
      </c>
      <c r="B5630" s="1" t="s">
        <v>5594</v>
      </c>
      <c r="C5630" t="str">
        <f>IFERROR(__xludf.DUMMYFUNCTION("GOOGLETRANSLATE(B5630, ""es"", ""en"")"),"In lightweight and comfortable slippery surfaces (such as industrial kitchens) slide a little but nothing disturbing, but are comfortable and lightweight during working hours, the feet rest well in them for long hours.")</f>
        <v>In lightweight and comfortable slippery surfaces (such as industrial kitchens) slide a little but nothing disturbing, but are comfortable and lightweight during working hours, the feet rest well in them for long hours.</v>
      </c>
    </row>
    <row r="5631">
      <c r="A5631" s="1">
        <v>5.0</v>
      </c>
      <c r="B5631" s="1" t="s">
        <v>5595</v>
      </c>
      <c r="C5631" t="str">
        <f>IFERROR(__xludf.DUMMYFUNCTION("GOOGLETRANSLATE(B5631, ""es"", ""en"")"),"Comfortable I've used it on a few occasions already and that is why I emphasize the great convenience it offers. Perfect for training in the gym. Highly recommended.")</f>
        <v>Comfortable I've used it on a few occasions already and that is why I emphasize the great convenience it offers. Perfect for training in the gym. Highly recommended.</v>
      </c>
    </row>
    <row r="5632">
      <c r="A5632" s="1">
        <v>5.0</v>
      </c>
      <c r="B5632" s="1" t="s">
        <v>5596</v>
      </c>
      <c r="C5632" t="str">
        <f>IFERROR(__xludf.DUMMYFUNCTION("GOOGLETRANSLATE(B5632, ""es"", ""en"")"),"Cool Headphones very good quality and affordable price. I use at work and you hear the truth may very well raise and lower the volume without using the terminal with a single click, being able to record audio with its built-in microphone. Highly recommend"&amp;"ed purchase.")</f>
        <v>Cool Headphones very good quality and affordable price. I use at work and you hear the truth may very well raise and lower the volume without using the terminal with a single click, being able to record audio with its built-in microphone. Highly recommended purchase.</v>
      </c>
    </row>
    <row r="5633">
      <c r="A5633" s="1">
        <v>5.0</v>
      </c>
      <c r="B5633" s="1" t="s">
        <v>5597</v>
      </c>
      <c r="C5633" t="str">
        <f>IFERROR(__xludf.DUMMYFUNCTION("GOOGLETRANSLATE(B5633, ""es"", ""en"")"),"L Ideal for the mountain")</f>
        <v>L Ideal for the mountain</v>
      </c>
    </row>
    <row r="5634">
      <c r="A5634" s="1">
        <v>5.0</v>
      </c>
      <c r="B5634" s="1" t="s">
        <v>5598</v>
      </c>
      <c r="C5634" t="str">
        <f>IFERROR(__xludf.DUMMYFUNCTION("GOOGLETRANSLATE(B5634, ""es"", ""en"")"),"The magnets powerful bought to leave papers on the whiteboard. Work wonders.")</f>
        <v>The magnets powerful bought to leave papers on the whiteboard. Work wonders.</v>
      </c>
    </row>
    <row r="5635">
      <c r="A5635" s="1">
        <v>5.0</v>
      </c>
      <c r="B5635" s="1" t="s">
        <v>5599</v>
      </c>
      <c r="C5635" t="str">
        <f>IFERROR(__xludf.DUMMYFUNCTION("GOOGLETRANSLATE(B5635, ""es"", ""en"")"),"Batery hear well and the battery lasts a long")</f>
        <v>Batery hear well and the battery lasts a long</v>
      </c>
    </row>
    <row r="5636">
      <c r="A5636" s="1">
        <v>5.0</v>
      </c>
      <c r="B5636" s="1" t="s">
        <v>5600</v>
      </c>
      <c r="C5636" t="str">
        <f>IFERROR(__xludf.DUMMYFUNCTION("GOOGLETRANSLATE(B5636, ""es"", ""en"")"),"Comfort and safety ... is possible !!! Fast delivery ... as established. Comfortable and safe shoes and very good quality. Ideal for my work. Happy with purchase !! Acierto.Lo recommend a whole.")</f>
        <v>Comfort and safety ... is possible !!! Fast delivery ... as established. Comfortable and safe shoes and very good quality. Ideal for my work. Happy with purchase !! Acierto.Lo recommend a whole.</v>
      </c>
    </row>
    <row r="5637">
      <c r="A5637" s="1">
        <v>5.0</v>
      </c>
      <c r="B5637" s="1" t="s">
        <v>5601</v>
      </c>
      <c r="C5637" t="str">
        <f>IFERROR(__xludf.DUMMYFUNCTION("GOOGLETRANSLATE(B5637, ""es"", ""en"")"),"very cuqui I love is super duper. No noise, it has different very soft lights. Humidify cold way. I recommend it for children's rooms especially to not be afraid and breathe better.")</f>
        <v>very cuqui I love is super duper. No noise, it has different very soft lights. Humidify cold way. I recommend it for children's rooms especially to not be afraid and breathe better.</v>
      </c>
    </row>
    <row r="5638">
      <c r="A5638" s="1">
        <v>5.0</v>
      </c>
      <c r="B5638" s="1" t="s">
        <v>5602</v>
      </c>
      <c r="C5638" t="str">
        <f>IFERROR(__xludf.DUMMYFUNCTION("GOOGLETRANSLATE(B5638, ""es"", ""en"")"),"It is very thin Very nice but my girlfriend does not like")</f>
        <v>It is very thin Very nice but my girlfriend does not like</v>
      </c>
    </row>
    <row r="5639">
      <c r="A5639" s="1">
        <v>5.0</v>
      </c>
      <c r="B5639" s="1" t="s">
        <v>5603</v>
      </c>
      <c r="C5639" t="str">
        <f>IFERROR(__xludf.DUMMYFUNCTION("GOOGLETRANSLATE(B5639, ""es"", ""en"")"),"Good SSD took about a couple of months with the SSD and even works great moment. Puncturing in the corresponding slot and work. I installed the operating system and games, enough for now with 500GB for me, leaving the mechanical disc that came with the 69"&amp;"0-xxxx Gaming Pavilion for other purposes. the speed change is noticed, that if it appears that heats according to CrystalDiskInfo program.")</f>
        <v>Good SSD took about a couple of months with the SSD and even works great moment. Puncturing in the corresponding slot and work. I installed the operating system and games, enough for now with 500GB for me, leaving the mechanical disc that came with the 690-xxxx Gaming Pavilion for other purposes. the speed change is noticed, that if it appears that heats according to CrystalDiskInfo program.</v>
      </c>
    </row>
    <row r="5640">
      <c r="A5640" s="1">
        <v>5.0</v>
      </c>
      <c r="B5640" s="1" t="s">
        <v>850</v>
      </c>
      <c r="C5640" t="str">
        <f>IFERROR(__xludf.DUMMYFUNCTION("GOOGLETRANSLATE(B5640, ""es"", ""en"")"),"👍 👍")</f>
        <v>👍 👍</v>
      </c>
    </row>
    <row r="5641">
      <c r="A5641" s="1">
        <v>5.0</v>
      </c>
      <c r="B5641" s="1" t="s">
        <v>5604</v>
      </c>
      <c r="C5641" t="str">
        <f>IFERROR(__xludf.DUMMYFUNCTION("GOOGLETRANSLATE(B5641, ""es"", ""en"")"),"Quality is definitely the perfect gift. It is elegant, beautiful and very good quality")</f>
        <v>Quality is definitely the perfect gift. It is elegant, beautiful and very good quality</v>
      </c>
    </row>
    <row r="5642">
      <c r="A5642" s="1">
        <v>5.0</v>
      </c>
      <c r="B5642" s="1" t="s">
        <v>5605</v>
      </c>
      <c r="C5642" t="str">
        <f>IFERROR(__xludf.DUMMYFUNCTION("GOOGLETRANSLATE(B5642, ""es"", ""en"")"),"Depreciable a tad heavy to be automatic, but it works very well, and delivers what it promises, in principle.")</f>
        <v>Depreciable a tad heavy to be automatic, but it works very well, and delivers what it promises, in principle.</v>
      </c>
    </row>
    <row r="5643">
      <c r="A5643" s="1">
        <v>5.0</v>
      </c>
      <c r="B5643" s="1" t="s">
        <v>5606</v>
      </c>
      <c r="C5643" t="str">
        <f>IFERROR(__xludf.DUMMYFUNCTION("GOOGLETRANSLATE(B5643, ""es"", ""en"")"),"Good buy I am delighted with my purchase I did not expect the truth so pretty and well boiled water soon enough")</f>
        <v>Good buy I am delighted with my purchase I did not expect the truth so pretty and well boiled water soon enough</v>
      </c>
    </row>
    <row r="5644">
      <c r="A5644" s="1">
        <v>2.0</v>
      </c>
      <c r="B5644" s="1" t="s">
        <v>5607</v>
      </c>
      <c r="C5644" t="str">
        <f>IFERROR(__xludf.DUMMYFUNCTION("GOOGLETRANSLATE(B5644, ""es"", ""en"")"),"Regular Some devices do not recognize, they are also slow to record.")</f>
        <v>Regular Some devices do not recognize, they are also slow to record.</v>
      </c>
    </row>
    <row r="5645">
      <c r="A5645" s="1">
        <v>3.0</v>
      </c>
      <c r="B5645" s="1" t="s">
        <v>5608</v>
      </c>
      <c r="C5645" t="str">
        <f>IFERROR(__xludf.DUMMYFUNCTION("GOOGLETRANSLATE(B5645, ""es"", ""en"")"),"Normaly basic Buy 5 and one of them had problems. I think they are unreliable.")</f>
        <v>Normaly basic Buy 5 and one of them had problems. I think they are unreliable.</v>
      </c>
    </row>
    <row r="5646">
      <c r="A5646" s="1">
        <v>3.0</v>
      </c>
      <c r="B5646" s="1" t="s">
        <v>5609</v>
      </c>
      <c r="C5646" t="str">
        <f>IFERROR(__xludf.DUMMYFUNCTION("GOOGLETRANSLATE(B5646, ""es"", ""en"")"),"They cut a bad cut but expect smooth cuts")</f>
        <v>They cut a bad cut but expect smooth cuts</v>
      </c>
    </row>
    <row r="5647">
      <c r="A5647" s="1">
        <v>1.0</v>
      </c>
      <c r="B5647" s="1" t="s">
        <v>5610</v>
      </c>
      <c r="C5647" t="str">
        <f>IFERROR(__xludf.DUMMYFUNCTION("GOOGLETRANSLATE(B5647, ""es"", ""en"")"),"I stopped working at 3 months The worst purchase I've made in years. 3 months and broke. I do not repeat.")</f>
        <v>I stopped working at 3 months The worst purchase I've made in years. 3 months and broke. I do not repeat.</v>
      </c>
    </row>
    <row r="5648">
      <c r="A5648" s="1">
        <v>1.0</v>
      </c>
      <c r="B5648" s="1" t="s">
        <v>5611</v>
      </c>
      <c r="C5648" t="str">
        <f>IFERROR(__xludf.DUMMYFUNCTION("GOOGLETRANSLATE(B5648, ""es"", ""en"")"),"The fixed structure of the vessel itself has a fault of inscrutability We had to return it. We bought it to make a smoothie a day and on the second beat started to leak milk by the structure of the glass. Not for the rubber sealing, that works well. But b"&amp;"y the vessel itself, right at the junction between the glass and the base of white plastic, which form a same structure. The structure of the glass is fixed, but the tight fails, causing spillage of the contents of the vessel. Too bad because the machine "&amp;"is seen to have power, and other parts merge as they should. Not the cup, spilling everything.")</f>
        <v>The fixed structure of the vessel itself has a fault of inscrutability We had to return it. We bought it to make a smoothie a day and on the second beat started to leak milk by the structure of the glass. Not for the rubber sealing, that works well. But by the vessel itself, right at the junction between the glass and the base of white plastic, which form a same structure. The structure of the glass is fixed, but the tight fails, causing spillage of the contents of the vessel. Too bad because the machine is seen to have power, and other parts merge as they should. Not the cup, spilling everything.</v>
      </c>
    </row>
    <row r="5649">
      <c r="A5649" s="1">
        <v>4.0</v>
      </c>
      <c r="B5649" s="1" t="s">
        <v>5612</v>
      </c>
      <c r="C5649" t="str">
        <f>IFERROR(__xludf.DUMMYFUNCTION("GOOGLETRANSLATE(B5649, ""es"", ""en"")"),"Well and good price These headphones are great value for money, offers sound clear and clean in treble and powerful bass, it comes with bag for storage and caps three sizes S, M and L, are perfectly suited to the ear and isolate enough , I've ever had whe"&amp;"re I had a sony mp3 that cost me much more and they sound just as good so I recommend, good sound quality and a great price, shipping as always very fast")</f>
        <v>Well and good price These headphones are great value for money, offers sound clear and clean in treble and powerful bass, it comes with bag for storage and caps three sizes S, M and L, are perfectly suited to the ear and isolate enough , I've ever had where I had a sony mp3 that cost me much more and they sound just as good so I recommend, good sound quality and a great price, shipping as always very fast</v>
      </c>
    </row>
    <row r="5650">
      <c r="A5650" s="1">
        <v>4.0</v>
      </c>
      <c r="B5650" s="1" t="s">
        <v>5613</v>
      </c>
      <c r="C5650" t="str">
        <f>IFERROR(__xludf.DUMMYFUNCTION("GOOGLETRANSLATE(B5650, ""es"", ""en"")"),"Excellent Very Good")</f>
        <v>Excellent Very Good</v>
      </c>
    </row>
    <row r="5651">
      <c r="A5651" s="1">
        <v>4.0</v>
      </c>
      <c r="B5651" s="1" t="s">
        <v>5614</v>
      </c>
      <c r="C5651" t="str">
        <f>IFERROR(__xludf.DUMMYFUNCTION("GOOGLETRANSLATE(B5651, ""es"", ""en"")"),"They are well pleased h comfortable")</f>
        <v>They are well pleased h comfortable</v>
      </c>
    </row>
    <row r="5652">
      <c r="A5652" s="1">
        <v>4.0</v>
      </c>
      <c r="B5652" s="1" t="s">
        <v>5615</v>
      </c>
      <c r="C5652" t="str">
        <f>IFERROR(__xludf.DUMMYFUNCTION("GOOGLETRANSLATE(B5652, ""es"", ""en"")"),"Portatiles compatibility. Beware if you want to install the operating system here on a laptop, often support only to store but not to put windows. In my case after buy and throw me two days on trying ended up contacting Acer service and was told that only"&amp;" support the M2 NGFF, let the first they left. I had to return it. Acer Aspire E 15 / E5-575G-50R4")</f>
        <v>Portatiles compatibility. Beware if you want to install the operating system here on a laptop, often support only to store but not to put windows. In my case after buy and throw me two days on trying ended up contacting Acer service and was told that only support the M2 NGFF, let the first they left. I had to return it. Acer Aspire E 15 / E5-575G-50R4</v>
      </c>
    </row>
    <row r="5653">
      <c r="A5653" s="1">
        <v>5.0</v>
      </c>
      <c r="B5653" s="1" t="s">
        <v>5616</v>
      </c>
      <c r="C5653" t="str">
        <f>IFERROR(__xludf.DUMMYFUNCTION("GOOGLETRANSLATE(B5653, ""es"", ""en"")"),"Quick fast to be recognized by the equipment and record data. The downside is that like all USB 3, it is well heated.")</f>
        <v>Quick fast to be recognized by the equipment and record data. The downside is that like all USB 3, it is well heated.</v>
      </c>
    </row>
    <row r="5654">
      <c r="A5654" s="1">
        <v>5.0</v>
      </c>
      <c r="B5654" s="1" t="s">
        <v>5617</v>
      </c>
      <c r="C5654" t="str">
        <f>IFERROR(__xludf.DUMMYFUNCTION("GOOGLETRANSLATE(B5654, ""es"", ""en"")"),"Well, nice and cheap is exactly as it appears in the images and description. Comfortable and stylish. Perfect to replace the CASIO F91 on special occasions.")</f>
        <v>Well, nice and cheap is exactly as it appears in the images and description. Comfortable and stylish. Perfect to replace the CASIO F91 on special occasions.</v>
      </c>
    </row>
    <row r="5655">
      <c r="A5655" s="1">
        <v>5.0</v>
      </c>
      <c r="B5655" s="1" t="s">
        <v>5618</v>
      </c>
      <c r="C5655" t="str">
        <f>IFERROR(__xludf.DUMMYFUNCTION("GOOGLETRANSLATE(B5655, ""es"", ""en"")"),"Good value for money. You comfortable.")</f>
        <v>Good value for money. You comfortable.</v>
      </c>
    </row>
    <row r="5656">
      <c r="A5656" s="1">
        <v>5.0</v>
      </c>
      <c r="B5656" s="1" t="s">
        <v>5619</v>
      </c>
      <c r="C5656" t="str">
        <f>IFERROR(__xludf.DUMMYFUNCTION("GOOGLETRANSLATE(B5656, ""es"", ""en"")"),"Value pretty good against only thing that I see is that it is very small and wrist is small. Otherwise, all good. Quite accurate.")</f>
        <v>Value pretty good against only thing that I see is that it is very small and wrist is small. Otherwise, all good. Quite accurate.</v>
      </c>
    </row>
    <row r="5657">
      <c r="A5657" s="1">
        <v>5.0</v>
      </c>
      <c r="B5657" s="1" t="s">
        <v>5620</v>
      </c>
      <c r="C5657" t="str">
        <f>IFERROR(__xludf.DUMMYFUNCTION("GOOGLETRANSLATE(B5657, ""es"", ""en"")"),"I love the original is beautiful and authentic")</f>
        <v>I love the original is beautiful and authentic</v>
      </c>
    </row>
    <row r="5658">
      <c r="A5658" s="1">
        <v>5.0</v>
      </c>
      <c r="B5658" s="1" t="s">
        <v>5621</v>
      </c>
      <c r="C5658" t="str">
        <f>IFERROR(__xludf.DUMMYFUNCTION("GOOGLETRANSLATE(B5658, ""es"", ""en"")"),"Well that I arrive on time but big")</f>
        <v>Well that I arrive on time but big</v>
      </c>
    </row>
    <row r="5659">
      <c r="A5659" s="1">
        <v>5.0</v>
      </c>
      <c r="B5659" s="1" t="s">
        <v>5622</v>
      </c>
      <c r="C5659" t="str">
        <f>IFERROR(__xludf.DUMMYFUNCTION("GOOGLETRANSLATE(B5659, ""es"", ""en"")"),"Great pointer operation simple with plug &amp; amp; play is plug it in and start to work perfectly. The laser also going great, it is very light and has no complications in their operation.")</f>
        <v>Great pointer operation simple with plug &amp; amp; play is plug it in and start to work perfectly. The laser also going great, it is very light and has no complications in their operation.</v>
      </c>
    </row>
    <row r="5660">
      <c r="A5660" s="1">
        <v>5.0</v>
      </c>
      <c r="B5660" s="1" t="s">
        <v>5623</v>
      </c>
      <c r="C5660" t="str">
        <f>IFERROR(__xludf.DUMMYFUNCTION("GOOGLETRANSLATE(B5660, ""es"", ""en"")"),"Headphones for all kinds of great fit ear to ear. My wife has trouble finding headphones that do not drop and these are great. Regarding the sound is pretty good and pairing with mobile does not create difficulties, easy and intuitive")</f>
        <v>Headphones for all kinds of great fit ear to ear. My wife has trouble finding headphones that do not drop and these are great. Regarding the sound is pretty good and pairing with mobile does not create difficulties, easy and intuitive</v>
      </c>
    </row>
    <row r="5661">
      <c r="A5661" s="1">
        <v>5.0</v>
      </c>
      <c r="B5661" s="1" t="s">
        <v>5624</v>
      </c>
      <c r="C5661" t="str">
        <f>IFERROR(__xludf.DUMMYFUNCTION("GOOGLETRANSLATE(B5661, ""es"", ""en"")"),"Recommended quality and comfort. Perfect moment.")</f>
        <v>Recommended quality and comfort. Perfect moment.</v>
      </c>
    </row>
    <row r="5662">
      <c r="A5662" s="1">
        <v>5.0</v>
      </c>
      <c r="B5662" s="1" t="s">
        <v>5625</v>
      </c>
      <c r="C5662" t="str">
        <f>IFERROR(__xludf.DUMMYFUNCTION("GOOGLETRANSLATE(B5662, ""es"", ""en"")"),"A lovely hotel in what I was looking QUALITY AND PRICE UNBEATABLE AND COLOR, WHITE, which highlights and makes it OK VISTOSA.TODO PURCHASE AND remains in place.")</f>
        <v>A lovely hotel in what I was looking QUALITY AND PRICE UNBEATABLE AND COLOR, WHITE, which highlights and makes it OK VISTOSA.TODO PURCHASE AND remains in place.</v>
      </c>
    </row>
    <row r="5663">
      <c r="A5663" s="1">
        <v>5.0</v>
      </c>
      <c r="B5663" s="1" t="s">
        <v>5626</v>
      </c>
      <c r="C5663" t="str">
        <f>IFERROR(__xludf.DUMMYFUNCTION("GOOGLETRANSLATE(B5663, ""es"", ""en"")"),"Mola design, since the girl gave my ears teaches me more and esoooo ... I get very nice to contino")</f>
        <v>Mola design, since the girl gave my ears teaches me more and esoooo ... I get very nice to contino</v>
      </c>
    </row>
    <row r="5664">
      <c r="A5664" s="1">
        <v>5.0</v>
      </c>
      <c r="B5664" s="1" t="s">
        <v>5627</v>
      </c>
      <c r="C5664" t="str">
        <f>IFERROR(__xludf.DUMMYFUNCTION("GOOGLETRANSLATE(B5664, ""es"", ""en"")"),"Good article. This item was requested by a family and is very pleased with him.")</f>
        <v>Good article. This item was requested by a family and is very pleased with him.</v>
      </c>
    </row>
    <row r="5665">
      <c r="A5665" s="1">
        <v>5.0</v>
      </c>
      <c r="B5665" s="1" t="s">
        <v>5628</v>
      </c>
      <c r="C5665" t="str">
        <f>IFERROR(__xludf.DUMMYFUNCTION("GOOGLETRANSLATE(B5665, ""es"", ""en"")"),"I love! The best cream for muscle pain I have ever tasted .. no stain and effect intense heat is absorbed fast.")</f>
        <v>I love! The best cream for muscle pain I have ever tasted .. no stain and effect intense heat is absorbed fast.</v>
      </c>
    </row>
    <row r="5666">
      <c r="A5666" s="1">
        <v>5.0</v>
      </c>
      <c r="B5666" s="1" t="s">
        <v>5629</v>
      </c>
      <c r="C5666" t="str">
        <f>IFERROR(__xludf.DUMMYFUNCTION("GOOGLETRANSLATE(B5666, ""es"", ""en"")"),"At home wonderful substitute blender for this! It's phenomenal easy to clean, powerful tool for making simple recipes such as tomato sauce, dough pancakes, frozen fruit smoothies, milkshakes and ice without ice. Very comfortable to wear especially after t"&amp;"raining and bring you shake you.")</f>
        <v>At home wonderful substitute blender for this! It's phenomenal easy to clean, powerful tool for making simple recipes such as tomato sauce, dough pancakes, frozen fruit smoothies, milkshakes and ice without ice. Very comfortable to wear especially after training and bring you shake you.</v>
      </c>
    </row>
    <row r="5667">
      <c r="A5667" s="1">
        <v>5.0</v>
      </c>
      <c r="B5667" s="1" t="s">
        <v>5630</v>
      </c>
      <c r="C5667" t="str">
        <f>IFERROR(__xludf.DUMMYFUNCTION("GOOGLETRANSLATE(B5667, ""es"", ""en"")"),"Fulfills its function is what you can expect from a meter. Time seems solid and well.")</f>
        <v>Fulfills its function is what you can expect from a meter. Time seems solid and well.</v>
      </c>
    </row>
    <row r="5668">
      <c r="A5668" s="1">
        <v>5.0</v>
      </c>
      <c r="B5668" s="1" t="s">
        <v>5631</v>
      </c>
      <c r="C5668" t="str">
        <f>IFERROR(__xludf.DUMMYFUNCTION("GOOGLETRANSLATE(B5668, ""es"", ""en"")"),"What you were looking to define well the best thing of all is that trunk is comfortable. Perspires much better than other neoprene bands had used before. And it is efficient. In less than two weeks I'm getting what I define undefined in months. It is wash"&amp;"ed with cold water very easily by hand and dried in a sigh. He has not made me even need to buy a spare. The only downside: I had to return the product and return it to ask again for the shaping. If you do not by themselves have a large abdominal volume a"&amp;"nd you want to define, ask the least two sizes smaller. I use normal one M / L, S and I ordered in the abdominal area not fit all. It was mushy. Returned it, I ordered the XS and like a glove. If on the contrary conaideras you have excess abdominal volume"&amp;", the table is more adjusted to reality. Mr. Captain America photo will be using two sizes less than what the table says ... Compradla going very well. PS: eye, hard to take. This is the version without zipper.")</f>
        <v>What you were looking to define well the best thing of all is that trunk is comfortable. Perspires much better than other neoprene bands had used before. And it is efficient. In less than two weeks I'm getting what I define undefined in months. It is washed with cold water very easily by hand and dried in a sigh. He has not made me even need to buy a spare. The only downside: I had to return the product and return it to ask again for the shaping. If you do not by themselves have a large abdominal volume and you want to define, ask the least two sizes smaller. I use normal one M / L, S and I ordered in the abdominal area not fit all. It was mushy. Returned it, I ordered the XS and like a glove. If on the contrary conaideras you have excess abdominal volume, the table is more adjusted to reality. Mr. Captain America photo will be using two sizes less than what the table says ... Compradla going very well. PS: eye, hard to take. This is the version without zipper.</v>
      </c>
    </row>
    <row r="5669">
      <c r="A5669" s="1">
        <v>5.0</v>
      </c>
      <c r="B5669" s="1" t="s">
        <v>5632</v>
      </c>
      <c r="C5669" t="str">
        <f>IFERROR(__xludf.DUMMYFUNCTION("GOOGLETRANSLATE(B5669, ""es"", ""en"")"),"Encantada Very good material. They are just what I wanted. I've used for sports but they are fine enough to use tb for Street")</f>
        <v>Encantada Very good material. They are just what I wanted. I've used for sports but they are fine enough to use tb for Street</v>
      </c>
    </row>
    <row r="5670">
      <c r="A5670" s="1">
        <v>5.0</v>
      </c>
      <c r="B5670" s="1" t="s">
        <v>5633</v>
      </c>
      <c r="C5670" t="str">
        <f>IFERROR(__xludf.DUMMYFUNCTION("GOOGLETRANSLATE(B5670, ""es"", ""en"")"),"Is very comfortable pra buy me a trip to Huelva but arriving in Seville and very comfortable to wear quite a while back. It has many cockpits and very good quality. Pra perfect walking trips")</f>
        <v>Is very comfortable pra buy me a trip to Huelva but arriving in Seville and very comfortable to wear quite a while back. It has many cockpits and very good quality. Pra perfect walking trips</v>
      </c>
    </row>
    <row r="5671">
      <c r="A5671" s="1">
        <v>2.0</v>
      </c>
      <c r="B5671" s="1" t="s">
        <v>5634</v>
      </c>
      <c r="C5671" t="str">
        <f>IFERROR(__xludf.DUMMYFUNCTION("GOOGLETRANSLATE(B5671, ""es"", ""en"")"),"Cumbersome and overly broad because it's amazing purchased years in a Chinese bazaar, one of these for 5 euros and I never found other so comfortable. Even in the bazaars own, where all I find are now ""Made in Portugal"". Instead, I have, are made in Chi"&amp;"na, and are more comfortable than my feet have shoes. But of course: they are discolored the whole, by the sun and the passage of time and give it ... And yet still comfy. I bought these, which are worth much more after reading reviews and were expecting "&amp;"the same or at least half of my dying comfortable clogs Chinese. Well, no. While I have anatomically shaped inside, and lack of ""spikes"", these are completely flat, not adapted to the form of the foot and protruding gomitas me are very, very annoying. A"&amp;"nother thing: If I have a wide foot and these clogs me out, what are wide and baggy not want to imagine how he must be someone with normal or narrow foot. No return it because it looks ... But go: Of course it is not the best buy I've done in Amazon.")</f>
        <v>Cumbersome and overly broad because it's amazing purchased years in a Chinese bazaar, one of these for 5 euros and I never found other so comfortable. Even in the bazaars own, where all I find are now "Made in Portugal". Instead, I have, are made in China, and are more comfortable than my feet have shoes. But of course: they are discolored the whole, by the sun and the passage of time and give it ... And yet still comfy. I bought these, which are worth much more after reading reviews and were expecting the same or at least half of my dying comfortable clogs Chinese. Well, no. While I have anatomically shaped inside, and lack of "spikes", these are completely flat, not adapted to the form of the foot and protruding gomitas me are very, very annoying. Another thing: If I have a wide foot and these clogs me out, what are wide and baggy not want to imagine how he must be someone with normal or narrow foot. No return it because it looks ... But go: Of course it is not the best buy I've done in Amazon.</v>
      </c>
    </row>
    <row r="5672">
      <c r="A5672" s="1">
        <v>3.0</v>
      </c>
      <c r="B5672" s="1" t="s">
        <v>5635</v>
      </c>
      <c r="C5672" t="str">
        <f>IFERROR(__xludf.DUMMYFUNCTION("GOOGLETRANSLATE(B5672, ""es"", ""en"")"),"takes too long to boil and the pitcher is not easily attached to the base having less capacity, about half the previous kettle I had, I thought it would, at the least the same time to the boiling point. however, it takes longer. In addition, the pitcher i"&amp;"s not easy link to the base.")</f>
        <v>takes too long to boil and the pitcher is not easily attached to the base having less capacity, about half the previous kettle I had, I thought it would, at the least the same time to the boiling point. however, it takes longer. In addition, the pitcher is not easy link to the base.</v>
      </c>
    </row>
    <row r="5673">
      <c r="A5673" s="1">
        <v>1.0</v>
      </c>
      <c r="B5673" s="1" t="s">
        <v>5636</v>
      </c>
      <c r="C5673" t="str">
        <f>IFERROR(__xludf.DUMMYFUNCTION("GOOGLETRANSLATE(B5673, ""es"", ""en"")"),"Throwing money Earrings")</f>
        <v>Throwing money Earrings</v>
      </c>
    </row>
    <row r="5674">
      <c r="A5674" s="1">
        <v>1.0</v>
      </c>
      <c r="B5674" s="1" t="s">
        <v>5637</v>
      </c>
      <c r="C5674" t="str">
        <f>IFERROR(__xludf.DUMMYFUNCTION("GOOGLETRANSLATE(B5674, ""es"", ""en"")"),"100 names can not see any ways I do not see much alum names and broke immediately")</f>
        <v>100 names can not see any ways I do not see much alum names and broke immediately</v>
      </c>
    </row>
    <row r="5675">
      <c r="A5675" s="1">
        <v>4.0</v>
      </c>
      <c r="B5675" s="1" t="s">
        <v>5638</v>
      </c>
      <c r="C5675" t="str">
        <f>IFERROR(__xludf.DUMMYFUNCTION("GOOGLETRANSLATE(B5675, ""es"", ""en"")"),"Casio Caballero submersible is perfect except for its thickness: a little higher than I expected. The clock meets my expectations.")</f>
        <v>Casio Caballero submersible is perfect except for its thickness: a little higher than I expected. The clock meets my expectations.</v>
      </c>
    </row>
    <row r="5676">
      <c r="A5676" s="1">
        <v>4.0</v>
      </c>
      <c r="B5676" s="1" t="s">
        <v>5639</v>
      </c>
      <c r="C5676" t="str">
        <f>IFERROR(__xludf.DUMMYFUNCTION("GOOGLETRANSLATE(B5676, ""es"", ""en"")"),"Good quality / price it may seem expensive compared to others of equal capacity, the fact that it improves very significantly v3 speed. I use a 4k camera sports and works very well. I had some problems when connecting to the PC, but overall doing very wel"&amp;"l.")</f>
        <v>Good quality / price it may seem expensive compared to others of equal capacity, the fact that it improves very significantly v3 speed. I use a 4k camera sports and works very well. I had some problems when connecting to the PC, but overall doing very well.</v>
      </c>
    </row>
    <row r="5677">
      <c r="A5677" s="1">
        <v>4.0</v>
      </c>
      <c r="B5677" s="1" t="s">
        <v>5640</v>
      </c>
      <c r="C5677" t="str">
        <f>IFERROR(__xludf.DUMMYFUNCTION("GOOGLETRANSLATE(B5677, ""es"", ""en"")"),"Lauriky This fine, clean bottle with the teat cepullo and the spiral end. All corners are clean")</f>
        <v>Lauriky This fine, clean bottle with the teat cepullo and the spiral end. All corners are clean</v>
      </c>
    </row>
    <row r="5678">
      <c r="A5678" s="1">
        <v>4.0</v>
      </c>
      <c r="B5678" s="1" t="s">
        <v>5641</v>
      </c>
      <c r="C5678" t="str">
        <f>IFERROR(__xludf.DUMMYFUNCTION("GOOGLETRANSLATE(B5678, ""es"", ""en"")"),"They recommend I love, they are precious")</f>
        <v>They recommend I love, they are precious</v>
      </c>
    </row>
    <row r="5679">
      <c r="A5679" s="1">
        <v>4.0</v>
      </c>
      <c r="B5679" s="1" t="s">
        <v>5642</v>
      </c>
      <c r="C5679" t="str">
        <f>IFERROR(__xludf.DUMMYFUNCTION("GOOGLETRANSLATE(B5679, ""es"", ""en"")"),"Good buy. Fully satisfied with the watch. It is as advertised, comfortable and easy to use. Its price really tight to the quality of the product.")</f>
        <v>Good buy. Fully satisfied with the watch. It is as advertised, comfortable and easy to use. Its price really tight to the quality of the product.</v>
      </c>
    </row>
    <row r="5680">
      <c r="A5680" s="1">
        <v>5.0</v>
      </c>
      <c r="B5680" s="1" t="s">
        <v>5643</v>
      </c>
      <c r="C5680" t="str">
        <f>IFERROR(__xludf.DUMMYFUNCTION("GOOGLETRANSLATE(B5680, ""es"", ""en"")"),"Good for that price good mixer")</f>
        <v>Good for that price good mixer</v>
      </c>
    </row>
    <row r="5681">
      <c r="A5681" s="1">
        <v>5.0</v>
      </c>
      <c r="B5681" s="1" t="s">
        <v>1104</v>
      </c>
      <c r="C5681" t="str">
        <f>IFERROR(__xludf.DUMMYFUNCTION("GOOGLETRANSLATE(B5681, ""es"", ""en"")"),"Good very good")</f>
        <v>Good very good</v>
      </c>
    </row>
    <row r="5682">
      <c r="A5682" s="1">
        <v>5.0</v>
      </c>
      <c r="B5682" s="1" t="s">
        <v>5644</v>
      </c>
      <c r="C5682" t="str">
        <f>IFERROR(__xludf.DUMMYFUNCTION("GOOGLETRANSLATE(B5682, ""es"", ""en"")"),"Precious watch for man who gets old Le gave this watch to my partner and the truth is I was very happy. The watch is a classic, in my opinion, never out of fashion. As it is seen in the photo and ideal size. It comes with its original carrying case and ce"&amp;"rtificate of guarantee and authenticity. A good gift for the best price on Amazon. The price difference is noticeable enough respect to the website of DW.")</f>
        <v>Precious watch for man who gets old Le gave this watch to my partner and the truth is I was very happy. The watch is a classic, in my opinion, never out of fashion. As it is seen in the photo and ideal size. It comes with its original carrying case and certificate of guarantee and authenticity. A good gift for the best price on Amazon. The price difference is noticeable enough respect to the website of DW.</v>
      </c>
    </row>
    <row r="5683">
      <c r="A5683" s="1">
        <v>5.0</v>
      </c>
      <c r="B5683" s="1" t="s">
        <v>5645</v>
      </c>
      <c r="C5683" t="str">
        <f>IFERROR(__xludf.DUMMYFUNCTION("GOOGLETRANSLATE(B5683, ""es"", ""en"")"),"100 transparent sleeves platificado good value for money.")</f>
        <v>100 transparent sleeves platificado good value for money.</v>
      </c>
    </row>
    <row r="5684">
      <c r="A5684" s="1">
        <v>5.0</v>
      </c>
      <c r="B5684" s="1" t="s">
        <v>5646</v>
      </c>
      <c r="C5684" t="str">
        <f>IFERROR(__xludf.DUMMYFUNCTION("GOOGLETRANSLATE(B5684, ""es"", ""en"")"),"His heart shape Well I gave it to my girlfriend and she loved")</f>
        <v>His heart shape Well I gave it to my girlfriend and she loved</v>
      </c>
    </row>
    <row r="5685">
      <c r="A5685" s="1">
        <v>5.0</v>
      </c>
      <c r="B5685" s="1" t="s">
        <v>5647</v>
      </c>
      <c r="C5685" t="str">
        <f>IFERROR(__xludf.DUMMYFUNCTION("GOOGLETRANSLATE(B5685, ""es"", ""en"")"),"Wonderful silver chain silver chain has a beautiful finish, so it is very thin neck and is a product of very good quality. Perfect. Thank you very much . It is now shipping soon and very well packaged. I recommend this product.")</f>
        <v>Wonderful silver chain silver chain has a beautiful finish, so it is very thin neck and is a product of very good quality. Perfect. Thank you very much . It is now shipping soon and very well packaged. I recommend this product.</v>
      </c>
    </row>
    <row r="5686">
      <c r="A5686" s="1">
        <v>5.0</v>
      </c>
      <c r="B5686" s="1" t="s">
        <v>5648</v>
      </c>
      <c r="C5686" t="str">
        <f>IFERROR(__xludf.DUMMYFUNCTION("GOOGLETRANSLATE(B5686, ""es"", ""en"")"),"I love it I liked it has a very soft, warm very quickly. It has a very easy to use remote is programmable and automatically shuts down. To warm the bed is ideal.")</f>
        <v>I love it I liked it has a very soft, warm very quickly. It has a very easy to use remote is programmable and automatically shuts down. To warm the bed is ideal.</v>
      </c>
    </row>
    <row r="5687">
      <c r="A5687" s="1">
        <v>5.0</v>
      </c>
      <c r="B5687" s="1" t="s">
        <v>5649</v>
      </c>
      <c r="C5687" t="str">
        <f>IFERROR(__xludf.DUMMYFUNCTION("GOOGLETRANSLATE(B5687, ""es"", ""en"")"),"Key practice extensible keychains are 3 very practical extensible rope to hang pants and carry keys or cards usually you use. Bring a card holder and key hook.")</f>
        <v>Key practice extensible keychains are 3 very practical extensible rope to hang pants and carry keys or cards usually you use. Bring a card holder and key hook.</v>
      </c>
    </row>
    <row r="5688">
      <c r="A5688" s="1">
        <v>5.0</v>
      </c>
      <c r="B5688" s="1" t="s">
        <v>5650</v>
      </c>
      <c r="C5688" t="str">
        <f>IFERROR(__xludf.DUMMYFUNCTION("GOOGLETRANSLATE(B5688, ""es"", ""en"")"),"I already have new headphones headphones work very well, are well packaged and with your bag for storage. It also includes a guide and replacement pads.")</f>
        <v>I already have new headphones headphones work very well, are well packaged and with your bag for storage. It also includes a guide and replacement pads.</v>
      </c>
    </row>
    <row r="5689">
      <c r="A5689" s="1">
        <v>5.0</v>
      </c>
      <c r="B5689" s="1" t="s">
        <v>5651</v>
      </c>
      <c r="C5689" t="str">
        <f>IFERROR(__xludf.DUMMYFUNCTION("GOOGLETRANSLATE(B5689, ""es"", ""en"")"),"It was as expected, since I bought to replace others that he had at home. Funcionana well warmed a couple of minutes at the microwave. the power of the microwave should be taken into account to adjust the heating time,")</f>
        <v>It was as expected, since I bought to replace others that he had at home. Funcionana well warmed a couple of minutes at the microwave. the power of the microwave should be taken into account to adjust the heating time,</v>
      </c>
    </row>
    <row r="5690">
      <c r="A5690" s="1">
        <v>5.0</v>
      </c>
      <c r="B5690" s="1" t="s">
        <v>5652</v>
      </c>
      <c r="C5690" t="str">
        <f>IFERROR(__xludf.DUMMYFUNCTION("GOOGLETRANSLATE(B5690, ""es"", ""en"")"),"Break eyes I've been using this product used over a week and is very nice. Get plenty of rest the area under the eye bags disappear. At the next day are back, understand that it is not miraculous, but long term I think that if the rebate. The ojera not so"&amp;" much (but in my life I found nothing I remove them, it is genetic). I am very happy with this product and certainly repeat")</f>
        <v>Break eyes I've been using this product used over a week and is very nice. Get plenty of rest the area under the eye bags disappear. At the next day are back, understand that it is not miraculous, but long term I think that if the rebate. The ojera not so much (but in my life I found nothing I remove them, it is genetic). I am very happy with this product and certainly repeat</v>
      </c>
    </row>
    <row r="5691">
      <c r="A5691" s="1">
        <v>5.0</v>
      </c>
      <c r="B5691" s="1" t="s">
        <v>5653</v>
      </c>
      <c r="C5691" t="str">
        <f>IFERROR(__xludf.DUMMYFUNCTION("GOOGLETRANSLATE(B5691, ""es"", ""en"")"),"It arrived on time and perfect Wonderful")</f>
        <v>It arrived on time and perfect Wonderful</v>
      </c>
    </row>
    <row r="5692">
      <c r="A5692" s="1">
        <v>5.0</v>
      </c>
      <c r="B5692" s="1" t="s">
        <v>5654</v>
      </c>
      <c r="C5692" t="str">
        <f>IFERROR(__xludf.DUMMYFUNCTION("GOOGLETRANSLATE(B5692, ""es"", ""en"")"),"Value Sounds good. This brand does not crush ears like other and good durability.")</f>
        <v>Value Sounds good. This brand does not crush ears like other and good durability.</v>
      </c>
    </row>
    <row r="5693">
      <c r="A5693" s="1">
        <v>5.0</v>
      </c>
      <c r="B5693" s="1" t="s">
        <v>5655</v>
      </c>
      <c r="C5693" t="str">
        <f>IFERROR(__xludf.DUMMYFUNCTION("GOOGLETRANSLATE(B5693, ""es"", ""en"")"),"Pretty good going great, remove stains from the wall and leave them sporting new, the nuns a bit and ready. Bring lots, so the purchase is good. Happy")</f>
        <v>Pretty good going great, remove stains from the wall and leave them sporting new, the nuns a bit and ready. Bring lots, so the purchase is good. Happy</v>
      </c>
    </row>
    <row r="5694">
      <c r="A5694" s="1">
        <v>5.0</v>
      </c>
      <c r="B5694" s="1" t="s">
        <v>5656</v>
      </c>
      <c r="C5694" t="str">
        <f>IFERROR(__xludf.DUMMYFUNCTION("GOOGLETRANSLATE(B5694, ""es"", ""en"")"),"It is the whole life is back into fashion among young people and I have bought for a gift. Perfect service as usual and watch unsurprisingly, is lifelong and deliver it in a metal box that is fine. A success")</f>
        <v>It is the whole life is back into fashion among young people and I have bought for a gift. Perfect service as usual and watch unsurprisingly, is lifelong and deliver it in a metal box that is fine. A success</v>
      </c>
    </row>
    <row r="5695">
      <c r="A5695" s="1">
        <v>5.0</v>
      </c>
      <c r="B5695" s="1" t="s">
        <v>5657</v>
      </c>
      <c r="C5695" t="str">
        <f>IFERROR(__xludf.DUMMYFUNCTION("GOOGLETRANSLATE(B5695, ""es"", ""en"")"),"Genial order a size smaller as expected")</f>
        <v>Genial order a size smaller as expected</v>
      </c>
    </row>
    <row r="5696">
      <c r="A5696" s="1">
        <v>5.0</v>
      </c>
      <c r="B5696" s="1" t="s">
        <v>5658</v>
      </c>
      <c r="C5696" t="str">
        <f>IFERROR(__xludf.DUMMYFUNCTION("GOOGLETRANSLATE(B5696, ""es"", ""en"")"),"Quality is durable and highly resistant tape and adheres immediately to the surface, I use it for packing cardboard boxes and some other gift and certainly has more interesting features which fulfill perfectly.")</f>
        <v>Quality is durable and highly resistant tape and adheres immediately to the surface, I use it for packing cardboard boxes and some other gift and certainly has more interesting features which fulfill perfectly.</v>
      </c>
    </row>
    <row r="5697">
      <c r="A5697" s="1">
        <v>5.0</v>
      </c>
      <c r="B5697" s="1" t="s">
        <v>5659</v>
      </c>
      <c r="C5697" t="str">
        <f>IFERROR(__xludf.DUMMYFUNCTION("GOOGLETRANSLATE(B5697, ""es"", ""en"")"),"Quality I liked the battery indicator so pq know when to charge it. In addition is a robust and strong box charger easy to carry in your purse. Bring a bag to carry it and also not scratch pads of various sizes to suit your ear. It is very easily parea an"&amp;"d sound very crisp.")</f>
        <v>Quality I liked the battery indicator so pq know when to charge it. In addition is a robust and strong box charger easy to carry in your purse. Bring a bag to carry it and also not scratch pads of various sizes to suit your ear. It is very easily parea and sound very crisp.</v>
      </c>
    </row>
    <row r="5698">
      <c r="A5698" s="1">
        <v>5.0</v>
      </c>
      <c r="B5698" s="1" t="s">
        <v>5660</v>
      </c>
      <c r="C5698" t="str">
        <f>IFERROR(__xludf.DUMMYFUNCTION("GOOGLETRANSLATE(B5698, ""es"", ""en"")"),"Everything as promised needed a kettle for office and east being more capacity than normal (1,7l instead of 1.5 that brings others) seemed perfect. It is quite fast heating, to give you an idea 5 minutes flat takes to boil 1.7 liters of water. It has seve"&amp;"ral things I like: - polished steel finish, which looks quite durable and clean. - Opening the lid, that opens and therefore enough to fill to make things easier cleaning. - The swiftness to heat Very satisfied with the result for the price it has. I reco"&amp;"mmend it")</f>
        <v>Everything as promised needed a kettle for office and east being more capacity than normal (1,7l instead of 1.5 that brings others) seemed perfect. It is quite fast heating, to give you an idea 5 minutes flat takes to boil 1.7 liters of water. It has several things I like: - polished steel finish, which looks quite durable and clean. - Opening the lid, that opens and therefore enough to fill to make things easier cleaning. - The swiftness to heat Very satisfied with the result for the price it has. I recommend it</v>
      </c>
    </row>
    <row r="5699">
      <c r="A5699" s="1">
        <v>2.0</v>
      </c>
      <c r="B5699" s="1" t="s">
        <v>5661</v>
      </c>
      <c r="C5699" t="str">
        <f>IFERROR(__xludf.DUMMYFUNCTION("GOOGLETRANSLATE(B5699, ""es"", ""en"")"),"Rapid wear slippers .... comfortable home (or at least they are not uncomfortable for me .....), but in less than a year and with very little use, and wants to leave the big toe of the left foot to ""see the light"".")</f>
        <v>Rapid wear slippers .... comfortable home (or at least they are not uncomfortable for me .....), but in less than a year and with very little use, and wants to leave the big toe of the left foot to "see the light".</v>
      </c>
    </row>
    <row r="5700">
      <c r="A5700" s="1">
        <v>3.0</v>
      </c>
      <c r="B5700" s="1" t="s">
        <v>5662</v>
      </c>
      <c r="C5700" t="str">
        <f>IFERROR(__xludf.DUMMYFUNCTION("GOOGLETRANSLATE(B5700, ""es"", ""en"")"),"It is very useful to recover your old tapes is music to pass old 70s and 80s music to mp3. It is easy to use but the problem is that if you happen to tape mp3 is not in good condition, the machine stops and stops performing transfer. It all depends on the"&amp;" condition of the tape, if it is good, you have no problems in playing all in one file only.")</f>
        <v>It is very useful to recover your old tapes is music to pass old 70s and 80s music to mp3. It is easy to use but the problem is that if you happen to tape mp3 is not in good condition, the machine stops and stops performing transfer. It all depends on the condition of the tape, if it is good, you have no problems in playing all in one file only.</v>
      </c>
    </row>
    <row r="5701">
      <c r="A5701" s="1">
        <v>3.0</v>
      </c>
      <c r="B5701" s="1" t="s">
        <v>5663</v>
      </c>
      <c r="C5701" t="str">
        <f>IFERROR(__xludf.DUMMYFUNCTION("GOOGLETRANSLATE(B5701, ""es"", ""en"")"),"commodity Each pad is split into two parts to adjust inclination angle. The logo came off and the other fell to the slightly adjust the position. They discharge their responsibilities though I seem expensive for what they are.")</f>
        <v>commodity Each pad is split into two parts to adjust inclination angle. The logo came off and the other fell to the slightly adjust the position. They discharge their responsibilities though I seem expensive for what they are.</v>
      </c>
    </row>
    <row r="5702">
      <c r="A5702" s="1">
        <v>1.0</v>
      </c>
      <c r="B5702" s="1" t="s">
        <v>5664</v>
      </c>
      <c r="C5702" t="str">
        <f>IFERROR(__xludf.DUMMYFUNCTION("GOOGLETRANSLATE(B5702, ""es"", ""en"")"),"sleazy purchase comes with tara tissue, this suggests that may not be a very good material, heat and very little control is crude, for two stays fair and one is very large.")</f>
        <v>sleazy purchase comes with tara tissue, this suggests that may not be a very good material, heat and very little control is crude, for two stays fair and one is very large.</v>
      </c>
    </row>
    <row r="5703">
      <c r="A5703" s="1">
        <v>1.0</v>
      </c>
      <c r="B5703" s="1" t="s">
        <v>5665</v>
      </c>
      <c r="C5703" t="str">
        <f>IFERROR(__xludf.DUMMYFUNCTION("GOOGLETRANSLATE(B5703, ""es"", ""en"")"),"paulo fernandez watch me get black colored .... and pedi es.rosa k are completely different colors. K need it changed me. Already looks very different picture in color.")</f>
        <v>paulo fernandez watch me get black colored .... and pedi es.rosa k are completely different colors. K need it changed me. Already looks very different picture in color.</v>
      </c>
    </row>
    <row r="5704">
      <c r="A5704" s="1">
        <v>1.0</v>
      </c>
      <c r="B5704" s="1" t="s">
        <v>5666</v>
      </c>
      <c r="C5704" t="str">
        <f>IFERROR(__xludf.DUMMYFUNCTION("GOOGLETRANSLATE(B5704, ""es"", ""en"")"),"Amazon does not give me only solution I've used it a couple of weeks and stopped working")</f>
        <v>Amazon does not give me only solution I've used it a couple of weeks and stopped working</v>
      </c>
    </row>
    <row r="5705">
      <c r="A5705" s="1">
        <v>4.0</v>
      </c>
      <c r="B5705" s="1" t="s">
        <v>5667</v>
      </c>
      <c r="C5705" t="str">
        <f>IFERROR(__xludf.DUMMYFUNCTION("GOOGLETRANSLATE(B5705, ""es"", ""en"")"),"What I expected. This pretty well for the price it is the truth, as the pop filter donot act but ... the arm fulfills its function so well. The rosquita brings to hook the microphone suppose it universal, so if you served not support bringing you would ga"&amp;"in the rosquita that brings yours and you should go, in my case has been. If you want something cheap is fine the truth.")</f>
        <v>What I expected. This pretty well for the price it is the truth, as the pop filter donot act but ... the arm fulfills its function so well. The rosquita brings to hook the microphone suppose it universal, so if you served not support bringing you would gain the rosquita that brings yours and you should go, in my case has been. If you want something cheap is fine the truth.</v>
      </c>
    </row>
    <row r="5706">
      <c r="A5706" s="1">
        <v>4.0</v>
      </c>
      <c r="B5706" s="1" t="s">
        <v>5668</v>
      </c>
      <c r="C5706" t="str">
        <f>IFERROR(__xludf.DUMMYFUNCTION("GOOGLETRANSLATE(B5706, ""es"", ""en"")"),"It was a gift and gift met all expectations")</f>
        <v>It was a gift and gift met all expectations</v>
      </c>
    </row>
    <row r="5707">
      <c r="A5707" s="1">
        <v>4.0</v>
      </c>
      <c r="B5707" s="1" t="s">
        <v>5669</v>
      </c>
      <c r="C5707" t="str">
        <f>IFERROR(__xludf.DUMMYFUNCTION("GOOGLETRANSLATE(B5707, ""es"", ""en"")"),"Sound right but a bit small sound is right, good bass (even a bit too) but it fits with equalizer. It folds well, it's not complicated. Size is what I like least, maybe a little small, if they were bigger than the ear better from covering would be better."&amp;" This makes it sound too projected abroad.")</f>
        <v>Sound right but a bit small sound is right, good bass (even a bit too) but it fits with equalizer. It folds well, it's not complicated. Size is what I like least, maybe a little small, if they were bigger than the ear better from covering would be better. This makes it sound too projected abroad.</v>
      </c>
    </row>
    <row r="5708">
      <c r="A5708" s="1">
        <v>4.0</v>
      </c>
      <c r="B5708" s="1" t="s">
        <v>5670</v>
      </c>
      <c r="C5708" t="str">
        <f>IFERROR(__xludf.DUMMYFUNCTION("GOOGLETRANSLATE(B5708, ""es"", ""en"")"),"satisfaction fulfills my wishes for the summer.")</f>
        <v>satisfaction fulfills my wishes for the summer.</v>
      </c>
    </row>
    <row r="5709">
      <c r="A5709" s="1">
        <v>4.0</v>
      </c>
      <c r="B5709" s="1" t="s">
        <v>5671</v>
      </c>
      <c r="C5709" t="str">
        <f>IFERROR(__xludf.DUMMYFUNCTION("GOOGLETRANSLATE(B5709, ""es"", ""en"")"),"Kettle fast very happy, it does not take anything to heat the water and off automatically to avoid overheating. By putting a paste .... it seems that the attachment of the base can weaken over time from, but for now it works great.")</f>
        <v>Kettle fast very happy, it does not take anything to heat the water and off automatically to avoid overheating. By putting a paste .... it seems that the attachment of the base can weaken over time from, but for now it works great.</v>
      </c>
    </row>
    <row r="5710">
      <c r="A5710" s="1">
        <v>5.0</v>
      </c>
      <c r="B5710" s="1" t="s">
        <v>5672</v>
      </c>
      <c r="C5710" t="str">
        <f>IFERROR(__xludf.DUMMYFUNCTION("GOOGLETRANSLATE(B5710, ""es"", ""en"")"),"Gorgeous give 5 stars because it is a great watch at an unbelievable price, this was a gift for my niece I have one just like it for 15 years and works as the first day is great, it fits all sizes.")</f>
        <v>Gorgeous give 5 stars because it is a great watch at an unbelievable price, this was a gift for my niece I have one just like it for 15 years and works as the first day is great, it fits all sizes.</v>
      </c>
    </row>
    <row r="5711">
      <c r="A5711" s="1">
        <v>5.0</v>
      </c>
      <c r="B5711" s="1" t="s">
        <v>5673</v>
      </c>
      <c r="C5711" t="str">
        <f>IFERROR(__xludf.DUMMYFUNCTION("GOOGLETRANSLATE(B5711, ""es"", ""en"")"),"Multifunctional karaoke I gave it to a friend and is delighted with the micro")</f>
        <v>Multifunctional karaoke I gave it to a friend and is delighted with the micro</v>
      </c>
    </row>
    <row r="5712">
      <c r="A5712" s="1">
        <v>5.0</v>
      </c>
      <c r="B5712" s="1" t="s">
        <v>5674</v>
      </c>
      <c r="C5712" t="str">
        <f>IFERROR(__xludf.DUMMYFUNCTION("GOOGLETRANSLATE(B5712, ""es"", ""en"")"),"Perfect comfortable and beautiful")</f>
        <v>Perfect comfortable and beautiful</v>
      </c>
    </row>
    <row r="5713">
      <c r="A5713" s="1">
        <v>5.0</v>
      </c>
      <c r="B5713" s="1" t="s">
        <v>5675</v>
      </c>
      <c r="C5713" t="str">
        <f>IFERROR(__xludf.DUMMYFUNCTION("GOOGLETRANSLATE(B5713, ""es"", ""en"")"),"Very satisfied Perfecto")</f>
        <v>Very satisfied Perfecto</v>
      </c>
    </row>
    <row r="5714">
      <c r="A5714" s="1">
        <v>5.0</v>
      </c>
      <c r="B5714" s="1" t="s">
        <v>5676</v>
      </c>
      <c r="C5714" t="str">
        <f>IFERROR(__xludf.DUMMYFUNCTION("GOOGLETRANSLATE(B5714, ""es"", ""en"")"),"Very good quality shoes slippers very good quality, perhaps the leading silk design something ugly but it is much tougher than the vast majority of current shoes. My daughter loved him. I recommend for children because the toe is not loaded.")</f>
        <v>Very good quality shoes slippers very good quality, perhaps the leading silk design something ugly but it is much tougher than the vast majority of current shoes. My daughter loved him. I recommend for children because the toe is not loaded.</v>
      </c>
    </row>
    <row r="5715">
      <c r="A5715" s="1">
        <v>5.0</v>
      </c>
      <c r="B5715" s="1" t="s">
        <v>5677</v>
      </c>
      <c r="C5715" t="str">
        <f>IFERROR(__xludf.DUMMYFUNCTION("GOOGLETRANSLATE(B5715, ""es"", ""en"")"),"Good fantastic ability, good materials. For the price it is a very good quality. You can not ask for more, makes me the perfect function, is large but not ostentatious, many things fit. I have come to put a tablet 10.8 ""with keyboard and everything. Abil"&amp;"ity to bags, keys, powerbank, etc. Very complete.")</f>
        <v>Good fantastic ability, good materials. For the price it is a very good quality. You can not ask for more, makes me the perfect function, is large but not ostentatious, many things fit. I have come to put a tablet 10.8 "with keyboard and everything. Ability to bags, keys, powerbank, etc. Very complete.</v>
      </c>
    </row>
    <row r="5716">
      <c r="A5716" s="1">
        <v>5.0</v>
      </c>
      <c r="B5716" s="1" t="s">
        <v>5678</v>
      </c>
      <c r="C5716" t="str">
        <f>IFERROR(__xludf.DUMMYFUNCTION("GOOGLETRANSLATE(B5716, ""es"", ""en"")"),"Good knife Very nice and quality Victorinox always provides us with knives is ideal for carrying knife always especially if you're from mine and do many lunches with Single friends thing would be you insurance but this has closed hard not know if new or w"&amp;"hy does a little security")</f>
        <v>Good knife Very nice and quality Victorinox always provides us with knives is ideal for carrying knife always especially if you're from mine and do many lunches with Single friends thing would be you insurance but this has closed hard not know if new or why does a little security</v>
      </c>
    </row>
    <row r="5717">
      <c r="A5717" s="1">
        <v>5.0</v>
      </c>
      <c r="B5717" s="1" t="s">
        <v>5679</v>
      </c>
      <c r="C5717" t="str">
        <f>IFERROR(__xludf.DUMMYFUNCTION("GOOGLETRANSLATE(B5717, ""es"", ""en"")"),"Very good headphones, great performance and versatility. UMI is a headset wireless button that come with a metal case functioning as charging base and allow you a range of more than 24 hours. Beautifully designed and high quality have a very stable connec"&amp;"tion and antiinterferacias that works perfectly. The sound is impeccable and are convenient and comfortable to use. A being very versatile are completely waterproof for any athletic activity. Very good performance and very dynamic as the current lifestyle"&amp;".")</f>
        <v>Very good headphones, great performance and versatility. UMI is a headset wireless button that come with a metal case functioning as charging base and allow you a range of more than 24 hours. Beautifully designed and high quality have a very stable connection and antiinterferacias that works perfectly. The sound is impeccable and are convenient and comfortable to use. A being very versatile are completely waterproof for any athletic activity. Very good performance and very dynamic as the current lifestyle.</v>
      </c>
    </row>
    <row r="5718">
      <c r="A5718" s="1">
        <v>5.0</v>
      </c>
      <c r="B5718" s="1" t="s">
        <v>5680</v>
      </c>
      <c r="C5718" t="str">
        <f>IFERROR(__xludf.DUMMYFUNCTION("GOOGLETRANSLATE(B5718, ""es"", ""en"")"),"I love socks are now carrying. I bought them when they have fallen in price, 10 € righteous. For that price they are phenomenal.")</f>
        <v>I love socks are now carrying. I bought them when they have fallen in price, 10 € righteous. For that price they are phenomenal.</v>
      </c>
    </row>
    <row r="5719">
      <c r="A5719" s="1">
        <v>5.0</v>
      </c>
      <c r="B5719" s="1" t="s">
        <v>5681</v>
      </c>
      <c r="C5719" t="str">
        <f>IFERROR(__xludf.DUMMYFUNCTION("GOOGLETRANSLATE(B5719, ""es"", ""en"")"),"Spectacular! For me it's the best I've had. It comes with all possible accessories pet hair, for sofas and even corners with a tube that is somewhat flexible. As power aims muchísmo and finishes are very well. The energy rating is A.")</f>
        <v>Spectacular! For me it's the best I've had. It comes with all possible accessories pet hair, for sofas and even corners with a tube that is somewhat flexible. As power aims muchísmo and finishes are very well. The energy rating is A.</v>
      </c>
    </row>
    <row r="5720">
      <c r="A5720" s="1">
        <v>5.0</v>
      </c>
      <c r="B5720" s="1" t="s">
        <v>5682</v>
      </c>
      <c r="C5720" t="str">
        <f>IFERROR(__xludf.DUMMYFUNCTION("GOOGLETRANSLATE(B5720, ""es"", ""en"")"),"It was very good quality product than expected .. very good")</f>
        <v>It was very good quality product than expected .. very good</v>
      </c>
    </row>
    <row r="5721">
      <c r="A5721" s="1">
        <v>5.0</v>
      </c>
      <c r="B5721" s="1" t="s">
        <v>5683</v>
      </c>
      <c r="C5721" t="str">
        <f>IFERROR(__xludf.DUMMYFUNCTION("GOOGLETRANSLATE(B5721, ""es"", ""en"")"),"How beautiful it is great. Better than photo")</f>
        <v>How beautiful it is great. Better than photo</v>
      </c>
    </row>
    <row r="5722">
      <c r="A5722" s="1">
        <v>5.0</v>
      </c>
      <c r="B5722" s="1" t="s">
        <v>5684</v>
      </c>
      <c r="C5722" t="str">
        <f>IFERROR(__xludf.DUMMYFUNCTION("GOOGLETRANSLATE(B5722, ""es"", ""en"")"),"100% recommended is ideal paste everything and I've tried several things and very pleased with purchase")</f>
        <v>100% recommended is ideal paste everything and I've tried several things and very pleased with purchase</v>
      </c>
    </row>
    <row r="5723">
      <c r="A5723" s="1">
        <v>5.0</v>
      </c>
      <c r="B5723" s="1" t="s">
        <v>5685</v>
      </c>
      <c r="C5723" t="str">
        <f>IFERROR(__xludf.DUMMYFUNCTION("GOOGLETRANSLATE(B5723, ""es"", ""en"")"),"Fabulosos I liked everything, are wonderful, the color is accurate, they are comfortable and can be put not only walking and swimming")</f>
        <v>Fabulosos I liked everything, are wonderful, the color is accurate, they are comfortable and can be put not only walking and swimming</v>
      </c>
    </row>
    <row r="5724">
      <c r="A5724" s="1">
        <v>5.0</v>
      </c>
      <c r="B5724" s="1" t="s">
        <v>5686</v>
      </c>
      <c r="C5724" t="str">
        <f>IFERROR(__xludf.DUMMYFUNCTION("GOOGLETRANSLATE(B5724, ""es"", ""en"")"),"Cheap but it works great! I took a ride with me in the suitcase. It is very compact and easy to use. It does not take long to boil the water. I am very happy with this product. Highly recommended!")</f>
        <v>Cheap but it works great! I took a ride with me in the suitcase. It is very compact and easy to use. It does not take long to boil the water. I am very happy with this product. Highly recommended!</v>
      </c>
    </row>
    <row r="5725">
      <c r="A5725" s="1">
        <v>5.0</v>
      </c>
      <c r="B5725" s="1" t="s">
        <v>5687</v>
      </c>
      <c r="C5725" t="str">
        <f>IFERROR(__xludf.DUMMYFUNCTION("GOOGLETRANSLATE(B5725, ""es"", ""en"")"),"Perfect Meets Expectations")</f>
        <v>Perfect Meets Expectations</v>
      </c>
    </row>
    <row r="5726">
      <c r="A5726" s="1">
        <v>5.0</v>
      </c>
      <c r="B5726" s="1" t="s">
        <v>5688</v>
      </c>
      <c r="C5726" t="str">
        <f>IFERROR(__xludf.DUMMYFUNCTION("GOOGLETRANSLATE(B5726, ""es"", ""en"")"),"Ideal for a cold house. It has become an indispensable tool in my house is cold. It's comfortable, soft and gives an incredible warmth.")</f>
        <v>Ideal for a cold house. It has become an indispensable tool in my house is cold. It's comfortable, soft and gives an incredible warmth.</v>
      </c>
    </row>
    <row r="5727">
      <c r="A5727" s="1">
        <v>5.0</v>
      </c>
      <c r="B5727" s="1" t="s">
        <v>5689</v>
      </c>
      <c r="C5727" t="str">
        <f>IFERROR(__xludf.DUMMYFUNCTION("GOOGLETRANSLATE(B5727, ""es"", ""en"")"),"Just like that photo. Beautiful")</f>
        <v>Just like that photo. Beautiful</v>
      </c>
    </row>
    <row r="5728">
      <c r="A5728" s="1">
        <v>5.0</v>
      </c>
      <c r="B5728" s="1" t="s">
        <v>5690</v>
      </c>
      <c r="C5728" t="str">
        <f>IFERROR(__xludf.DUMMYFUNCTION("GOOGLETRANSLATE(B5728, ""es"", ""en"")"),"cris if not to give me is Amí well but conpré bag came with another in jewelry and gave me not only certified the box")</f>
        <v>cris if not to give me is Amí well but conpré bag came with another in jewelry and gave me not only certified the box</v>
      </c>
    </row>
    <row r="5729">
      <c r="A5729" s="1">
        <v>2.0</v>
      </c>
      <c r="B5729" s="1" t="s">
        <v>5691</v>
      </c>
      <c r="C5729" t="str">
        <f>IFERROR(__xludf.DUMMYFUNCTION("GOOGLETRANSLATE(B5729, ""es"", ""en"")"),"Less than it appears in the photo Live poorer than pictured brown and black skin yarns as gray plastic. Wrist is wide but disappointed to see it physically.")</f>
        <v>Less than it appears in the photo Live poorer than pictured brown and black skin yarns as gray plastic. Wrist is wide but disappointed to see it physically.</v>
      </c>
    </row>
    <row r="5730">
      <c r="A5730" s="1">
        <v>3.0</v>
      </c>
      <c r="B5730" s="1" t="s">
        <v>5692</v>
      </c>
      <c r="C5730" t="str">
        <f>IFERROR(__xludf.DUMMYFUNCTION("GOOGLETRANSLATE(B5730, ""es"", ""en"")"),"Design flaw plastic connecting the arm to the engine breaks")</f>
        <v>Design flaw plastic connecting the arm to the engine breaks</v>
      </c>
    </row>
    <row r="5731">
      <c r="A5731" s="1">
        <v>3.0</v>
      </c>
      <c r="B5731" s="1" t="s">
        <v>5693</v>
      </c>
      <c r="C5731" t="str">
        <f>IFERROR(__xludf.DUMMYFUNCTION("GOOGLETRANSLATE(B5731, ""es"", ""en"")"),"It is not as efficient This version is worse than the classic, the application is very comfortable but does not stick as fast as the classic tube.")</f>
        <v>It is not as efficient This version is worse than the classic, the application is very comfortable but does not stick as fast as the classic tube.</v>
      </c>
    </row>
    <row r="5732">
      <c r="A5732" s="1">
        <v>1.0</v>
      </c>
      <c r="B5732" s="1" t="s">
        <v>5694</v>
      </c>
      <c r="C5732" t="str">
        <f>IFERROR(__xludf.DUMMYFUNCTION("GOOGLETRANSLATE(B5732, ""es"", ""en"")"),"Disappointing disappointed, I wanted to trust this brand because I like to try new things and have a good price. What I find me? An SSD that at least on my laptop Lenovo Y520 detects me as GENERIC, that does not leave nor the name of the product in the BI"&amp;"OS .... speeds? Well, sometimes very varied as seen in the image of fast and sometimes worse than a regular hard drive've updated all drivers and still the same. Conclusion? I'll give you a few days to have if I find the possible failure but definitely wi"&amp;"ll return.")</f>
        <v>Disappointing disappointed, I wanted to trust this brand because I like to try new things and have a good price. What I find me? An SSD that at least on my laptop Lenovo Y520 detects me as GENERIC, that does not leave nor the name of the product in the BIOS .... speeds? Well, sometimes very varied as seen in the image of fast and sometimes worse than a regular hard drive've updated all drivers and still the same. Conclusion? I'll give you a few days to have if I find the possible failure but definitely will return.</v>
      </c>
    </row>
    <row r="5733">
      <c r="A5733" s="1">
        <v>1.0</v>
      </c>
      <c r="B5733" s="1" t="s">
        <v>5695</v>
      </c>
      <c r="C5733" t="str">
        <f>IFERROR(__xludf.DUMMYFUNCTION("GOOGLETRANSLATE(B5733, ""es"", ""en"")"),"I do not recommend them have not lasted five months ,, not recommend them without even giving them a fairly extreme use I have broken all fatal side")</f>
        <v>I do not recommend them have not lasted five months ,, not recommend them without even giving them a fairly extreme use I have broken all fatal side</v>
      </c>
    </row>
    <row r="5734">
      <c r="A5734" s="1">
        <v>4.0</v>
      </c>
      <c r="B5734" s="1" t="s">
        <v>5696</v>
      </c>
      <c r="C5734" t="str">
        <f>IFERROR(__xludf.DUMMYFUNCTION("GOOGLETRANSLATE(B5734, ""es"", ""en"")"),"It provides an excellent atmosphere. Unlike other systems fresheners are all issued while steam smells that end make a rarefied by the amount of such intense smell that throws ambient air, this freshener Air Wick provides a system configuration time your "&amp;"you can choose not to provide an aroma that fatigue us being so intense smell floating in the room. About the smell has this unit, say it's like smelling Nenuco colonies, and they love me, transported me to another time in my life. With the power system I"&amp;"'m not very satisfied, I would have preferred a rechargeable battery system, and not the contrary with 3 AA batteries of the type that are included. The system configuration of the device is very well explained on the back of the packaging box itself. Can"&amp;" acquire the refills on this platform, and exist in Nenuco smells, Bang Cítrica, and Brisa Marina. About my experience with this device I must say it is good, and the atmosphere that leaves the house is great.")</f>
        <v>It provides an excellent atmosphere. Unlike other systems fresheners are all issued while steam smells that end make a rarefied by the amount of such intense smell that throws ambient air, this freshener Air Wick provides a system configuration time your you can choose not to provide an aroma that fatigue us being so intense smell floating in the room. About the smell has this unit, say it's like smelling Nenuco colonies, and they love me, transported me to another time in my life. With the power system I'm not very satisfied, I would have preferred a rechargeable battery system, and not the contrary with 3 AA batteries of the type that are included. The system configuration of the device is very well explained on the back of the packaging box itself. Can acquire the refills on this platform, and exist in Nenuco smells, Bang Cítrica, and Brisa Marina. About my experience with this device I must say it is good, and the atmosphere that leaves the house is great.</v>
      </c>
    </row>
    <row r="5735">
      <c r="A5735" s="1">
        <v>4.0</v>
      </c>
      <c r="B5735" s="1" t="s">
        <v>5697</v>
      </c>
      <c r="C5735" t="str">
        <f>IFERROR(__xludf.DUMMYFUNCTION("GOOGLETRANSLATE(B5735, ""es"", ""en"")"),"efficiency, comfort Very successful")</f>
        <v>efficiency, comfort Very successful</v>
      </c>
    </row>
    <row r="5736">
      <c r="A5736" s="1">
        <v>4.0</v>
      </c>
      <c r="B5736" s="1" t="s">
        <v>5698</v>
      </c>
      <c r="C5736" t="str">
        <f>IFERROR(__xludf.DUMMYFUNCTION("GOOGLETRANSLATE(B5736, ""es"", ""en"")"),"Casio DQ-583-1EF - Alarm clock A clock teeny round of 11x8 by size to put on the table or the like. Not setting the alarm to walk daily since the button to turn it off is rather small and puny. For what concerns, alarm function ""occasional"" and what goe"&amp;"s in €, perfect. If you seek something solid to use daily alarm go up to a higher range in size buttons ""aporreable"";)")</f>
        <v>Casio DQ-583-1EF - Alarm clock A clock teeny round of 11x8 by size to put on the table or the like. Not setting the alarm to walk daily since the button to turn it off is rather small and puny. For what concerns, alarm function "occasional" and what goes in €, perfect. If you seek something solid to use daily alarm go up to a higher range in size buttons "aporreable";)</v>
      </c>
    </row>
    <row r="5737">
      <c r="A5737" s="1">
        <v>4.0</v>
      </c>
      <c r="B5737" s="1" t="s">
        <v>5699</v>
      </c>
      <c r="C5737" t="str">
        <f>IFERROR(__xludf.DUMMYFUNCTION("GOOGLETRANSLATE(B5737, ""es"", ""en"")"),"Mouse economical but good value for the price it is highly recommended. It adheres perfectly to the surface and is very stable.")</f>
        <v>Mouse economical but good value for the price it is highly recommended. It adheres perfectly to the surface and is very stable.</v>
      </c>
    </row>
    <row r="5738">
      <c r="A5738" s="1">
        <v>4.0</v>
      </c>
      <c r="B5738" s="1" t="s">
        <v>5700</v>
      </c>
      <c r="C5738" t="str">
        <f>IFERROR(__xludf.DUMMYFUNCTION("GOOGLETRANSLATE(B5738, ""es"", ""en"")"),"perfect shoe. Good product.")</f>
        <v>perfect shoe. Good product.</v>
      </c>
    </row>
    <row r="5739">
      <c r="A5739" s="1">
        <v>5.0</v>
      </c>
      <c r="B5739" s="1" t="s">
        <v>5701</v>
      </c>
      <c r="C5739" t="str">
        <f>IFERROR(__xludf.DUMMYFUNCTION("GOOGLETRANSLATE(B5739, ""es"", ""en"")"),"perfect Ideal")</f>
        <v>perfect Ideal</v>
      </c>
    </row>
    <row r="5740">
      <c r="A5740" s="1">
        <v>5.0</v>
      </c>
      <c r="B5740" s="1" t="s">
        <v>5702</v>
      </c>
      <c r="C5740" t="str">
        <f>IFERROR(__xludf.DUMMYFUNCTION("GOOGLETRANSLATE(B5740, ""es"", ""en"")"),"Good buy, very cool shoes and a good price As stated in other opinions, carved small. I had to get me a full size and thus are perfect to me.")</f>
        <v>Good buy, very cool shoes and a good price As stated in other opinions, carved small. I had to get me a full size and thus are perfect to me.</v>
      </c>
    </row>
    <row r="5741">
      <c r="A5741" s="1">
        <v>5.0</v>
      </c>
      <c r="B5741" s="1" t="s">
        <v>5703</v>
      </c>
      <c r="C5741" t="str">
        <f>IFERROR(__xludf.DUMMYFUNCTION("GOOGLETRANSLATE(B5741, ""es"", ""en"")"),"Perfect size, very comfortable and light are very comfortable. The pedi to work and are perfect.")</f>
        <v>Perfect size, very comfortable and light are very comfortable. The pedi to work and are perfect.</v>
      </c>
    </row>
    <row r="5742">
      <c r="A5742" s="1">
        <v>5.0</v>
      </c>
      <c r="B5742" s="1" t="s">
        <v>5704</v>
      </c>
      <c r="C5742" t="str">
        <f>IFERROR(__xludf.DUMMYFUNCTION("GOOGLETRANSLATE(B5742, ""es"", ""en"")"),"One for each day. I have a diffuser of aromas and always used the same fragrance. Now I have 6 to choose according as I find every day. They put a few drops in the diffuser and the room is filled with a pleasant fragrance. The eucalyptus for the days that"&amp;" are coming costipado well. Lavender to feel relaxed.")</f>
        <v>One for each day. I have a diffuser of aromas and always used the same fragrance. Now I have 6 to choose according as I find every day. They put a few drops in the diffuser and the room is filled with a pleasant fragrance. The eucalyptus for the days that are coming costipado well. Lavender to feel relaxed.</v>
      </c>
    </row>
    <row r="5743">
      <c r="A5743" s="1">
        <v>5.0</v>
      </c>
      <c r="B5743" s="1" t="s">
        <v>5705</v>
      </c>
      <c r="C5743" t="str">
        <f>IFERROR(__xludf.DUMMYFUNCTION("GOOGLETRANSLATE(B5743, ""es"", ""en"")"),"With plenty of storage you can store 4TB series and movies in 4K and you will not end. If you're not going to download 4k recommend one with less capacity")</f>
        <v>With plenty of storage you can store 4TB series and movies in 4K and you will not end. If you're not going to download 4k recommend one with less capacity</v>
      </c>
    </row>
    <row r="5744">
      <c r="A5744" s="1">
        <v>5.0</v>
      </c>
      <c r="B5744" s="1" t="s">
        <v>5706</v>
      </c>
      <c r="C5744" t="str">
        <f>IFERROR(__xludf.DUMMYFUNCTION("GOOGLETRANSLATE(B5744, ""es"", ""en"")"),"Milucky Easy to use")</f>
        <v>Milucky Easy to use</v>
      </c>
    </row>
    <row r="5745">
      <c r="A5745" s="1">
        <v>5.0</v>
      </c>
      <c r="B5745" s="1" t="s">
        <v>5707</v>
      </c>
      <c r="C5745" t="str">
        <f>IFERROR(__xludf.DUMMYFUNCTION("GOOGLETRANSLATE(B5745, ""es"", ""en"")"),"You sleeves plasticizing very good covers are very good and good quality")</f>
        <v>You sleeves plasticizing very good covers are very good and good quality</v>
      </c>
    </row>
    <row r="5746">
      <c r="A5746" s="1">
        <v>5.0</v>
      </c>
      <c r="B5746" s="1" t="s">
        <v>5708</v>
      </c>
      <c r="C5746" t="str">
        <f>IFERROR(__xludf.DUMMYFUNCTION("GOOGLETRANSLATE(B5746, ""es"", ""en"")"),"It's what I expected This very well")</f>
        <v>It's what I expected This very well</v>
      </c>
    </row>
    <row r="5747">
      <c r="A5747" s="1">
        <v>5.0</v>
      </c>
      <c r="B5747" s="1" t="s">
        <v>5709</v>
      </c>
      <c r="C5747" t="str">
        <f>IFERROR(__xludf.DUMMYFUNCTION("GOOGLETRANSLATE(B5747, ""es"", ""en"")"),"Perfect Perfecto.No loses water, keeps the heat for four or five horas.Cierto that the case sent to you is a chance and it has come I would not have chosen, but it was to the Hazar and inform you doing buying and not fooling anyone, and you know ello..Vol"&amp;"vería to buy it without hesitation")</f>
        <v>Perfect Perfecto.No loses water, keeps the heat for four or five horas.Cierto that the case sent to you is a chance and it has come I would not have chosen, but it was to the Hazar and inform you doing buying and not fooling anyone, and you know ello..Volvería to buy it without hesitation</v>
      </c>
    </row>
    <row r="5748">
      <c r="A5748" s="1">
        <v>5.0</v>
      </c>
      <c r="B5748" s="1" t="s">
        <v>5710</v>
      </c>
      <c r="C5748" t="str">
        <f>IFERROR(__xludf.DUMMYFUNCTION("GOOGLETRANSLATE(B5748, ""es"", ""en"")"),"Success!!!!! They fit perfectly and are very comfortable. Take a more important than you normally use number, in my case I use 44 and 45 who get caught with ma merrell go perfect")</f>
        <v>Success!!!!! They fit perfectly and are very comfortable. Take a more important than you normally use number, in my case I use 44 and 45 who get caught with ma merrell go perfect</v>
      </c>
    </row>
    <row r="5749">
      <c r="A5749" s="1">
        <v>5.0</v>
      </c>
      <c r="B5749" s="1" t="s">
        <v>5711</v>
      </c>
      <c r="C5749" t="str">
        <f>IFERROR(__xludf.DUMMYFUNCTION("GOOGLETRANSLATE(B5749, ""es"", ""en"")"),"Value expected perfect for kids who need a sport for college.")</f>
        <v>Value expected perfect for kids who need a sport for college.</v>
      </c>
    </row>
    <row r="5750">
      <c r="A5750" s="1">
        <v>5.0</v>
      </c>
      <c r="B5750" s="1" t="s">
        <v>5712</v>
      </c>
      <c r="C5750" t="str">
        <f>IFERROR(__xludf.DUMMYFUNCTION("GOOGLETRANSLATE(B5750, ""es"", ""en"")"),"Very nice comfortable very happy Espetacular")</f>
        <v>Very nice comfortable very happy Espetacular</v>
      </c>
    </row>
    <row r="5751">
      <c r="A5751" s="1">
        <v>5.0</v>
      </c>
      <c r="B5751" s="1" t="s">
        <v>5713</v>
      </c>
      <c r="C5751" t="str">
        <f>IFERROR(__xludf.DUMMYFUNCTION("GOOGLETRANSLATE(B5751, ""es"", ""en"")"),"They are good quality. I like and use it daily.")</f>
        <v>They are good quality. I like and use it daily.</v>
      </c>
    </row>
    <row r="5752">
      <c r="A5752" s="1">
        <v>5.0</v>
      </c>
      <c r="B5752" s="1" t="s">
        <v>5714</v>
      </c>
      <c r="C5752" t="str">
        <f>IFERROR(__xludf.DUMMYFUNCTION("GOOGLETRANSLATE(B5752, ""es"", ""en"")"),"Excellent product I am very satisfied with this purchase. Is a good product. I was looking for a blender cup but with enough power. And this with its 1800 watts of power is great. The description fits the characteristics of the product.")</f>
        <v>Excellent product I am very satisfied with this purchase. Is a good product. I was looking for a blender cup but with enough power. And this with its 1800 watts of power is great. The description fits the characteristics of the product.</v>
      </c>
    </row>
    <row r="5753">
      <c r="A5753" s="1">
        <v>5.0</v>
      </c>
      <c r="B5753" s="1" t="s">
        <v>5715</v>
      </c>
      <c r="C5753" t="str">
        <f>IFERROR(__xludf.DUMMYFUNCTION("GOOGLETRANSLATE(B5753, ""es"", ""en"")"),"I liked the presentation of the gift is nicely inside the box. The album is very nice and very fat pages, where you can even paint with paint. My daughter loves the movie Up went freaking out to the view the album. Ons that leads are of poor quality, very"&amp;" good Chinese ... But what interested me was my album")</f>
        <v>I liked the presentation of the gift is nicely inside the box. The album is very nice and very fat pages, where you can even paint with paint. My daughter loves the movie Up went freaking out to the view the album. Ons that leads are of poor quality, very good Chinese ... But what interested me was my album</v>
      </c>
    </row>
    <row r="5754">
      <c r="A5754" s="1">
        <v>5.0</v>
      </c>
      <c r="B5754" s="1" t="s">
        <v>5716</v>
      </c>
      <c r="C5754" t="str">
        <f>IFERROR(__xludf.DUMMYFUNCTION("GOOGLETRANSLATE(B5754, ""es"", ""en"")"),"Perfect for review perfect welds SMD solder SMD. It allows even work with glasses readjusting the length of the lens. Comfortable with a small weight. It comes with a box for storing classified lenses. Very happy with the purchase.")</f>
        <v>Perfect for review perfect welds SMD solder SMD. It allows even work with glasses readjusting the length of the lens. Comfortable with a small weight. It comes with a box for storing classified lenses. Very happy with the purchase.</v>
      </c>
    </row>
    <row r="5755">
      <c r="A5755" s="1">
        <v>5.0</v>
      </c>
      <c r="B5755" s="1" t="s">
        <v>5717</v>
      </c>
      <c r="C5755" t="str">
        <f>IFERROR(__xludf.DUMMYFUNCTION("GOOGLETRANSLATE(B5755, ""es"", ""en"")"),"Perfect I've camprado for pain lumbar.Viene perfectly packaged, is very soft to the tacto.Tiene a knob on the cable with 6 levels calor.Yo I always get to the 6.Ademas if you fall asleep itself off in 1.5 hours.")</f>
        <v>Perfect I've camprado for pain lumbar.Viene perfectly packaged, is very soft to the tacto.Tiene a knob on the cable with 6 levels calor.Yo I always get to the 6.Ademas if you fall asleep itself off in 1.5 hours.</v>
      </c>
    </row>
    <row r="5756">
      <c r="A5756" s="1">
        <v>5.0</v>
      </c>
      <c r="B5756" s="1" t="s">
        <v>5718</v>
      </c>
      <c r="C5756" t="str">
        <f>IFERROR(__xludf.DUMMYFUNCTION("GOOGLETRANSLATE(B5756, ""es"", ""en"")"),"Very comfortable comfort")</f>
        <v>Very comfortable comfort</v>
      </c>
    </row>
    <row r="5757">
      <c r="A5757" s="1">
        <v>2.0</v>
      </c>
      <c r="B5757" s="1" t="s">
        <v>5719</v>
      </c>
      <c r="C5757" t="str">
        <f>IFERROR(__xludf.DUMMYFUNCTION("GOOGLETRANSLATE(B5757, ""es"", ""en"")"),"Cool but a terrible FAULT Sound and size IMPRESSIVE really sound great feel great but why 2 STAR As you may be so efficient compact do not have complete control volume el.auricular Senores of soundpeats this is a big failure so I Share your headset with m"&amp;"y wife and watch a movie on TV the handset grabs the maximum volume when inMate to the TV and so lower the volume del.mismo el.audifono not fall that does not sound autonomous control if they add lORDS oF SOUNDPEATS THIS FEATURE WILL SELL BY THAT relament"&amp;"e MUCHISOMOS TRUEWIRELESS your headphones are great")</f>
        <v>Cool but a terrible FAULT Sound and size IMPRESSIVE really sound great feel great but why 2 STAR As you may be so efficient compact do not have complete control volume el.auricular Senores of soundpeats this is a big failure so I Share your headset with my wife and watch a movie on TV the handset grabs the maximum volume when inMate to the TV and so lower the volume del.mismo el.audifono not fall that does not sound autonomous control if they add lORDS oF SOUNDPEATS THIS FEATURE WILL SELL BY THAT relamente MUCHISOMOS TRUEWIRELESS your headphones are great</v>
      </c>
    </row>
    <row r="5758">
      <c r="A5758" s="1">
        <v>3.0</v>
      </c>
      <c r="B5758" s="1" t="s">
        <v>5720</v>
      </c>
      <c r="C5758" t="str">
        <f>IFERROR(__xludf.DUMMYFUNCTION("GOOGLETRANSLATE(B5758, ""es"", ""en"")"),"Just like that photo right")</f>
        <v>Just like that photo right</v>
      </c>
    </row>
    <row r="5759">
      <c r="A5759" s="1">
        <v>3.0</v>
      </c>
      <c r="B5759" s="1" t="s">
        <v>5721</v>
      </c>
      <c r="C5759" t="str">
        <f>IFERROR(__xludf.DUMMYFUNCTION("GOOGLETRANSLATE(B5759, ""es"", ""en"")"),"Price / quality very good lots of choice but a bit loose adhesion. But I served for the work he had to perform")</f>
        <v>Price / quality very good lots of choice but a bit loose adhesion. But I served for the work he had to perform</v>
      </c>
    </row>
    <row r="5760">
      <c r="A5760" s="1">
        <v>1.0</v>
      </c>
      <c r="B5760" s="1" t="s">
        <v>5722</v>
      </c>
      <c r="C5760" t="str">
        <f>IFERROR(__xludf.DUMMYFUNCTION("GOOGLETRANSLATE(B5760, ""es"", ""en"")"),"Failed to use the short time Within two months of use, only to play gjitarra trials, use quite relaxed, the cable began to make noises. There is a problem with the pins. I do not recommend it.")</f>
        <v>Failed to use the short time Within two months of use, only to play gjitarra trials, use quite relaxed, the cable began to make noises. There is a problem with the pins. I do not recommend it.</v>
      </c>
    </row>
    <row r="5761">
      <c r="A5761" s="1">
        <v>1.0</v>
      </c>
      <c r="B5761" s="1" t="s">
        <v>5723</v>
      </c>
      <c r="C5761" t="str">
        <f>IFERROR(__xludf.DUMMYFUNCTION("GOOGLETRANSLATE(B5761, ""es"", ""en"")"),"It does not work after 3 months After 3 months no longer works. It is very small too. And there goes very well with frozen fruit. I do not ungrateful Turn on the blender ... I really do not recommend buying unknown brands on Amazon")</f>
        <v>It does not work after 3 months After 3 months no longer works. It is very small too. And there goes very well with frozen fruit. I do not ungrateful Turn on the blender ... I really do not recommend buying unknown brands on Amazon</v>
      </c>
    </row>
    <row r="5762">
      <c r="A5762" s="1">
        <v>4.0</v>
      </c>
      <c r="B5762" s="1" t="s">
        <v>5724</v>
      </c>
      <c r="C5762" t="str">
        <f>IFERROR(__xludf.DUMMYFUNCTION("GOOGLETRANSLATE(B5762, ""es"", ""en"")"),"Justito has done its function, but noisy and off easily, has served me, but beware the weight")</f>
        <v>Justito has done its function, but noisy and off easily, has served me, but beware the weight</v>
      </c>
    </row>
    <row r="5763">
      <c r="A5763" s="1">
        <v>4.0</v>
      </c>
      <c r="B5763" s="1" t="s">
        <v>5725</v>
      </c>
      <c r="C5763" t="str">
        <f>IFERROR(__xludf.DUMMYFUNCTION("GOOGLETRANSLATE(B5763, ""es"", ""en"")"),"I wear comfortable and light more than a month using them almost daily. They are quite comfortable ear (and that I have a small hard ear) and fit well. For now I have never rushed them to the maximum battery as the use of often little more than an hour, b"&amp;"ut more than 30 days I only had to recharge the charging base 2 times. The only downside would they be when the charging base runs out of battery does not have an immediate way of knowing and letting headphones (off) to load, do strange things (like light"&amp;" up alone and connect to the last device to which were linked).")</f>
        <v>I wear comfortable and light more than a month using them almost daily. They are quite comfortable ear (and that I have a small hard ear) and fit well. For now I have never rushed them to the maximum battery as the use of often little more than an hour, but more than 30 days I only had to recharge the charging base 2 times. The only downside would they be when the charging base runs out of battery does not have an immediate way of knowing and letting headphones (off) to load, do strange things (like light up alone and connect to the last device to which were linked).</v>
      </c>
    </row>
    <row r="5764">
      <c r="A5764" s="1">
        <v>4.0</v>
      </c>
      <c r="B5764" s="1" t="s">
        <v>5726</v>
      </c>
      <c r="C5764" t="str">
        <f>IFERROR(__xludf.DUMMYFUNCTION("GOOGLETRANSLATE(B5764, ""es"", ""en"")"),"They are well Molan")</f>
        <v>They are well Molan</v>
      </c>
    </row>
    <row r="5765">
      <c r="A5765" s="1">
        <v>4.0</v>
      </c>
      <c r="B5765" s="1" t="s">
        <v>5727</v>
      </c>
      <c r="C5765" t="str">
        <f>IFERROR(__xludf.DUMMYFUNCTION("GOOGLETRANSLATE(B5765, ""es"", ""en"")"),"Smoothies very fine glass Blender has been the major acquisition of the spring - summer home. We have started preparing homemade smoothies and juices beyond orange juice. Leaves a very fine texture, children take them much better and had more variety of f"&amp;"ruits. I can not compare it to others, it is the first to have this, years ago I had a blender and no comparison, the blender offers many more possibilities, easier to use and faster and better results.")</f>
        <v>Smoothies very fine glass Blender has been the major acquisition of the spring - summer home. We have started preparing homemade smoothies and juices beyond orange juice. Leaves a very fine texture, children take them much better and had more variety of fruits. I can not compare it to others, it is the first to have this, years ago I had a blender and no comparison, the blender offers many more possibilities, easier to use and faster and better results.</v>
      </c>
    </row>
    <row r="5766">
      <c r="A5766" s="1">
        <v>5.0</v>
      </c>
      <c r="B5766" s="1" t="s">
        <v>5728</v>
      </c>
      <c r="C5766" t="str">
        <f>IFERROR(__xludf.DUMMYFUNCTION("GOOGLETRANSLATE(B5766, ""es"", ""en"")"),"Fulfills its function fulfills its function and is aesthetically beautiful, we have to clean the screens")</f>
        <v>Fulfills its function fulfills its function and is aesthetically beautiful, we have to clean the screens</v>
      </c>
    </row>
    <row r="5767">
      <c r="A5767" s="1">
        <v>5.0</v>
      </c>
      <c r="B5767" s="1" t="s">
        <v>5729</v>
      </c>
      <c r="C5767" t="str">
        <f>IFERROR(__xludf.DUMMYFUNCTION("GOOGLETRANSLATE(B5767, ""es"", ""en"")"),"Ideal for presentations. I bought it for my son, for a presentation of their work in order to grade. He has been very helpful and is very satisfied with the laser pointer. Easy to handle and connect.")</f>
        <v>Ideal for presentations. I bought it for my son, for a presentation of their work in order to grade. He has been very helpful and is very satisfied with the laser pointer. Easy to handle and connect.</v>
      </c>
    </row>
    <row r="5768">
      <c r="A5768" s="1">
        <v>5.0</v>
      </c>
      <c r="B5768" s="1" t="s">
        <v>5730</v>
      </c>
      <c r="C5768" t="str">
        <f>IFERROR(__xludf.DUMMYFUNCTION("GOOGLETRANSLATE(B5768, ""es"", ""en"")"),"Good Perfect, just finish what I expected")</f>
        <v>Good Perfect, just finish what I expected</v>
      </c>
    </row>
    <row r="5769">
      <c r="A5769" s="1">
        <v>5.0</v>
      </c>
      <c r="B5769" s="1" t="s">
        <v>5731</v>
      </c>
      <c r="C5769" t="str">
        <f>IFERROR(__xludf.DUMMYFUNCTION("GOOGLETRANSLATE(B5769, ""es"", ""en"")"),"I had no problem good price. I came fast and stapling things somewhat thick without problem, as several folios craft, cardboard and foam")</f>
        <v>I had no problem good price. I came fast and stapling things somewhat thick without problem, as several folios craft, cardboard and foam</v>
      </c>
    </row>
    <row r="5770">
      <c r="A5770" s="1">
        <v>5.0</v>
      </c>
      <c r="B5770" s="1" t="s">
        <v>5732</v>
      </c>
      <c r="C5770" t="str">
        <f>IFERROR(__xludf.DUMMYFUNCTION("GOOGLETRANSLATE(B5770, ""es"", ""en"")"),"Perfect Best Brand")</f>
        <v>Perfect Best Brand</v>
      </c>
    </row>
    <row r="5771">
      <c r="A5771" s="1">
        <v>5.0</v>
      </c>
      <c r="B5771" s="1" t="s">
        <v>5733</v>
      </c>
      <c r="C5771" t="str">
        <f>IFERROR(__xludf.DUMMYFUNCTION("GOOGLETRANSLATE(B5771, ""es"", ""en"")"),"As expected good but no light")</f>
        <v>As expected good but no light</v>
      </c>
    </row>
    <row r="5772">
      <c r="A5772" s="1">
        <v>5.0</v>
      </c>
      <c r="B5772" s="1" t="s">
        <v>5734</v>
      </c>
      <c r="C5772" t="str">
        <f>IFERROR(__xludf.DUMMYFUNCTION("GOOGLETRANSLATE(B5772, ""es"", ""en"")"),"Cristina labels are a suitable paper to put in jars and bottles of homemade goodies made by me for my family and friends.")</f>
        <v>Cristina labels are a suitable paper to put in jars and bottles of homemade goodies made by me for my family and friends.</v>
      </c>
    </row>
    <row r="5773">
      <c r="A5773" s="1">
        <v>5.0</v>
      </c>
      <c r="B5773" s="1" t="s">
        <v>5735</v>
      </c>
      <c r="C5773" t="str">
        <f>IFERROR(__xludf.DUMMYFUNCTION("GOOGLETRANSLATE(B5773, ""es"", ""en"")"),"Nobody ever gave something so little. 46mm imposing massive metal strap links. Caliber mechanical automatic SII (Seiko product for other brands) NH35A 24 rubies. Seiko signature rides on their watches as 4R36. Mine is falling behind about 5 or 6 seconds t"&amp;"he day, what I think is not bad in an automatic. A small magnifying glass on the glass favors reading date which fits with manual lift. Another interesting point is threaded and the stop crown seconds. What more can you ask for 117 € ?. When you take it, "&amp;"you feel you carry a good watch with excellent construction. As a negative point to mention something, the double lock, it is a bit hard to open. Rather than incorporating a small side buttons and other models.")</f>
        <v>Nobody ever gave something so little. 46mm imposing massive metal strap links. Caliber mechanical automatic SII (Seiko product for other brands) NH35A 24 rubies. Seiko signature rides on their watches as 4R36. Mine is falling behind about 5 or 6 seconds the day, what I think is not bad in an automatic. A small magnifying glass on the glass favors reading date which fits with manual lift. Another interesting point is threaded and the stop crown seconds. What more can you ask for 117 € ?. When you take it, you feel you carry a good watch with excellent construction. As a negative point to mention something, the double lock, it is a bit hard to open. Rather than incorporating a small side buttons and other models.</v>
      </c>
    </row>
    <row r="5774">
      <c r="A5774" s="1">
        <v>5.0</v>
      </c>
      <c r="B5774" s="1" t="s">
        <v>5736</v>
      </c>
      <c r="C5774" t="str">
        <f>IFERROR(__xludf.DUMMYFUNCTION("GOOGLETRANSLATE(B5774, ""es"", ""en"")"),"Good audio cable. It is perfect")</f>
        <v>Good audio cable. It is perfect</v>
      </c>
    </row>
    <row r="5775">
      <c r="A5775" s="1">
        <v>5.0</v>
      </c>
      <c r="B5775" s="1" t="s">
        <v>5737</v>
      </c>
      <c r="C5775" t="str">
        <f>IFERROR(__xludf.DUMMYFUNCTION("GOOGLETRANSLATE(B5775, ""es"", ""en"")"),"A blast is a very cool sweatshirt, my son is delighted with her. It is good quality and looks great on. The size is perfect. Highly recommended.")</f>
        <v>A blast is a very cool sweatshirt, my son is delighted with her. It is good quality and looks great on. The size is perfect. Highly recommended.</v>
      </c>
    </row>
    <row r="5776">
      <c r="A5776" s="1">
        <v>5.0</v>
      </c>
      <c r="B5776" s="1" t="s">
        <v>5738</v>
      </c>
      <c r="C5776" t="str">
        <f>IFERROR(__xludf.DUMMYFUNCTION("GOOGLETRANSLATE(B5776, ""es"", ""en"")"),"Perfect I liked! Quality good price, all you would have to wait quite.")</f>
        <v>Perfect I liked! Quality good price, all you would have to wait quite.</v>
      </c>
    </row>
    <row r="5777">
      <c r="A5777" s="1">
        <v>5.0</v>
      </c>
      <c r="B5777" s="1" t="s">
        <v>5739</v>
      </c>
      <c r="C5777" t="str">
        <f>IFERROR(__xludf.DUMMYFUNCTION("GOOGLETRANSLATE(B5777, ""es"", ""en"")"),"Watch resistant Very nice and comfortable")</f>
        <v>Watch resistant Very nice and comfortable</v>
      </c>
    </row>
    <row r="5778">
      <c r="A5778" s="1">
        <v>5.0</v>
      </c>
      <c r="B5778" s="1" t="s">
        <v>5740</v>
      </c>
      <c r="C5778" t="str">
        <f>IFERROR(__xludf.DUMMYFUNCTION("GOOGLETRANSLATE(B5778, ""es"", ""en"")"),"/ Price good quality fast shipping. It is finite size and light but OK, I bought the 1.8-je which is what you see in the picture.")</f>
        <v>/ Price good quality fast shipping. It is finite size and light but OK, I bought the 1.8-je which is what you see in the picture.</v>
      </c>
    </row>
    <row r="5779">
      <c r="A5779" s="1">
        <v>5.0</v>
      </c>
      <c r="B5779" s="1" t="s">
        <v>5741</v>
      </c>
      <c r="C5779" t="str">
        <f>IFERROR(__xludf.DUMMYFUNCTION("GOOGLETRANSLATE(B5779, ""es"", ""en"")"),"Good quality and good product the right size. Are very good and when does lavas balls. Advise your purchase")</f>
        <v>Good quality and good product the right size. Are very good and when does lavas balls. Advise your purchase</v>
      </c>
    </row>
    <row r="5780">
      <c r="A5780" s="1">
        <v>5.0</v>
      </c>
      <c r="B5780" s="1" t="s">
        <v>5742</v>
      </c>
      <c r="C5780" t="str">
        <f>IFERROR(__xludf.DUMMYFUNCTION("GOOGLETRANSLATE(B5780, ""es"", ""en"")"),"Good money makes your job")</f>
        <v>Good money makes your job</v>
      </c>
    </row>
    <row r="5781">
      <c r="A5781" s="1">
        <v>5.0</v>
      </c>
      <c r="B5781" s="1" t="s">
        <v>5743</v>
      </c>
      <c r="C5781" t="str">
        <f>IFERROR(__xludf.DUMMYFUNCTION("GOOGLETRANSLATE(B5781, ""es"", ""en"")"),"Ease of purchase I liked is very good value for money")</f>
        <v>Ease of purchase I liked is very good value for money</v>
      </c>
    </row>
    <row r="5782">
      <c r="A5782" s="1">
        <v>5.0</v>
      </c>
      <c r="B5782" s="1" t="s">
        <v>5744</v>
      </c>
      <c r="C5782" t="str">
        <f>IFERROR(__xludf.DUMMYFUNCTION("GOOGLETRANSLATE(B5782, ""es"", ""en"")"),"Very good sound and very nice very good sound quality, I was pleasantly surprised as they hear, they do not distort at maximum volume no. They are very comfortable to wear headphones, adjust very well thanks to the various plugs and leads and have tried r"&amp;"unning and in the gym and in no time I had the feeling that they were to fall. The touchpad responds very well and fast and aesthetics is amazing, the case is very nice and comfortable to carry in your pants pocket or purse.")</f>
        <v>Very good sound and very nice very good sound quality, I was pleasantly surprised as they hear, they do not distort at maximum volume no. They are very comfortable to wear headphones, adjust very well thanks to the various plugs and leads and have tried running and in the gym and in no time I had the feeling that they were to fall. The touchpad responds very well and fast and aesthetics is amazing, the case is very nice and comfortable to carry in your pants pocket or purse.</v>
      </c>
    </row>
    <row r="5783">
      <c r="A5783" s="1">
        <v>5.0</v>
      </c>
      <c r="B5783" s="1" t="s">
        <v>5745</v>
      </c>
      <c r="C5783" t="str">
        <f>IFERROR(__xludf.DUMMYFUNCTION("GOOGLETRANSLATE(B5783, ""es"", ""en"")"),"Color and comfort model")</f>
        <v>Color and comfort model</v>
      </c>
    </row>
    <row r="5784">
      <c r="A5784" s="1">
        <v>5.0</v>
      </c>
      <c r="B5784" s="1" t="s">
        <v>5746</v>
      </c>
      <c r="C5784" t="str">
        <f>IFERROR(__xludf.DUMMYFUNCTION("GOOGLETRANSLATE(B5784, ""es"", ""en"")"),"Quickness awesome! I've used for a hackintosh that had a mechanical disc of 7200 rpm and osx high sierra took more than 2 minutes to start. After this ssd clone the boot time is about 20 seconds, last authentic and at a great price, SSDs finally start hav"&amp;"ing a normal price!")</f>
        <v>Quickness awesome! I've used for a hackintosh that had a mechanical disc of 7200 rpm and osx high sierra took more than 2 minutes to start. After this ssd clone the boot time is about 20 seconds, last authentic and at a great price, SSDs finally start having a normal price!</v>
      </c>
    </row>
    <row r="5785">
      <c r="A5785" s="1">
        <v>2.0</v>
      </c>
      <c r="B5785" s="1" t="s">
        <v>5747</v>
      </c>
      <c r="C5785" t="str">
        <f>IFERROR(__xludf.DUMMYFUNCTION("GOOGLETRANSLATE(B5785, ""es"", ""en"")"),"Fails moment one does not recognize Well, I have not tried them all, but the second time I wanted to use does not work, not even detect it, completely dead. I'll try them all and now update with what happens if I ask for return or not.")</f>
        <v>Fails moment one does not recognize Well, I have not tried them all, but the second time I wanted to use does not work, not even detect it, completely dead. I'll try them all and now update with what happens if I ask for return or not.</v>
      </c>
    </row>
    <row r="5786">
      <c r="A5786" s="1">
        <v>3.0</v>
      </c>
      <c r="B5786" s="1" t="s">
        <v>5748</v>
      </c>
      <c r="C5786" t="str">
        <f>IFERROR(__xludf.DUMMYFUNCTION("GOOGLETRANSLATE(B5786, ""es"", ""en"")"),"It's transparent. It is a transparent medium product, if you have no problem with that, it's a good. For me if it's a problem.")</f>
        <v>It's transparent. It is a transparent medium product, if you have no problem with that, it's a good. For me if it's a problem.</v>
      </c>
    </row>
    <row r="5787">
      <c r="A5787" s="1">
        <v>3.0</v>
      </c>
      <c r="B5787" s="1" t="s">
        <v>5749</v>
      </c>
      <c r="C5787" t="str">
        <f>IFERROR(__xludf.DUMMYFUNCTION("GOOGLETRANSLATE(B5787, ""es"", ""en"")"),"Good good but slow construction, sent fast and very small. but although the truth that the slow speeds not I realized it was up 3.1 usarlo.eso it is a mockery. It goes like the usual 2.0. Returned")</f>
        <v>Good good but slow construction, sent fast and very small. but although the truth that the slow speeds not I realized it was up 3.1 usarlo.eso it is a mockery. It goes like the usual 2.0. Returned</v>
      </c>
    </row>
    <row r="5788">
      <c r="A5788" s="1">
        <v>1.0</v>
      </c>
      <c r="B5788" s="1" t="s">
        <v>5750</v>
      </c>
      <c r="C5788" t="str">
        <f>IFERROR(__xludf.DUMMYFUNCTION("GOOGLETRANSLATE(B5788, ""es"", ""en"")"),"OTHER GRADES GONE TO REFUSE When I received and I got a plastic bag unprotected I have looked and looked blackish made of alloy and stones do not sparkle above anything and misplaced")</f>
        <v>OTHER GRADES GONE TO REFUSE When I received and I got a plastic bag unprotected I have looked and looked blackish made of alloy and stones do not sparkle above anything and misplaced</v>
      </c>
    </row>
    <row r="5789">
      <c r="A5789" s="1">
        <v>1.0</v>
      </c>
      <c r="B5789" s="1" t="s">
        <v>5751</v>
      </c>
      <c r="C5789" t="str">
        <f>IFERROR(__xludf.DUMMYFUNCTION("GOOGLETRANSLATE(B5789, ""es"", ""en"")"),"Very little bit adjustable adjustable. It has not proved useful because I have few options for changing the spacing between the holes. I finally had to buy a different one. It does not allow drilling many pages at once.")</f>
        <v>Very little bit adjustable adjustable. It has not proved useful because I have few options for changing the spacing between the holes. I finally had to buy a different one. It does not allow drilling many pages at once.</v>
      </c>
    </row>
    <row r="5790">
      <c r="A5790" s="1">
        <v>4.0</v>
      </c>
      <c r="B5790" s="1" t="s">
        <v>5752</v>
      </c>
      <c r="C5790" t="str">
        <f>IFERROR(__xludf.DUMMYFUNCTION("GOOGLETRANSLATE(B5790, ""es"", ""en"")"),"Excellent Excellent I love doing blender juice, oatmeal soups, I like that I can put pretty much the only thing is that the lid is very hard so I do not put it five stars, very hard but the rest goes well")</f>
        <v>Excellent Excellent I love doing blender juice, oatmeal soups, I like that I can put pretty much the only thing is that the lid is very hard so I do not put it five stars, very hard but the rest goes well</v>
      </c>
    </row>
    <row r="5791">
      <c r="A5791" s="1">
        <v>4.0</v>
      </c>
      <c r="B5791" s="1" t="s">
        <v>5753</v>
      </c>
      <c r="C5791" t="str">
        <f>IFERROR(__xludf.DUMMYFUNCTION("GOOGLETRANSLATE(B5791, ""es"", ""en"")"),"Good shoulder bag mens casual style. Quality is correct, and the capacity is much larger than it looks on its exterior size. It is a right bag for everyday use.")</f>
        <v>Good shoulder bag mens casual style. Quality is correct, and the capacity is much larger than it looks on its exterior size. It is a right bag for everyday use.</v>
      </c>
    </row>
    <row r="5792">
      <c r="A5792" s="1">
        <v>4.0</v>
      </c>
      <c r="B5792" s="1" t="s">
        <v>5754</v>
      </c>
      <c r="C5792" t="str">
        <f>IFERROR(__xludf.DUMMYFUNCTION("GOOGLETRANSLATE(B5792, ""es"", ""en"")"),"Perfect Gift Perfect Gift, easy to assemble, could have more decorating options")</f>
        <v>Perfect Gift Perfect Gift, easy to assemble, could have more decorating options</v>
      </c>
    </row>
    <row r="5793">
      <c r="A5793" s="1">
        <v>4.0</v>
      </c>
      <c r="B5793" s="1" t="s">
        <v>5755</v>
      </c>
      <c r="C5793" t="str">
        <f>IFERROR(__xludf.DUMMYFUNCTION("GOOGLETRANSLATE(B5793, ""es"", ""en"")"),"Excellent micro, stand (tripod) painful. They send in their commercial box in sight. Great in all but the tripod ridiculous it brings. I guess who wanted to save costs in a piece that many will not use because they will have an extendable foot or somethin"&amp;"g, but who does it will use on your table. In addition, just for the bad image that gives put a piece of poor quality and is a marketing mistake. I do not regret buying at all, but now I have to add to the cost of some decent foot, bringing the price perf"&amp;"ormance ratio is reduced. He forgot to mention something else unfortunate that comes in the box of the product to hair, if it becomes a gift for me I had splattered addition to penalizing the resale price by Amazon stickers.")</f>
        <v>Excellent micro, stand (tripod) painful. They send in their commercial box in sight. Great in all but the tripod ridiculous it brings. I guess who wanted to save costs in a piece that many will not use because they will have an extendable foot or something, but who does it will use on your table. In addition, just for the bad image that gives put a piece of poor quality and is a marketing mistake. I do not regret buying at all, but now I have to add to the cost of some decent foot, bringing the price performance ratio is reduced. He forgot to mention something else unfortunate that comes in the box of the product to hair, if it becomes a gift for me I had splattered addition to penalizing the resale price by Amazon stickers.</v>
      </c>
    </row>
    <row r="5794">
      <c r="A5794" s="1">
        <v>4.0</v>
      </c>
      <c r="B5794" s="1" t="s">
        <v>5756</v>
      </c>
      <c r="C5794" t="str">
        <f>IFERROR(__xludf.DUMMYFUNCTION("GOOGLETRANSLATE(B5794, ""es"", ""en"")"),"Jesus fast memory, not heated as other or low performance, works very well. Its size is not reduced but if what you need is performance is a good article.")</f>
        <v>Jesus fast memory, not heated as other or low performance, works very well. Its size is not reduced but if what you need is performance is a good article.</v>
      </c>
    </row>
    <row r="5795">
      <c r="A5795" s="1">
        <v>5.0</v>
      </c>
      <c r="B5795" s="1" t="s">
        <v>5757</v>
      </c>
      <c r="C5795" t="str">
        <f>IFERROR(__xludf.DUMMYFUNCTION("GOOGLETRANSLATE(B5795, ""es"", ""en"")"),"perfect perfect and comfortable walking shoes, the best brands I've used .el nuemro is the same as used in all")</f>
        <v>perfect perfect and comfortable walking shoes, the best brands I've used .el nuemro is the same as used in all</v>
      </c>
    </row>
    <row r="5796">
      <c r="A5796" s="1">
        <v>5.0</v>
      </c>
      <c r="B5796" s="1" t="s">
        <v>5758</v>
      </c>
      <c r="C5796" t="str">
        <f>IFERROR(__xludf.DUMMYFUNCTION("GOOGLETRANSLATE(B5796, ""es"", ""en"")"),"Just what I needed'm happy with the purchase of this kettle. I was looking for one with such capacity (1.7 liters to use it to boil water for pasta, etc.) and I saw in stores or were very expensive or did not like the design. This is a good price, its des"&amp;"ign is quite simple and clean, without macarradas, which is becoming tricky to find. As for performance, it is very simple and reasonably fast heats water. It is a recommended purchase.")</f>
        <v>Just what I needed'm happy with the purchase of this kettle. I was looking for one with such capacity (1.7 liters to use it to boil water for pasta, etc.) and I saw in stores or were very expensive or did not like the design. This is a good price, its design is quite simple and clean, without macarradas, which is becoming tricky to find. As for performance, it is very simple and reasonably fast heats water. It is a recommended purchase.</v>
      </c>
    </row>
    <row r="5797">
      <c r="A5797" s="1">
        <v>5.0</v>
      </c>
      <c r="B5797" s="1" t="s">
        <v>5759</v>
      </c>
      <c r="C5797" t="str">
        <f>IFERROR(__xludf.DUMMYFUNCTION("GOOGLETRANSLATE(B5797, ""es"", ""en"")"),"Recommended A great gift. Warm and comfortable")</f>
        <v>Recommended A great gift. Warm and comfortable</v>
      </c>
    </row>
    <row r="5798">
      <c r="A5798" s="1">
        <v>5.0</v>
      </c>
      <c r="B5798" s="1" t="s">
        <v>5760</v>
      </c>
      <c r="C5798" t="str">
        <f>IFERROR(__xludf.DUMMYFUNCTION("GOOGLETRANSLATE(B5798, ""es"", ""en"")"),"You comfortable very comfortable a little weird air packages sole but I an surprised how comfortable and lijeras for shoes protecion")</f>
        <v>You comfortable very comfortable a little weird air packages sole but I an surprised how comfortable and lijeras for shoes protecion</v>
      </c>
    </row>
    <row r="5799">
      <c r="A5799" s="1">
        <v>5.0</v>
      </c>
      <c r="B5799" s="1" t="s">
        <v>5761</v>
      </c>
      <c r="C5799" t="str">
        <f>IFERROR(__xludf.DUMMYFUNCTION("GOOGLETRANSLATE(B5799, ""es"", ""en"")"),"I am delighted I love. Very comfortable and beautiful.")</f>
        <v>I am delighted I love. Very comfortable and beautiful.</v>
      </c>
    </row>
    <row r="5800">
      <c r="A5800" s="1">
        <v>5.0</v>
      </c>
      <c r="B5800" s="1" t="s">
        <v>5762</v>
      </c>
      <c r="C5800" t="str">
        <f>IFERROR(__xludf.DUMMYFUNCTION("GOOGLETRANSLATE(B5800, ""es"", ""en"")"),"Very nice. Beautiful earrings sets men and a good price, pudiéndome make every day a different pair as a good gentelman")</f>
        <v>Very nice. Beautiful earrings sets men and a good price, pudiéndome make every day a different pair as a good gentelman</v>
      </c>
    </row>
    <row r="5801">
      <c r="A5801" s="1">
        <v>5.0</v>
      </c>
      <c r="B5801" s="1" t="s">
        <v>5763</v>
      </c>
      <c r="C5801" t="str">
        <f>IFERROR(__xludf.DUMMYFUNCTION("GOOGLETRANSLATE(B5801, ""es"", ""en"")"),"Super Quality The quality of the sweatshirt is enough good, is cotton, order one size since it is fair but looks good if he wants a little looser ask for a more")</f>
        <v>Super Quality The quality of the sweatshirt is enough good, is cotton, order one size since it is fair but looks good if he wants a little looser ask for a more</v>
      </c>
    </row>
    <row r="5802">
      <c r="A5802" s="1">
        <v>5.0</v>
      </c>
      <c r="B5802" s="1" t="s">
        <v>5764</v>
      </c>
      <c r="C5802" t="str">
        <f>IFERROR(__xludf.DUMMYFUNCTION("GOOGLETRANSLATE(B5802, ""es"", ""en"")"),"Many thanks Perfect")</f>
        <v>Many thanks Perfect</v>
      </c>
    </row>
    <row r="5803">
      <c r="A5803" s="1">
        <v>5.0</v>
      </c>
      <c r="B5803" s="1" t="s">
        <v>5765</v>
      </c>
      <c r="C5803" t="str">
        <f>IFERROR(__xludf.DUMMYFUNCTION("GOOGLETRANSLATE(B5803, ""es"", ""en"")"),"Perfect is the best buy I've done. At home we use a lot of times a day. It is practical and lightning fast. I'm supercontenta with him.")</f>
        <v>Perfect is the best buy I've done. At home we use a lot of times a day. It is practical and lightning fast. I'm supercontenta with him.</v>
      </c>
    </row>
    <row r="5804">
      <c r="A5804" s="1">
        <v>5.0</v>
      </c>
      <c r="B5804" s="1" t="s">
        <v>5766</v>
      </c>
      <c r="C5804" t="str">
        <f>IFERROR(__xludf.DUMMYFUNCTION("GOOGLETRANSLATE(B5804, ""es"", ""en"")"),"Solid and proven machinery At first glance looks like a steel billet with two glasses, one for the time and another showing the mechanism. Once shortened chain, is quite wide, (the pins go well, do not wear cap) sits comfortably on the wrist. If you are u"&amp;"sed to wearing divers volume and weight are no problem. Automatic machinery is home SEIKO 4R36 caliber riding in his monster, here called NH35A-SII with 24 jewels, manual winding and locking the second hand; If you come in tune goes well with daily error "&amp;"less 10s. The blue color of the crown and sphere is discreet, see the time is easy, the day of the month with magnifier also built have problem, unlit its luminescence is powerful, not if endure all night like the Seiko mentioned , I have one and I checke"&amp;"d. The quality and robustness of the materials is good, I would say more than what is expected for the price. Now I have to watch to see how this unfolds over time, as to the accuracy and possible scratches. This review is the touchdown, eventually come i"&amp;"n to update it and to use and enjoy done with this watch :)")</f>
        <v>Solid and proven machinery At first glance looks like a steel billet with two glasses, one for the time and another showing the mechanism. Once shortened chain, is quite wide, (the pins go well, do not wear cap) sits comfortably on the wrist. If you are used to wearing divers volume and weight are no problem. Automatic machinery is home SEIKO 4R36 caliber riding in his monster, here called NH35A-SII with 24 jewels, manual winding and locking the second hand; If you come in tune goes well with daily error less 10s. The blue color of the crown and sphere is discreet, see the time is easy, the day of the month with magnifier also built have problem, unlit its luminescence is powerful, not if endure all night like the Seiko mentioned , I have one and I checked. The quality and robustness of the materials is good, I would say more than what is expected for the price. Now I have to watch to see how this unfolds over time, as to the accuracy and possible scratches. This review is the touchdown, eventually come in to update it and to use and enjoy done with this watch :)</v>
      </c>
    </row>
    <row r="5805">
      <c r="A5805" s="1">
        <v>5.0</v>
      </c>
      <c r="B5805" s="1" t="s">
        <v>5767</v>
      </c>
      <c r="C5805" t="str">
        <f>IFERROR(__xludf.DUMMYFUNCTION("GOOGLETRANSLATE(B5805, ""es"", ""en"")"),"Very good product Buy Size L, Mido 1.87 and weight 84 is perfect. Good quality material and finish.")</f>
        <v>Very good product Buy Size L, Mido 1.87 and weight 84 is perfect. Good quality material and finish.</v>
      </c>
    </row>
    <row r="5806">
      <c r="A5806" s="1">
        <v>5.0</v>
      </c>
      <c r="B5806" s="1" t="s">
        <v>5768</v>
      </c>
      <c r="C5806" t="str">
        <f>IFERROR(__xludf.DUMMYFUNCTION("GOOGLETRANSLATE(B5806, ""es"", ""en"")"),"My girlfriend is thrilled It is true that in some places does not reach either the radio and to exercise if there is a lot trot may fall. Moreover and for the price you use in almost all times and are very resultón")</f>
        <v>My girlfriend is thrilled It is true that in some places does not reach either the radio and to exercise if there is a lot trot may fall. Moreover and for the price you use in almost all times and are very resultón</v>
      </c>
    </row>
    <row r="5807">
      <c r="A5807" s="1">
        <v>5.0</v>
      </c>
      <c r="B5807" s="1" t="s">
        <v>5769</v>
      </c>
      <c r="C5807" t="str">
        <f>IFERROR(__xludf.DUMMYFUNCTION("GOOGLETRANSLATE(B5807, ""es"", ""en"")"),"What is worth every penny A good stiff and sturdy support, which makes its function of holding a microphone (in my case the Blue Yeti) to the height that one would look because of its tensioning system with springs on the sides. The pop filter is a true w"&amp;"onder, a lot will notice the difference. I recommend this product successfully.")</f>
        <v>What is worth every penny A good stiff and sturdy support, which makes its function of holding a microphone (in my case the Blue Yeti) to the height that one would look because of its tensioning system with springs on the sides. The pop filter is a true wonder, a lot will notice the difference. I recommend this product successfully.</v>
      </c>
    </row>
    <row r="5808">
      <c r="A5808" s="1">
        <v>5.0</v>
      </c>
      <c r="B5808" s="1" t="s">
        <v>5770</v>
      </c>
      <c r="C5808" t="str">
        <f>IFERROR(__xludf.DUMMYFUNCTION("GOOGLETRANSLATE(B5808, ""es"", ""en"")"),"Excellent product excellent product but color is not the same, is clearer but I love are very comfortable recommend")</f>
        <v>Excellent product excellent product but color is not the same, is clearer but I love are very comfortable recommend</v>
      </c>
    </row>
    <row r="5809">
      <c r="A5809" s="1">
        <v>5.0</v>
      </c>
      <c r="B5809" s="1" t="s">
        <v>5771</v>
      </c>
      <c r="C5809" t="str">
        <f>IFERROR(__xludf.DUMMYFUNCTION("GOOGLETRANSLATE(B5809, ""es"", ""en"")"),"Shreds of wonder is wonderful, leaves creams and sauces very thin")</f>
        <v>Shreds of wonder is wonderful, leaves creams and sauces very thin</v>
      </c>
    </row>
    <row r="5810">
      <c r="A5810" s="1">
        <v>5.0</v>
      </c>
      <c r="B5810" s="1" t="s">
        <v>5772</v>
      </c>
      <c r="C5810" t="str">
        <f>IFERROR(__xludf.DUMMYFUNCTION("GOOGLETRANSLATE(B5810, ""es"", ""en"")"),"Ruben G. I have over ten years shimming Panama Jack boots, comfortable boots are exceptional, durable, and once you give in your size, it's for life. Recommended.")</f>
        <v>Ruben G. I have over ten years shimming Panama Jack boots, comfortable boots are exceptional, durable, and once you give in your size, it's for life. Recommended.</v>
      </c>
    </row>
    <row r="5811">
      <c r="A5811" s="1">
        <v>5.0</v>
      </c>
      <c r="B5811" s="1" t="s">
        <v>5773</v>
      </c>
      <c r="C5811" t="str">
        <f>IFERROR(__xludf.DUMMYFUNCTION("GOOGLETRANSLATE(B5811, ""es"", ""en"")"),"Buy very comfortable helmets in addition to a gift that I have made my mother a leading MP3 asking me long ago. She loves music and go for a walk every day, but can not use headphones that get inside the ear plugs because you create, so I decided to buy a"&amp;" good helmet. I liked the design of these and offered quality so I opted for them and I must say that I right, are very comfortable, the possibility of Bluetooth connection makes them more manageable and music you do not hear about at normal volume . Well"&amp;" thank my father now instead of putting music on high radio to use their helmets and let you watch TV")</f>
        <v>Buy very comfortable helmets in addition to a gift that I have made my mother a leading MP3 asking me long ago. She loves music and go for a walk every day, but can not use headphones that get inside the ear plugs because you create, so I decided to buy a good helmet. I liked the design of these and offered quality so I opted for them and I must say that I right, are very comfortable, the possibility of Bluetooth connection makes them more manageable and music you do not hear about at normal volume . Well thank my father now instead of putting music on high radio to use their helmets and let you watch TV</v>
      </c>
    </row>
    <row r="5812">
      <c r="A5812" s="1">
        <v>5.0</v>
      </c>
      <c r="B5812" s="1" t="s">
        <v>5774</v>
      </c>
      <c r="C5812" t="str">
        <f>IFERROR(__xludf.DUMMYFUNCTION("GOOGLETRANSLATE(B5812, ""es"", ""en"")"),"Perfect very happy, good sound")</f>
        <v>Perfect very happy, good sound</v>
      </c>
    </row>
    <row r="5813">
      <c r="A5813" s="1">
        <v>5.0</v>
      </c>
      <c r="B5813" s="1" t="s">
        <v>5775</v>
      </c>
      <c r="C5813" t="str">
        <f>IFERROR(__xludf.DUMMYFUNCTION("GOOGLETRANSLATE(B5813, ""es"", ""en"")"),"Cycling socks cheap and good quality the best I saw on Amazon. High quality and cheap enough. I bought a couple of them and I think if they repeat for sale")</f>
        <v>Cycling socks cheap and good quality the best I saw on Amazon. High quality and cheap enough. I bought a couple of them and I think if they repeat for sale</v>
      </c>
    </row>
    <row r="5814">
      <c r="A5814" s="1">
        <v>2.0</v>
      </c>
      <c r="B5814" s="1" t="s">
        <v>5776</v>
      </c>
      <c r="C5814" t="str">
        <f>IFERROR(__xludf.DUMMYFUNCTION("GOOGLETRANSLATE(B5814, ""es"", ""en"")"),"It comes with no instruction manual comes with no instruction manual. Where I can get it?")</f>
        <v>It comes with no instruction manual comes with no instruction manual. Where I can get it?</v>
      </c>
    </row>
    <row r="5815">
      <c r="A5815" s="1">
        <v>3.0</v>
      </c>
      <c r="B5815" s="1" t="s">
        <v>5777</v>
      </c>
      <c r="C5815" t="str">
        <f>IFERROR(__xludf.DUMMYFUNCTION("GOOGLETRANSLATE(B5815, ""es"", ""en"")"),"Well accordance")</f>
        <v>Well accordance</v>
      </c>
    </row>
    <row r="5816">
      <c r="A5816" s="1">
        <v>1.0</v>
      </c>
      <c r="B5816" s="1" t="s">
        <v>5778</v>
      </c>
      <c r="C5816" t="str">
        <f>IFERROR(__xludf.DUMMYFUNCTION("GOOGLETRANSLATE(B5816, ""es"", ""en"")"),"I bought two bottles defective and one comes in black plastic of the pipette, where the pressure points, with a hole in it, causing malfunction. A few months ago I bought a bottle of this oil and everything was perfect. I hope that this drilling did not i"&amp;"nfluence the quality of the product not being sealed. Be careful with these details please.")</f>
        <v>I bought two bottles defective and one comes in black plastic of the pipette, where the pressure points, with a hole in it, causing malfunction. A few months ago I bought a bottle of this oil and everything was perfect. I hope that this drilling did not influence the quality of the product not being sealed. Be careful with these details please.</v>
      </c>
    </row>
    <row r="5817">
      <c r="A5817" s="1">
        <v>1.0</v>
      </c>
      <c r="B5817" s="1" t="s">
        <v>5779</v>
      </c>
      <c r="C5817" t="str">
        <f>IFERROR(__xludf.DUMMYFUNCTION("GOOGLETRANSLATE(B5817, ""es"", ""en"")"),"They do not sell separately lining! No purchase will occur, the lining can be washed but if it breaks or deforms have to buy the whole shoe because nobody sold separately.")</f>
        <v>They do not sell separately lining! No purchase will occur, the lining can be washed but if it breaks or deforms have to buy the whole shoe because nobody sold separately.</v>
      </c>
    </row>
    <row r="5818">
      <c r="A5818" s="1">
        <v>1.0</v>
      </c>
      <c r="B5818" s="1" t="s">
        <v>5780</v>
      </c>
      <c r="C5818" t="str">
        <f>IFERROR(__xludf.DUMMYFUNCTION("GOOGLETRANSLATE(B5818, ""es"", ""en"")"),"Connecting a headset with another is appalling. I bought this product after 6 years of use and abuse unjustified INTENSIVE my Aukey EP-B4 (model 2012). Tired of wireless headphones connected by a rope together, I decided to jump into a completely independ"&amp;"ent, and this seemed a reasonable alternative to cost about 180 euros AirPods. Nevertheless, citing Fairy, ""at the end, just cheap out expensive."" They have not made me take more than 30 minutes to return test. While it is doing sports (ergonomically ta"&amp;"pe, and keeping the stationary telephone at 4 cm distance) continuously connection (10 or 15 seconds) in either handset, when it is stable happen to get lost suddenly occur small gaps between each other, resulting in differences of up to 1 second on the i"&amp;"nformation that reaches each ear. Wow, a real trinket. Again, I return to Step Amazon and everything went smoothly.")</f>
        <v>Connecting a headset with another is appalling. I bought this product after 6 years of use and abuse unjustified INTENSIVE my Aukey EP-B4 (model 2012). Tired of wireless headphones connected by a rope together, I decided to jump into a completely independent, and this seemed a reasonable alternative to cost about 180 euros AirPods. Nevertheless, citing Fairy, "at the end, just cheap out expensive." They have not made me take more than 30 minutes to return test. While it is doing sports (ergonomically tape, and keeping the stationary telephone at 4 cm distance) continuously connection (10 or 15 seconds) in either handset, when it is stable happen to get lost suddenly occur small gaps between each other, resulting in differences of up to 1 second on the information that reaches each ear. Wow, a real trinket. Again, I return to Step Amazon and everything went smoothly.</v>
      </c>
    </row>
    <row r="5819">
      <c r="A5819" s="1">
        <v>4.0</v>
      </c>
      <c r="B5819" s="1" t="s">
        <v>5781</v>
      </c>
      <c r="C5819" t="str">
        <f>IFERROR(__xludf.DUMMYFUNCTION("GOOGLETRANSLATE(B5819, ""es"", ""en"")"),"Good product I really liked, with the lenses have to find the right distance, and the light that brings helps a lot when dwelling on things for me already need glasses to see up close, when welding or repair some circuit going pretty well.")</f>
        <v>Good product I really liked, with the lenses have to find the right distance, and the light that brings helps a lot when dwelling on things for me already need glasses to see up close, when welding or repair some circuit going pretty well.</v>
      </c>
    </row>
    <row r="5820">
      <c r="A5820" s="1">
        <v>4.0</v>
      </c>
      <c r="B5820" s="1" t="s">
        <v>5782</v>
      </c>
      <c r="C5820" t="str">
        <f>IFERROR(__xludf.DUMMYFUNCTION("GOOGLETRANSLATE(B5820, ""es"", ""en"")"),"Good pointer for slides Light passes. Good range pass allows slides forward and backward. Puts the presentation ""presentation"" so I tried it on Windows 10 not allowed to use the stylus that comes with PowerPoint does not allow Highlighter tools powerpoi"&amp;"nt NO can handle cursor mouse pointer laser incorporating, in my case, does not provide given that monitors anti-reflective, not worth. Light weight. I can handle it without ""visual"" contact with the receiver.")</f>
        <v>Good pointer for slides Light passes. Good range pass allows slides forward and backward. Puts the presentation "presentation" so I tried it on Windows 10 not allowed to use the stylus that comes with PowerPoint does not allow Highlighter tools powerpoint NO can handle cursor mouse pointer laser incorporating, in my case, does not provide given that monitors anti-reflective, not worth. Light weight. I can handle it without "visual" contact with the receiver.</v>
      </c>
    </row>
    <row r="5821">
      <c r="A5821" s="1">
        <v>4.0</v>
      </c>
      <c r="B5821" s="1" t="s">
        <v>5783</v>
      </c>
      <c r="C5821" t="str">
        <f>IFERROR(__xludf.DUMMYFUNCTION("GOOGLETRANSLATE(B5821, ""es"", ""en"")"),"no exact color Color is not the exact photo is green. Otherwise well, this is the brand I always use because it is the only bottle that wants my son. The grid having all well helps dissolve and does not carry many pieces to clean.")</f>
        <v>no exact color Color is not the exact photo is green. Otherwise well, this is the brand I always use because it is the only bottle that wants my son. The grid having all well helps dissolve and does not carry many pieces to clean.</v>
      </c>
    </row>
    <row r="5822">
      <c r="A5822" s="1">
        <v>4.0</v>
      </c>
      <c r="B5822" s="1" t="s">
        <v>5784</v>
      </c>
      <c r="C5822" t="str">
        <f>IFERROR(__xludf.DUMMYFUNCTION("GOOGLETRANSLATE(B5822, ""es"", ""en"")"),"Even very good price in a Chinese bazaar had such a good price for a consumable like this. The truth is that it is so worth it. At the moment I have missed a couple of CDs of many who have ironing, but probably by mistake on my recorder that quality CD's")</f>
        <v>Even very good price in a Chinese bazaar had such a good price for a consumable like this. The truth is that it is so worth it. At the moment I have missed a couple of CDs of many who have ironing, but probably by mistake on my recorder that quality CD's</v>
      </c>
    </row>
    <row r="5823">
      <c r="A5823" s="1">
        <v>4.0</v>
      </c>
      <c r="B5823" s="1" t="s">
        <v>5785</v>
      </c>
      <c r="C5823" t="str">
        <f>IFERROR(__xludf.DUMMYFUNCTION("GOOGLETRANSLATE(B5823, ""es"", ""en"")"),"Good for the price is right")</f>
        <v>Good for the price is right</v>
      </c>
    </row>
    <row r="5824">
      <c r="A5824" s="1">
        <v>5.0</v>
      </c>
      <c r="B5824" s="1" t="s">
        <v>5786</v>
      </c>
      <c r="C5824" t="str">
        <f>IFERROR(__xludf.DUMMYFUNCTION("GOOGLETRANSLATE(B5824, ""es"", ""en"")"),"Headphones jogging needed headphones to go jogging, did not want to struggle with cables normal headphones and I decided on these and I are perfect, they are very comfortable to wear and flexible, the material is soft, so it does not hurt to the use. It c"&amp;"onnects very quickly to the Bluetooth mobile and the sound is quite crisp. They have to keep a cool case which is fine to protect them, and also has different pads, so you can choose what you do better.")</f>
        <v>Headphones jogging needed headphones to go jogging, did not want to struggle with cables normal headphones and I decided on these and I are perfect, they are very comfortable to wear and flexible, the material is soft, so it does not hurt to the use. It connects very quickly to the Bluetooth mobile and the sound is quite crisp. They have to keep a cool case which is fine to protect them, and also has different pads, so you can choose what you do better.</v>
      </c>
    </row>
    <row r="5825">
      <c r="A5825" s="1">
        <v>5.0</v>
      </c>
      <c r="B5825" s="1" t="s">
        <v>5787</v>
      </c>
      <c r="C5825" t="str">
        <f>IFERROR(__xludf.DUMMYFUNCTION("GOOGLETRANSLATE(B5825, ""es"", ""en"")"),"Clean what the eyes do not see &lt;div id = ""video-block-R2ZN4UYERXZO07"" class = ""a-section a-spacing-small a-spacing-top mini video-block""&gt; &lt;div tabindex = ""0"" class = ""airy airy-svg vmin-unsupported airy-skin-beacon"" style = ""background-color: rgb"&amp;" (0, 0, 0) position: relative; width: 100%; height: 100%; font-size: 0px; overflow: hidden; outline: none; ""&gt; &lt;div class ="" airy-renderer-container ""style ="" position: relative; height: 100%; width: 100%; ""&gt; &lt;video id ="" 15 ""preload ="" auto ""src "&amp;"="" https://images-eu.ssl-images-amazon.com/images/I/B1XhxEAbtXS.mp4 ""style ="" position: absolute; left: 0px; top: 0px; overflow: hidden; height: 1px; width: 1px; ""&gt; &lt;/ video&gt; &lt;/ div&gt; &lt;div id ="" airy-slate-preload ""style ="" background-color: rgb (0,"&amp;" 0, 0); background-image: url (&amp; quot ; https: //images-eu.ssl-images-amazon.com/images/I/71eu2NrCnHS.png&amp;quot;); background-size: Contain; background-position: center center; background-repeat: no-repeat; position: absolute; top: 0px; left: 0px; visibili"&amp;"ty: visible; width: 100%; height: 100%; ""&gt; &lt;/ div&gt; &lt;i frame scrolling = ""no"" frameborder = ""0"" src = ""about: blank"" style = ""display: none;""&gt; &lt;/ iframe&gt; &lt;div tabindex = ""- 1"" class = ""airy-controls-container"" style = ""opacity: 0; visibility:"&amp;" hidden; ""&gt; &lt;div tabindex ="" - 1 ""class ="" airy-screen-size-toggle airy-fullscreen ""&gt; &lt;/ div&gt; &lt;div tabindex ="" - 1 ""class ="" airy-container-bottom "" &gt; &lt;div tabindex = ""- 1"" class = ""airy-track-bar-spacer-left"" style = ""width: 11px;""&gt; &lt;/ div"&amp;"&gt; &lt;div tabindex = ""- 1"" class = ""airy-play- airy toggle-play ""style ="" width: 12px; margin-right: 12px; ""&gt; &lt;/ div&gt; &lt;div tabindex ="" - 1 ""class ="" airy-audio-elements ""style ="" float: right; width: 34px; ""&gt; &lt;div tabindex ="" - 1 ""class ="" air"&amp;"y-audio-toggle airy-on ""&gt; &lt;/ div&gt; &lt;div tabindex ="" - 1 ""class ="" airy-audio-container ""style = ""opacity: 0; visibility: hidden; ""&gt; &lt;div tabindex ="" - 1 ""class ="" airy-audio-track-bar ""style ="" height: 80%; ""&gt; &lt;div tabindex ="" - 1 ""class ="""&amp;" airy-audio- Scrubber-bar ""style ="" height: 85%; ""&gt; &lt;/ div&gt; &lt;div tabindex ="" - 1 ""class ="" airy-audio-scrubber ""style ="" height: 12px; bottom: 85% ""&gt; &lt;/ div&gt; &lt;/ div&gt; &lt;/ div&gt; &lt;/ div&gt; &lt;div tabindex ="" - 1 ""class ="" airy-duration-label ""style ="&amp;""" float: right; width: 26px; margin-right: 4px; text-align: center; ""&gt; 0:47 &lt;/ div&gt; &lt;div tabindex ="" - 1 ""class ="" airy-track-bar-spacer-right ""style ="" float: right; width: 11px; ""&gt; &lt;/ div&gt; &lt;div tabindex ="" - 1 ""class ="" airy-track-bar-contain"&amp;"er ""style ="" margin-left: 35px; margin-right: 75px; ""&gt; &lt;div tabindex ="" - 1 ""class ="" airy-airy-track-bar vertically-centering-table ""&gt; &lt;div tabindex ="" - 1 ""class ="" airy-Vertical-centering- table-cell ""&gt; &lt;div tabindex ="" - 1 ""class ="" airy"&amp;"-track bar-elements ""&gt; &lt;div tabindex ="" - 1 ""class ="" airy-progress bar ""style ="" width: 100%; ""&gt; &lt;/ div&gt; &lt;div tabindex ="" - 1 ""class ="" airy-scrubber-bar ""&gt; &lt;/ div&gt; &lt;div tabindex ="" - 1 ""class ="" airy-scrubber ""&gt; &lt;div tabindex ="" - 1 ""cl"&amp;"ass ="" airy-scrubber-icon ""&gt; &lt;/ div&gt; &lt;div tabindex ="" - 1 ""class ="" airy-adjusted-AUI-tooltip ""style ="" opacity: 0; visibility: hidden; ""&gt; &lt;div tabindex ="" - 1 ""class ="" airy-adjusted-aui-tooltip-inner ""&gt; &lt;div tabindex ="" - 1 ""class ="" airy"&amp;"-current-time-label ""&gt; 0: 00 &lt;/ div&gt; &lt;/ div&gt; &lt;div tabindex = ""- 1"" class = ""airy-adjusted-AUI-arrow-border""&gt; &lt;div tabindex = ""- 1"" class = ""airy-adjusted-AUI-arrow"" &gt; &lt;/ div&gt; &lt;/ div&gt; &lt;/ div&gt; &lt;/ div&gt; &lt;/ div&gt; &lt;/ div&gt; &lt;/ div&gt; &lt;/ div&gt; &lt;/ div&gt; &lt;/ div&gt;"&amp;" &lt;div tabindex = ""- 1"" class = ""airy-age-gate airy-stage airy-Vertical-centering-table airy-dialog"" style = ""opacity: 0; visibility: hidden; ""&gt; &lt;div tabindex ="" - 1 ""class ="" airy-age-gate-Vertical-centering-table-cell airy-Vertical-centering-tab"&amp;"le-cell ""&gt; &lt;div tabindex ="" - 1 ""class = ""airy-Vertical-centering-wrapper airy-age-gate-elements-wrapper""&gt; &lt;div tabindex = ""- 1"" class = ""airy-age-gate-elements airy-dialog-elements""&gt; &lt;div tabindex = "" -1 ""class ="" airy-age-gate-prompt ""&gt; Thi"&amp;"s video is not Intended for all audiences What date were you born &lt;/ div&gt; &lt;div tabindex =.?"" - 1 ""class ="" airy-age-gate -inputs airy-dialog-inner-elements ""&gt; &lt;select tabindex ="" - 1 ""class ="" airy-age-gate-month ""&gt; &lt;option value ="" 1 ""&gt; January"&amp;" &lt;/ option&gt; &lt;option value ="" 2 ""&gt; February &lt;/ option&gt; &lt;option value ="" 3 ""&gt; March &lt;/ option&gt; &lt;option value ="" 4 ""&gt; April &lt;/ option&gt; &lt;option value ="" 5 ""&gt; May &lt;/ option&gt; &lt;option value = ""6""&gt; June &lt;/ option&gt; &lt;option value = ""7""&gt; July &lt;/ option&gt; "&amp;"&lt;option value = ""8""&gt; August &lt;/ option&gt; &lt;option value = ""9""&gt; September &lt;/ option&gt; &lt;option value = ""10""&gt; October &lt;/ option&gt; &lt;option value = ""11""&gt; November &lt;/ option&gt; &lt;option value = ""12""&gt; December &lt;/ option&gt; &lt;/ select&gt; &lt;select tabindex = ""- 1"" c"&amp;"lass = ""airy-age-gate-day""&gt; &lt;opti on value = ""1""&gt; 1 &lt;/ option&gt; &lt;option value = ""2""&gt; 2 &lt;/ option&gt; &lt;option value = ""3""&gt; 3 &lt;/ option&gt; &lt;option value = ""4""&gt; 4 &lt;/ option &gt; &lt;option value = ""5""&gt; 5 &lt;/ option&gt; &lt;option value = ""6""&gt; 6 &lt;/ option&gt; &lt;option"&amp;" value = ""7""&gt; 7 &lt;/ option&gt; &lt;option value = ""8""&gt; 8 &lt; / option&gt; &lt;option value = ""9""&gt; 9 &lt;/ option&gt; &lt;option value = ""10""&gt; 10 &lt;/ option&gt; &lt;option value = ""11""&gt; 11 &lt;/ option&gt; &lt;option value = ""12""&gt; 12 &lt;/ option&gt; &lt;option value = ""13""&gt; 13 &lt;/ option&gt; &lt;"&amp;"option value = ""14""&gt; 14 &lt;/ option&gt; &lt;option value = ""15""&gt; 15 &lt;/ option&gt; &lt;option value = ""16 ""&gt; 16 &lt;/ option&gt; &lt;option value ="" 17 ""&gt; 17 &lt;/ option&gt; &lt;option value ="" 18 ""&gt; 18 &lt;/ option&gt; &lt;option value ="" 19 ""&gt; 19 &lt;/ option&gt; &lt;option value = ""20""&gt; "&amp;"20 &lt;/ option&gt; &lt;option value = ""21""&gt; 21 &lt;/ option&gt; &lt;option value = ""22""&gt; 22 &lt;/ option&gt; &lt;option value = ""23""&gt; 23 &lt;/ option&gt; &lt;option value = ""24""&gt; 24 &lt;/ option&gt; &lt;option value = ""25""&gt; 25 &lt;/ option&gt; &lt;option value = ""26""&gt; 26 &lt;/ option&gt; &lt;option value"&amp;" = ""27""&gt; 27 &lt;/ option&gt; &lt;option value = ""28""&gt; 28 &lt;/ option&gt; &lt;option value = ""29""&gt; 29 &lt;/ option&gt; &lt;option value = ""30""&gt; 30 &lt;/ option&gt; &lt;option value = ""31""&gt; 31 &lt;/ option&gt; &lt;/ select&gt; &lt;select tabindex = ""- 1"" class = ""airy-age-gate-year""&gt; &lt;option "&amp;"value = ""2019""&gt; 2019 &lt;/ option&gt; &lt; option value = ""2018""&gt; 2018 &lt;/ option&gt; &lt;option value = ""2017""&gt; 2017 &lt;/ option&gt; &lt;option value = ""2016""&gt; ​​2016 &lt;/ option&gt; &lt;option value = ""2015""&gt; 2015 &lt;/ option &gt; &lt;option value = ""2014""&gt; 2014 &lt;/ option&gt; &lt;option"&amp;" value = ""2013""&gt; 2013 &lt;/ option&gt; &lt;option value = ""2012""&gt; 2012 &lt;/ option&gt; &lt;option value = ""2011""&gt; 2011 &lt; / option&gt; &lt;option value = ""2010""&gt; 2010 &lt;/ option&gt; &lt;option value = ""2009""&gt; 2009 &lt;/ option&gt; &lt;option value = ""2008""&gt; 2008 &lt;/ option&gt; &lt;option v"&amp;"alue = ""2007""&gt; 2007 &lt;/ option&gt; &lt;option value = ""2006""&gt; 2006 &lt;/ option&gt; &lt;option value = ""2005""&gt; 2005 &lt;/ option&gt; &lt;option value = ""2004""&gt; 2004 &lt;/ option&gt; &lt;option value = ""2003 ""&gt; 2003 &lt;/ option&gt; &lt;option value ="" 2002 ""&gt; 2002 &lt;/ option&gt; &lt;option va"&amp;"lue ="" 2001 ""&gt; 2001 &lt;/ option&gt; &lt;option value ="" 2000 ""&gt; 2000 &lt;/ option&gt; &lt;option value = ""1999""&gt; 1999 &lt;/ option&gt; &lt;option value = ""1998""&gt; 1998 &lt;/ option&gt; &lt;option value = ""1997""&gt; 1997 &lt;/ option&gt; &lt;option value = ""1996""&gt; 1996 &lt;/ option&gt; &lt;option val"&amp;"ue = ""1995""&gt; 1995 &lt;/ option&gt; &lt;option value = ""1994""&gt; 1994 &lt;/ option&gt; &lt;option value = ""1993""&gt; 1993 &lt;/ option&gt; &lt;option value = ""1992""&gt; 1992 &lt;/ option&gt; &lt;option value = ""1991""&gt; 1991 &lt;/ option&gt; &lt;option value = ""1990""&gt; 1990 &lt;/ option&gt; &lt;option value "&amp;"= "" 1989 ""&gt; 1989 &lt;/ option&gt; &lt;option value ="" 1988 ""&gt; 1988 &lt;/ option&gt; &lt;option value ="" 1987 ""&gt; 1987 &lt;/ option&gt; &lt;option value ="" 1986 ""&gt; 1986 &lt;/ option&gt; &lt;value option = ""1985""&gt; 1985 &lt;/ option&gt; &lt;option value = ""1984""&gt; 1984 &lt;/ option&gt; &lt;option valu"&amp;"e = ""1983""&gt; 1983 &lt;/ option&gt; &lt;option value = ""1982""&gt; 1982 &lt;/ option&gt; &lt; option value = ""1981""&gt; 1981 &lt;/ option&gt; &lt;option value = ""1980""&gt; 1980 &lt;/ option&gt; &lt;option value = ""1979""&gt; 1979 &lt;/ option&gt; &lt;option value = ""1978""&gt; 1978 &lt;/ option &gt; &lt;option value"&amp;" = ""1977""&gt; 1977 &lt;/ option&gt; &lt;option value = ""1976""&gt; 1976 &lt;/ option&gt; &lt;option value = ""1975""&gt; 1975 &lt;/ option&gt; &lt;option value = ""1974""&gt; 1974 &lt; / option&gt; &lt;option value = ""1973""&gt; 1973 &lt;/ option&gt; &lt;option value = ""1972""&gt; 1972 &lt;/ option&gt; &lt;option value ="&amp;" ""1971""&gt; 1971 &lt;/ option&gt; &lt;option value = ""1970""&gt; 1970 &lt;/ option&gt; &lt;option value = ""1969""&gt; 1969 &lt;/ option&gt; &lt;option value = ""1968""&gt; 1968 &lt;/ option&gt; &lt;option value = ""1967""&gt; 1967 &lt;/ option&gt; &lt;option value = ""1966 ""&gt; 1966 &lt;/ option&gt; &lt;option value ="""&amp;" 1965 ""&gt; 1965 &lt;/ option&gt; &lt;option value ="" 1964 ""&gt; 1964 &lt;/ option&gt; &lt;option value ="" 1963 ""&gt; 1963 &lt;/ option&gt; &lt;option value = ""1962""&gt; 1962 &lt;/ option&gt; &lt;option value = ""1961""&gt; 1961 &lt;/ option&gt; &lt;option value = ""1960""&gt; 1960 &lt;/ op tion&gt; &lt;option value = "&amp;"""1959""&gt; 1959 &lt;/ option&gt; &lt;option value = ""1958""&gt; 1958 &lt;/ option&gt; &lt;option value = ""1957""&gt; 1957 &lt;/ option&gt; &lt;option value = ""1956""&gt; 1956 &lt;/ option&gt; &lt;option value = ""1955""&gt; 1955 &lt;/ option&gt; &lt;option value = ""1954""&gt; 1954 &lt;/ option&gt; &lt;option value = ""1"&amp;"953""&gt; 1953 &lt;/ option&gt; &lt;option value = ""1952"" &gt; 1952 &lt;/ option&gt; &lt;option value = ""1951""&gt; 1951 &lt;/ option&gt; &lt;option value = ""1950""&gt; 1950 &lt;/ option&gt; &lt;option value = ""1949""&gt; 1949 &lt;/ option&gt; &lt;option value = "" 1948 ""&gt; 1948 &lt;/ option&gt; &lt;option value ="" 1"&amp;"947 ""&gt; 1947 &lt;/ option&gt; &lt;option value ="" 1946 ""&gt; 1946 &lt;/ option&gt; &lt;option value ="" 1945 ""&gt; 1945 &lt;/ option&gt; &lt;value option = ""1944""&gt; 1944 &lt;/ option&gt; &lt;option value = ""1943""&gt; 1943 &lt;/ option&gt; &lt;option value = ""1942""&gt; 1942 &lt;/ option&gt; &lt;option value = ""1"&amp;"941""&gt; 1941 &lt;/ option&gt; &lt; option value = ""1940""&gt; 1940 &lt;/ option&gt; &lt;option value = ""1939""&gt; 1939 &lt;/ option&gt; &lt;option value = ""1938""&gt; 1938 &lt;/ option&gt; &lt;option value = ""1937""&gt; 1937 &lt;/ option &gt; &lt;option value = ""1936""&gt; 1936 &lt;/ option&gt; &lt;option value = ""19"&amp;"35""&gt; 1935 &lt;/ option&gt; &lt;option value = ""1934""&gt; 1934 &lt;/ option&gt; &lt;option value = ""1933""&gt; 1933 &lt; / option&gt; &lt;option value = ""1932""&gt; 1932 &lt;/ option&gt; &lt;option value = ""1931""&gt; 1931 &lt;/ option&gt; &lt;option v alue = ""1930""&gt; 1930 &lt;/ option&gt; &lt;option value = ""192"&amp;"9""&gt; 1929 &lt;/ option&gt; &lt;option value = ""1928""&gt; 1928 &lt;/ option&gt; &lt;option value = ""1927""&gt; 1927 &lt;/ option&gt; &lt;option value = ""1926""&gt; 1926 &lt;/ option&gt; &lt;option value = ""1925""&gt; 1925 &lt;/ option&gt; &lt;option value = ""1924""&gt; 1924 &lt;/ option&gt; &lt;option value = ""1923"""&amp;"&gt; 1923 &lt;/ option&gt; &lt;option value = ""1922""&gt; 1922 &lt;/ option&gt; &lt;option value = ""1921""&gt; 1921 &lt;/ option&gt; &lt;option value = ""1920""&gt; 1920 &lt;/ option&gt; &lt;option value = ""1919""&gt; 1919 &lt;/ option&gt; &lt;option value = ""1918""&gt; 1918 &lt;/ option&gt; &lt;option value = ""1917""&gt; 1"&amp;"917 &lt;/ option&gt; &lt;option value = ""1916""&gt; 1916 &lt;/ option&gt; &lt;option value = ""1915"" &gt; 1915 &lt;/ option&gt; &lt;option value = ""1914""&gt; 1914 &lt;/ option&gt; &lt;option value = ""1913""&gt; 1913 &lt;/ option&gt; &lt;option value = ""1912""&gt; 1912 &lt;/ option&gt; &lt;option value = "" 1911 ""&gt; 1"&amp;"911 &lt;/ option&gt; &lt;option value ="" 1910 ""&gt; 1910 &lt;/ option&gt; &lt;option value ="" 1909 ""&gt; 1909 &lt;/ option&gt; &lt;option value ="" 1908 ""&gt; 1908 &lt;/ option&gt; &lt;value option = ""1907""&gt; 1907 &lt;/ option&gt; &lt;option value = ""1906""&gt; 1906 &lt;/ option&gt; &lt;option value = ""1905""&gt; 1"&amp;"905 &lt;/ option&gt; &lt;option value = ""1904""&gt; 1904 &lt;/ option&gt; &lt; option value = ""1903""&gt; 1903 &lt;/ option&gt; &lt;option value = ""1902""&gt; 1902 &lt;/ option&gt; &lt;option value = ""1901""&gt; 19 01 &lt;/ option&gt; &lt;option value = ""1900""&gt; 1900 &lt;/ option&gt; &lt;/ select&gt; &lt;div tabindex = "&amp;"""- 1"" class = ""airy-age-gate-submit airy-submit-button airy airy-submit- disabled ""&gt; Submit &lt;/ div&gt; &lt;/ div&gt; &lt;/ div&gt; &lt;/ div&gt; &lt;/ div&gt; &lt;/ div&gt; &lt;div tabindex ="" - 1 ""class ="" airy-install-flash-dialog airy-stage airy -vertical-centering-table-dialog ai"&amp;"ry airy-denied ""style ="" opacity: 0; visibility: hidden; ""&gt; &lt;div tabindex ="" - 1 ""class ="" airy-install-flash-Vertical-centering-table-cell airy-Vertical-centering-table-cell ""&gt; &lt;div tabindex ="" - 1 ""class = ""airy-Vertical-centering-wrapper airy"&amp;"-install-flash-elements-wrapper""&gt; &lt;div tabindex = ""- 1"" class = ""airy-install-flash-elements airy-dialog-elements""&gt; &lt;div tabindex = "" -1 ""class ="" airy-install-flash-prompt ""&gt; Adobe Flash Player is required to watch this video &lt;/ div&gt; &lt;div tabind"&amp;"ex =."" - 1 ""class ="" airy-install-flash-button-wrapper airy -dialog-inner-elements ""&gt; &lt;div tabindex ="" - 1 ""class ="" airy-install-flash-button airy-button ""&gt; install Flash Player &lt;/ div&gt; &lt;/ div&gt; &lt;/ div&gt; &lt;/ div&gt; &lt;/ div&gt; &lt;/ div&gt; &lt;div tabindex = ""- "&amp;"1"" class = ""airy-video-unsupported-dialog airy-stage airy-Vertical-centering-table airy-dialog airy-denied"" style = ""opacity: 0; visibility: hidden; ""&gt; &lt;div tabindex ="" - 1 ""class ="" airy-video-unsupported-Vertical-centering-table-cell airy-Vertic"&amp;"al-centering-table-cell ""&gt; &lt;div tabindex ="" - 1 ""class = ""airy-Vertical-centering-wrapper airy-video-unsupported-elements-wrapper""&gt; &lt;div tabindex = ""- 1"" class = ""airy-video-unsupported-elements airy-dialog-elements""&gt; &lt;div tabindex = "" -1 ""clas"&amp;"s ="" airy-video-unsupported-prompt ""&gt; &lt;/ div&gt; &lt;/ div&gt; &lt;/ div&gt; &lt;/ div&gt; &lt;/ div&gt; &lt;div tabindex ="" - 1 ""class ="" airy-loading- spinner-stage airy-stage ""&gt; &lt;div tabindex ="" - 1 ""class ="" airy-loading-spinner-Vertical-centering-table-cell airy-Vertical"&amp;"-centering-table-cell ""&gt; &lt;div tabindex ="" - 1 ""class ="" airy-loading-spinner-container airy-scalable-hint-container ""&gt; &lt;div tabindex ="" - 1 ""class ="" airy-loading-spinner-dummy airy-scalable-dummy ""&gt; &lt;/ div&gt; &lt; div tabindex = ""- 1"" class = ""air"&amp;"y-loading-spinner airy-hint"" style = ""visibility: hidden;""&gt; &lt;/ div&gt; &lt;/ div&gt; &lt;/ div&gt; &lt;/ div&gt; &lt;div tabindex = ""- 1 ""class ="" airy-ads-screen-size-toggle airy-screen-size-toggle-fullscreen airy ""style ="" visibility: hidden; ""&gt; &lt;/ div&gt; &lt;div tabindex "&amp;"= ""-1"" class = ""airy-ad-prompt-container"" style = ""visibility: hidden;""&gt; &lt;div tabindex = ""- 1"" class = ""airy-ad-prompt-Vertical-centering-table-vertically airy centering-table ""&gt; &lt;div tabindex ="" - 1 ""class ="" airy-ad-prompt-Vertical-centerin"&amp;"g-table-cell airy-Vertical-centering-table-cell ""&gt; &lt;div tabindex ="" - 1 ""class = ""airy-ad-prompt-label""&gt; &lt;/ div&gt; &lt;/ div&gt; &lt;/ div&gt; &lt;/ div&gt; &lt;div tabindex = ""- 1"" class = ""airy-ads-controls-container"" style = ""visibility: hidden; ""&gt; &lt;div tabindex ="&amp;""" - 1 ""class ="" airy-ads-audio-toggle airy-audio-toggle airy-on ""style ="" visibility: hidden; ""&gt; &lt;/ div&gt; &lt;div tabindex ="" - 1 ""class ="" airy-time-remaining-label-container ""&gt; &lt;div tabindex ="" - 1 ""class ="" airy-time-remaining-Vertical-centeri"&amp;"ng-table airy-Vertical-centering-table ""&gt; &lt;div tabindex = ""- 1"" class = ""airy-time-remaining-Vertical-centering-table-cell airy-Vertical-centering-table-cell""&gt; &lt;div tabindex = ""- 1"" class = ""airy-Vertical-centering-wrapper airy-time-remaining-labe"&amp;"l-wrapper ""&gt; &lt;div tabindex ="" - 1 ""class ="" airy-time-remaining-label ""style ="" visibility: hidden; ""&gt; &lt;/ div&gt; &lt;div tabi ndex = ""- 1"" class = ""airy-ad-skip"" style = ""visibility: hidden;""&gt; &lt;/ div&gt; &lt;div tabindex = ""- 1"" class = ""airy-ad-end"&amp;""" style = ""visibility: hidden ""&gt; &lt;/ div&gt; &lt;/ div&gt; &lt;/ div&gt; &lt;/ div&gt; &lt;/ div&gt; &lt;div tabindex ="" - 1 ""class ="" airy-learn-more ""style ="" visibility: hidden; ""&gt; &lt;/ div&gt; &lt;/ div&gt; &lt;div tabindex = ""- 1"" class = ""airy-play-toggle-hint-stage airy-stage airy"&amp;"-cursor""&gt; &lt;div tabindex = ""- 1"" class = ""airy-play -toggle-hint-Vertical-centering-table-cell airy-Vertical-centering-table-cell airy-cursor ""&gt; &lt;div tabindex ="" - 1 ""class ="" airy-play-toggle-hint-container airy-scalable- Hint-container ""&gt; &lt;div t"&amp;"abindex ="" - 1 ""class ="" airy-play-toggle-hint-dummy airy-scalable-dummy ""&gt; &lt;/ div&gt; &lt;div tabindex ="" - 1 ""class ="" airy-play -toggle-hint hint airy-airy-play-hint ""style ="" opacity: 1; visibility: visible; ""&gt; &lt;/ div&gt; &lt;/ div&gt; &lt;/ div&gt; &lt;/ div&gt; &lt;div"&amp;" tabindex ="" - 1 ""class ="" airy-replay-hint-stage airy-stage ""style ="" visibility: hidden ; ""&gt; &lt;div tabindex ="" - 1 ""class ="" airy-replay-hint-Vertical-centering-table-cell airy-Vertical-centering-table-cell airy-cursor ""&gt; &lt;div tabindex ="" - 1 "&amp;"""class = ""airy-replay-hint-container airy-scalable-hint-container""&gt; &lt;div tabindex = ""- 1"" class = ""airy-replay-hint-dummy airy-scalable-dummy""&gt; &lt;/ div&gt; &lt;div tabindex = ""- 1"" class = ""airy-replay-hint airy-hint""&gt; &lt;/ div&gt; &lt;/ div&gt; &lt;/ div&gt; &lt;/ div&gt; "&amp;"&lt;div tabindex = ""- 1"" class = ""airy-autoplay-hint -stage airy-stage ""style ="" visibility: hidden; ""&gt; &lt;div tabindex ="" - 1 ""class ="" airy-autoplay-hint-Vertical-centering-table-cell airy-Vertical-centering-table-cell airy- cursor ""&gt; &lt;div tabindex"&amp;" ="" - 1 ""class ="" autoplay airy-airy-hint-container-scalable-hint-container ""&gt; &lt;div tabindex ="" - 1 ""class ="" airy-autoplay-hint-dummy airy- scalable-dummy ""&gt; &lt;/ div&gt; &lt;/ div&gt; &lt;/ div&gt; &lt;/ div&gt; &lt;/ div&gt; &lt;/ div&gt; &lt;input type ="" hidden ""name ="" ""valu"&amp;"e ="" https: // images-eu .ssl-images-amazon.com / images / I / B1XhxEAbtXS.mp4 ""Class ="" video-url ""&gt; &lt;input type ="" hidden ""name ="" ""value ="" https://images-eu.ssl-images-amazon.com/images/I/71eu2NrCnHS.png ""class ="" video-slate-img-url ""&gt; &amp; "&amp;"nbsp; I like the ease of use and the work takes you. It's amazing, I thought I would have to return by inefficiency and am very surprised.")</f>
        <v>Clean what the eyes do not see &lt;div id = "video-block-R2ZN4UYERXZO07" class = "a-section a-spacing-small a-spacing-top mini video-block"&gt; &lt;div tabindex = "0" class = "airy airy-svg vmin-unsupported airy-skin-beacon" style = "background-color: rgb (0, 0, 0) position: relative; width: 100%; height: 100%; font-size: 0px; overflow: hidden; outline: none; "&gt; &lt;div class =" airy-renderer-container "style =" position: relative; height: 100%; width: 100%; "&gt; &lt;video id =" 15 "preload =" auto "src =" https://images-eu.ssl-images-amazon.com/images/I/B1XhxEAbtXS.mp4 "style =" position: absolute; left: 0px; top: 0px; overflow: hidden; height: 1px; width: 1px; "&gt; &lt;/ video&gt; &lt;/ div&gt; &lt;div id =" airy-slate-preload "style =" background-color: rgb (0, 0, 0); background-image: url (&amp; quot ; https: //images-eu.ssl-images-amazon.com/images/I/71eu2NrCnHS.png&amp;quot;); background-size: Contain; background-position: center center; background-repeat: no-repeat; position: absolute; top: 0px; left: 0px; visibility: visible; width: 100%; height: 100%; "&gt; &lt;/ div&gt; &lt;i 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0:47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 bar-elements "&gt; &lt;div tabindex =" - 1 "class =" airy-progress bar "style =" width: 100%;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B1XhxEAbtXS.mp4 "Class =" video-url "&gt; &lt;input type =" hidden "name =" "value =" https://images-eu.ssl-images-amazon.com/images/I/71eu2NrCnHS.png "class =" video-slate-img-url "&gt; &amp; nbsp; I like the ease of use and the work takes you. It's amazing, I thought I would have to return by inefficiency and am very surprised.</v>
      </c>
    </row>
    <row r="5826">
      <c r="A5826" s="1">
        <v>5.0</v>
      </c>
      <c r="B5826" s="1" t="s">
        <v>5788</v>
      </c>
      <c r="C5826" t="str">
        <f>IFERROR(__xludf.DUMMYFUNCTION("GOOGLETRANSLATE(B5826, ""es"", ""en"")"),"For a price like this you can not ask for more The truth is that I expected less for this price, these headphones are very practical not only because they do not bother anything posts, but also have a good way to fold for storage. Low hear well, checked w"&amp;"ith a direct Stray Cats (one of the members with Solea bass) and some springs rap low background. In addition the sound is crisp, and if your mobile / player has a good sound quality, these helmets are your best allies for music consumption anywhere. Defi"&amp;"nitely recommend them, now I need to see what last.")</f>
        <v>For a price like this you can not ask for more The truth is that I expected less for this price, these headphones are very practical not only because they do not bother anything posts, but also have a good way to fold for storage. Low hear well, checked with a direct Stray Cats (one of the members with Solea bass) and some springs rap low background. In addition the sound is crisp, and if your mobile / player has a good sound quality, these helmets are your best allies for music consumption anywhere. Definitely recommend them, now I need to see what last.</v>
      </c>
    </row>
    <row r="5827">
      <c r="A5827" s="1">
        <v>5.0</v>
      </c>
      <c r="B5827" s="1" t="s">
        <v>5789</v>
      </c>
      <c r="C5827" t="str">
        <f>IFERROR(__xludf.DUMMYFUNCTION("GOOGLETRANSLATE(B5827, ""es"", ""en"")"),"Okay You order less than the average number that usually leads give more number. I had to make this change in the number and all great with Amazon, fast and efficient. The shoes are very nice and very good. Very good experience")</f>
        <v>Okay You order less than the average number that usually leads give more number. I had to make this change in the number and all great with Amazon, fast and efficient. The shoes are very nice and very good. Very good experience</v>
      </c>
    </row>
    <row r="5828">
      <c r="A5828" s="1">
        <v>5.0</v>
      </c>
      <c r="B5828" s="1" t="s">
        <v>5790</v>
      </c>
      <c r="C5828" t="str">
        <f>IFERROR(__xludf.DUMMYFUNCTION("GOOGLETRANSLATE(B5828, ""es"", ""en"")"),"Good Humidifier that combines great with any wooden cabinet for its exterior aesthetics imitating wood. Thanks to the leadership, easy to use, lets you change the colors and patterns steam graduate them to taste and schedule them to go out at the time of "&amp;"use. Regal comes with 4 small cans 4 different essential oils and super powerful odors which give atmosphere to the incredible room.")</f>
        <v>Good Humidifier that combines great with any wooden cabinet for its exterior aesthetics imitating wood. Thanks to the leadership, easy to use, lets you change the colors and patterns steam graduate them to taste and schedule them to go out at the time of use. Regal comes with 4 small cans 4 different essential oils and super powerful odors which give atmosphere to the incredible room.</v>
      </c>
    </row>
    <row r="5829">
      <c r="A5829" s="1">
        <v>5.0</v>
      </c>
      <c r="B5829" s="1" t="s">
        <v>5791</v>
      </c>
      <c r="C5829" t="str">
        <f>IFERROR(__xludf.DUMMYFUNCTION("GOOGLETRANSLATE(B5829, ""es"", ""en"")"),"good chain a little big but I went to a watch shop and I adjusted otherwise very good time")</f>
        <v>good chain a little big but I went to a watch shop and I adjusted otherwise very good time</v>
      </c>
    </row>
    <row r="5830">
      <c r="A5830" s="1">
        <v>5.0</v>
      </c>
      <c r="B5830" s="1" t="s">
        <v>5792</v>
      </c>
      <c r="C5830" t="str">
        <f>IFERROR(__xludf.DUMMYFUNCTION("GOOGLETRANSLATE(B5830, ""es"", ""en"")"),"great as seen in the picture, true to its description, I have not tried them all yet, but it seems to work")</f>
        <v>great as seen in the picture, true to its description, I have not tried them all yet, but it seems to work</v>
      </c>
    </row>
    <row r="5831">
      <c r="A5831" s="1">
        <v>5.0</v>
      </c>
      <c r="B5831" s="1" t="s">
        <v>5793</v>
      </c>
      <c r="C5831" t="str">
        <f>IFERROR(__xludf.DUMMYFUNCTION("GOOGLETRANSLATE(B5831, ""es"", ""en"")"),"Value is fine perfect for large breasts")</f>
        <v>Value is fine perfect for large breasts</v>
      </c>
    </row>
    <row r="5832">
      <c r="A5832" s="1">
        <v>5.0</v>
      </c>
      <c r="B5832" s="1" t="s">
        <v>5794</v>
      </c>
      <c r="C5832" t="str">
        <f>IFERROR(__xludf.DUMMYFUNCTION("GOOGLETRANSLATE(B5832, ""es"", ""en"")"),"They are the glory! I surprised myself as soon as preferring to keep them premiered so comfortable and warm they are, instead of changing my slippers home (and that the latter are very comfortable).")</f>
        <v>They are the glory! I surprised myself as soon as preferring to keep them premiered so comfortable and warm they are, instead of changing my slippers home (and that the latter are very comfortable).</v>
      </c>
    </row>
    <row r="5833">
      <c r="A5833" s="1">
        <v>5.0</v>
      </c>
      <c r="B5833" s="1" t="s">
        <v>5795</v>
      </c>
      <c r="C5833" t="str">
        <f>IFERROR(__xludf.DUMMYFUNCTION("GOOGLETRANSLATE(B5833, ""es"", ""en"")"),"I bought good choice to go to match a sweatshirt of the same make and have made a good choice. Elastic pants, but with tape to adjust. Fine and comfortable.")</f>
        <v>I bought good choice to go to match a sweatshirt of the same make and have made a good choice. Elastic pants, but with tape to adjust. Fine and comfortable.</v>
      </c>
    </row>
    <row r="5834">
      <c r="A5834" s="1">
        <v>5.0</v>
      </c>
      <c r="B5834" s="1" t="s">
        <v>5796</v>
      </c>
      <c r="C5834" t="str">
        <f>IFERROR(__xludf.DUMMYFUNCTION("GOOGLETRANSLATE(B5834, ""es"", ""en"")"),"I expected speed and capacity than expected, I do not see much to value. He came sooner than expected and perfectly packed, I bought 2 and perfect. I hope also the expected duration, but the brand is I've used for a long time and do not usually cause prob"&amp;"lems ever.")</f>
        <v>I expected speed and capacity than expected, I do not see much to value. He came sooner than expected and perfectly packed, I bought 2 and perfect. I hope also the expected duration, but the brand is I've used for a long time and do not usually cause problems ever.</v>
      </c>
    </row>
    <row r="5835">
      <c r="A5835" s="1">
        <v>5.0</v>
      </c>
      <c r="B5835" s="1" t="s">
        <v>5797</v>
      </c>
      <c r="C5835" t="str">
        <f>IFERROR(__xludf.DUMMYFUNCTION("GOOGLETRANSLATE(B5835, ""es"", ""en"")"),"Very handy handy, plastic is durable and has a tab for saving documents")</f>
        <v>Very handy handy, plastic is durable and has a tab for saving documents</v>
      </c>
    </row>
    <row r="5836">
      <c r="A5836" s="1">
        <v>5.0</v>
      </c>
      <c r="B5836" s="1" t="s">
        <v>5798</v>
      </c>
      <c r="C5836" t="str">
        <f>IFERROR(__xludf.DUMMYFUNCTION("GOOGLETRANSLATE(B5836, ""es"", ""en"")"),"It works reliable replacement pwrfectamente")</f>
        <v>It works reliable replacement pwrfectamente</v>
      </c>
    </row>
    <row r="5837">
      <c r="A5837" s="1">
        <v>5.0</v>
      </c>
      <c r="B5837" s="1" t="s">
        <v>5799</v>
      </c>
      <c r="C5837" t="str">
        <f>IFERROR(__xludf.DUMMYFUNCTION("GOOGLETRANSLATE(B5837, ""es"", ""en"")"),"Nice touch right to give away money meets expectations")</f>
        <v>Nice touch right to give away money meets expectations</v>
      </c>
    </row>
    <row r="5838">
      <c r="A5838" s="1">
        <v>5.0</v>
      </c>
      <c r="B5838" s="1" t="s">
        <v>5800</v>
      </c>
      <c r="C5838" t="str">
        <f>IFERROR(__xludf.DUMMYFUNCTION("GOOGLETRANSLATE(B5838, ""es"", ""en"")"),"GREAT SOUND For me overall I like these helmets. I are well suited, are lightweight, are very well tolerated for a long time and using them are compounds material it is good. The majority use them is listening via Bluetooth, want to highlight the durabili"&amp;"ty of the battery. The sound is excellent especially with the ANC enabled. With the ANC enabled some external noises are heard, it's something I found negative, but it still listens very well. I recommend purchase, with these benefits and its price for me"&amp;" are excellent.")</f>
        <v>GREAT SOUND For me overall I like these helmets. I are well suited, are lightweight, are very well tolerated for a long time and using them are compounds material it is good. The majority use them is listening via Bluetooth, want to highlight the durability of the battery. The sound is excellent especially with the ANC enabled. With the ANC enabled some external noises are heard, it's something I found negative, but it still listens very well. I recommend purchase, with these benefits and its price for me are excellent.</v>
      </c>
    </row>
    <row r="5839">
      <c r="A5839" s="1">
        <v>5.0</v>
      </c>
      <c r="B5839" s="1" t="s">
        <v>5801</v>
      </c>
      <c r="C5839" t="str">
        <f>IFERROR(__xludf.DUMMYFUNCTION("GOOGLETRANSLATE(B5839, ""es"", ""en"")"),"Good quality, good price is a tray of good quality and good price. Complies with what is needed and is easy to assemble")</f>
        <v>Good quality, good price is a tray of good quality and good price. Complies with what is needed and is easy to assemble</v>
      </c>
    </row>
    <row r="5840">
      <c r="A5840" s="1">
        <v>5.0</v>
      </c>
      <c r="B5840" s="1" t="s">
        <v>5802</v>
      </c>
      <c r="C5840" t="str">
        <f>IFERROR(__xludf.DUMMYFUNCTION("GOOGLETRANSLATE(B5840, ""es"", ""en"")"),"Good and nice product I bought stunning necklace gift and which liked. It comes in a nice box.")</f>
        <v>Good and nice product I bought stunning necklace gift and which liked. It comes in a nice box.</v>
      </c>
    </row>
    <row r="5841">
      <c r="A5841" s="1">
        <v>5.0</v>
      </c>
      <c r="B5841" s="1" t="s">
        <v>5803</v>
      </c>
      <c r="C5841" t="str">
        <f>IFERROR(__xludf.DUMMYFUNCTION("GOOGLETRANSLATE(B5841, ""es"", ""en"")"),"good product occupies all space usual work, adheres well and does not collect excessive dust. The mouse is great on this surface")</f>
        <v>good product occupies all space usual work, adheres well and does not collect excessive dust. The mouse is great on this surface</v>
      </c>
    </row>
    <row r="5842">
      <c r="A5842" s="1">
        <v>2.0</v>
      </c>
      <c r="B5842" s="1" t="s">
        <v>5804</v>
      </c>
      <c r="C5842" t="str">
        <f>IFERROR(__xludf.DUMMYFUNCTION("GOOGLETRANSLATE(B5842, ""es"", ""en"")"),"Nothing to stand Exageramente noisy compressor to the coffee out, support brackets have changed to have more contact in marble and not move in time to put the porta filter handle")</f>
        <v>Nothing to stand Exageramente noisy compressor to the coffee out, support brackets have changed to have more contact in marble and not move in time to put the porta filter handle</v>
      </c>
    </row>
    <row r="5843">
      <c r="A5843" s="1">
        <v>3.0</v>
      </c>
      <c r="B5843" s="1" t="s">
        <v>5805</v>
      </c>
      <c r="C5843" t="str">
        <f>IFERROR(__xludf.DUMMYFUNCTION("GOOGLETRANSLATE(B5843, ""es"", ""en"")"),"New? stained but I have missed the shoes were ""proven"" by someone. It seems to be a return because they have some stains. The box is torn, perhaps for transportation.")</f>
        <v>New? stained but I have missed the shoes were "proven" by someone. It seems to be a return because they have some stains. The box is torn, perhaps for transportation.</v>
      </c>
    </row>
    <row r="5844">
      <c r="A5844" s="1">
        <v>3.0</v>
      </c>
      <c r="B5844" s="1" t="s">
        <v>5806</v>
      </c>
      <c r="C5844" t="str">
        <f>IFERROR(__xludf.DUMMYFUNCTION("GOOGLETRANSLATE(B5844, ""es"", ""en"")"),"Powerless The vacuum cleaner itself is not bad for maintenance cleaning, dust going pretty well but for heavier stuff does not have power. Battery life is not much better either of the lidl seems to me")</f>
        <v>Powerless The vacuum cleaner itself is not bad for maintenance cleaning, dust going pretty well but for heavier stuff does not have power. Battery life is not much better either of the lidl seems to me</v>
      </c>
    </row>
    <row r="5845">
      <c r="A5845" s="1">
        <v>3.0</v>
      </c>
      <c r="B5845" s="1" t="s">
        <v>5807</v>
      </c>
      <c r="C5845" t="str">
        <f>IFERROR(__xludf.DUMMYFUNCTION("GOOGLETRANSLATE(B5845, ""es"", ""en"")"),"TO PLAY MY NIECES For the price they are not bad. The girl in the picture must have a superfine fingers, these rings come tell my nieces and may not on every finger. You see in the picture where I get to me. I am of various sizes, have put what measures t"&amp;"he largest and the smallest, and then measuring my covenant so that more or less calculeis if you can come. And I say that look like child not an adult. For the price I will not complain, I said, to play my nieces.")</f>
        <v>TO PLAY MY NIECES For the price they are not bad. The girl in the picture must have a superfine fingers, these rings come tell my nieces and may not on every finger. You see in the picture where I get to me. I am of various sizes, have put what measures the largest and the smallest, and then measuring my covenant so that more or less calculeis if you can come. And I say that look like child not an adult. For the price I will not complain, I said, to play my nieces.</v>
      </c>
    </row>
    <row r="5846">
      <c r="A5846" s="1">
        <v>1.0</v>
      </c>
      <c r="B5846" s="1" t="s">
        <v>5808</v>
      </c>
      <c r="C5846" t="str">
        <f>IFERROR(__xludf.DUMMYFUNCTION("GOOGLETRANSLATE(B5846, ""es"", ""en"")"),"Failure just over a year I bought this watch in November 2016, and I use it every day. Since a month ago no longer see the numbers well on screen. I thought it was the battery, which according to the publicity last 10 years, but the watchmaker told me tha"&amp;"t it is due to a fault in the circuit. I would not expect this from Casio. I hope you Warrantable, because if you do not buy the watch is throwing money away. As seen, the lines are blurred, and does not look good when")</f>
        <v>Failure just over a year I bought this watch in November 2016, and I use it every day. Since a month ago no longer see the numbers well on screen. I thought it was the battery, which according to the publicity last 10 years, but the watchmaker told me that it is due to a fault in the circuit. I would not expect this from Casio. I hope you Warrantable, because if you do not buy the watch is throwing money away. As seen, the lines are blurred, and does not look good when</v>
      </c>
    </row>
    <row r="5847">
      <c r="A5847" s="1">
        <v>1.0</v>
      </c>
      <c r="B5847" s="1" t="s">
        <v>5809</v>
      </c>
      <c r="C5847" t="str">
        <f>IFERROR(__xludf.DUMMYFUNCTION("GOOGLETRANSLATE(B5847, ""es"", ""en"")"),"I have been out malisimo Buy two hard disk 1TB model 1 returned it a week because funcinaba wrong (left to detect the bios). The last has lasted me 5 months to the start well, right now is giving me rate reading, writing and hangs very low at times. Not b"&amp;"ack to buy these disc or recommend them.")</f>
        <v>I have been out malisimo Buy two hard disk 1TB model 1 returned it a week because funcinaba wrong (left to detect the bios). The last has lasted me 5 months to the start well, right now is giving me rate reading, writing and hangs very low at times. Not back to buy these disc or recommend them.</v>
      </c>
    </row>
    <row r="5848">
      <c r="A5848" s="1">
        <v>4.0</v>
      </c>
      <c r="B5848" s="1" t="s">
        <v>5810</v>
      </c>
      <c r="C5848" t="str">
        <f>IFERROR(__xludf.DUMMYFUNCTION("GOOGLETRANSLATE(B5848, ""es"", ""en"")"),"SOLOMON shoes Speed ​​Cross 4 running shoe Great oara x x mud or loose ground, yes ask for another number x which is a somewhat narrow.")</f>
        <v>SOLOMON shoes Speed ​​Cross 4 running shoe Great oara x x mud or loose ground, yes ask for another number x which is a somewhat narrow.</v>
      </c>
    </row>
    <row r="5849">
      <c r="A5849" s="1">
        <v>4.0</v>
      </c>
      <c r="B5849" s="1" t="s">
        <v>5811</v>
      </c>
      <c r="C5849" t="str">
        <f>IFERROR(__xludf.DUMMYFUNCTION("GOOGLETRANSLATE(B5849, ""es"", ""en"")"),"Good sound, which is important in headphones generally do not engage well, these either. Good sound")</f>
        <v>Good sound, which is important in headphones generally do not engage well, these either. Good sound</v>
      </c>
    </row>
    <row r="5850">
      <c r="A5850" s="1">
        <v>4.0</v>
      </c>
      <c r="B5850" s="1" t="s">
        <v>5812</v>
      </c>
      <c r="C5850" t="str">
        <f>IFERROR(__xludf.DUMMYFUNCTION("GOOGLETRANSLATE(B5850, ""es"", ""en"")"),"A nice little small, but very nice")</f>
        <v>A nice little small, but very nice</v>
      </c>
    </row>
    <row r="5851">
      <c r="A5851" s="1">
        <v>4.0</v>
      </c>
      <c r="B5851" s="1" t="s">
        <v>5813</v>
      </c>
      <c r="C5851" t="str">
        <f>IFERROR(__xludf.DUMMYFUNCTION("GOOGLETRANSLATE(B5851, ""es"", ""en"")"),"Good speaker wire cable'm happy with, I do not get it 5 stars because the section is a little smaller than 2.5 mm. It is copper")</f>
        <v>Good speaker wire cable'm happy with, I do not get it 5 stars because the section is a little smaller than 2.5 mm. It is copper</v>
      </c>
    </row>
    <row r="5852">
      <c r="A5852" s="1">
        <v>5.0</v>
      </c>
      <c r="B5852" s="1" t="s">
        <v>5814</v>
      </c>
      <c r="C5852" t="str">
        <f>IFERROR(__xludf.DUMMYFUNCTION("GOOGLETRANSLATE(B5852, ""es"", ""en"")"),"I love this shirt is great for any occasion, and you can use it for casual or elegant dress. The fabric is super soft, and as for the sizing me is as expected")</f>
        <v>I love this shirt is great for any occasion, and you can use it for casual or elegant dress. The fabric is super soft, and as for the sizing me is as expected</v>
      </c>
    </row>
    <row r="5853">
      <c r="A5853" s="1">
        <v>5.0</v>
      </c>
      <c r="B5853" s="1" t="s">
        <v>5815</v>
      </c>
      <c r="C5853" t="str">
        <f>IFERROR(__xludf.DUMMYFUNCTION("GOOGLETRANSLATE(B5853, ""es"", ""en"")"),"Good buy Very nice and very comfortable. I'm delighted.")</f>
        <v>Good buy Very nice and very comfortable. I'm delighted.</v>
      </c>
    </row>
    <row r="5854">
      <c r="A5854" s="1">
        <v>5.0</v>
      </c>
      <c r="B5854" s="1" t="s">
        <v>5816</v>
      </c>
      <c r="C5854" t="str">
        <f>IFERROR(__xludf.DUMMYFUNCTION("GOOGLETRANSLATE(B5854, ""es"", ""en"")"),"It was a gift and I really liked Relog Quality, very nice.")</f>
        <v>It was a gift and I really liked Relog Quality, very nice.</v>
      </c>
    </row>
    <row r="5855">
      <c r="A5855" s="1">
        <v>5.0</v>
      </c>
      <c r="B5855" s="1" t="s">
        <v>5817</v>
      </c>
      <c r="C5855" t="str">
        <f>IFERROR(__xludf.DUMMYFUNCTION("GOOGLETRANSLATE(B5855, ""es"", ""en"")"),"maximum utility I use it in my classes for both PowerPoint and Prezi. I am delighted with the product")</f>
        <v>maximum utility I use it in my classes for both PowerPoint and Prezi. I am delighted with the product</v>
      </c>
    </row>
    <row r="5856">
      <c r="A5856" s="1">
        <v>5.0</v>
      </c>
      <c r="B5856" s="1" t="s">
        <v>5818</v>
      </c>
      <c r="C5856" t="str">
        <f>IFERROR(__xludf.DUMMYFUNCTION("GOOGLETRANSLATE(B5856, ""es"", ""en"")"),"Good quality and shipping service filter is quality and perfectly fulfills its function")</f>
        <v>Good quality and shipping service filter is quality and perfectly fulfills its function</v>
      </c>
    </row>
    <row r="5857">
      <c r="A5857" s="1">
        <v>5.0</v>
      </c>
      <c r="B5857" s="1" t="s">
        <v>5819</v>
      </c>
      <c r="C5857" t="str">
        <f>IFERROR(__xludf.DUMMYFUNCTION("GOOGLETRANSLATE(B5857, ""es"", ""en"")"),"Comfort Very comfortable, good stuff, as expected.")</f>
        <v>Comfort Very comfortable, good stuff, as expected.</v>
      </c>
    </row>
    <row r="5858">
      <c r="A5858" s="1">
        <v>5.0</v>
      </c>
      <c r="B5858" s="1" t="s">
        <v>5820</v>
      </c>
      <c r="C5858" t="str">
        <f>IFERROR(__xludf.DUMMYFUNCTION("GOOGLETRANSLATE(B5858, ""es"", ""en"")"),"Magnifica acupressure mat and cushion mat and cushion are fine. The presentation is excellent and the color is green phosphoric I think very cute. Misses user guides in Spanish, although I have to say that although sent an e-book in English I see very pra"&amp;"ctical with many highly recommended exercises. The shipment was super fast. My wife and I are very happy with the product")</f>
        <v>Magnifica acupressure mat and cushion mat and cushion are fine. The presentation is excellent and the color is green phosphoric I think very cute. Misses user guides in Spanish, although I have to say that although sent an e-book in English I see very practical with many highly recommended exercises. The shipment was super fast. My wife and I are very happy with the product</v>
      </c>
    </row>
    <row r="5859">
      <c r="A5859" s="1">
        <v>5.0</v>
      </c>
      <c r="B5859" s="1" t="s">
        <v>5821</v>
      </c>
      <c r="C5859" t="str">
        <f>IFERROR(__xludf.DUMMYFUNCTION("GOOGLETRANSLATE(B5859, ""es"", ""en"")"),"It looks perfect quality ..")</f>
        <v>It looks perfect quality ..</v>
      </c>
    </row>
    <row r="5860">
      <c r="A5860" s="1">
        <v>5.0</v>
      </c>
      <c r="B5860" s="1" t="s">
        <v>5822</v>
      </c>
      <c r="C5860" t="str">
        <f>IFERROR(__xludf.DUMMYFUNCTION("GOOGLETRANSLATE(B5860, ""es"", ""en"")"),"Douglas is an elegant and very good finished product. In my view a good article with value for money !!! It's not heavy!!!")</f>
        <v>Douglas is an elegant and very good finished product. In my view a good article with value for money !!! It's not heavy!!!</v>
      </c>
    </row>
    <row r="5861">
      <c r="A5861" s="1">
        <v>5.0</v>
      </c>
      <c r="B5861" s="1" t="s">
        <v>5823</v>
      </c>
      <c r="C5861" t="str">
        <f>IFERROR(__xludf.DUMMYFUNCTION("GOOGLETRANSLATE(B5861, ""es"", ""en"")"),"I love it I like, my girl caught him right from the first day. Easy to clean")</f>
        <v>I love it I like, my girl caught him right from the first day. Easy to clean</v>
      </c>
    </row>
    <row r="5862">
      <c r="A5862" s="1">
        <v>5.0</v>
      </c>
      <c r="B5862" s="1" t="s">
        <v>5824</v>
      </c>
      <c r="C5862" t="str">
        <f>IFERROR(__xludf.DUMMYFUNCTION("GOOGLETRANSLATE(B5862, ""es"", ""en"")"),"BBB (good, nice and cheap) As always very fast delivery despite being on holidays. Took days after buying a humidifier and comparing it with the other I have to charge me twice in a shop in my city it far exceeds this. To my strengths are, have remote con"&amp;"trol, the light can be turned off and vary the intensity of the colors, which also has timer and controls the intensity of the steam coming out. For me since I arrived I have it set with orange essential oil intermittently and not yet I spent water (2 day"&amp;"s). Cleans very well the air in the area and remove all the smell of snuff. I think a good product for the price it has.")</f>
        <v>BBB (good, nice and cheap) As always very fast delivery despite being on holidays. Took days after buying a humidifier and comparing it with the other I have to charge me twice in a shop in my city it far exceeds this. To my strengths are, have remote control, the light can be turned off and vary the intensity of the colors, which also has timer and controls the intensity of the steam coming out. For me since I arrived I have it set with orange essential oil intermittently and not yet I spent water (2 days). Cleans very well the air in the area and remove all the smell of snuff. I think a good product for the price it has.</v>
      </c>
    </row>
    <row r="5863">
      <c r="A5863" s="1">
        <v>5.0</v>
      </c>
      <c r="B5863" s="1" t="s">
        <v>5825</v>
      </c>
      <c r="C5863" t="str">
        <f>IFERROR(__xludf.DUMMYFUNCTION("GOOGLETRANSLATE(B5863, ""es"", ""en"")"),"I have tried other great brand and did not connect this to the primera.lo recommend. What I do not like is what the caps can be lost but stored in the pouch is no problem that is spoiled or dirty USB or micro")</f>
        <v>I have tried other great brand and did not connect this to the primera.lo recommend. What I do not like is what the caps can be lost but stored in the pouch is no problem that is spoiled or dirty USB or micro</v>
      </c>
    </row>
    <row r="5864">
      <c r="A5864" s="1">
        <v>5.0</v>
      </c>
      <c r="B5864" s="1" t="s">
        <v>5826</v>
      </c>
      <c r="C5864" t="str">
        <f>IFERROR(__xludf.DUMMYFUNCTION("GOOGLETRANSLATE(B5864, ""es"", ""en"")"),"Put one of these to your old computer and not going to recognize either the mother who brought Leveraging SSDs are now very well priced, I've caught this to give a new life to an old laptop from 2009 with a Core 2 Duo and a mechanical drive that was alrea"&amp;"dy in the past and had accumulated a huge amount of junk files over years of intensive use. I was sorry to retire him because otherwise worked perfectly so I thought that changing the drive for a brand new SSD would stay a support team managed to very bas"&amp;"ic office automation and internet use. And so it proved. After installing the SSD and made a clean install of the the VUELA computer operating system. Start the desktop in 20 seconds, the Office and the navigator moves like a shot. All advantages, because"&amp;" apart from the disc does not sound anything, the fans do not jump as much as before because it just overheats. In short, it has been me fast, cool and quiet PC only changing a mechanical drive other solid state. Undoubtedly one of the best technology inv"&amp;"estments I've made in my life. For little money, you can give a second chance to an old computer you have at home.")</f>
        <v>Put one of these to your old computer and not going to recognize either the mother who brought Leveraging SSDs are now very well priced, I've caught this to give a new life to an old laptop from 2009 with a Core 2 Duo and a mechanical drive that was already in the past and had accumulated a huge amount of junk files over years of intensive use. I was sorry to retire him because otherwise worked perfectly so I thought that changing the drive for a brand new SSD would stay a support team managed to very basic office automation and internet use. And so it proved. After installing the SSD and made a clean install of the the VUELA computer operating system. Start the desktop in 20 seconds, the Office and the navigator moves like a shot. All advantages, because apart from the disc does not sound anything, the fans do not jump as much as before because it just overheats. In short, it has been me fast, cool and quiet PC only changing a mechanical drive other solid state. Undoubtedly one of the best technology investments I've made in my life. For little money, you can give a second chance to an old computer you have at home.</v>
      </c>
    </row>
    <row r="5865">
      <c r="A5865" s="1">
        <v>5.0</v>
      </c>
      <c r="B5865" s="1" t="s">
        <v>5827</v>
      </c>
      <c r="C5865" t="str">
        <f>IFERROR(__xludf.DUMMYFUNCTION("GOOGLETRANSLATE(B5865, ""es"", ""en"")"),"Recommendable. Always extra or to copy storage is needed or carry files without having to carry the computer or fill files. Good price and if you catch offer.")</f>
        <v>Recommendable. Always extra or to copy storage is needed or carry files without having to carry the computer or fill files. Good price and if you catch offer.</v>
      </c>
    </row>
    <row r="5866">
      <c r="A5866" s="1">
        <v>5.0</v>
      </c>
      <c r="B5866" s="1" t="s">
        <v>5828</v>
      </c>
      <c r="C5866" t="str">
        <f>IFERROR(__xludf.DUMMYFUNCTION("GOOGLETRANSLATE(B5866, ""es"", ""en"")"),"restones and well priced for the school start. Has now been a month and goes well. Good price and good result. Nor it will need to explain the mechanism does not? It goes well, trust.")</f>
        <v>restones and well priced for the school start. Has now been a month and goes well. Good price and good result. Nor it will need to explain the mechanism does not? It goes well, trust.</v>
      </c>
    </row>
    <row r="5867">
      <c r="A5867" s="1">
        <v>5.0</v>
      </c>
      <c r="B5867" s="1" t="s">
        <v>5829</v>
      </c>
      <c r="C5867" t="str">
        <f>IFERROR(__xludf.DUMMYFUNCTION("GOOGLETRANSLATE(B5867, ""es"", ""en"")"),"OK Chif good buy, all good quality")</f>
        <v>OK Chif good buy, all good quality</v>
      </c>
    </row>
    <row r="5868">
      <c r="A5868" s="1">
        <v>5.0</v>
      </c>
      <c r="B5868" s="1" t="s">
        <v>5830</v>
      </c>
      <c r="C5868" t="str">
        <f>IFERROR(__xludf.DUMMYFUNCTION("GOOGLETRANSLATE(B5868, ""es"", ""en"")"),"Comfortable and nice looking, looks great. The black has pockets. The right size")</f>
        <v>Comfortable and nice looking, looks great. The black has pockets. The right size</v>
      </c>
    </row>
    <row r="5869">
      <c r="A5869" s="1">
        <v>5.0</v>
      </c>
      <c r="B5869" s="1" t="s">
        <v>5831</v>
      </c>
      <c r="C5869" t="str">
        <f>IFERROR(__xludf.DUMMYFUNCTION("GOOGLETRANSLATE(B5869, ""es"", ""en"")"),"Good product spacious, comfortable and very ""for all"" .. my partner loved him")</f>
        <v>Good product spacious, comfortable and very "for all" .. my partner loved him</v>
      </c>
    </row>
    <row r="5870">
      <c r="A5870" s="1">
        <v>5.0</v>
      </c>
      <c r="B5870" s="1" t="s">
        <v>5832</v>
      </c>
      <c r="C5870" t="str">
        <f>IFERROR(__xludf.DUMMYFUNCTION("GOOGLETRANSLATE(B5870, ""es"", ""en"")"),"Good buy bracelet came in from the scheduled time, it is very nice, as shown in the picture, it comes in box of Tous and Tous bag too!")</f>
        <v>Good buy bracelet came in from the scheduled time, it is very nice, as shown in the picture, it comes in box of Tous and Tous bag too!</v>
      </c>
    </row>
    <row r="5871">
      <c r="A5871" s="1">
        <v>2.0</v>
      </c>
      <c r="B5871" s="1" t="s">
        <v>5833</v>
      </c>
      <c r="C5871" t="str">
        <f>IFERROR(__xludf.DUMMYFUNCTION("GOOGLETRANSLATE(B5871, ""es"", ""en"")"),"No complicated closures have already liked to close that you have to fit into a small hole and then put it costs close with insurance that is built")</f>
        <v>No complicated closures have already liked to close that you have to fit into a small hole and then put it costs close with insurance that is built</v>
      </c>
    </row>
    <row r="5872">
      <c r="A5872" s="1">
        <v>3.0</v>
      </c>
      <c r="B5872" s="1" t="s">
        <v>5834</v>
      </c>
      <c r="C5872" t="str">
        <f>IFERROR(__xludf.DUMMYFUNCTION("GOOGLETRANSLATE(B5872, ""es"", ""en"")"),"A foot is fine average microphone for situations where there are a lot of cane, serves its purpose for the price it has")</f>
        <v>A foot is fine average microphone for situations where there are a lot of cane, serves its purpose for the price it has</v>
      </c>
    </row>
    <row r="5873">
      <c r="A5873" s="1">
        <v>1.0</v>
      </c>
      <c r="B5873" s="1" t="s">
        <v>5835</v>
      </c>
      <c r="C5873" t="str">
        <f>IFERROR(__xludf.DUMMYFUNCTION("GOOGLETRANSLATE(B5873, ""es"", ""en"")"),"Does not fulfill its purpose I bought for use in the PS4, at the beginning not detected after trying again and again worked but suddenly one day stopped working and there is no way that working again, I had to reformat all games and saved games, does not "&amp;"meet either.")</f>
        <v>Does not fulfill its purpose I bought for use in the PS4, at the beginning not detected after trying again and again worked but suddenly one day stopped working and there is no way that working again, I had to reformat all games and saved games, does not meet either.</v>
      </c>
    </row>
    <row r="5874">
      <c r="A5874" s="1">
        <v>1.0</v>
      </c>
      <c r="B5874" s="1" t="s">
        <v>5836</v>
      </c>
      <c r="C5874" t="str">
        <f>IFERROR(__xludf.DUMMYFUNCTION("GOOGLETRANSLATE(B5874, ""es"", ""en"")"),"FALSE SanDisk has the least two versions of the product, quality and another that looks more fake than the master Pablo Casado. You mount a USB2.0 painted blue to take the hit but going slower than Echenique up a hill. The assembly is mediocre and the loc"&amp;"king system does not fit well. Political jokes aside, it's a shame that a brand like SanDisk take your good name and the Amazon platform to sell such rubbish. If you're lucky and they send you good at first, that you take. But it looks that they send the "&amp;"copy to see if you complain and only send you to the descambiarlo good. If you do not realize, you do not see or do not mind the speed, for this scam that you eat. My recommendation is that you make a test to prove anything before. There are lots of free "&amp;"programs that allow you do not take anything and you save a scam. In any case, this is seen from afar. And there are photos of other buyers who put the comparison between the original and the copy. I leave the photo of the benchmark")</f>
        <v>FALSE SanDisk has the least two versions of the product, quality and another that looks more fake than the master Pablo Casado. You mount a USB2.0 painted blue to take the hit but going slower than Echenique up a hill. The assembly is mediocre and the locking system does not fit well. Political jokes aside, it's a shame that a brand like SanDisk take your good name and the Amazon platform to sell such rubbish. If you're lucky and they send you good at first, that you take. But it looks that they send the copy to see if you complain and only send you to the descambiarlo good. If you do not realize, you do not see or do not mind the speed, for this scam that you eat. My recommendation is that you make a test to prove anything before. There are lots of free programs that allow you do not take anything and you save a scam. In any case, this is seen from afar. And there are photos of other buyers who put the comparison between the original and the copy. I leave the photo of the benchmark</v>
      </c>
    </row>
    <row r="5875">
      <c r="A5875" s="1">
        <v>4.0</v>
      </c>
      <c r="B5875" s="1" t="s">
        <v>5837</v>
      </c>
      <c r="C5875" t="str">
        <f>IFERROR(__xludf.DUMMYFUNCTION("GOOGLETRANSLATE(B5875, ""es"", ""en"")"),"You comfortable. Check before using templates are super comfortable slippers, perspire enough and fit the foot providing the necessary restraint not dance foot inside. The only drawback I see is that after you go try sensed that a template was smaller tha"&amp;"n the shoe, which has led me to buy some to replace it.")</f>
        <v>You comfortable. Check before using templates are super comfortable slippers, perspire enough and fit the foot providing the necessary restraint not dance foot inside. The only drawback I see is that after you go try sensed that a template was smaller than the shoe, which has led me to buy some to replace it.</v>
      </c>
    </row>
    <row r="5876">
      <c r="A5876" s="1">
        <v>4.0</v>
      </c>
      <c r="B5876" s="1" t="s">
        <v>5838</v>
      </c>
      <c r="C5876" t="str">
        <f>IFERROR(__xludf.DUMMYFUNCTION("GOOGLETRANSLATE(B5876, ""es"", ""en"")"),"Tracker enough of your day First indicate that the overall look is very nice. The battery life depends on the sensors normally used ... Removing the screen lights up when you move your wrist, and heart rate sensor, can be maintained almost 2 weeks without"&amp;" charge. If you start to use it ... well, you will not forget to upload it to the least 1 once a week. Using activity walk (I am no longer active) is quite reasonable, barometer and compass make it attractive for use in the outdoors, away from the city. W"&amp;"hat you are missing? Well, I would put an application in order to follow a track. What seems different from others? I liked the algorithm for sleep analysis. For the price I think it's worth, but certainly in the next 12 months will see many new features.")</f>
        <v>Tracker enough of your day First indicate that the overall look is very nice. The battery life depends on the sensors normally used ... Removing the screen lights up when you move your wrist, and heart rate sensor, can be maintained almost 2 weeks without charge. If you start to use it ... well, you will not forget to upload it to the least 1 once a week. Using activity walk (I am no longer active) is quite reasonable, barometer and compass make it attractive for use in the outdoors, away from the city. What you are missing? Well, I would put an application in order to follow a track. What seems different from others? I liked the algorithm for sleep analysis. For the price I think it's worth, but certainly in the next 12 months will see many new features.</v>
      </c>
    </row>
    <row r="5877">
      <c r="A5877" s="1">
        <v>4.0</v>
      </c>
      <c r="B5877" s="1" t="s">
        <v>5839</v>
      </c>
      <c r="C5877" t="str">
        <f>IFERROR(__xludf.DUMMYFUNCTION("GOOGLETRANSLATE(B5877, ""es"", ""en"")"),"Ok Buenos Converse, is a little big, but I had not taken another nr. what happens that makes me the larger foot than normal and I do not like. but they are comfortable and good for the money just would have preferred to go to a store and try them. but com"&amp;"fort is what you have. hehe generally good footwear!")</f>
        <v>Ok Buenos Converse, is a little big, but I had not taken another nr. what happens that makes me the larger foot than normal and I do not like. but they are comfortable and good for the money just would have preferred to go to a store and try them. but comfort is what you have. hehe generally good footwear!</v>
      </c>
    </row>
    <row r="5878">
      <c r="A5878" s="1">
        <v>4.0</v>
      </c>
      <c r="B5878" s="1" t="s">
        <v>5840</v>
      </c>
      <c r="C5878" t="str">
        <f>IFERROR(__xludf.DUMMYFUNCTION("GOOGLETRANSLATE(B5878, ""es"", ""en"")"),"Good price Easy to use to watch TV without disturbing the neighbors.")</f>
        <v>Good price Easy to use to watch TV without disturbing the neighbors.</v>
      </c>
    </row>
    <row r="5879">
      <c r="A5879" s="1">
        <v>4.0</v>
      </c>
      <c r="B5879" s="1" t="s">
        <v>5841</v>
      </c>
      <c r="C5879" t="str">
        <f>IFERROR(__xludf.DUMMYFUNCTION("GOOGLETRANSLATE(B5879, ""es"", ""en"")"),"very good and, above all, comfortable This is a very good product. It is great for people with heart or respiratory diseases that are much tired, it does not require much effort to wring the mop. The only but you see it is that the handle of the bucket is"&amp;" on one side, and that makes it a bit uncomfortable, but takes getting used: D")</f>
        <v>very good and, above all, comfortable This is a very good product. It is great for people with heart or respiratory diseases that are much tired, it does not require much effort to wring the mop. The only but you see it is that the handle of the bucket is on one side, and that makes it a bit uncomfortable, but takes getting used: D</v>
      </c>
    </row>
    <row r="5880">
      <c r="A5880" s="1">
        <v>5.0</v>
      </c>
      <c r="B5880" s="1" t="s">
        <v>5842</v>
      </c>
      <c r="C5880" t="str">
        <f>IFERROR(__xludf.DUMMYFUNCTION("GOOGLETRANSLATE(B5880, ""es"", ""en"")"),"Very nice and good transit stain.")</f>
        <v>Very nice and good transit stain.</v>
      </c>
    </row>
    <row r="5881">
      <c r="A5881" s="1">
        <v>5.0</v>
      </c>
      <c r="B5881" s="1" t="s">
        <v>5843</v>
      </c>
      <c r="C5881" t="str">
        <f>IFERROR(__xludf.DUMMYFUNCTION("GOOGLETRANSLATE(B5881, ""es"", ""en"")"),"Chulada I think without a doubt I can say that is the coolest sweatshirt I've been, I would definitely love it and it is striking just as I like clothes apart is super comfortable and is perfectly fine for those evenings that makes very little wind")</f>
        <v>Chulada I think without a doubt I can say that is the coolest sweatshirt I've been, I would definitely love it and it is striking just as I like clothes apart is super comfortable and is perfectly fine for those evenings that makes very little wind</v>
      </c>
    </row>
    <row r="5882">
      <c r="A5882" s="1">
        <v>5.0</v>
      </c>
      <c r="B5882" s="1" t="s">
        <v>5844</v>
      </c>
      <c r="C5882" t="str">
        <f>IFERROR(__xludf.DUMMYFUNCTION("GOOGLETRANSLATE(B5882, ""es"", ""en"")"),"High quality product quality and performance.")</f>
        <v>High quality product quality and performance.</v>
      </c>
    </row>
    <row r="5883">
      <c r="A5883" s="1">
        <v>5.0</v>
      </c>
      <c r="B5883" s="1" t="s">
        <v>5845</v>
      </c>
      <c r="C5883" t="str">
        <f>IFERROR(__xludf.DUMMYFUNCTION("GOOGLETRANSLATE(B5883, ""es"", ""en"")"),"All ok Great shirt")</f>
        <v>All ok Great shirt</v>
      </c>
    </row>
    <row r="5884">
      <c r="A5884" s="1">
        <v>5.0</v>
      </c>
      <c r="B5884" s="1" t="s">
        <v>5846</v>
      </c>
      <c r="C5884" t="str">
        <f>IFERROR(__xludf.DUMMYFUNCTION("GOOGLETRANSLATE(B5884, ""es"", ""en"")"),"Perfect in size very good color and quality sweater Same as picture perfect size without complaints")</f>
        <v>Perfect in size very good color and quality sweater Same as picture perfect size without complaints</v>
      </c>
    </row>
    <row r="5885">
      <c r="A5885" s="1">
        <v>5.0</v>
      </c>
      <c r="B5885" s="1" t="s">
        <v>5847</v>
      </c>
      <c r="C5885" t="str">
        <f>IFERROR(__xludf.DUMMYFUNCTION("GOOGLETRANSLATE(B5885, ""es"", ""en"")"),"Smartwatch fantastic quality / price is invatible, for the price you can not ask him to have a ""wearOS"" and others equaling 300/500 euros, but the truth is that for a vast majority of mortals is perfect, you can laze more than a week without charge it a"&amp;"nd offers most functions of a smartwatch, some not even offer more expensive watches. It has its shortcomings in terms of ""software"" although perfectly fulfills what the manufacturer promises, and quality of materials is great. If you're not a ""super p"&amp;"rofessional"" of the smartwatch :-P this is a great watch will not want to take your wrist.")</f>
        <v>Smartwatch fantastic quality / price is invatible, for the price you can not ask him to have a "wearOS" and others equaling 300/500 euros, but the truth is that for a vast majority of mortals is perfect, you can laze more than a week without charge it and offers most functions of a smartwatch, some not even offer more expensive watches. It has its shortcomings in terms of "software" although perfectly fulfills what the manufacturer promises, and quality of materials is great. If you're not a "super professional" of the smartwatch :-P this is a great watch will not want to take your wrist.</v>
      </c>
    </row>
    <row r="5886">
      <c r="A5886" s="1">
        <v>5.0</v>
      </c>
      <c r="B5886" s="1" t="s">
        <v>5848</v>
      </c>
      <c r="C5886" t="str">
        <f>IFERROR(__xludf.DUMMYFUNCTION("GOOGLETRANSLATE(B5886, ""es"", ""en"")"),"Great discovery has already taken more than two months wearing them and could not be happier. What I appreciate most is that isolate outside noise.")</f>
        <v>Great discovery has already taken more than two months wearing them and could not be happier. What I appreciate most is that isolate outside noise.</v>
      </c>
    </row>
    <row r="5887">
      <c r="A5887" s="1">
        <v>5.0</v>
      </c>
      <c r="B5887" s="1" t="s">
        <v>5849</v>
      </c>
      <c r="C5887" t="str">
        <f>IFERROR(__xludf.DUMMYFUNCTION("GOOGLETRANSLATE(B5887, ""es"", ""en"")"),"Very fast delivery and comfort in perfect condition. The great product")</f>
        <v>Very fast delivery and comfort in perfect condition. The great product</v>
      </c>
    </row>
    <row r="5888">
      <c r="A5888" s="1">
        <v>5.0</v>
      </c>
      <c r="B5888" s="1" t="s">
        <v>5850</v>
      </c>
      <c r="C5888" t="str">
        <f>IFERROR(__xludf.DUMMYFUNCTION("GOOGLETRANSLATE(B5888, ""es"", ""en"")"),"Heat and relief shoulders and back Great, works perfectly and the size is adequate. The buy to relieve joint discomfort when the cold sore to move the start with the blanket comes much relieved that trouble, also brings velcro tape to fit well")</f>
        <v>Heat and relief shoulders and back Great, works perfectly and the size is adequate. The buy to relieve joint discomfort when the cold sore to move the start with the blanket comes much relieved that trouble, also brings velcro tape to fit well</v>
      </c>
    </row>
    <row r="5889">
      <c r="A5889" s="1">
        <v>5.0</v>
      </c>
      <c r="B5889" s="1" t="s">
        <v>5851</v>
      </c>
      <c r="C5889" t="str">
        <f>IFERROR(__xludf.DUMMYFUNCTION("GOOGLETRANSLATE(B5889, ""es"", ""en"")"),"Gift charming !! The album is gorgeous !! Stickers carries within and frames for photos. Ideal gift")</f>
        <v>Gift charming !! The album is gorgeous !! Stickers carries within and frames for photos. Ideal gift</v>
      </c>
    </row>
    <row r="5890">
      <c r="A5890" s="1">
        <v>5.0</v>
      </c>
      <c r="B5890" s="1" t="s">
        <v>5852</v>
      </c>
      <c r="C5890" t="str">
        <f>IFERROR(__xludf.DUMMYFUNCTION("GOOGLETRANSLATE(B5890, ""es"", ""en"")"),"mini keyboard but very useful. I was pleasantly surprised, we must understand that it is a mini keyboard and keys obviously are small, but gives a lot of play, very portable and can be used comfortably with tablet or laptop if you do not want to be all th"&amp;"e time in front of the studio. It works perfectly with USB 2.0 and 3.0 ports (2.0 speed obviously). In short, very pleased with purchase.")</f>
        <v>mini keyboard but very useful. I was pleasantly surprised, we must understand that it is a mini keyboard and keys obviously are small, but gives a lot of play, very portable and can be used comfortably with tablet or laptop if you do not want to be all the time in front of the studio. It works perfectly with USB 2.0 and 3.0 ports (2.0 speed obviously). In short, very pleased with purchase.</v>
      </c>
    </row>
    <row r="5891">
      <c r="A5891" s="1">
        <v>5.0</v>
      </c>
      <c r="B5891" s="1" t="s">
        <v>5853</v>
      </c>
      <c r="C5891" t="str">
        <f>IFERROR(__xludf.DUMMYFUNCTION("GOOGLETRANSLATE(B5891, ""es"", ""en"")"),"The product comfort liked the size and ease of use")</f>
        <v>The product comfort liked the size and ease of use</v>
      </c>
    </row>
    <row r="5892">
      <c r="A5892" s="1">
        <v>5.0</v>
      </c>
      <c r="B5892" s="1" t="s">
        <v>5854</v>
      </c>
      <c r="C5892" t="str">
        <f>IFERROR(__xludf.DUMMYFUNCTION("GOOGLETRANSLATE(B5892, ""es"", ""en"")"),"Pretty good and cheap. Very nice enough pa take a sandwich, juice and material work.")</f>
        <v>Pretty good and cheap. Very nice enough pa take a sandwich, juice and material work.</v>
      </c>
    </row>
    <row r="5893">
      <c r="A5893" s="1">
        <v>5.0</v>
      </c>
      <c r="B5893" s="1" t="s">
        <v>5855</v>
      </c>
      <c r="C5893" t="str">
        <f>IFERROR(__xludf.DUMMYFUNCTION("GOOGLETRANSLATE(B5893, ""es"", ""en"")"),"Pretty nice though a bit small")</f>
        <v>Pretty nice though a bit small</v>
      </c>
    </row>
    <row r="5894">
      <c r="A5894" s="1">
        <v>5.0</v>
      </c>
      <c r="B5894" s="1" t="s">
        <v>5856</v>
      </c>
      <c r="C5894" t="str">
        <f>IFERROR(__xludf.DUMMYFUNCTION("GOOGLETRANSLATE(B5894, ""es"", ""en"")"),"sound perfect for long conversations, work ... etc ... it's perfect. the sound is very good and the caller hears perfectly and isolates noise environment. I recommend buying.")</f>
        <v>sound perfect for long conversations, work ... etc ... it's perfect. the sound is very good and the caller hears perfectly and isolates noise environment. I recommend buying.</v>
      </c>
    </row>
    <row r="5895">
      <c r="A5895" s="1">
        <v>5.0</v>
      </c>
      <c r="B5895" s="1" t="s">
        <v>5857</v>
      </c>
      <c r="C5895" t="str">
        <f>IFERROR(__xludf.DUMMYFUNCTION("GOOGLETRANSLATE(B5895, ""es"", ""en"")"),"For now happy with them the truth esq took a month with them and I'm pretty happy for your comfort and weight. How long have now, since I work in construction and treatment of boots is pretty hard.")</f>
        <v>For now happy with them the truth esq took a month with them and I'm pretty happy for your comfort and weight. How long have now, since I work in construction and treatment of boots is pretty hard.</v>
      </c>
    </row>
    <row r="5896">
      <c r="A5896" s="1">
        <v>5.0</v>
      </c>
      <c r="B5896" s="1" t="s">
        <v>5858</v>
      </c>
      <c r="C5896" t="str">
        <f>IFERROR(__xludf.DUMMYFUNCTION("GOOGLETRANSLATE(B5896, ""es"", ""en"")"),"Disk mythical group on this album have the best songs of Def Leppard. They left a disc, never better, round. Great idea to be able to download songs in digital format at the time of purchase, having not received the disc yet. Great service.")</f>
        <v>Disk mythical group on this album have the best songs of Def Leppard. They left a disc, never better, round. Great idea to be able to download songs in digital format at the time of purchase, having not received the disc yet. Great service.</v>
      </c>
    </row>
    <row r="5897">
      <c r="A5897" s="1">
        <v>5.0</v>
      </c>
      <c r="B5897" s="1" t="s">
        <v>5859</v>
      </c>
      <c r="C5897" t="str">
        <f>IFERROR(__xludf.DUMMYFUNCTION("GOOGLETRANSLATE(B5897, ""es"", ""en"")"),"Very resistant Good value for money")</f>
        <v>Very resistant Good value for money</v>
      </c>
    </row>
    <row r="5898">
      <c r="A5898" s="1">
        <v>5.0</v>
      </c>
      <c r="B5898" s="1" t="s">
        <v>5860</v>
      </c>
      <c r="C5898" t="str">
        <f>IFERROR(__xludf.DUMMYFUNCTION("GOOGLETRANSLATE(B5898, ""es"", ""en"")"),"Magnificent At this point, little can be said of the Moulinex brand, a benchmark in cooking equipment. This team is very complete, and its value is very good.")</f>
        <v>Magnificent At this point, little can be said of the Moulinex brand, a benchmark in cooking equipment. This team is very complete, and its value is very good.</v>
      </c>
    </row>
    <row r="5899">
      <c r="A5899" s="1">
        <v>2.0</v>
      </c>
      <c r="B5899" s="1" t="s">
        <v>5861</v>
      </c>
      <c r="C5899" t="str">
        <f>IFERROR(__xludf.DUMMYFUNCTION("GOOGLETRANSLATE(B5899, ""es"", ""en"")"),"Regular finish seemed all good quality, convenient ... I have used it about 6 times without sport or subject it to much use. Because the fabric has dscosido back. I'll give you a few stitches ... But go ...")</f>
        <v>Regular finish seemed all good quality, convenient ... I have used it about 6 times without sport or subject it to much use. Because the fabric has dscosido back. I'll give you a few stitches ... But go ...</v>
      </c>
    </row>
    <row r="5900">
      <c r="A5900" s="1">
        <v>3.0</v>
      </c>
      <c r="B5900" s="1" t="s">
        <v>5862</v>
      </c>
      <c r="C5900" t="str">
        <f>IFERROR(__xludf.DUMMYFUNCTION("GOOGLETRANSLATE(B5900, ""es"", ""en"")"),"very pretty nice but the big M")</f>
        <v>very pretty nice but the big M</v>
      </c>
    </row>
    <row r="5901">
      <c r="A5901" s="1">
        <v>3.0</v>
      </c>
      <c r="B5901" s="1" t="s">
        <v>5863</v>
      </c>
      <c r="C5901" t="str">
        <f>IFERROR(__xludf.DUMMYFUNCTION("GOOGLETRANSLATE(B5901, ""es"", ""en"")"),"It fits small doll. He broke the month. Good quality, arrived ahead of schedule. My wrist is very small and fits perfectly. It is true that the vibration is a little less noticeable but it shows very well. I chose silver belt and have successful grid. I r"&amp;"ecommend it. Upgrade. Bracelet lasted a month. He began to dye my wrist and broke after closing. I must say that getting wet every day.")</f>
        <v>It fits small doll. He broke the month. Good quality, arrived ahead of schedule. My wrist is very small and fits perfectly. It is true that the vibration is a little less noticeable but it shows very well. I chose silver belt and have successful grid. I recommend it. Upgrade. Bracelet lasted a month. He began to dye my wrist and broke after closing. I must say that getting wet every day.</v>
      </c>
    </row>
    <row r="5902">
      <c r="A5902" s="1">
        <v>1.0</v>
      </c>
      <c r="B5902" s="1" t="s">
        <v>5864</v>
      </c>
      <c r="C5902" t="str">
        <f>IFERROR(__xludf.DUMMYFUNCTION("GOOGLETRANSLATE(B5902, ""es"", ""en"")"),"I did not serve very bad. the same day I put peeled off. And went and returned to put it unstuck. Use it for knee pants. Maybe somewhere else if it works but if no movement is off.")</f>
        <v>I did not serve very bad. the same day I put peeled off. And went and returned to put it unstuck. Use it for knee pants. Maybe somewhere else if it works but if no movement is off.</v>
      </c>
    </row>
    <row r="5903">
      <c r="A5903" s="1">
        <v>1.0</v>
      </c>
      <c r="B5903" s="1" t="s">
        <v>5865</v>
      </c>
      <c r="C5903" t="str">
        <f>IFERROR(__xludf.DUMMYFUNCTION("GOOGLETRANSLATE(B5903, ""es"", ""en"")"),"Dishcloth dishcloths are are are not dishcloths.")</f>
        <v>Dishcloth dishcloths are are are not dishcloths.</v>
      </c>
    </row>
    <row r="5904">
      <c r="A5904" s="1">
        <v>4.0</v>
      </c>
      <c r="B5904" s="1" t="s">
        <v>5866</v>
      </c>
      <c r="C5904" t="str">
        <f>IFERROR(__xludf.DUMMYFUNCTION("GOOGLETRANSLATE(B5904, ""es"", ""en"")"),"Va fulfills its function well, drilled cleanly.")</f>
        <v>Va fulfills its function well, drilled cleanly.</v>
      </c>
    </row>
    <row r="5905">
      <c r="A5905" s="1">
        <v>4.0</v>
      </c>
      <c r="B5905" s="1" t="s">
        <v>5867</v>
      </c>
      <c r="C5905" t="str">
        <f>IFERROR(__xludf.DUMMYFUNCTION("GOOGLETRANSLATE(B5905, ""es"", ""en"")"),"Bieb is perfect")</f>
        <v>Bieb is perfect</v>
      </c>
    </row>
    <row r="5906">
      <c r="A5906" s="1">
        <v>4.0</v>
      </c>
      <c r="B5906" s="1" t="s">
        <v>5868</v>
      </c>
      <c r="C5906" t="str">
        <f>IFERROR(__xludf.DUMMYFUNCTION("GOOGLETRANSLATE(B5906, ""es"", ""en"")"),"Good value / price are just perfect for the average user. The price / quality ratio is unbeatable. Only I miss the ability to use standard external batteries in case of urgency to be downloaded. It is common nowadays but in my opinion undesirable.")</f>
        <v>Good value / price are just perfect for the average user. The price / quality ratio is unbeatable. Only I miss the ability to use standard external batteries in case of urgency to be downloaded. It is common nowadays but in my opinion undesirable.</v>
      </c>
    </row>
    <row r="5907">
      <c r="A5907" s="1">
        <v>4.0</v>
      </c>
      <c r="B5907" s="1" t="s">
        <v>5869</v>
      </c>
      <c r="C5907" t="str">
        <f>IFERROR(__xludf.DUMMYFUNCTION("GOOGLETRANSLATE(B5907, ""es"", ""en"")"),"Precious precious as seen in the photoresist very good, fast delivery and in perfect condition")</f>
        <v>Precious precious as seen in the photoresist very good, fast delivery and in perfect condition</v>
      </c>
    </row>
    <row r="5908">
      <c r="A5908" s="1">
        <v>4.0</v>
      </c>
      <c r="B5908" s="1" t="s">
        <v>5870</v>
      </c>
      <c r="C5908" t="str">
        <f>IFERROR(__xludf.DUMMYFUNCTION("GOOGLETRANSLATE(B5908, ""es"", ""en"")"),"The material and having volume level to the article I liked everything in general, very good value for money, comfortable and great for kids. I recommend it.")</f>
        <v>The material and having volume level to the article I liked everything in general, very good value for money, comfortable and great for kids. I recommend it.</v>
      </c>
    </row>
    <row r="5909">
      <c r="A5909" s="1">
        <v>5.0</v>
      </c>
      <c r="B5909" s="1" t="s">
        <v>5871</v>
      </c>
      <c r="C5909" t="str">
        <f>IFERROR(__xludf.DUMMYFUNCTION("GOOGLETRANSLATE(B5909, ""es"", ""en"")"),"super comfortable very comfortable light, good choice for summer and buy super bargain 7,99 have returned to order them good if twice as good.")</f>
        <v>super comfortable very comfortable light, good choice for summer and buy super bargain 7,99 have returned to order them good if twice as good.</v>
      </c>
    </row>
    <row r="5910">
      <c r="A5910" s="1">
        <v>5.0</v>
      </c>
      <c r="B5910" s="1" t="s">
        <v>5872</v>
      </c>
      <c r="C5910" t="str">
        <f>IFERROR(__xludf.DUMMYFUNCTION("GOOGLETRANSLATE(B5910, ""es"", ""en"")"),"it works very well with this've had three and this is the best I to run, is always connected to the first and very fast, the battery lasts me all day and loaded in no time")</f>
        <v>it works very well with this've had three and this is the best I to run, is always connected to the first and very fast, the battery lasts me all day and loaded in no time</v>
      </c>
    </row>
    <row r="5911">
      <c r="A5911" s="1">
        <v>5.0</v>
      </c>
      <c r="B5911" s="1" t="s">
        <v>5873</v>
      </c>
      <c r="C5911" t="str">
        <f>IFERROR(__xludf.DUMMYFUNCTION("GOOGLETRANSLATE(B5911, ""es"", ""en"")"),"Perfect I will buy and very comfortable")</f>
        <v>Perfect I will buy and very comfortable</v>
      </c>
    </row>
    <row r="5912">
      <c r="A5912" s="1">
        <v>5.0</v>
      </c>
      <c r="B5912" s="1" t="s">
        <v>5874</v>
      </c>
      <c r="C5912" t="str">
        <f>IFERROR(__xludf.DUMMYFUNCTION("GOOGLETRANSLATE(B5912, ""es"", ""en"")"),"I love great, I weigh nothing, harbors and color I love. Of great stature")</f>
        <v>I love great, I weigh nothing, harbors and color I love. Of great stature</v>
      </c>
    </row>
    <row r="5913">
      <c r="A5913" s="1">
        <v>5.0</v>
      </c>
      <c r="B5913" s="1" t="s">
        <v>5875</v>
      </c>
      <c r="C5913" t="str">
        <f>IFERROR(__xludf.DUMMYFUNCTION("GOOGLETRANSLATE(B5913, ""es"", ""en"")"),"Encantada has helped me tremendously and quite hot, but put it at level 1 or 2 and hold heat for me is more than enough, I have not tried the level 3 because I think it would be too. I have calmed down a lot and thanks to its automatic shutdown was able t"&amp;"o sleep peacefully and how to relax notice Mogollon lumbar muscles.")</f>
        <v>Encantada has helped me tremendously and quite hot, but put it at level 1 or 2 and hold heat for me is more than enough, I have not tried the level 3 because I think it would be too. I have calmed down a lot and thanks to its automatic shutdown was able to sleep peacefully and how to relax notice Mogollon lumbar muscles.</v>
      </c>
    </row>
    <row r="5914">
      <c r="A5914" s="1">
        <v>5.0</v>
      </c>
      <c r="B5914" s="1" t="s">
        <v>5876</v>
      </c>
      <c r="C5914" t="str">
        <f>IFERROR(__xludf.DUMMYFUNCTION("GOOGLETRANSLATE(B5914, ""es"", ""en"")"),"Expected something very soft inside but outside material did not like me much, so I expected it better")</f>
        <v>Expected something very soft inside but outside material did not like me much, so I expected it better</v>
      </c>
    </row>
    <row r="5915">
      <c r="A5915" s="1">
        <v>5.0</v>
      </c>
      <c r="B5915" s="1" t="s">
        <v>5877</v>
      </c>
      <c r="C5915" t="str">
        <f>IFERROR(__xludf.DUMMYFUNCTION("GOOGLETRANSLATE(B5915, ""es"", ""en"")"),"Very nice is very cool, the leather strap looks very nice, but the best is the sphere, super beautiful colors as seen in the picture.")</f>
        <v>Very nice is very cool, the leather strap looks very nice, but the best is the sphere, super beautiful colors as seen in the picture.</v>
      </c>
    </row>
    <row r="5916">
      <c r="A5916" s="1">
        <v>5.0</v>
      </c>
      <c r="B5916" s="1" t="s">
        <v>5878</v>
      </c>
      <c r="C5916" t="str">
        <f>IFERROR(__xludf.DUMMYFUNCTION("GOOGLETRANSLATE(B5916, ""es"", ""en"")"),"Q allergy do not give my daughter not give allergy")</f>
        <v>Q allergy do not give my daughter not give allergy</v>
      </c>
    </row>
    <row r="5917">
      <c r="A5917" s="1">
        <v>5.0</v>
      </c>
      <c r="B5917" s="1" t="s">
        <v>5879</v>
      </c>
      <c r="C5917" t="str">
        <f>IFERROR(__xludf.DUMMYFUNCTION("GOOGLETRANSLATE(B5917, ""es"", ""en"")"),"Versatile very good, better versatility, for use both USB 3.0 and USB 2.0 micro USB. Great to install operating system, PC, laptop, or tabled.")</f>
        <v>Versatile very good, better versatility, for use both USB 3.0 and USB 2.0 micro USB. Great to install operating system, PC, laptop, or tabled.</v>
      </c>
    </row>
    <row r="5918">
      <c r="A5918" s="1">
        <v>5.0</v>
      </c>
      <c r="B5918" s="1" t="s">
        <v>5880</v>
      </c>
      <c r="C5918" t="str">
        <f>IFERROR(__xludf.DUMMYFUNCTION("GOOGLETRANSLATE(B5918, ""es"", ""en"")"),"Practical, simple, quick and respectful health standards are hidden under the bottom metal at any time come into contact with water. Despite being travel we use at home it is not something that we have chosen. Still the game rate is very handy and compact"&amp;".")</f>
        <v>Practical, simple, quick and respectful health standards are hidden under the bottom metal at any time come into contact with water. Despite being travel we use at home it is not something that we have chosen. Still the game rate is very handy and compact.</v>
      </c>
    </row>
    <row r="5919">
      <c r="A5919" s="1">
        <v>5.0</v>
      </c>
      <c r="B5919" s="1" t="s">
        <v>5881</v>
      </c>
      <c r="C5919" t="str">
        <f>IFERROR(__xludf.DUMMYFUNCTION("GOOGLETRANSLATE(B5919, ""es"", ""en"")"),"Cool One-fifth of bleach and the remaining water. Leave it a few hours, you stick the balls, it is shut and shake all directions. Very carefully to recover the balls in the water, they are very slippery and easy to lose. I used a sieve to recover. The bot"&amp;"elllas are like new. A great invention.")</f>
        <v>Cool One-fifth of bleach and the remaining water. Leave it a few hours, you stick the balls, it is shut and shake all directions. Very carefully to recover the balls in the water, they are very slippery and easy to lose. I used a sieve to recover. The botelllas are like new. A great invention.</v>
      </c>
    </row>
    <row r="5920">
      <c r="A5920" s="1">
        <v>5.0</v>
      </c>
      <c r="B5920" s="1" t="s">
        <v>5882</v>
      </c>
      <c r="C5920" t="str">
        <f>IFERROR(__xludf.DUMMYFUNCTION("GOOGLETRANSLATE(B5920, ""es"", ""en"")"),"Good nice and cheap Miy well if the Pillais well priced. Less than 20 €.")</f>
        <v>Good nice and cheap Miy well if the Pillais well priced. Less than 20 €.</v>
      </c>
    </row>
    <row r="5921">
      <c r="A5921" s="1">
        <v>5.0</v>
      </c>
      <c r="B5921" s="1" t="s">
        <v>5883</v>
      </c>
      <c r="C5921" t="str">
        <f>IFERROR(__xludf.DUMMYFUNCTION("GOOGLETRANSLATE(B5921, ""es"", ""en"")"),"Very useful !!! It is going great, sounds and hear you very clearly. I practically mobile is forgotten in the rooms. A purchase highly recommended and very practical, especially pq I bought for tendinitis on his arm (I speak a lot on the phone and the pai"&amp;"n became unbearable). I use it daily and it is a joy to speak and have your hands free for your chores. Nor has professional quality and you realize you're wearing is comfortable and does not weigh anything. Great and recomendadísima purchase. I do not kn"&amp;"ow how I could do without all this time.")</f>
        <v>Very useful !!! It is going great, sounds and hear you very clearly. I practically mobile is forgotten in the rooms. A purchase highly recommended and very practical, especially pq I bought for tendinitis on his arm (I speak a lot on the phone and the pain became unbearable). I use it daily and it is a joy to speak and have your hands free for your chores. Nor has professional quality and you realize you're wearing is comfortable and does not weigh anything. Great and recomendadísima purchase. I do not know how I could do without all this time.</v>
      </c>
    </row>
    <row r="5922">
      <c r="A5922" s="1">
        <v>5.0</v>
      </c>
      <c r="B5922" s="1" t="s">
        <v>5884</v>
      </c>
      <c r="C5922" t="str">
        <f>IFERROR(__xludf.DUMMYFUNCTION("GOOGLETRANSLATE(B5922, ""es"", ""en"")"),"Well are perfect and comfortable, the size number well, very happy with the purchase .... good overall has met all my expectations.")</f>
        <v>Well are perfect and comfortable, the size number well, very happy with the purchase .... good overall has met all my expectations.</v>
      </c>
    </row>
    <row r="5923">
      <c r="A5923" s="1">
        <v>5.0</v>
      </c>
      <c r="B5923" s="1" t="s">
        <v>5885</v>
      </c>
      <c r="C5923" t="str">
        <f>IFERROR(__xludf.DUMMYFUNCTION("GOOGLETRANSLATE(B5923, ""es"", ""en"")"),"Good buy. Better than it had cost me 300 €. After 3 weeks from the purchase, I can only say that the kitchen is fine. No problems with automatic ignition and works fine cuisine.")</f>
        <v>Good buy. Better than it had cost me 300 €. After 3 weeks from the purchase, I can only say that the kitchen is fine. No problems with automatic ignition and works fine cuisine.</v>
      </c>
    </row>
    <row r="5924">
      <c r="A5924" s="1">
        <v>5.0</v>
      </c>
      <c r="B5924" s="1" t="s">
        <v>5886</v>
      </c>
      <c r="C5924" t="str">
        <f>IFERROR(__xludf.DUMMYFUNCTION("GOOGLETRANSLATE(B5924, ""es"", ""en"")"),"Very good device Buenisimo")</f>
        <v>Very good device Buenisimo</v>
      </c>
    </row>
    <row r="5925">
      <c r="A5925" s="1">
        <v>5.0</v>
      </c>
      <c r="B5925" s="1" t="s">
        <v>5887</v>
      </c>
      <c r="C5925" t="str">
        <f>IFERROR(__xludf.DUMMYFUNCTION("GOOGLETRANSLATE(B5925, ""es"", ""en"")"),"Very great practical and comfortable to wear. The bristles of the brushes are resilient and fulfill its function. Ideal for small cracks and joints clean furniture and chairs where dirt is hard to remove.")</f>
        <v>Very great practical and comfortable to wear. The bristles of the brushes are resilient and fulfill its function. Ideal for small cracks and joints clean furniture and chairs where dirt is hard to remove.</v>
      </c>
    </row>
    <row r="5926">
      <c r="A5926" s="1">
        <v>5.0</v>
      </c>
      <c r="B5926" s="1" t="s">
        <v>5888</v>
      </c>
      <c r="C5926" t="str">
        <f>IFERROR(__xludf.DUMMYFUNCTION("GOOGLETRANSLATE(B5926, ""es"", ""en"")"),"Very nice loved")</f>
        <v>Very nice loved</v>
      </c>
    </row>
    <row r="5927">
      <c r="A5927" s="1">
        <v>2.0</v>
      </c>
      <c r="B5927" s="1" t="s">
        <v>5889</v>
      </c>
      <c r="C5927" t="str">
        <f>IFERROR(__xludf.DUMMYFUNCTION("GOOGLETRANSLATE(B5927, ""es"", ""en"")"),"Small, goes well for something to clean small areas is low but manageable, the only thing is that it is very straight and tall surfaces, from a distance, not bend and can not clean the entire surface, for great low pastes")</f>
        <v>Small, goes well for something to clean small areas is low but manageable, the only thing is that it is very straight and tall surfaces, from a distance, not bend and can not clean the entire surface, for great low pastes</v>
      </c>
    </row>
    <row r="5928">
      <c r="A5928" s="1">
        <v>3.0</v>
      </c>
      <c r="B5928" s="1" t="s">
        <v>5890</v>
      </c>
      <c r="C5928" t="str">
        <f>IFERROR(__xludf.DUMMYFUNCTION("GOOGLETRANSLATE(B5928, ""es"", ""en"")"),"He arrived very late, and did not expect. received too late. Article nice for the price.")</f>
        <v>He arrived very late, and did not expect. received too late. Article nice for the price.</v>
      </c>
    </row>
    <row r="5929">
      <c r="A5929" s="1">
        <v>3.0</v>
      </c>
      <c r="B5929" s="1" t="s">
        <v>5891</v>
      </c>
      <c r="C5929" t="str">
        <f>IFERROR(__xludf.DUMMYFUNCTION("GOOGLETRANSLATE(B5929, ""es"", ""en"")"),"It's not fluffy, if soft and fine Very soft but not fluffy comlmparece in the picture, the fabric is very thin")</f>
        <v>It's not fluffy, if soft and fine Very soft but not fluffy comlmparece in the picture, the fabric is very thin</v>
      </c>
    </row>
    <row r="5930">
      <c r="A5930" s="1">
        <v>1.0</v>
      </c>
      <c r="B5930" s="1" t="s">
        <v>5892</v>
      </c>
      <c r="C5930" t="str">
        <f>IFERROR(__xludf.DUMMYFUNCTION("GOOGLETRANSLATE(B5930, ""es"", ""en"")"),"During disappointed 1mes or so it worked perfectly and once my baby got used to it began to suffer loss of milk x board. And not a drop, it is literally just soaked you, baby, and when you put it vertically just leaving the milk house floor x around. I su"&amp;"ffered horrors after finding another anti-colic bibe in which lace the nipple and is not Evacuate to the baby.")</f>
        <v>During disappointed 1mes or so it worked perfectly and once my baby got used to it began to suffer loss of milk x board. And not a drop, it is literally just soaked you, baby, and when you put it vertically just leaving the milk house floor x around. I suffered horrors after finding another anti-colic bibe in which lace the nipple and is not Evacuate to the baby.</v>
      </c>
    </row>
    <row r="5931">
      <c r="A5931" s="1">
        <v>1.0</v>
      </c>
      <c r="B5931" s="1" t="s">
        <v>5893</v>
      </c>
      <c r="C5931" t="str">
        <f>IFERROR(__xludf.DUMMYFUNCTION("GOOGLETRANSLATE(B5931, ""es"", ""en"")"),"Exit disappointment inverted sound, ie what should exit on the right misses to the left and vice versa. In the end what you pay")</f>
        <v>Exit disappointment inverted sound, ie what should exit on the right misses to the left and vice versa. In the end what you pay</v>
      </c>
    </row>
    <row r="5932">
      <c r="A5932" s="1">
        <v>1.0</v>
      </c>
      <c r="B5932" s="1" t="s">
        <v>5894</v>
      </c>
      <c r="C5932" t="str">
        <f>IFERROR(__xludf.DUMMYFUNCTION("GOOGLETRANSLATE(B5932, ""es"", ""en"")"),"Excellent blender I really liked the appliance is very complete and very powerful, evil is that 3 beaten stopped working so I had to return it and I repaid without problems, however I bought back the same as failure manufactures any device you may have. A"&amp;"nd I will tell me how it goes next. Then buy him again and this time of great moment would recommend.")</f>
        <v>Excellent blender I really liked the appliance is very complete and very powerful, evil is that 3 beaten stopped working so I had to return it and I repaid without problems, however I bought back the same as failure manufactures any device you may have. And I will tell me how it goes next. Then buy him again and this time of great moment would recommend.</v>
      </c>
    </row>
    <row r="5933">
      <c r="A5933" s="1">
        <v>4.0</v>
      </c>
      <c r="B5933" s="1" t="s">
        <v>5895</v>
      </c>
      <c r="C5933" t="str">
        <f>IFERROR(__xludf.DUMMYFUNCTION("GOOGLETRANSLATE(B5933, ""es"", ""en"")"),"effective Optimo")</f>
        <v>effective Optimo</v>
      </c>
    </row>
    <row r="5934">
      <c r="A5934" s="1">
        <v>4.0</v>
      </c>
      <c r="B5934" s="1" t="s">
        <v>5896</v>
      </c>
      <c r="C5934" t="str">
        <f>IFERROR(__xludf.DUMMYFUNCTION("GOOGLETRANSLATE(B5934, ""es"", ""en"")"),"Okay good they are for people who do not have much bust")</f>
        <v>Okay good they are for people who do not have much bust</v>
      </c>
    </row>
    <row r="5935">
      <c r="A5935" s="1">
        <v>4.0</v>
      </c>
      <c r="B5935" s="1" t="s">
        <v>5897</v>
      </c>
      <c r="C5935" t="str">
        <f>IFERROR(__xludf.DUMMYFUNCTION("GOOGLETRANSLATE(B5935, ""es"", ""en"")"),"The use fulfills its function in a fairly modest floorboard, are not of extraordinary quality but perform their function perfectly. Of course, it tends to unscrew the cap which is welded wire. It is a problem that occurs in many all-metal connectors, whic"&amp;"h is not too bad if you do not touch the cable continuously.")</f>
        <v>The use fulfills its function in a fairly modest floorboard, are not of extraordinary quality but perform their function perfectly. Of course, it tends to unscrew the cap which is welded wire. It is a problem that occurs in many all-metal connectors, which is not too bad if you do not touch the cable continuously.</v>
      </c>
    </row>
    <row r="5936">
      <c r="A5936" s="1">
        <v>4.0</v>
      </c>
      <c r="B5936" s="1" t="s">
        <v>5898</v>
      </c>
      <c r="C5936" t="str">
        <f>IFERROR(__xludf.DUMMYFUNCTION("GOOGLETRANSLATE(B5936, ""es"", ""en"")"),"To exit the step until you catch the trick costs mount. There video on YouTube, but to have a simple stamp company is worth.")</f>
        <v>To exit the step until you catch the trick costs mount. There video on YouTube, but to have a simple stamp company is worth.</v>
      </c>
    </row>
    <row r="5937">
      <c r="A5937" s="1">
        <v>5.0</v>
      </c>
      <c r="B5937" s="1" t="s">
        <v>5899</v>
      </c>
      <c r="C5937" t="str">
        <f>IFERROR(__xludf.DUMMYFUNCTION("GOOGLETRANSLATE(B5937, ""es"", ""en"")"),"Good service, as always with Amazon Very nice, watch what we were using for years. I love it works very well")</f>
        <v>Good service, as always with Amazon Very nice, watch what we were using for years. I love it works very well</v>
      </c>
    </row>
    <row r="5938">
      <c r="A5938" s="1">
        <v>5.0</v>
      </c>
      <c r="B5938" s="1" t="s">
        <v>5900</v>
      </c>
      <c r="C5938" t="str">
        <f>IFERROR(__xludf.DUMMYFUNCTION("GOOGLETRANSLATE(B5938, ""es"", ""en"")"),"The essential oil smells good is fine, but it is also true that before I've had better since leaving a good flavor in the living room in a matter of seconds, and this in particular takes.")</f>
        <v>The essential oil smells good is fine, but it is also true that before I've had better since leaving a good flavor in the living room in a matter of seconds, and this in particular takes.</v>
      </c>
    </row>
    <row r="5939">
      <c r="A5939" s="1">
        <v>5.0</v>
      </c>
      <c r="B5939" s="1" t="s">
        <v>5901</v>
      </c>
      <c r="C5939" t="str">
        <f>IFERROR(__xludf.DUMMYFUNCTION("GOOGLETRANSLATE(B5939, ""es"", ""en"")"),"As always clips as you can see image, some clips of long, metal, along with his jar to store and utility of being magnetised top, which makes can always have on hand.")</f>
        <v>As always clips as you can see image, some clips of long, metal, along with his jar to store and utility of being magnetised top, which makes can always have on hand.</v>
      </c>
    </row>
    <row r="5940">
      <c r="A5940" s="1">
        <v>5.0</v>
      </c>
      <c r="B5940" s="1" t="s">
        <v>5902</v>
      </c>
      <c r="C5940" t="str">
        <f>IFERROR(__xludf.DUMMYFUNCTION("GOOGLETRANSLATE(B5940, ""es"", ""en"")"),"It is what he wanted. Perfect is perfect")</f>
        <v>It is what he wanted. Perfect is perfect</v>
      </c>
    </row>
    <row r="5941">
      <c r="A5941" s="1">
        <v>5.0</v>
      </c>
      <c r="B5941" s="1" t="s">
        <v>5903</v>
      </c>
      <c r="C5941" t="str">
        <f>IFERROR(__xludf.DUMMYFUNCTION("GOOGLETRANSLATE(B5941, ""es"", ""en"")"),"Quality and Durability me super comfortable slippers were of the sizes that indicated in the description. The color has not gone away despite the years and I'm still using them, so the quality is high.")</f>
        <v>Quality and Durability me super comfortable slippers were of the sizes that indicated in the description. The color has not gone away despite the years and I'm still using them, so the quality is high.</v>
      </c>
    </row>
    <row r="5942">
      <c r="A5942" s="1">
        <v>5.0</v>
      </c>
      <c r="B5942" s="1" t="s">
        <v>5904</v>
      </c>
      <c r="C5942" t="str">
        <f>IFERROR(__xludf.DUMMYFUNCTION("GOOGLETRANSLATE(B5942, ""es"", ""en"")"),"Is beautiful!! It has come super fast !!! Is the same as in the picture, has long wanted a way, what came to me a little big but as it has many hooks will be removed last and is perfect on the wrist, very happy with purchase !! Recomendadísima!")</f>
        <v>Is beautiful!! It has come super fast !!! Is the same as in the picture, has long wanted a way, what came to me a little big but as it has many hooks will be removed last and is perfect on the wrist, very happy with purchase !! Recomendadísima!</v>
      </c>
    </row>
    <row r="5943">
      <c r="A5943" s="1">
        <v>5.0</v>
      </c>
      <c r="B5943" s="1" t="s">
        <v>5905</v>
      </c>
      <c r="C5943" t="str">
        <f>IFERROR(__xludf.DUMMYFUNCTION("GOOGLETRANSLATE(B5943, ""es"", ""en"")"),"QUALITY Modern style and price")</f>
        <v>QUALITY Modern style and price</v>
      </c>
    </row>
    <row r="5944">
      <c r="A5944" s="1">
        <v>5.0</v>
      </c>
      <c r="B5944" s="1" t="s">
        <v>5906</v>
      </c>
      <c r="C5944" t="str">
        <f>IFERROR(__xludf.DUMMYFUNCTION("GOOGLETRANSLATE(B5944, ""es"", ""en"")"),"Quite well despite its low price. He was not sure if I would use and I decided that this was the cheapest. Obviously not seem the strongest and best building materials world but it works properly and can make all the moves that will assume and maintain th"&amp;"e position without the least problem. Attaches to the table as a ""sergeant"" and has 3 main parts articulated at two points. In turn has a spider to engage the micro. In my case I use a microphone Blue Yeti and remains something having to do some small C"&amp;"hapucilla to get him but the end comes. Ultimately happy. If I go left over from the money of course there are much better. This even works properly have to take some care in doing the movements. Or at least that's the feeling it gives. I am attaching som"&amp;"e photos if you are useful and if it has been so do not forget to leave me a LIKE!")</f>
        <v>Quite well despite its low price. He was not sure if I would use and I decided that this was the cheapest. Obviously not seem the strongest and best building materials world but it works properly and can make all the moves that will assume and maintain the position without the least problem. Attaches to the table as a "sergeant" and has 3 main parts articulated at two points. In turn has a spider to engage the micro. In my case I use a microphone Blue Yeti and remains something having to do some small Chapucilla to get him but the end comes. Ultimately happy. If I go left over from the money of course there are much better. This even works properly have to take some care in doing the movements. Or at least that's the feeling it gives. I am attaching some photos if you are useful and if it has been so do not forget to leave me a LIKE!</v>
      </c>
    </row>
    <row r="5945">
      <c r="A5945" s="1">
        <v>5.0</v>
      </c>
      <c r="B5945" s="1" t="s">
        <v>5907</v>
      </c>
      <c r="C5945" t="str">
        <f>IFERROR(__xludf.DUMMYFUNCTION("GOOGLETRANSLATE(B5945, ""es"", ""en"")"),"Overall good well, has all shades strong and clearer way, you can put it or not. As for the noise it makes a small remor not bother.")</f>
        <v>Overall good well, has all shades strong and clearer way, you can put it or not. As for the noise it makes a small remor not bother.</v>
      </c>
    </row>
    <row r="5946">
      <c r="A5946" s="1">
        <v>5.0</v>
      </c>
      <c r="B5946" s="1" t="s">
        <v>5908</v>
      </c>
      <c r="C5946" t="str">
        <f>IFERROR(__xludf.DUMMYFUNCTION("GOOGLETRANSLATE(B5946, ""es"", ""en"")"),"Excellent! real good. Just what I was looking for and very good quality.")</f>
        <v>Excellent! real good. Just what I was looking for and very good quality.</v>
      </c>
    </row>
    <row r="5947">
      <c r="A5947" s="1">
        <v>5.0</v>
      </c>
      <c r="B5947" s="1" t="s">
        <v>5909</v>
      </c>
      <c r="C5947" t="str">
        <f>IFERROR(__xludf.DUMMYFUNCTION("GOOGLETRANSLATE(B5947, ""es"", ""en"")"),"Fulfills its function is pretty good and especially subject that's what I was looking for this product. It deteriorates too with the washings.")</f>
        <v>Fulfills its function is pretty good and especially subject that's what I was looking for this product. It deteriorates too with the washings.</v>
      </c>
    </row>
    <row r="5948">
      <c r="A5948" s="1">
        <v>5.0</v>
      </c>
      <c r="B5948" s="1" t="s">
        <v>5910</v>
      </c>
      <c r="C5948" t="str">
        <f>IFERROR(__xludf.DUMMYFUNCTION("GOOGLETRANSLATE(B5948, ""es"", ""en"")"),"I love to have breakfast wonderful smoothies and more fruit if they are. The glasses are very useful with the handle so that it can catch well. Shreds quite well both fruit and ice. In less than 1 minute, happened to have on hand fruit smoothie. The engin"&amp;"e makes less noise than a friend of mine. Easy to clean and to transport. I like very much.")</f>
        <v>I love to have breakfast wonderful smoothies and more fruit if they are. The glasses are very useful with the handle so that it can catch well. Shreds quite well both fruit and ice. In less than 1 minute, happened to have on hand fruit smoothie. The engine makes less noise than a friend of mine. Easy to clean and to transport. I like very much.</v>
      </c>
    </row>
    <row r="5949">
      <c r="A5949" s="1">
        <v>5.0</v>
      </c>
      <c r="B5949" s="1" t="s">
        <v>5911</v>
      </c>
      <c r="C5949" t="str">
        <f>IFERROR(__xludf.DUMMYFUNCTION("GOOGLETRANSLATE(B5949, ""es"", ""en"")"),"Good sound quality and materials. excellent headphones. Good sound quality and material. Good size and comfortable to wear. Supports memory card and Bluetooth connection.")</f>
        <v>Good sound quality and materials. excellent headphones. Good sound quality and material. Good size and comfortable to wear. Supports memory card and Bluetooth connection.</v>
      </c>
    </row>
    <row r="5950">
      <c r="A5950" s="1">
        <v>5.0</v>
      </c>
      <c r="B5950" s="1" t="s">
        <v>5912</v>
      </c>
      <c r="C5950" t="str">
        <f>IFERROR(__xludf.DUMMYFUNCTION("GOOGLETRANSLATE(B5950, ""es"", ""en"")"),"Great. My daughter loved him. It must be because the nipple has a shape that pleases him. It's not very big, so I packed not a considerable weight. Easy to wash and cheap. BPA free. Great. I will buy one more.")</f>
        <v>Great. My daughter loved him. It must be because the nipple has a shape that pleases him. It's not very big, so I packed not a considerable weight. Easy to wash and cheap. BPA free. Great. I will buy one more.</v>
      </c>
    </row>
    <row r="5951">
      <c r="A5951" s="1">
        <v>5.0</v>
      </c>
      <c r="B5951" s="1" t="s">
        <v>5913</v>
      </c>
      <c r="C5951" t="str">
        <f>IFERROR(__xludf.DUMMYFUNCTION("GOOGLETRANSLATE(B5951, ""es"", ""en"")"),"Very good for the price it is great. It is small, but comes in handy for magnetic boards. Borra great, does not leave marks, although I think the pens also help that.")</f>
        <v>Very good for the price it is great. It is small, but comes in handy for magnetic boards. Borra great, does not leave marks, although I think the pens also help that.</v>
      </c>
    </row>
    <row r="5952">
      <c r="A5952" s="1">
        <v>5.0</v>
      </c>
      <c r="B5952" s="1" t="s">
        <v>5914</v>
      </c>
      <c r="C5952" t="str">
        <f>IFERROR(__xludf.DUMMYFUNCTION("GOOGLETRANSLATE(B5952, ""es"", ""en"")"),"The perfect cutting bought pizzas and I'm megacontento with them: D")</f>
        <v>The perfect cutting bought pizzas and I'm megacontento with them: D</v>
      </c>
    </row>
    <row r="5953">
      <c r="A5953" s="1">
        <v>5.0</v>
      </c>
      <c r="B5953" s="1" t="s">
        <v>5915</v>
      </c>
      <c r="C5953" t="str">
        <f>IFERROR(__xludf.DUMMYFUNCTION("GOOGLETRANSLATE(B5953, ""es"", ""en"")"),"Perfect very good quality, I liked it and good quality.")</f>
        <v>Perfect very good quality, I liked it and good quality.</v>
      </c>
    </row>
    <row r="5954">
      <c r="A5954" s="1">
        <v>5.0</v>
      </c>
      <c r="B5954" s="1" t="s">
        <v>5916</v>
      </c>
      <c r="C5954" t="str">
        <f>IFERROR(__xludf.DUMMYFUNCTION("GOOGLETRANSLATE(B5954, ""es"", ""en"")"),"Excellent price quality really feel you buy a quality cable for your price is the best you can find, highly recommended.")</f>
        <v>Excellent price quality really feel you buy a quality cable for your price is the best you can find, highly recommended.</v>
      </c>
    </row>
    <row r="5955">
      <c r="A5955" s="1">
        <v>5.0</v>
      </c>
      <c r="B5955" s="1" t="s">
        <v>5917</v>
      </c>
      <c r="C5955" t="str">
        <f>IFERROR(__xludf.DUMMYFUNCTION("GOOGLETRANSLATE(B5955, ""es"", ""en"")"),"Perfect Perfect")</f>
        <v>Perfect Perfect</v>
      </c>
    </row>
    <row r="5956">
      <c r="A5956" s="1">
        <v>2.0</v>
      </c>
      <c r="B5956" s="1" t="s">
        <v>5918</v>
      </c>
      <c r="C5956" t="str">
        <f>IFERROR(__xludf.DUMMYFUNCTION("GOOGLETRANSLATE(B5956, ""es"", ""en"")"),"Low quality not liked because poor quality looks and is narrower at the ends.")</f>
        <v>Low quality not liked because poor quality looks and is narrower at the ends.</v>
      </c>
    </row>
    <row r="5957">
      <c r="A5957" s="1">
        <v>3.0</v>
      </c>
      <c r="B5957" s="1" t="s">
        <v>5919</v>
      </c>
      <c r="C5957" t="str">
        <f>IFERROR(__xludf.DUMMYFUNCTION("GOOGLETRANSLATE(B5957, ""es"", ""en"")"),"It's what I expected are very comfortable and weighs very little")</f>
        <v>It's what I expected are very comfortable and weighs very little</v>
      </c>
    </row>
    <row r="5958">
      <c r="A5958" s="1">
        <v>3.0</v>
      </c>
      <c r="B5958" s="1" t="s">
        <v>5920</v>
      </c>
      <c r="C5958" t="str">
        <f>IFERROR(__xludf.DUMMYFUNCTION("GOOGLETRANSLATE(B5958, ""es"", ""en"")"),"with mincing vessels to chop and mash are fine. does not throttle the same pica grinds")</f>
        <v>with mincing vessels to chop and mash are fine. does not throttle the same pica grinds</v>
      </c>
    </row>
    <row r="5959">
      <c r="A5959" s="1">
        <v>1.0</v>
      </c>
      <c r="B5959" s="1" t="s">
        <v>5921</v>
      </c>
      <c r="C5959" t="str">
        <f>IFERROR(__xludf.DUMMYFUNCTION("GOOGLETRANSLATE(B5959, ""es"", ""en"")"),"Decepcion not return to buy ... Toral decepcion ... I tried other buenisimos argan oils and wanted to try this for price and there you have died laughing ... very greasy hair")</f>
        <v>Decepcion not return to buy ... Toral decepcion ... I tried other buenisimos argan oils and wanted to try this for price and there you have died laughing ... very greasy hair</v>
      </c>
    </row>
    <row r="5960">
      <c r="A5960" s="1">
        <v>1.0</v>
      </c>
      <c r="B5960" s="1" t="s">
        <v>5922</v>
      </c>
      <c r="C5960" t="str">
        <f>IFERROR(__xludf.DUMMYFUNCTION("GOOGLETRANSLATE(B5960, ""es"", ""en"")"),"The ANC does not work as well as promised and turn up the volume of music to the use I bought them for the good opinions I had and I must say they are comfortable and light. In addition, the music sounds good, the problem is ANC. I basically bought them f"&amp;"or noise cancellation and how good it was as the opinions and description of the product, but the truth is that the use without music does not do much. I have tried both at home and in the library and in the car, and I must say that nothing or almost noth"&amp;"ing decreases background noise, I hear all sounds both serious and acute. When the ANC active music all it does is minimally decrease the bass sounds, but is that although they are still far listening to everyone, and treble sounds listening environment e"&amp;"ven better. In addition to being listening to music volume it is up, and heard enough from outside but the volume is not the butt. Of course this makes not be used outside the home, in libraries or similar, with the ANC activated, and it would bother othe"&amp;"rs. In short, for the price they have nothing to those who have not had before € Xiaomi 7-8. - The ANC really not cancel any noise, if that minimally reduces any sound. - A music using the ANC volume is up and heard enough from outside, so I can not use n"&amp;"oise cancellation in public places. - They are comfortable and light, and the sound quality in music is good, but not worth the price so it really gives the product.")</f>
        <v>The ANC does not work as well as promised and turn up the volume of music to the use I bought them for the good opinions I had and I must say they are comfortable and light. In addition, the music sounds good, the problem is ANC. I basically bought them for noise cancellation and how good it was as the opinions and description of the product, but the truth is that the use without music does not do much. I have tried both at home and in the library and in the car, and I must say that nothing or almost nothing decreases background noise, I hear all sounds both serious and acute. When the ANC active music all it does is minimally decrease the bass sounds, but is that although they are still far listening to everyone, and treble sounds listening environment even better. In addition to being listening to music volume it is up, and heard enough from outside but the volume is not the butt. Of course this makes not be used outside the home, in libraries or similar, with the ANC activated, and it would bother others. In short, for the price they have nothing to those who have not had before € Xiaomi 7-8. - The ANC really not cancel any noise, if that minimally reduces any sound. - A music using the ANC volume is up and heard enough from outside, so I can not use noise cancellation in public places. - They are comfortable and light, and the sound quality in music is good, but not worth the price so it really gives the product.</v>
      </c>
    </row>
    <row r="5961">
      <c r="A5961" s="1">
        <v>4.0</v>
      </c>
      <c r="B5961" s="1" t="s">
        <v>5923</v>
      </c>
      <c r="C5961" t="str">
        <f>IFERROR(__xludf.DUMMYFUNCTION("GOOGLETRANSLATE(B5961, ""es"", ""en"")"),"Little rigid breathable")</f>
        <v>Little rigid breathable</v>
      </c>
    </row>
    <row r="5962">
      <c r="A5962" s="1">
        <v>4.0</v>
      </c>
      <c r="B5962" s="1" t="s">
        <v>5924</v>
      </c>
      <c r="C5962" t="str">
        <f>IFERROR(__xludf.DUMMYFUNCTION("GOOGLETRANSLATE(B5962, ""es"", ""en"")"),"Comfortable is well designed and is very comfortable for durability, revaluare within months, carvings, I fucked 41, comes something big and plenty of space in the toe, but fits and plenty of space for a comfortable and Grusa template, because the shoe it"&amp;"self brings one makes as a double buffer that is incredibly comfortable.")</f>
        <v>Comfortable is well designed and is very comfortable for durability, revaluare within months, carvings, I fucked 41, comes something big and plenty of space in the toe, but fits and plenty of space for a comfortable and Grusa template, because the shoe itself brings one makes as a double buffer that is incredibly comfortable.</v>
      </c>
    </row>
    <row r="5963">
      <c r="A5963" s="1">
        <v>4.0</v>
      </c>
      <c r="B5963" s="1" t="s">
        <v>5925</v>
      </c>
      <c r="C5963" t="str">
        <f>IFERROR(__xludf.DUMMYFUNCTION("GOOGLETRANSLATE(B5963, ""es"", ""en"")"),"Okay okay for when you travel and are of those people who want to have photos from the camera on the phone as soon as possible. The app works properly although sometimes has trouble connecting (at the least with my Iphone 7 - Fuji X100). When going over t"&amp;"he photos once selected you going fast, but generally just gets a little heavy between you connect, view, looking, choose etc. For that to work, I recommend spending photos by another system.")</f>
        <v>Okay okay for when you travel and are of those people who want to have photos from the camera on the phone as soon as possible. The app works properly although sometimes has trouble connecting (at the least with my Iphone 7 - Fuji X100). When going over the photos once selected you going fast, but generally just gets a little heavy between you connect, view, looking, choose etc. For that to work, I recommend spending photos by another system.</v>
      </c>
    </row>
    <row r="5964">
      <c r="A5964" s="1">
        <v>4.0</v>
      </c>
      <c r="B5964" s="1" t="s">
        <v>5926</v>
      </c>
      <c r="C5964" t="str">
        <f>IFERROR(__xludf.DUMMYFUNCTION("GOOGLETRANSLATE(B5964, ""es"", ""en"")"),"Well the only thing fails, the names of small countries, are as distorted, in short, that the drawing is not perfect, as it should be, but everything else Oct. 1.")</f>
        <v>Well the only thing fails, the names of small countries, are as distorted, in short, that the drawing is not perfect, as it should be, but everything else Oct. 1.</v>
      </c>
    </row>
    <row r="5965">
      <c r="A5965" s="1">
        <v>4.0</v>
      </c>
      <c r="B5965" s="1" t="s">
        <v>5927</v>
      </c>
      <c r="C5965" t="str">
        <f>IFERROR(__xludf.DUMMYFUNCTION("GOOGLETRANSLATE(B5965, ""es"", ""en"")"),"recommended price / performance clock whose difference to others the vibrating alarm which goes very well when o'clock mark makes no noise to warn that they are sharp, vibrates noticeably.")</f>
        <v>recommended price / performance clock whose difference to others the vibrating alarm which goes very well when o'clock mark makes no noise to warn that they are sharp, vibrates noticeably.</v>
      </c>
    </row>
    <row r="5966">
      <c r="A5966" s="1">
        <v>5.0</v>
      </c>
      <c r="B5966" s="1" t="s">
        <v>5928</v>
      </c>
      <c r="C5966" t="str">
        <f>IFERROR(__xludf.DUMMYFUNCTION("GOOGLETRANSLATE(B5966, ""es"", ""en"")"),"The shirt is of great quality and size indicated. The shirt arrived correctly. The color is displayed on the right image. The size is very accurate and is perfectly me. The quality is excellent, although not expect less from Nike. I recommend this shirt f"&amp;"or any sport. I've used to play football and to train in the gym and is perfect for this. Transpires perfectly and is very comfortable even with rain, no water barely absolved.")</f>
        <v>The shirt is of great quality and size indicated. The shirt arrived correctly. The color is displayed on the right image. The size is very accurate and is perfectly me. The quality is excellent, although not expect less from Nike. I recommend this shirt for any sport. I've used to play football and to train in the gym and is perfect for this. Transpires perfectly and is very comfortable even with rain, no water barely absolved.</v>
      </c>
    </row>
    <row r="5967">
      <c r="A5967" s="1">
        <v>5.0</v>
      </c>
      <c r="B5967" s="1" t="s">
        <v>5929</v>
      </c>
      <c r="C5967" t="str">
        <f>IFERROR(__xludf.DUMMYFUNCTION("GOOGLETRANSLATE(B5967, ""es"", ""en"")"),"Watch fairly complete clock is nice and sporty. The metal belt with safety lock is easily adjusted and does not deteriorate. The implementation of all functions and calibration of some of them is a little complicated, you have to read the fine manual. com"&amp;"prehensive clock, put a ""but"" the pressure sensor and temperature protruding to the left is sometimes slightly annoying to the engagement with the sleeves or jersey for example. Definitely a good watch with multiple applications. Satisfied with the purc"&amp;"hase.")</f>
        <v>Watch fairly complete clock is nice and sporty. The metal belt with safety lock is easily adjusted and does not deteriorate. The implementation of all functions and calibration of some of them is a little complicated, you have to read the fine manual. comprehensive clock, put a "but" the pressure sensor and temperature protruding to the left is sometimes slightly annoying to the engagement with the sleeves or jersey for example. Definitely a good watch with multiple applications. Satisfied with the purchase.</v>
      </c>
    </row>
    <row r="5968">
      <c r="A5968" s="1">
        <v>5.0</v>
      </c>
      <c r="B5968" s="1" t="s">
        <v>5930</v>
      </c>
      <c r="C5968" t="str">
        <f>IFERROR(__xludf.DUMMYFUNCTION("GOOGLETRANSLATE(B5968, ""es"", ""en"")"),"Each for one thing are durable and has lots of variety, it smells very good. Each serves you for one thing, I like to put lavender in the humidifier to better rest. Tea tree use it to ward off mosquitoes. I'm a cold when the eucalyptus. How freshener oran"&amp;"ge.")</f>
        <v>Each for one thing are durable and has lots of variety, it smells very good. Each serves you for one thing, I like to put lavender in the humidifier to better rest. Tea tree use it to ward off mosquitoes. I'm a cold when the eucalyptus. How freshener orange.</v>
      </c>
    </row>
    <row r="5969">
      <c r="A5969" s="1">
        <v>5.0</v>
      </c>
      <c r="B5969" s="1" t="s">
        <v>5931</v>
      </c>
      <c r="C5969" t="str">
        <f>IFERROR(__xludf.DUMMYFUNCTION("GOOGLETRANSLATE(B5969, ""es"", ""en"")"),"Good stapler is medium in size, is not as good as those of a lifetime but it looks tough, always do not want to remove it already is then no way. Very good relationship between quality and price.")</f>
        <v>Good stapler is medium in size, is not as good as those of a lifetime but it looks tough, always do not want to remove it already is then no way. Very good relationship between quality and price.</v>
      </c>
    </row>
    <row r="5970">
      <c r="A5970" s="1">
        <v>5.0</v>
      </c>
      <c r="B5970" s="1" t="s">
        <v>5932</v>
      </c>
      <c r="C5970" t="str">
        <f>IFERROR(__xludf.DUMMYFUNCTION("GOOGLETRANSLATE(B5970, ""es"", ""en"")"),"Large RAM Everything fits the description. Everything was very good and fast. These great memories and the computer is already in perfect condition for another season.")</f>
        <v>Large RAM Everything fits the description. Everything was very good and fast. These great memories and the computer is already in perfect condition for another season.</v>
      </c>
    </row>
    <row r="5971">
      <c r="A5971" s="1">
        <v>5.0</v>
      </c>
      <c r="B5971" s="1" t="s">
        <v>5933</v>
      </c>
      <c r="C5971" t="str">
        <f>IFERROR(__xludf.DUMMYFUNCTION("GOOGLETRANSLATE(B5971, ""es"", ""en"")"),"Great comfort and true q are invisible because they are not")</f>
        <v>Great comfort and true q are invisible because they are not</v>
      </c>
    </row>
    <row r="5972">
      <c r="A5972" s="1">
        <v>5.0</v>
      </c>
      <c r="B5972" s="1" t="s">
        <v>5934</v>
      </c>
      <c r="C5972" t="str">
        <f>IFERROR(__xludf.DUMMYFUNCTION("GOOGLETRANSLATE(B5972, ""es"", ""en"")"),"Perfect good buy and good shipping, will buy more.")</f>
        <v>Perfect good buy and good shipping, will buy more.</v>
      </c>
    </row>
    <row r="5973">
      <c r="A5973" s="1">
        <v>5.0</v>
      </c>
      <c r="B5973" s="1" t="s">
        <v>5935</v>
      </c>
      <c r="C5973" t="str">
        <f>IFERROR(__xludf.DUMMYFUNCTION("GOOGLETRANSLATE(B5973, ""es"", ""en"")"),"Comfortable and beautiful work in a dental clinic, use daily and are very comfortable, as well as beautiful, if you are between two sizes order one, I use 39, I ordered the 39-40 and look good, fair.")</f>
        <v>Comfortable and beautiful work in a dental clinic, use daily and are very comfortable, as well as beautiful, if you are between two sizes order one, I use 39, I ordered the 39-40 and look good, fair.</v>
      </c>
    </row>
    <row r="5974">
      <c r="A5974" s="1">
        <v>5.0</v>
      </c>
      <c r="B5974" s="1" t="s">
        <v>5936</v>
      </c>
      <c r="C5974" t="str">
        <f>IFERROR(__xludf.DUMMYFUNCTION("GOOGLETRANSLATE(B5974, ""es"", ""en"")"),"Powerful and elegant works properly and has dimensions that allow me to heat all types of containers. Furthermore, its design is very elegant black, is not the typical white microwave and power makes food heated in a very short time. No grill but neither "&amp;"miss much at fault as they gave oven having little use that function. It was exempted from buying such devices a Chinese brand, but I've had no problems.")</f>
        <v>Powerful and elegant works properly and has dimensions that allow me to heat all types of containers. Furthermore, its design is very elegant black, is not the typical white microwave and power makes food heated in a very short time. No grill but neither miss much at fault as they gave oven having little use that function. It was exempted from buying such devices a Chinese brand, but I've had no problems.</v>
      </c>
    </row>
    <row r="5975">
      <c r="A5975" s="1">
        <v>5.0</v>
      </c>
      <c r="B5975" s="1" t="s">
        <v>5937</v>
      </c>
      <c r="C5975" t="str">
        <f>IFERROR(__xludf.DUMMYFUNCTION("GOOGLETRANSLATE(B5975, ""es"", ""en"")"),"Compatible with Moppy Moppy complatible Polti Polti good quality as original is a little wider but going very well")</f>
        <v>Compatible with Moppy Moppy complatible Polti Polti good quality as original is a little wider but going very well</v>
      </c>
    </row>
    <row r="5976">
      <c r="A5976" s="1">
        <v>5.0</v>
      </c>
      <c r="B5976" s="1" t="s">
        <v>5938</v>
      </c>
      <c r="C5976" t="str">
        <f>IFERROR(__xludf.DUMMYFUNCTION("GOOGLETRANSLATE(B5976, ""es"", ""en"")"),"Perfect for file Use these discs with a dock to archive video files in years have never given me problems. Seagate is quality / price of the best internal hard drives (mechanical), they are fast but not as much as flash memory. As I said, the use of file,"&amp;" to work on them recommend flash memory.")</f>
        <v>Perfect for file Use these discs with a dock to archive video files in years have never given me problems. Seagate is quality / price of the best internal hard drives (mechanical), they are fast but not as much as flash memory. As I said, the use of file, to work on them recommend flash memory.</v>
      </c>
    </row>
    <row r="5977">
      <c r="A5977" s="1">
        <v>5.0</v>
      </c>
      <c r="B5977" s="1" t="s">
        <v>5939</v>
      </c>
      <c r="C5977" t="str">
        <f>IFERROR(__xludf.DUMMYFUNCTION("GOOGLETRANSLATE(B5977, ""es"", ""en"")"),"Floor prepare fruit smoothies milkshakes almost daily, since taking post workout at the gym. I usually do with natural fruits, nuts and vegetables. This pack blender and packaging is very complete as it brings several Shaker to take the shakes and drink t"&amp;"hem. The mixer has an intuitive system and is super easy to use. All phenomenal box and only with press and turn screwed and install it. Also, I love to take care of the details and bring suckers to lie very still on the counter.")</f>
        <v>Floor prepare fruit smoothies milkshakes almost daily, since taking post workout at the gym. I usually do with natural fruits, nuts and vegetables. This pack blender and packaging is very complete as it brings several Shaker to take the shakes and drink them. The mixer has an intuitive system and is super easy to use. All phenomenal box and only with press and turn screwed and install it. Also, I love to take care of the details and bring suckers to lie very still on the counter.</v>
      </c>
    </row>
    <row r="5978">
      <c r="A5978" s="1">
        <v>5.0</v>
      </c>
      <c r="B5978" s="1" t="s">
        <v>5940</v>
      </c>
      <c r="C5978" t="str">
        <f>IFERROR(__xludf.DUMMYFUNCTION("GOOGLETRANSLATE(B5978, ""es"", ""en"")"),"Beautiful Better than I thought, does not seem cheap")</f>
        <v>Beautiful Better than I thought, does not seem cheap</v>
      </c>
    </row>
    <row r="5979">
      <c r="A5979" s="1">
        <v>5.0</v>
      </c>
      <c r="B5979" s="1" t="s">
        <v>5941</v>
      </c>
      <c r="C5979" t="str">
        <f>IFERROR(__xludf.DUMMYFUNCTION("GOOGLETRANSLATE(B5979, ""es"", ""en"")"),"Great buy. Perfecto.como in the photo. Buy the size L and is perfect.")</f>
        <v>Great buy. Perfecto.como in the photo. Buy the size L and is perfect.</v>
      </c>
    </row>
    <row r="5980">
      <c r="A5980" s="1">
        <v>5.0</v>
      </c>
      <c r="B5980" s="1" t="s">
        <v>5942</v>
      </c>
      <c r="C5980" t="str">
        <f>IFERROR(__xludf.DUMMYFUNCTION("GOOGLETRANSLATE(B5980, ""es"", ""en"")"),"Great product recommend to purchase 100% works great but be aware that you have to have the thread below for you can place it on the tripod")</f>
        <v>Great product recommend to purchase 100% works great but be aware that you have to have the thread below for you can place it on the tripod</v>
      </c>
    </row>
    <row r="5981">
      <c r="A5981" s="1">
        <v>5.0</v>
      </c>
      <c r="B5981" s="1" t="s">
        <v>5943</v>
      </c>
      <c r="C5981" t="str">
        <f>IFERROR(__xludf.DUMMYFUNCTION("GOOGLETRANSLATE(B5981, ""es"", ""en"")"),"This warmth and strength very well because it strongly, gives quite warm and comes very well, the truth is that it is useful, but look for some method better grip. And if they did any more size but with the same force would be perdecto")</f>
        <v>This warmth and strength very well because it strongly, gives quite warm and comes very well, the truth is that it is useful, but look for some method better grip. And if they did any more size but with the same force would be perdecto</v>
      </c>
    </row>
    <row r="5982">
      <c r="A5982" s="1">
        <v>5.0</v>
      </c>
      <c r="B5982" s="1" t="s">
        <v>5944</v>
      </c>
      <c r="C5982" t="str">
        <f>IFERROR(__xludf.DUMMYFUNCTION("GOOGLETRANSLATE(B5982, ""es"", ""en"")"),"Very well suitable for video, and nearly 800 photos in raw jpg.y double format. Easy to format and recover, quality and value.")</f>
        <v>Very well suitable for video, and nearly 800 photos in raw jpg.y double format. Easy to format and recover, quality and value.</v>
      </c>
    </row>
    <row r="5983">
      <c r="A5983" s="1">
        <v>5.0</v>
      </c>
      <c r="B5983" s="1" t="s">
        <v>5945</v>
      </c>
      <c r="C5983" t="str">
        <f>IFERROR(__xludf.DUMMYFUNCTION("GOOGLETRANSLATE(B5983, ""es"", ""en"")"),"Improves my plantar fasciitis Comodisimos")</f>
        <v>Improves my plantar fasciitis Comodisimos</v>
      </c>
    </row>
    <row r="5984">
      <c r="A5984" s="1">
        <v>5.0</v>
      </c>
      <c r="B5984" s="1" t="s">
        <v>5946</v>
      </c>
      <c r="C5984" t="str">
        <f>IFERROR(__xludf.DUMMYFUNCTION("GOOGLETRANSLATE(B5984, ""es"", ""en"")"),"Buenísimo easy cleaning and mojtaje. It works very well")</f>
        <v>Buenísimo easy cleaning and mojtaje. It works very well</v>
      </c>
    </row>
    <row r="5985">
      <c r="A5985" s="1">
        <v>2.0</v>
      </c>
      <c r="B5985" s="1" t="s">
        <v>5947</v>
      </c>
      <c r="C5985" t="str">
        <f>IFERROR(__xludf.DUMMYFUNCTION("GOOGLETRANSLATE(B5985, ""es"", ""en"")"),"It looks puny bad, I do not like leaving creams. I expect more from this brand. I have a different brand only 300 w and purees better leave this Bosch.")</f>
        <v>It looks puny bad, I do not like leaving creams. I expect more from this brand. I have a different brand only 300 w and purees better leave this Bosch.</v>
      </c>
    </row>
    <row r="5986">
      <c r="A5986" s="1">
        <v>3.0</v>
      </c>
      <c r="B5986" s="1" t="s">
        <v>5948</v>
      </c>
      <c r="C5986" t="str">
        <f>IFERROR(__xludf.DUMMYFUNCTION("GOOGLETRANSLATE(B5986, ""es"", ""en"")"),"Satisfied. Nice, but not very comfortable, and very resistant. Value is good.")</f>
        <v>Satisfied. Nice, but not very comfortable, and very resistant. Value is good.</v>
      </c>
    </row>
    <row r="5987">
      <c r="A5987" s="1">
        <v>3.0</v>
      </c>
      <c r="B5987" s="1" t="s">
        <v>5949</v>
      </c>
      <c r="C5987" t="str">
        <f>IFERROR(__xludf.DUMMYFUNCTION("GOOGLETRANSLATE(B5987, ""es"", ""en"")"),"A classic with its pros and cons There is little to say about a model that takes many years on the market. It is inspired sneakers basketball shoes and predominantly used as fashionable shoes or journal. The exterior is made entirely of leather, fabric in"&amp;"terior. The sole is thick (will earn a couple of centimeters) and not particularly flexible or soft, which adds to a template rather stream to provide a very rigid damping. The last is quite wide, especially at the height of the heel and ankle, which may "&amp;"make them suitable for people with wide feet and pose a problem for others when finding the right size. If my personal experience could be of any use, I chose 43 because of the long, but it is true that the shoe feels a little loose at the height of the a"&amp;"nkle. They are heavy and improved breathability shoes, perhaps more suitable for fall / winter and, in my opinion, inadequate for prolonged use. What comment below regarding aesthetics will be obviously very subjective, but still has some value to someone"&amp;". The truth is that it is a big shoe, ""bulky"" Anglo-Saxons would say, and may seem too cumbersome (I have come to hear ""clown shoes"" in some reviews). The width of the sole is remarkable, and there will be who would come to seem platform shoes. The la"&amp;"tter leads me to consider the Air Force 1 a unisex shoe that tends more toward the feminine side. Finally, I note that, as is expected, the model tends to get dirty white and make evident the deterioration faster. In short, a classic of the world of ""sne"&amp;"akers"" with several points against (more or less important depending on each) and a main one in its favor: its original aesthetics. About tastes there is nothing written.")</f>
        <v>A classic with its pros and cons There is little to say about a model that takes many years on the market. It is inspired sneakers basketball shoes and predominantly used as fashionable shoes or journal. The exterior is made entirely of leather, fabric interior. The sole is thick (will earn a couple of centimeters) and not particularly flexible or soft, which adds to a template rather stream to provide a very rigid damping. The last is quite wide, especially at the height of the heel and ankle, which may make them suitable for people with wide feet and pose a problem for others when finding the right size. If my personal experience could be of any use, I chose 43 because of the long, but it is true that the shoe feels a little loose at the height of the ankle. They are heavy and improved breathability shoes, perhaps more suitable for fall / winter and, in my opinion, inadequate for prolonged use. What comment below regarding aesthetics will be obviously very subjective, but still has some value to someone. The truth is that it is a big shoe, "bulky" Anglo-Saxons would say, and may seem too cumbersome (I have come to hear "clown shoes" in some reviews). The width of the sole is remarkable, and there will be who would come to seem platform shoes. The latter leads me to consider the Air Force 1 a unisex shoe that tends more toward the feminine side. Finally, I note that, as is expected, the model tends to get dirty white and make evident the deterioration faster. In short, a classic of the world of "sneakers" with several points against (more or less important depending on each) and a main one in its favor: its original aesthetics. About tastes there is nothing written.</v>
      </c>
    </row>
    <row r="5988">
      <c r="A5988" s="1">
        <v>1.0</v>
      </c>
      <c r="B5988" s="1" t="s">
        <v>5950</v>
      </c>
      <c r="C5988" t="str">
        <f>IFERROR(__xludf.DUMMYFUNCTION("GOOGLETRANSLATE(B5988, ""es"", ""en"")"),"Shoddy product False Forgery low quality, packaging and packaging matches Xiaomi Piston Headphones on. Orders in black color, blue color received clearly. Horrible packing a cardboard box with cellophane stuck, no trace of the plastic case in which Xiaomi"&amp;" go and serve you to save them later. I had a xiaomi piston above and has no comparison.")</f>
        <v>Shoddy product False Forgery low quality, packaging and packaging matches Xiaomi Piston Headphones on. Orders in black color, blue color received clearly. Horrible packing a cardboard box with cellophane stuck, no trace of the plastic case in which Xiaomi go and serve you to save them later. I had a xiaomi piston above and has no comparison.</v>
      </c>
    </row>
    <row r="5989">
      <c r="A5989" s="1">
        <v>1.0</v>
      </c>
      <c r="B5989" s="1" t="s">
        <v>5951</v>
      </c>
      <c r="C5989" t="str">
        <f>IFERROR(__xludf.DUMMYFUNCTION("GOOGLETRANSLATE(B5989, ""es"", ""en"")"),"Poor quality: deforms and the handle comes with only very little boiling water three times, the heat caused the warp handle and out. Poor quality and high price for what it is. It really is unfortunate that this company sells products as well. Positive co"&amp;"mments are inexplicable.")</f>
        <v>Poor quality: deforms and the handle comes with only very little boiling water three times, the heat caused the warp handle and out. Poor quality and high price for what it is. It really is unfortunate that this company sells products as well. Positive comments are inexplicable.</v>
      </c>
    </row>
    <row r="5990">
      <c r="A5990" s="1">
        <v>4.0</v>
      </c>
      <c r="B5990" s="1" t="s">
        <v>5952</v>
      </c>
      <c r="C5990" t="str">
        <f>IFERROR(__xludf.DUMMYFUNCTION("GOOGLETRANSLATE(B5990, ""es"", ""en"")"),"Comfortable good product and cheap")</f>
        <v>Comfortable good product and cheap</v>
      </c>
    </row>
    <row r="5991">
      <c r="A5991" s="1">
        <v>4.0</v>
      </c>
      <c r="B5991" s="1" t="s">
        <v>5953</v>
      </c>
      <c r="C5991" t="str">
        <f>IFERROR(__xludf.DUMMYFUNCTION("GOOGLETRANSLATE(B5991, ""es"", ""en"")"),"Very nice My son loved")</f>
        <v>Very nice My son loved</v>
      </c>
    </row>
    <row r="5992">
      <c r="A5992" s="1">
        <v>4.0</v>
      </c>
      <c r="B5992" s="1" t="s">
        <v>5954</v>
      </c>
      <c r="C5992" t="str">
        <f>IFERROR(__xludf.DUMMYFUNCTION("GOOGLETRANSLATE(B5992, ""es"", ""en"")"),"It not perfect, but the best I've tasted. I like it because it makes food pretty well crushed in a short time. This model is a little better, but not if compensates for the difference in price. I do not like the caps can not be put in the dishwasher. Ther"&amp;"e is a piece of plastic on the inside of the arm is released. Recommend its purchase if a good deal. I bought another Braun 750W that I broke 2 times in 2 years warranty. I replaced it with one that has only lasted 2 years. I hope this does not happen the"&amp;" same.")</f>
        <v>It not perfect, but the best I've tasted. I like it because it makes food pretty well crushed in a short time. This model is a little better, but not if compensates for the difference in price. I do not like the caps can not be put in the dishwasher. There is a piece of plastic on the inside of the arm is released. Recommend its purchase if a good deal. I bought another Braun 750W that I broke 2 times in 2 years warranty. I replaced it with one that has only lasted 2 years. I hope this does not happen the same.</v>
      </c>
    </row>
    <row r="5993">
      <c r="A5993" s="1">
        <v>4.0</v>
      </c>
      <c r="B5993" s="1" t="s">
        <v>5955</v>
      </c>
      <c r="C5993" t="str">
        <f>IFERROR(__xludf.DUMMYFUNCTION("GOOGLETRANSLATE(B5993, ""es"", ""en"")"),"Great headphones I arrived even before time, until the time they work great. They load super fast and the battery life holds many days. In fact I have two weeks wearing them almost daily and even put up. Good value. The only downside I see is that sometim"&amp;"es makes hint of stutter if you are near other people who may have other wireless headset connected. They are also very comfortable to wear.")</f>
        <v>Great headphones I arrived even before time, until the time they work great. They load super fast and the battery life holds many days. In fact I have two weeks wearing them almost daily and even put up. Good value. The only downside I see is that sometimes makes hint of stutter if you are near other people who may have other wireless headset connected. They are also very comfortable to wear.</v>
      </c>
    </row>
    <row r="5994">
      <c r="A5994" s="1">
        <v>4.0</v>
      </c>
      <c r="B5994" s="1" t="s">
        <v>5956</v>
      </c>
      <c r="C5994" t="str">
        <f>IFERROR(__xludf.DUMMYFUNCTION("GOOGLETRANSLATE(B5994, ""es"", ""en"")"),"Carmen morale s a gift for my father. The numbers are super good I get to the next day of ordering. The only fault I did not come in any box")</f>
        <v>Carmen morale s a gift for my father. The numbers are super good I get to the next day of ordering. The only fault I did not come in any box</v>
      </c>
    </row>
    <row r="5995">
      <c r="A5995" s="1">
        <v>5.0</v>
      </c>
      <c r="B5995" s="1" t="s">
        <v>5957</v>
      </c>
      <c r="C5995" t="str">
        <f>IFERROR(__xludf.DUMMYFUNCTION("GOOGLETRANSLATE(B5995, ""es"", ""en"")"),"Practical and easy to use I used for smartwatch")</f>
        <v>Practical and easy to use I used for smartwatch</v>
      </c>
    </row>
    <row r="5996">
      <c r="A5996" s="1">
        <v>5.0</v>
      </c>
      <c r="B5996" s="1" t="s">
        <v>5958</v>
      </c>
      <c r="C5996" t="str">
        <f>IFERROR(__xludf.DUMMYFUNCTION("GOOGLETRANSLATE(B5996, ""es"", ""en"")"),"ottimi ottimi")</f>
        <v>ottimi ottimi</v>
      </c>
    </row>
    <row r="5997">
      <c r="A5997" s="1">
        <v>5.0</v>
      </c>
      <c r="B5997" s="1" t="s">
        <v>5959</v>
      </c>
      <c r="C5997" t="str">
        <f>IFERROR(__xludf.DUMMYFUNCTION("GOOGLETRANSLATE(B5997, ""es"", ""en"")"),"Perfect Good product, works great and easy handling and cleaning")</f>
        <v>Perfect Good product, works great and easy handling and cleaning</v>
      </c>
    </row>
    <row r="5998">
      <c r="A5998" s="1">
        <v>5.0</v>
      </c>
      <c r="B5998" s="1" t="s">
        <v>5960</v>
      </c>
      <c r="C5998" t="str">
        <f>IFERROR(__xludf.DUMMYFUNCTION("GOOGLETRANSLATE(B5998, ""es"", ""en"")"),"Good Like the original, great autonomy")</f>
        <v>Good Like the original, great autonomy</v>
      </c>
    </row>
    <row r="5999">
      <c r="A5999" s="1">
        <v>5.0</v>
      </c>
      <c r="B5999" s="1" t="s">
        <v>5961</v>
      </c>
      <c r="C5999" t="str">
        <f>IFERROR(__xludf.DUMMYFUNCTION("GOOGLETRANSLATE(B5999, ""es"", ""en"")"),"Good magnetic board. Slate is very good quality, is cleared brilliantly and is magnetic, which is great to hold a draft. It arrived in perfect condition, carrying a bag with ""corners"" of colors to cover the 4 screws that go to the wall.")</f>
        <v>Good magnetic board. Slate is very good quality, is cleared brilliantly and is magnetic, which is great to hold a draft. It arrived in perfect condition, carrying a bag with "corners" of colors to cover the 4 screws that go to the wall.</v>
      </c>
    </row>
    <row r="6000">
      <c r="A6000" s="1">
        <v>5.0</v>
      </c>
      <c r="B6000" s="1" t="s">
        <v>5962</v>
      </c>
      <c r="C6000" t="str">
        <f>IFERROR(__xludf.DUMMYFUNCTION("GOOGLETRANSLATE(B6000, ""es"", ""en"")"),"Very comfortable comfortable. I hope they do not break in a few months. recommended")</f>
        <v>Very comfortable comfortable. I hope they do not break in a few months. recommended</v>
      </c>
    </row>
    <row r="6001">
      <c r="A6001" s="1">
        <v>5.0</v>
      </c>
      <c r="B6001" s="1" t="s">
        <v>5963</v>
      </c>
      <c r="C6001" t="str">
        <f>IFERROR(__xludf.DUMMYFUNCTION("GOOGLETRANSLATE(B6001, ""es"", ""en"")"),"very comfortable and very good product are excellent for walking and Running")</f>
        <v>very comfortable and very good product are excellent for walking and Running</v>
      </c>
    </row>
    <row r="6002">
      <c r="A6002" s="1">
        <v>5.0</v>
      </c>
      <c r="B6002" s="1" t="s">
        <v>5964</v>
      </c>
      <c r="C6002" t="str">
        <f>IFERROR(__xludf.DUMMYFUNCTION("GOOGLETRANSLATE(B6002, ""es"", ""en"")"),"I use daily in my classes Very easy to use and perfectly fulfills its function. I am a teacher, and I use it every day in my classes for Powerpoint and Keynote presentations. It has a built-red laser pointer very useful as a prompter.")</f>
        <v>I use daily in my classes Very easy to use and perfectly fulfills its function. I am a teacher, and I use it every day in my classes for Powerpoint and Keynote presentations. It has a built-red laser pointer very useful as a prompter.</v>
      </c>
    </row>
    <row r="6003">
      <c r="A6003" s="1">
        <v>5.0</v>
      </c>
      <c r="B6003" s="1" t="s">
        <v>5965</v>
      </c>
      <c r="C6003" t="str">
        <f>IFERROR(__xludf.DUMMYFUNCTION("GOOGLETRANSLATE(B6003, ""es"", ""en"")"),"Useful use it the other day by a snag, and just stick it earned us, he does ironed missing. All, by putting a paste, which almost never will you match your original color. But certainly very good product and highly recommended.")</f>
        <v>Useful use it the other day by a snag, and just stick it earned us, he does ironed missing. All, by putting a paste, which almost never will you match your original color. But certainly very good product and highly recommended.</v>
      </c>
    </row>
    <row r="6004">
      <c r="A6004" s="1">
        <v>5.0</v>
      </c>
      <c r="B6004" s="1" t="s">
        <v>5966</v>
      </c>
      <c r="C6004" t="str">
        <f>IFERROR(__xludf.DUMMYFUNCTION("GOOGLETRANSLATE(B6004, ""es"", ""en"")"),"Isabel Rita I like a lot, tecido, what color and size perfect stay ... equipment and very original fort. My only regret is having only 3 disponibeles colors.")</f>
        <v>Isabel Rita I like a lot, tecido, what color and size perfect stay ... equipment and very original fort. My only regret is having only 3 disponibeles colors.</v>
      </c>
    </row>
    <row r="6005">
      <c r="A6005" s="1">
        <v>5.0</v>
      </c>
      <c r="B6005" s="1" t="s">
        <v>5967</v>
      </c>
      <c r="C6005" t="str">
        <f>IFERROR(__xludf.DUMMYFUNCTION("GOOGLETRANSLATE(B6005, ""es"", ""en"")"),"I order one size smaller 41 in all shoes, and was the size I was going to ask, but thanks to comments from other customers ordered a size smaller and I was lucky, are perfect.")</f>
        <v>I order one size smaller 41 in all shoes, and was the size I was going to ask, but thanks to comments from other customers ordered a size smaller and I was lucky, are perfect.</v>
      </c>
    </row>
    <row r="6006">
      <c r="A6006" s="1">
        <v>5.0</v>
      </c>
      <c r="B6006" s="1" t="s">
        <v>5968</v>
      </c>
      <c r="C6006" t="str">
        <f>IFERROR(__xludf.DUMMYFUNCTION("GOOGLETRANSLATE(B6006, ""es"", ""en"")"),"Correct value Very good value for money. For medium size rooms. But it does not serve as an air freshener humidifier, very well.")</f>
        <v>Correct value Very good value for money. For medium size rooms. But it does not serve as an air freshener humidifier, very well.</v>
      </c>
    </row>
    <row r="6007">
      <c r="A6007" s="1">
        <v>5.0</v>
      </c>
      <c r="B6007" s="1" t="s">
        <v>5969</v>
      </c>
      <c r="C6007" t="str">
        <f>IFERROR(__xludf.DUMMYFUNCTION("GOOGLETRANSLATE(B6007, ""es"", ""en"")"),"Perfect wonderful pendant is beautiful and the seller very well asked if he could arrive before the date and thus been put, I recommend it.")</f>
        <v>Perfect wonderful pendant is beautiful and the seller very well asked if he could arrive before the date and thus been put, I recommend it.</v>
      </c>
    </row>
    <row r="6008">
      <c r="A6008" s="1">
        <v>5.0</v>
      </c>
      <c r="B6008" s="1" t="s">
        <v>5970</v>
      </c>
      <c r="C6008" t="str">
        <f>IFERROR(__xludf.DUMMYFUNCTION("GOOGLETRANSLATE(B6008, ""es"", ""en"")"),"Perfect very comfortable. Comfortable and very practical, I recommend to order 1 or 2 sizes more than you normally use, whether pedendiendo also have the Acho foot.")</f>
        <v>Perfect very comfortable. Comfortable and very practical, I recommend to order 1 or 2 sizes more than you normally use, whether pedendiendo also have the Acho foot.</v>
      </c>
    </row>
    <row r="6009">
      <c r="A6009" s="1">
        <v>5.0</v>
      </c>
      <c r="B6009" s="1" t="s">
        <v>5971</v>
      </c>
      <c r="C6009" t="str">
        <f>IFERROR(__xludf.DUMMYFUNCTION("GOOGLETRANSLATE(B6009, ""es"", ""en"")"),"muito mui nice nice")</f>
        <v>muito mui nice nice</v>
      </c>
    </row>
    <row r="6010">
      <c r="A6010" s="1">
        <v>5.0</v>
      </c>
      <c r="B6010" s="1" t="s">
        <v>5972</v>
      </c>
      <c r="C6010" t="str">
        <f>IFERROR(__xludf.DUMMYFUNCTION("GOOGLETRANSLATE(B6010, ""es"", ""en"")"),"Live life! Having serious problems of cervical and looking for something that alleviates discomfort and constant pain I decided to try this device. After skimming the brief instructions and plug Ouch! I thought They have returned me to the thymus with thi"&amp;"s very uncomfortable grinder hurts me crazy! I persevered, not ""perverseré"" with the help of a pillow, searching for the right posture and starting more prudently the sky lit up. After five minutes everything was floating in a heat wave, a living withou"&amp;"t being, be the sound of the tree falling in the forest and no one hears it. This model should be called Nirvana. If you add a sweet voice whisper sweetness and something that makes vagina can say goodbye to the extinction of the human race. Meraviglioso,"&amp;" colossal, ayurvedic ♥")</f>
        <v>Live life! Having serious problems of cervical and looking for something that alleviates discomfort and constant pain I decided to try this device. After skimming the brief instructions and plug Ouch! I thought They have returned me to the thymus with this very uncomfortable grinder hurts me crazy! I persevered, not "perverseré" with the help of a pillow, searching for the right posture and starting more prudently the sky lit up. After five minutes everything was floating in a heat wave, a living without being, be the sound of the tree falling in the forest and no one hears it. This model should be called Nirvana. If you add a sweet voice whisper sweetness and something that makes vagina can say goodbye to the extinction of the human race. Meraviglioso, colossal, ayurvedic ♥</v>
      </c>
    </row>
    <row r="6011">
      <c r="A6011" s="1">
        <v>5.0</v>
      </c>
      <c r="B6011" s="1" t="s">
        <v>5973</v>
      </c>
      <c r="C6011" t="str">
        <f>IFERROR(__xludf.DUMMYFUNCTION("GOOGLETRANSLATE(B6011, ""es"", ""en"")"),"Braun blenders is a guarantee. According to my wife loved it, had another older who took my little girl to his apartment and both this and the previous fulfill their mission with dignity. Still as happy as before her.")</f>
        <v>Braun blenders is a guarantee. According to my wife loved it, had another older who took my little girl to his apartment and both this and the previous fulfill their mission with dignity. Still as happy as before her.</v>
      </c>
    </row>
    <row r="6012">
      <c r="A6012" s="1">
        <v>5.0</v>
      </c>
      <c r="B6012" s="1" t="s">
        <v>5974</v>
      </c>
      <c r="C6012" t="str">
        <f>IFERROR(__xludf.DUMMYFUNCTION("GOOGLETRANSLATE(B6012, ""es"", ""en"")"),"Excellent value Headphones well built with a somewhat retro aesthetic. Folding very comfortable to carry and go traveling with them. A circumaural headphones are completely cover the ear so isolated pretty well. They are closed so that the music scene is "&amp;"not your strong point. They are designed for studio sound but this does not mean that they have a very good answer good bass response in the midrange and treble in much detail still being quite flat as they are to study. They are reference headphones in t"&amp;"he world of audio. I recommend it")</f>
        <v>Excellent value Headphones well built with a somewhat retro aesthetic. Folding very comfortable to carry and go traveling with them. A circumaural headphones are completely cover the ear so isolated pretty well. They are closed so that the music scene is not your strong point. They are designed for studio sound but this does not mean that they have a very good answer good bass response in the midrange and treble in much detail still being quite flat as they are to study. They are reference headphones in the world of audio. I recommend it</v>
      </c>
    </row>
    <row r="6013">
      <c r="A6013" s="1">
        <v>2.0</v>
      </c>
      <c r="B6013" s="1" t="s">
        <v>5975</v>
      </c>
      <c r="C6013" t="str">
        <f>IFERROR(__xludf.DUMMYFUNCTION("GOOGLETRANSLATE(B6013, ""es"", ""en"")"),"Normal, shooting bad. Cheap sweatshirt, tissue normalillo to poor. I'd swear that this brand before had better quality, at the least that I remember from when I was small. Size very fair. I ordered a M, Mido 1.71 and when I bent down step cold in the kidn"&amp;"eys. I do not think I will buy another one.")</f>
        <v>Normal, shooting bad. Cheap sweatshirt, tissue normalillo to poor. I'd swear that this brand before had better quality, at the least that I remember from when I was small. Size very fair. I ordered a M, Mido 1.71 and when I bent down step cold in the kidneys. I do not think I will buy another one.</v>
      </c>
    </row>
    <row r="6014">
      <c r="A6014" s="1">
        <v>3.0</v>
      </c>
      <c r="B6014" s="1" t="s">
        <v>5976</v>
      </c>
      <c r="C6014" t="str">
        <f>IFERROR(__xludf.DUMMYFUNCTION("GOOGLETRANSLATE(B6014, ""es"", ""en"")"),"the price I liked your answer for the price it has a little lack of body")</f>
        <v>the price I liked your answer for the price it has a little lack of body</v>
      </c>
    </row>
    <row r="6015">
      <c r="A6015" s="1">
        <v>1.0</v>
      </c>
      <c r="B6015" s="1" t="s">
        <v>5977</v>
      </c>
      <c r="C6015" t="str">
        <f>IFERROR(__xludf.DUMMYFUNCTION("GOOGLETRANSLATE(B6015, ""es"", ""en"")"),"A disappointed the first attempt to copy files 20 G and gave me error and could not complete the recording. So I gave it back.")</f>
        <v>A disappointed the first attempt to copy files 20 G and gave me error and could not complete the recording. So I gave it back.</v>
      </c>
    </row>
    <row r="6016">
      <c r="A6016" s="1">
        <v>1.0</v>
      </c>
      <c r="B6016" s="1" t="s">
        <v>5978</v>
      </c>
      <c r="C6016" t="str">
        <f>IFERROR(__xludf.DUMMYFUNCTION("GOOGLETRANSLATE(B6016, ""es"", ""en"")"),"More problems, so I returned - UPDATED The truth is that for the price of these headphones I expected more. It is true that link very fast and fit well to the ear, but on the other hand, the microphone picks up the sound fatal. To be lying at home listen "&amp;"very well, but if you start moving or you go out, collect all the sound environment and anything you say. In addition, the sound is good mids, if you raise the volume begins to appreciate noise and sound is not clear. Not worth spending worth 36 € because"&amp;" the functions that should be better (audio and microphone) do not work as they should. ________________________________ Besides the obvious mistakes that I have already explained, after nearly a month of use it is better to return: - Sometimes are synchr"&amp;"onized in the box or synchronize themselves being in the box, who did not know why I did not work the audio of mobile and was playing because they were being saved (which should not happen). - has also occurred to me to keep them in the box and when I loo"&amp;"ked were on, without putting battery charge and spending. All this, adding that the sound could be improved and that the microphone is useless movement (if you use it sitting on the couch you will hear, as you put into doing things and forget and if it is"&amp;" away from home takes all the audio environment and you will not hear).")</f>
        <v>More problems, so I returned - UPDATED The truth is that for the price of these headphones I expected more. It is true that link very fast and fit well to the ear, but on the other hand, the microphone picks up the sound fatal. To be lying at home listen very well, but if you start moving or you go out, collect all the sound environment and anything you say. In addition, the sound is good mids, if you raise the volume begins to appreciate noise and sound is not clear. Not worth spending worth 36 € because the functions that should be better (audio and microphone) do not work as they should. ________________________________ Besides the obvious mistakes that I have already explained, after nearly a month of use it is better to return: - Sometimes are synchronized in the box or synchronize themselves being in the box, who did not know why I did not work the audio of mobile and was playing because they were being saved (which should not happen). - has also occurred to me to keep them in the box and when I looked were on, without putting battery charge and spending. All this, adding that the sound could be improved and that the microphone is useless movement (if you use it sitting on the couch you will hear, as you put into doing things and forget and if it is away from home takes all the audio environment and you will not hear).</v>
      </c>
    </row>
    <row r="6017">
      <c r="A6017" s="1">
        <v>4.0</v>
      </c>
      <c r="B6017" s="1" t="s">
        <v>5979</v>
      </c>
      <c r="C6017" t="str">
        <f>IFERROR(__xludf.DUMMYFUNCTION("GOOGLETRANSLATE(B6017, ""es"", ""en"")"),"Gentle and effective. Good brush base for vinyls needle. Are two brushes, one very soft and great for vinyls, and another small for the needle. The vinyl covers almost completely the latter, so that in one pass can remove dust and lint accumulated on the "&amp;"disks. Very good product.")</f>
        <v>Gentle and effective. Good brush base for vinyls needle. Are two brushes, one very soft and great for vinyls, and another small for the needle. The vinyl covers almost completely the latter, so that in one pass can remove dust and lint accumulated on the disks. Very good product.</v>
      </c>
    </row>
    <row r="6018">
      <c r="A6018" s="1">
        <v>4.0</v>
      </c>
      <c r="B6018" s="1" t="s">
        <v>5980</v>
      </c>
      <c r="C6018" t="str">
        <f>IFERROR(__xludf.DUMMYFUNCTION("GOOGLETRANSLATE(B6018, ""es"", ""en"")"),"Prevents comfortable compass is opened or closed, the only thing I do not like is that the tip does not nails too")</f>
        <v>Prevents comfortable compass is opened or closed, the only thing I do not like is that the tip does not nails too</v>
      </c>
    </row>
    <row r="6019">
      <c r="A6019" s="1">
        <v>4.0</v>
      </c>
      <c r="B6019" s="1" t="s">
        <v>5981</v>
      </c>
      <c r="C6019" t="str">
        <f>IFERROR(__xludf.DUMMYFUNCTION("GOOGLETRANSLATE(B6019, ""es"", ""en"")"),"I have given Do not misunderstand me. I bought them for me, and I then bought two more to give away. The quality is good and comfortable pants ... and a good price")</f>
        <v>I have given Do not misunderstand me. I bought them for me, and I then bought two more to give away. The quality is good and comfortable pants ... and a good price</v>
      </c>
    </row>
    <row r="6020">
      <c r="A6020" s="1">
        <v>4.0</v>
      </c>
      <c r="B6020" s="1" t="s">
        <v>5982</v>
      </c>
      <c r="C6020" t="str">
        <f>IFERROR(__xludf.DUMMYFUNCTION("GOOGLETRANSLATE(B6020, ""es"", ""en"")"),"The carving is cute model as expected, the model and fabric are very good ... but I think something expensive. In stores you could find the same for less money, however you Pongi 4 stars because I liked it.")</f>
        <v>The carving is cute model as expected, the model and fabric are very good ... but I think something expensive. In stores you could find the same for less money, however you Pongi 4 stars because I liked it.</v>
      </c>
    </row>
    <row r="6021">
      <c r="A6021" s="1">
        <v>5.0</v>
      </c>
      <c r="B6021" s="1" t="s">
        <v>5983</v>
      </c>
      <c r="C6021" t="str">
        <f>IFERROR(__xludf.DUMMYFUNCTION("GOOGLETRANSLATE(B6021, ""es"", ""en"")"),"Good finish is just perfect, good materials. Very happy with this purchase.")</f>
        <v>Good finish is just perfect, good materials. Very happy with this purchase.</v>
      </c>
    </row>
    <row r="6022">
      <c r="A6022" s="1">
        <v>5.0</v>
      </c>
      <c r="B6022" s="1" t="s">
        <v>5984</v>
      </c>
      <c r="C6022" t="str">
        <f>IFERROR(__xludf.DUMMYFUNCTION("GOOGLETRANSLATE(B6022, ""es"", ""en"")"),"A classic super full nostalgics had a digital model Seiko A158-5060 (of good and expensive), with many functions that lasted many years. I looking for a similar performance characteristics and, across this digital clock: cheap, proven, safe and with a mul"&amp;"titude of features that no other higher-priced digital watches. The modules 2515, as I have read in some places is the most reliable and complete. Something geek, if you like, but what I was looking for. Still in catalog Casio website where you can find a"&amp;"ll the info in Spanish. For me perfect and full of features. Among others, some strengths are: the day of the week in Spanish; to see the time at all times, even using the stopwatch; battery life of 10 years; DataBank (small agenda with 30 memory); waterp"&amp;"roof; Very low weight (27 g). A small limitation: the single calendar is until 2039. Aesthetically is rather small compared to fashion now. I recommend it. For this price few have these benefits.")</f>
        <v>A classic super full nostalgics had a digital model Seiko A158-5060 (of good and expensive), with many functions that lasted many years. I looking for a similar performance characteristics and, across this digital clock: cheap, proven, safe and with a multitude of features that no other higher-priced digital watches. The modules 2515, as I have read in some places is the most reliable and complete. Something geek, if you like, but what I was looking for. Still in catalog Casio website where you can find all the info in Spanish. For me perfect and full of features. Among others, some strengths are: the day of the week in Spanish; to see the time at all times, even using the stopwatch; battery life of 10 years; DataBank (small agenda with 30 memory); waterproof; Very low weight (27 g). A small limitation: the single calendar is until 2039. Aesthetically is rather small compared to fashion now. I recommend it. For this price few have these benefits.</v>
      </c>
    </row>
    <row r="6023">
      <c r="A6023" s="1">
        <v>5.0</v>
      </c>
      <c r="B6023" s="1" t="s">
        <v>5985</v>
      </c>
      <c r="C6023" t="str">
        <f>IFERROR(__xludf.DUMMYFUNCTION("GOOGLETRANSLATE(B6023, ""es"", ""en"")"),"Sending a bit chaotic. The product very well What you see in photos")</f>
        <v>Sending a bit chaotic. The product very well What you see in photos</v>
      </c>
    </row>
    <row r="6024">
      <c r="A6024" s="1">
        <v>5.0</v>
      </c>
      <c r="B6024" s="1" t="s">
        <v>5986</v>
      </c>
      <c r="C6024" t="str">
        <f>IFERROR(__xludf.DUMMYFUNCTION("GOOGLETRANSLATE(B6024, ""es"", ""en"")"),"I liked I liked")</f>
        <v>I liked I liked</v>
      </c>
    </row>
    <row r="6025">
      <c r="A6025" s="1">
        <v>5.0</v>
      </c>
      <c r="B6025" s="1" t="s">
        <v>5987</v>
      </c>
      <c r="C6025" t="str">
        <f>IFERROR(__xludf.DUMMYFUNCTION("GOOGLETRANSLATE(B6025, ""es"", ""en"")"),"José Manuel Pérez Guillén Very professional, I expected very ergonomic potencia.DIseño only one drawback: difficult to assemble and do desmontar.A base aprenderemos.gracias once more")</f>
        <v>José Manuel Pérez Guillén Very professional, I expected very ergonomic potencia.DIseño only one drawback: difficult to assemble and do desmontar.A base aprenderemos.gracias once more</v>
      </c>
    </row>
    <row r="6026">
      <c r="A6026" s="1">
        <v>5.0</v>
      </c>
      <c r="B6026" s="1" t="s">
        <v>3018</v>
      </c>
      <c r="C6026" t="str">
        <f>IFERROR(__xludf.DUMMYFUNCTION("GOOGLETRANSLATE(B6026, ""es"", ""en"")"),"Well right")</f>
        <v>Well right</v>
      </c>
    </row>
    <row r="6027">
      <c r="A6027" s="1">
        <v>5.0</v>
      </c>
      <c r="B6027" s="1" t="s">
        <v>5988</v>
      </c>
      <c r="C6027" t="str">
        <f>IFERROR(__xludf.DUMMYFUNCTION("GOOGLETRANSLATE(B6027, ""es"", ""en"")"),"Excellent Very comfortable. I use almost daily. I'll have to buy some like to combine power.")</f>
        <v>Excellent Very comfortable. I use almost daily. I'll have to buy some like to combine power.</v>
      </c>
    </row>
    <row r="6028">
      <c r="A6028" s="1">
        <v>5.0</v>
      </c>
      <c r="B6028" s="1" t="s">
        <v>5989</v>
      </c>
      <c r="C6028" t="str">
        <f>IFERROR(__xludf.DUMMYFUNCTION("GOOGLETRANSLATE(B6028, ""es"", ""en"")"),"I recommend, very good quality I bought since I bought the first lot more. I love the size and what I like most is the quality and not crowded, very important thing that most of socks let you all marked on the leg of the tightening, they do not. I recomme"&amp;"nd it.")</f>
        <v>I recommend, very good quality I bought since I bought the first lot more. I love the size and what I like most is the quality and not crowded, very important thing that most of socks let you all marked on the leg of the tightening, they do not. I recommend it.</v>
      </c>
    </row>
    <row r="6029">
      <c r="A6029" s="1">
        <v>5.0</v>
      </c>
      <c r="B6029" s="1" t="s">
        <v>5990</v>
      </c>
      <c r="C6029" t="str">
        <f>IFERROR(__xludf.DUMMYFUNCTION("GOOGLETRANSLATE(B6029, ""es"", ""en"")"),"Works great arrived fast, I use it for my baby porridge and my smoothies, makes its function, no fence perhaps last as long as other more expensive, but the value for money is very good.")</f>
        <v>Works great arrived fast, I use it for my baby porridge and my smoothies, makes its function, no fence perhaps last as long as other more expensive, but the value for money is very good.</v>
      </c>
    </row>
    <row r="6030">
      <c r="A6030" s="1">
        <v>5.0</v>
      </c>
      <c r="B6030" s="1" t="s">
        <v>5991</v>
      </c>
      <c r="C6030" t="str">
        <f>IFERROR(__xludf.DUMMYFUNCTION("GOOGLETRANSLATE(B6030, ""es"", ""en"")"),"Beautiful Very beautiful necklace. It has not been obscured or lost color. I not clean often but when I do it is like new")</f>
        <v>Beautiful Very beautiful necklace. It has not been obscured or lost color. I not clean often but when I do it is like new</v>
      </c>
    </row>
    <row r="6031">
      <c r="A6031" s="1">
        <v>5.0</v>
      </c>
      <c r="B6031" s="1" t="s">
        <v>5992</v>
      </c>
      <c r="C6031" t="str">
        <f>IFERROR(__xludf.DUMMYFUNCTION("GOOGLETRANSLATE(B6031, ""es"", ""en"")"),"It is also extremely comfortable to put on and extremely comfortable to wear on the day. I totally recommend. At chose from the Great Product, I'm using right now and giving the painkiller heat is great for when you're with a sore lower back.")</f>
        <v>It is also extremely comfortable to put on and extremely comfortable to wear on the day. I totally recommend. At chose from the Great Product, I'm using right now and giving the painkiller heat is great for when you're with a sore lower back.</v>
      </c>
    </row>
    <row r="6032">
      <c r="A6032" s="1">
        <v>5.0</v>
      </c>
      <c r="B6032" s="1" t="s">
        <v>5993</v>
      </c>
      <c r="C6032" t="str">
        <f>IFERROR(__xludf.DUMMYFUNCTION("GOOGLETRANSLATE(B6032, ""es"", ""en"")"),"Nike Very good")</f>
        <v>Nike Very good</v>
      </c>
    </row>
    <row r="6033">
      <c r="A6033" s="1">
        <v>5.0</v>
      </c>
      <c r="B6033" s="1" t="s">
        <v>5994</v>
      </c>
      <c r="C6033" t="str">
        <f>IFERROR(__xludf.DUMMYFUNCTION("GOOGLETRANSLATE(B6033, ""es"", ""en"")"),"It is easy to llebar wide, and I fit all, the only problem is that if you put too many things going pretty though, but one can not complain, can not be improved in that respect. It has lots of pockets.")</f>
        <v>It is easy to llebar wide, and I fit all, the only problem is that if you put too many things going pretty though, but one can not complain, can not be improved in that respect. It has lots of pockets.</v>
      </c>
    </row>
    <row r="6034">
      <c r="A6034" s="1">
        <v>5.0</v>
      </c>
      <c r="B6034" s="1" t="s">
        <v>5995</v>
      </c>
      <c r="C6034" t="str">
        <f>IFERROR(__xludf.DUMMYFUNCTION("GOOGLETRANSLATE(B6034, ""es"", ""en"")"),"Eco only used half of the plates and the echo of my small office down immediately!")</f>
        <v>Eco only used half of the plates and the echo of my small office down immediately!</v>
      </c>
    </row>
    <row r="6035">
      <c r="A6035" s="1">
        <v>5.0</v>
      </c>
      <c r="B6035" s="1" t="s">
        <v>5996</v>
      </c>
      <c r="C6035" t="str">
        <f>IFERROR(__xludf.DUMMYFUNCTION("GOOGLETRANSLATE(B6035, ""es"", ""en"")"),"The best I've had recently bought a headset of this type, which were originally for me but ended up giving away. To not have the same I decided to try another model and truth ... The difference is huge. These are a bit more expensive but the sound quality"&amp;" and connectivity is noticed. The microphone also works great and can be used perfectly for calls. Undoubtedly the best wireless headphones I've used to date")</f>
        <v>The best I've had recently bought a headset of this type, which were originally for me but ended up giving away. To not have the same I decided to try another model and truth ... The difference is huge. These are a bit more expensive but the sound quality and connectivity is noticed. The microphone also works great and can be used perfectly for calls. Undoubtedly the best wireless headphones I've used to date</v>
      </c>
    </row>
    <row r="6036">
      <c r="A6036" s="1">
        <v>5.0</v>
      </c>
      <c r="B6036" s="1" t="s">
        <v>5997</v>
      </c>
      <c r="C6036" t="str">
        <f>IFERROR(__xludf.DUMMYFUNCTION("GOOGLETRANSLATE(B6036, ""es"", ""en"")"),"It sounds good without micro cables with average quality but great for karaoke. Not having cable makes it very convenient to use. Not heavy and sturdy. Very happy.")</f>
        <v>It sounds good without micro cables with average quality but great for karaoke. Not having cable makes it very convenient to use. Not heavy and sturdy. Very happy.</v>
      </c>
    </row>
    <row r="6037">
      <c r="A6037" s="1">
        <v>5.0</v>
      </c>
      <c r="B6037" s="1" t="s">
        <v>5998</v>
      </c>
      <c r="C6037" t="str">
        <f>IFERROR(__xludf.DUMMYFUNCTION("GOOGLETRANSLATE(B6037, ""es"", ""en"")"),"Very elegant for an office. We bought for the office and in addition to being smart and beautiful works very well. Very content @ s with purchase.")</f>
        <v>Very elegant for an office. We bought for the office and in addition to being smart and beautiful works very well. Very content @ s with purchase.</v>
      </c>
    </row>
    <row r="6038">
      <c r="A6038" s="1">
        <v>5.0</v>
      </c>
      <c r="B6038" s="1" t="s">
        <v>5999</v>
      </c>
      <c r="C6038" t="str">
        <f>IFERROR(__xludf.DUMMYFUNCTION("GOOGLETRANSLATE(B6038, ""es"", ""en"")"),"I like the design fast and quickly, if he would have preferred that the cap out of larger diameter. But otherwise a fantastic kettle, fast, and end walls do not burn even boil water.")</f>
        <v>I like the design fast and quickly, if he would have preferred that the cap out of larger diameter. But otherwise a fantastic kettle, fast, and end walls do not burn even boil water.</v>
      </c>
    </row>
    <row r="6039">
      <c r="A6039" s="1">
        <v>5.0</v>
      </c>
      <c r="B6039" s="1" t="s">
        <v>6000</v>
      </c>
      <c r="C6039" t="str">
        <f>IFERROR(__xludf.DUMMYFUNCTION("GOOGLETRANSLATE(B6039, ""es"", ""en"")"),"Very good very good")</f>
        <v>Very good very good</v>
      </c>
    </row>
    <row r="6040">
      <c r="A6040" s="1">
        <v>2.0</v>
      </c>
      <c r="B6040" s="1" t="s">
        <v>6001</v>
      </c>
      <c r="C6040" t="str">
        <f>IFERROR(__xludf.DUMMYFUNCTION("GOOGLETRANSLATE(B6040, ""es"", ""en"")"),"It is somewhat small measuring about 37cm every part of the arm is somewhat small, I have to have it attached to the front of the desk as their height would not give to be above 24-inch monitors, said that, Please assure well not you spend more 35cm high "&amp;"if you think about it in that position.")</f>
        <v>It is somewhat small measuring about 37cm every part of the arm is somewhat small, I have to have it attached to the front of the desk as their height would not give to be above 24-inch monitors, said that, Please assure well not you spend more 35cm high if you think about it in that position.</v>
      </c>
    </row>
    <row r="6041">
      <c r="A6041" s="1">
        <v>3.0</v>
      </c>
      <c r="B6041" s="1" t="s">
        <v>6002</v>
      </c>
      <c r="C6041" t="str">
        <f>IFERROR(__xludf.DUMMYFUNCTION("GOOGLETRANSLATE(B6041, ""es"", ""en"")"),"Pretty necklace necklace has come very late but is well and liked very much my daughter")</f>
        <v>Pretty necklace necklace has come very late but is well and liked very much my daughter</v>
      </c>
    </row>
    <row r="6042">
      <c r="A6042" s="1">
        <v>3.0</v>
      </c>
      <c r="B6042" s="1" t="s">
        <v>6003</v>
      </c>
      <c r="C6042" t="str">
        <f>IFERROR(__xludf.DUMMYFUNCTION("GOOGLETRANSLATE(B6042, ""es"", ""en"")"),"Tapon broken product well, does its job but the boat arrived with a broken stopper, having received a blow and some liquid out")</f>
        <v>Tapon broken product well, does its job but the boat arrived with a broken stopper, having received a blow and some liquid out</v>
      </c>
    </row>
    <row r="6043">
      <c r="A6043" s="1">
        <v>1.0</v>
      </c>
      <c r="B6043" s="1" t="s">
        <v>6004</v>
      </c>
      <c r="C6043" t="str">
        <f>IFERROR(__xludf.DUMMYFUNCTION("GOOGLETRANSLATE(B6043, ""es"", ""en"")"),"Right is narrower than the left! Both have size 40.5, the left is good and comfortable, but the right is narrower and hurts my little finger and I descubrido in the area with the problem is noticed missing some material, and the left has more than the rig"&amp;"ht if you can see in the photo. It is possible that are not verified or have been reused and I sent them to me. It is that I have more than a month and can not change them.")</f>
        <v>Right is narrower than the left! Both have size 40.5, the left is good and comfortable, but the right is narrower and hurts my little finger and I descubrido in the area with the problem is noticed missing some material, and the left has more than the right if you can see in the photo. It is possible that are not verified or have been reused and I sent them to me. It is that I have more than a month and can not change them.</v>
      </c>
    </row>
    <row r="6044">
      <c r="A6044" s="1">
        <v>1.0</v>
      </c>
      <c r="B6044" s="1" t="s">
        <v>6005</v>
      </c>
      <c r="C6044" t="str">
        <f>IFERROR(__xludf.DUMMYFUNCTION("GOOGLETRANSLATE(B6044, ""es"", ""en"")"),"How cheap is expensive ....... Buy 3 units of 64 gigas ... let me be guided by the price (bad echo), the mark (in theory known) and comments (positive) ..... Summary : RETURNING ..... does not recognize most dispositivos¡¡¡¡¡ fail me .... 3 alike or forma"&amp;"tted dolos¡¡¡¡ a DESASTRE¡¡¡")</f>
        <v>How cheap is expensive ....... Buy 3 units of 64 gigas ... let me be guided by the price (bad echo), the mark (in theory known) and comments (positive) ..... Summary : RETURNING ..... does not recognize most dispositivos¡¡¡¡¡ fail me .... 3 alike or formatted dolos¡¡¡¡ a DESASTRE¡¡¡</v>
      </c>
    </row>
    <row r="6045">
      <c r="A6045" s="1">
        <v>4.0</v>
      </c>
      <c r="B6045" s="1" t="s">
        <v>6006</v>
      </c>
      <c r="C6045" t="str">
        <f>IFERROR(__xludf.DUMMYFUNCTION("GOOGLETRANSLATE(B6045, ""es"", ""en"")"),"GIFT AND A GIFT WAS PLEASED AND IT IS VERY PLEASED WITH")</f>
        <v>GIFT AND A GIFT WAS PLEASED AND IT IS VERY PLEASED WITH</v>
      </c>
    </row>
    <row r="6046">
      <c r="A6046" s="1">
        <v>4.0</v>
      </c>
      <c r="B6046" s="1" t="s">
        <v>6007</v>
      </c>
      <c r="C6046" t="str">
        <f>IFERROR(__xludf.DUMMYFUNCTION("GOOGLETRANSLATE(B6046, ""es"", ""en"")"),"Incredible are the perfect wireless true, did not give 5 stars because the microphone does not work well (people not listening) and when you write to sony tell you they are microphones optimized for noise canceling and so do not capture well the sound it "&amp;"produces you")</f>
        <v>Incredible are the perfect wireless true, did not give 5 stars because the microphone does not work well (people not listening) and when you write to sony tell you they are microphones optimized for noise canceling and so do not capture well the sound it produces you</v>
      </c>
    </row>
    <row r="6047">
      <c r="A6047" s="1">
        <v>4.0</v>
      </c>
      <c r="B6047" s="1" t="s">
        <v>6008</v>
      </c>
      <c r="C6047" t="str">
        <f>IFERROR(__xludf.DUMMYFUNCTION("GOOGLETRANSLATE(B6047, ""es"", ""en"")"),"meets the expectations are not bad for the price I paid, comfortable and the sole is Vibram. The quality is inferior to other Merrell I have and also the price. Now what you need to do is the result, if it is as good as the others.")</f>
        <v>meets the expectations are not bad for the price I paid, comfortable and the sole is Vibram. The quality is inferior to other Merrell I have and also the price. Now what you need to do is the result, if it is as good as the others.</v>
      </c>
    </row>
    <row r="6048">
      <c r="A6048" s="1">
        <v>4.0</v>
      </c>
      <c r="B6048" s="1" t="s">
        <v>6009</v>
      </c>
      <c r="C6048" t="str">
        <f>IFERROR(__xludf.DUMMYFUNCTION("GOOGLETRANSLATE(B6048, ""es"", ""en"")"),"Eastpak synonymous warranty Discreta resistant i especially useful! A good product in relation to its value The brand has a wide variety of designs to choose from. Thank you!")</f>
        <v>Eastpak synonymous warranty Discreta resistant i especially useful! A good product in relation to its value The brand has a wide variety of designs to choose from. Thank you!</v>
      </c>
    </row>
    <row r="6049">
      <c r="A6049" s="1">
        <v>4.0</v>
      </c>
      <c r="B6049" s="1" t="s">
        <v>6010</v>
      </c>
      <c r="C6049" t="str">
        <f>IFERROR(__xludf.DUMMYFUNCTION("GOOGLETRANSLATE(B6049, ""es"", ""en"")"),"feel good load well and been perfect, better than expected, thanks")</f>
        <v>feel good load well and been perfect, better than expected, thanks</v>
      </c>
    </row>
    <row r="6050">
      <c r="A6050" s="1">
        <v>5.0</v>
      </c>
      <c r="B6050" s="1" t="s">
        <v>6011</v>
      </c>
      <c r="C6050" t="str">
        <f>IFERROR(__xludf.DUMMYFUNCTION("GOOGLETRANSLATE(B6050, ""es"", ""en"")"),"I am delighted very practical. Very comfortable to use. The battery lasts a long and good suction power you do not need to use the turbo.")</f>
        <v>I am delighted very practical. Very comfortable to use. The battery lasts a long and good suction power you do not need to use the turbo.</v>
      </c>
    </row>
    <row r="6051">
      <c r="A6051" s="1">
        <v>5.0</v>
      </c>
      <c r="B6051" s="1" t="s">
        <v>6012</v>
      </c>
      <c r="C6051" t="str">
        <f>IFERROR(__xludf.DUMMYFUNCTION("GOOGLETRANSLATE(B6051, ""es"", ""en"")"),"uses comfortable in the gym. I like and are comfortable. Ideal to wear them the day of your leg routine, to see how your work would return cuadriceps.Los to buy.")</f>
        <v>uses comfortable in the gym. I like and are comfortable. Ideal to wear them the day of your leg routine, to see how your work would return cuadriceps.Los to buy.</v>
      </c>
    </row>
    <row r="6052">
      <c r="A6052" s="1">
        <v>5.0</v>
      </c>
      <c r="B6052" s="1" t="s">
        <v>238</v>
      </c>
      <c r="C6052" t="str">
        <f>IFERROR(__xludf.DUMMYFUNCTION("GOOGLETRANSLATE(B6052, ""es"", ""en"")"),"perfect perfect")</f>
        <v>perfect perfect</v>
      </c>
    </row>
    <row r="6053">
      <c r="A6053" s="1">
        <v>5.0</v>
      </c>
      <c r="B6053" s="1" t="s">
        <v>6013</v>
      </c>
      <c r="C6053" t="str">
        <f>IFERROR(__xludf.DUMMYFUNCTION("GOOGLETRANSLATE(B6053, ""es"", ""en"")"),"Essential to control back pain and muscle aches usually According to statistics, lumbago are one of the health problems that cause more hours off work. Those who have suffered from back problems / lumbalgias know two things: (1) invalidating what you can "&amp;"get if not caught in time, (2) how well the dry heat usually works. This winter, in an episode of back pain, got a physio ThermaCare® patch me and told me about the benefits of low heat intensity and long duration precisely is your working method. I reall"&amp;"y worked very well. Thermacare are patches of cotton nonwovens, which have a soft inside cells (jelly beans seem to touch) with a non-toxic peculiar composition basically iron, water and salt (very simplified form). The patches come in individual sealed p"&amp;"ouches. A the open them, contact with air, and oxygen causes oxidation of iron (accelerated salt). Oxidation produces heat, and this heat patch autonomously for several hours. The heat produced is only a few degrees higher than the temperature of the body"&amp;". Enough to relax the muscles in the area and improve blood flow, which has a very positive effect on reducing contractures. The heat lasts in total about 8h, and other hours ""inertia"". During that time you can make normal life (if permitted pain), not "&amp;"even bothering to sleep. The dosage of relatively low temperature, with long duration is more beneficial than the more intense heat managed with ""traditional"" (electric blanket or hot water), and the gradual reduction prevents temperature methods feelin"&amp;"g ""contracture"" when you take off the electric blanket in a crisis (to go to the bathroom -for example). This variant of the patches are large in size, fit for back, hip ... (large areas). Right now I not am going to use (knock on wood), but my ""backgr"&amp;"ound kit"" for when I needed.")</f>
        <v>Essential to control back pain and muscle aches usually According to statistics, lumbago are one of the health problems that cause more hours off work. Those who have suffered from back problems / lumbalgias know two things: (1) invalidating what you can get if not caught in time, (2) how well the dry heat usually works. This winter, in an episode of back pain, got a physio ThermaCare® patch me and told me about the benefits of low heat intensity and long duration precisely is your working method. I really worked very well. Thermacare are patches of cotton nonwovens, which have a soft inside cells (jelly beans seem to touch) with a non-toxic peculiar composition basically iron, water and salt (very simplified form). The patches come in individual sealed pouches. A the open them, contact with air, and oxygen causes oxidation of iron (accelerated salt). Oxidation produces heat, and this heat patch autonomously for several hours. The heat produced is only a few degrees higher than the temperature of the body. Enough to relax the muscles in the area and improve blood flow, which has a very positive effect on reducing contractures. The heat lasts in total about 8h, and other hours "inertia". During that time you can make normal life (if permitted pain), not even bothering to sleep. The dosage of relatively low temperature, with long duration is more beneficial than the more intense heat managed with "traditional" (electric blanket or hot water), and the gradual reduction prevents temperature methods feeling "contracture" when you take off the electric blanket in a crisis (to go to the bathroom -for example). This variant of the patches are large in size, fit for back, hip ... (large areas). Right now I not am going to use (knock on wood), but my "background kit" for when I needed.</v>
      </c>
    </row>
    <row r="6054">
      <c r="A6054" s="1">
        <v>5.0</v>
      </c>
      <c r="B6054" s="1" t="s">
        <v>6014</v>
      </c>
      <c r="C6054" t="str">
        <f>IFERROR(__xludf.DUMMYFUNCTION("GOOGLETRANSLATE(B6054, ""es"", ""en"")"),"ipad earphone headset already have !!!!! They are the original, come with protective plastic sleeve so that no one opens. They are expensive but we will see the duration thereof.")</f>
        <v>ipad earphone headset already have !!!!! They are the original, come with protective plastic sleeve so that no one opens. They are expensive but we will see the duration thereof.</v>
      </c>
    </row>
    <row r="6055">
      <c r="A6055" s="1">
        <v>5.0</v>
      </c>
      <c r="B6055" s="1" t="s">
        <v>6015</v>
      </c>
      <c r="C6055" t="str">
        <f>IFERROR(__xludf.DUMMYFUNCTION("GOOGLETRANSLATE(B6055, ""es"", ""en"")"),"The most ideal")</f>
        <v>The most ideal</v>
      </c>
    </row>
    <row r="6056">
      <c r="A6056" s="1">
        <v>5.0</v>
      </c>
      <c r="B6056" s="1" t="s">
        <v>6016</v>
      </c>
      <c r="C6056" t="str">
        <f>IFERROR(__xludf.DUMMYFUNCTION("GOOGLETRANSLATE(B6056, ""es"", ""en"")"),"Good product good quality. It met expectations")</f>
        <v>Good product good quality. It met expectations</v>
      </c>
    </row>
    <row r="6057">
      <c r="A6057" s="1">
        <v>5.0</v>
      </c>
      <c r="B6057" s="1" t="s">
        <v>6017</v>
      </c>
      <c r="C6057" t="str">
        <f>IFERROR(__xludf.DUMMYFUNCTION("GOOGLETRANSLATE(B6057, ""es"", ""en"")"),"It is the fourth great deal I buy. I bought this in summer because it was on offer and worth. Almost half the previous price. It puts a while before bed and have warm bed.")</f>
        <v>It is the fourth great deal I buy. I bought this in summer because it was on offer and worth. Almost half the previous price. It puts a while before bed and have warm bed.</v>
      </c>
    </row>
    <row r="6058">
      <c r="A6058" s="1">
        <v>5.0</v>
      </c>
      <c r="B6058" s="1" t="s">
        <v>6018</v>
      </c>
      <c r="C6058" t="str">
        <f>IFERROR(__xludf.DUMMYFUNCTION("GOOGLETRANSLATE(B6058, ""es"", ""en"")"),"Recommend Buy ste watch for everyday and work and it's going very well ... I took more than a month in and everything goes great")</f>
        <v>Recommend Buy ste watch for everyday and work and it's going very well ... I took more than a month in and everything goes great</v>
      </c>
    </row>
    <row r="6059">
      <c r="A6059" s="1">
        <v>5.0</v>
      </c>
      <c r="B6059" s="1" t="s">
        <v>6019</v>
      </c>
      <c r="C6059" t="str">
        <f>IFERROR(__xludf.DUMMYFUNCTION("GOOGLETRANSLATE(B6059, ""es"", ""en"")"),"Meets what is expected is the same as you would find in Carrefour, Media Markt ... but at a discounted price. It has the same functionality, instructions ... all the same. Even the box it comes is normally seen for sale.")</f>
        <v>Meets what is expected is the same as you would find in Carrefour, Media Markt ... but at a discounted price. It has the same functionality, instructions ... all the same. Even the box it comes is normally seen for sale.</v>
      </c>
    </row>
    <row r="6060">
      <c r="A6060" s="1">
        <v>5.0</v>
      </c>
      <c r="B6060" s="1" t="s">
        <v>6020</v>
      </c>
      <c r="C6060" t="str">
        <f>IFERROR(__xludf.DUMMYFUNCTION("GOOGLETRANSLATE(B6060, ""es"", ""en"")"),"Very good shoes As expected, as in the photos")</f>
        <v>Very good shoes As expected, as in the photos</v>
      </c>
    </row>
    <row r="6061">
      <c r="A6061" s="1">
        <v>5.0</v>
      </c>
      <c r="B6061" s="1" t="s">
        <v>6021</v>
      </c>
      <c r="C6061" t="str">
        <f>IFERROR(__xludf.DUMMYFUNCTION("GOOGLETRANSLATE(B6061, ""es"", ""en"")"),"very elegant / Value Excellent Very good material, quite comfortable and spacious I have given him my husband liked it a lot! I recommend, materials of very good quality! Price good!")</f>
        <v>very elegant / Value Excellent Very good material, quite comfortable and spacious I have given him my husband liked it a lot! I recommend, materials of very good quality! Price good!</v>
      </c>
    </row>
    <row r="6062">
      <c r="A6062" s="1">
        <v>5.0</v>
      </c>
      <c r="B6062" s="1" t="s">
        <v>6022</v>
      </c>
      <c r="C6062" t="str">
        <f>IFERROR(__xludf.DUMMYFUNCTION("GOOGLETRANSLATE(B6062, ""es"", ""en"")"),"Shreds masterfully powerful and fast. Easy to clean and very small in size so it is stored anywhere.")</f>
        <v>Shreds masterfully powerful and fast. Easy to clean and very small in size so it is stored anywhere.</v>
      </c>
    </row>
    <row r="6063">
      <c r="A6063" s="1">
        <v>5.0</v>
      </c>
      <c r="B6063" s="1" t="s">
        <v>6023</v>
      </c>
      <c r="C6063" t="str">
        <f>IFERROR(__xludf.DUMMYFUNCTION("GOOGLETRANSLATE(B6063, ""es"", ""en"")"),"Classic shoes I like these shoes because they give a modern twist while retro my wardrobe. They are very comfortable. I read the opinions advising ask for a size smaller than your usual size, I did well because it fit great. The red color is very nice to "&amp;"the natural. As always, Amazon's service very fast and effective.")</f>
        <v>Classic shoes I like these shoes because they give a modern twist while retro my wardrobe. They are very comfortable. I read the opinions advising ask for a size smaller than your usual size, I did well because it fit great. The red color is very nice to the natural. As always, Amazon's service very fast and effective.</v>
      </c>
    </row>
    <row r="6064">
      <c r="A6064" s="1">
        <v>5.0</v>
      </c>
      <c r="B6064" s="1" t="s">
        <v>6024</v>
      </c>
      <c r="C6064" t="str">
        <f>IFERROR(__xludf.DUMMYFUNCTION("GOOGLETRANSLATE(B6064, ""es"", ""en"")"),"Good Good Value")</f>
        <v>Good Good Value</v>
      </c>
    </row>
    <row r="6065">
      <c r="A6065" s="1">
        <v>5.0</v>
      </c>
      <c r="B6065" s="1" t="s">
        <v>6025</v>
      </c>
      <c r="C6065" t="str">
        <f>IFERROR(__xludf.DUMMYFUNCTION("GOOGLETRANSLATE(B6065, ""es"", ""en"")"),"Great is the second buy me love takes all the fat")</f>
        <v>Great is the second buy me love takes all the fat</v>
      </c>
    </row>
    <row r="6066">
      <c r="A6066" s="1">
        <v>5.0</v>
      </c>
      <c r="B6066" s="1" t="s">
        <v>6026</v>
      </c>
      <c r="C6066" t="str">
        <f>IFERROR(__xludf.DUMMYFUNCTION("GOOGLETRANSLATE(B6066, ""es"", ""en"")"),"The fabric is very comfortable quality grade, and is very comfortable. Sizes conform to reality.")</f>
        <v>The fabric is very comfortable quality grade, and is very comfortable. Sizes conform to reality.</v>
      </c>
    </row>
    <row r="6067">
      <c r="A6067" s="1">
        <v>5.0</v>
      </c>
      <c r="B6067" s="1" t="s">
        <v>6027</v>
      </c>
      <c r="C6067" t="str">
        <f>IFERROR(__xludf.DUMMYFUNCTION("GOOGLETRANSLATE(B6067, ""es"", ""en"")"),"Quality / price These Sony headphones have a outstanding design, outstanding quality and a sound that does not correspond to the price, really, value for money design is a real highlight of Amazon. fully recommended")</f>
        <v>Quality / price These Sony headphones have a outstanding design, outstanding quality and a sound that does not correspond to the price, really, value for money design is a real highlight of Amazon. fully recommended</v>
      </c>
    </row>
    <row r="6068">
      <c r="A6068" s="1">
        <v>5.0</v>
      </c>
      <c r="B6068" s="1" t="s">
        <v>6028</v>
      </c>
      <c r="C6068" t="str">
        <f>IFERROR(__xludf.DUMMYFUNCTION("GOOGLETRANSLATE(B6068, ""es"", ""en"")"),"ARTICLE SUPER ELEGANT AND SPORTY great for EVERYDAY SKIN IS A LAST am very happy. BECAUSE I LOVE AMAZON HAS THE THINGS NOT FIND ANYWHERE ELSE")</f>
        <v>ARTICLE SUPER ELEGANT AND SPORTY great for EVERYDAY SKIN IS A LAST am very happy. BECAUSE I LOVE AMAZON HAS THE THINGS NOT FIND ANYWHERE ELSE</v>
      </c>
    </row>
    <row r="6069">
      <c r="A6069" s="1">
        <v>2.0</v>
      </c>
      <c r="B6069" s="1" t="s">
        <v>6029</v>
      </c>
      <c r="C6069" t="str">
        <f>IFERROR(__xludf.DUMMYFUNCTION("GOOGLETRANSLATE(B6069, ""es"", ""en"")"),"Plastic cups and no glass The only downside that I see of the little power is that the glasses are plastic and could already have been glass")</f>
        <v>Plastic cups and no glass The only downside that I see of the little power is that the glasses are plastic and could already have been glass</v>
      </c>
    </row>
    <row r="6070">
      <c r="A6070" s="1">
        <v>3.0</v>
      </c>
      <c r="B6070" s="1" t="s">
        <v>6030</v>
      </c>
      <c r="C6070" t="str">
        <f>IFERROR(__xludf.DUMMYFUNCTION("GOOGLETRANSLATE(B6070, ""es"", ""en"")"),"Good deal for the price you have this shoulder, not bad. Canvas is of medium hardness, lined inside with fabric. It has two outside pockets and one inside, zippered three; and two smaller inner pockets without zipper. It is well stitched everywhere, so it"&amp;" seems tough. I got a little wrinkled. But I think this will be solved with strong steam iron.")</f>
        <v>Good deal for the price you have this shoulder, not bad. Canvas is of medium hardness, lined inside with fabric. It has two outside pockets and one inside, zippered three; and two smaller inner pockets without zipper. It is well stitched everywhere, so it seems tough. I got a little wrinkled. But I think this will be solved with strong steam iron.</v>
      </c>
    </row>
    <row r="6071">
      <c r="A6071" s="1">
        <v>1.0</v>
      </c>
      <c r="B6071" s="1" t="s">
        <v>6031</v>
      </c>
      <c r="C6071" t="str">
        <f>IFERROR(__xludf.DUMMYFUNCTION("GOOGLETRANSLATE(B6071, ""es"", ""en"")"),"Half of broken shells broken Wine")</f>
        <v>Half of broken shells broken Wine</v>
      </c>
    </row>
    <row r="6072">
      <c r="A6072" s="1">
        <v>1.0</v>
      </c>
      <c r="B6072" s="1" t="s">
        <v>6032</v>
      </c>
      <c r="C6072" t="str">
        <f>IFERROR(__xludf.DUMMYFUNCTION("GOOGLETRANSLATE(B6072, ""es"", ""en"")"),"a disaster Sorry, what of 'a disaster' is not on the micro but Reconditioned Amazon products. I bought reconditioned because the description of the same litralmente said: ""The product damaged package can present minor cosmetic damage, but run correctly.."&amp;""" You see that and you buy for 20 euros less, dammit! It turns out that my order arrives and 'lack antipop filter, canon 6m cable and bag !! Wine package with box made pieces that up was not that of the Rode NT1A but of the kit Rode SM6 (support and filt"&amp;"er antipop) were coming micro and support tucked into the box, already assembled without any protection. That is, the microphone mounted on the support, all put such in the cardboard box with styrofoam, pumps or anything !! I do not understand how Amazon "&amp;"is allowed to tease so with returns. Someone returned the product in very poor conditions and they accepted. Top with a box that was not. Gentlemen, seeing this makes me want to buy some 1000 euros and return a pencil !! And go my absolute protest against"&amp;" people who do this with returns. Because that riffraff will make thorough checks put then suffer all if you do not give up the binding wire cables, they will not accept the return! Premium being this Amazon will is a shipping charge, a return and forward"&amp;"ing the new. I honestly do not understand. When I get NEW I've already bought, I opinaré on the micro, because anyone trust this or other reconditioned ... Super micro sounds, of course (I'm not pro) I feel put negative complaint about the product, but to"&amp;" see if Rode and other brands tighten the nuts to Amazon, who make millions with this! I also wrote my complaint to the seller (Amazon-Reconditioned), but I want to read here too, because you do not usually read the reputation of a seller. Less if Amazon-"&amp;"Reconditioned !!")</f>
        <v>a disaster Sorry, what of 'a disaster' is not on the micro but Reconditioned Amazon products. I bought reconditioned because the description of the same litralmente said: "The product damaged package can present minor cosmetic damage, but run correctly.." You see that and you buy for 20 euros less, dammit! It turns out that my order arrives and 'lack antipop filter, canon 6m cable and bag !! Wine package with box made pieces that up was not that of the Rode NT1A but of the kit Rode SM6 (support and filter antipop) were coming micro and support tucked into the box, already assembled without any protection. That is, the microphone mounted on the support, all put such in the cardboard box with styrofoam, pumps or anything !! I do not understand how Amazon is allowed to tease so with returns. Someone returned the product in very poor conditions and they accepted. Top with a box that was not. Gentlemen, seeing this makes me want to buy some 1000 euros and return a pencil !! And go my absolute protest against people who do this with returns. Because that riffraff will make thorough checks put then suffer all if you do not give up the binding wire cables, they will not accept the return! Premium being this Amazon will is a shipping charge, a return and forwarding the new. I honestly do not understand. When I get NEW I've already bought, I opinaré on the micro, because anyone trust this or other reconditioned ... Super micro sounds, of course (I'm not pro) I feel put negative complaint about the product, but to see if Rode and other brands tighten the nuts to Amazon, who make millions with this! I also wrote my complaint to the seller (Amazon-Reconditioned), but I want to read here too, because you do not usually read the reputation of a seller. Less if Amazon-Reconditioned !!</v>
      </c>
    </row>
    <row r="6073">
      <c r="A6073" s="1">
        <v>1.0</v>
      </c>
      <c r="B6073" s="1" t="s">
        <v>6033</v>
      </c>
      <c r="C6073" t="str">
        <f>IFERROR(__xludf.DUMMYFUNCTION("GOOGLETRANSLATE(B6073, ""es"", ""en"")"),"low image quality look good, robust and quality. When open, however, you are either a hard plastic helmets that have joined with a nice design and brand xiaomi. low quality.")</f>
        <v>low image quality look good, robust and quality. When open, however, you are either a hard plastic helmets that have joined with a nice design and brand xiaomi. low quality.</v>
      </c>
    </row>
    <row r="6074">
      <c r="A6074" s="1">
        <v>4.0</v>
      </c>
      <c r="B6074" s="1" t="s">
        <v>6034</v>
      </c>
      <c r="C6074" t="str">
        <f>IFERROR(__xludf.DUMMYFUNCTION("GOOGLETRANSLATE(B6074, ""es"", ""en"")"),"Everything right foot is very good and has several positions to market. The only drawback is that you do not come manual for where to put the threads and others.")</f>
        <v>Everything right foot is very good and has several positions to market. The only drawback is that you do not come manual for where to put the threads and others.</v>
      </c>
    </row>
    <row r="6075">
      <c r="A6075" s="1">
        <v>4.0</v>
      </c>
      <c r="B6075" s="1" t="s">
        <v>6035</v>
      </c>
      <c r="C6075" t="str">
        <f>IFERROR(__xludf.DUMMYFUNCTION("GOOGLETRANSLATE(B6075, ""es"", ""en"")"),"Very happy with the toaster. It was hard to decide on buying that toaster, so far I am very happy with it, works very well, toast both sides and length and width to fit a variety of breads. The only thing I would have liked but there was another color, in"&amp;" stainless steel look much fingerprints.")</f>
        <v>Very happy with the toaster. It was hard to decide on buying that toaster, so far I am very happy with it, works very well, toast both sides and length and width to fit a variety of breads. The only thing I would have liked but there was another color, in stainless steel look much fingerprints.</v>
      </c>
    </row>
    <row r="6076">
      <c r="A6076" s="1">
        <v>4.0</v>
      </c>
      <c r="B6076" s="1" t="s">
        <v>6036</v>
      </c>
      <c r="C6076" t="str">
        <f>IFERROR(__xludf.DUMMYFUNCTION("GOOGLETRANSLATE(B6076, ""es"", ""en"")"),"The display met all expectations, very happy.")</f>
        <v>The display met all expectations, very happy.</v>
      </c>
    </row>
    <row r="6077">
      <c r="A6077" s="1">
        <v>4.0</v>
      </c>
      <c r="B6077" s="1" t="s">
        <v>6037</v>
      </c>
      <c r="C6077" t="str">
        <f>IFERROR(__xludf.DUMMYFUNCTION("GOOGLETRANSLATE(B6077, ""es"", ""en"")"),"Good grip, sound and battery &lt;div id = ""video-block-R3MIJLTV7I95XK"" class = ""a-section a-spacing-small a-spacing-top mini video-block""&gt; &lt;div tabindex = ""0"" class = ""airy airy-svg vmin-unsupported airy-skin-beacon"" style = ""background-color: rgb ("&amp;"0, 0, 0) position: relative; width: 100%; height: 100%; font-size: 0px ; overflow: hidden; outline: none; ""&gt; &lt;div class ="" airy-renderer-container ""style ="" position: relative; height: 100%; width: 100%; ""&gt; &lt;video id ="" 23 ""preload = ""auto"" src ="&amp;" ""https://images-eu.ssl-images-amazon.com/images/I/B1r9jJJxekS.mp4"" style = ""position: absolute; left: 0px; top: 0px; overflow: hidden; height : 1px; width: 1px; ""&gt; &lt;/ video&gt; &lt;/ div&gt; &lt;div id ="" airy-slate-preload ""style ="" background-color: rgb (0,"&amp;" 0, 0); background-image: url ( &amp; quot; https: //images-eu.ssl-images-amazon.com/images/I/910VW1RaHlS.png&amp;quot;); background-size: Contain; background-position: center center; background-repeat: no-repeat; position : absolute; top: 0px; left: 0px; visibil"&amp;"ity: visible; width: 100%; height: 100 %; ""&gt; &lt;/ Div&gt; &lt;iframe scrolling ="" no ""frameborder ="" 0 ""src ="" about: blank ""style ="" display: none; ""&gt; &lt;/ iframe&gt; &lt;div tabindex ="" - 1 ""class = ""airy-controls-container"" style = ""opacity: 0; visibilit"&amp;"y: hidden; ""&gt; &lt;div tabindex ="" - 1 ""class ="" airy-screen-size-toggle airy-fullscreen ""&gt; &lt;/ div&gt; &lt;div tabindex ="" - 1 ""class ="" airy-container-bottom "" &gt; &lt;div tabindex = ""- 1"" class = ""airy-track-bar-spacer-left"" style = ""width: 11px;""&gt; &lt;/ d"&amp;"iv&gt; &lt;div tabindex = ""- 1"" class = ""airy-play- airy toggle-play ""style ="" width: 12px; margin-right: 12px; ""&gt; &lt;/ div&gt; &lt;div tabindex ="" - 1 ""class ="" airy-audio-elements ""style ="" float: right; width: 34px; ""&gt; &lt;div tabindex ="" - 1 ""class ="" a"&amp;"iry-audio-toggle airy-on ""&gt; &lt;/ div&gt; &lt;div tabindex ="" - 1 ""class ="" airy-audio-container ""style = ""opacity: 0; visibility: hidden; ""&gt; &lt;div tabindex ="" - 1 ""class ="" airy-audio-track-bar ""style ="" height: 80%; ""&gt; &lt;div tabindex ="" - 1 ""class ="&amp;""" airy-audio- Scrubber-bar ""style ="" height: 85%; ""&gt; &lt;/ div&gt; &lt;div tabindex ="" - 1 ""class ="" airy-audio-scrubber ""style ="" height: 12px; bottom: 85% ""&gt; &lt;/ div&gt; &lt;/ div&gt; &lt;/ div&gt; &lt;/ div&gt; &lt;div tabindex ="" - 1 ""class ="" airy-duration-label ""style "&amp;"="" float: right; width: 26px; margin-right: 4px; text-align: center; ""&gt; 0:00 &lt;/ div&gt; &lt;div tabindex ="" - 1 ""class ="" airy-track-bar-spacer-right ""style ="" float: right; width: 11px; ""&gt; &lt;/ div&gt; &lt;div tabindex ="" - 1 ""class ="" airy-track-bar-contai"&amp;"ner ""style ="" margin-left: 35px; margin-right: 75px; ""&gt; &lt;div tabindex ="" - 1 ""class ="" airy-airy-track-bar vertically-centering-table ""&gt; &lt;div tabindex ="" - 1 ""class ="" airy-Vertical-centering- table-cell ""&gt; &lt;div tabindex ="" - 1 ""class ="" air"&amp;"y-track-bar-elements ""&gt; &lt;div tabindex ="" - 1 ""class ="" airy-progress-bar ""&gt; &lt;/ div&gt; &lt;div tabindex = ""- 1"" class = ""airy-scrubber-bar""&gt; &lt;/ div&gt; &lt;div tabindex = ""- 1"" class = ""airy-scrubber""&gt; &lt;div tabindex = ""- 1"" class = ""airy-scrubber- ico"&amp;"n ""&gt; &lt;/ div&gt; &lt;div tabindex ="" - 1 ""class ="" airy-adjusted-AUI-tooltip ""style ="" opacity: 0; visibility: hidden; ""&gt; &lt;div tabindex ="" - 1 ""class ="" airy-adjusted-aui-tooltip-inner ""&gt; &lt;div tabindex ="" - 1 ""class ="" airy-current-time-label ""&gt; 0"&amp;": 00 &lt;/ div&gt; &lt;/ div&gt; &lt;div tabindex = ""- 1"" class = ""airy-adjusted-AUI-arrow-border""&gt; &lt;div tabindex = ""- 1"" class = ""airy-adjusted-AUI-arrow"" &gt; &lt;/ div&gt; &lt;/ div&gt; &lt;/ div&gt; &lt;/ div&gt; &lt;/ div&gt; &lt;/ div&gt; &lt;/ div&gt; &lt;/ div&gt; &lt;/ div&gt; &lt;/ div&gt; &lt;div tabindex = ""- 1"" "&amp;"class = ""airy-age-gate airy-stage airy-Vertical-centering-table airy-dialog"" style = ""opacity: 0; visibility: hidden; ""&gt; &lt;div tabindex ="" - 1 ""class ="" airy-age-gate-Vertical-centering-table-cell airy-Vertical-centering-table-cell ""&gt; &lt;div tabindex"&amp;" ="" - 1 ""class = ""airy-Vertical-centering-wrapper airy-age-gate-elements-wrapper""&gt; &lt;div tabindex = ""- 1"" class = ""airy-age-gate-elements airy-dialog-elements""&gt; &lt;div tabindex = "" -1 ""class ="" airy-age-gate-prompt ""&gt; This video is not Intended f"&amp;"or all audiences What date were you born &lt;/ div&gt; &lt;div tabindex =.?"" - 1 ""class ="" airy-age-gate -inputs airy-dialog-inner-elements ""&gt; &lt;select tabindex ="" - 1 ""class ="" airy-age-gate-month ""&gt; &lt;option value ="" 1 ""&gt; January &lt;/ option&gt; &lt;option value"&amp;" ="" 2 ""&gt; February &lt;/ option&gt; &lt;option value ="" 3 ""&gt; March &lt;/ option&gt; &lt;option value ="" 4 ""&gt; April &lt;/ option&gt; &lt;option value ="" 5 ""&gt; May &lt;/ option&gt; &lt;option value = ""6""&gt; June &lt;/ option&gt; &lt;option value = ""7""&gt; July &lt;/ option&gt; &lt;option value = ""8""&gt; Au"&amp;"gust &lt;/ option&gt; &lt;option value = ""9""&gt; September &lt;/ option&gt; &lt;option value = ""10""&gt; October &lt;/ option&gt; &lt;option value = ""11""&gt; November &lt;/ option&gt; &lt;option value = ""12""&gt; December &lt;/ option&gt; &lt;/ select&gt; &lt;select tabindex = ""- 1"" class = ""airy-age-gate-da"&amp;"y""&gt; &lt;opti on value = ""1""&gt; 1 &lt;/ option&gt; &lt;option value = ""2""&gt; 2 &lt;/ option&gt; &lt;option value = ""3""&gt; 3 &lt;/ option&gt; &lt;option value = ""4""&gt; 4 &lt;/ option &gt; &lt;option value = ""5""&gt; 5 &lt;/ option&gt; &lt;option value = ""6""&gt; 6 &lt;/ option&gt; &lt;option value = ""7""&gt; 7 &lt;/ opti"&amp;"on&gt; &lt;option value = ""8""&gt; 8 &lt; / option&gt; &lt;option value = ""9""&gt; 9 &lt;/ option&gt; &lt;option value = ""10""&gt; 10 &lt;/ option&gt; &lt;option value = ""11""&gt; 11 &lt;/ option&gt; &lt;option value = ""12""&gt; 12 &lt;/ option&gt; &lt;option value = ""13""&gt; 13 &lt;/ option&gt; &lt;option value = ""14""&gt; 14"&amp;" &lt;/ option&gt; &lt;option value = ""15""&gt; 15 &lt;/ option&gt; &lt;option value = ""16 ""&gt; 16 &lt;/ option&gt; &lt;option value ="" 17 ""&gt; 17 &lt;/ option&gt; &lt;option value ="" 18 ""&gt; 18 &lt;/ option&gt; &lt;option value ="" 19 ""&gt; 19 &lt;/ option&gt; &lt;option value = ""20""&gt; 20 &lt;/ option&gt; &lt;option val"&amp;"ue = ""21""&gt; 21 &lt;/ option&gt; &lt;option value = ""22""&gt; 22 &lt;/ option&gt; &lt;option value = ""23""&gt; 23 &lt;/ option&gt; &lt;option value = ""24""&gt; 24 &lt;/ option&gt; &lt;option value = ""25""&gt; 25 &lt;/ option&gt; &lt;option value = ""26""&gt; 26 &lt;/ option&gt; &lt;option value = ""27""&gt; 27 &lt;/ option&gt; "&amp;"&lt;option value = ""28""&gt; 28 &lt;/ option&gt; &lt;option value = ""29""&gt; 29 &lt;/ option&gt; &lt;option value = ""30""&gt; 30 &lt;/ option&gt; &lt;option value = ""31""&gt; 31 &lt;/ option&gt; &lt;/ select&gt; &lt;select tabindex = ""- 1"" class = ""airy-age-gate-year""&gt; &lt;option value = ""2019""&gt; 2019 &lt;/"&amp;" option&gt; &lt; option value = ""2018""&gt; 2018 &lt;/ option&gt; &lt;option value = ""2017""&gt; 2017 &lt;/ option&gt; &lt;option value = ""2016""&gt; ​​2016 &lt;/ option&gt; &lt;option value = ""2015""&gt; 2015 &lt;/ option &gt; &lt;option value = ""2014""&gt; 2014 &lt;/ option&gt; &lt;option value = ""2013""&gt; 2013 &lt;"&amp;"/ option&gt; &lt;option value = ""2012""&gt; 2012 &lt;/ option&gt; &lt;option value = ""2011""&gt; 2011 &lt; / option&gt; &lt;option value = ""2010""&gt; 2010 &lt;/ option&gt; &lt;option value = ""2009""&gt; 2009 &lt;/ option&gt; &lt;option value = ""2008""&gt; 2008 &lt;/ option&gt; &lt;option value = ""2007""&gt; 2007 &lt;/ "&amp;"option&gt; &lt;option value = ""2006""&gt; 2006 &lt;/ option&gt; &lt;option value = ""2005""&gt; 2005 &lt;/ option&gt; &lt;option value = ""2004""&gt; 2004 &lt;/ option&gt; &lt;option value = ""2003 ""&gt; 2003 &lt;/ option&gt; &lt;option value ="" 2002 ""&gt; 2002 &lt;/ option&gt; &lt;option value ="" 2001 ""&gt; 2001 &lt;/ "&amp;"option&gt; &lt;option value ="" 2000 ""&gt; 2000 &lt;/ option&gt; &lt;option value = ""1999""&gt; 1999 &lt;/ option&gt; &lt;option value = ""1998""&gt; 1998 &lt;/ option&gt; &lt;option value = ""1997""&gt; 1997 &lt;/ option&gt; &lt;option value = ""1996""&gt; 1996 &lt;/ option&gt; &lt;option value = ""1995""&gt; 1995 &lt;/ op"&amp;"tion&gt; &lt;option value = ""1994""&gt; 1994 &lt;/ option&gt; &lt;option value = ""1993""&gt; 1993 &lt;/ option&gt; &lt;option value = ""1992""&gt; 1992 &lt;/ option&gt; &lt;option value = ""1991""&gt; 1991 &lt;/ option&gt; &lt;option value = ""1990""&gt; 1990 &lt;/ option&gt; &lt;option value = "" 1989 ""&gt; 1989 &lt;/ opt"&amp;"ion&gt; &lt;option value ="" 1988 ""&gt; 1988 &lt;/ option&gt; &lt;option value ="" 1987 ""&gt; 1987 &lt;/ option&gt; &lt;option value ="" 1986 ""&gt; 1986 &lt;/ option&gt; &lt;value option = ""1985""&gt; 1985 &lt;/ option&gt; &lt;option value = ""1984""&gt; 1984 &lt;/ option&gt; &lt;option value = ""1983""&gt; 1983 &lt;/ opt"&amp;"ion&gt; &lt;option value = ""1982""&gt; 1982 &lt;/ option&gt; &lt; option value = ""1981""&gt; 1981 &lt;/ option&gt; &lt;option value = ""1980""&gt; 1980 &lt;/ option&gt; &lt;option value = ""1979""&gt; 1979 &lt;/ option&gt; &lt;option value = ""1978""&gt; 1978 &lt;/ option &gt; &lt;option value = ""1977""&gt; 1977 &lt;/ opti"&amp;"on&gt; &lt;option value = ""1976""&gt; 1976 &lt;/ option&gt; &lt;option value = ""1975""&gt; 1975 &lt;/ option&gt; &lt;option value = ""1974""&gt; 1974 &lt; / option&gt; &lt;option value = ""1973""&gt; 1973 &lt;/ option&gt; &lt;option value = ""1972""&gt; 1972 &lt;/ option&gt; &lt;option value = ""1971""&gt; 1971 &lt;/ option"&amp;"&gt; &lt;option value = ""1970""&gt; 1970 &lt;/ option&gt; &lt;option value = ""1969""&gt; 1969 &lt;/ option&gt; &lt;option value = ""1968""&gt; 1968 &lt;/ option&gt; &lt;option value = ""1967""&gt; 1967 &lt;/ option&gt; &lt;option value = ""1966 ""&gt; 1966 &lt;/ option&gt; &lt;option value ="" 1965 ""&gt; 1965 &lt;/ option&gt;"&amp;" &lt;option value ="" 1964 ""&gt; 1964 &lt;/ option&gt; &lt;option value ="" 1963 ""&gt; 1963 &lt;/ option&gt; &lt;option value = ""1962""&gt; 1962 &lt;/ option&gt; &lt;option value = ""1961""&gt; 1961 &lt;/ option&gt; &lt;option value = ""1960""&gt; 1960 &lt;/ op tion&gt; &lt;option value = ""1959""&gt; 1959 &lt;/ option&gt;"&amp;" &lt;option value = ""1958""&gt; 1958 &lt;/ option&gt; &lt;option value = ""1957""&gt; 1957 &lt;/ option&gt; &lt;option value = ""1956""&gt; 1956 &lt;/ option&gt; &lt;option value = ""1955""&gt; 1955 &lt;/ option&gt; &lt;option value = ""1954""&gt; 1954 &lt;/ option&gt; &lt;option value = ""1953""&gt; 1953 &lt;/ option&gt; &lt;o"&amp;"ption value = ""1952"" &gt; 1952 &lt;/ option&gt; &lt;option value = ""1951""&gt; 1951 &lt;/ option&gt; &lt;option value = ""1950""&gt; 1950 &lt;/ option&gt; &lt;option value = ""1949""&gt; 1949 &lt;/ option&gt; &lt;option value = "" 1948 ""&gt; 1948 &lt;/ option&gt; &lt;option value ="" 1947 ""&gt; 1947 &lt;/ option&gt; &lt;"&amp;"option value ="" 1946 ""&gt; 1946 &lt;/ option&gt; &lt;option value ="" 1945 ""&gt; 1945 &lt;/ option&gt; &lt;value option = ""1944""&gt; 1944 &lt;/ option&gt; &lt;option value = ""1943""&gt; 1943 &lt;/ option&gt; &lt;option value = ""1942""&gt; 1942 &lt;/ option&gt; &lt;option value = ""1941""&gt; 1941 &lt;/ option&gt; &lt; "&amp;"option value = ""1940""&gt; 1940 &lt;/ option&gt; &lt;option value = ""1939""&gt; 1939 &lt;/ option&gt; &lt;option value = ""1938""&gt; 1938 &lt;/ option&gt; &lt;option value = ""1937""&gt; 1937 &lt;/ option &gt; &lt;option value = ""1936""&gt; 1936 &lt;/ option&gt; &lt;option value = ""1935""&gt; 1935 &lt;/ option&gt; &lt;op"&amp;"tion value = ""1934""&gt; 1934 &lt;/ option&gt; &lt;option value = ""1933""&gt; 1933 &lt; / option&gt; &lt;option value = ""1932""&gt; 1932 &lt;/ option&gt; &lt;option value = ""1931""&gt; 1931 &lt;/ option&gt; &lt;option v alue = ""1930""&gt; 1930 &lt;/ option&gt; &lt;option value = ""1929""&gt; 1929 &lt;/ option&gt; &lt;opt"&amp;"ion value = ""1928""&gt; 1928 &lt;/ option&gt; &lt;option value = ""1927""&gt; 1927 &lt;/ option&gt; &lt;option value = ""1926""&gt; 1926 &lt;/ option&gt; &lt;option value = ""1925""&gt; 1925 &lt;/ option&gt; &lt;option value = ""1924""&gt; 1924 &lt;/ option&gt; &lt;option value = ""1923""&gt; 1923 &lt;/ option&gt; &lt;option"&amp;" value = ""1922""&gt; 1922 &lt;/ option&gt; &lt;option value = ""1921""&gt; 1921 &lt;/ option&gt; &lt;option value = ""1920""&gt; 1920 &lt;/ option&gt; &lt;option value = ""1919""&gt; 1919 &lt;/ option&gt; &lt;option value = ""1918""&gt; 1918 &lt;/ option&gt; &lt;option value = ""1917""&gt; 1917 &lt;/ option&gt; &lt;option va"&amp;"lue = ""1916""&gt; 1916 &lt;/ option&gt; &lt;option value = ""1915"" &gt; 1915 &lt;/ option&gt; &lt;option value = ""1914""&gt; 1914 &lt;/ option&gt; &lt;option value = ""1913""&gt; 1913 &lt;/ option&gt; &lt;option value = ""1912""&gt; 1912 &lt;/ option&gt; &lt;option value = "" 1911 ""&gt; 1911 &lt;/ option&gt; &lt;option va"&amp;"lue ="" 1910 ""&gt; 1910 &lt;/ option&gt; &lt;option value ="" 1909 ""&gt; 1909 &lt;/ option&gt; &lt;option value ="" 1908 ""&gt; 1908 &lt;/ option&gt; &lt;value option = ""1907""&gt; 1907 &lt;/ option&gt; &lt;option value = ""1906""&gt; 1906 &lt;/ option&gt; &lt;option value = ""1905""&gt; 1905 &lt;/ option&gt; &lt;option va"&amp;"lue = ""1904""&gt; 1904 &lt;/ option&gt; &lt; option value = ""1903""&gt; 1903 &lt;/ option&gt; &lt;option value = ""1902""&gt; 1902 &lt;/ option&gt; &lt;option value = ""1901""&gt; 19 01 &lt;/ option&gt; &lt;option value = ""1900""&gt; 1900 &lt;/ option&gt; &lt;/ select&gt; &lt;div tabindex = ""- 1"" class = ""airy-age"&amp;"-gate-submit airy-submit-button airy airy-submit- disabled ""&gt; Submit &lt;/ div&gt; &lt;/ div&gt; &lt;/ div&gt; &lt;/ div&gt; &lt;/ div&gt; &lt;/ div&gt; &lt;div tabindex ="" - 1 ""class ="" airy-install-flash-dialog airy-stage airy -vertical-centering-table-dialog airy airy-denied ""style ="""&amp;" opacity: 0; visibility: hidden; ""&gt; &lt;div tabindex ="" - 1 ""class ="" airy-install-flash-Vertical-centering-table-cell airy-Vertical-centering-table-cell ""&gt; &lt;div tabindex ="" - 1 ""class = ""airy-Vertical-centering-wrapper airy-install-flash-elements-wr"&amp;"apper""&gt; &lt;div tabindex = ""- 1"" class = ""airy-install-flash-elements airy-dialog-elements""&gt; &lt;div tabindex = "" -1 ""class ="" airy-install-flash-prompt ""&gt; Adobe Flash Player is required to watch this video &lt;/ div&gt; &lt;div tabindex =."" - 1 ""class ="" ai"&amp;"ry-install-flash-button-wrapper airy -dialog-inner-elements ""&gt; &lt;div tabindex ="" - 1 ""class ="" airy-install-flash-button airy-button ""&gt; install Flash Player &lt;/ div&gt; &lt;/ div&gt; &lt;/ div&gt; &lt;/ div&gt; &lt;/ div&gt; &lt;/ div&gt; &lt;div tabindex = ""- 1"" class = ""airy-video-u"&amp;"nsupported-dialog airy-stage airy-Vertical-centering-table airy-dialog airy-denied"" style = ""opacity: 0; visibility: hidden; ""&gt; &lt;div tabindex ="" - 1 ""class ="" airy-video-unsupported-Vertical-centering-table-cell airy-Vertical-centering-table-cell """&amp;"&gt; &lt;div tabindex ="" - 1 ""class = ""airy-Vertical-centering-wrapper airy-video-unsupported-elements-wrapper""&gt; &lt;div tabindex = ""- 1"" class = ""airy-video-unsupported-elements airy-dialog-elements""&gt; &lt;div tabindex = "" -1 ""class ="" airy-video-unsupport"&amp;"ed-prompt ""&gt; &lt;/ div&gt; &lt;/ div&gt; &lt;/ div&gt; &lt;/ div&gt; &lt;/ div&gt; &lt;div tabindex ="" - 1 ""class ="" airy-loading- spinner-stage airy-stage ""&gt; &lt;div tabindex ="" - 1 ""class ="" airy-loading-spinner-Vertical-centering-table-cell airy-Vertical-centering-table-cell ""&gt; "&amp;"&lt;div tabindex ="" - 1 ""class ="" airy-loading-spinner-container airy-scalable-hint-container ""&gt; &lt;div tabindex ="" - 1 ""class ="" airy-loading-spinner-dummy airy-scalable-dummy ""&gt; &lt;/ div&gt; &lt; div tabindex = ""- 1"" class = ""airy-loading-spinner airy-hin"&amp;"t"" style = ""visibility: hidden;""&gt; &lt;/ div&gt; &lt;/ div&gt; &lt;/ div&gt; &lt;/ div&gt; &lt;div tabindex = ""- 1 ""class ="" airy-ads-screen-size-toggle airy-screen-size-toggle-fullscreen airy ""style ="" visibility: hidden; ""&gt; &lt;/ div&gt; &lt;div tabindex = ""-1"" class = ""airy-ad"&amp;"-prompt-container"" style = ""visibility: hidden;""&gt; &lt;div tabindex = ""- 1"" class = ""airy-ad-prompt-Vertical-centering-table-vertically airy centering-table ""&gt; &lt;div tabindex ="" - 1 ""class ="" airy-ad-prompt-Vertical-centering-table-cell airy-Vertical"&amp;"-centering-table-cell ""&gt; &lt;div tabindex ="" - 1 ""class = ""airy-ad-prompt-label""&gt; &lt;/ div&gt; &lt;/ div&gt; &lt;/ div&gt; &lt;/ div&gt; &lt;div tabindex = ""- 1"" class = ""airy-ads-controls-container"" style = ""visibility: hidden; ""&gt; &lt;div tabindex ="" - 1 ""class ="" airy-ad"&amp;"s-audio-toggle airy-audio-toggle airy-on ""style ="" visibility: hidden; ""&gt; &lt;/ div&gt; &lt;div tabindex ="" - 1 ""class ="" airy-time-remaining-label-container ""&gt; &lt;div tabindex ="" - 1 ""class ="" airy-time-remaining-Vertical-centering-table airy-Vertical-cen"&amp;"tering-table ""&gt; &lt;div tabindex = ""- 1"" class = ""airy-time-remaining-Vertical-centering-table-cell airy-Vertical-centering-table-cell""&gt; &lt;div tabindex = ""- 1"" class = ""airy-Vertical-centering-wrapper airy-time-remaining-label-wrapper ""&gt; &lt;div tabinde"&amp;"x ="" - 1 ""class ="" airy-time-remaining-label ""style ="" visibility: hidden; ""&gt; &lt;/ div&gt; &lt;div tabi ndex = ""- 1"" class = ""airy-ad-skip"" style = ""visibility: hidden;""&gt; &lt;/ div&gt; &lt;div tabindex = ""- 1"" class = ""airy-ad-end"" style = ""visibility: hi"&amp;"dden ""&gt; &lt;/ div&gt; &lt;/ div&gt; &lt;/ div&gt; &lt;/ div&gt; &lt;/ div&gt; &lt;div tabindex ="" - 1 ""class ="" airy-learn-more ""style ="" visibility: hidden; ""&gt; &lt;/ div&gt; &lt;/ div&gt; &lt;div tabindex = ""- 1"" class = ""airy-play-toggle-hint-stage airy-stage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-toggle-hint hint airy-airy-play-hint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images-eu ."&amp;"ssl-images-amazon.com / images / I / B1r9jJJxekS.mp4 ""Class ="" video-url ""&gt; &lt;input type ="" hidden ""name ="" ""value ="" https://images-eu.ssl-images-amazon.com/images/I/910VW1RaHlS.png ""class ="" video-slate-img-url ""&gt; &amp; nbsp; I liked a lot, but wh"&amp;"at would you highlight what mejorable serious than missing a couple of buttons to raise and lower volume, an indicator LED battery in the case (indicates only the load ) and the ear pins were something less rigid, but q remarks seek perfection, for what u"&amp;"se (Work) and what they cost, are fine.")</f>
        <v>Good grip, sound and battery &lt;div id = "video-block-R3MIJLTV7I95XK" class = "a-section a-spacing-small a-spacing-top mini video-block"&gt; &lt;div tabindex = "0" class = "airy airy-svg vmin-unsupported airy-skin-beacon" style = "background-color: rgb (0, 0, 0) position: relative; width: 100%; height: 100%; font-size: 0px ; overflow: hidden; outline: none; "&gt; &lt;div class =" airy-renderer-container "style =" position: relative; height: 100%; width: 100%; "&gt; &lt;video id =" 23 "preload = "auto" src = "https://images-eu.ssl-images-amazon.com/images/I/B1r9jJJxekS.mp4" style = "position: absolute; left: 0px; top: 0px; overflow: hidden; height : 1px; width: 1px; "&gt; &lt;/ video&gt; &lt;/ div&gt; &lt;div id =" airy-slate-preload "style =" background-color: rgb (0, 0, 0); background-image: url ( &amp; quot; https: //images-eu.ssl-images-amazon.com/images/I/910VW1RaHlS.png&amp;quot;); background-size: Contain; background-position: center center; background-repeat: no-repeat; position : absolute; top: 0px; left: 0px; visibility: visible; width: 100%; height: 100 %;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B1r9jJJxekS.mp4 "Class =" video-url "&gt; &lt;input type =" hidden "name =" "value =" https://images-eu.ssl-images-amazon.com/images/I/910VW1RaHlS.png "class =" video-slate-img-url "&gt; &amp; nbsp; I liked a lot, but what would you highlight what mejorable serious than missing a couple of buttons to raise and lower volume, an indicator LED battery in the case (indicates only the load ) and the ear pins were something less rigid, but q remarks seek perfection, for what use (Work) and what they cost, are fine.</v>
      </c>
    </row>
    <row r="6078">
      <c r="A6078" s="1">
        <v>4.0</v>
      </c>
      <c r="B6078" s="1" t="s">
        <v>6038</v>
      </c>
      <c r="C6078" t="str">
        <f>IFERROR(__xludf.DUMMYFUNCTION("GOOGLETRANSLATE(B6078, ""es"", ""en"")"),"carles product is faithful to what I wanted, perfect in his state i really meets expectations, satisfied i recommended")</f>
        <v>carles product is faithful to what I wanted, perfect in his state i really meets expectations, satisfied i recommended</v>
      </c>
    </row>
    <row r="6079">
      <c r="A6079" s="1">
        <v>5.0</v>
      </c>
      <c r="B6079" s="1" t="s">
        <v>6039</v>
      </c>
      <c r="C6079" t="str">
        <f>IFERROR(__xludf.DUMMYFUNCTION("GOOGLETRANSLATE(B6079, ""es"", ""en"")"),"It works perfectly and is easy to use. The truth is that I bought it because I saw a promotion, I do not know if I cost about 14 € or so the two and said it come to me I've really only wanted one but for this price I said come and upon arrival tried it an"&amp;"d I still have not been removed, it's wonderful, it's very easy to use, how cool is that it has timer, that for example you look good if you want to go to sleep, I leave a couple of hours and it will turn off. With few persons who throw drops and smells w"&amp;"onderful, really I give it a 10/10.")</f>
        <v>It works perfectly and is easy to use. The truth is that I bought it because I saw a promotion, I do not know if I cost about 14 € or so the two and said it come to me I've really only wanted one but for this price I said come and upon arrival tried it and I still have not been removed, it's wonderful, it's very easy to use, how cool is that it has timer, that for example you look good if you want to go to sleep, I leave a couple of hours and it will turn off. With few persons who throw drops and smells wonderful, really I give it a 10/10.</v>
      </c>
    </row>
    <row r="6080">
      <c r="A6080" s="1">
        <v>5.0</v>
      </c>
      <c r="B6080" s="1" t="s">
        <v>6040</v>
      </c>
      <c r="C6080" t="str">
        <f>IFERROR(__xludf.DUMMYFUNCTION("GOOGLETRANSLATE(B6080, ""es"", ""en"")"),"Besides perfect happy it is very practical and very good quality utiul we liked it and we are happy with the")</f>
        <v>Besides perfect happy it is very practical and very good quality utiul we liked it and we are happy with the</v>
      </c>
    </row>
    <row r="6081">
      <c r="A6081" s="1">
        <v>5.0</v>
      </c>
      <c r="B6081" s="1" t="s">
        <v>6041</v>
      </c>
      <c r="C6081" t="str">
        <f>IFERROR(__xludf.DUMMYFUNCTION("GOOGLETRANSLATE(B6081, ""es"", ""en"")"),"good sound and sound-proof headphones I thought Superlux HD and several watching were heard bien.tras decided to buy others to take advantage of the sound card amplifier. I decided on these ATH-M50x and the change was radical. I think they are the best he"&amp;"adphones midrange. Just open the box looks that are quality. They fold and turn the speakers. It is very useful for storage and super comfortable once set. Has a pad on the headband so comfortable that no notes. Pillows are super comfortable and will cove"&amp;"r the entire closed oreja.Son, so you do not hear much outside noise. The sound is very good and crisp at any frequency you put it. Both music and films. PC connected to a Asus Xonar with 7.1 function simply incrible. Low sound to configure anywhere, with"&amp;"out disrupting the remainder. Music, voices and instruments differ good and crisp. I would not want to remove them. From 10")</f>
        <v>good sound and sound-proof headphones I thought Superlux HD and several watching were heard bien.tras decided to buy others to take advantage of the sound card amplifier. I decided on these ATH-M50x and the change was radical. I think they are the best headphones midrange. Just open the box looks that are quality. They fold and turn the speakers. It is very useful for storage and super comfortable once set. Has a pad on the headband so comfortable that no notes. Pillows are super comfortable and will cover the entire closed oreja.Son, so you do not hear much outside noise. The sound is very good and crisp at any frequency you put it. Both music and films. PC connected to a Asus Xonar with 7.1 function simply incrible. Low sound to configure anywhere, without disrupting the remainder. Music, voices and instruments differ good and crisp. I would not want to remove them. From 10</v>
      </c>
    </row>
    <row r="6082">
      <c r="A6082" s="1">
        <v>5.0</v>
      </c>
      <c r="B6082" s="1" t="s">
        <v>6042</v>
      </c>
      <c r="C6082" t="str">
        <f>IFERROR(__xludf.DUMMYFUNCTION("GOOGLETRANSLATE(B6082, ""es"", ""en"")"),"Alba The shoes are just as expected. They come in the box with corresponding pairs of strands and in the appropriate color. When I try have proved very comfortable. Purchase totally recommended.")</f>
        <v>Alba The shoes are just as expected. They come in the box with corresponding pairs of strands and in the appropriate color. When I try have proved very comfortable. Purchase totally recommended.</v>
      </c>
    </row>
    <row r="6083">
      <c r="A6083" s="1">
        <v>5.0</v>
      </c>
      <c r="B6083" s="1" t="s">
        <v>6043</v>
      </c>
      <c r="C6083" t="str">
        <f>IFERROR(__xludf.DUMMYFUNCTION("GOOGLETRANSLATE(B6083, ""es"", ""en"")"),"Zap are beautiful and very comfortable")</f>
        <v>Zap are beautiful and very comfortable</v>
      </c>
    </row>
    <row r="6084">
      <c r="A6084" s="1">
        <v>5.0</v>
      </c>
      <c r="B6084" s="1" t="s">
        <v>6044</v>
      </c>
      <c r="C6084" t="str">
        <f>IFERROR(__xludf.DUMMYFUNCTION("GOOGLETRANSLATE(B6084, ""es"", ""en"")"),"Shoulder bag with several compartments I like the size and waterproof fabric nylon but onions are hope plastic that can withstand the weight of things inside has 1 type compartment open pocket for mobile and off has several one I back zipper and front par"&amp;"t the He has another zipper flap and the lifting hides another zippered pocket")</f>
        <v>Shoulder bag with several compartments I like the size and waterproof fabric nylon but onions are hope plastic that can withstand the weight of things inside has 1 type compartment open pocket for mobile and off has several one I back zipper and front part the He has another zipper flap and the lifting hides another zippered pocket</v>
      </c>
    </row>
    <row r="6085">
      <c r="A6085" s="1">
        <v>5.0</v>
      </c>
      <c r="B6085" s="1" t="s">
        <v>6045</v>
      </c>
      <c r="C6085" t="str">
        <f>IFERROR(__xludf.DUMMYFUNCTION("GOOGLETRANSLATE(B6085, ""es"", ""en"")"),"Perfect purchase. Better than I expected, I was reminded of my young days. As soon as I saw my 13 years, I took it off, told me where I'm going with something so modern ... jajjajajaj.")</f>
        <v>Perfect purchase. Better than I expected, I was reminded of my young days. As soon as I saw my 13 years, I took it off, told me where I'm going with something so modern ... jajjajajaj.</v>
      </c>
    </row>
    <row r="6086">
      <c r="A6086" s="1">
        <v>5.0</v>
      </c>
      <c r="B6086" s="1" t="s">
        <v>6046</v>
      </c>
      <c r="C6086" t="str">
        <f>IFERROR(__xludf.DUMMYFUNCTION("GOOGLETRANSLATE(B6086, ""es"", ""en"")"),"Nice and original came faster than expected the Amazon. It was a gift for my niece 10 years. Not bad for the price pendant you have. Acceptable")</f>
        <v>Nice and original came faster than expected the Amazon. It was a gift for my niece 10 years. Not bad for the price pendant you have. Acceptable</v>
      </c>
    </row>
    <row r="6087">
      <c r="A6087" s="1">
        <v>5.0</v>
      </c>
      <c r="B6087" s="1" t="s">
        <v>6047</v>
      </c>
      <c r="C6087" t="str">
        <f>IFERROR(__xludf.DUMMYFUNCTION("GOOGLETRANSLATE(B6087, ""es"", ""en"")"),"Good value'm happy with the purchase of the kettle Koenig, is of good quality, and it is beautiful. I would buy it, thanks.")</f>
        <v>Good value'm happy with the purchase of the kettle Koenig, is of good quality, and it is beautiful. I would buy it, thanks.</v>
      </c>
    </row>
    <row r="6088">
      <c r="A6088" s="1">
        <v>5.0</v>
      </c>
      <c r="B6088" s="1" t="s">
        <v>6048</v>
      </c>
      <c r="C6088" t="str">
        <f>IFERROR(__xludf.DUMMYFUNCTION("GOOGLETRANSLATE(B6088, ""es"", ""en"")"),"It is a very good blanket long blanket heats up fast and is ideal for these days the bed is cold. It is switched off alone at 2 o'clock. It is washable, easily disconnected and can put it to the washer.")</f>
        <v>It is a very good blanket long blanket heats up fast and is ideal for these days the bed is cold. It is switched off alone at 2 o'clock. It is washable, easily disconnected and can put it to the washer.</v>
      </c>
    </row>
    <row r="6089">
      <c r="A6089" s="1">
        <v>5.0</v>
      </c>
      <c r="B6089" s="1" t="s">
        <v>6049</v>
      </c>
      <c r="C6089" t="str">
        <f>IFERROR(__xludf.DUMMYFUNCTION("GOOGLETRANSLATE(B6089, ""es"", ""en"")"),"perfect for the job I buy to work and have date and time at hand. For that price though amply meets the sphere can be scratched easily. To work it is perfect and has a nice design. I would buy without hesitation.")</f>
        <v>perfect for the job I buy to work and have date and time at hand. For that price though amply meets the sphere can be scratched easily. To work it is perfect and has a nice design. I would buy without hesitation.</v>
      </c>
    </row>
    <row r="6090">
      <c r="A6090" s="1">
        <v>5.0</v>
      </c>
      <c r="B6090" s="1" t="s">
        <v>6050</v>
      </c>
      <c r="C6090" t="str">
        <f>IFERROR(__xludf.DUMMYFUNCTION("GOOGLETRANSLATE(B6090, ""es"", ""en"")"),"Original addition to the original fulfills its function perfectly, but personally pereferiría the holes were somewhat smaller. I bought another gift")</f>
        <v>Original addition to the original fulfills its function perfectly, but personally pereferiría the holes were somewhat smaller. I bought another gift</v>
      </c>
    </row>
    <row r="6091">
      <c r="A6091" s="1">
        <v>5.0</v>
      </c>
      <c r="B6091" s="1" t="s">
        <v>6051</v>
      </c>
      <c r="C6091" t="str">
        <f>IFERROR(__xludf.DUMMYFUNCTION("GOOGLETRANSLATE(B6091, ""es"", ""en"")"),"CHULOS Earrings are very cute and are very well positioned. LO RECOMIENDO both girls and old. ALL RIGHT.")</f>
        <v>CHULOS Earrings are very cute and are very well positioned. LO RECOMIENDO both girls and old. ALL RIGHT.</v>
      </c>
    </row>
    <row r="6092">
      <c r="A6092" s="1">
        <v>5.0</v>
      </c>
      <c r="B6092" s="1" t="s">
        <v>6052</v>
      </c>
      <c r="C6092" t="str">
        <f>IFERROR(__xludf.DUMMYFUNCTION("GOOGLETRANSLATE(B6092, ""es"", ""en"")"),"100% recommended are great, I had the JBL-E50BT, higher and more expensive and I lasted two months, a headset stopped working and headband broke where it opens and closes without taking blow or ill-treatment. Use these economic to the gym and I'm delighte"&amp;"d. The battery is infinite, sound more than acceptable and perfect fit. I recommend it.")</f>
        <v>100% recommended are great, I had the JBL-E50BT, higher and more expensive and I lasted two months, a headset stopped working and headband broke where it opens and closes without taking blow or ill-treatment. Use these economic to the gym and I'm delighted. The battery is infinite, sound more than acceptable and perfect fit. I recommend it.</v>
      </c>
    </row>
    <row r="6093">
      <c r="A6093" s="1">
        <v>5.0</v>
      </c>
      <c r="B6093" s="1" t="s">
        <v>6053</v>
      </c>
      <c r="C6093" t="str">
        <f>IFERROR(__xludf.DUMMYFUNCTION("GOOGLETRANSLATE(B6093, ""es"", ""en"")"),"Right. Basic jogging pants for everyday at a very correct price, TISSUE, we must take care because it is easily hooked.")</f>
        <v>Right. Basic jogging pants for everyday at a very correct price, TISSUE, we must take care because it is easily hooked.</v>
      </c>
    </row>
    <row r="6094">
      <c r="A6094" s="1">
        <v>5.0</v>
      </c>
      <c r="B6094" s="1" t="s">
        <v>6054</v>
      </c>
      <c r="C6094" t="str">
        <f>IFERROR(__xludf.DUMMYFUNCTION("GOOGLETRANSLATE(B6094, ""es"", ""en"")"),"I am using it daily not notice you're wearing it. It has fulfilled my expectations. And delivery problems, arrived on schedule.")</f>
        <v>I am using it daily not notice you're wearing it. It has fulfilled my expectations. And delivery problems, arrived on schedule.</v>
      </c>
    </row>
    <row r="6095">
      <c r="A6095" s="1">
        <v>5.0</v>
      </c>
      <c r="B6095" s="1" t="s">
        <v>6055</v>
      </c>
      <c r="C6095" t="str">
        <f>IFERROR(__xludf.DUMMYFUNCTION("GOOGLETRANSLATE(B6095, ""es"", ""en"")"),"Good finish and quality I really liked the adjustable Ventosa system and finish the product, I recommend M")</f>
        <v>Good finish and quality I really liked the adjustable Ventosa system and finish the product, I recommend M</v>
      </c>
    </row>
    <row r="6096">
      <c r="A6096" s="1">
        <v>5.0</v>
      </c>
      <c r="B6096" s="1" t="s">
        <v>6056</v>
      </c>
      <c r="C6096" t="str">
        <f>IFERROR(__xludf.DUMMYFUNCTION("GOOGLETRANSLATE(B6096, ""es"", ""en"")"),"The use perhaps too have to accept that I love these shoes, the fabric is super comfortable and weigh nothing. Very easy to clean and perfect for day to day.")</f>
        <v>The use perhaps too have to accept that I love these shoes, the fabric is super comfortable and weigh nothing. Very easy to clean and perfect for day to day.</v>
      </c>
    </row>
    <row r="6097">
      <c r="A6097" s="1">
        <v>2.0</v>
      </c>
      <c r="B6097" s="1" t="s">
        <v>6057</v>
      </c>
      <c r="C6097" t="str">
        <f>IFERROR(__xludf.DUMMYFUNCTION("GOOGLETRANSLATE(B6097, ""es"", ""en"")"),"Not a good massager. I thought it was more comfortable to use. That's not what I expected. Not a good massage. I've regretted buying it.")</f>
        <v>Not a good massager. I thought it was more comfortable to use. That's not what I expected. Not a good massage. I've regretted buying it.</v>
      </c>
    </row>
    <row r="6098">
      <c r="A6098" s="1">
        <v>3.0</v>
      </c>
      <c r="B6098" s="1" t="s">
        <v>6058</v>
      </c>
      <c r="C6098" t="str">
        <f>IFERROR(__xludf.DUMMYFUNCTION("GOOGLETRANSLATE(B6098, ""es"", ""en"")"),"Very light blue is blue very gaudy. I thought it was darker. La.foto did not appear in the tone of the belt. Otherwise well")</f>
        <v>Very light blue is blue very gaudy. I thought it was darker. La.foto did not appear in the tone of the belt. Otherwise well</v>
      </c>
    </row>
    <row r="6099">
      <c r="A6099" s="1">
        <v>3.0</v>
      </c>
      <c r="B6099" s="1" t="s">
        <v>6059</v>
      </c>
      <c r="C6099" t="str">
        <f>IFERROR(__xludf.DUMMYFUNCTION("GOOGLETRANSLATE(B6099, ""es"", ""en"")"),"Very nice and comfortable I caught the usual size I use in sport it is L and is a little big. I think with the median me would have sufficed, so take one size smaller than you have in mind.")</f>
        <v>Very nice and comfortable I caught the usual size I use in sport it is L and is a little big. I think with the median me would have sufficed, so take one size smaller than you have in mind.</v>
      </c>
    </row>
    <row r="6100">
      <c r="A6100" s="1">
        <v>3.0</v>
      </c>
      <c r="B6100" s="1" t="s">
        <v>6060</v>
      </c>
      <c r="C6100" t="str">
        <f>IFERROR(__xludf.DUMMYFUNCTION("GOOGLETRANSLATE(B6100, ""es"", ""en"")"),"Manchan smell good but stain a lot.")</f>
        <v>Manchan smell good but stain a lot.</v>
      </c>
    </row>
    <row r="6101">
      <c r="A6101" s="1">
        <v>1.0</v>
      </c>
      <c r="B6101" s="1" t="s">
        <v>6061</v>
      </c>
      <c r="C6101" t="str">
        <f>IFERROR(__xludf.DUMMYFUNCTION("GOOGLETRANSLATE(B6101, ""es"", ""en"")"),"Mala has not liked anything, although it seems to have plenty of food pouring power stays in the space under the blades uncrushed. Does not have the power I expected, when I put stale bread to make breadcrumbs seems to be completely saturated ... I do not"&amp;" dare to use it with ice.")</f>
        <v>Mala has not liked anything, although it seems to have plenty of food pouring power stays in the space under the blades uncrushed. Does not have the power I expected, when I put stale bread to make breadcrumbs seems to be completely saturated ... I do not dare to use it with ice.</v>
      </c>
    </row>
    <row r="6102">
      <c r="A6102" s="1">
        <v>1.0</v>
      </c>
      <c r="B6102" s="1" t="s">
        <v>6062</v>
      </c>
      <c r="C6102" t="str">
        <f>IFERROR(__xludf.DUMMYFUNCTION("GOOGLETRANSLATE(B6102, ""es"", ""en"")"),"Is a broken too soon already broken lasted me a year, because I asked another of the mark and me hard 4y.o. or more malisima bad out")</f>
        <v>Is a broken too soon already broken lasted me a year, because I asked another of the mark and me hard 4y.o. or more malisima bad out</v>
      </c>
    </row>
    <row r="6103">
      <c r="A6103" s="1">
        <v>4.0</v>
      </c>
      <c r="B6103" s="1" t="s">
        <v>6063</v>
      </c>
      <c r="C6103" t="str">
        <f>IFERROR(__xludf.DUMMYFUNCTION("GOOGLETRANSLATE(B6103, ""es"", ""en"")"),"Good product With plenty of useful pockets This product arrived a few days after delivery a bit slow ... but the product is satisfactory With Several useful pockets")</f>
        <v>Good product With plenty of useful pockets This product arrived a few days after delivery a bit slow ... but the product is satisfactory With Several useful pockets</v>
      </c>
    </row>
    <row r="6104">
      <c r="A6104" s="1">
        <v>4.0</v>
      </c>
      <c r="B6104" s="1" t="s">
        <v>6064</v>
      </c>
      <c r="C6104" t="str">
        <f>IFERROR(__xludf.DUMMYFUNCTION("GOOGLETRANSLATE(B6104, ""es"", ""en"")"),"It serves the first model Ambit well. Serves for Ambit (first model) q is mine. It comes with screws. And a small boat sealant Loctite.")</f>
        <v>It serves the first model Ambit well. Serves for Ambit (first model) q is mine. It comes with screws. And a small boat sealant Loctite.</v>
      </c>
    </row>
    <row r="6105">
      <c r="A6105" s="1">
        <v>4.0</v>
      </c>
      <c r="B6105" s="1" t="s">
        <v>6065</v>
      </c>
      <c r="C6105" t="str">
        <f>IFERROR(__xludf.DUMMYFUNCTION("GOOGLETRANSLATE(B6105, ""es"", ""en"")"),"Good Value Tested twice, and in principle well. Good power, and quality of materials lis")</f>
        <v>Good Value Tested twice, and in principle well. Good power, and quality of materials lis</v>
      </c>
    </row>
    <row r="6106">
      <c r="A6106" s="1">
        <v>4.0</v>
      </c>
      <c r="B6106" s="1" t="s">
        <v>6066</v>
      </c>
      <c r="C6106" t="str">
        <f>IFERROR(__xludf.DUMMYFUNCTION("GOOGLETRANSLATE(B6106, ""es"", ""en"")"),"Not very fast but is ideal for key chain. Memory is not fast (3-4 MBps write). Once you have that clear, which is worth herein is the metal body lets you carry on your keychain without fear of being broken. I have another equal about 6 months and saved fo"&amp;"ur scratches touch with the keys still like the first day. To bring these documents always have to carry is perfect. Large files to copy movies and other type do not recommend it unless you armes patience.")</f>
        <v>Not very fast but is ideal for key chain. Memory is not fast (3-4 MBps write). Once you have that clear, which is worth herein is the metal body lets you carry on your keychain without fear of being broken. I have another equal about 6 months and saved four scratches touch with the keys still like the first day. To bring these documents always have to carry is perfect. Large files to copy movies and other type do not recommend it unless you armes patience.</v>
      </c>
    </row>
    <row r="6107">
      <c r="A6107" s="1">
        <v>4.0</v>
      </c>
      <c r="B6107" s="1" t="s">
        <v>6067</v>
      </c>
      <c r="C6107" t="str">
        <f>IFERROR(__xludf.DUMMYFUNCTION("GOOGLETRANSLATE(B6107, ""es"", ""en"")"),"Unexplained sizing mismatch is not come small, is coming several sizes below expectations Otherwise, design and good quality, soft skin feel and look better. Comfort, after changing the sizes, of course, the best.")</f>
        <v>Unexplained sizing mismatch is not come small, is coming several sizes below expectations Otherwise, design and good quality, soft skin feel and look better. Comfort, after changing the sizes, of course, the best.</v>
      </c>
    </row>
    <row r="6108">
      <c r="A6108" s="1">
        <v>5.0</v>
      </c>
      <c r="B6108" s="1" t="s">
        <v>6068</v>
      </c>
      <c r="C6108" t="str">
        <f>IFERROR(__xludf.DUMMYFUNCTION("GOOGLETRANSLATE(B6108, ""es"", ""en"")"),"You perfect, and something pretty hard the first few days, then very comfortable. gore tex to being no need fat. in rain I did not try but panama jack in does not disappoint. They are pretty hot, but I thought it would be more. I have a buy in decatlon sn"&amp;"ow for 50 euros and are hotter. but it is a perfect boot to wear. purchase round and the English court are 189 euros")</f>
        <v>You perfect, and something pretty hard the first few days, then very comfortable. gore tex to being no need fat. in rain I did not try but panama jack in does not disappoint. They are pretty hot, but I thought it would be more. I have a buy in decatlon snow for 50 euros and are hotter. but it is a perfect boot to wear. purchase round and the English court are 189 euros</v>
      </c>
    </row>
    <row r="6109">
      <c r="A6109" s="1">
        <v>5.0</v>
      </c>
      <c r="B6109" s="1" t="s">
        <v>6069</v>
      </c>
      <c r="C6109" t="str">
        <f>IFERROR(__xludf.DUMMYFUNCTION("GOOGLETRANSLATE(B6109, ""es"", ""en"")"),"Angel Luis Original product as is in the photos has come in its original box all right and fits perfectly adidas")</f>
        <v>Angel Luis Original product as is in the photos has come in its original box all right and fits perfectly adidas</v>
      </c>
    </row>
    <row r="6110">
      <c r="A6110" s="1">
        <v>5.0</v>
      </c>
      <c r="B6110" s="1" t="s">
        <v>6070</v>
      </c>
      <c r="C6110" t="str">
        <f>IFERROR(__xludf.DUMMYFUNCTION("GOOGLETRANSLATE(B6110, ""es"", ""en"")"),"very happy!!! I am very happy with the watch, my girlfriend gave it to me and is of very good quality. I use it every day at work and get bumps and scrapes with the wall and still has not a single mark, the time is automatically updated on the 03: 00h and"&amp;" it's amazing always takes the exactamemte time as the phone that is updated by Internet. Strongly recommended!")</f>
        <v>very happy!!! I am very happy with the watch, my girlfriend gave it to me and is of very good quality. I use it every day at work and get bumps and scrapes with the wall and still has not a single mark, the time is automatically updated on the 03: 00h and it's amazing always takes the exactamemte time as the phone that is updated by Internet. Strongly recommended!</v>
      </c>
    </row>
    <row r="6111">
      <c r="A6111" s="1">
        <v>5.0</v>
      </c>
      <c r="B6111" s="1" t="s">
        <v>6071</v>
      </c>
      <c r="C6111" t="str">
        <f>IFERROR(__xludf.DUMMYFUNCTION("GOOGLETRANSLATE(B6111, ""es"", ""en"")"),"Works perfectly works perfectly, a bit pricey")</f>
        <v>Works perfectly works perfectly, a bit pricey</v>
      </c>
    </row>
    <row r="6112">
      <c r="A6112" s="1">
        <v>5.0</v>
      </c>
      <c r="B6112" s="1" t="s">
        <v>6072</v>
      </c>
      <c r="C6112" t="str">
        <f>IFERROR(__xludf.DUMMYFUNCTION("GOOGLETRANSLATE(B6112, ""es"", ""en"")"),"Quality ink Ink is the usual, Pelikan products are always good. A bottle for two fillings served pad and duration is long. Superfast delivery in one day.")</f>
        <v>Quality ink Ink is the usual, Pelikan products are always good. A bottle for two fillings served pad and duration is long. Superfast delivery in one day.</v>
      </c>
    </row>
    <row r="6113">
      <c r="A6113" s="1">
        <v>5.0</v>
      </c>
      <c r="B6113" s="1" t="s">
        <v>6073</v>
      </c>
      <c r="C6113" t="str">
        <f>IFERROR(__xludf.DUMMYFUNCTION("GOOGLETRANSLATE(B6113, ""es"", ""en"")"),"QUALITY PRICE Excellent product, perfect finishes and very good price")</f>
        <v>QUALITY PRICE Excellent product, perfect finishes and very good price</v>
      </c>
    </row>
    <row r="6114">
      <c r="A6114" s="1">
        <v>5.0</v>
      </c>
      <c r="B6114" s="1" t="s">
        <v>6074</v>
      </c>
      <c r="C6114" t="str">
        <f>IFERROR(__xludf.DUMMYFUNCTION("GOOGLETRANSLATE(B6114, ""es"", ""en"")"),"Meets meets advertised advertised, in terms of size, color and delivery of the product.")</f>
        <v>Meets meets advertised advertised, in terms of size, color and delivery of the product.</v>
      </c>
    </row>
    <row r="6115">
      <c r="A6115" s="1">
        <v>5.0</v>
      </c>
      <c r="B6115" s="1" t="s">
        <v>6075</v>
      </c>
      <c r="C6115" t="str">
        <f>IFERROR(__xludf.DUMMYFUNCTION("GOOGLETRANSLATE(B6115, ""es"", ""en"")"),"Nice and simple. It was for a gift and comes wrapped with typical box and gift bag Tous. Very pretty.")</f>
        <v>Nice and simple. It was for a gift and comes wrapped with typical box and gift bag Tous. Very pretty.</v>
      </c>
    </row>
    <row r="6116">
      <c r="A6116" s="1">
        <v>5.0</v>
      </c>
      <c r="B6116" s="1" t="s">
        <v>6076</v>
      </c>
      <c r="C6116" t="str">
        <f>IFERROR(__xludf.DUMMYFUNCTION("GOOGLETRANSLATE(B6116, ""es"", ""en"")"),"Maintains Perfect heat perfectly. This model is thick but very comfortable. I use it engaged in a waterproof jacket and joins as if they were one. Order one size smaller")</f>
        <v>Maintains Perfect heat perfectly. This model is thick but very comfortable. I use it engaged in a waterproof jacket and joins as if they were one. Order one size smaller</v>
      </c>
    </row>
    <row r="6117">
      <c r="A6117" s="1">
        <v>5.0</v>
      </c>
      <c r="B6117" s="1" t="s">
        <v>6077</v>
      </c>
      <c r="C6117" t="str">
        <f>IFERROR(__xludf.DUMMYFUNCTION("GOOGLETRANSLATE(B6117, ""es"", ""en"")"),"Very good quality products, fast arrival home.")</f>
        <v>Very good quality products, fast arrival home.</v>
      </c>
    </row>
    <row r="6118">
      <c r="A6118" s="1">
        <v>5.0</v>
      </c>
      <c r="B6118" s="1" t="s">
        <v>6078</v>
      </c>
      <c r="C6118" t="str">
        <f>IFERROR(__xludf.DUMMYFUNCTION("GOOGLETRANSLATE(B6118, ""es"", ""en"")"),"It is cheap is cool and I use them for walks and little else. Do not use for sports. But they are comfortable and cheap.")</f>
        <v>It is cheap is cool and I use them for walks and little else. Do not use for sports. But they are comfortable and cheap.</v>
      </c>
    </row>
    <row r="6119">
      <c r="A6119" s="1">
        <v>5.0</v>
      </c>
      <c r="B6119" s="1" t="s">
        <v>6079</v>
      </c>
      <c r="C6119" t="str">
        <f>IFERROR(__xludf.DUMMYFUNCTION("GOOGLETRANSLATE(B6119, ""es"", ""en"")"),"My son well have stopped liking")</f>
        <v>My son well have stopped liking</v>
      </c>
    </row>
    <row r="6120">
      <c r="A6120" s="1">
        <v>5.0</v>
      </c>
      <c r="B6120" s="1" t="s">
        <v>6080</v>
      </c>
      <c r="C6120" t="str">
        <f>IFERROR(__xludf.DUMMYFUNCTION("GOOGLETRANSLATE(B6120, ""es"", ""en"")"),"My watch What I expected taste")</f>
        <v>My watch What I expected taste</v>
      </c>
    </row>
    <row r="6121">
      <c r="A6121" s="1">
        <v>5.0</v>
      </c>
      <c r="B6121" s="1" t="s">
        <v>6081</v>
      </c>
      <c r="C6121" t="str">
        <f>IFERROR(__xludf.DUMMYFUNCTION("GOOGLETRANSLATE(B6121, ""es"", ""en"")"),"What I was looking for. quality looks good and has plenty of room. I liked it a lot")</f>
        <v>What I was looking for. quality looks good and has plenty of room. I liked it a lot</v>
      </c>
    </row>
    <row r="6122">
      <c r="A6122" s="1">
        <v>5.0</v>
      </c>
      <c r="B6122" s="1" t="s">
        <v>6082</v>
      </c>
      <c r="C6122" t="str">
        <f>IFERROR(__xludf.DUMMYFUNCTION("GOOGLETRANSLATE(B6122, ""es"", ""en"")"),"fast shipping lovely comfortable option")</f>
        <v>fast shipping lovely comfortable option</v>
      </c>
    </row>
    <row r="6123">
      <c r="A6123" s="1">
        <v>5.0</v>
      </c>
      <c r="B6123" s="1" t="s">
        <v>6083</v>
      </c>
      <c r="C6123" t="str">
        <f>IFERROR(__xludf.DUMMYFUNCTION("GOOGLETRANSLATE(B6123, ""es"", ""en"")"),"After buying a good time to use them well and still continue to cut tight. Comfortable to use. We use them in the kitchen and wash them in the dishwasher. I recommend them.")</f>
        <v>After buying a good time to use them well and still continue to cut tight. Comfortable to use. We use them in the kitchen and wash them in the dishwasher. I recommend them.</v>
      </c>
    </row>
    <row r="6124">
      <c r="A6124" s="1">
        <v>5.0</v>
      </c>
      <c r="B6124" s="1" t="s">
        <v>6084</v>
      </c>
      <c r="C6124" t="str">
        <f>IFERROR(__xludf.DUMMYFUNCTION("GOOGLETRANSLATE(B6124, ""es"", ""en"")"),"Fulfills its function. They are cheap and their quality is not bad. Fulfills its function. They are cheap and their quality is not bad. A good solution.")</f>
        <v>Fulfills its function. They are cheap and their quality is not bad. Fulfills its function. They are cheap and their quality is not bad. A good solution.</v>
      </c>
    </row>
    <row r="6125">
      <c r="A6125" s="1">
        <v>5.0</v>
      </c>
      <c r="B6125" s="1" t="s">
        <v>6085</v>
      </c>
      <c r="C6125" t="str">
        <f>IFERROR(__xludf.DUMMYFUNCTION("GOOGLETRANSLATE(B6125, ""es"", ""en"")"),"Very useful Simple, useful, efficient ordering earrings. I have solved the problem of tangles! A good gift for girls!")</f>
        <v>Very useful Simple, useful, efficient ordering earrings. I have solved the problem of tangles! A good gift for girls!</v>
      </c>
    </row>
    <row r="6126">
      <c r="A6126" s="1">
        <v>5.0</v>
      </c>
      <c r="B6126" s="1" t="s">
        <v>6086</v>
      </c>
      <c r="C6126" t="str">
        <f>IFERROR(__xludf.DUMMYFUNCTION("GOOGLETRANSLATE(B6126, ""es"", ""en"")"),"The most comfortable slippers Vans (for me) I have other models Vans (Old Skool, Era and a special edition) and these are by far the most comfortable I've had brand (formerly had another model with white soles). Fully recommended!")</f>
        <v>The most comfortable slippers Vans (for me) I have other models Vans (Old Skool, Era and a special edition) and these are by far the most comfortable I've had brand (formerly had another model with white soles). Fully recommended!</v>
      </c>
    </row>
    <row r="6127">
      <c r="A6127" s="1">
        <v>2.0</v>
      </c>
      <c r="B6127" s="1" t="s">
        <v>6087</v>
      </c>
      <c r="C6127" t="str">
        <f>IFERROR(__xludf.DUMMYFUNCTION("GOOGLETRANSLATE(B6127, ""es"", ""en"")"),"The pants knit pants is very warm, and the quality is good, but in a week of use, desi and begins to shrink the length of the leg, so is fishing, and very bloomers ... no, I had never happened to me, it is not it should be. That's my opinion of the produc"&amp;"t. (I would not buy, really)")</f>
        <v>The pants knit pants is very warm, and the quality is good, but in a week of use, desi and begins to shrink the length of the leg, so is fishing, and very bloomers ... no, I had never happened to me, it is not it should be. That's my opinion of the product. (I would not buy, really)</v>
      </c>
    </row>
    <row r="6128">
      <c r="A6128" s="1">
        <v>3.0</v>
      </c>
      <c r="B6128" s="1" t="s">
        <v>6088</v>
      </c>
      <c r="C6128" t="str">
        <f>IFERROR(__xludf.DUMMYFUNCTION("GOOGLETRANSLATE(B6128, ""es"", ""en"")"),"Nice big different is in the photo looks smaller but my husband liked it although this used to wearing smaller.")</f>
        <v>Nice big different is in the photo looks smaller but my husband liked it although this used to wearing smaller.</v>
      </c>
    </row>
    <row r="6129">
      <c r="A6129" s="1">
        <v>3.0</v>
      </c>
      <c r="B6129" s="1" t="s">
        <v>6089</v>
      </c>
      <c r="C6129" t="str">
        <f>IFERROR(__xludf.DUMMYFUNCTION("GOOGLETRANSLATE(B6129, ""es"", ""en"")"),"Teat plugs not for slow Medela As regards the logistics of the order: perfect. Regarding the product, as are boats Medela that could be worth of bottles, the caps should be compatible with the teat slow flow because they are not and does not give you an o"&amp;"ption to use with anything but calm nipple or breast pump .")</f>
        <v>Teat plugs not for slow Medela As regards the logistics of the order: perfect. Regarding the product, as are boats Medela that could be worth of bottles, the caps should be compatible with the teat slow flow because they are not and does not give you an option to use with anything but calm nipple or breast pump .</v>
      </c>
    </row>
    <row r="6130">
      <c r="A6130" s="1">
        <v>1.0</v>
      </c>
      <c r="B6130" s="1" t="s">
        <v>6090</v>
      </c>
      <c r="C6130" t="str">
        <f>IFERROR(__xludf.DUMMYFUNCTION("GOOGLETRANSLATE(B6130, ""es"", ""en"")"),"K is bigger than I expected, well edta removing the problem of marring finished zipper that a shame")</f>
        <v>K is bigger than I expected, well edta removing the problem of marring finished zipper that a shame</v>
      </c>
    </row>
    <row r="6131">
      <c r="A6131" s="1">
        <v>1.0</v>
      </c>
      <c r="B6131" s="1" t="s">
        <v>6091</v>
      </c>
      <c r="C6131" t="str">
        <f>IFERROR(__xludf.DUMMYFUNCTION("GOOGLETRANSLATE(B6131, ""es"", ""en"")"),"Trash nothing but try to set the time jumped a button, the other (buy two) there was no way to set the time")</f>
        <v>Trash nothing but try to set the time jumped a button, the other (buy two) there was no way to set the time</v>
      </c>
    </row>
    <row r="6132">
      <c r="A6132" s="1">
        <v>4.0</v>
      </c>
      <c r="B6132" s="1" t="s">
        <v>6092</v>
      </c>
      <c r="C6132" t="str">
        <f>IFERROR(__xludf.DUMMYFUNCTION("GOOGLETRANSLATE(B6132, ""es"", ""en"")"),"Light, nice finish, good screen and a lot of autonomy The first thing I would say is if you are looking for a watch with many functions smartphone, this is not your watch, but that is precisely what I was looking for: not having a phone in his pocket and "&amp;"another on the wrist. He is looking for a watch that could be used to record physical activity with a GPS fast and reliable heart rate monitor, and it could also lead daily to receive notifications, counting steps, set alarms and little else, all without "&amp;"changing clock or carry one with very sporty look. BEST: - It is very light and comfortable to wear, do not bother even to sleep - Good construction - Battery, very good range, for example with continuous measurement of cardiac rhythm 24h and 3 outputs 30"&amp;"-35 mins with GPS enabled me it lasted about a week. This guarantees me to go hiking and do not run out of battery or out weekend without thinking recharging before the end of the day. - The screen looks great - Belts interchangeable 22mm: The you see on "&amp;"a photo is an Archer black silicone - Register variety of physical activities - Submersible really can not say as recorded strokes, have not tried it - reliable heart rate monitor, I have compared to OMROM meter arm and gives more or less the same - Inclu"&amp;"des data from atmospheric pressure, compass and altimeter Downsides: - very basic Notifications. - A variety of watchfaces, plus it can not add more or replace carrying other - The App Huawei where the activity is recorded is complete but can not synchron"&amp;"ize with Strava, Endomondo or Garmin, with only App Google Fit - A little more RAM capacity to store audio that could be played via headphones BT, if Spotify much better")</f>
        <v>Light, nice finish, good screen and a lot of autonomy The first thing I would say is if you are looking for a watch with many functions smartphone, this is not your watch, but that is precisely what I was looking for: not having a phone in his pocket and another on the wrist. He is looking for a watch that could be used to record physical activity with a GPS fast and reliable heart rate monitor, and it could also lead daily to receive notifications, counting steps, set alarms and little else, all without changing clock or carry one with very sporty look. BEST: - It is very light and comfortable to wear, do not bother even to sleep - Good construction - Battery, very good range, for example with continuous measurement of cardiac rhythm 24h and 3 outputs 30-35 mins with GPS enabled me it lasted about a week. This guarantees me to go hiking and do not run out of battery or out weekend without thinking recharging before the end of the day. - The screen looks great - Belts interchangeable 22mm: The you see on a photo is an Archer black silicone - Register variety of physical activities - Submersible really can not say as recorded strokes, have not tried it - reliable heart rate monitor, I have compared to OMROM meter arm and gives more or less the same - Includes data from atmospheric pressure, compass and altimeter Downsides: - very basic Notifications. - A variety of watchfaces, plus it can not add more or replace carrying other - The App Huawei where the activity is recorded is complete but can not synchronize with Strava, Endomondo or Garmin, with only App Google Fit - A little more RAM capacity to store audio that could be played via headphones BT, if Spotify much better</v>
      </c>
    </row>
    <row r="6133">
      <c r="A6133" s="1">
        <v>4.0</v>
      </c>
      <c r="B6133" s="1" t="s">
        <v>6093</v>
      </c>
      <c r="C6133" t="str">
        <f>IFERROR(__xludf.DUMMYFUNCTION("GOOGLETRANSLATE(B6133, ""es"", ""en"")"),"Calentito Almost the whole satisfied with the product. Easy to handle, it has two shots and does not have the cover that I always end up losing. Perfect when you use the Samsung computer, however in the Mac becomes very hot. The first time I used it scare"&amp;"d me when I touched it. Then it's a matter of getting used to the temperature gets to take. I not think it's cause for alarm, but I'll leave.")</f>
        <v>Calentito Almost the whole satisfied with the product. Easy to handle, it has two shots and does not have the cover that I always end up losing. Perfect when you use the Samsung computer, however in the Mac becomes very hot. The first time I used it scared me when I touched it. Then it's a matter of getting used to the temperature gets to take. I not think it's cause for alarm, but I'll leave.</v>
      </c>
    </row>
    <row r="6134">
      <c r="A6134" s="1">
        <v>4.0</v>
      </c>
      <c r="B6134" s="1" t="s">
        <v>6094</v>
      </c>
      <c r="C6134" t="str">
        <f>IFERROR(__xludf.DUMMYFUNCTION("GOOGLETRANSLATE(B6134, ""es"", ""en"")"),"Perfect Perfect Va, has Spanish language. I have heard perfectly connected to the phone and the car and has not given me any problems. If I have to put some but it's just that when I have set up a phone com I have to put another q delete the first. not le"&amp;"t me configure multiple devices simultaneously.")</f>
        <v>Perfect Perfect Va, has Spanish language. I have heard perfectly connected to the phone and the car and has not given me any problems. If I have to put some but it's just that when I have set up a phone com I have to put another q delete the first. not let me configure multiple devices simultaneously.</v>
      </c>
    </row>
    <row r="6135">
      <c r="A6135" s="1">
        <v>4.0</v>
      </c>
      <c r="B6135" s="1" t="s">
        <v>6095</v>
      </c>
      <c r="C6135" t="str">
        <f>IFERROR(__xludf.DUMMYFUNCTION("GOOGLETRANSLATE(B6135, ""es"", ""en"")"),"Good buy if you are looking for a watch of all eighty perfect, all that is not resistant to water, not even a splash. Otherwise, excellent revival of the 80s.")</f>
        <v>Good buy if you are looking for a watch of all eighty perfect, all that is not resistant to water, not even a splash. Otherwise, excellent revival of the 80s.</v>
      </c>
    </row>
    <row r="6136">
      <c r="A6136" s="1">
        <v>5.0</v>
      </c>
      <c r="B6136" s="1" t="s">
        <v>6096</v>
      </c>
      <c r="C6136" t="str">
        <f>IFERROR(__xludf.DUMMYFUNCTION("GOOGLETRANSLATE(B6136, ""es"", ""en"")"),"I received very useful product within the time limits. It works perfectly, the truth that thought he was going to listen worse when you buy")</f>
        <v>I received very useful product within the time limits. It works perfectly, the truth that thought he was going to listen worse when you buy</v>
      </c>
    </row>
    <row r="6137">
      <c r="A6137" s="1">
        <v>5.0</v>
      </c>
      <c r="B6137" s="1" t="s">
        <v>6097</v>
      </c>
      <c r="C6137" t="str">
        <f>IFERROR(__xludf.DUMMYFUNCTION("GOOGLETRANSLATE(B6137, ""es"", ""en"")"),"It was wise for a gift and loved it.")</f>
        <v>It was wise for a gift and loved it.</v>
      </c>
    </row>
    <row r="6138">
      <c r="A6138" s="1">
        <v>5.0</v>
      </c>
      <c r="B6138" s="1" t="s">
        <v>6098</v>
      </c>
      <c r="C6138" t="str">
        <f>IFERROR(__xludf.DUMMYFUNCTION("GOOGLETRANSLATE(B6138, ""es"", ""en"")"),"They are very comfortable. Using asked me 44 46 PERFECT DESIGN RED AND BLACK. I use it only for the treadmill and are very comfortable, while others buy me identical to the street.")</f>
        <v>They are very comfortable. Using asked me 44 46 PERFECT DESIGN RED AND BLACK. I use it only for the treadmill and are very comfortable, while others buy me identical to the street.</v>
      </c>
    </row>
    <row r="6139">
      <c r="A6139" s="1">
        <v>5.0</v>
      </c>
      <c r="B6139" s="1" t="s">
        <v>6099</v>
      </c>
      <c r="C6139" t="str">
        <f>IFERROR(__xludf.DUMMYFUNCTION("GOOGLETRANSLATE(B6139, ""es"", ""en"")"),"👍 very comfortable")</f>
        <v>👍 very comfortable</v>
      </c>
    </row>
    <row r="6140">
      <c r="A6140" s="1">
        <v>5.0</v>
      </c>
      <c r="B6140" s="1" t="s">
        <v>6100</v>
      </c>
      <c r="C6140" t="str">
        <f>IFERROR(__xludf.DUMMYFUNCTION("GOOGLETRANSLATE(B6140, ""es"", ""en"")"),"Very efficient a great idea, a great idea for lime and other things not accumulate in that difficult area to clean.")</f>
        <v>Very efficient a great idea, a great idea for lime and other things not accumulate in that difficult area to clean.</v>
      </c>
    </row>
    <row r="6141">
      <c r="A6141" s="1">
        <v>5.0</v>
      </c>
      <c r="B6141" s="1" t="s">
        <v>6101</v>
      </c>
      <c r="C6141" t="str">
        <f>IFERROR(__xludf.DUMMYFUNCTION("GOOGLETRANSLATE(B6141, ""es"", ""en"")"),"Very good quality. All perfect. Thank you")</f>
        <v>Very good quality. All perfect. Thank you</v>
      </c>
    </row>
    <row r="6142">
      <c r="A6142" s="1">
        <v>5.0</v>
      </c>
      <c r="B6142" s="1" t="s">
        <v>6102</v>
      </c>
      <c r="C6142" t="str">
        <f>IFERROR(__xludf.DUMMYFUNCTION("GOOGLETRANSLATE(B6142, ""es"", ""en"")"),"The sound is clear and I tried it sounds good, no noise. The cable is very long so it gives a lot of mobility.")</f>
        <v>The sound is clear and I tried it sounds good, no noise. The cable is very long so it gives a lot of mobility.</v>
      </c>
    </row>
    <row r="6143">
      <c r="A6143" s="1">
        <v>5.0</v>
      </c>
      <c r="B6143" s="1" t="s">
        <v>6103</v>
      </c>
      <c r="C6143" t="str">
        <f>IFERROR(__xludf.DUMMYFUNCTION("GOOGLETRANSLATE(B6143, ""es"", ""en"")"),"And work perfectly good sound quality Bluetooth headset, work perfectly. Packaging and denotes that it is good product is achieved. Composed of the pair of headphones, its base / charging station, the connection via USB cable and instruction manual in sev"&amp;"eral languages ​​(including the language ""Spanish"", a detail to consider). Regarding operation, they are very easy to match with very intuitive mobile phone (or tablet). A connected time, very easy to use (orders basic On / Off Hook, track forward / bac"&amp;"kward with one or two clicks. A success that can wean 2 headphones, can use one, the other or both. They sound very, very well and the battery life has surprised me, the part that is inserted into the ear is similar to Apple. Perfect for use on the move, "&amp;"at home and in the office always wear wearing one at least, if you call descuelgas with one touch and go, without removing the phone from his pocket. 100% recommended, great value.")</f>
        <v>And work perfectly good sound quality Bluetooth headset, work perfectly. Packaging and denotes that it is good product is achieved. Composed of the pair of headphones, its base / charging station, the connection via USB cable and instruction manual in several languages ​​(including the language "Spanish", a detail to consider). Regarding operation, they are very easy to match with very intuitive mobile phone (or tablet). A connected time, very easy to use (orders basic On / Off Hook, track forward / backward with one or two clicks. A success that can wean 2 headphones, can use one, the other or both. They sound very, very well and the battery life has surprised me, the part that is inserted into the ear is similar to Apple. Perfect for use on the move, at home and in the office always wear wearing one at least, if you call descuelgas with one touch and go, without removing the phone from his pocket. 100% recommended, great value.</v>
      </c>
    </row>
    <row r="6144">
      <c r="A6144" s="1">
        <v>5.0</v>
      </c>
      <c r="B6144" s="1" t="s">
        <v>6104</v>
      </c>
      <c r="C6144" t="str">
        <f>IFERROR(__xludf.DUMMYFUNCTION("GOOGLETRANSLATE(B6144, ""es"", ""en"")"),"Blender full is powerful, easy to assemble and looks good quality, has 6 power levels but allows intermediate levels which seems very good choice though the minimum and you beats any food and as above has the turbo mode, it seems complete . On the other h"&amp;"and, the mincer has a single blade but still mince meat and frozen fruit without any problems and very quickly. Something I also like is that the blender have a meter in both ounces and milliliters. Also inlcudes skimmer and a cylinder.")</f>
        <v>Blender full is powerful, easy to assemble and looks good quality, has 6 power levels but allows intermediate levels which seems very good choice though the minimum and you beats any food and as above has the turbo mode, it seems complete . On the other hand, the mincer has a single blade but still mince meat and frozen fruit without any problems and very quickly. Something I also like is that the blender have a meter in both ounces and milliliters. Also inlcudes skimmer and a cylinder.</v>
      </c>
    </row>
    <row r="6145">
      <c r="A6145" s="1">
        <v>5.0</v>
      </c>
      <c r="B6145" s="1" t="s">
        <v>6105</v>
      </c>
      <c r="C6145" t="str">
        <f>IFERROR(__xludf.DUMMYFUNCTION("GOOGLETRANSLATE(B6145, ""es"", ""en"")"),"I love A year ago I bought, I've used it daily, sometimes more than once a day. Is nice, as is the pictures, and small, for one person is great. He was reluctant to buy because before the water warmed in the microwave, but really worth it, heats water in "&amp;"less than 1 minute. It makes noise when it is heating up, like a pressure cooker, but nothing lasts, because it is super fast, although it is also noisy, does not become scandalous.")</f>
        <v>I love A year ago I bought, I've used it daily, sometimes more than once a day. Is nice, as is the pictures, and small, for one person is great. He was reluctant to buy because before the water warmed in the microwave, but really worth it, heats water in less than 1 minute. It makes noise when it is heating up, like a pressure cooker, but nothing lasts, because it is super fast, although it is also noisy, does not become scandalous.</v>
      </c>
    </row>
    <row r="6146">
      <c r="A6146" s="1">
        <v>5.0</v>
      </c>
      <c r="B6146" s="1" t="s">
        <v>6106</v>
      </c>
      <c r="C6146" t="str">
        <f>IFERROR(__xludf.DUMMYFUNCTION("GOOGLETRANSLATE(B6146, ""es"", ""en"")"),"No other change Well, nice, cheap. I'm super happy with helmets, I did not expect at all for this price were so good, I was used to helmets typical gamer but wanted quality audio and take that soured me to change and spend some study and so to connect to "&amp;"my audio interface; ME HAVE ENAMORADA because I hear my voice take off without a headset (which is what he always did to hear my voice) and now I do not need, it is very subtle and natural. And the cable is very long and appreciated (you can stretch much "&amp;"thanks to that spiral). I recommend buying 100%")</f>
        <v>No other change Well, nice, cheap. I'm super happy with helmets, I did not expect at all for this price were so good, I was used to helmets typical gamer but wanted quality audio and take that soured me to change and spend some study and so to connect to my audio interface; ME HAVE ENAMORADA because I hear my voice take off without a headset (which is what he always did to hear my voice) and now I do not need, it is very subtle and natural. And the cable is very long and appreciated (you can stretch much thanks to that spiral). I recommend buying 100%</v>
      </c>
    </row>
    <row r="6147">
      <c r="A6147" s="1">
        <v>5.0</v>
      </c>
      <c r="B6147" s="1" t="s">
        <v>6107</v>
      </c>
      <c r="C6147" t="str">
        <f>IFERROR(__xludf.DUMMYFUNCTION("GOOGLETRANSLATE(B6147, ""es"", ""en"")"),"I bought a big hit for my wife who has a strained back. She works very well, relieves pain and soothes the back, plus the heating effect is an added plus. The automatic timer that takes you comes in handy to know the massage time has been a very successfu"&amp;"l purchase, recommended for pain relief of contractures")</f>
        <v>I bought a big hit for my wife who has a strained back. She works very well, relieves pain and soothes the back, plus the heating effect is an added plus. The automatic timer that takes you comes in handy to know the massage time has been a very successful purchase, recommended for pain relief of contractures</v>
      </c>
    </row>
    <row r="6148">
      <c r="A6148" s="1">
        <v>5.0</v>
      </c>
      <c r="B6148" s="1" t="s">
        <v>6108</v>
      </c>
      <c r="C6148" t="str">
        <f>IFERROR(__xludf.DUMMYFUNCTION("GOOGLETRANSLATE(B6148, ""es"", ""en"")"),"Nice gift has a nice finish and is very well to give away. Size is for woman doll q is not very big but it is elastic and fits smoothly.")</f>
        <v>Nice gift has a nice finish and is very well to give away. Size is for woman doll q is not very big but it is elastic and fits smoothly.</v>
      </c>
    </row>
    <row r="6149">
      <c r="A6149" s="1">
        <v>5.0</v>
      </c>
      <c r="B6149" s="1" t="s">
        <v>6109</v>
      </c>
      <c r="C6149" t="str">
        <f>IFERROR(__xludf.DUMMYFUNCTION("GOOGLETRANSLATE(B6149, ""es"", ""en"")"),"DESIGN IS VERY NICE AND FUNCTIONAL Best of the microphone, as well as the quality of the audio that transmits, is the design, is very nice and the adjustable bracket makes it very functional because it can move 360 ​​degrees in almost any direction. To us"&amp;"e just plug it into the USB computer and follow the instructions in the manual, it is very simple, I took me a minute. The microphone button incorporates volume and quality of the transmitted audio is very good.")</f>
        <v>DESIGN IS VERY NICE AND FUNCTIONAL Best of the microphone, as well as the quality of the audio that transmits, is the design, is very nice and the adjustable bracket makes it very functional because it can move 360 ​​degrees in almost any direction. To use just plug it into the USB computer and follow the instructions in the manual, it is very simple, I took me a minute. The microphone button incorporates volume and quality of the transmitted audio is very good.</v>
      </c>
    </row>
    <row r="6150">
      <c r="A6150" s="1">
        <v>5.0</v>
      </c>
      <c r="B6150" s="1" t="s">
        <v>6110</v>
      </c>
      <c r="C6150" t="str">
        <f>IFERROR(__xludf.DUMMYFUNCTION("GOOGLETRANSLATE(B6150, ""es"", ""en"")"),"suited to the expectation a good sweatpants")</f>
        <v>suited to the expectation a good sweatpants</v>
      </c>
    </row>
    <row r="6151">
      <c r="A6151" s="1">
        <v>5.0</v>
      </c>
      <c r="B6151" s="1" t="s">
        <v>6111</v>
      </c>
      <c r="C6151" t="str">
        <f>IFERROR(__xludf.DUMMYFUNCTION("GOOGLETRANSLATE(B6151, ""es"", ""en"")"),"Happy with the purchase meets its function, option 1 it is the only goes to sleep at 8 o'clock, and the rest heats up very well")</f>
        <v>Happy with the purchase meets its function, option 1 it is the only goes to sleep at 8 o'clock, and the rest heats up very well</v>
      </c>
    </row>
    <row r="6152">
      <c r="A6152" s="1">
        <v>5.0</v>
      </c>
      <c r="B6152" s="1" t="s">
        <v>6112</v>
      </c>
      <c r="C6152" t="str">
        <f>IFERROR(__xludf.DUMMYFUNCTION("GOOGLETRANSLATE(B6152, ""es"", ""en"")"),"A decorative mouse mat mouse pad quite broad. Be a keyboard, mouse and even have space to put glasses, pens or whatever you need. It was exactly what I was looking for. I wanted a monkey mat for the table because it is natural wood and did not want to spo"&amp;"il, but also wanted it to be something to stay single and it was functional. I recommend it. Surely I will buy one more for the other computer")</f>
        <v>A decorative mouse mat mouse pad quite broad. Be a keyboard, mouse and even have space to put glasses, pens or whatever you need. It was exactly what I was looking for. I wanted a monkey mat for the table because it is natural wood and did not want to spoil, but also wanted it to be something to stay single and it was functional. I recommend it. Surely I will buy one more for the other computer</v>
      </c>
    </row>
    <row r="6153">
      <c r="A6153" s="1">
        <v>5.0</v>
      </c>
      <c r="B6153" s="1" t="s">
        <v>6113</v>
      </c>
      <c r="C6153" t="str">
        <f>IFERROR(__xludf.DUMMYFUNCTION("GOOGLETRANSLATE(B6153, ""es"", ""en"")"),"multifunctional blender &lt;div id = ""video-block-R2O8RZY1RLI9KU"" class = ""a-section a-spacing-small a-spacing-top mini video-block""&gt; &lt;/ div&gt; &lt;input type = ""hidden"" name = "" ""value ="" https://images-eu.ssl-images-amazon.com/images/I/A1F14FkeBSS.mp4 "&amp;"""class ="" video-url ""&gt; &lt;input type ="" hidden ""name ="" ""value ="" https://images-eu.ssl-images-amazon.com/images/I/81QGjz3u3QS.png ""class ="" video-slate-img-url ""&gt; &amp; nbsp; I'm addicted to the milkshakes and smoothies and with this multifunctional"&amp;" blender I have lots of possibilities. The first is that it takes up little space because it has a perfect size making it ideal to have it on the marble kitchen. You can use it as a normal blender, such as blender, chop and even grind coffee. 220W blender"&amp;". With great power. I love it because you can make a smothie with mixer and is directly into a vessel that can store in the refrigerator with the cap and drink it later. It comes with the mixing jar, two bottles, lids, a smaller cup for grinding accessory"&amp;" to liquefy. The mixer has two bases blades. Cross for milkshakes and other flat grinding and crushing. It has two speeds to choose from. Very happy with the purchase. - value more than good.")</f>
        <v>multifunctional blender &lt;div id = "video-block-R2O8RZY1RLI9KU" class = "a-section a-spacing-small a-spacing-top mini video-block"&gt; &lt;/ div&gt; &lt;input type = "hidden" name = " "value =" https://images-eu.ssl-images-amazon.com/images/I/A1F14FkeBSS.mp4 "class =" video-url "&gt; &lt;input type =" hidden "name =" "value =" https://images-eu.ssl-images-amazon.com/images/I/81QGjz3u3QS.png "class =" video-slate-img-url "&gt; &amp; nbsp; I'm addicted to the milkshakes and smoothies and with this multifunctional blender I have lots of possibilities. The first is that it takes up little space because it has a perfect size making it ideal to have it on the marble kitchen. You can use it as a normal blender, such as blender, chop and even grind coffee. 220W blender. With great power. I love it because you can make a smothie with mixer and is directly into a vessel that can store in the refrigerator with the cap and drink it later. It comes with the mixing jar, two bottles, lids, a smaller cup for grinding accessory to liquefy. The mixer has two bases blades. Cross for milkshakes and other flat grinding and crushing. It has two speeds to choose from. Very happy with the purchase. - value more than good.</v>
      </c>
    </row>
    <row r="6154">
      <c r="A6154" s="1">
        <v>5.0</v>
      </c>
      <c r="B6154" s="1" t="s">
        <v>6114</v>
      </c>
      <c r="C6154" t="str">
        <f>IFERROR(__xludf.DUMMYFUNCTION("GOOGLETRANSLATE(B6154, ""es"", ""en"")"),"It works perfect! It works perfect!")</f>
        <v>It works perfect! It works perfect!</v>
      </c>
    </row>
    <row r="6155">
      <c r="A6155" s="1">
        <v>2.0</v>
      </c>
      <c r="B6155" s="1" t="s">
        <v>6115</v>
      </c>
      <c r="C6155" t="str">
        <f>IFERROR(__xludf.DUMMYFUNCTION("GOOGLETRANSLATE(B6155, ""es"", ""en"")"),"Manageable right and dusts but should be stressed several times.")</f>
        <v>Manageable right and dusts but should be stressed several times.</v>
      </c>
    </row>
    <row r="6156">
      <c r="A6156" s="1">
        <v>3.0</v>
      </c>
      <c r="B6156" s="1" t="s">
        <v>6116</v>
      </c>
      <c r="C6156" t="str">
        <f>IFERROR(__xludf.DUMMYFUNCTION("GOOGLETRANSLATE(B6156, ""es"", ""en"")"),"Correct price / quality ratio There are of extraordinary quality, but for the price they are recommended (especially for sports)")</f>
        <v>Correct price / quality ratio There are of extraordinary quality, but for the price they are recommended (especially for sports)</v>
      </c>
    </row>
    <row r="6157">
      <c r="A6157" s="1">
        <v>1.0</v>
      </c>
      <c r="B6157" s="1" t="s">
        <v>6117</v>
      </c>
      <c r="C6157" t="str">
        <f>IFERROR(__xludf.DUMMYFUNCTION("GOOGLETRANSLATE(B6157, ""es"", ""en"")"),"DISAPPOINTING comes without adapter to power without remote control. I needed for a great stay and thought this would be fine, but it is very small and has looked to be pretty bad, does not match the picture. I will spend some more money and buy a good on"&amp;"e. Disappointing.")</f>
        <v>DISAPPOINTING comes without adapter to power without remote control. I needed for a great stay and thought this would be fine, but it is very small and has looked to be pretty bad, does not match the picture. I will spend some more money and buy a good one. Disappointing.</v>
      </c>
    </row>
    <row r="6158">
      <c r="A6158" s="1">
        <v>1.0</v>
      </c>
      <c r="B6158" s="1" t="s">
        <v>6118</v>
      </c>
      <c r="C6158" t="str">
        <f>IFERROR(__xludf.DUMMYFUNCTION("GOOGLETRANSLATE(B6158, ""es"", ""en"")"),"Premature wear. We bought this blender 6 months ago, and for three, ltiene the weirdest noise. Gears and go well and have a very premature wear. For the price I expected a little more quality. I do not recommend at all.")</f>
        <v>Premature wear. We bought this blender 6 months ago, and for three, ltiene the weirdest noise. Gears and go well and have a very premature wear. For the price I expected a little more quality. I do not recommend at all.</v>
      </c>
    </row>
    <row r="6159">
      <c r="A6159" s="1">
        <v>4.0</v>
      </c>
      <c r="B6159" s="1" t="s">
        <v>6119</v>
      </c>
      <c r="C6159" t="str">
        <f>IFERROR(__xludf.DUMMYFUNCTION("GOOGLETRANSLATE(B6159, ""es"", ""en"")"),"Numbers larger than typical Casio is a simple digital clock with features typical of Casio, but with slightly larger numbers. I recommend it for value and durability.")</f>
        <v>Numbers larger than typical Casio is a simple digital clock with features typical of Casio, but with slightly larger numbers. I recommend it for value and durability.</v>
      </c>
    </row>
    <row r="6160">
      <c r="A6160" s="1">
        <v>4.0</v>
      </c>
      <c r="B6160" s="1" t="s">
        <v>6120</v>
      </c>
      <c r="C6160" t="str">
        <f>IFERROR(__xludf.DUMMYFUNCTION("GOOGLETRANSLATE(B6160, ""es"", ""en"")"),"It is very nice This is a beautiful watch with Omega air, but very affordable. Is a great buy, the battery lasts a long and strap has a sturdy look. I love!")</f>
        <v>It is very nice This is a beautiful watch with Omega air, but very affordable. Is a great buy, the battery lasts a long and strap has a sturdy look. I love!</v>
      </c>
    </row>
    <row r="6161">
      <c r="A6161" s="1">
        <v>4.0</v>
      </c>
      <c r="B6161" s="1" t="s">
        <v>6121</v>
      </c>
      <c r="C6161" t="str">
        <f>IFERROR(__xludf.DUMMYFUNCTION("GOOGLETRANSLATE(B6161, ""es"", ""en"")"),"Good Ideal for pilates")</f>
        <v>Good Ideal for pilates</v>
      </c>
    </row>
    <row r="6162">
      <c r="A6162" s="1">
        <v>4.0</v>
      </c>
      <c r="B6162" s="1" t="s">
        <v>6122</v>
      </c>
      <c r="C6162" t="str">
        <f>IFERROR(__xludf.DUMMYFUNCTION("GOOGLETRANSLATE(B6162, ""es"", ""en"")"),"Bottles for a long time are easy to grip, carry and as there have interchangeable teats for baby bottle while. They are very easy to clean")</f>
        <v>Bottles for a long time are easy to grip, carry and as there have interchangeable teats for baby bottle while. They are very easy to clean</v>
      </c>
    </row>
    <row r="6163">
      <c r="A6163" s="1">
        <v>4.0</v>
      </c>
      <c r="B6163" s="1" t="s">
        <v>6123</v>
      </c>
      <c r="C6163" t="str">
        <f>IFERROR(__xludf.DUMMYFUNCTION("GOOGLETRANSLATE(B6163, ""es"", ""en"")"),"Regular Regular")</f>
        <v>Regular Regular</v>
      </c>
    </row>
    <row r="6164">
      <c r="A6164" s="1">
        <v>5.0</v>
      </c>
      <c r="B6164" s="1" t="s">
        <v>6124</v>
      </c>
      <c r="C6164" t="str">
        <f>IFERROR(__xludf.DUMMYFUNCTION("GOOGLETRANSLATE(B6164, ""es"", ""en"")"),"Perfect very nice and very comfortable.")</f>
        <v>Perfect very nice and very comfortable.</v>
      </c>
    </row>
    <row r="6165">
      <c r="A6165" s="1">
        <v>5.0</v>
      </c>
      <c r="B6165" s="1" t="s">
        <v>6125</v>
      </c>
      <c r="C6165" t="str">
        <f>IFERROR(__xludf.DUMMYFUNCTION("GOOGLETRANSLATE(B6165, ""es"", ""en"")"),"Just beautiful can tell they are very good at numbers using the same pedi and was great for what it's reference")</f>
        <v>Just beautiful can tell they are very good at numbers using the same pedi and was great for what it's reference</v>
      </c>
    </row>
    <row r="6166">
      <c r="A6166" s="1">
        <v>5.0</v>
      </c>
      <c r="B6166" s="1" t="s">
        <v>6126</v>
      </c>
      <c r="C6166" t="str">
        <f>IFERROR(__xludf.DUMMYFUNCTION("GOOGLETRANSLATE(B6166, ""es"", ""en"")"),"Jonathan Hello, I recently acquired these gorgeous shoes to work (in the kitchen) and I'm super satisfied with them, they are super comfortable, the wash can very easily and no odor before, during and after use. I recommend it for people who work long hou"&amp;"rs standing because they are super lightweight and perfectly adapted to the pie.En Abstract A 10 Thank Croks!")</f>
        <v>Jonathan Hello, I recently acquired these gorgeous shoes to work (in the kitchen) and I'm super satisfied with them, they are super comfortable, the wash can very easily and no odor before, during and after use. I recommend it for people who work long hours standing because they are super lightweight and perfectly adapted to the pie.En Abstract A 10 Thank Croks!</v>
      </c>
    </row>
    <row r="6167">
      <c r="A6167" s="1">
        <v>5.0</v>
      </c>
      <c r="B6167" s="1" t="s">
        <v>6127</v>
      </c>
      <c r="C6167" t="str">
        <f>IFERROR(__xludf.DUMMYFUNCTION("GOOGLETRANSLATE(B6167, ""es"", ""en"")"),"Man sweatshirt man sweatshirt Adidas. Size fits the descricion. Pretty")</f>
        <v>Man sweatshirt man sweatshirt Adidas. Size fits the descricion. Pretty</v>
      </c>
    </row>
    <row r="6168">
      <c r="A6168" s="1">
        <v>5.0</v>
      </c>
      <c r="B6168" s="1" t="s">
        <v>6128</v>
      </c>
      <c r="C6168" t="str">
        <f>IFERROR(__xludf.DUMMYFUNCTION("GOOGLETRANSLATE(B6168, ""es"", ""en"")"),"Very fast and the speed keeps the heat")</f>
        <v>Very fast and the speed keeps the heat</v>
      </c>
    </row>
    <row r="6169">
      <c r="A6169" s="1">
        <v>5.0</v>
      </c>
      <c r="B6169" s="1" t="s">
        <v>6129</v>
      </c>
      <c r="C6169" t="str">
        <f>IFERROR(__xludf.DUMMYFUNCTION("GOOGLETRANSLATE(B6169, ""es"", ""en"")"),"Sports headphones perfect fit very well to the ears, good sound.")</f>
        <v>Sports headphones perfect fit very well to the ears, good sound.</v>
      </c>
    </row>
    <row r="6170">
      <c r="A6170" s="1">
        <v>5.0</v>
      </c>
      <c r="B6170" s="1" t="s">
        <v>6130</v>
      </c>
      <c r="C6170" t="str">
        <f>IFERROR(__xludf.DUMMYFUNCTION("GOOGLETRANSLATE(B6170, ""es"", ""en"")"),"Perfectly fulfills its purpose for the replacement of the original belt a good wristwatch. I did not present any problems, and the end result is quite satisfactory. Thank you for the supplementary material, which allows making assembly very easily. Excell"&amp;"ent presentation of the material submitted.")</f>
        <v>Perfectly fulfills its purpose for the replacement of the original belt a good wristwatch. I did not present any problems, and the end result is quite satisfactory. Thank you for the supplementary material, which allows making assembly very easily. Excellent presentation of the material submitted.</v>
      </c>
    </row>
    <row r="6171">
      <c r="A6171" s="1">
        <v>5.0</v>
      </c>
      <c r="B6171" s="1" t="s">
        <v>6131</v>
      </c>
      <c r="C6171" t="str">
        <f>IFERROR(__xludf.DUMMYFUNCTION("GOOGLETRANSLATE(B6171, ""es"", ""en"")"),"VERY PLEASED product was early, very pleasant to the touch, have washed several times and remains the first day, indicating that seems good quality")</f>
        <v>VERY PLEASED product was early, very pleasant to the touch, have washed several times and remains the first day, indicating that seems good quality</v>
      </c>
    </row>
    <row r="6172">
      <c r="A6172" s="1">
        <v>5.0</v>
      </c>
      <c r="B6172" s="1" t="s">
        <v>6132</v>
      </c>
      <c r="C6172" t="str">
        <f>IFERROR(__xludf.DUMMYFUNCTION("GOOGLETRANSLATE(B6172, ""es"", ""en"")"),"Dandies but with pillows damaged by packing ... For with the care and presentation packaging so cool it's a shame not to come protected memory foam pads. The box plus the cover makes you go all compressed and pads come marked with the format of the case. "&amp;"And being so long and I do not think recover your being. It enrages me that one of the incentives for the purchase not be used. And so generally only I give it 2 stars. The sound is not bad and the volume control is fine. Edited 10/23/19 Subo assessment b"&amp;"ecause the seller actually cares about their products, and have sent me a replacement pads at no cost. I also think that the idea of ​​packaging for the product comes not damaged it will take into consideration. Helmets really recommend it, the detail of "&amp;"the pads will not take back !!")</f>
        <v>Dandies but with pillows damaged by packing ... For with the care and presentation packaging so cool it's a shame not to come protected memory foam pads. The box plus the cover makes you go all compressed and pads come marked with the format of the case. And being so long and I do not think recover your being. It enrages me that one of the incentives for the purchase not be used. And so generally only I give it 2 stars. The sound is not bad and the volume control is fine. Edited 10/23/19 Subo assessment because the seller actually cares about their products, and have sent me a replacement pads at no cost. I also think that the idea of ​​packaging for the product comes not damaged it will take into consideration. Helmets really recommend it, the detail of the pads will not take back !!</v>
      </c>
    </row>
    <row r="6173">
      <c r="A6173" s="1">
        <v>5.0</v>
      </c>
      <c r="B6173" s="1" t="s">
        <v>6133</v>
      </c>
      <c r="C6173" t="str">
        <f>IFERROR(__xludf.DUMMYFUNCTION("GOOGLETRANSLATE(B6173, ""es"", ""en"")"),"EASY TO USE BLENDER AND POWERFUL I liked its power and ease of use. Immejorable value. Your weight may be lower.")</f>
        <v>EASY TO USE BLENDER AND POWERFUL I liked its power and ease of use. Immejorable value. Your weight may be lower.</v>
      </c>
    </row>
    <row r="6174">
      <c r="A6174" s="1">
        <v>5.0</v>
      </c>
      <c r="B6174" s="1" t="s">
        <v>6134</v>
      </c>
      <c r="C6174" t="str">
        <f>IFERROR(__xludf.DUMMYFUNCTION("GOOGLETRANSLATE(B6174, ""es"", ""en"")"),"Bluetooth headset headphone excellent quality in terms of value. Are quite comfortable and attach well to the ear, the sound is very good and connectivity via bluetooth as well. The box load is quite elegant, with lights indication of the charge level of "&amp;"the set and each particular handset")</f>
        <v>Bluetooth headset headphone excellent quality in terms of value. Are quite comfortable and attach well to the ear, the sound is very good and connectivity via bluetooth as well. The box load is quite elegant, with lights indication of the charge level of the set and each particular handset</v>
      </c>
    </row>
    <row r="6175">
      <c r="A6175" s="1">
        <v>5.0</v>
      </c>
      <c r="B6175" s="1" t="s">
        <v>6135</v>
      </c>
      <c r="C6175" t="str">
        <f>IFERROR(__xludf.DUMMYFUNCTION("GOOGLETRANSLATE(B6175, ""es"", ""en"")"),"quality of the shirt have loved the shirt. Very good quality and design")</f>
        <v>quality of the shirt have loved the shirt. Very good quality and design</v>
      </c>
    </row>
    <row r="6176">
      <c r="A6176" s="1">
        <v>5.0</v>
      </c>
      <c r="B6176" s="1" t="s">
        <v>6136</v>
      </c>
      <c r="C6176" t="str">
        <f>IFERROR(__xludf.DUMMYFUNCTION("GOOGLETRANSLATE(B6176, ""es"", ""en"")"),"Perfect watch all specified and timely shipping watch according to what was looking, perfectly fits the specifications and delivery just in time for the regalo.Un watch for hiking excursions. Really perfect!!!")</f>
        <v>Perfect watch all specified and timely shipping watch according to what was looking, perfectly fits the specifications and delivery just in time for the regalo.Un watch for hiking excursions. Really perfect!!!</v>
      </c>
    </row>
    <row r="6177">
      <c r="A6177" s="1">
        <v>5.0</v>
      </c>
      <c r="B6177" s="1" t="s">
        <v>6137</v>
      </c>
      <c r="C6177" t="str">
        <f>IFERROR(__xludf.DUMMYFUNCTION("GOOGLETRANSLATE(B6177, ""es"", ""en"")"),"Encantado very happy, good power, easy handling, delighted with it.")</f>
        <v>Encantado very happy, good power, easy handling, delighted with it.</v>
      </c>
    </row>
    <row r="6178">
      <c r="A6178" s="1">
        <v>5.0</v>
      </c>
      <c r="B6178" s="1" t="s">
        <v>6138</v>
      </c>
      <c r="C6178" t="str">
        <f>IFERROR(__xludf.DUMMYFUNCTION("GOOGLETRANSLATE(B6178, ""es"", ""en"")"),"Super identical to the photo. The only thing is that it costs a little put the nut. They have enchanted me. They are great for the price you have.")</f>
        <v>Super identical to the photo. The only thing is that it costs a little put the nut. They have enchanted me. They are great for the price you have.</v>
      </c>
    </row>
    <row r="6179">
      <c r="A6179" s="1">
        <v>5.0</v>
      </c>
      <c r="B6179" s="1" t="s">
        <v>6139</v>
      </c>
      <c r="C6179" t="str">
        <f>IFERROR(__xludf.DUMMYFUNCTION("GOOGLETRANSLATE(B6179, ""es"", ""en"")"),"Biem what I wanted")</f>
        <v>Biem what I wanted</v>
      </c>
    </row>
    <row r="6180">
      <c r="A6180" s="1">
        <v>5.0</v>
      </c>
      <c r="B6180" s="1" t="s">
        <v>6140</v>
      </c>
      <c r="C6180" t="str">
        <f>IFERROR(__xludf.DUMMYFUNCTION("GOOGLETRANSLATE(B6180, ""es"", ""en"")"),"Recommended Material quality and perfect shipping is very recomentable")</f>
        <v>Recommended Material quality and perfect shipping is very recomentable</v>
      </c>
    </row>
    <row r="6181">
      <c r="A6181" s="1">
        <v>5.0</v>
      </c>
      <c r="B6181" s="1" t="s">
        <v>6141</v>
      </c>
      <c r="C6181" t="str">
        <f>IFERROR(__xludf.DUMMYFUNCTION("GOOGLETRANSLATE(B6181, ""es"", ""en"")"),"Very nice and cheap good value for money")</f>
        <v>Very nice and cheap good value for money</v>
      </c>
    </row>
    <row r="6182">
      <c r="A6182" s="1">
        <v>2.0</v>
      </c>
      <c r="B6182" s="1" t="s">
        <v>6142</v>
      </c>
      <c r="C6182" t="str">
        <f>IFERROR(__xludf.DUMMYFUNCTION("GOOGLETRANSLATE(B6182, ""es"", ""en"")"),"No change very little variation. I do not think that again request")</f>
        <v>No change very little variation. I do not think that again request</v>
      </c>
    </row>
    <row r="6183">
      <c r="A6183" s="1">
        <v>3.0</v>
      </c>
      <c r="B6183" s="1" t="s">
        <v>6143</v>
      </c>
      <c r="C6183" t="str">
        <f>IFERROR(__xludf.DUMMYFUNCTION("GOOGLETRANSLATE(B6183, ""es"", ""en"")"),"It's right arm correct media. It grips well at the table and not usually move much. If the microphone is heavy you may have to tighten the screws to make it more fixed.")</f>
        <v>It's right arm correct media. It grips well at the table and not usually move much. If the microphone is heavy you may have to tighten the screws to make it more fixed.</v>
      </c>
    </row>
    <row r="6184">
      <c r="A6184" s="1">
        <v>3.0</v>
      </c>
      <c r="B6184" s="1" t="s">
        <v>6144</v>
      </c>
      <c r="C6184" t="str">
        <f>IFERROR(__xludf.DUMMYFUNCTION("GOOGLETRANSLATE(B6184, ""es"", ""en"")"),"Useful good machine but noisy")</f>
        <v>Useful good machine but noisy</v>
      </c>
    </row>
    <row r="6185">
      <c r="A6185" s="1">
        <v>1.0</v>
      </c>
      <c r="B6185" s="1" t="s">
        <v>6145</v>
      </c>
      <c r="C6185" t="str">
        <f>IFERROR(__xludf.DUMMYFUNCTION("GOOGLETRANSLATE(B6185, ""es"", ""en"")"),"Scam Watch tota Poor quality pirated 3 months color change and does not work well Abuja bad calibration")</f>
        <v>Scam Watch tota Poor quality pirated 3 months color change and does not work well Abuja bad calibration</v>
      </c>
    </row>
    <row r="6186">
      <c r="A6186" s="1">
        <v>1.0</v>
      </c>
      <c r="B6186" s="1" t="s">
        <v>6146</v>
      </c>
      <c r="C6186" t="str">
        <f>IFERROR(__xludf.DUMMYFUNCTION("GOOGLETRANSLATE(B6186, ""es"", ""en"")"),"Stains on rubber are comfortable and practical! But within days of her toe wear them came a yellowish under the gum, and right in two. It is rare.")</f>
        <v>Stains on rubber are comfortable and practical! But within days of her toe wear them came a yellowish under the gum, and right in two. It is rare.</v>
      </c>
    </row>
    <row r="6187">
      <c r="A6187" s="1">
        <v>4.0</v>
      </c>
      <c r="B6187" s="1" t="s">
        <v>6147</v>
      </c>
      <c r="C6187" t="str">
        <f>IFERROR(__xludf.DUMMYFUNCTION("GOOGLETRANSLATE(B6187, ""es"", ""en"")"),"Works, come in FAT32 format, no problem formatted in NTFS puden Serigrafie and am giving away ... all good.")</f>
        <v>Works, come in FAT32 format, no problem formatted in NTFS puden Serigrafie and am giving away ... all good.</v>
      </c>
    </row>
    <row r="6188">
      <c r="A6188" s="1">
        <v>4.0</v>
      </c>
      <c r="B6188" s="1" t="s">
        <v>6148</v>
      </c>
      <c r="C6188" t="str">
        <f>IFERROR(__xludf.DUMMYFUNCTION("GOOGLETRANSLATE(B6188, ""es"", ""en"")"),"Great Value is a perfect place to fill it with pictures or add-ons like all kinds of fabrics, wallpapers and stickers album. I particularly I bought a detail to make some friends who were getting married. Filled it with snapshots made during the wedding w"&amp;"ith a Mini Instax, I decorated it with vintage adhesives and comments each time. They were delighted to have such a special remembrance to the day after the ceremony.")</f>
        <v>Great Value is a perfect place to fill it with pictures or add-ons like all kinds of fabrics, wallpapers and stickers album. I particularly I bought a detail to make some friends who were getting married. Filled it with snapshots made during the wedding with a Mini Instax, I decorated it with vintage adhesives and comments each time. They were delighted to have such a special remembrance to the day after the ceremony.</v>
      </c>
    </row>
    <row r="6189">
      <c r="A6189" s="1">
        <v>4.0</v>
      </c>
      <c r="B6189" s="1" t="s">
        <v>6149</v>
      </c>
      <c r="C6189" t="str">
        <f>IFERROR(__xludf.DUMMYFUNCTION("GOOGLETRANSLATE(B6189, ""es"", ""en"")"),"Subjección uncrushed not have good grip as some seem an ornament! And do not crush the breasts. I ordered my same size and do well just a little bit but I think that is the goal of a sports bra.")</f>
        <v>Subjección uncrushed not have good grip as some seem an ornament! And do not crush the breasts. I ordered my same size and do well just a little bit but I think that is the goal of a sports bra.</v>
      </c>
    </row>
    <row r="6190">
      <c r="A6190" s="1">
        <v>4.0</v>
      </c>
      <c r="B6190" s="1" t="s">
        <v>6150</v>
      </c>
      <c r="C6190" t="str">
        <f>IFERROR(__xludf.DUMMYFUNCTION("GOOGLETRANSLATE(B6190, ""es"", ""en"")"),"Very good very happy, great value. My girlfriend would have loved.")</f>
        <v>Very good very happy, great value. My girlfriend would have loved.</v>
      </c>
    </row>
    <row r="6191">
      <c r="A6191" s="1">
        <v>4.0</v>
      </c>
      <c r="B6191" s="1" t="s">
        <v>6151</v>
      </c>
      <c r="C6191" t="str">
        <f>IFERROR(__xludf.DUMMYFUNCTION("GOOGLETRANSLATE(B6191, ""es"", ""en"")"),"Logically perform their function is not a professional dance shoe, but for the price they have the quality is not bad. It is the second pair to buy and for two hours of weekly classes hold perfectly. He has not worn the sole nor has spoiled the material. "&amp;"They are comfortable and the rubber strip is not tightened. Yes, I recommend ordering a full size.")</f>
        <v>Logically perform their function is not a professional dance shoe, but for the price they have the quality is not bad. It is the second pair to buy and for two hours of weekly classes hold perfectly. He has not worn the sole nor has spoiled the material. They are comfortable and the rubber strip is not tightened. Yes, I recommend ordering a full size.</v>
      </c>
    </row>
    <row r="6192">
      <c r="A6192" s="1">
        <v>5.0</v>
      </c>
      <c r="B6192" s="1" t="s">
        <v>6152</v>
      </c>
      <c r="C6192" t="str">
        <f>IFERROR(__xludf.DUMMYFUNCTION("GOOGLETRANSLATE(B6192, ""es"", ""en"")"),"AS YOU SEE IN THE PICTURE Super you comfortable, I was the best friend gave it to me and are great, they are delighted with their vans and arrived early")</f>
        <v>AS YOU SEE IN THE PICTURE Super you comfortable, I was the best friend gave it to me and are great, they are delighted with their vans and arrived early</v>
      </c>
    </row>
    <row r="6193">
      <c r="A6193" s="1">
        <v>5.0</v>
      </c>
      <c r="B6193" s="1" t="s">
        <v>6153</v>
      </c>
      <c r="C6193" t="str">
        <f>IFERROR(__xludf.DUMMYFUNCTION("GOOGLETRANSLATE(B6193, ""es"", ""en"")"),"Recomendadisimos !! &lt;Div id = ""video-block-R2WZHFUMX51HO7"" class = ""a-section a-spacing-small a-spacing-top mini video-block""&gt; &lt;/ div&gt; &lt;input type = ""hidden"" name = """" value = ""https://images-eu.ssl-images-amazon.com/images/I/B1-qYgF66LS.mp4"" cl"&amp;"ass = ""video-url""&gt; &lt;input type = ""hidden"" name = """" value = "" https://images-eu.ssl-images-amazon.com/images/I/91ugPx7595S.png ""class ="" video-slate-img-url ""&gt; &amp; nbsp; These helmets love me, unlike other microphone nicely captures the voice when"&amp;" talking to them, if you go down the street you remove all noise to be heard so clearly music, as I say in the video can pause or start the music with one-touch up or decrease the volume by long pressing, you can use a single handset if something could ta"&amp;"ke missing is the option of spending the song from the hulls, but for me are in my top 3 of best bluetooth headset.")</f>
        <v>Recomendadisimos !! &lt;Div id = "video-block-R2WZHFUMX51HO7" class = "a-section a-spacing-small a-spacing-top mini video-block"&gt; &lt;/ div&gt; &lt;input type = "hidden" name = "" value = "https://images-eu.ssl-images-amazon.com/images/I/B1-qYgF66LS.mp4" class = "video-url"&gt; &lt;input type = "hidden" name = "" value = " https://images-eu.ssl-images-amazon.com/images/I/91ugPx7595S.png "class =" video-slate-img-url "&gt; &amp; nbsp; These helmets love me, unlike other microphone nicely captures the voice when talking to them, if you go down the street you remove all noise to be heard so clearly music, as I say in the video can pause or start the music with one-touch up or decrease the volume by long pressing, you can use a single handset if something could take missing is the option of spending the song from the hulls, but for me are in my top 3 of best bluetooth headset.</v>
      </c>
    </row>
    <row r="6194">
      <c r="A6194" s="1">
        <v>5.0</v>
      </c>
      <c r="B6194" s="1" t="s">
        <v>6154</v>
      </c>
      <c r="C6194" t="str">
        <f>IFERROR(__xludf.DUMMYFUNCTION("GOOGLETRANSLATE(B6194, ""es"", ""en"")"),"It works even with PDF's exactly what it promises. It runs up with pdf. Soil and bring presentations to save me trouble.")</f>
        <v>It works even with PDF's exactly what it promises. It runs up with pdf. Soil and bring presentations to save me trouble.</v>
      </c>
    </row>
    <row r="6195">
      <c r="A6195" s="1">
        <v>5.0</v>
      </c>
      <c r="B6195" s="1" t="s">
        <v>6155</v>
      </c>
      <c r="C6195" t="str">
        <f>IFERROR(__xludf.DUMMYFUNCTION("GOOGLETRANSLATE(B6195, ""es"", ""en"")"),"Normal Good product")</f>
        <v>Normal Good product</v>
      </c>
    </row>
    <row r="6196">
      <c r="A6196" s="1">
        <v>5.0</v>
      </c>
      <c r="B6196" s="1" t="s">
        <v>6156</v>
      </c>
      <c r="C6196" t="str">
        <f>IFERROR(__xludf.DUMMYFUNCTION("GOOGLETRANSLATE(B6196, ""es"", ""en"")"),"Practice comes prepared, ready to enter the game and enjoy.")</f>
        <v>Practice comes prepared, ready to enter the game and enjoy.</v>
      </c>
    </row>
    <row r="6197">
      <c r="A6197" s="1">
        <v>5.0</v>
      </c>
      <c r="B6197" s="1" t="s">
        <v>6157</v>
      </c>
      <c r="C6197" t="str">
        <f>IFERROR(__xludf.DUMMYFUNCTION("GOOGLETRANSLATE(B6197, ""es"", ""en"")"),"Compact and very useful had long been looking for a small backpack of these, because I hate walking carrying bags in hand. I have not too much, so I did not want anything big, and this came into my hair. I'm not very high, so to take the side of shoulder "&amp;"to the waist, I do well. Is perfect to put the wallet, glasses case, etc. It has more compartments that need (have lots of them, as you will see in the pictures), but that I also used to not have everything mixed, and so I put everything in its place. Key"&amp;"s on one side, the other portfolio, glasses other mobile ... (which is basically what I use). The fabric has surprised me in the picture does not seem as strong, but it's like denim, gordita and looks durable. Perhaps most tenuous is the belt, it seems a "&amp;"bit narrow, but less is securely attached to the sides, if you put it some weight (an external charger, for example, or even an external hard drive I've gotten both -). So, overall it's all fine.")</f>
        <v>Compact and very useful had long been looking for a small backpack of these, because I hate walking carrying bags in hand. I have not too much, so I did not want anything big, and this came into my hair. I'm not very high, so to take the side of shoulder to the waist, I do well. Is perfect to put the wallet, glasses case, etc. It has more compartments that need (have lots of them, as you will see in the pictures), but that I also used to not have everything mixed, and so I put everything in its place. Keys on one side, the other portfolio, glasses other mobile ... (which is basically what I use). The fabric has surprised me in the picture does not seem as strong, but it's like denim, gordita and looks durable. Perhaps most tenuous is the belt, it seems a bit narrow, but less is securely attached to the sides, if you put it some weight (an external charger, for example, or even an external hard drive I've gotten both -). So, overall it's all fine.</v>
      </c>
    </row>
    <row r="6198">
      <c r="A6198" s="1">
        <v>5.0</v>
      </c>
      <c r="B6198" s="1" t="s">
        <v>6158</v>
      </c>
      <c r="C6198" t="str">
        <f>IFERROR(__xludf.DUMMYFUNCTION("GOOGLETRANSLATE(B6198, ""es"", ""en"")"),"Confortáveis ​​Perfeitas")</f>
        <v>Confortáveis ​​Perfeitas</v>
      </c>
    </row>
    <row r="6199">
      <c r="A6199" s="1">
        <v>5.0</v>
      </c>
      <c r="B6199" s="1" t="s">
        <v>6159</v>
      </c>
      <c r="C6199" t="str">
        <f>IFERROR(__xludf.DUMMYFUNCTION("GOOGLETRANSLATE(B6199, ""es"", ""en"")"),"Fast fast, very fast. Not a SSD but it shows much difference with normal disc. And 2 terabytes of space is perfect for a laptop and so much space as to increase system speed with its cache of 8 gigas")</f>
        <v>Fast fast, very fast. Not a SSD but it shows much difference with normal disc. And 2 terabytes of space is perfect for a laptop and so much space as to increase system speed with its cache of 8 gigas</v>
      </c>
    </row>
    <row r="6200">
      <c r="A6200" s="1">
        <v>5.0</v>
      </c>
      <c r="B6200" s="1" t="s">
        <v>6160</v>
      </c>
      <c r="C6200" t="str">
        <f>IFERROR(__xludf.DUMMYFUNCTION("GOOGLETRANSLATE(B6200, ""es"", ""en"")"),"Roll holder in one Very good product, placed with adhesive strips and is perfect. The hollow zeal is a little small and fit only spend half rolls, the aluminum and are transparent large, smoothly. And luxury cut blades.")</f>
        <v>Roll holder in one Very good product, placed with adhesive strips and is perfect. The hollow zeal is a little small and fit only spend half rolls, the aluminum and are transparent large, smoothly. And luxury cut blades.</v>
      </c>
    </row>
    <row r="6201">
      <c r="A6201" s="1">
        <v>5.0</v>
      </c>
      <c r="B6201" s="1" t="s">
        <v>6161</v>
      </c>
      <c r="C6201" t="str">
        <f>IFERROR(__xludf.DUMMYFUNCTION("GOOGLETRANSLATE(B6201, ""es"", ""en"")"),"Perfect for one full uni folios and took him to school. Then others classified notes. So I go without a lot of weight in your bag and my notes they are nice and tidy")</f>
        <v>Perfect for one full uni folios and took him to school. Then others classified notes. So I go without a lot of weight in your bag and my notes they are nice and tidy</v>
      </c>
    </row>
    <row r="6202">
      <c r="A6202" s="1">
        <v>5.0</v>
      </c>
      <c r="B6202" s="1" t="s">
        <v>6162</v>
      </c>
      <c r="C6202" t="str">
        <f>IFERROR(__xludf.DUMMYFUNCTION("GOOGLETRANSLATE(B6202, ""es"", ""en"")"),"Minimal effort, MAXIMUM PERFORMANCE just have to pick the right and along with a good brush cleaner, the task is done easily and effectively.")</f>
        <v>Minimal effort, MAXIMUM PERFORMANCE just have to pick the right and along with a good brush cleaner, the task is done easily and effectively.</v>
      </c>
    </row>
    <row r="6203">
      <c r="A6203" s="1">
        <v>5.0</v>
      </c>
      <c r="B6203" s="1" t="s">
        <v>6163</v>
      </c>
      <c r="C6203" t="str">
        <f>IFERROR(__xludf.DUMMYFUNCTION("GOOGLETRANSLATE(B6203, ""es"", ""en"")"),"The description of the carvings I liked. Perfect")</f>
        <v>The description of the carvings I liked. Perfect</v>
      </c>
    </row>
    <row r="6204">
      <c r="A6204" s="1">
        <v>5.0</v>
      </c>
      <c r="B6204" s="1" t="s">
        <v>6164</v>
      </c>
      <c r="C6204" t="str">
        <f>IFERROR(__xludf.DUMMYFUNCTION("GOOGLETRANSLATE(B6204, ""es"", ""en"")"),"Helmets versatile offering many features for a very low price, you can not ask them more! They connect via Bluetooth (theirs is connecting to mobile). Also tune in radio, but without seeing the station what makes it a tad tricky tune .. Theirs is to have "&amp;"the radio APP you want to tune into mobile and connect via Bluetooth. It also offers the ability to connect to the computer or other device without Bluetooth via a minijack and a slot for a microSD card ... most complete impossible. The battery lasts abou"&amp;"t 5-6 hours without stopping, so if you only use them to listen to music on the subway, walking or running, you lasting several days. Little space because they can be folded and stored which are optimized for small places. Are economical, multifunctional "&amp;"and fulfill their role for a very low price, so 100% recommended.")</f>
        <v>Helmets versatile offering many features for a very low price, you can not ask them more! They connect via Bluetooth (theirs is connecting to mobile). Also tune in radio, but without seeing the station what makes it a tad tricky tune .. Theirs is to have the radio APP you want to tune into mobile and connect via Bluetooth. It also offers the ability to connect to the computer or other device without Bluetooth via a minijack and a slot for a microSD card ... most complete impossible. The battery lasts about 5-6 hours without stopping, so if you only use them to listen to music on the subway, walking or running, you lasting several days. Little space because they can be folded and stored which are optimized for small places. Are economical, multifunctional and fulfill their role for a very low price, so 100% recommended.</v>
      </c>
    </row>
    <row r="6205">
      <c r="A6205" s="1">
        <v>5.0</v>
      </c>
      <c r="B6205" s="1" t="s">
        <v>6165</v>
      </c>
      <c r="C6205" t="str">
        <f>IFERROR(__xludf.DUMMYFUNCTION("GOOGLETRANSLATE(B6205, ""es"", ""en"")"),"A buenisima purchase was a gift and the person who received super-satisfied stay. Buenisima buying shoes. Recommended without question.")</f>
        <v>A buenisima purchase was a gift and the person who received super-satisfied stay. Buenisima buying shoes. Recommended without question.</v>
      </c>
    </row>
    <row r="6206">
      <c r="A6206" s="1">
        <v>5.0</v>
      </c>
      <c r="B6206" s="1" t="s">
        <v>6166</v>
      </c>
      <c r="C6206" t="str">
        <f>IFERROR(__xludf.DUMMYFUNCTION("GOOGLETRANSLATE(B6206, ""es"", ""en"")"),"Good value for its price folder good, very cool artwork and materials are durable. I would buy it.")</f>
        <v>Good value for its price folder good, very cool artwork and materials are durable. I would buy it.</v>
      </c>
    </row>
    <row r="6207">
      <c r="A6207" s="1">
        <v>5.0</v>
      </c>
      <c r="B6207" s="1" t="s">
        <v>6167</v>
      </c>
      <c r="C6207" t="str">
        <f>IFERROR(__xludf.DUMMYFUNCTION("GOOGLETRANSLATE(B6207, ""es"", ""en"")"),"very good casio watch is original. I've always loved this brand. and still does not disappoint")</f>
        <v>very good casio watch is original. I've always loved this brand. and still does not disappoint</v>
      </c>
    </row>
    <row r="6208">
      <c r="A6208" s="1">
        <v>5.0</v>
      </c>
      <c r="B6208" s="1" t="s">
        <v>6168</v>
      </c>
      <c r="C6208" t="str">
        <f>IFERROR(__xludf.DUMMYFUNCTION("GOOGLETRANSLATE(B6208, ""es"", ""en"")"),"Avalorio world pandora Perfect for pulsera.un little smaller than I expected. As it described. It comes with a storage bag.")</f>
        <v>Avalorio world pandora Perfect for pulsera.un little smaller than I expected. As it described. It comes with a storage bag.</v>
      </c>
    </row>
    <row r="6209">
      <c r="A6209" s="1">
        <v>5.0</v>
      </c>
      <c r="B6209" s="1" t="s">
        <v>6169</v>
      </c>
      <c r="C6209" t="str">
        <f>IFERROR(__xludf.DUMMYFUNCTION("GOOGLETRANSLATE(B6209, ""es"", ""en"")"),"All good if you want a card for normal use without much cane put him where you do not mind the speed and a good price, this is your card. Kingston warranty. If what interests you is better to use large files a class 10 card that are not bad value. Advanta"&amp;"ges: -Quality -Price -Quality brand Disadvantages: -Speed ​​(although it depends on the size of the files, you may not notice)")</f>
        <v>All good if you want a card for normal use without much cane put him where you do not mind the speed and a good price, this is your card. Kingston warranty. If what interests you is better to use large files a class 10 card that are not bad value. Advantages: -Quality -Price -Quality brand Disadvantages: -Speed ​​(although it depends on the size of the files, you may not notice)</v>
      </c>
    </row>
    <row r="6210">
      <c r="A6210" s="1">
        <v>5.0</v>
      </c>
      <c r="B6210" s="1" t="s">
        <v>6170</v>
      </c>
      <c r="C6210" t="str">
        <f>IFERROR(__xludf.DUMMYFUNCTION("GOOGLETRANSLATE(B6210, ""es"", ""en"")"),"Fulfills its role to perfection is perfect bookends, I've used it for manuals 300 pages and holds perfectly. You can also change the incline, which is a plus. Strongly recommended!")</f>
        <v>Fulfills its role to perfection is perfect bookends, I've used it for manuals 300 pages and holds perfectly. You can also change the incline, which is a plus. Strongly recommended!</v>
      </c>
    </row>
    <row r="6211">
      <c r="A6211" s="1">
        <v>2.0</v>
      </c>
      <c r="B6211" s="1" t="s">
        <v>6171</v>
      </c>
      <c r="C6211" t="str">
        <f>IFERROR(__xludf.DUMMYFUNCTION("GOOGLETRANSLATE(B6211, ""es"", ""en"")"),"It's a shame The stick comes off easily when moving from the upright position to the inclined. Otherwise does its job and give it a higher rating, but with the price you have and given the guarantee that gives you a brand known as Vileda my recommendation"&amp;" is negative and not the brand recomiendo.Una as is it has to much care qualities")</f>
        <v>It's a shame The stick comes off easily when moving from the upright position to the inclined. Otherwise does its job and give it a higher rating, but with the price you have and given the guarantee that gives you a brand known as Vileda my recommendation is negative and not the brand recomiendo.Una as is it has to much care qualities</v>
      </c>
    </row>
    <row r="6212">
      <c r="A6212" s="1">
        <v>3.0</v>
      </c>
      <c r="B6212" s="1" t="s">
        <v>6172</v>
      </c>
      <c r="C6212" t="str">
        <f>IFERROR(__xludf.DUMMYFUNCTION("GOOGLETRANSLATE(B6212, ""es"", ""en"")"),"The size well successful (pedi M), ground S spend but ordered the M and was right. As an but I thought that the material is outside as wool but is not. Anyway it fulfills the task that was warm and inside is lined as it is.")</f>
        <v>The size well successful (pedi M), ground S spend but ordered the M and was right. As an but I thought that the material is outside as wool but is not. Anyway it fulfills the task that was warm and inside is lined as it is.</v>
      </c>
    </row>
    <row r="6213">
      <c r="A6213" s="1">
        <v>1.0</v>
      </c>
      <c r="B6213" s="1" t="s">
        <v>6173</v>
      </c>
      <c r="C6213" t="str">
        <f>IFERROR(__xludf.DUMMYFUNCTION("GOOGLETRANSLATE(B6213, ""es"", ""en"")"),"Very bad, I was very disappointed VILEDA IS THE MOST TO ME IN MY HOUSE, BUT THIS MOPA is far from satisfactory, first let FATAL GROUND VERY STAINED, SECOND IS VERY UNCOMFORTABLE FOR wring, and VA LEAVING STREAKS, finally I wanted to try it and I regret MU"&amp;"CH CAN NOT RETURN IT BECAUSE THE USE ONCE AND PULL THE BOX, BUT NOT rECOMMEND, NO AS MOPA SYSTEM TURNING THAT IF THAT IS A GOOD PRODUCT FAILURE IS THAT THE BUCKET A YEAR AND LITTLE BREAKS YOUR SYSTEM STEP PEDAL AND ME tWICE with the same problem.")</f>
        <v>Very bad, I was very disappointed VILEDA IS THE MOST TO ME IN MY HOUSE, BUT THIS MOPA is far from satisfactory, first let FATAL GROUND VERY STAINED, SECOND IS VERY UNCOMFORTABLE FOR wring, and VA LEAVING STREAKS, finally I wanted to try it and I regret MUCH CAN NOT RETURN IT BECAUSE THE USE ONCE AND PULL THE BOX, BUT NOT rECOMMEND, NO AS MOPA SYSTEM TURNING THAT IF THAT IS A GOOD PRODUCT FAILURE IS THAT THE BUCKET A YEAR AND LITTLE BREAKS YOUR SYSTEM STEP PEDAL AND ME tWICE with the same problem.</v>
      </c>
    </row>
    <row r="6214">
      <c r="A6214" s="1">
        <v>1.0</v>
      </c>
      <c r="B6214" s="1" t="s">
        <v>6174</v>
      </c>
      <c r="C6214" t="str">
        <f>IFERROR(__xludf.DUMMYFUNCTION("GOOGLETRANSLATE(B6214, ""es"", ""en"")"),"Nothing faral recommended. It is part of the out and makes a tremendous noise. I would not have imagined that a zeal was so bad.")</f>
        <v>Nothing faral recommended. It is part of the out and makes a tremendous noise. I would not have imagined that a zeal was so bad.</v>
      </c>
    </row>
    <row r="6215">
      <c r="A6215" s="1">
        <v>1.0</v>
      </c>
      <c r="B6215" s="1" t="s">
        <v>6175</v>
      </c>
      <c r="C6215" t="str">
        <f>IFERROR(__xludf.DUMMYFUNCTION("GOOGLETRANSLATE(B6215, ""es"", ""en"")"),"Hello me lasted a month k me I really lasted a month")</f>
        <v>Hello me lasted a month k me I really lasted a month</v>
      </c>
    </row>
    <row r="6216">
      <c r="A6216" s="1">
        <v>4.0</v>
      </c>
      <c r="B6216" s="1" t="s">
        <v>6176</v>
      </c>
      <c r="C6216" t="str">
        <f>IFERROR(__xludf.DUMMYFUNCTION("GOOGLETRANSLATE(B6216, ""es"", ""en"")"),"Well fine but I thought it was tighter, a little loose.")</f>
        <v>Well fine but I thought it was tighter, a little loose.</v>
      </c>
    </row>
    <row r="6217">
      <c r="A6217" s="1">
        <v>4.0</v>
      </c>
      <c r="B6217" s="1" t="s">
        <v>6177</v>
      </c>
      <c r="C6217" t="str">
        <f>IFERROR(__xludf.DUMMYFUNCTION("GOOGLETRANSLATE(B6217, ""es"", ""en"")"),"Contenta For the price it is fine Leave fairly clean pots and pans The truth is quite happy")</f>
        <v>Contenta For the price it is fine Leave fairly clean pots and pans The truth is quite happy</v>
      </c>
    </row>
    <row r="6218">
      <c r="A6218" s="1">
        <v>4.0</v>
      </c>
      <c r="B6218" s="1" t="s">
        <v>6178</v>
      </c>
      <c r="C6218" t="str">
        <f>IFERROR(__xludf.DUMMYFUNCTION("GOOGLETRANSLATE(B6218, ""es"", ""en"")"),"Comfort and value Installing speakers")</f>
        <v>Comfort and value Installing speakers</v>
      </c>
    </row>
    <row r="6219">
      <c r="A6219" s="1">
        <v>4.0</v>
      </c>
      <c r="B6219" s="1" t="s">
        <v>6179</v>
      </c>
      <c r="C6219" t="str">
        <f>IFERROR(__xludf.DUMMYFUNCTION("GOOGLETRANSLATE(B6219, ""es"", ""en"")"),"everything perfect I usually use it because it's the best I've found for my feet")</f>
        <v>everything perfect I usually use it because it's the best I've found for my feet</v>
      </c>
    </row>
    <row r="6220">
      <c r="A6220" s="1">
        <v>5.0</v>
      </c>
      <c r="B6220" s="1" t="s">
        <v>6180</v>
      </c>
      <c r="C6220" t="str">
        <f>IFERROR(__xludf.DUMMYFUNCTION("GOOGLETRANSLATE(B6220, ""es"", ""en"")"),"Advisable. It is perfect and at a great price. the bottom is removable for easy cleaning. But only one. A being continued more than 10 minutes, warmed slightly.")</f>
        <v>Advisable. It is perfect and at a great price. the bottom is removable for easy cleaning. But only one. A being continued more than 10 minutes, warmed slightly.</v>
      </c>
    </row>
    <row r="6221">
      <c r="A6221" s="1">
        <v>5.0</v>
      </c>
      <c r="B6221" s="1" t="s">
        <v>6181</v>
      </c>
      <c r="C6221" t="str">
        <f>IFERROR(__xludf.DUMMYFUNCTION("GOOGLETRANSLATE(B6221, ""es"", ""en"")"),"Good recommended materials. For the price right.")</f>
        <v>Good recommended materials. For the price right.</v>
      </c>
    </row>
    <row r="6222">
      <c r="A6222" s="1">
        <v>5.0</v>
      </c>
      <c r="B6222" s="1" t="s">
        <v>6182</v>
      </c>
      <c r="C6222" t="str">
        <f>IFERROR(__xludf.DUMMYFUNCTION("GOOGLETRANSLATE(B6222, ""es"", ""en"")"),"Encantada I've already used several times and helps a lot to unload the neck and back muscles.")</f>
        <v>Encantada I've already used several times and helps a lot to unload the neck and back muscles.</v>
      </c>
    </row>
    <row r="6223">
      <c r="A6223" s="1">
        <v>5.0</v>
      </c>
      <c r="B6223" s="1" t="s">
        <v>6183</v>
      </c>
      <c r="C6223" t="str">
        <f>IFERROR(__xludf.DUMMYFUNCTION("GOOGLETRANSLATE(B6223, ""es"", ""en"")"),"Sticks very well stick very well. I expected a normal bar glue, but the truth is that it has a quality that has surprised me very pleasantly. We will buy insurance")</f>
        <v>Sticks very well stick very well. I expected a normal bar glue, but the truth is that it has a quality that has surprised me very pleasantly. We will buy insurance</v>
      </c>
    </row>
    <row r="6224">
      <c r="A6224" s="1">
        <v>5.0</v>
      </c>
      <c r="B6224" s="1" t="s">
        <v>6184</v>
      </c>
      <c r="C6224" t="str">
        <f>IFERROR(__xludf.DUMMYFUNCTION("GOOGLETRANSLATE(B6224, ""es"", ""en"")"),"COMMITTED TO RELAXATION watch we liked. It is very easy to handle. You just put two drawbacks: the awakening light, rather than 30 minutes before, out in lower ranks, for example 10 minutes earlier; other detail, it is to program Monday through Friday. Ex"&amp;"cept these two details, the watch is a great pleasure.")</f>
        <v>COMMITTED TO RELAXATION watch we liked. It is very easy to handle. You just put two drawbacks: the awakening light, rather than 30 minutes before, out in lower ranks, for example 10 minutes earlier; other detail, it is to program Monday through Friday. Except these two details, the watch is a great pleasure.</v>
      </c>
    </row>
    <row r="6225">
      <c r="A6225" s="1">
        <v>5.0</v>
      </c>
      <c r="B6225" s="1" t="s">
        <v>6185</v>
      </c>
      <c r="C6225" t="str">
        <f>IFERROR(__xludf.DUMMYFUNCTION("GOOGLETRANSLATE(B6225, ""es"", ""en"")"),"Not compatible with iPhone Well, money is good. Not compatible with iPhone. Small, lightweight")</f>
        <v>Not compatible with iPhone Well, money is good. Not compatible with iPhone. Small, lightweight</v>
      </c>
    </row>
    <row r="6226">
      <c r="A6226" s="1">
        <v>5.0</v>
      </c>
      <c r="B6226" s="1" t="s">
        <v>6186</v>
      </c>
      <c r="C6226" t="str">
        <f>IFERROR(__xludf.DUMMYFUNCTION("GOOGLETRANSLATE(B6226, ""es"", ""en"")"),"It's great just what I was looking for. It works perfectly, very practical and functional. Good quality, good storage capacity, good speed file transfer and value. It's great.")</f>
        <v>It's great just what I was looking for. It works perfectly, very practical and functional. Good quality, good storage capacity, good speed file transfer and value. It's great.</v>
      </c>
    </row>
    <row r="6227">
      <c r="A6227" s="1">
        <v>5.0</v>
      </c>
      <c r="B6227" s="1" t="s">
        <v>6187</v>
      </c>
      <c r="C6227" t="str">
        <f>IFERROR(__xludf.DUMMYFUNCTION("GOOGLETRANSLATE(B6227, ""es"", ""en"")"),"I recommend it. Already knew the product, regarding the delivery of the order, just in time!")</f>
        <v>I recommend it. Already knew the product, regarding the delivery of the order, just in time!</v>
      </c>
    </row>
    <row r="6228">
      <c r="A6228" s="1">
        <v>5.0</v>
      </c>
      <c r="B6228" s="1" t="s">
        <v>6188</v>
      </c>
      <c r="C6228" t="str">
        <f>IFERROR(__xludf.DUMMYFUNCTION("GOOGLETRANSLATE(B6228, ""es"", ""en"")"),"Best cable extension TRRS When I came the need to extend the microphone SmartLav Plus I have, I did not think twice, comrpé me this extension because it is the best. I have all the cables and adapters of this brand and not change anything because they hav"&amp;"e a quality that very few cables can give. 10/10")</f>
        <v>Best cable extension TRRS When I came the need to extend the microphone SmartLav Plus I have, I did not think twice, comrpé me this extension because it is the best. I have all the cables and adapters of this brand and not change anything because they have a quality that very few cables can give. 10/10</v>
      </c>
    </row>
    <row r="6229">
      <c r="A6229" s="1">
        <v>5.0</v>
      </c>
      <c r="B6229" s="1" t="s">
        <v>6189</v>
      </c>
      <c r="C6229" t="str">
        <f>IFERROR(__xludf.DUMMYFUNCTION("GOOGLETRANSLATE(B6229, ""es"", ""en"")"),"I have a Bosch washer satisfied, it is quite wide, ... fits like a glove. Good quality")</f>
        <v>I have a Bosch washer satisfied, it is quite wide, ... fits like a glove. Good quality</v>
      </c>
    </row>
    <row r="6230">
      <c r="A6230" s="1">
        <v>5.0</v>
      </c>
      <c r="B6230" s="1" t="s">
        <v>6190</v>
      </c>
      <c r="C6230" t="str">
        <f>IFERROR(__xludf.DUMMYFUNCTION("GOOGLETRANSLATE(B6230, ""es"", ""en"")"),"To the race. Ready, set, and ... I'm super surprised at the quality of these gadgets. Solid, with a good battery and comfortable, very comfortable. Hooves ears are for me essential to this issue, maintaining the fixtures in place. Their sound is optimal a"&amp;"nd efficient and fast connectivity without delay or asynchrony. Mola !!!")</f>
        <v>To the race. Ready, set, and ... I'm super surprised at the quality of these gadgets. Solid, with a good battery and comfortable, very comfortable. Hooves ears are for me essential to this issue, maintaining the fixtures in place. Their sound is optimal and efficient and fast connectivity without delay or asynchrony. Mola !!!</v>
      </c>
    </row>
    <row r="6231">
      <c r="A6231" s="1">
        <v>5.0</v>
      </c>
      <c r="B6231" s="1" t="s">
        <v>6191</v>
      </c>
      <c r="C6231" t="str">
        <f>IFERROR(__xludf.DUMMYFUNCTION("GOOGLETRANSLATE(B6231, ""es"", ""en"")"),"Exceptional In my personal opinion these helmets have an extraordinary quality. It should be borne in mind that do not use for study or for professional issues. The sound quality they have is amazing and nuances you hear ... I can not explain ... It's lik"&amp;"e before with the other helmets I estubiera losing 20% ​​of the total music.")</f>
        <v>Exceptional In my personal opinion these helmets have an extraordinary quality. It should be borne in mind that do not use for study or for professional issues. The sound quality they have is amazing and nuances you hear ... I can not explain ... It's like before with the other helmets I estubiera losing 20% ​​of the total music.</v>
      </c>
    </row>
    <row r="6232">
      <c r="A6232" s="1">
        <v>5.0</v>
      </c>
      <c r="B6232" s="1" t="s">
        <v>6192</v>
      </c>
      <c r="C6232" t="str">
        <f>IFERROR(__xludf.DUMMYFUNCTION("GOOGLETRANSLATE(B6232, ""es"", ""en"")"),"A good stand at a great price The truth is that I am delighted with the stand, the arm is quite large, so if you plan to use it in a place with little space, you should consider the measures. I encourage you to buy it even though there was hardly any refe"&amp;"rences, I only found a video on youtube and I found it good enough to risk, and the truth has been worthwhile. He looks robust and stable, I use it mainly with a condenser microphone with pop (Rode NT1) in my studio home, the question I had was whether he"&amp;" would be able to hold good weight, because I have seen some inexpensive stands fail to keep fixed a long time when the arm is fully extended. After having tried several days I have not had any problems, it's pretty solid and enduring weight without probl"&amp;"ems, I have left even several days with the microphone placed to see if he yielded, and has not stayed as I left. So in my opinion it deserves a good score, the price / quality ratio is very good.")</f>
        <v>A good stand at a great price The truth is that I am delighted with the stand, the arm is quite large, so if you plan to use it in a place with little space, you should consider the measures. I encourage you to buy it even though there was hardly any references, I only found a video on youtube and I found it good enough to risk, and the truth has been worthwhile. He looks robust and stable, I use it mainly with a condenser microphone with pop (Rode NT1) in my studio home, the question I had was whether he would be able to hold good weight, because I have seen some inexpensive stands fail to keep fixed a long time when the arm is fully extended. After having tried several days I have not had any problems, it's pretty solid and enduring weight without problems, I have left even several days with the microphone placed to see if he yielded, and has not stayed as I left. So in my opinion it deserves a good score, the price / quality ratio is very good.</v>
      </c>
    </row>
    <row r="6233">
      <c r="A6233" s="1">
        <v>5.0</v>
      </c>
      <c r="B6233" s="1" t="s">
        <v>6193</v>
      </c>
      <c r="C6233" t="str">
        <f>IFERROR(__xludf.DUMMYFUNCTION("GOOGLETRANSLATE(B6233, ""es"", ""en"")"),"That is, breathable shoes are very comfortable and anatomicis")</f>
        <v>That is, breathable shoes are very comfortable and anatomicis</v>
      </c>
    </row>
    <row r="6234">
      <c r="A6234" s="1">
        <v>5.0</v>
      </c>
      <c r="B6234" s="1" t="s">
        <v>6194</v>
      </c>
      <c r="C6234" t="str">
        <f>IFERROR(__xludf.DUMMYFUNCTION("GOOGLETRANSLATE(B6234, ""es"", ""en"")"),"Light and very complete is much more than a laser pointer. Often use PowerPoint for presentations to my workers, using this pointer can give another dynamic and move around the room while I explain the slides. You can even increase the volume of videos in"&amp;" PowerPoint. lightweight and very comfortable to use super. Another curiosity is that the pointer reaches an enormous distance, about 300 m easily.")</f>
        <v>Light and very complete is much more than a laser pointer. Often use PowerPoint for presentations to my workers, using this pointer can give another dynamic and move around the room while I explain the slides. You can even increase the volume of videos in PowerPoint. lightweight and very comfortable to use super. Another curiosity is that the pointer reaches an enormous distance, about 300 m easily.</v>
      </c>
    </row>
    <row r="6235">
      <c r="A6235" s="1">
        <v>5.0</v>
      </c>
      <c r="B6235" s="1" t="s">
        <v>6195</v>
      </c>
      <c r="C6235" t="str">
        <f>IFERROR(__xludf.DUMMYFUNCTION("GOOGLETRANSLATE(B6235, ""es"", ""en"")"),"Original complies fully with expectations, super pleased with purchase !! Original 100x100")</f>
        <v>Original complies fully with expectations, super pleased with purchase !! Original 100x100</v>
      </c>
    </row>
    <row r="6236">
      <c r="A6236" s="1">
        <v>5.0</v>
      </c>
      <c r="B6236" s="1" t="s">
        <v>6196</v>
      </c>
      <c r="C6236" t="str">
        <f>IFERROR(__xludf.DUMMYFUNCTION("GOOGLETRANSLATE(B6236, ""es"", ""en"")"),"Good quality content")</f>
        <v>Good quality content</v>
      </c>
    </row>
    <row r="6237">
      <c r="A6237" s="1">
        <v>5.0</v>
      </c>
      <c r="B6237" s="1" t="s">
        <v>6197</v>
      </c>
      <c r="C6237" t="str">
        <f>IFERROR(__xludf.DUMMYFUNCTION("GOOGLETRANSLATE(B6237, ""es"", ""en"")"),"Great. Just great!! It is small, compact, ergonomic and with an incredible touch. The USB connector is built into the compartment of the cell, which is appreciated to always keep it handy and not lose it. It comes in a simple box but beautifully presented"&amp;". I highly recommend it.")</f>
        <v>Great. Just great!! It is small, compact, ergonomic and with an incredible touch. The USB connector is built into the compartment of the cell, which is appreciated to always keep it handy and not lose it. It comes in a simple box but beautifully presented. I highly recommend it.</v>
      </c>
    </row>
    <row r="6238">
      <c r="A6238" s="1">
        <v>5.0</v>
      </c>
      <c r="B6238" s="1" t="s">
        <v>6198</v>
      </c>
      <c r="C6238" t="str">
        <f>IFERROR(__xludf.DUMMYFUNCTION("GOOGLETRANSLATE(B6238, ""es"", ""en"")"),"Slate, magnets and pens. Well packaged. Llego Okay, okay packed, undamaged and fulfill its functions, the kit is very complete, markers, eraser and magnets.")</f>
        <v>Slate, magnets and pens. Well packaged. Llego Okay, okay packed, undamaged and fulfill its functions, the kit is very complete, markers, eraser and magnets.</v>
      </c>
    </row>
    <row r="6239">
      <c r="A6239" s="1">
        <v>2.0</v>
      </c>
      <c r="B6239" s="1" t="s">
        <v>6199</v>
      </c>
      <c r="C6239" t="str">
        <f>IFERROR(__xludf.DUMMYFUNCTION("GOOGLETRANSLATE(B6239, ""es"", ""en"")"),"nice but faulty kettle. The kettle is very nice aesthetically, compact and useful for one person. But the disappointment has been nothing but open it to see that the LED light does not turn back. Neither red nor green. Nothing. I think before you send the"&amp;" product should look that the product is in perfect condition because it is a whole roll hustle of having to repack, go to the post office to return it and ask for another. It makes the experience something unpleasant and heavy.")</f>
        <v>nice but faulty kettle. The kettle is very nice aesthetically, compact and useful for one person. But the disappointment has been nothing but open it to see that the LED light does not turn back. Neither red nor green. Nothing. I think before you send the product should look that the product is in perfect condition because it is a whole roll hustle of having to repack, go to the post office to return it and ask for another. It makes the experience something unpleasant and heavy.</v>
      </c>
    </row>
    <row r="6240">
      <c r="A6240" s="1">
        <v>3.0</v>
      </c>
      <c r="B6240" s="1" t="s">
        <v>6200</v>
      </c>
      <c r="C6240" t="str">
        <f>IFERROR(__xludf.DUMMYFUNCTION("GOOGLETRANSLATE(B6240, ""es"", ""en"")"),"No simple back cover")</f>
        <v>No simple back cover</v>
      </c>
    </row>
    <row r="6241">
      <c r="A6241" s="1">
        <v>3.0</v>
      </c>
      <c r="B6241" s="1" t="s">
        <v>6201</v>
      </c>
      <c r="C6241" t="str">
        <f>IFERROR(__xludf.DUMMYFUNCTION("GOOGLETRANSLATE(B6241, ""es"", ""en"")"),"Buyer must the Smartlav +. If you give a correct use of the Smartlav +, lovais need because otherwise the minimum that you abstain from mobile or device to which you are going to give you not connect the cable. It looks fine in theory but high quality (be"&amp;"ware cats and chairs that can break). The downside is that it does not come included with the base Smartlav + and the extortionate price. We will touch pass hoop.")</f>
        <v>Buyer must the Smartlav +. If you give a correct use of the Smartlav +, lovais need because otherwise the minimum that you abstain from mobile or device to which you are going to give you not connect the cable. It looks fine in theory but high quality (beware cats and chairs that can break). The downside is that it does not come included with the base Smartlav + and the extortionate price. We will touch pass hoop.</v>
      </c>
    </row>
    <row r="6242">
      <c r="A6242" s="1">
        <v>3.0</v>
      </c>
      <c r="B6242" s="1" t="s">
        <v>6202</v>
      </c>
      <c r="C6242" t="str">
        <f>IFERROR(__xludf.DUMMYFUNCTION("GOOGLETRANSLATE(B6242, ""es"", ""en"")"),"passable passable")</f>
        <v>passable passable</v>
      </c>
    </row>
    <row r="6243">
      <c r="A6243" s="1">
        <v>1.0</v>
      </c>
      <c r="B6243" s="1" t="s">
        <v>6203</v>
      </c>
      <c r="C6243" t="str">
        <f>IFERROR(__xludf.DUMMYFUNCTION("GOOGLETRANSLATE(B6243, ""es"", ""en"")"),"Rota poor quality and has not left me good, put two days literally and not consecutive. Quitándomela sleeping and showering")</f>
        <v>Rota poor quality and has not left me good, put two days literally and not consecutive. Quitándomela sleeping and showering</v>
      </c>
    </row>
    <row r="6244">
      <c r="A6244" s="1">
        <v>1.0</v>
      </c>
      <c r="B6244" s="1" t="s">
        <v>6204</v>
      </c>
      <c r="C6244" t="str">
        <f>IFERROR(__xludf.DUMMYFUNCTION("GOOGLETRANSLATE(B6244, ""es"", ""en"")"),"Pica underpowered power")</f>
        <v>Pica underpowered power</v>
      </c>
    </row>
    <row r="6245">
      <c r="A6245" s="1">
        <v>4.0</v>
      </c>
      <c r="B6245" s="1" t="s">
        <v>6205</v>
      </c>
      <c r="C6245" t="str">
        <f>IFERROR(__xludf.DUMMYFUNCTION("GOOGLETRANSLATE(B6245, ""es"", ""en"")"),"Very comfortable adapts well to the body. Meets my expectations.")</f>
        <v>Very comfortable adapts well to the body. Meets my expectations.</v>
      </c>
    </row>
    <row r="6246">
      <c r="A6246" s="1">
        <v>4.0</v>
      </c>
      <c r="B6246" s="1" t="s">
        <v>6206</v>
      </c>
      <c r="C6246" t="str">
        <f>IFERROR(__xludf.DUMMYFUNCTION("GOOGLETRANSLATE(B6246, ""es"", ""en"")"),"Nice and light pretty pendant. I really like the design")</f>
        <v>Nice and light pretty pendant. I really like the design</v>
      </c>
    </row>
    <row r="6247">
      <c r="A6247" s="1">
        <v>4.0</v>
      </c>
      <c r="B6247" s="1" t="s">
        <v>6207</v>
      </c>
      <c r="C6247" t="str">
        <f>IFERROR(__xludf.DUMMYFUNCTION("GOOGLETRANSLATE(B6247, ""es"", ""en"")"),"Very convenient and comfortable practical. A little small for big people, but very useful for any cervical area ....")</f>
        <v>Very convenient and comfortable practical. A little small for big people, but very useful for any cervical area ....</v>
      </c>
    </row>
    <row r="6248">
      <c r="A6248" s="1">
        <v>4.0</v>
      </c>
      <c r="B6248" s="1" t="s">
        <v>6208</v>
      </c>
      <c r="C6248" t="str">
        <f>IFERROR(__xludf.DUMMYFUNCTION("GOOGLETRANSLATE(B6248, ""es"", ""en"")"),"Good and nice bag nice bag. Very useful. It is equal to the photos. I gave him my father is happy.")</f>
        <v>Good and nice bag nice bag. Very useful. It is equal to the photos. I gave him my father is happy.</v>
      </c>
    </row>
    <row r="6249">
      <c r="A6249" s="1">
        <v>4.0</v>
      </c>
      <c r="B6249" s="1" t="s">
        <v>6209</v>
      </c>
      <c r="C6249" t="str">
        <f>IFERROR(__xludf.DUMMYFUNCTION("GOOGLETRANSLATE(B6249, ""es"", ""en"")"),"As described interesting")</f>
        <v>As described interesting</v>
      </c>
    </row>
    <row r="6250">
      <c r="A6250" s="1">
        <v>5.0</v>
      </c>
      <c r="B6250" s="1" t="s">
        <v>6210</v>
      </c>
      <c r="C6250" t="str">
        <f>IFERROR(__xludf.DUMMYFUNCTION("GOOGLETRANSLATE(B6250, ""es"", ""en"")"),"Fast and Furious The faster the West, turn on your pc in 2 seconds is a wonder")</f>
        <v>Fast and Furious The faster the West, turn on your pc in 2 seconds is a wonder</v>
      </c>
    </row>
    <row r="6251">
      <c r="A6251" s="1">
        <v>5.0</v>
      </c>
      <c r="B6251" s="1" t="s">
        <v>6211</v>
      </c>
      <c r="C6251" t="str">
        <f>IFERROR(__xludf.DUMMYFUNCTION("GOOGLETRANSLATE(B6251, ""es"", ""en"")"),"THIS BRAND IS BEST FOR THE GREAT Breasts PILLE A PRICE REDUCED ... ABOUT 20 €")</f>
        <v>THIS BRAND IS BEST FOR THE GREAT Breasts PILLE A PRICE REDUCED ... ABOUT 20 €</v>
      </c>
    </row>
    <row r="6252">
      <c r="A6252" s="1">
        <v>5.0</v>
      </c>
      <c r="B6252" s="1" t="s">
        <v>6212</v>
      </c>
      <c r="C6252" t="str">
        <f>IFERROR(__xludf.DUMMYFUNCTION("GOOGLETRANSLATE(B6252, ""es"", ""en"")"),"Quality was quite pleased. Thank you")</f>
        <v>Quality was quite pleased. Thank you</v>
      </c>
    </row>
    <row r="6253">
      <c r="A6253" s="1">
        <v>5.0</v>
      </c>
      <c r="B6253" s="1" t="s">
        <v>6213</v>
      </c>
      <c r="C6253" t="str">
        <f>IFERROR(__xludf.DUMMYFUNCTION("GOOGLETRANSLATE(B6253, ""es"", ""en"")"),"EXTRAORDINARY PURCHASE. It is fantastic, just what I wanted AND TO THE BEST PRICE. I am very fond of watches and this I take it off very little. It is very very nice.")</f>
        <v>EXTRAORDINARY PURCHASE. It is fantastic, just what I wanted AND TO THE BEST PRICE. I am very fond of watches and this I take it off very little. It is very very nice.</v>
      </c>
    </row>
    <row r="6254">
      <c r="A6254" s="1">
        <v>5.0</v>
      </c>
      <c r="B6254" s="1" t="s">
        <v>6214</v>
      </c>
      <c r="C6254" t="str">
        <f>IFERROR(__xludf.DUMMYFUNCTION("GOOGLETRANSLATE(B6254, ""es"", ""en"")"),"habitual consumer of this product I bought it to illuminate and moisturize my hair and I have extended their use to face. I think small gestural softens wrinkles. My experience with argan oils is limited to two brands and I'll take this: it does not smell"&amp;" and is economical!")</f>
        <v>habitual consumer of this product I bought it to illuminate and moisturize my hair and I have extended their use to face. I think small gestural softens wrinkles. My experience with argan oils is limited to two brands and I'll take this: it does not smell and is economical!</v>
      </c>
    </row>
    <row r="6255">
      <c r="A6255" s="1">
        <v>5.0</v>
      </c>
      <c r="B6255" s="1" t="s">
        <v>6215</v>
      </c>
      <c r="C6255" t="str">
        <f>IFERROR(__xludf.DUMMYFUNCTION("GOOGLETRANSLATE(B6255, ""es"", ""en"")"),"DoGeeK are very comfortable and now even in hot weather go very well. As they are expected and are identical to the photos.")</f>
        <v>DoGeeK are very comfortable and now even in hot weather go very well. As they are expected and are identical to the photos.</v>
      </c>
    </row>
    <row r="6256">
      <c r="A6256" s="1">
        <v>5.0</v>
      </c>
      <c r="B6256" s="1" t="s">
        <v>6216</v>
      </c>
      <c r="C6256" t="str">
        <f>IFERROR(__xludf.DUMMYFUNCTION("GOOGLETRANSLATE(B6256, ""es"", ""en"")"),"A great portability &lt;div id = ""video-block-R23YFFMSASY512"" class = ""a-section a-spacing-small to-spacing-top mini-video block""&gt; &lt;/ div&gt; &lt;input type = ""hidden"" name = """" value = ""https://images-eu.ssl-images-amazon.com/images/I/B1zC6KM-n8S.mp4"" c"&amp;"lass = ""video-url""&gt; &lt;input type = ""hidden"" name = "" ""value ="" https://images-eu.ssl-images-amazon.com/images/I/514kv7tODUS.png ""class ="" video-slate-img-url ""&gt; &amp; nbsp; As a professional photographer, I like to work in any place and situation, ei"&amp;"ther with desktop and laptop. Today as connecting a USB 3.1 SSD equals fast as SATA as most SSDs are limited in reading and writing 500MB / s, it was clear. Instead of using an internal disk, external because it will have virtually no speed will vary. The"&amp;" disc itself is amazing, super small, with good design, with touch rubber sides and base, and hard plastic on top. It also has a face to attach some kind of strap. Your connection is USB-C and then includes a cable that also connects USB-C or you can put "&amp;"the USB3.1 adapter which is also included. Weighs nothing, we can take in any pocket of a pair of jeans and speed I have gotten in the tests is the same as the SSD connected to SATA in my tower. Now I can work anywhere, bringing my work to date without ha"&amp;"ving to worry about synchronizing data on other devices. And the rate at which pictures are transferred and Lightroom moves between libraries of thousands of photos, no color with respect to a mechanical disk. Working with more than 200,000 photos to the "&amp;"year, using an SSD seems paramount. BENCHMARK (1 GB): Reading: 516 MB / s WRITING: 420 MB / s TIME ACCESS: 0.100 0.106 ms Reading and Writing")</f>
        <v>A great portability &lt;div id = "video-block-R23YFFMSASY512" class = "a-section a-spacing-small to-spacing-top mini-video block"&gt; &lt;/ div&gt; &lt;input type = "hidden" name = "" value = "https://images-eu.ssl-images-amazon.com/images/I/B1zC6KM-n8S.mp4" class = "video-url"&gt; &lt;input type = "hidden" name = " "value =" https://images-eu.ssl-images-amazon.com/images/I/514kv7tODUS.png "class =" video-slate-img-url "&gt; &amp; nbsp; As a professional photographer, I like to work in any place and situation, either with desktop and laptop. Today as connecting a USB 3.1 SSD equals fast as SATA as most SSDs are limited in reading and writing 500MB / s, it was clear. Instead of using an internal disk, external because it will have virtually no speed will vary. The disc itself is amazing, super small, with good design, with touch rubber sides and base, and hard plastic on top. It also has a face to attach some kind of strap. Your connection is USB-C and then includes a cable that also connects USB-C or you can put the USB3.1 adapter which is also included. Weighs nothing, we can take in any pocket of a pair of jeans and speed I have gotten in the tests is the same as the SSD connected to SATA in my tower. Now I can work anywhere, bringing my work to date without having to worry about synchronizing data on other devices. And the rate at which pictures are transferred and Lightroom moves between libraries of thousands of photos, no color with respect to a mechanical disk. Working with more than 200,000 photos to the year, using an SSD seems paramount. BENCHMARK (1 GB): Reading: 516 MB / s WRITING: 420 MB / s TIME ACCESS: 0.100 0.106 ms Reading and Writing</v>
      </c>
    </row>
    <row r="6257">
      <c r="A6257" s="1">
        <v>5.0</v>
      </c>
      <c r="B6257" s="1" t="s">
        <v>6217</v>
      </c>
      <c r="C6257" t="str">
        <f>IFERROR(__xludf.DUMMYFUNCTION("GOOGLETRANSLATE(B6257, ""es"", ""en"")"),"They like me. They were not me were for me nephew liked")</f>
        <v>They like me. They were not me were for me nephew liked</v>
      </c>
    </row>
    <row r="6258">
      <c r="A6258" s="1">
        <v>5.0</v>
      </c>
      <c r="B6258" s="1" t="s">
        <v>6218</v>
      </c>
      <c r="C6258" t="str">
        <f>IFERROR(__xludf.DUMMYFUNCTION("GOOGLETRANSLATE(B6258, ""es"", ""en"")"),"Paste very well use LED lights for buttons stuck in a very dark and huge closet. Paste very well and go several months without any of the lights off. I hit 6 and functions as it should be.")</f>
        <v>Paste very well use LED lights for buttons stuck in a very dark and huge closet. Paste very well and go several months without any of the lights off. I hit 6 and functions as it should be.</v>
      </c>
    </row>
    <row r="6259">
      <c r="A6259" s="1">
        <v>5.0</v>
      </c>
      <c r="B6259" s="1" t="s">
        <v>6219</v>
      </c>
      <c r="C6259" t="str">
        <f>IFERROR(__xludf.DUMMYFUNCTION("GOOGLETRANSLATE(B6259, ""es"", ""en"")"),"Buenisimos Quality, comfort, elegance, some modern, easy to clean, assured durability, good price. Wearable without discomfort from the 1st minute. I recommend it.")</f>
        <v>Buenisimos Quality, comfort, elegance, some modern, easy to clean, assured durability, good price. Wearable without discomfort from the 1st minute. I recommend it.</v>
      </c>
    </row>
    <row r="6260">
      <c r="A6260" s="1">
        <v>5.0</v>
      </c>
      <c r="B6260" s="1" t="s">
        <v>6220</v>
      </c>
      <c r="C6260" t="str">
        <f>IFERROR(__xludf.DUMMYFUNCTION("GOOGLETRANSLATE(B6260, ""es"", ""en"")"),"Incredible headphones The headphones came very fast. When tested upon arrival I was surprised how fast use and quality of the audio. When you turn have an auto pairing between the two headphones, this is if you just want to use one of them. The pair with "&amp;"the mobile and the sound seemed really good. It will not be that if headphones fit perfectly in the ear and fit so that blocks almost all external sound and reproduces a clean, clear sound with acceptable low. What I liked most was the way to control the "&amp;"volume tactilely songs, very useful when you play sports. Battery I have not tested to spend on everything, but I used to go running an hour and half hour of stretching and have endured perfectly. I must say they are the best I have tasted k other than k "&amp;"headband ... I fit so well they do not fall and they are resistant to sweat. Then bring box charger is amazing ... bring a battery of 3000 mah very useful to take them anywhere. The scope of the Bluetooth is good. In my house one 8 9 meters Uncut perfect "&amp;"work. And the auto off I also liked. Ultimately a success. Recommended")</f>
        <v>Incredible headphones The headphones came very fast. When tested upon arrival I was surprised how fast use and quality of the audio. When you turn have an auto pairing between the two headphones, this is if you just want to use one of them. The pair with the mobile and the sound seemed really good. It will not be that if headphones fit perfectly in the ear and fit so that blocks almost all external sound and reproduces a clean, clear sound with acceptable low. What I liked most was the way to control the volume tactilely songs, very useful when you play sports. Battery I have not tested to spend on everything, but I used to go running an hour and half hour of stretching and have endured perfectly. I must say they are the best I have tasted k other than k headband ... I fit so well they do not fall and they are resistant to sweat. Then bring box charger is amazing ... bring a battery of 3000 mah very useful to take them anywhere. The scope of the Bluetooth is good. In my house one 8 9 meters Uncut perfect work. And the auto off I also liked. Ultimately a success. Recommended</v>
      </c>
    </row>
    <row r="6261">
      <c r="A6261" s="1">
        <v>5.0</v>
      </c>
      <c r="B6261" s="1" t="s">
        <v>6221</v>
      </c>
      <c r="C6261" t="str">
        <f>IFERROR(__xludf.DUMMYFUNCTION("GOOGLETRANSLATE(B6261, ""es"", ""en"")"),"very comfortable very good")</f>
        <v>very comfortable very good</v>
      </c>
    </row>
    <row r="6262">
      <c r="A6262" s="1">
        <v>5.0</v>
      </c>
      <c r="B6262" s="1" t="s">
        <v>6222</v>
      </c>
      <c r="C6262" t="str">
        <f>IFERROR(__xludf.DUMMYFUNCTION("GOOGLETRANSLATE(B6262, ""es"", ""en"")"),"Good product at a good price equal to the original")</f>
        <v>Good product at a good price equal to the original</v>
      </c>
    </row>
    <row r="6263">
      <c r="A6263" s="1">
        <v>5.0</v>
      </c>
      <c r="B6263" s="1" t="s">
        <v>6223</v>
      </c>
      <c r="C6263" t="str">
        <f>IFERROR(__xludf.DUMMYFUNCTION("GOOGLETRANSLATE(B6263, ""es"", ""en"")"),"Adidas is very good opportunity, the value was good, advisable")</f>
        <v>Adidas is very good opportunity, the value was good, advisable</v>
      </c>
    </row>
    <row r="6264">
      <c r="A6264" s="1">
        <v>5.0</v>
      </c>
      <c r="B6264" s="1" t="s">
        <v>6224</v>
      </c>
      <c r="C6264" t="str">
        <f>IFERROR(__xludf.DUMMYFUNCTION("GOOGLETRANSLATE(B6264, ""es"", ""en"")"),"Very good quality!! I needed an electric blanket to warm a double bed and the truth that I was right with this completely. For its measures 130x180, is ideal for a double bed, the fabric is very pleasing to the touch and very warm. Has two sides, one ligh"&amp;"t and one dark ... and to be able to remove the cable can be washed in the washing machine smoothly and more easily placed in bed as you do not mind the wire, once a well placed plugs and ready to work. What I like most is that at 3 o'clock she goes out a"&amp;"lone and so I do not care if we fall asleep with it on. It has 6 heating levels to choose from depending on how cold it or heat you want. So far nothing negative to report. Same time I buy another, because it also seems ideal for its velvety feel to be wa"&amp;"rm on the couch.")</f>
        <v>Very good quality!! I needed an electric blanket to warm a double bed and the truth that I was right with this completely. For its measures 130x180, is ideal for a double bed, the fabric is very pleasing to the touch and very warm. Has two sides, one light and one dark ... and to be able to remove the cable can be washed in the washing machine smoothly and more easily placed in bed as you do not mind the wire, once a well placed plugs and ready to work. What I like most is that at 3 o'clock she goes out alone and so I do not care if we fall asleep with it on. It has 6 heating levels to choose from depending on how cold it or heat you want. So far nothing negative to report. Same time I buy another, because it also seems ideal for its velvety feel to be warm on the couch.</v>
      </c>
    </row>
    <row r="6265">
      <c r="A6265" s="1">
        <v>5.0</v>
      </c>
      <c r="B6265" s="1" t="s">
        <v>6225</v>
      </c>
      <c r="C6265" t="str">
        <f>IFERROR(__xludf.DUMMYFUNCTION("GOOGLETRANSLATE(B6265, ""es"", ""en"")"),"Good product Good jacket. Excellent tissue.")</f>
        <v>Good product Good jacket. Excellent tissue.</v>
      </c>
    </row>
    <row r="6266">
      <c r="A6266" s="1">
        <v>5.0</v>
      </c>
      <c r="B6266" s="1" t="s">
        <v>6226</v>
      </c>
      <c r="C6266" t="str">
        <f>IFERROR(__xludf.DUMMYFUNCTION("GOOGLETRANSLATE(B6266, ""es"", ""en"")"),"Good keyboard !! If you need a midi keyboard to start, this is certainly your keyboard. But in describing places there is a promotion that includes a series of Plugins of Xpand! 2 of which does not appear when recording the keyboard on the M-Audio page, t"&amp;"hey should fix it. Otherwise all right.")</f>
        <v>Good keyboard !! If you need a midi keyboard to start, this is certainly your keyboard. But in describing places there is a promotion that includes a series of Plugins of Xpand! 2 of which does not appear when recording the keyboard on the M-Audio page, they should fix it. Otherwise all right.</v>
      </c>
    </row>
    <row r="6267">
      <c r="A6267" s="1">
        <v>5.0</v>
      </c>
      <c r="B6267" s="1" t="s">
        <v>6227</v>
      </c>
      <c r="C6267" t="str">
        <f>IFERROR(__xludf.DUMMYFUNCTION("GOOGLETRANSLATE(B6267, ""es"", ""en"")"),"Well this pretty good for the price")</f>
        <v>Well this pretty good for the price</v>
      </c>
    </row>
    <row r="6268">
      <c r="A6268" s="1">
        <v>2.0</v>
      </c>
      <c r="B6268" s="1" t="s">
        <v>6228</v>
      </c>
      <c r="C6268" t="str">
        <f>IFERROR(__xludf.DUMMYFUNCTION("GOOGLETRANSLATE(B6268, ""es"", ""en"")"),"Sergio The system has to hold it on the surface is worthless. After two or three minutes although it seems that it will not move ... I always find it fallen out. I put myself or my cousin Carpenter. The truth is that very disappointed to have to leave it "&amp;"on the floor as he did with the previous one.")</f>
        <v>Sergio The system has to hold it on the surface is worthless. After two or three minutes although it seems that it will not move ... I always find it fallen out. I put myself or my cousin Carpenter. The truth is that very disappointed to have to leave it on the floor as he did with the previous one.</v>
      </c>
    </row>
    <row r="6269">
      <c r="A6269" s="1">
        <v>3.0</v>
      </c>
      <c r="B6269" s="1" t="s">
        <v>6229</v>
      </c>
      <c r="C6269" t="str">
        <f>IFERROR(__xludf.DUMMYFUNCTION("GOOGLETRANSLATE(B6269, ""es"", ""en"")"),"Little life disillusion wireless, to the one to have to plug into the mains, cintinuamente but does not work.")</f>
        <v>Little life disillusion wireless, to the one to have to plug into the mains, cintinuamente but does not work.</v>
      </c>
    </row>
    <row r="6270">
      <c r="A6270" s="1">
        <v>1.0</v>
      </c>
      <c r="B6270" s="1" t="s">
        <v>6230</v>
      </c>
      <c r="C6270" t="str">
        <f>IFERROR(__xludf.DUMMYFUNCTION("GOOGLETRANSLATE(B6270, ""es"", ""en"")"),"Lack of heat mats have always had dagger, why buy another of the same brand, but this time I have been disappointed not heat or a third of what had always heated")</f>
        <v>Lack of heat mats have always had dagger, why buy another of the same brand, but this time I have been disappointed not heat or a third of what had always heated</v>
      </c>
    </row>
    <row r="6271">
      <c r="A6271" s="1">
        <v>1.0</v>
      </c>
      <c r="B6271" s="1" t="s">
        <v>6231</v>
      </c>
      <c r="C6271" t="str">
        <f>IFERROR(__xludf.DUMMYFUNCTION("GOOGLETRANSLATE(B6271, ""es"", ""en"")"),"Horrible It has nothing to do with what you see. It is cotton. I did not like anything. In addition, the size is very small")</f>
        <v>Horrible It has nothing to do with what you see. It is cotton. I did not like anything. In addition, the size is very small</v>
      </c>
    </row>
    <row r="6272">
      <c r="A6272" s="1">
        <v>4.0</v>
      </c>
      <c r="B6272" s="1" t="s">
        <v>6232</v>
      </c>
      <c r="C6272" t="str">
        <f>IFERROR(__xludf.DUMMYFUNCTION("GOOGLETRANSLATE(B6272, ""es"", ""en"")"),"Versatile and useful makes their job properly. A flash to use both ports (USB and USB-A-C). Upload speed is not great.")</f>
        <v>Versatile and useful makes their job properly. A flash to use both ports (USB and USB-A-C). Upload speed is not great.</v>
      </c>
    </row>
    <row r="6273">
      <c r="A6273" s="1">
        <v>4.0</v>
      </c>
      <c r="B6273" s="1" t="s">
        <v>6233</v>
      </c>
      <c r="C6273" t="str">
        <f>IFERROR(__xludf.DUMMYFUNCTION("GOOGLETRANSLATE(B6273, ""es"", ""en"")"),"Good quality product presentation Very well packaged")</f>
        <v>Good quality product presentation Very well packaged</v>
      </c>
    </row>
    <row r="6274">
      <c r="A6274" s="1">
        <v>4.0</v>
      </c>
      <c r="B6274" s="1" t="s">
        <v>6234</v>
      </c>
      <c r="C6274" t="str">
        <f>IFERROR(__xludf.DUMMYFUNCTION("GOOGLETRANSLATE(B6274, ""es"", ""en"")"),"GOOD PRODUCT I thought it was good quality. I've used it for several ripped into a Barbour. It seems very sturdy and perfect hits. I thought a little small but enough given me.")</f>
        <v>GOOD PRODUCT I thought it was good quality. I've used it for several ripped into a Barbour. It seems very sturdy and perfect hits. I thought a little small but enough given me.</v>
      </c>
    </row>
    <row r="6275">
      <c r="A6275" s="1">
        <v>4.0</v>
      </c>
      <c r="B6275" s="1" t="s">
        <v>6235</v>
      </c>
      <c r="C6275" t="str">
        <f>IFERROR(__xludf.DUMMYFUNCTION("GOOGLETRANSLATE(B6275, ""es"", ""en"")"),"Meets expectations works great, it weighs very little time and keeps its color. The whistling is not very high but hear perfectly")</f>
        <v>Meets expectations works great, it weighs very little time and keeps its color. The whistling is not very high but hear perfectly</v>
      </c>
    </row>
    <row r="6276">
      <c r="A6276" s="1">
        <v>4.0</v>
      </c>
      <c r="B6276" s="1" t="s">
        <v>6236</v>
      </c>
      <c r="C6276" t="str">
        <f>IFERROR(__xludf.DUMMYFUNCTION("GOOGLETRANSLATE(B6276, ""es"", ""en"")"),"Quality appearance quality looks good, but I imagined the larger sphere.")</f>
        <v>Quality appearance quality looks good, but I imagined the larger sphere.</v>
      </c>
    </row>
    <row r="6277">
      <c r="A6277" s="1">
        <v>5.0</v>
      </c>
      <c r="B6277" s="1" t="s">
        <v>6237</v>
      </c>
      <c r="C6277" t="str">
        <f>IFERROR(__xludf.DUMMYFUNCTION("GOOGLETRANSLATE(B6277, ""es"", ""en"")"),"Product as quickly and wished I liked everything")</f>
        <v>Product as quickly and wished I liked everything</v>
      </c>
    </row>
    <row r="6278">
      <c r="A6278" s="1">
        <v>5.0</v>
      </c>
      <c r="B6278" s="1" t="s">
        <v>6238</v>
      </c>
      <c r="C6278" t="str">
        <f>IFERROR(__xludf.DUMMYFUNCTION("GOOGLETRANSLATE(B6278, ""es"", ""en"")"),"High performance at a reduced size Thanks to the great capacity and its small size is ideal for carry your music in the car. Copies are realmentes fast thanks to USB 3.1 complies with the standard")</f>
        <v>High performance at a reduced size Thanks to the great capacity and its small size is ideal for carry your music in the car. Copies are realmentes fast thanks to USB 3.1 complies with the standard</v>
      </c>
    </row>
    <row r="6279">
      <c r="A6279" s="1">
        <v>5.0</v>
      </c>
      <c r="B6279" s="1" t="s">
        <v>6239</v>
      </c>
      <c r="C6279" t="str">
        <f>IFERROR(__xludf.DUMMYFUNCTION("GOOGLETRANSLATE(B6279, ""es"", ""en"")"),"Slippers The product is advertised as such. correct sizes. Comfortable and very warm. We are pleased with the purchase.")</f>
        <v>Slippers The product is advertised as such. correct sizes. Comfortable and very warm. We are pleased with the purchase.</v>
      </c>
    </row>
    <row r="6280">
      <c r="A6280" s="1">
        <v>5.0</v>
      </c>
      <c r="B6280" s="1" t="s">
        <v>6240</v>
      </c>
      <c r="C6280" t="str">
        <f>IFERROR(__xludf.DUMMYFUNCTION("GOOGLETRANSLATE(B6280, ""es"", ""en"")"),"They stick well and can write to them if you need is markers that are durable is a good choice because they are plastic and is much more difficult creasing them or bend the paper. In addition both the first stick very well as if you later want to change t"&amp;"he site. The fact that part of his body is transparent allows tapes no text. Seeking other features that meet perfectly is that you can write about them without problems. If you really good markers you want is an option to consider for quality and price.")</f>
        <v>They stick well and can write to them if you need is markers that are durable is a good choice because they are plastic and is much more difficult creasing them or bend the paper. In addition both the first stick very well as if you later want to change the site. The fact that part of his body is transparent allows tapes no text. Seeking other features that meet perfectly is that you can write about them without problems. If you really good markers you want is an option to consider for quality and price.</v>
      </c>
    </row>
    <row r="6281">
      <c r="A6281" s="1">
        <v>5.0</v>
      </c>
      <c r="B6281" s="1" t="s">
        <v>6241</v>
      </c>
      <c r="C6281" t="str">
        <f>IFERROR(__xludf.DUMMYFUNCTION("GOOGLETRANSLATE(B6281, ""es"", ""en"")"),"Phenomenal! It works perfectly. It is very elegant and easy to keep clean. It not much is produced noise and sizes are perfect for a large or small kitchen.")</f>
        <v>Phenomenal! It works perfectly. It is very elegant and easy to keep clean. It not much is produced noise and sizes are perfect for a large or small kitchen.</v>
      </c>
    </row>
    <row r="6282">
      <c r="A6282" s="1">
        <v>5.0</v>
      </c>
      <c r="B6282" s="1" t="s">
        <v>6242</v>
      </c>
      <c r="C6282" t="str">
        <f>IFERROR(__xludf.DUMMYFUNCTION("GOOGLETRANSLATE(B6282, ""es"", ""en"")"),"Good quality headphones come in a very nice and perfectly protected box also came right away and hear very well, I use them for sports")</f>
        <v>Good quality headphones come in a very nice and perfectly protected box also came right away and hear very well, I use them for sports</v>
      </c>
    </row>
    <row r="6283">
      <c r="A6283" s="1">
        <v>5.0</v>
      </c>
      <c r="B6283" s="1" t="s">
        <v>6243</v>
      </c>
      <c r="C6283" t="str">
        <f>IFERROR(__xludf.DUMMYFUNCTION("GOOGLETRANSLATE(B6283, ""es"", ""en"")"),"Very good Fantastico Clock with money outstanding. Very light, good looking, solar indicating cargo reservation and the assurance that a casio.")</f>
        <v>Very good Fantastico Clock with money outstanding. Very light, good looking, solar indicating cargo reservation and the assurance that a casio.</v>
      </c>
    </row>
    <row r="6284">
      <c r="A6284" s="1">
        <v>5.0</v>
      </c>
      <c r="B6284" s="1" t="s">
        <v>6244</v>
      </c>
      <c r="C6284" t="str">
        <f>IFERROR(__xludf.DUMMYFUNCTION("GOOGLETRANSLATE(B6284, ""es"", ""en"")"),"Small and compact practical and useful for those who do not want to portfolio")</f>
        <v>Small and compact practical and useful for those who do not want to portfolio</v>
      </c>
    </row>
    <row r="6285">
      <c r="A6285" s="1">
        <v>5.0</v>
      </c>
      <c r="B6285" s="1" t="s">
        <v>6245</v>
      </c>
      <c r="C6285" t="str">
        <f>IFERROR(__xludf.DUMMYFUNCTION("GOOGLETRANSLATE(B6285, ""es"", ""en"")"),"Besides thrilled fulfill its function, being adherent to me seem very beautiful and comfortable, perfect size, and that I have a big foot.")</f>
        <v>Besides thrilled fulfill its function, being adherent to me seem very beautiful and comfortable, perfect size, and that I have a big foot.</v>
      </c>
    </row>
    <row r="6286">
      <c r="A6286" s="1">
        <v>5.0</v>
      </c>
      <c r="B6286" s="1" t="s">
        <v>6246</v>
      </c>
      <c r="C6286" t="str">
        <f>IFERROR(__xludf.DUMMYFUNCTION("GOOGLETRANSLATE(B6286, ""es"", ""en"")"),"As slippers home I am a fan of Merrell for material quality, comfort and durability, and this is no exception. As always, you have to ask another number that gives little size.")</f>
        <v>As slippers home I am a fan of Merrell for material quality, comfort and durability, and this is no exception. As always, you have to ask another number that gives little size.</v>
      </c>
    </row>
    <row r="6287">
      <c r="A6287" s="1">
        <v>5.0</v>
      </c>
      <c r="B6287" s="1" t="s">
        <v>6247</v>
      </c>
      <c r="C6287" t="str">
        <f>IFERROR(__xludf.DUMMYFUNCTION("GOOGLETRANSLATE(B6287, ""es"", ""en"")"),"Perfect price and quality")</f>
        <v>Perfect price and quality</v>
      </c>
    </row>
    <row r="6288">
      <c r="A6288" s="1">
        <v>5.0</v>
      </c>
      <c r="B6288" s="1" t="s">
        <v>6248</v>
      </c>
      <c r="C6288" t="str">
        <f>IFERROR(__xludf.DUMMYFUNCTION("GOOGLETRANSLATE(B6288, ""es"", ""en"")"),"Very good quality for low price an item termination quality is excellent. The exterior is similar to the skin and gives a very good feeling to the touch.")</f>
        <v>Very good quality for low price an item termination quality is excellent. The exterior is similar to the skin and gives a very good feeling to the touch.</v>
      </c>
    </row>
    <row r="6289">
      <c r="A6289" s="1">
        <v>5.0</v>
      </c>
      <c r="B6289" s="1" t="s">
        <v>6249</v>
      </c>
      <c r="C6289" t="str">
        <f>IFERROR(__xludf.DUMMYFUNCTION("GOOGLETRANSLATE(B6289, ""es"", ""en"")"),"They are very nice and great quality are perfect love and ultra comfortable")</f>
        <v>They are very nice and great quality are perfect love and ultra comfortable</v>
      </c>
    </row>
    <row r="6290">
      <c r="A6290" s="1">
        <v>5.0</v>
      </c>
      <c r="B6290" s="1" t="s">
        <v>6250</v>
      </c>
      <c r="C6290" t="str">
        <f>IFERROR(__xludf.DUMMYFUNCTION("GOOGLETRANSLATE(B6290, ""es"", ""en"")"),"Skercher go Walk 3 has been a very lucky gift, comfortable, nice, one shoe and a brand that never fails ... I sincerely advise your purchase")</f>
        <v>Skercher go Walk 3 has been a very lucky gift, comfortable, nice, one shoe and a brand that never fails ... I sincerely advise your purchase</v>
      </c>
    </row>
    <row r="6291">
      <c r="A6291" s="1">
        <v>5.0</v>
      </c>
      <c r="B6291" s="1" t="s">
        <v>6251</v>
      </c>
      <c r="C6291" t="str">
        <f>IFERROR(__xludf.DUMMYFUNCTION("GOOGLETRANSLATE(B6291, ""es"", ""en"")"),"fulfills its purpose its size is small took a month using it and is very well")</f>
        <v>fulfills its purpose its size is small took a month using it and is very well</v>
      </c>
    </row>
    <row r="6292">
      <c r="A6292" s="1">
        <v>5.0</v>
      </c>
      <c r="B6292" s="1" t="s">
        <v>6252</v>
      </c>
      <c r="C6292" t="str">
        <f>IFERROR(__xludf.DUMMYFUNCTION("GOOGLETRANSLATE(B6292, ""es"", ""en"")"),"Good shopping experience raincoats, comfortable, easy to use. Value for money very good guarantee from the seller. Listen to all kinds of audios, music and books and the truth is that they have very good sound quality. Sync with any phone to call and serv"&amp;"e as a microphone too. They are very useful because they allow their talk without having the phone to his ear. The battery has surprised me, last longer than 4 hours without charge and more than 12 with the cargo box, I love this !!")</f>
        <v>Good shopping experience raincoats, comfortable, easy to use. Value for money very good guarantee from the seller. Listen to all kinds of audios, music and books and the truth is that they have very good sound quality. Sync with any phone to call and serve as a microphone too. They are very useful because they allow their talk without having the phone to his ear. The battery has surprised me, last longer than 4 hours without charge and more than 12 with the cargo box, I love this !!</v>
      </c>
    </row>
    <row r="6293">
      <c r="A6293" s="1">
        <v>5.0</v>
      </c>
      <c r="B6293" s="1" t="s">
        <v>6253</v>
      </c>
      <c r="C6293" t="str">
        <f>IFERROR(__xludf.DUMMYFUNCTION("GOOGLETRANSLATE(B6293, ""es"", ""en"")"),"They have a good design, good finish. They have a good design, good finish. Amply fulfills autonomy given its reduced size? O and do not carry any wiring. The sound quality is good, with the maximum volume that sounds good does not distort. To the ear bei"&amp;"ng isolated in either the ruido.La connectivity is good, easy to connect and I have not been disconnected in the days that led probando.La box where the work has come transport and charging base with a battery included we can load them when we are abroad.")</f>
        <v>They have a good design, good finish. They have a good design, good finish. Amply fulfills autonomy given its reduced size? O and do not carry any wiring. The sound quality is good, with the maximum volume that sounds good does not distort. To the ear being isolated in either the ruido.La connectivity is good, easy to connect and I have not been disconnected in the days that led probando.La box where the work has come transport and charging base with a battery included we can load them when we are abroad.</v>
      </c>
    </row>
    <row r="6294">
      <c r="A6294" s="1">
        <v>5.0</v>
      </c>
      <c r="B6294" s="1" t="s">
        <v>6254</v>
      </c>
      <c r="C6294" t="str">
        <f>IFERROR(__xludf.DUMMYFUNCTION("GOOGLETRANSLATE(B6294, ""es"", ""en"")"),"Puma The perfect stay me this and that.")</f>
        <v>Puma The perfect stay me this and that.</v>
      </c>
    </row>
    <row r="6295">
      <c r="A6295" s="1">
        <v>5.0</v>
      </c>
      <c r="B6295" s="1" t="s">
        <v>6255</v>
      </c>
      <c r="C6295" t="str">
        <f>IFERROR(__xludf.DUMMYFUNCTION("GOOGLETRANSLATE(B6295, ""es"", ""en"")"),"Amazed with my kettle I decided to buy a kettle for my great love tea, I have had several before and this is definitely the best. I and my colleagues are delighted floor, and not only for you but also for cooking is a thousand times faster the heat with i"&amp;"t. In addition to its timer and light it tells you when the water is ready. Highly recommended.")</f>
        <v>Amazed with my kettle I decided to buy a kettle for my great love tea, I have had several before and this is definitely the best. I and my colleagues are delighted floor, and not only for you but also for cooking is a thousand times faster the heat with it. In addition to its timer and light it tells you when the water is ready. Highly recommended.</v>
      </c>
    </row>
    <row r="6296">
      <c r="A6296" s="1">
        <v>2.0</v>
      </c>
      <c r="B6296" s="1" t="s">
        <v>6256</v>
      </c>
      <c r="C6296" t="str">
        <f>IFERROR(__xludf.DUMMYFUNCTION("GOOGLETRANSLATE(B6296, ""es"", ""en"")"),"the handles undone is nice, size a bit small for my taste but the main problem is that it has unpicked the shoulder strap on both sides of the bag.")</f>
        <v>the handles undone is nice, size a bit small for my taste but the main problem is that it has unpicked the shoulder strap on both sides of the bag.</v>
      </c>
    </row>
    <row r="6297">
      <c r="A6297" s="1">
        <v>3.0</v>
      </c>
      <c r="B6297" s="1" t="s">
        <v>6257</v>
      </c>
      <c r="C6297" t="str">
        <f>IFERROR(__xludf.DUMMYFUNCTION("GOOGLETRANSLATE(B6297, ""es"", ""en"")"),"Normal is not a Tissot, Casio is :-) The clock is average, but it does the trick, which does not give the trick is that comes in a cardboard box unoriginal if you want to give. If only it were the case, there was nothing but annoying is that I came runnin"&amp;"g, something so basic that even the Chinese watches 2 euros does not happen. 2 star would rate that is not my style, but as I use it, I leave in three. Saludos By Flype")</f>
        <v>Normal is not a Tissot, Casio is :-) The clock is average, but it does the trick, which does not give the trick is that comes in a cardboard box unoriginal if you want to give. If only it were the case, there was nothing but annoying is that I came running, something so basic that even the Chinese watches 2 euros does not happen. 2 star would rate that is not my style, but as I use it, I leave in three. Saludos By Flype</v>
      </c>
    </row>
    <row r="6298">
      <c r="A6298" s="1">
        <v>3.0</v>
      </c>
      <c r="B6298" s="1" t="s">
        <v>6258</v>
      </c>
      <c r="C6298" t="str">
        <f>IFERROR(__xludf.DUMMYFUNCTION("GOOGLETRANSLATE(B6298, ""es"", ""en"")"),"Very good and perfect cut even more")</f>
        <v>Very good and perfect cut even more</v>
      </c>
    </row>
    <row r="6299">
      <c r="A6299" s="1">
        <v>1.0</v>
      </c>
      <c r="B6299" s="1" t="s">
        <v>6259</v>
      </c>
      <c r="C6299" t="str">
        <f>IFERROR(__xludf.DUMMYFUNCTION("GOOGLETRANSLATE(B6299, ""es"", ""en"")"),"I do not like I did not like, I've used it to clean pans and I do not like Clean")</f>
        <v>I do not like I did not like, I've used it to clean pans and I do not like Clean</v>
      </c>
    </row>
    <row r="6300">
      <c r="A6300" s="1">
        <v>1.0</v>
      </c>
      <c r="B6300" s="1" t="s">
        <v>6260</v>
      </c>
      <c r="C6300" t="str">
        <f>IFERROR(__xludf.DUMMYFUNCTION("GOOGLETRANSLATE(B6300, ""es"", ""en"")"),"Nothing satisfied not what a deception are described in the description fabric puts skin is not expected")</f>
        <v>Nothing satisfied not what a deception are described in the description fabric puts skin is not expected</v>
      </c>
    </row>
    <row r="6301">
      <c r="A6301" s="1">
        <v>4.0</v>
      </c>
      <c r="B6301" s="1" t="s">
        <v>6261</v>
      </c>
      <c r="C6301" t="str">
        <f>IFERROR(__xludf.DUMMYFUNCTION("GOOGLETRANSLATE(B6301, ""es"", ""en"")"),"Meets expectations Very good finish and product quality.")</f>
        <v>Meets expectations Very good finish and product quality.</v>
      </c>
    </row>
    <row r="6302">
      <c r="A6302" s="1">
        <v>4.0</v>
      </c>
      <c r="B6302" s="1" t="s">
        <v>6262</v>
      </c>
      <c r="C6302" t="str">
        <f>IFERROR(__xludf.DUMMYFUNCTION("GOOGLETRANSLATE(B6302, ""es"", ""en"")"),"Casiono defrauds or a cheap article Cater my need a good product at a price easily amortizable")</f>
        <v>Casiono defrauds or a cheap article Cater my need a good product at a price easily amortizable</v>
      </c>
    </row>
    <row r="6303">
      <c r="A6303" s="1">
        <v>4.0</v>
      </c>
      <c r="B6303" s="1" t="s">
        <v>6263</v>
      </c>
      <c r="C6303" t="str">
        <f>IFERROR(__xludf.DUMMYFUNCTION("GOOGLETRANSLATE(B6303, ""es"", ""en"")"),"Sweatshirt sweatshirt quality brand Jack Jones Core quality of algogón and polyester. It was like buying it at the store but without moving house and cheaper, without waiting queues in shops. The size corresponds perfectly with other models of this brand."&amp;" It is perfect without any problems, except some loose thread I've cut and go.")</f>
        <v>Sweatshirt sweatshirt quality brand Jack Jones Core quality of algogón and polyester. It was like buying it at the store but without moving house and cheaper, without waiting queues in shops. The size corresponds perfectly with other models of this brand. It is perfect without any problems, except some loose thread I've cut and go.</v>
      </c>
    </row>
    <row r="6304">
      <c r="A6304" s="1">
        <v>4.0</v>
      </c>
      <c r="B6304" s="1" t="s">
        <v>6264</v>
      </c>
      <c r="C6304" t="str">
        <f>IFERROR(__xludf.DUMMYFUNCTION("GOOGLETRANSLATE(B6304, ""es"", ""en"")"),"Perfect Good pants, very comfortable. Just what I wanted. The size is what promises neither more nor menos.Seguramente buy another unit but in a different color.")</f>
        <v>Perfect Good pants, very comfortable. Just what I wanted. The size is what promises neither more nor menos.Seguramente buy another unit but in a different color.</v>
      </c>
    </row>
    <row r="6305">
      <c r="A6305" s="1">
        <v>4.0</v>
      </c>
      <c r="B6305" s="1" t="s">
        <v>6265</v>
      </c>
      <c r="C6305" t="str">
        <f>IFERROR(__xludf.DUMMYFUNCTION("GOOGLETRANSLATE(B6305, ""es"", ""en"")"),"Good buy. Money, very good.")</f>
        <v>Good buy. Money, very good.</v>
      </c>
    </row>
    <row r="6306">
      <c r="A6306" s="1">
        <v>5.0</v>
      </c>
      <c r="B6306" s="1" t="s">
        <v>6266</v>
      </c>
      <c r="C6306" t="str">
        <f>IFERROR(__xludf.DUMMYFUNCTION("GOOGLETRANSLATE(B6306, ""es"", ""en"")"),"Good I like the style, I do not like is easily scratched")</f>
        <v>Good I like the style, I do not like is easily scratched</v>
      </c>
    </row>
    <row r="6307">
      <c r="A6307" s="1">
        <v>5.0</v>
      </c>
      <c r="B6307" s="1" t="s">
        <v>6267</v>
      </c>
      <c r="C6307" t="str">
        <f>IFERROR(__xludf.DUMMYFUNCTION("GOOGLETRANSLATE(B6307, ""es"", ""en"")"),"HEAD socks are perfect in touch, breathable, great, the best I've had, highly recommended, since then'll buy.")</f>
        <v>HEAD socks are perfect in touch, breathable, great, the best I've had, highly recommended, since then'll buy.</v>
      </c>
    </row>
    <row r="6308">
      <c r="A6308" s="1">
        <v>5.0</v>
      </c>
      <c r="B6308" s="1" t="s">
        <v>6268</v>
      </c>
      <c r="C6308" t="str">
        <f>IFERROR(__xludf.DUMMYFUNCTION("GOOGLETRANSLATE(B6308, ""es"", ""en"")"),"Great fun and useful for children of different ages are entertained by coloring and then is useful for storing all kinds of toys or paints. Original and useful gift")</f>
        <v>Great fun and useful for children of different ages are entertained by coloring and then is useful for storing all kinds of toys or paints. Original and useful gift</v>
      </c>
    </row>
    <row r="6309">
      <c r="A6309" s="1">
        <v>5.0</v>
      </c>
      <c r="B6309" s="1" t="s">
        <v>6269</v>
      </c>
      <c r="C6309" t="str">
        <f>IFERROR(__xludf.DUMMYFUNCTION("GOOGLETRANSLATE(B6309, ""es"", ""en"")"),"Very fast design is very good because it allows hiding the USB connector but can stay a little stuck at times. It protects from bumps but does not protect against dust (open). A note being 3.0 which is much faster than 2.0. how I could live are not using "&amp;"USB 2.0.")</f>
        <v>Very fast design is very good because it allows hiding the USB connector but can stay a little stuck at times. It protects from bumps but does not protect against dust (open). A note being 3.0 which is much faster than 2.0. how I could live are not using USB 2.0.</v>
      </c>
    </row>
    <row r="6310">
      <c r="A6310" s="1">
        <v>5.0</v>
      </c>
      <c r="B6310" s="1" t="s">
        <v>6270</v>
      </c>
      <c r="C6310" t="str">
        <f>IFERROR(__xludf.DUMMYFUNCTION("GOOGLETRANSLATE(B6310, ""es"", ""en"")"),"Very nice and good size I love. This very well especially for the size it is, since I practically covers the entire table. And I left with a large workspace. I also like that the bottom is non-slip, because once placed there to lift it to wiggle, and that"&amp;" is appreciated when you move your arm on the table do not take the mat behind. All perfect.")</f>
        <v>Very nice and good size I love. This very well especially for the size it is, since I practically covers the entire table. And I left with a large workspace. I also like that the bottom is non-slip, because once placed there to lift it to wiggle, and that is appreciated when you move your arm on the table do not take the mat behind. All perfect.</v>
      </c>
    </row>
    <row r="6311">
      <c r="A6311" s="1">
        <v>5.0</v>
      </c>
      <c r="B6311" s="1" t="s">
        <v>6271</v>
      </c>
      <c r="C6311" t="str">
        <f>IFERROR(__xludf.DUMMYFUNCTION("GOOGLETRANSLATE(B6311, ""es"", ""en"")"),"Figured comfortable and light but in my opinion not a number less average number itself.")</f>
        <v>Figured comfortable and light but in my opinion not a number less average number itself.</v>
      </c>
    </row>
    <row r="6312">
      <c r="A6312" s="1">
        <v>5.0</v>
      </c>
      <c r="B6312" s="1" t="s">
        <v>6272</v>
      </c>
      <c r="C6312" t="str">
        <f>IFERROR(__xludf.DUMMYFUNCTION("GOOGLETRANSLATE(B6312, ""es"", ""en"")"),"What are soft and comfortable sneakers are very well protected, very toasty and very comfortable and it is best they are anti-slip, touch is very soft and protect your feet when it's cold because they are well rested")</f>
        <v>What are soft and comfortable sneakers are very well protected, very toasty and very comfortable and it is best they are anti-slip, touch is very soft and protect your feet when it's cold because they are well rested</v>
      </c>
    </row>
    <row r="6313">
      <c r="A6313" s="1">
        <v>5.0</v>
      </c>
      <c r="B6313" s="1" t="s">
        <v>6273</v>
      </c>
      <c r="C6313" t="str">
        <f>IFERROR(__xludf.DUMMYFUNCTION("GOOGLETRANSLATE(B6313, ""es"", ""en"")"),"Very safe, highly recommended I've tried in a store, it is impossible for the bank card is read with the cover on, so you can go quiet carrying your cards in these cases because you will not make charges through App mobile when you go in the subway or on "&amp;"the street. highly recommended")</f>
        <v>Very safe, highly recommended I've tried in a store, it is impossible for the bank card is read with the cover on, so you can go quiet carrying your cards in these cases because you will not make charges through App mobile when you go in the subway or on the street. highly recommended</v>
      </c>
    </row>
    <row r="6314">
      <c r="A6314" s="1">
        <v>5.0</v>
      </c>
      <c r="B6314" s="1" t="s">
        <v>6274</v>
      </c>
      <c r="C6314" t="str">
        <f>IFERROR(__xludf.DUMMYFUNCTION("GOOGLETRANSLATE(B6314, ""es"", ""en"")"),"Warm comfortable and better than expected, are a warm and comfortable boots, color is very nice and if I recommend them.")</f>
        <v>Warm comfortable and better than expected, are a warm and comfortable boots, color is very nice and if I recommend them.</v>
      </c>
    </row>
    <row r="6315">
      <c r="A6315" s="1">
        <v>5.0</v>
      </c>
      <c r="B6315" s="1" t="s">
        <v>6275</v>
      </c>
      <c r="C6315" t="str">
        <f>IFERROR(__xludf.DUMMYFUNCTION("GOOGLETRANSLATE(B6315, ""es"", ""en"")"),"Very good Cinta American lifelong")</f>
        <v>Very good Cinta American lifelong</v>
      </c>
    </row>
    <row r="6316">
      <c r="A6316" s="1">
        <v>5.0</v>
      </c>
      <c r="B6316" s="1" t="s">
        <v>6276</v>
      </c>
      <c r="C6316" t="str">
        <f>IFERROR(__xludf.DUMMYFUNCTION("GOOGLETRANSLATE(B6316, ""es"", ""en"")"),"It was a great perfect gift")</f>
        <v>It was a great perfect gift</v>
      </c>
    </row>
    <row r="6317">
      <c r="A6317" s="1">
        <v>5.0</v>
      </c>
      <c r="B6317" s="1" t="s">
        <v>6277</v>
      </c>
      <c r="C6317" t="str">
        <f>IFERROR(__xludf.DUMMYFUNCTION("GOOGLETRANSLATE(B6317, ""es"", ""en"")"),"Accessibility to all the corners of which the product may bibe described. Mango comfortable handling. Only comes bristle brush, sponge does not bring other models. Clean well, the plastic end striatum is useful for cleaning the teat thoroughly and scrape "&amp;"any traces.")</f>
        <v>Accessibility to all the corners of which the product may bibe described. Mango comfortable handling. Only comes bristle brush, sponge does not bring other models. Clean well, the plastic end striatum is useful for cleaning the teat thoroughly and scrape any traces.</v>
      </c>
    </row>
    <row r="6318">
      <c r="A6318" s="1">
        <v>5.0</v>
      </c>
      <c r="B6318" s="1" t="s">
        <v>6278</v>
      </c>
      <c r="C6318" t="str">
        <f>IFERROR(__xludf.DUMMYFUNCTION("GOOGLETRANSLATE(B6318, ""es"", ""en"")"),"Recommended The qualities have impressed I was not expecting much for the price, definitely I recommend it")</f>
        <v>Recommended The qualities have impressed I was not expecting much for the price, definitely I recommend it</v>
      </c>
    </row>
    <row r="6319">
      <c r="A6319" s="1">
        <v>5.0</v>
      </c>
      <c r="B6319" s="1" t="s">
        <v>6279</v>
      </c>
      <c r="C6319" t="str">
        <f>IFERROR(__xludf.DUMMYFUNCTION("GOOGLETRANSLATE(B6319, ""es"", ""en"")"),"Value more than reasonable. Well, after using it all day to try it, I must say that in terms of sound, and this price is great. I've used it to call, listen to music and games, both on the laptop, as linked to mobile. I had some delay in terms of the game"&amp;" on mobile, but tomorrow try if you have delayed other computer games, all via Bluetooth. Touch to the touch buttons on the side presage that will not last long, but will have to wait. Bring only one set of pads, it would be appreciated to bring others. C"&amp;"harging cable and mini jack cable jack.")</f>
        <v>Value more than reasonable. Well, after using it all day to try it, I must say that in terms of sound, and this price is great. I've used it to call, listen to music and games, both on the laptop, as linked to mobile. I had some delay in terms of the game on mobile, but tomorrow try if you have delayed other computer games, all via Bluetooth. Touch to the touch buttons on the side presage that will not last long, but will have to wait. Bring only one set of pads, it would be appreciated to bring others. Charging cable and mini jack cable jack.</v>
      </c>
    </row>
    <row r="6320">
      <c r="A6320" s="1">
        <v>5.0</v>
      </c>
      <c r="B6320" s="1" t="s">
        <v>6280</v>
      </c>
      <c r="C6320" t="str">
        <f>IFERROR(__xludf.DUMMYFUNCTION("GOOGLETRANSLATE(B6320, ""es"", ""en"")"),"Va perfect good buy on the board with a great price and shipment arrived on time. I do not usually rely on such products but this time it was a good buy")</f>
        <v>Va perfect good buy on the board with a great price and shipment arrived on time. I do not usually rely on such products but this time it was a good buy</v>
      </c>
    </row>
    <row r="6321">
      <c r="A6321" s="1">
        <v>5.0</v>
      </c>
      <c r="B6321" s="1" t="s">
        <v>6281</v>
      </c>
      <c r="C6321" t="str">
        <f>IFERROR(__xludf.DUMMYFUNCTION("GOOGLETRANSLATE(B6321, ""es"", ""en"")"),"I love to give 5 stars because I'm thrilled with this product. Buy it for gifts and the end I've fallen .... I have in the fridge and my massage creams is amazing .... I would buy")</f>
        <v>I love to give 5 stars because I'm thrilled with this product. Buy it for gifts and the end I've fallen .... I have in the fridge and my massage creams is amazing .... I would buy</v>
      </c>
    </row>
    <row r="6322">
      <c r="A6322" s="1">
        <v>5.0</v>
      </c>
      <c r="B6322" s="1" t="s">
        <v>6282</v>
      </c>
      <c r="C6322" t="str">
        <f>IFERROR(__xludf.DUMMYFUNCTION("GOOGLETRANSLATE(B6322, ""es"", ""en"")"),"a size more than the usual good quality and very warm")</f>
        <v>a size more than the usual good quality and very warm</v>
      </c>
    </row>
    <row r="6323">
      <c r="A6323" s="1">
        <v>5.0</v>
      </c>
      <c r="B6323" s="1" t="s">
        <v>6283</v>
      </c>
      <c r="C6323" t="str">
        <f>IFERROR(__xludf.DUMMYFUNCTION("GOOGLETRANSLATE(B6323, ""es"", ""en"")"),"Very happy. I liked this very well because you can see all your outstanding sight without removing tackle, ahy see them all perfect.")</f>
        <v>Very happy. I liked this very well because you can see all your outstanding sight without removing tackle, ahy see them all perfect.</v>
      </c>
    </row>
    <row r="6324">
      <c r="A6324" s="1">
        <v>5.0</v>
      </c>
      <c r="B6324" s="1" t="s">
        <v>6284</v>
      </c>
      <c r="C6324" t="str">
        <f>IFERROR(__xludf.DUMMYFUNCTION("GOOGLETRANSLATE(B6324, ""es"", ""en"")"),"Great Christmas present Knowing the tastes of the person you thought give this product did not get to think how excited you did receive it")</f>
        <v>Great Christmas present Knowing the tastes of the person you thought give this product did not get to think how excited you did receive it</v>
      </c>
    </row>
    <row r="6325">
      <c r="A6325" s="1">
        <v>2.0</v>
      </c>
      <c r="B6325" s="1" t="s">
        <v>6285</v>
      </c>
      <c r="C6325" t="str">
        <f>IFERROR(__xludf.DUMMYFUNCTION("GOOGLETRANSLATE(B6325, ""es"", ""en"")"),"It's not worth worth pleasing to the touch but too thin, I noticed that when I wanted to look at the material because it could not bring any garment label.")</f>
        <v>It's not worth worth pleasing to the touch but too thin, I noticed that when I wanted to look at the material because it could not bring any garment label.</v>
      </c>
    </row>
    <row r="6326">
      <c r="A6326" s="1">
        <v>3.0</v>
      </c>
      <c r="B6326" s="1" t="s">
        <v>6286</v>
      </c>
      <c r="C6326" t="str">
        <f>IFERROR(__xludf.DUMMYFUNCTION("GOOGLETRANSLATE(B6326, ""es"", ""en"")"),"No more ... no more ... Okay not if it will be my essence in particular but to me by many drops that take me not smell nearly as well as the Cotonet ... I smell a lot more specifically this is not expected .")</f>
        <v>No more ... no more ... Okay not if it will be my essence in particular but to me by many drops that take me not smell nearly as well as the Cotonet ... I smell a lot more specifically this is not expected .</v>
      </c>
    </row>
    <row r="6327">
      <c r="A6327" s="1">
        <v>3.0</v>
      </c>
      <c r="B6327" s="1" t="s">
        <v>6287</v>
      </c>
      <c r="C6327" t="str">
        <f>IFERROR(__xludf.DUMMYFUNCTION("GOOGLETRANSLATE(B6327, ""es"", ""en"")"),"Very simple very simple")</f>
        <v>Very simple very simple</v>
      </c>
    </row>
    <row r="6328">
      <c r="A6328" s="1">
        <v>1.0</v>
      </c>
      <c r="B6328" s="1" t="s">
        <v>6288</v>
      </c>
      <c r="C6328" t="str">
        <f>IFERROR(__xludf.DUMMYFUNCTION("GOOGLETRANSLATE(B6328, ""es"", ""en"")"),"Not everything is sold .... I bought a glass beater OSTER Oster specifically the 4655 model and really for the times I have used can not say it's a good article. It just stopped working shortly after finishing the guarantee (chance) I think not. Neither A"&amp;"mazon nor Oster brand wanted to know anything about the matter. Prompted estaiissssssss !!")</f>
        <v>Not everything is sold .... I bought a glass beater OSTER Oster specifically the 4655 model and really for the times I have used can not say it's a good article. It just stopped working shortly after finishing the guarantee (chance) I think not. Neither Amazon nor Oster brand wanted to know anything about the matter. Prompted estaiissssssss !!</v>
      </c>
    </row>
    <row r="6329">
      <c r="A6329" s="1">
        <v>1.0</v>
      </c>
      <c r="B6329" s="1" t="s">
        <v>6289</v>
      </c>
      <c r="C6329" t="str">
        <f>IFERROR(__xludf.DUMMYFUNCTION("GOOGLETRANSLATE(B6329, ""es"", ""en"")"),"Product damaged the product has reached me in poor condition, the box is crushed and as the logical, the product also.")</f>
        <v>Product damaged the product has reached me in poor condition, the box is crushed and as the logical, the product also.</v>
      </c>
    </row>
    <row r="6330">
      <c r="A6330" s="1">
        <v>1.0</v>
      </c>
      <c r="B6330" s="1" t="s">
        <v>6290</v>
      </c>
      <c r="C6330" t="str">
        <f>IFERROR(__xludf.DUMMYFUNCTION("GOOGLETRANSLATE(B6330, ""es"", ""en"")"),"My baby does not want to try to use it later. Try it now has two months and does not want")</f>
        <v>My baby does not want to try to use it later. Try it now has two months and does not want</v>
      </c>
    </row>
    <row r="6331">
      <c r="A6331" s="1">
        <v>4.0</v>
      </c>
      <c r="B6331" s="1" t="s">
        <v>6291</v>
      </c>
      <c r="C6331" t="str">
        <f>IFERROR(__xludf.DUMMYFUNCTION("GOOGLETRANSLATE(B6331, ""es"", ""en"")"),"Support Micro Very easy to install. In my case for a micro Snowball.")</f>
        <v>Support Micro Very easy to install. In my case for a micro Snowball.</v>
      </c>
    </row>
    <row r="6332">
      <c r="A6332" s="1">
        <v>4.0</v>
      </c>
      <c r="B6332" s="1" t="s">
        <v>6292</v>
      </c>
      <c r="C6332" t="str">
        <f>IFERROR(__xludf.DUMMYFUNCTION("GOOGLETRANSLATE(B6332, ""es"", ""en"")"),"Easy and practical Easy to use, the smoothies are very fast and does not take long to clean.")</f>
        <v>Easy and practical Easy to use, the smoothies are very fast and does not take long to clean.</v>
      </c>
    </row>
    <row r="6333">
      <c r="A6333" s="1">
        <v>4.0</v>
      </c>
      <c r="B6333" s="1" t="s">
        <v>6293</v>
      </c>
      <c r="C6333" t="str">
        <f>IFERROR(__xludf.DUMMYFUNCTION("GOOGLETRANSLATE(B6333, ""es"", ""en"")"),"For a season could have better quality, but OK.")</f>
        <v>For a season could have better quality, but OK.</v>
      </c>
    </row>
    <row r="6334">
      <c r="A6334" s="1">
        <v>4.0</v>
      </c>
      <c r="B6334" s="1" t="s">
        <v>6294</v>
      </c>
      <c r="C6334" t="str">
        <f>IFERROR(__xludf.DUMMYFUNCTION("GOOGLETRANSLATE(B6334, ""es"", ""en"")"),"Product quality and delivery time is a reflection of the announcement")</f>
        <v>Product quality and delivery time is a reflection of the announcement</v>
      </c>
    </row>
    <row r="6335">
      <c r="A6335" s="1">
        <v>5.0</v>
      </c>
      <c r="B6335" s="1" t="s">
        <v>6295</v>
      </c>
      <c r="C6335" t="str">
        <f>IFERROR(__xludf.DUMMYFUNCTION("GOOGLETRANSLATE(B6335, ""es"", ""en"")"),"Very good product without cramping and truth that unlike other bottles (normal) change is seen in all aspects and we have no problems with the baby's tummy, evenings relief using this bottle :)")</f>
        <v>Very good product without cramping and truth that unlike other bottles (normal) change is seen in all aspects and we have no problems with the baby's tummy, evenings relief using this bottle :)</v>
      </c>
    </row>
    <row r="6336">
      <c r="A6336" s="1">
        <v>5.0</v>
      </c>
      <c r="B6336" s="1" t="s">
        <v>6296</v>
      </c>
      <c r="C6336" t="str">
        <f>IFERROR(__xludf.DUMMYFUNCTION("GOOGLETRANSLATE(B6336, ""es"", ""en"")"),"OK great. As it should be.")</f>
        <v>OK great. As it should be.</v>
      </c>
    </row>
    <row r="6337">
      <c r="A6337" s="1">
        <v>5.0</v>
      </c>
      <c r="B6337" s="1" t="s">
        <v>6297</v>
      </c>
      <c r="C6337" t="str">
        <f>IFERROR(__xludf.DUMMYFUNCTION("GOOGLETRANSLATE(B6337, ""es"", ""en"")"),"Good quality shoes good quality. Fast shipping")</f>
        <v>Good quality shoes good quality. Fast shipping</v>
      </c>
    </row>
    <row r="6338">
      <c r="A6338" s="1">
        <v>5.0</v>
      </c>
      <c r="B6338" s="1" t="s">
        <v>6298</v>
      </c>
      <c r="C6338" t="str">
        <f>IFERROR(__xludf.DUMMYFUNCTION("GOOGLETRANSLATE(B6338, ""es"", ""en"")"),"Perfect Perfect comfortable and warm")</f>
        <v>Perfect Perfect comfortable and warm</v>
      </c>
    </row>
    <row r="6339">
      <c r="A6339" s="1">
        <v>5.0</v>
      </c>
      <c r="B6339" s="1" t="s">
        <v>6299</v>
      </c>
      <c r="C6339" t="str">
        <f>IFERROR(__xludf.DUMMYFUNCTION("GOOGLETRANSLATE(B6339, ""es"", ""en"")"),"Well a good product without restraint and good arms Neewer. It is very flexible and firm at the same time")</f>
        <v>Well a good product without restraint and good arms Neewer. It is very flexible and firm at the same time</v>
      </c>
    </row>
    <row r="6340">
      <c r="A6340" s="1">
        <v>5.0</v>
      </c>
      <c r="B6340" s="1" t="s">
        <v>6300</v>
      </c>
      <c r="C6340" t="str">
        <f>IFERROR(__xludf.DUMMYFUNCTION("GOOGLETRANSLATE(B6340, ""es"", ""en"")"),"It came highly recommended fast! The product very nice as shown in the description")</f>
        <v>It came highly recommended fast! The product very nice as shown in the description</v>
      </c>
    </row>
    <row r="6341">
      <c r="A6341" s="1">
        <v>5.0</v>
      </c>
      <c r="B6341" s="1" t="s">
        <v>6301</v>
      </c>
      <c r="C6341" t="str">
        <f>IFERROR(__xludf.DUMMYFUNCTION("GOOGLETRANSLATE(B6341, ""es"", ""en"")"),"Awesome is very good, the truth that Samsung has made very product've been using it a while and it like the first day, never a given problem. I hallucinate with the speed that starts the computer and the programs that open at startup, and neither have the"&amp;" speed to open any program when installing. I am very surprised, buy more than safe.")</f>
        <v>Awesome is very good, the truth that Samsung has made very product've been using it a while and it like the first day, never a given problem. I hallucinate with the speed that starts the computer and the programs that open at startup, and neither have the speed to open any program when installing. I am very surprised, buy more than safe.</v>
      </c>
    </row>
    <row r="6342">
      <c r="A6342" s="1">
        <v>5.0</v>
      </c>
      <c r="B6342" s="1" t="s">
        <v>6302</v>
      </c>
      <c r="C6342" t="str">
        <f>IFERROR(__xludf.DUMMYFUNCTION("GOOGLETRANSLATE(B6342, ""es"", ""en"")"),"Encantada is very nice, if you like on photo you'll love. Skin that's actually clearly smacks skin. It has many pockets and departments: mobile, wallet, keys, player and space for a few other things. But beware, it's smaller than it looks on photo, becaus"&amp;"e that description look out the measures. I became interested in this product precisely because it is small, just the right size for the things of everyday life.")</f>
        <v>Encantada is very nice, if you like on photo you'll love. Skin that's actually clearly smacks skin. It has many pockets and departments: mobile, wallet, keys, player and space for a few other things. But beware, it's smaller than it looks on photo, because that description look out the measures. I became interested in this product precisely because it is small, just the right size for the things of everyday life.</v>
      </c>
    </row>
    <row r="6343">
      <c r="A6343" s="1">
        <v>5.0</v>
      </c>
      <c r="B6343" s="1" t="s">
        <v>6303</v>
      </c>
      <c r="C6343" t="str">
        <f>IFERROR(__xludf.DUMMYFUNCTION("GOOGLETRANSLATE(B6343, ""es"", ""en"")"),"Good buy Perfect for winter training. 1,73 and 80 kilos, I ordered a L and I is perfect.")</f>
        <v>Good buy Perfect for winter training. 1,73 and 80 kilos, I ordered a L and I is perfect.</v>
      </c>
    </row>
    <row r="6344">
      <c r="A6344" s="1">
        <v>5.0</v>
      </c>
      <c r="B6344" s="1" t="s">
        <v>6304</v>
      </c>
      <c r="C6344" t="str">
        <f>IFERROR(__xludf.DUMMYFUNCTION("GOOGLETRANSLATE(B6344, ""es"", ""en"")"),"VERY USEFUL WORKS PERFECTLY, easy to use and very practical. recommendable")</f>
        <v>VERY USEFUL WORKS PERFECTLY, easy to use and very practical. recommendable</v>
      </c>
    </row>
    <row r="6345">
      <c r="A6345" s="1">
        <v>5.0</v>
      </c>
      <c r="B6345" s="1" t="s">
        <v>6305</v>
      </c>
      <c r="C6345" t="str">
        <f>IFERROR(__xludf.DUMMYFUNCTION("GOOGLETRANSLATE(B6345, ""es"", ""en"")"),"I love a modern classic. Casio already have a classic black and alternate. Display and large numbers. Good size for which we do not like watches ""lady"" small. I recommend it.")</f>
        <v>I love a modern classic. Casio already have a classic black and alternate. Display and large numbers. Good size for which we do not like watches "lady" small. I recommend it.</v>
      </c>
    </row>
    <row r="6346">
      <c r="A6346" s="1">
        <v>5.0</v>
      </c>
      <c r="B6346" s="1" t="s">
        <v>6306</v>
      </c>
      <c r="C6346" t="str">
        <f>IFERROR(__xludf.DUMMYFUNCTION("GOOGLETRANSLATE(B6346, ""es"", ""en"")"),"Raquel am delighted. I use it mostly for arrugitas from under the eye and it shows a lot before and after. Super hydrated keeps zone without being sticky and I can makeup up and great. I use it also for the tips of the hair and well. I'm delighted")</f>
        <v>Raquel am delighted. I use it mostly for arrugitas from under the eye and it shows a lot before and after. Super hydrated keeps zone without being sticky and I can makeup up and great. I use it also for the tips of the hair and well. I'm delighted</v>
      </c>
    </row>
    <row r="6347">
      <c r="A6347" s="1">
        <v>5.0</v>
      </c>
      <c r="B6347" s="1" t="s">
        <v>6307</v>
      </c>
      <c r="C6347" t="str">
        <f>IFERROR(__xludf.DUMMYFUNCTION("GOOGLETRANSLATE(B6347, ""es"", ""en"")"),"Super happy Bonisto simple and robust with a brand CASIO guarantee lifelong shorten the strap facilitated very happy, great price quality delivery three days.")</f>
        <v>Super happy Bonisto simple and robust with a brand CASIO guarantee lifelong shorten the strap facilitated very happy, great price quality delivery three days.</v>
      </c>
    </row>
    <row r="6348">
      <c r="A6348" s="1">
        <v>5.0</v>
      </c>
      <c r="B6348" s="1" t="s">
        <v>6308</v>
      </c>
      <c r="C6348" t="str">
        <f>IFERROR(__xludf.DUMMYFUNCTION("GOOGLETRANSLATE(B6348, ""es"", ""en"")"),"/ Value and good care Very good product at a good price. In addition to a very good attention. I repeat")</f>
        <v>/ Value and good care Very good product at a good price. In addition to a very good attention. I repeat</v>
      </c>
    </row>
    <row r="6349">
      <c r="A6349" s="1">
        <v>5.0</v>
      </c>
      <c r="B6349" s="1" t="s">
        <v>6309</v>
      </c>
      <c r="C6349" t="str">
        <f>IFERROR(__xludf.DUMMYFUNCTION("GOOGLETRANSLATE(B6349, ""es"", ""en"")"),"Freedom of movement is the first hands-free use of this type and the truth is that I was pleasantly surprised. I never imagined that I could produce this freedom of movement as I speak. I use it when I need to talk while doing the chores. the scope of the"&amp;" Bluetooth is heard perfectly and is wide enough to walk home without disconnecting. No notes you take anything in the ear unlike some headphones bother when you take a while using them.")</f>
        <v>Freedom of movement is the first hands-free use of this type and the truth is that I was pleasantly surprised. I never imagined that I could produce this freedom of movement as I speak. I use it when I need to talk while doing the chores. the scope of the Bluetooth is heard perfectly and is wide enough to walk home without disconnecting. No notes you take anything in the ear unlike some headphones bother when you take a while using them.</v>
      </c>
    </row>
    <row r="6350">
      <c r="A6350" s="1">
        <v>5.0</v>
      </c>
      <c r="B6350" s="1" t="s">
        <v>6310</v>
      </c>
      <c r="C6350" t="str">
        <f>IFERROR(__xludf.DUMMYFUNCTION("GOOGLETRANSLATE(B6350, ""es"", ""en"")"),"BMW window regulator asked me for 300 euros in the bmw to fix the windows of the car and this piece I fixed myself, easy to install and saves a lot of money. I used it for bmw compact and are identical to those of fábrica.recomendable.")</f>
        <v>BMW window regulator asked me for 300 euros in the bmw to fix the windows of the car and this piece I fixed myself, easy to install and saves a lot of money. I used it for bmw compact and are identical to those of fábrica.recomendable.</v>
      </c>
    </row>
    <row r="6351">
      <c r="A6351" s="1">
        <v>5.0</v>
      </c>
      <c r="B6351" s="1" t="s">
        <v>932</v>
      </c>
      <c r="C6351" t="str">
        <f>IFERROR(__xludf.DUMMYFUNCTION("GOOGLETRANSLATE(B6351, ""es"", ""en"")"),"All right all right")</f>
        <v>All right all right</v>
      </c>
    </row>
    <row r="6352">
      <c r="A6352" s="1">
        <v>5.0</v>
      </c>
      <c r="B6352" s="1" t="s">
        <v>6311</v>
      </c>
      <c r="C6352" t="str">
        <f>IFERROR(__xludf.DUMMYFUNCTION("GOOGLETRANSLATE(B6352, ""es"", ""en"")"),"I recommend I love ... along with cinnamon bark, they are my favorite. I will definitely buy both. My house smells great.")</f>
        <v>I recommend I love ... along with cinnamon bark, they are my favorite. I will definitely buy both. My house smells great.</v>
      </c>
    </row>
    <row r="6353">
      <c r="A6353" s="1">
        <v>5.0</v>
      </c>
      <c r="B6353" s="1" t="s">
        <v>6312</v>
      </c>
      <c r="C6353" t="str">
        <f>IFERROR(__xludf.DUMMYFUNCTION("GOOGLETRANSLATE(B6353, ""es"", ""en"")"),"0 The microphone cunple the expectations expected. It is not overly cumbersome and design is fun.")</f>
        <v>0 The microphone cunple the expectations expected. It is not overly cumbersome and design is fun.</v>
      </c>
    </row>
    <row r="6354">
      <c r="A6354" s="1">
        <v>2.0</v>
      </c>
      <c r="B6354" s="1" t="s">
        <v>6313</v>
      </c>
      <c r="C6354" t="str">
        <f>IFERROR(__xludf.DUMMYFUNCTION("GOOGLETRANSLATE(B6354, ""es"", ""en"")"),"Well prepared, but focused for short people. Well, the bag is pretty good aesthetically, but has a huge flaw, ribbon for hanging on the shoulder is very short, everything and lengthening it to the maximum, my hope was to wear it cross YQM got a little low"&amp;"er than at the waist, but I it is almost up to the belly, and I prefer not to say I look with it on ^^, so I have had to take the dressmaker, to change me the tape and step already place it with a gray color not blue that comes q does not fit, finishes an"&amp;"d aesthetics are decent, the way I chose x yx be mostly in gray. I do not recommend for people taller than 1.80, will not work.")</f>
        <v>Well prepared, but focused for short people. Well, the bag is pretty good aesthetically, but has a huge flaw, ribbon for hanging on the shoulder is very short, everything and lengthening it to the maximum, my hope was to wear it cross YQM got a little lower than at the waist, but I it is almost up to the belly, and I prefer not to say I look with it on ^^, so I have had to take the dressmaker, to change me the tape and step already place it with a gray color not blue that comes q does not fit, finishes and aesthetics are decent, the way I chose x yx be mostly in gray. I do not recommend for people taller than 1.80, will not work.</v>
      </c>
    </row>
    <row r="6355">
      <c r="A6355" s="1">
        <v>3.0</v>
      </c>
      <c r="B6355" s="1" t="s">
        <v>6314</v>
      </c>
      <c r="C6355" t="str">
        <f>IFERROR(__xludf.DUMMYFUNCTION("GOOGLETRANSLATE(B6355, ""es"", ""en"")"),"It's good Mul soft")</f>
        <v>It's good Mul soft</v>
      </c>
    </row>
    <row r="6356">
      <c r="A6356" s="1">
        <v>3.0</v>
      </c>
      <c r="B6356" s="1" t="s">
        <v>6315</v>
      </c>
      <c r="C6356" t="str">
        <f>IFERROR(__xludf.DUMMYFUNCTION("GOOGLETRANSLATE(B6356, ""es"", ""en"")"),"Too correct brightness behind")</f>
        <v>Too correct brightness behind</v>
      </c>
    </row>
    <row r="6357">
      <c r="A6357" s="1">
        <v>1.0</v>
      </c>
      <c r="B6357" s="1" t="s">
        <v>6316</v>
      </c>
      <c r="C6357" t="str">
        <f>IFERROR(__xludf.DUMMYFUNCTION("GOOGLETRANSLATE(B6357, ""es"", ""en"")"),"There are copycat product 64 gigas, nor is 3.0. I bought this USB keys carias manufacturer of various capacities and this product has a wrapper that is not the same, nor the plastic housing is the same. It seems false, and is 32 gigabytes, and not 3.0. I "&amp;"have returned and have sent me another fake product.")</f>
        <v>There are copycat product 64 gigas, nor is 3.0. I bought this USB keys carias manufacturer of various capacities and this product has a wrapper that is not the same, nor the plastic housing is the same. It seems false, and is 32 gigabytes, and not 3.0. I have returned and have sent me another fake product.</v>
      </c>
    </row>
    <row r="6358">
      <c r="A6358" s="1">
        <v>1.0</v>
      </c>
      <c r="B6358" s="1" t="s">
        <v>6317</v>
      </c>
      <c r="C6358" t="str">
        <f>IFERROR(__xludf.DUMMYFUNCTION("GOOGLETRANSLATE(B6358, ""es"", ""en"")"),"Disappointment. I bought two weeks I started using sporadically for the girl was getting used to the bottle, two weeks later with just 10 applications a month ago and makes the nipple is broken or something because without sucking squirts milk had a frigh"&amp;"t because he choked. I do not recommend anyone 10 uses and dismantle the nipple and mount it to clean and others and has already been broken, and you pay for it's own for two weeks break.")</f>
        <v>Disappointment. I bought two weeks I started using sporadically for the girl was getting used to the bottle, two weeks later with just 10 applications a month ago and makes the nipple is broken or something because without sucking squirts milk had a fright because he choked. I do not recommend anyone 10 uses and dismantle the nipple and mount it to clean and others and has already been broken, and you pay for it's own for two weeks break.</v>
      </c>
    </row>
    <row r="6359">
      <c r="A6359" s="1">
        <v>4.0</v>
      </c>
      <c r="B6359" s="1" t="s">
        <v>6318</v>
      </c>
      <c r="C6359" t="str">
        <f>IFERROR(__xludf.DUMMYFUNCTION("GOOGLETRANSLATE(B6359, ""es"", ""en"")"),"Perfect gift arrived on time and apparently all right")</f>
        <v>Perfect gift arrived on time and apparently all right</v>
      </c>
    </row>
    <row r="6360">
      <c r="A6360" s="1">
        <v>4.0</v>
      </c>
      <c r="B6360" s="1" t="s">
        <v>6319</v>
      </c>
      <c r="C6360" t="str">
        <f>IFERROR(__xludf.DUMMYFUNCTION("GOOGLETRANSLATE(B6360, ""es"", ""en"")"),"Very good quality / price Brand when both digital and analog small. hand can save several time zones apart from access to all available on another screen. Good light in orange and the world map marks the timeslot is an all hoot. The bracelet is similar pl"&amp;"astic with metal, good quality and not much play. It is also the famous clock that James Bond use also like that.")</f>
        <v>Very good quality / price Brand when both digital and analog small. hand can save several time zones apart from access to all available on another screen. Good light in orange and the world map marks the timeslot is an all hoot. The bracelet is similar plastic with metal, good quality and not much play. It is also the famous clock that James Bond use also like that.</v>
      </c>
    </row>
    <row r="6361">
      <c r="A6361" s="1">
        <v>4.0</v>
      </c>
      <c r="B6361" s="1" t="s">
        <v>6320</v>
      </c>
      <c r="C6361" t="str">
        <f>IFERROR(__xludf.DUMMYFUNCTION("GOOGLETRANSLATE(B6361, ""es"", ""en"")"),"Once installed fast very fast! Software quick and easy cloning. difficult to install. Adequados must use cables (SATA 3-USB). No other way to clone it succeeds. Little information on what up to this point. n units less space than 1 TB.")</f>
        <v>Once installed fast very fast! Software quick and easy cloning. difficult to install. Adequados must use cables (SATA 3-USB). No other way to clone it succeeds. Little information on what up to this point. n units less space than 1 TB.</v>
      </c>
    </row>
    <row r="6362">
      <c r="A6362" s="1">
        <v>4.0</v>
      </c>
      <c r="B6362" s="1" t="s">
        <v>6321</v>
      </c>
      <c r="C6362" t="str">
        <f>IFERROR(__xludf.DUMMYFUNCTION("GOOGLETRANSLATE(B6362, ""es"", ""en"")"),"Txatxe beautiful and very comfortable. The cotton terrific ..... I caught a smaller size q q the use I recommend ....... I bought in various colors")</f>
        <v>Txatxe beautiful and very comfortable. The cotton terrific ..... I caught a smaller size q q the use I recommend ....... I bought in various colors</v>
      </c>
    </row>
    <row r="6363">
      <c r="A6363" s="1">
        <v>4.0</v>
      </c>
      <c r="B6363" s="1" t="s">
        <v>6322</v>
      </c>
      <c r="C6363" t="str">
        <f>IFERROR(__xludf.DUMMYFUNCTION("GOOGLETRANSLATE(B6363, ""es"", ""en"")"),"Good quality good price")</f>
        <v>Good quality good price</v>
      </c>
    </row>
    <row r="6364">
      <c r="A6364" s="1">
        <v>5.0</v>
      </c>
      <c r="B6364" s="1" t="s">
        <v>6323</v>
      </c>
      <c r="C6364" t="str">
        <f>IFERROR(__xludf.DUMMYFUNCTION("GOOGLETRANSLATE(B6364, ""es"", ""en"")"),"Bracelet very nice, as pictured")</f>
        <v>Bracelet very nice, as pictured</v>
      </c>
    </row>
    <row r="6365">
      <c r="A6365" s="1">
        <v>5.0</v>
      </c>
      <c r="B6365" s="1" t="s">
        <v>6324</v>
      </c>
      <c r="C6365" t="str">
        <f>IFERROR(__xludf.DUMMYFUNCTION("GOOGLETRANSLATE(B6365, ""es"", ""en"")"),"Refund 👍🏻 I arrived and perfect! But returned as Adidas spending one 44/5 and this make and model did not know you need a 45! Refund and perfect! Thank you")</f>
        <v>Refund 👍🏻 I arrived and perfect! But returned as Adidas spending one 44/5 and this make and model did not know you need a 45! Refund and perfect! Thank you</v>
      </c>
    </row>
    <row r="6366">
      <c r="A6366" s="1">
        <v>5.0</v>
      </c>
      <c r="B6366" s="1" t="s">
        <v>6325</v>
      </c>
      <c r="C6366" t="str">
        <f>IFERROR(__xludf.DUMMYFUNCTION("GOOGLETRANSLATE(B6366, ""es"", ""en"")"),"Mountaineering boots fit my needs. They adapted perfectly to my number")</f>
        <v>Mountaineering boots fit my needs. They adapted perfectly to my number</v>
      </c>
    </row>
    <row r="6367">
      <c r="A6367" s="1">
        <v>5.0</v>
      </c>
      <c r="B6367" s="1" t="s">
        <v>6326</v>
      </c>
      <c r="C6367" t="str">
        <f>IFERROR(__xludf.DUMMYFUNCTION("GOOGLETRANSLATE(B6367, ""es"", ""en"")"),"GOOD QUALITY The shoes are fine, a little bigger than I expected, but perhaps the fault was mine. The quality is good and arrived on the appointed day")</f>
        <v>GOOD QUALITY The shoes are fine, a little bigger than I expected, but perhaps the fault was mine. The quality is good and arrived on the appointed day</v>
      </c>
    </row>
    <row r="6368">
      <c r="A6368" s="1">
        <v>5.0</v>
      </c>
      <c r="B6368" s="1" t="s">
        <v>6327</v>
      </c>
      <c r="C6368" t="str">
        <f>IFERROR(__xludf.DUMMYFUNCTION("GOOGLETRANSLATE(B6368, ""es"", ""en"")"),"good buy I bought them for my partner. They arrived earlier than expected and very well packaged. good quality and not expensive. happy with purchase.")</f>
        <v>good buy I bought them for my partner. They arrived earlier than expected and very well packaged. good quality and not expensive. happy with purchase.</v>
      </c>
    </row>
    <row r="6369">
      <c r="A6369" s="1">
        <v>5.0</v>
      </c>
      <c r="B6369" s="1" t="s">
        <v>6328</v>
      </c>
      <c r="C6369" t="str">
        <f>IFERROR(__xludf.DUMMYFUNCTION("GOOGLETRANSLATE(B6369, ""es"", ""en"")"),"It is perfect for streaming do I use it and go luxury, good audio quality, very professional.")</f>
        <v>It is perfect for streaming do I use it and go luxury, good audio quality, very professional.</v>
      </c>
    </row>
    <row r="6370">
      <c r="A6370" s="1">
        <v>5.0</v>
      </c>
      <c r="B6370" s="1" t="s">
        <v>6329</v>
      </c>
      <c r="C6370" t="str">
        <f>IFERROR(__xludf.DUMMYFUNCTION("GOOGLETRANSLATE(B6370, ""es"", ""en"")"),"Comfortable I had to take the L, M using other brands. But stress that they are very good. Ideal for any activity.")</f>
        <v>Comfortable I had to take the L, M using other brands. But stress that they are very good. Ideal for any activity.</v>
      </c>
    </row>
    <row r="6371">
      <c r="A6371" s="1">
        <v>5.0</v>
      </c>
      <c r="B6371" s="1" t="s">
        <v>6330</v>
      </c>
      <c r="C6371" t="str">
        <f>IFERROR(__xludf.DUMMYFUNCTION("GOOGLETRANSLATE(B6371, ""es"", ""en"")"),"Value for money very good! Perfect, a slipper both super-balanced weight, cushioning, response, ... are perfect structure to move in rates between twenty four four, but it would be the only sole that is not very durable, anyway I'll shoot a lot more with "&amp;"them to find out, to finish the Amazon service very good as usual and the price even more! 😃")</f>
        <v>Value for money very good! Perfect, a slipper both super-balanced weight, cushioning, response, ... are perfect structure to move in rates between twenty four four, but it would be the only sole that is not very durable, anyway I'll shoot a lot more with them to find out, to finish the Amazon service very good as usual and the price even more! 😃</v>
      </c>
    </row>
    <row r="6372">
      <c r="A6372" s="1">
        <v>5.0</v>
      </c>
      <c r="B6372" s="1" t="s">
        <v>6331</v>
      </c>
      <c r="C6372" t="str">
        <f>IFERROR(__xludf.DUMMYFUNCTION("GOOGLETRANSLATE(B6372, ""es"", ""en"")"),"Fast and effective has been put in the kitchen and can no longer save it. My wife uses it every day to take the beaten work. Bring two bottles, one transparent and one green, and two refrigerators they are screwed into the cover. Once the botellin filled "&amp;"with fruit / juice / ice / etc gets the cover with the blades and fits into the base, and turn to activate the motor. the time you want (you can fit to keep it running alone or to rotate only time that you keep activated by hand) and immediately the lid a"&amp;"nd remains ready is changed. Very fast and stable, since it has suction cups on the base to secure it to the bank. As against, indicate that when activated, the motor causes considerable noise and the blade cover must have some seepage or leakage, since i"&amp;"n the short time of use found that stain of a liquid gray portion which engages the base.")</f>
        <v>Fast and effective has been put in the kitchen and can no longer save it. My wife uses it every day to take the beaten work. Bring two bottles, one transparent and one green, and two refrigerators they are screwed into the cover. Once the botellin filled with fruit / juice / ice / etc gets the cover with the blades and fits into the base, and turn to activate the motor. the time you want (you can fit to keep it running alone or to rotate only time that you keep activated by hand) and immediately the lid and remains ready is changed. Very fast and stable, since it has suction cups on the base to secure it to the bank. As against, indicate that when activated, the motor causes considerable noise and the blade cover must have some seepage or leakage, since in the short time of use found that stain of a liquid gray portion which engages the base.</v>
      </c>
    </row>
    <row r="6373">
      <c r="A6373" s="1">
        <v>5.0</v>
      </c>
      <c r="B6373" s="1" t="s">
        <v>6332</v>
      </c>
      <c r="C6373" t="str">
        <f>IFERROR(__xludf.DUMMYFUNCTION("GOOGLETRANSLATE(B6373, ""es"", ""en"")"),"Women sweatshirt I love this sweatshirt because it has a very soft and lightweight fabric. This very warm, comfortable is ideal for autumn and winter. Has drawstring hood, front zipper small two side pockets and I am delighted to have it.")</f>
        <v>Women sweatshirt I love this sweatshirt because it has a very soft and lightweight fabric. This very warm, comfortable is ideal for autumn and winter. Has drawstring hood, front zipper small two side pockets and I am delighted to have it.</v>
      </c>
    </row>
    <row r="6374">
      <c r="A6374" s="1">
        <v>5.0</v>
      </c>
      <c r="B6374" s="1" t="s">
        <v>6333</v>
      </c>
      <c r="C6374" t="str">
        <f>IFERROR(__xludf.DUMMYFUNCTION("GOOGLETRANSLATE(B6374, ""es"", ""en"")"),"Excellent quality've had several of these headphones, but I can say that these are the best. Very comfortable, you do not notice you're wearing. They have a very good quality for its price, and the battery lasts a lot. In addition, the base is loaded with"&amp;" a cable type C, more modern and with the same adapter mobile, so it becomes more comfortable. Bring other pads and other earhooks.")</f>
        <v>Excellent quality've had several of these headphones, but I can say that these are the best. Very comfortable, you do not notice you're wearing. They have a very good quality for its price, and the battery lasts a lot. In addition, the base is loaded with a cable type C, more modern and with the same adapter mobile, so it becomes more comfortable. Bring other pads and other earhooks.</v>
      </c>
    </row>
    <row r="6375">
      <c r="A6375" s="1">
        <v>5.0</v>
      </c>
      <c r="B6375" s="1" t="s">
        <v>6334</v>
      </c>
      <c r="C6375" t="str">
        <f>IFERROR(__xludf.DUMMYFUNCTION("GOOGLETRANSLATE(B6375, ""es"", ""en"")"),"Cool All pen functioned correctly detected by the PC without problems and the ability to correct. and exact description used good materials. They reached their time and well packaged.")</f>
        <v>Cool All pen functioned correctly detected by the PC without problems and the ability to correct. and exact description used good materials. They reached their time and well packaged.</v>
      </c>
    </row>
    <row r="6376">
      <c r="A6376" s="1">
        <v>5.0</v>
      </c>
      <c r="B6376" s="1" t="s">
        <v>6335</v>
      </c>
      <c r="C6376" t="str">
        <f>IFERROR(__xludf.DUMMYFUNCTION("GOOGLETRANSLATE(B6376, ""es"", ""en"")"),"Stick very well Very good buy. It is stuck in just seconds and holds very well. I have used to stick a mosquito net in the window of the dining room.")</f>
        <v>Stick very well Very good buy. It is stuck in just seconds and holds very well. I have used to stick a mosquito net in the window of the dining room.</v>
      </c>
    </row>
    <row r="6377">
      <c r="A6377" s="1">
        <v>5.0</v>
      </c>
      <c r="B6377" s="1" t="s">
        <v>6336</v>
      </c>
      <c r="C6377" t="str">
        <f>IFERROR(__xludf.DUMMYFUNCTION("GOOGLETRANSLATE(B6377, ""es"", ""en"")"),"Skechers The regale, according to the person you are great and is super delighted with them, having to be standing a long time told me that you are super good.")</f>
        <v>Skechers The regale, according to the person you are great and is super delighted with them, having to be standing a long time told me that you are super good.</v>
      </c>
    </row>
    <row r="6378">
      <c r="A6378" s="1">
        <v>5.0</v>
      </c>
      <c r="B6378" s="1" t="s">
        <v>6337</v>
      </c>
      <c r="C6378" t="str">
        <f>IFERROR(__xludf.DUMMYFUNCTION("GOOGLETRANSLATE(B6378, ""es"", ""en"")"),"GREAT Super anatomical, the advise 100%")</f>
        <v>GREAT Super anatomical, the advise 100%</v>
      </c>
    </row>
    <row r="6379">
      <c r="A6379" s="1">
        <v>5.0</v>
      </c>
      <c r="B6379" s="1" t="s">
        <v>6338</v>
      </c>
      <c r="C6379" t="str">
        <f>IFERROR(__xludf.DUMMYFUNCTION("GOOGLETRANSLATE(B6379, ""es"", ""en"")"),"Good kettle. Good kettle for good price. It is just what I was looking for stainless steel kettle with easy, easy to use, hidden resistance to fill, easy to clean, etc. Since the kitchen looks good, it shows a product of good quality. It is well heated fa"&amp;"st, it does not make an excessive noise, rather a typical noise of these machines. I'm happy about the shopping.")</f>
        <v>Good kettle. Good kettle for good price. It is just what I was looking for stainless steel kettle with easy, easy to use, hidden resistance to fill, easy to clean, etc. Since the kitchen looks good, it shows a product of good quality. It is well heated fast, it does not make an excessive noise, rather a typical noise of these machines. I'm happy about the shopping.</v>
      </c>
    </row>
    <row r="6380">
      <c r="A6380" s="1">
        <v>5.0</v>
      </c>
      <c r="B6380" s="1" t="s">
        <v>6339</v>
      </c>
      <c r="C6380" t="str">
        <f>IFERROR(__xludf.DUMMYFUNCTION("GOOGLETRANSLATE(B6380, ""es"", ""en"")"),"The best of the best are good cables. I use them to get audio from one controller to a mixer, they are useful and sound quality is very good. Understandably they are not the same as other cables higher price, but they do what they promise. Pints ​​have to"&amp;" be quite strong and put up very well over the years. It is fine to be long. Undoubtedly the best for the price, even unique. As if you are looking for the like not much choice. The connectors are color differential power to the canal. The hose has to be "&amp;"quite resistant paint and is quite thick, and the connectors are very good metal and constructed. It does not feel to cost less than 20 euros. Without hesitation I recommend !!")</f>
        <v>The best of the best are good cables. I use them to get audio from one controller to a mixer, they are useful and sound quality is very good. Understandably they are not the same as other cables higher price, but they do what they promise. Pints ​​have to be quite strong and put up very well over the years. It is fine to be long. Undoubtedly the best for the price, even unique. As if you are looking for the like not much choice. The connectors are color differential power to the canal. The hose has to be quite resistant paint and is quite thick, and the connectors are very good metal and constructed. It does not feel to cost less than 20 euros. Without hesitation I recommend !!</v>
      </c>
    </row>
    <row r="6381">
      <c r="A6381" s="1">
        <v>5.0</v>
      </c>
      <c r="B6381" s="1" t="s">
        <v>6340</v>
      </c>
      <c r="C6381" t="str">
        <f>IFERROR(__xludf.DUMMYFUNCTION("GOOGLETRANSLATE(B6381, ""es"", ""en"")"),"Very good value Great !!")</f>
        <v>Very good value Great !!</v>
      </c>
    </row>
    <row r="6382">
      <c r="A6382" s="1">
        <v>2.0</v>
      </c>
      <c r="B6382" s="1" t="s">
        <v>6341</v>
      </c>
      <c r="C6382" t="str">
        <f>IFERROR(__xludf.DUMMYFUNCTION("GOOGLETRANSLATE(B6382, ""es"", ""en"")"),"Darker than I expected smaller size, better average order size fits most. They are not pink color you see in the picture, it is rather a pinkish beige. Yet they are not ugly.")</f>
        <v>Darker than I expected smaller size, better average order size fits most. They are not pink color you see in the picture, it is rather a pinkish beige. Yet they are not ugly.</v>
      </c>
    </row>
    <row r="6383">
      <c r="A6383" s="1">
        <v>3.0</v>
      </c>
      <c r="B6383" s="1" t="s">
        <v>6342</v>
      </c>
      <c r="C6383" t="str">
        <f>IFERROR(__xludf.DUMMYFUNCTION("GOOGLETRANSLATE(B6383, ""es"", ""en"")"),"DeLongui does not make you partner if you shop at Amazon. This coffee is wonderful. I come from coffee capsules and would ruin me. If you drink a lot of coffee, amortize fast and if you use coffee beans can still save more.")</f>
        <v>DeLongui does not make you partner if you shop at Amazon. This coffee is wonderful. I come from coffee capsules and would ruin me. If you drink a lot of coffee, amortize fast and if you use coffee beans can still save more.</v>
      </c>
    </row>
    <row r="6384">
      <c r="A6384" s="1">
        <v>3.0</v>
      </c>
      <c r="B6384" s="1" t="s">
        <v>6343</v>
      </c>
      <c r="C6384" t="str">
        <f>IFERROR(__xludf.DUMMYFUNCTION("GOOGLETRANSLATE(B6384, ""es"", ""en"")"),"Small enough heart. Photography deceives much")</f>
        <v>Small enough heart. Photography deceives much</v>
      </c>
    </row>
    <row r="6385">
      <c r="A6385" s="1">
        <v>1.0</v>
      </c>
      <c r="B6385" s="1" t="s">
        <v>6344</v>
      </c>
      <c r="C6385" t="str">
        <f>IFERROR(__xludf.DUMMYFUNCTION("GOOGLETRANSLATE(B6385, ""es"", ""en"")"),"sleazy break two days the shoes are very nice, but two days have broken the fabric top. buy two pairs and the two happened to them the same.")</f>
        <v>sleazy break two days the shoes are very nice, but two days have broken the fabric top. buy two pairs and the two happened to them the same.</v>
      </c>
    </row>
    <row r="6386">
      <c r="A6386" s="1">
        <v>1.0</v>
      </c>
      <c r="B6386" s="1" t="s">
        <v>6345</v>
      </c>
      <c r="C6386" t="str">
        <f>IFERROR(__xludf.DUMMYFUNCTION("GOOGLETRANSLATE(B6386, ""es"", ""en"")"),"Very bad villain, got stuck in the first time we put the staples and we do not operate in any way, even after cleaning and full ........ unstick not recommend it in any way.")</f>
        <v>Very bad villain, got stuck in the first time we put the staples and we do not operate in any way, even after cleaning and full ........ unstick not recommend it in any way.</v>
      </c>
    </row>
    <row r="6387">
      <c r="A6387" s="1">
        <v>4.0</v>
      </c>
      <c r="B6387" s="1" t="s">
        <v>6346</v>
      </c>
      <c r="C6387" t="str">
        <f>IFERROR(__xludf.DUMMYFUNCTION("GOOGLETRANSLATE(B6387, ""es"", ""en"")"),"PERFECT FUNCTION are a wellies, do not ask much .. and for that price even less. Only uses to get around with the dog rainy days, I do not think worth as boots all day in rainy areas. I would suffer feet. And if enough size ... surely give to remove them "&amp;"and place them well, with thick socks")</f>
        <v>PERFECT FUNCTION are a wellies, do not ask much .. and for that price even less. Only uses to get around with the dog rainy days, I do not think worth as boots all day in rainy areas. I would suffer feet. And if enough size ... surely give to remove them and place them well, with thick socks</v>
      </c>
    </row>
    <row r="6388">
      <c r="A6388" s="1">
        <v>4.0</v>
      </c>
      <c r="B6388" s="1" t="s">
        <v>6347</v>
      </c>
      <c r="C6388" t="str">
        <f>IFERROR(__xludf.DUMMYFUNCTION("GOOGLETRANSLATE(B6388, ""es"", ""en"")"),"If speed and product")</f>
        <v>If speed and product</v>
      </c>
    </row>
    <row r="6389">
      <c r="A6389" s="1">
        <v>4.0</v>
      </c>
      <c r="B6389" s="1" t="s">
        <v>6348</v>
      </c>
      <c r="C6389" t="str">
        <f>IFERROR(__xludf.DUMMYFUNCTION("GOOGLETRANSLATE(B6389, ""es"", ""en"")"),"As always comfort, this brand within the perfect comfort and super bearable. As for the sizing is a little big, so I recommend that depending on the size you are, be asked less. And last super nice!")</f>
        <v>As always comfort, this brand within the perfect comfort and super bearable. As for the sizing is a little big, so I recommend that depending on the size you are, be asked less. And last super nice!</v>
      </c>
    </row>
    <row r="6390">
      <c r="A6390" s="1">
        <v>4.0</v>
      </c>
      <c r="B6390" s="1" t="s">
        <v>6349</v>
      </c>
      <c r="C6390" t="str">
        <f>IFERROR(__xludf.DUMMYFUNCTION("GOOGLETRANSLATE(B6390, ""es"", ""en"")"),"As expected, although it could be improved. The machine works as desired and expected. Seems resistant in general, although the base has a groove, it seems to ventilate the engine or something, that gives little resistance aspect. Also, it brings only two"&amp;" rubber feet, supporting three, the third without rubber, which makes the device slipping a bit. Moreover, does what it says, that is, short, breaks off, etc ... Perhaps the neck where they enter the vegetables should be slightly larger to allow more mana"&amp;"geable sizes, but hey, it goes well ...")</f>
        <v>As expected, although it could be improved. The machine works as desired and expected. Seems resistant in general, although the base has a groove, it seems to ventilate the engine or something, that gives little resistance aspect. Also, it brings only two rubber feet, supporting three, the third without rubber, which makes the device slipping a bit. Moreover, does what it says, that is, short, breaks off, etc ... Perhaps the neck where they enter the vegetables should be slightly larger to allow more manageable sizes, but hey, it goes well ...</v>
      </c>
    </row>
    <row r="6391">
      <c r="A6391" s="1">
        <v>4.0</v>
      </c>
      <c r="B6391" s="1" t="s">
        <v>6350</v>
      </c>
      <c r="C6391" t="str">
        <f>IFERROR(__xludf.DUMMYFUNCTION("GOOGLETRANSLATE(B6391, ""es"", ""en"")"),"Nice gift and well finished though a bit small Very nice but should be a little bigger")</f>
        <v>Nice gift and well finished though a bit small Very nice but should be a little bigger</v>
      </c>
    </row>
    <row r="6392">
      <c r="A6392" s="1">
        <v>5.0</v>
      </c>
      <c r="B6392" s="1" t="s">
        <v>6351</v>
      </c>
      <c r="C6392" t="str">
        <f>IFERROR(__xludf.DUMMYFUNCTION("GOOGLETRANSLATE(B6392, ""es"", ""en"")"),"The best price. With a front print comfortable to write the title of the disc. LG..y recorder used with me are perfect, so far never failed me or none at maximum speed.")</f>
        <v>The best price. With a front print comfortable to write the title of the disc. LG..y recorder used with me are perfect, so far never failed me or none at maximum speed.</v>
      </c>
    </row>
    <row r="6393">
      <c r="A6393" s="1">
        <v>5.0</v>
      </c>
      <c r="B6393" s="1" t="s">
        <v>6352</v>
      </c>
      <c r="C6393" t="str">
        <f>IFERROR(__xludf.DUMMYFUNCTION("GOOGLETRANSLATE(B6393, ""es"", ""en"")"),"Perfect!!! Great choice for Kehel exercises. It is practical, fun and easy. As for after-sales service: insuperable. For any questions or problems that may arise immediately answer you close and friendly way. I highly recommend it !!!")</f>
        <v>Perfect!!! Great choice for Kehel exercises. It is practical, fun and easy. As for after-sales service: insuperable. For any questions or problems that may arise immediately answer you close and friendly way. I highly recommend it !!!</v>
      </c>
    </row>
    <row r="6394">
      <c r="A6394" s="1">
        <v>5.0</v>
      </c>
      <c r="B6394" s="1" t="s">
        <v>6353</v>
      </c>
      <c r="C6394" t="str">
        <f>IFERROR(__xludf.DUMMYFUNCTION("GOOGLETRANSLATE(B6394, ""es"", ""en"")"),"Monica Chanclas super nice and very good quality. They are very comfortable. The only drawback is that they would put the inside of where marked is like a sponge and water and soaking takes to dry.")</f>
        <v>Monica Chanclas super nice and very good quality. They are very comfortable. The only drawback is that they would put the inside of where marked is like a sponge and water and soaking takes to dry.</v>
      </c>
    </row>
    <row r="6395">
      <c r="A6395" s="1">
        <v>5.0</v>
      </c>
      <c r="B6395" s="1" t="s">
        <v>6354</v>
      </c>
      <c r="C6395" t="str">
        <f>IFERROR(__xludf.DUMMYFUNCTION("GOOGLETRANSLATE(B6395, ""es"", ""en"")"),"I love it already had used before and liked it so I asked for my sister")</f>
        <v>I love it already had used before and liked it so I asked for my sister</v>
      </c>
    </row>
    <row r="6396">
      <c r="A6396" s="1">
        <v>5.0</v>
      </c>
      <c r="B6396" s="1" t="s">
        <v>6355</v>
      </c>
      <c r="C6396" t="str">
        <f>IFERROR(__xludf.DUMMYFUNCTION("GOOGLETRANSLATE(B6396, ""es"", ""en"")"),"Great and comfortable I loved, very easy to put on, it was what I was looking but also very nice to use and warm, perfect for cold days.")</f>
        <v>Great and comfortable I loved, very easy to put on, it was what I was looking but also very nice to use and warm, perfect for cold days.</v>
      </c>
    </row>
    <row r="6397">
      <c r="A6397" s="1">
        <v>5.0</v>
      </c>
      <c r="B6397" s="1" t="s">
        <v>6356</v>
      </c>
      <c r="C6397" t="str">
        <f>IFERROR(__xludf.DUMMYFUNCTION("GOOGLETRANSLATE(B6397, ""es"", ""en"")"),"A great success Very good quality, super brushes practical and highly recommended for daily cleaning. I like them very much. They are very consistent. From then would ask.")</f>
        <v>A great success Very good quality, super brushes practical and highly recommended for daily cleaning. I like them very much. They are very consistent. From then would ask.</v>
      </c>
    </row>
    <row r="6398">
      <c r="A6398" s="1">
        <v>5.0</v>
      </c>
      <c r="B6398" s="1" t="s">
        <v>6357</v>
      </c>
      <c r="C6398" t="str">
        <f>IFERROR(__xludf.DUMMYFUNCTION("GOOGLETRANSLATE(B6398, ""es"", ""en"")"),"Blender good good. Elegant and easy to use.")</f>
        <v>Blender good good. Elegant and easy to use.</v>
      </c>
    </row>
    <row r="6399">
      <c r="A6399" s="1">
        <v>5.0</v>
      </c>
      <c r="B6399" s="1" t="s">
        <v>6358</v>
      </c>
      <c r="C6399" t="str">
        <f>IFERROR(__xludf.DUMMYFUNCTION("GOOGLETRANSLATE(B6399, ""es"", ""en"")"),"Your feet will thank you for comfortable hiking is the second pair to buy")</f>
        <v>Your feet will thank you for comfortable hiking is the second pair to buy</v>
      </c>
    </row>
    <row r="6400">
      <c r="A6400" s="1">
        <v>5.0</v>
      </c>
      <c r="B6400" s="1" t="s">
        <v>6359</v>
      </c>
      <c r="C6400" t="str">
        <f>IFERROR(__xludf.DUMMYFUNCTION("GOOGLETRANSLATE(B6400, ""es"", ""en"")"),"Like the same photo photo")</f>
        <v>Like the same photo photo</v>
      </c>
    </row>
    <row r="6401">
      <c r="A6401" s="1">
        <v>5.0</v>
      </c>
      <c r="B6401" s="1" t="s">
        <v>6360</v>
      </c>
      <c r="C6401" t="str">
        <f>IFERROR(__xludf.DUMMYFUNCTION("GOOGLETRANSLATE(B6401, ""es"", ""en"")"),"Strong I like it because its subject is very strong, and I see lasting. As an example I would say that I have used to hold a pair of light covers that had fallen and some other box. I refuse to do more holes. Ah, once I used it to glue the sole of a sport"&amp;"s my niece until she returned home a few hours later, and she, with peace of mind adolescence took him several days until her mother threw.")</f>
        <v>Strong I like it because its subject is very strong, and I see lasting. As an example I would say that I have used to hold a pair of light covers that had fallen and some other box. I refuse to do more holes. Ah, once I used it to glue the sole of a sports my niece until she returned home a few hours later, and she, with peace of mind adolescence took him several days until her mother threw.</v>
      </c>
    </row>
    <row r="6402">
      <c r="A6402" s="1">
        <v>5.0</v>
      </c>
      <c r="B6402" s="1" t="s">
        <v>6361</v>
      </c>
      <c r="C6402" t="str">
        <f>IFERROR(__xludf.DUMMYFUNCTION("GOOGLETRANSLATE(B6402, ""es"", ""en"")"),"Compacts are compact and easy to store. Data stores well, has good speed data transfer. Has a good metallic touch gives it a quality point. They have enough space to put songs and put in the car. Click ""UTIL"" If you have proved interesting my comment. T"&amp;"hank you")</f>
        <v>Compacts are compact and easy to store. Data stores well, has good speed data transfer. Has a good metallic touch gives it a quality point. They have enough space to put songs and put in the car. Click "UTIL" If you have proved interesting my comment. Thank you</v>
      </c>
    </row>
    <row r="6403">
      <c r="A6403" s="1">
        <v>5.0</v>
      </c>
      <c r="B6403" s="1" t="s">
        <v>6362</v>
      </c>
      <c r="C6403" t="str">
        <f>IFERROR(__xludf.DUMMYFUNCTION("GOOGLETRANSLATE(B6403, ""es"", ""en"")"),"Good Heater Good product, fast and efficient. It has good capacity. Just what I expected.")</f>
        <v>Good Heater Good product, fast and efficient. It has good capacity. Just what I expected.</v>
      </c>
    </row>
    <row r="6404">
      <c r="A6404" s="1">
        <v>5.0</v>
      </c>
      <c r="B6404" s="1" t="s">
        <v>6363</v>
      </c>
      <c r="C6404" t="str">
        <f>IFERROR(__xludf.DUMMYFUNCTION("GOOGLETRANSLATE(B6404, ""es"", ""en"")"),"Back to the 80 modern cassette Radio with all k it makes an MP3, ideal for your old tapes")</f>
        <v>Back to the 80 modern cassette Radio with all k it makes an MP3, ideal for your old tapes</v>
      </c>
    </row>
    <row r="6405">
      <c r="A6405" s="1">
        <v>5.0</v>
      </c>
      <c r="B6405" s="1" t="s">
        <v>6364</v>
      </c>
      <c r="C6405" t="str">
        <f>IFERROR(__xludf.DUMMYFUNCTION("GOOGLETRANSLATE(B6405, ""es"", ""en"")"),"Very good lamp good product complies with all its functions and the sound of the alarm sounds well and you can modify it to higher or lower sueneas and light is amazing 👍")</f>
        <v>Very good lamp good product complies with all its functions and the sound of the alarm sounds well and you can modify it to higher or lower sueneas and light is amazing 👍</v>
      </c>
    </row>
    <row r="6406">
      <c r="A6406" s="1">
        <v>5.0</v>
      </c>
      <c r="B6406" s="1" t="s">
        <v>6365</v>
      </c>
      <c r="C6406" t="str">
        <f>IFERROR(__xludf.DUMMYFUNCTION("GOOGLETRANSLATE(B6406, ""es"", ""en"")"),"Excellent Excellent water bag water bag. Touch is very soft and easy to fill. It has good seal and seems durable. I was surprised how well it retains heat.")</f>
        <v>Excellent Excellent water bag water bag. Touch is very soft and easy to fill. It has good seal and seems durable. I was surprised how well it retains heat.</v>
      </c>
    </row>
    <row r="6407">
      <c r="A6407" s="1">
        <v>5.0</v>
      </c>
      <c r="B6407" s="1" t="s">
        <v>6366</v>
      </c>
      <c r="C6407" t="str">
        <f>IFERROR(__xludf.DUMMYFUNCTION("GOOGLETRANSLATE(B6407, ""es"", ""en"")"),"Perfect I loved, good quality and use for sports.")</f>
        <v>Perfect I loved, good quality and use for sports.</v>
      </c>
    </row>
    <row r="6408">
      <c r="A6408" s="1">
        <v>5.0</v>
      </c>
      <c r="B6408" s="1" t="s">
        <v>6367</v>
      </c>
      <c r="C6408" t="str">
        <f>IFERROR(__xludf.DUMMYFUNCTION("GOOGLETRANSLATE(B6408, ""es"", ""en"")"),"Good headphones and sound quality I bought these headphones as a gift, as my partner needed a headset with a similar design to the iPhone. The truth is that for the price they sound pretty good and best of all is that they bring a zippered and various acc"&amp;"essories that perfectly complement this gift. To highlight the handsfree and the ability to raise and lower volume. Happy with purchase.")</f>
        <v>Good headphones and sound quality I bought these headphones as a gift, as my partner needed a headset with a similar design to the iPhone. The truth is that for the price they sound pretty good and best of all is that they bring a zippered and various accessories that perfectly complement this gift. To highlight the handsfree and the ability to raise and lower volume. Happy with purchase.</v>
      </c>
    </row>
    <row r="6409">
      <c r="A6409" s="1">
        <v>5.0</v>
      </c>
      <c r="B6409" s="1" t="s">
        <v>5450</v>
      </c>
      <c r="C6409" t="str">
        <f>IFERROR(__xludf.DUMMYFUNCTION("GOOGLETRANSLATE(B6409, ""es"", ""en"")"),"Very good very good")</f>
        <v>Very good very good</v>
      </c>
    </row>
    <row r="6410">
      <c r="A6410" s="1">
        <v>5.0</v>
      </c>
      <c r="B6410" s="1" t="s">
        <v>6368</v>
      </c>
      <c r="C6410" t="str">
        <f>IFERROR(__xludf.DUMMYFUNCTION("GOOGLETRANSLATE(B6410, ""es"", ""en"")"),"The comfortable and classic Gazelle are a model home with any garment And they're really comfortable. They have a good squad that makes the foot is not completely straight. I recommend them whenever you find them at a competitive price.")</f>
        <v>The comfortable and classic Gazelle are a model home with any garment And they're really comfortable. They have a good squad that makes the foot is not completely straight. I recommend them whenever you find them at a competitive price.</v>
      </c>
    </row>
    <row r="6411">
      <c r="A6411" s="1">
        <v>2.0</v>
      </c>
      <c r="B6411" s="1" t="s">
        <v>6369</v>
      </c>
      <c r="C6411" t="str">
        <f>IFERROR(__xludf.DUMMYFUNCTION("GOOGLETRANSLATE(B6411, ""es"", ""en"")"),"No OTG works it back to me. I would not work in any of my OTG devices. You put two stars because the transfer rate from the PC did not seem bad.")</f>
        <v>No OTG works it back to me. I would not work in any of my OTG devices. You put two stars because the transfer rate from the PC did not seem bad.</v>
      </c>
    </row>
    <row r="6412">
      <c r="A6412" s="1">
        <v>3.0</v>
      </c>
      <c r="B6412" s="1" t="s">
        <v>6370</v>
      </c>
      <c r="C6412" t="str">
        <f>IFERROR(__xludf.DUMMYFUNCTION("GOOGLETRANSLATE(B6412, ""es"", ""en"")"),"They are not very comfortable There are as comfortable as other shoes of this brand. Something disappointed. Not buy it again")</f>
        <v>They are not very comfortable There are as comfortable as other shoes of this brand. Something disappointed. Not buy it again</v>
      </c>
    </row>
    <row r="6413">
      <c r="A6413" s="1">
        <v>1.0</v>
      </c>
      <c r="B6413" s="1" t="s">
        <v>6371</v>
      </c>
      <c r="C6413" t="str">
        <f>IFERROR(__xludf.DUMMYFUNCTION("GOOGLETRANSLATE(B6413, ""es"", ""en"")"),"Speed ​​not have used enough to give an assessment I've only used as storage and has worked well with .Mac it goes well")</f>
        <v>Speed ​​not have used enough to give an assessment I've only used as storage and has worked well with .Mac it goes well</v>
      </c>
    </row>
    <row r="6414">
      <c r="A6414" s="1">
        <v>1.0</v>
      </c>
      <c r="B6414" s="1" t="s">
        <v>6372</v>
      </c>
      <c r="C6414" t="str">
        <f>IFERROR(__xludf.DUMMYFUNCTION("GOOGLETRANSLATE(B6414, ""es"", ""en"")"),"Shoddy A second use began to split his foot, just passing pureed vegetables to the fourth use a piece of plastic fell off, in 4 months away")</f>
        <v>Shoddy A second use began to split his foot, just passing pureed vegetables to the fourth use a piece of plastic fell off, in 4 months away</v>
      </c>
    </row>
    <row r="6415">
      <c r="A6415" s="1">
        <v>4.0</v>
      </c>
      <c r="B6415" s="1" t="s">
        <v>6373</v>
      </c>
      <c r="C6415" t="str">
        <f>IFERROR(__xludf.DUMMYFUNCTION("GOOGLETRANSLATE(B6415, ""es"", ""en"")"),"Label size DinA4 very useful. Tags Size DinA4 very useful for graphics printing. I use my inkjet printer brand Brother before he used it in an Epson. The printing takes enough to dry and erased quite easily but hey, not bad. The price on Amazon of the bes"&amp;"t I've seen.")</f>
        <v>Label size DinA4 very useful. Tags Size DinA4 very useful for graphics printing. I use my inkjet printer brand Brother before he used it in an Epson. The printing takes enough to dry and erased quite easily but hey, not bad. The price on Amazon of the best I've seen.</v>
      </c>
    </row>
    <row r="6416">
      <c r="A6416" s="1">
        <v>4.0</v>
      </c>
      <c r="B6416" s="1" t="s">
        <v>6374</v>
      </c>
      <c r="C6416" t="str">
        <f>IFERROR(__xludf.DUMMYFUNCTION("GOOGLETRANSLATE(B6416, ""es"", ""en"")"),"Very nice, but much squeeze fingers. Very nice and others have tried but not more than the day I have come, and I apreta much on the little finger, because they are very diras will still, that question will give him.")</f>
        <v>Very nice, but much squeeze fingers. Very nice and others have tried but not more than the day I have come, and I apreta much on the little finger, because they are very diras will still, that question will give him.</v>
      </c>
    </row>
    <row r="6417">
      <c r="A6417" s="1">
        <v>4.0</v>
      </c>
      <c r="B6417" s="1" t="s">
        <v>6375</v>
      </c>
      <c r="C6417" t="str">
        <f>IFERROR(__xludf.DUMMYFUNCTION("GOOGLETRANSLATE(B6417, ""es"", ""en"")"),"Good product at a good price to put some fault, saying that the thermometer is not very accurate, and sometimes leave the hands not see the digits.")</f>
        <v>Good product at a good price to put some fault, saying that the thermometer is not very accurate, and sometimes leave the hands not see the digits.</v>
      </c>
    </row>
    <row r="6418">
      <c r="A6418" s="1">
        <v>4.0</v>
      </c>
      <c r="B6418" s="1" t="s">
        <v>6376</v>
      </c>
      <c r="C6418" t="str">
        <f>IFERROR(__xludf.DUMMYFUNCTION("GOOGLETRANSLATE(B6418, ""es"", ""en"")"),"Smart power just for a retro design that highlights in our kitchen is appreciated that incorporates accessories for the price you pay for it.")</f>
        <v>Smart power just for a retro design that highlights in our kitchen is appreciated that incorporates accessories for the price you pay for it.</v>
      </c>
    </row>
    <row r="6419">
      <c r="A6419" s="1">
        <v>5.0</v>
      </c>
      <c r="B6419" s="1" t="s">
        <v>6377</v>
      </c>
      <c r="C6419" t="str">
        <f>IFERROR(__xludf.DUMMYFUNCTION("GOOGLETRANSLATE(B6419, ""es"", ""en"")"),"Very good is perfect, the truth is biggish size and robust in terms of material.")</f>
        <v>Very good is perfect, the truth is biggish size and robust in terms of material.</v>
      </c>
    </row>
    <row r="6420">
      <c r="A6420" s="1">
        <v>5.0</v>
      </c>
      <c r="B6420" s="1" t="s">
        <v>6378</v>
      </c>
      <c r="C6420" t="str">
        <f>IFERROR(__xludf.DUMMYFUNCTION("GOOGLETRANSLATE(B6420, ""es"", ""en"")"),"A disc works well as another, because they are all similar, very quiet, but on the ability, we are always the same, are not 4tb as indicated by the announcement, they are 3.64, corresponding to 40000 .... 000 bits. In this all makes deceive us. If you tal"&amp;"k about Teras, they should put the exact amount.")</f>
        <v>A disc works well as another, because they are all similar, very quiet, but on the ability, we are always the same, are not 4tb as indicated by the announcement, they are 3.64, corresponding to 40000 .... 000 bits. In this all makes deceive us. If you talk about Teras, they should put the exact amount.</v>
      </c>
    </row>
    <row r="6421">
      <c r="A6421" s="1">
        <v>5.0</v>
      </c>
      <c r="B6421" s="1" t="s">
        <v>6379</v>
      </c>
      <c r="C6421" t="str">
        <f>IFERROR(__xludf.DUMMYFUNCTION("GOOGLETRANSLATE(B6421, ""es"", ""en"")"),"Ideal for work and spend many hours standing. He gave it to the partner, as it is many hours standing at work and can not be happier with them. Since the leads does not have sore legs or feet as normal shoes and fulfill their function fully. Shes charmed."&amp;" It is a good buy if you're using them for a long time standing or if you have problems with plantar fasciitis, etc.")</f>
        <v>Ideal for work and spend many hours standing. He gave it to the partner, as it is many hours standing at work and can not be happier with them. Since the leads does not have sore legs or feet as normal shoes and fulfill their function fully. Shes charmed. It is a good buy if you're using them for a long time standing or if you have problems with plantar fasciitis, etc.</v>
      </c>
    </row>
    <row r="6422">
      <c r="A6422" s="1">
        <v>5.0</v>
      </c>
      <c r="B6422" s="1" t="s">
        <v>6380</v>
      </c>
      <c r="C6422" t="str">
        <f>IFERROR(__xludf.DUMMYFUNCTION("GOOGLETRANSLATE(B6422, ""es"", ""en"")"),"Functional and good materials Actually I am very happy with the purchase. For the price you have the materials are very good and the great compartments for notes and coins. The design is also nice and not weigh much. I also like that if you leave the moor"&amp;"ings raised ticket at the cash register closing down and catch the tickets without you having to download them one by one.")</f>
        <v>Functional and good materials Actually I am very happy with the purchase. For the price you have the materials are very good and the great compartments for notes and coins. The design is also nice and not weigh much. I also like that if you leave the moorings raised ticket at the cash register closing down and catch the tickets without you having to download them one by one.</v>
      </c>
    </row>
    <row r="6423">
      <c r="A6423" s="1">
        <v>5.0</v>
      </c>
      <c r="B6423" s="1" t="s">
        <v>6381</v>
      </c>
      <c r="C6423" t="str">
        <f>IFERROR(__xludf.DUMMYFUNCTION("GOOGLETRANSLATE(B6423, ""es"", ""en"")"),"Cs good good quality, meet the brand tative ezpe")</f>
        <v>Cs good good quality, meet the brand tative ezpe</v>
      </c>
    </row>
    <row r="6424">
      <c r="A6424" s="1">
        <v>5.0</v>
      </c>
      <c r="B6424" s="1" t="s">
        <v>6382</v>
      </c>
      <c r="C6424" t="str">
        <f>IFERROR(__xludf.DUMMYFUNCTION("GOOGLETRANSLATE(B6424, ""es"", ""en"")"),"American sizing Keep in mind that size is American, is giving more size than in Europe")</f>
        <v>American sizing Keep in mind that size is American, is giving more size than in Europe</v>
      </c>
    </row>
    <row r="6425">
      <c r="A6425" s="1">
        <v>5.0</v>
      </c>
      <c r="B6425" s="1" t="s">
        <v>6383</v>
      </c>
      <c r="C6425" t="str">
        <f>IFERROR(__xludf.DUMMYFUNCTION("GOOGLETRANSLATE(B6425, ""es"", ""en"")"),"Van fantastic very well. Fully recommended!")</f>
        <v>Van fantastic very well. Fully recommended!</v>
      </c>
    </row>
    <row r="6426">
      <c r="A6426" s="1">
        <v>5.0</v>
      </c>
      <c r="B6426" s="1" t="s">
        <v>6384</v>
      </c>
      <c r="C6426" t="str">
        <f>IFERROR(__xludf.DUMMYFUNCTION("GOOGLETRANSLATE(B6426, ""es"", ""en"")"),"They bambas first at a good price are super comfortable !! I was surprised by the quality of the material, extremely good and priced very tight and cheap for its high quality. I'm super happy with them :-) perfectly match my foot and it's like no llevases"&amp;" anything, do not weigh, do not bother and are very cool")</f>
        <v>They bambas first at a good price are super comfortable !! I was surprised by the quality of the material, extremely good and priced very tight and cheap for its high quality. I'm super happy with them :-) perfectly match my foot and it's like no llevases anything, do not weigh, do not bother and are very cool</v>
      </c>
    </row>
    <row r="6427">
      <c r="A6427" s="1">
        <v>5.0</v>
      </c>
      <c r="B6427" s="1" t="s">
        <v>6385</v>
      </c>
      <c r="C6427" t="str">
        <f>IFERROR(__xludf.DUMMYFUNCTION("GOOGLETRANSLATE(B6427, ""es"", ""en"")"),"Brand and quality I liked the quality of the product but the delay in the order NO")</f>
        <v>Brand and quality I liked the quality of the product but the delay in the order NO</v>
      </c>
    </row>
    <row r="6428">
      <c r="A6428" s="1">
        <v>5.0</v>
      </c>
      <c r="B6428" s="1" t="s">
        <v>6386</v>
      </c>
      <c r="C6428" t="str">
        <f>IFERROR(__xludf.DUMMYFUNCTION("GOOGLETRANSLATE(B6428, ""es"", ""en"")"),"Good product good product. So far it is working perfectly. The only bad thing is the cap a little flimsy. But the sealant is of very good quality")</f>
        <v>Good product good product. So far it is working perfectly. The only bad thing is the cap a little flimsy. But the sealant is of very good quality</v>
      </c>
    </row>
    <row r="6429">
      <c r="A6429" s="1">
        <v>5.0</v>
      </c>
      <c r="B6429" s="1" t="s">
        <v>6387</v>
      </c>
      <c r="C6429" t="str">
        <f>IFERROR(__xludf.DUMMYFUNCTION("GOOGLETRANSLATE(B6429, ""es"", ""en"")"),"extraordinary price quality watch with a great quality price. good pretty and cheap. effective delivery and great transaction. highly recommended. Without hesitation I would buy it.")</f>
        <v>extraordinary price quality watch with a great quality price. good pretty and cheap. effective delivery and great transaction. highly recommended. Without hesitation I would buy it.</v>
      </c>
    </row>
    <row r="6430">
      <c r="A6430" s="1">
        <v>5.0</v>
      </c>
      <c r="B6430" s="1" t="s">
        <v>6388</v>
      </c>
      <c r="C6430" t="str">
        <f>IFERROR(__xludf.DUMMYFUNCTION("GOOGLETRANSLATE(B6430, ""es"", ""en"")"),"Amazing Amazing, better than expected. Ideal parquet xa xq leaves the floor wet as the Scooba, wets and dries quickly. Plus, it's super quiet. Exiled mop and mop in my house ...")</f>
        <v>Amazing Amazing, better than expected. Ideal parquet xa xq leaves the floor wet as the Scooba, wets and dries quickly. Plus, it's super quiet. Exiled mop and mop in my house ...</v>
      </c>
    </row>
    <row r="6431">
      <c r="A6431" s="1">
        <v>5.0</v>
      </c>
      <c r="B6431" s="1" t="s">
        <v>6389</v>
      </c>
      <c r="C6431" t="str">
        <f>IFERROR(__xludf.DUMMYFUNCTION("GOOGLETRANSLATE(B6431, ""es"", ""en"")"),"Fulfills its function Kettle good quality water, is easy to use and has more than enough capacity for 5 cups. The material is very comfortable to clean and simple operation, la.bade connect to the stream, put the kettle on this and press the button to tur"&amp;"n on. Pleased with purchase without a doubt.")</f>
        <v>Fulfills its function Kettle good quality water, is easy to use and has more than enough capacity for 5 cups. The material is very comfortable to clean and simple operation, la.bade connect to the stream, put the kettle on this and press the button to turn on. Pleased with purchase without a doubt.</v>
      </c>
    </row>
    <row r="6432">
      <c r="A6432" s="1">
        <v>5.0</v>
      </c>
      <c r="B6432" s="1" t="s">
        <v>6390</v>
      </c>
      <c r="C6432" t="str">
        <f>IFERROR(__xludf.DUMMYFUNCTION("GOOGLETRANSLATE(B6432, ""es"", ""en"")"),"No hireling are matched to the moment and it is a pleasure to listen to any source with them, the sound is magnificent to be open and these dimensions can not expect to compete with a closed in-ear headphones high-end professionals that cost several times"&amp;" more do not have the bandwidth or transparency but it is surprising how good they sound, are not typical Chinese headphones are an ordeal for oídos.En terms of comfort is pretty good, you have to get used to them as all in-ear but do not bother, or move "&amp;"once well placed nor weighed. Autonomy is also pretty decent given the small battery isima carrying not only these but any headphones of these features, little can be done in this regard without increasing the weight or the size o.Lo is undoubtedly the be"&amp;"st design or, they are beautiful and the transport and cargo box is small isima and works perfectly. Excellent choice in this price range, very happy with them.")</f>
        <v>No hireling are matched to the moment and it is a pleasure to listen to any source with them, the sound is magnificent to be open and these dimensions can not expect to compete with a closed in-ear headphones high-end professionals that cost several times more do not have the bandwidth or transparency but it is surprising how good they sound, are not typical Chinese headphones are an ordeal for oídos.En terms of comfort is pretty good, you have to get used to them as all in-ear but do not bother, or move once well placed nor weighed. Autonomy is also pretty decent given the small battery isima carrying not only these but any headphones of these features, little can be done in this regard without increasing the weight or the size o.Lo is undoubtedly the best design or, they are beautiful and the transport and cargo box is small isima and works perfectly. Excellent choice in this price range, very happy with them.</v>
      </c>
    </row>
    <row r="6433">
      <c r="A6433" s="1">
        <v>5.0</v>
      </c>
      <c r="B6433" s="1" t="s">
        <v>6391</v>
      </c>
      <c r="C6433" t="str">
        <f>IFERROR(__xludf.DUMMYFUNCTION("GOOGLETRANSLATE(B6433, ""es"", ""en"")"),"Great with my Xiaomi I bought it for my phone and it works perfectly. This insert nothing recognized and did not need any configuration or formatting. Often change. A good choice with a capacity / unbeatable price! As always, Amazon delivered before deadl"&amp;"ine !!")</f>
        <v>Great with my Xiaomi I bought it for my phone and it works perfectly. This insert nothing recognized and did not need any configuration or formatting. Often change. A good choice with a capacity / unbeatable price! As always, Amazon delivered before deadline !!</v>
      </c>
    </row>
    <row r="6434">
      <c r="A6434" s="1">
        <v>5.0</v>
      </c>
      <c r="B6434" s="1" t="s">
        <v>6392</v>
      </c>
      <c r="C6434" t="str">
        <f>IFERROR(__xludf.DUMMYFUNCTION("GOOGLETRANSLATE(B6434, ""es"", ""en"")"),"Perfect sound and very comfortable long time I was looking for wireless headphones to go on my way to work, but none finished convince me and I decided to try these. The first surprise is the size and weight because they are very light. The headset is pai"&amp;"red with the mobile very fast and every time you take it out of its sheath, synchronizing the time. The sheath itself is a kind of powerbank recharging the headphones every time the guards. You can recharge about 10 times and each charge takes a 3 hour lo"&amp;"ng intensive. The headphones have individual microphones to make calls and its single button can pause, next song get the assistant mobile, etc. The connection to recharge the case is microUSB, included in the box. I have little with them but I can say th"&amp;"at are great for value - price. The connection range exceeds think that say 10 meters, me still working me even surpassing that distance. The sound is good, not isolated from the outside but listen well. The advantage is that the headphones can be used se"&amp;"parately when other models usually left depends on the right so that you can use. Here you can use one and when the battery runs out the other. The only problem is knowing when you want to use to unconfigure the same time habiéndolos used separately. By d"&amp;"efault both solos are connected, and if you want to use them separately you must first connect the headset to your device left that interests you and then the right, but then if you want to reuse the same time you have to ""reset them."" I add that the ba"&amp;"ttery lasts quite, about 4 hours listening to music that is for what use. I've tried them when I go out to skate and hold well, do not fall or skating or training in the gym. When last few months will have another review to see if they still work just as "&amp;"well.")</f>
        <v>Perfect sound and very comfortable long time I was looking for wireless headphones to go on my way to work, but none finished convince me and I decided to try these. The first surprise is the size and weight because they are very light. The headset is paired with the mobile very fast and every time you take it out of its sheath, synchronizing the time. The sheath itself is a kind of powerbank recharging the headphones every time the guards. You can recharge about 10 times and each charge takes a 3 hour long intensive. The headphones have individual microphones to make calls and its single button can pause, next song get the assistant mobile, etc. The connection to recharge the case is microUSB, included in the box. I have little with them but I can say that are great for value - price. The connection range exceeds think that say 10 meters, me still working me even surpassing that distance. The sound is good, not isolated from the outside but listen well. The advantage is that the headphones can be used separately when other models usually left depends on the right so that you can use. Here you can use one and when the battery runs out the other. The only problem is knowing when you want to use to unconfigure the same time habiéndolos used separately. By default both solos are connected, and if you want to use them separately you must first connect the headset to your device left that interests you and then the right, but then if you want to reuse the same time you have to "reset them." I add that the battery lasts quite, about 4 hours listening to music that is for what use. I've tried them when I go out to skate and hold well, do not fall or skating or training in the gym. When last few months will have another review to see if they still work just as well.</v>
      </c>
    </row>
    <row r="6435">
      <c r="A6435" s="1">
        <v>5.0</v>
      </c>
      <c r="B6435" s="1" t="s">
        <v>6393</v>
      </c>
      <c r="C6435" t="str">
        <f>IFERROR(__xludf.DUMMYFUNCTION("GOOGLETRANSLATE(B6435, ""es"", ""en"")"),"Good, nice, cheap were a gift and have been the perfect choice. Although they are plastic, they are very nice and seem easy to break. The pad is very soft and comfortable. As for sound quality, too happy, hear very well. You can not compare with earphones"&amp;" or headphones higher end, but they are the perfect headphones for the day to day without fear that, if they break, it will cost you much to replace them with its price. Recommended completely.")</f>
        <v>Good, nice, cheap were a gift and have been the perfect choice. Although they are plastic, they are very nice and seem easy to break. The pad is very soft and comfortable. As for sound quality, too happy, hear very well. You can not compare with earphones or headphones higher end, but they are the perfect headphones for the day to day without fear that, if they break, it will cost you much to replace them with its price. Recommended completely.</v>
      </c>
    </row>
    <row r="6436">
      <c r="A6436" s="1">
        <v>5.0</v>
      </c>
      <c r="B6436" s="1" t="s">
        <v>6394</v>
      </c>
      <c r="C6436" t="str">
        <f>IFERROR(__xludf.DUMMYFUNCTION("GOOGLETRANSLATE(B6436, ""es"", ""en"")"),"Perfect quality")</f>
        <v>Perfect quality</v>
      </c>
    </row>
    <row r="6437">
      <c r="A6437" s="1">
        <v>5.0</v>
      </c>
      <c r="B6437" s="1" t="s">
        <v>6395</v>
      </c>
      <c r="C6437" t="str">
        <f>IFERROR(__xludf.DUMMYFUNCTION("GOOGLETRANSLATE(B6437, ""es"", ""en"")"),"Vanesa Me a charmed by its price can not ask for more'm very happy with it recommend it")</f>
        <v>Vanesa Me a charmed by its price can not ask for more'm very happy with it recommend it</v>
      </c>
    </row>
    <row r="6438">
      <c r="A6438" s="1">
        <v>2.0</v>
      </c>
      <c r="B6438" s="1" t="s">
        <v>6396</v>
      </c>
      <c r="C6438" t="str">
        <f>IFERROR(__xludf.DUMMYFUNCTION("GOOGLETRANSLATE(B6438, ""es"", ""en"")"),"Doubts whether they are authentic have arrived in a white box without brand identification and then have come with white rubbing two shoes, a zapatills of black color and the inner sole not resemble others that have the same make and model")</f>
        <v>Doubts whether they are authentic have arrived in a white box without brand identification and then have come with white rubbing two shoes, a zapatills of black color and the inner sole not resemble others that have the same make and model</v>
      </c>
    </row>
    <row r="6439">
      <c r="A6439" s="1">
        <v>3.0</v>
      </c>
      <c r="B6439" s="1" t="s">
        <v>6397</v>
      </c>
      <c r="C6439" t="str">
        <f>IFERROR(__xludf.DUMMYFUNCTION("GOOGLETRANSLATE(B6439, ""es"", ""en"")"),"The pendant seemed deceptively size to be larger on the web. It's nice, but I was a little disappointed for that reason.")</f>
        <v>The pendant seemed deceptively size to be larger on the web. It's nice, but I was a little disappointed for that reason.</v>
      </c>
    </row>
    <row r="6440">
      <c r="A6440" s="1">
        <v>3.0</v>
      </c>
      <c r="B6440" s="1" t="s">
        <v>6398</v>
      </c>
      <c r="C6440" t="str">
        <f>IFERROR(__xludf.DUMMYFUNCTION("GOOGLETRANSLATE(B6440, ""es"", ""en"")"),"well Buenos")</f>
        <v>well Buenos</v>
      </c>
    </row>
    <row r="6441">
      <c r="A6441" s="1">
        <v>1.0</v>
      </c>
      <c r="B6441" s="1" t="s">
        <v>6399</v>
      </c>
      <c r="C6441" t="str">
        <f>IFERROR(__xludf.DUMMYFUNCTION("GOOGLETRANSLATE(B6441, ""es"", ""en"")"),"Although Ana marked my number as two numbers were less. He had others of the same brand, model and nothing else to do, bad finishes, rigid sole, gluing the sole daubed ... well, discontented")</f>
        <v>Although Ana marked my number as two numbers were less. He had others of the same brand, model and nothing else to do, bad finishes, rigid sole, gluing the sole daubed ... well, discontented</v>
      </c>
    </row>
    <row r="6442">
      <c r="A6442" s="1">
        <v>1.0</v>
      </c>
      <c r="B6442" s="1" t="s">
        <v>6400</v>
      </c>
      <c r="C6442" t="str">
        <f>IFERROR(__xludf.DUMMYFUNCTION("GOOGLETRANSLATE(B6442, ""es"", ""en"")"),"It chokes on this tetina do not like because with the retina having my baby choked on milk")</f>
        <v>It chokes on this tetina do not like because with the retina having my baby choked on milk</v>
      </c>
    </row>
    <row r="6443">
      <c r="A6443" s="1">
        <v>4.0</v>
      </c>
      <c r="B6443" s="1" t="s">
        <v>6401</v>
      </c>
      <c r="C6443" t="str">
        <f>IFERROR(__xludf.DUMMYFUNCTION("GOOGLETRANSLATE(B6443, ""es"", ""en"")"),"Beautiful are beautiful, I loved. Size as is")</f>
        <v>Beautiful are beautiful, I loved. Size as is</v>
      </c>
    </row>
    <row r="6444">
      <c r="A6444" s="1">
        <v>4.0</v>
      </c>
      <c r="B6444" s="1" t="s">
        <v>6402</v>
      </c>
      <c r="C6444" t="str">
        <f>IFERROR(__xludf.DUMMYFUNCTION("GOOGLETRANSLATE(B6444, ""es"", ""en"")"),"Very good Good buy, undoubted quality of flip flops, they are the nth I have and do not want others. They last about 4 years giving much use in summer.")</f>
        <v>Very good Good buy, undoubted quality of flip flops, they are the nth I have and do not want others. They last about 4 years giving much use in summer.</v>
      </c>
    </row>
    <row r="6445">
      <c r="A6445" s="1">
        <v>4.0</v>
      </c>
      <c r="B6445" s="1" t="s">
        <v>6403</v>
      </c>
      <c r="C6445" t="str">
        <f>IFERROR(__xludf.DUMMYFUNCTION("GOOGLETRANSLATE(B6445, ""es"", ""en"")"),"Very nice same as the photo. They are very pretty")</f>
        <v>Very nice same as the photo. They are very pretty</v>
      </c>
    </row>
    <row r="6446">
      <c r="A6446" s="1">
        <v>4.0</v>
      </c>
      <c r="B6446" s="1" t="s">
        <v>6404</v>
      </c>
      <c r="C6446" t="str">
        <f>IFERROR(__xludf.DUMMYFUNCTION("GOOGLETRANSLATE(B6446, ""es"", ""en"")"),"SILVER NECKLACE ROSEE I chose for its original Design and is very pretty am happy with the purchase, WHAT IF I SAY THAT SOME CHAIN ​​ME SEEMS FINE PHOTO seems to be a little thicker")</f>
        <v>SILVER NECKLACE ROSEE I chose for its original Design and is very pretty am happy with the purchase, WHAT IF I SAY THAT SOME CHAIN ​​ME SEEMS FINE PHOTO seems to be a little thicker</v>
      </c>
    </row>
    <row r="6447">
      <c r="A6447" s="1">
        <v>4.0</v>
      </c>
      <c r="B6447" s="1" t="s">
        <v>6405</v>
      </c>
      <c r="C6447" t="str">
        <f>IFERROR(__xludf.DUMMYFUNCTION("GOOGLETRANSLATE(B6447, ""es"", ""en"")"),"Good buy is simple but nice. Is heavy but I guess all weigh the same. It is the first pocket watch that I buy. Works. It's very good. And very good price.")</f>
        <v>Good buy is simple but nice. Is heavy but I guess all weigh the same. It is the first pocket watch that I buy. Works. It's very good. And very good price.</v>
      </c>
    </row>
    <row r="6448">
      <c r="A6448" s="1">
        <v>5.0</v>
      </c>
      <c r="B6448" s="1" t="s">
        <v>6406</v>
      </c>
      <c r="C6448" t="str">
        <f>IFERROR(__xludf.DUMMYFUNCTION("GOOGLETRANSLATE(B6448, ""es"", ""en"")"),"BBB Good, nice and cheap. The application for a high quality camera and the truth is it's pretty fast which is what we wanted, good buy")</f>
        <v>BBB Good, nice and cheap. The application for a high quality camera and the truth is it's pretty fast which is what we wanted, good buy</v>
      </c>
    </row>
    <row r="6449">
      <c r="A6449" s="1">
        <v>5.0</v>
      </c>
      <c r="B6449" s="1" t="s">
        <v>6407</v>
      </c>
      <c r="C6449" t="str">
        <f>IFERROR(__xludf.DUMMYFUNCTION("GOOGLETRANSLATE(B6449, ""es"", ""en"")"),"Good for sports sound quality Sennheiser earbuds, at relatively low cost in case you spoiled while running the sweat.")</f>
        <v>Good for sports sound quality Sennheiser earbuds, at relatively low cost in case you spoiled while running the sweat.</v>
      </c>
    </row>
    <row r="6450">
      <c r="A6450" s="1">
        <v>5.0</v>
      </c>
      <c r="B6450" s="1" t="s">
        <v>6408</v>
      </c>
      <c r="C6450" t="str">
        <f>IFERROR(__xludf.DUMMYFUNCTION("GOOGLETRANSLATE(B6450, ""es"", ""en"")"),"A perfect high quality product .. Zippers strong and resilient, lots of pockets and holes to keep your things without danger of breaking.")</f>
        <v>A perfect high quality product .. Zippers strong and resilient, lots of pockets and holes to keep your things without danger of breaking.</v>
      </c>
    </row>
    <row r="6451">
      <c r="A6451" s="1">
        <v>5.0</v>
      </c>
      <c r="B6451" s="1" t="s">
        <v>6409</v>
      </c>
      <c r="C6451" t="str">
        <f>IFERROR(__xludf.DUMMYFUNCTION("GOOGLETRANSLATE(B6451, ""es"", ""en"")"),"Product that facilitates effortless scrubbing floors. Very good product, my mother liked it so much that it has bought another. The only thing that breaks the pedal quickly but otherwise for older people who do not have forces in your hands is great. I re"&amp;"commend it.")</f>
        <v>Product that facilitates effortless scrubbing floors. Very good product, my mother liked it so much that it has bought another. The only thing that breaks the pedal quickly but otherwise for older people who do not have forces in your hands is great. I recommend it.</v>
      </c>
    </row>
    <row r="6452">
      <c r="A6452" s="1">
        <v>5.0</v>
      </c>
      <c r="B6452" s="1" t="s">
        <v>6410</v>
      </c>
      <c r="C6452" t="str">
        <f>IFERROR(__xludf.DUMMYFUNCTION("GOOGLETRANSLATE(B6452, ""es"", ""en"")"),"very good I was seeing several models and I liked it because I have big hands. And it is very convenient, in addition to cutting very well. I pruned them even. and the price is good.")</f>
        <v>very good I was seeing several models and I liked it because I have big hands. And it is very convenient, in addition to cutting very well. I pruned them even. and the price is good.</v>
      </c>
    </row>
    <row r="6453">
      <c r="A6453" s="1">
        <v>5.0</v>
      </c>
      <c r="B6453" s="1" t="s">
        <v>6411</v>
      </c>
      <c r="C6453" t="str">
        <f>IFERROR(__xludf.DUMMYFUNCTION("GOOGLETRANSLATE(B6453, ""es"", ""en"")"),"It was perfect for a gift for a gift and we really liked. It is the same as the description and images.")</f>
        <v>It was perfect for a gift for a gift and we really liked. It is the same as the description and images.</v>
      </c>
    </row>
    <row r="6454">
      <c r="A6454" s="1">
        <v>5.0</v>
      </c>
      <c r="B6454" s="1" t="s">
        <v>6412</v>
      </c>
      <c r="C6454" t="str">
        <f>IFERROR(__xludf.DUMMYFUNCTION("GOOGLETRANSLATE(B6454, ""es"", ""en"")"),"I love 😍 microphone very complete and very good quality!")</f>
        <v>I love 😍 microphone very complete and very good quality!</v>
      </c>
    </row>
    <row r="6455">
      <c r="A6455" s="1">
        <v>5.0</v>
      </c>
      <c r="B6455" s="1" t="s">
        <v>6413</v>
      </c>
      <c r="C6455" t="str">
        <f>IFERROR(__xludf.DUMMYFUNCTION("GOOGLETRANSLATE(B6455, ""es"", ""en"")"),"Very fast shipping and very fast shipping price adjusted")</f>
        <v>Very fast shipping and very fast shipping price adjusted</v>
      </c>
    </row>
    <row r="6456">
      <c r="A6456" s="1">
        <v>5.0</v>
      </c>
      <c r="B6456" s="1" t="s">
        <v>6414</v>
      </c>
      <c r="C6456" t="str">
        <f>IFERROR(__xludf.DUMMYFUNCTION("GOOGLETRANSLATE(B6456, ""es"", ""en"")"),"Super recommended We loved it and my husband bought this super happy. It is original and a good price.")</f>
        <v>Super recommended We loved it and my husband bought this super happy. It is original and a good price.</v>
      </c>
    </row>
    <row r="6457">
      <c r="A6457" s="1">
        <v>5.0</v>
      </c>
      <c r="B6457" s="1" t="s">
        <v>6415</v>
      </c>
      <c r="C6457" t="str">
        <f>IFERROR(__xludf.DUMMYFUNCTION("GOOGLETRANSLATE(B6457, ""es"", ""en"")"),"100 x 100 Perfectas recommended. They are beautiful. As it is seen in the photo")</f>
        <v>100 x 100 Perfectas recommended. They are beautiful. As it is seen in the photo</v>
      </c>
    </row>
    <row r="6458">
      <c r="A6458" s="1">
        <v>5.0</v>
      </c>
      <c r="B6458" s="1" t="s">
        <v>6416</v>
      </c>
      <c r="C6458" t="str">
        <f>IFERROR(__xludf.DUMMYFUNCTION("GOOGLETRANSLATE(B6458, ""es"", ""en"")"),"It's super fast and light light and very manageable and absorbs very strongly but only've tried it a while, we'll see later")</f>
        <v>It's super fast and light light and very manageable and absorbs very strongly but only've tried it a while, we'll see later</v>
      </c>
    </row>
    <row r="6459">
      <c r="A6459" s="1">
        <v>5.0</v>
      </c>
      <c r="B6459" s="1" t="s">
        <v>6417</v>
      </c>
      <c r="C6459" t="str">
        <f>IFERROR(__xludf.DUMMYFUNCTION("GOOGLETRANSLATE(B6459, ""es"", ""en"")"),"Convenient to place very practical! Quality assurance timeless design and comfort and a very good aguante.Es compra.Son very comfortable, light, you can put them with whatever you want why go well with miniskirts, the cowboy, with shorts ... Ideal for any"&amp;" type of clothing, plus super comfortable and comfortable.")</f>
        <v>Convenient to place very practical! Quality assurance timeless design and comfort and a very good aguante.Es compra.Son very comfortable, light, you can put them with whatever you want why go well with miniskirts, the cowboy, with shorts ... Ideal for any type of clothing, plus super comfortable and comfortable.</v>
      </c>
    </row>
    <row r="6460">
      <c r="A6460" s="1">
        <v>5.0</v>
      </c>
      <c r="B6460" s="1" t="s">
        <v>6418</v>
      </c>
      <c r="C6460" t="str">
        <f>IFERROR(__xludf.DUMMYFUNCTION("GOOGLETRANSLATE(B6460, ""es"", ""en"")"),"Durable and good quality Beautiful")</f>
        <v>Durable and good quality Beautiful</v>
      </c>
    </row>
    <row r="6461">
      <c r="A6461" s="1">
        <v>5.0</v>
      </c>
      <c r="B6461" s="1" t="s">
        <v>6419</v>
      </c>
      <c r="C6461" t="str">
        <f>IFERROR(__xludf.DUMMYFUNCTION("GOOGLETRANSLATE(B6461, ""es"", ""en"")"),"Comodos are comfortable, well carved and are perfectossss. They came before the due date.")</f>
        <v>Comodos are comfortable, well carved and are perfectossss. They came before the due date.</v>
      </c>
    </row>
    <row r="6462">
      <c r="A6462" s="1">
        <v>5.0</v>
      </c>
      <c r="B6462" s="1" t="s">
        <v>6420</v>
      </c>
      <c r="C6462" t="str">
        <f>IFERROR(__xludf.DUMMYFUNCTION("GOOGLETRANSLATE(B6462, ""es"", ""en"")"),"I would really like to buy")</f>
        <v>I would really like to buy</v>
      </c>
    </row>
    <row r="6463">
      <c r="A6463" s="1">
        <v>5.0</v>
      </c>
      <c r="B6463" s="1" t="s">
        <v>6421</v>
      </c>
      <c r="C6463" t="str">
        <f>IFERROR(__xludf.DUMMYFUNCTION("GOOGLETRANSLATE(B6463, ""es"", ""en"")"),"Say it is very fast is little Mul high transfer speed over USB 3.0, pleased with the purchase.")</f>
        <v>Say it is very fast is little Mul high transfer speed over USB 3.0, pleased with the purchase.</v>
      </c>
    </row>
    <row r="6464">
      <c r="A6464" s="1">
        <v>5.0</v>
      </c>
      <c r="B6464" s="1" t="s">
        <v>6422</v>
      </c>
      <c r="C6464" t="str">
        <f>IFERROR(__xludf.DUMMYFUNCTION("GOOGLETRANSLATE(B6464, ""es"", ""en"")"),"Good value'm not an expert user to measure velocities inercambio data, but I can say that transmits files faster than USB 2.0, and the price is excellent given the quality and capacity.")</f>
        <v>Good value'm not an expert user to measure velocities inercambio data, but I can say that transmits files faster than USB 2.0, and the price is excellent given the quality and capacity.</v>
      </c>
    </row>
    <row r="6465">
      <c r="A6465" s="1">
        <v>5.0</v>
      </c>
      <c r="B6465" s="1" t="s">
        <v>6423</v>
      </c>
      <c r="C6465" t="str">
        <f>IFERROR(__xludf.DUMMYFUNCTION("GOOGLETRANSLATE(B6465, ""es"", ""en"")"),"Wash and freezes new. It's a sport mesh, beautiful, aesthetic and feel fine. And I used several days and is breathable, and washed and dried particularly at a time leaving as new. careful because the size is a little larger than normal and if you the catc"&amp;"h in your size makes you very good figure.")</f>
        <v>Wash and freezes new. It's a sport mesh, beautiful, aesthetic and feel fine. And I used several days and is breathable, and washed and dried particularly at a time leaving as new. careful because the size is a little larger than normal and if you the catch in your size makes you very good figure.</v>
      </c>
    </row>
    <row r="6466">
      <c r="A6466" s="1">
        <v>2.0</v>
      </c>
      <c r="B6466" s="1" t="s">
        <v>6424</v>
      </c>
      <c r="C6466" t="str">
        <f>IFERROR(__xludf.DUMMYFUNCTION("GOOGLETRANSLATE(B6466, ""es"", ""en"")"),"¿Originals? I doubt they are original .... came in a pristine white box ... the mark did not appear anywhere")</f>
        <v>¿Originals? I doubt they are original .... came in a pristine white box ... the mark did not appear anywhere</v>
      </c>
    </row>
    <row r="6467">
      <c r="A6467" s="1">
        <v>3.0</v>
      </c>
      <c r="B6467" s="1" t="s">
        <v>6425</v>
      </c>
      <c r="C6467" t="str">
        <f>IFERROR(__xludf.DUMMYFUNCTION("GOOGLETRANSLATE(B6467, ""es"", ""en"")"),"Acceptable Value Not a bad product, but could be better, I can not leave without leaving bubbles perfect. Still, value is not bad, since three glasses come with their towels and nicely packaged.")</f>
        <v>Acceptable Value Not a bad product, but could be better, I can not leave without leaving bubbles perfect. Still, value is not bad, since three glasses come with their towels and nicely packaged.</v>
      </c>
    </row>
    <row r="6468">
      <c r="A6468" s="1">
        <v>3.0</v>
      </c>
      <c r="B6468" s="1" t="s">
        <v>6426</v>
      </c>
      <c r="C6468" t="str">
        <f>IFERROR(__xludf.DUMMYFUNCTION("GOOGLETRANSLATE(B6468, ""es"", ""en"")"),"I was expecting a COFFEE RICHER is a coffee maker more or less like all within a price range between 30 and 40 euros (I bought for 29 in a state like new and has come again, packed full), and does not stand in nothing in particular, except that the pitche"&amp;"r is very large, more than usual, comes a lot of coffee, but I expected a richer and tasty but not coffee, as all it does. Yes, it is very cool design, AEG curra it a little. A handicap that has is that if you leave plugged in and forget to turn it off, a"&amp;"t 40 minutes off alone.")</f>
        <v>I was expecting a COFFEE RICHER is a coffee maker more or less like all within a price range between 30 and 40 euros (I bought for 29 in a state like new and has come again, packed full), and does not stand in nothing in particular, except that the pitcher is very large, more than usual, comes a lot of coffee, but I expected a richer and tasty but not coffee, as all it does. Yes, it is very cool design, AEG curra it a little. A handicap that has is that if you leave plugged in and forget to turn it off, at 40 minutes off alone.</v>
      </c>
    </row>
    <row r="6469">
      <c r="A6469" s="1">
        <v>1.0</v>
      </c>
      <c r="B6469" s="1" t="s">
        <v>6427</v>
      </c>
      <c r="C6469" t="str">
        <f>IFERROR(__xludf.DUMMYFUNCTION("GOOGLETRANSLATE(B6469, ""es"", ""en"")"),"Very slow when running scam, and after passing some capacity begins to errors and corrupts everything. You can not even reformatting and checkups show TOOLS huge amounts of defective and corrupt areas.")</f>
        <v>Very slow when running scam, and after passing some capacity begins to errors and corrupts everything. You can not even reformatting and checkups show TOOLS huge amounts of defective and corrupt areas.</v>
      </c>
    </row>
    <row r="6470">
      <c r="A6470" s="1">
        <v>1.0</v>
      </c>
      <c r="B6470" s="1" t="s">
        <v>6428</v>
      </c>
      <c r="C6470" t="str">
        <f>IFERROR(__xludf.DUMMYFUNCTION("GOOGLETRANSLATE(B6470, ""es"", ""en"")"),"Horrible scam. I trust Neewer, it does not seem a bad mark. I am a videographer and really leaving me things right with them. But this arm is crappy, lousy construction and metal itself is bending to resist or a microphone. Leo comments that for 10 € wort"&amp;"h can not you complain. Okay yes, I would not complain if you do not degas broken and if it was not a scam. Too bad I pulled the box, because I want to return.")</f>
        <v>Horrible scam. I trust Neewer, it does not seem a bad mark. I am a videographer and really leaving me things right with them. But this arm is crappy, lousy construction and metal itself is bending to resist or a microphone. Leo comments that for 10 € worth can not you complain. Okay yes, I would not complain if you do not degas broken and if it was not a scam. Too bad I pulled the box, because I want to return.</v>
      </c>
    </row>
    <row r="6471">
      <c r="A6471" s="1">
        <v>1.0</v>
      </c>
      <c r="B6471" s="1" t="s">
        <v>6429</v>
      </c>
      <c r="C6471" t="str">
        <f>IFERROR(__xludf.DUMMYFUNCTION("GOOGLETRANSLATE(B6471, ""es"", ""en"")"),"the left ear is cut off the right ear it works great but left with just zoom out a meter or less begins to entrecortar and off not working while I was walking to work, because every now and then the left ear stopped working .. .se entrecortando he fading "&amp;".... and honestly very disappointed, thought good Xiaomi towards products .... But I see q no ... Anyway ....")</f>
        <v>the left ear is cut off the right ear it works great but left with just zoom out a meter or less begins to entrecortar and off not working while I was walking to work, because every now and then the left ear stopped working .. .se entrecortando he fading .... and honestly very disappointed, thought good Xiaomi towards products .... But I see q no ... Anyway ....</v>
      </c>
    </row>
    <row r="6472">
      <c r="A6472" s="1">
        <v>4.0</v>
      </c>
      <c r="B6472" s="1" t="s">
        <v>6430</v>
      </c>
      <c r="C6472" t="str">
        <f>IFERROR(__xludf.DUMMYFUNCTION("GOOGLETRANSLATE(B6472, ""es"", ""en"")"),"Gorgeous earrings. I loved are very cute.")</f>
        <v>Gorgeous earrings. I loved are very cute.</v>
      </c>
    </row>
    <row r="6473">
      <c r="A6473" s="1">
        <v>4.0</v>
      </c>
      <c r="B6473" s="1" t="s">
        <v>6431</v>
      </c>
      <c r="C6473" t="str">
        <f>IFERROR(__xludf.DUMMYFUNCTION("GOOGLETRANSLATE(B6473, ""es"", ""en"")"),"Be happy with a purchase I liked everything")</f>
        <v>Be happy with a purchase I liked everything</v>
      </c>
    </row>
    <row r="6474">
      <c r="A6474" s="1">
        <v>4.0</v>
      </c>
      <c r="B6474" s="1" t="s">
        <v>6432</v>
      </c>
      <c r="C6474" t="str">
        <f>IFERROR(__xludf.DUMMYFUNCTION("GOOGLETRANSLATE(B6474, ""es"", ""en"")"),"Very good cream is very good cream but I think it is less the product of advertising. As if he had more air than cream. But his quality is clear")</f>
        <v>Very good cream is very good cream but I think it is less the product of advertising. As if he had more air than cream. But his quality is clear</v>
      </c>
    </row>
    <row r="6475">
      <c r="A6475" s="1">
        <v>4.0</v>
      </c>
      <c r="B6475" s="1" t="s">
        <v>6433</v>
      </c>
      <c r="C6475" t="str">
        <f>IFERROR(__xludf.DUMMYFUNCTION("GOOGLETRANSLATE(B6475, ""es"", ""en"")"),"I would not work with the iPhone X and been using it with an iPhone 6 and very good. A changing telephone for iphone X not recognize me and let me do nada.- Lo and formatted and no way, do not let me do anything when I copy from the PC to the wi¡stick, wh"&amp;"en I put on the phone not to become nothing. Agradeceria could give me some solution to use it. thanks")</f>
        <v>I would not work with the iPhone X and been using it with an iPhone 6 and very good. A changing telephone for iphone X not recognize me and let me do nada.- Lo and formatted and no way, do not let me do anything when I copy from the PC to the wi¡stick, when I put on the phone not to become nothing. Agradeceria could give me some solution to use it. thanks</v>
      </c>
    </row>
    <row r="6476">
      <c r="A6476" s="1">
        <v>4.0</v>
      </c>
      <c r="B6476" s="1" t="s">
        <v>6434</v>
      </c>
      <c r="C6476" t="str">
        <f>IFERROR(__xludf.DUMMYFUNCTION("GOOGLETRANSLATE(B6476, ""es"", ""en"")"),"pretty nice in value")</f>
        <v>pretty nice in value</v>
      </c>
    </row>
    <row r="6477">
      <c r="A6477" s="1">
        <v>5.0</v>
      </c>
      <c r="B6477" s="1" t="s">
        <v>6435</v>
      </c>
      <c r="C6477" t="str">
        <f>IFERROR(__xludf.DUMMYFUNCTION("GOOGLETRANSLATE(B6477, ""es"", ""en"")"),"It was very satisfied expected and quite happy")</f>
        <v>It was very satisfied expected and quite happy</v>
      </c>
    </row>
    <row r="6478">
      <c r="A6478" s="1">
        <v>5.0</v>
      </c>
      <c r="B6478" s="1" t="s">
        <v>6436</v>
      </c>
      <c r="C6478" t="str">
        <f>IFERROR(__xludf.DUMMYFUNCTION("GOOGLETRANSLATE(B6478, ""es"", ""en"")"),"Great sound quality and design led all weekend with them and so far are the best helmets bluetooth q've had. What are ergonomics, durability and quality and volume of the sound. The design, both hulls and the cargo, it seems quite nice and convenient and "&amp;"q without disturbing fits almost anywhere. Good buy!")</f>
        <v>Great sound quality and design led all weekend with them and so far are the best helmets bluetooth q've had. What are ergonomics, durability and quality and volume of the sound. The design, both hulls and the cargo, it seems quite nice and convenient and q without disturbing fits almost anywhere. Good buy!</v>
      </c>
    </row>
    <row r="6479">
      <c r="A6479" s="1">
        <v>5.0</v>
      </c>
      <c r="B6479" s="1" t="s">
        <v>6437</v>
      </c>
      <c r="C6479" t="str">
        <f>IFERROR(__xludf.DUMMYFUNCTION("GOOGLETRANSLATE(B6479, ""es"", ""en"")"),"Great !!!! The just received and I must say that he is sound buenísimo.He adjusted by aqualizador sound of the phone and the result has been brutal. I listen, if it's any reference, death metal groups like Amon Amarth Arch Enemy or the sound of bass, guit"&amp;"ars, vocals and double bass drums sounds the spectacular. The enparejamiento super easy with my phone, a Samsung J7 2017 and my TV a Samsung too. I tried the microphone during a call wasap and I listened and heard me perfectly. Are securely attached to th"&amp;"e cabezaby touch pads is perfect. The only but is the scope of the bluetooth, about 7 meters from where the device dentronde house, but that to me is not a problem. A little lasting and do not give any problem, a very wise purchase.")</f>
        <v>Great !!!! The just received and I must say that he is sound buenísimo.He adjusted by aqualizador sound of the phone and the result has been brutal. I listen, if it's any reference, death metal groups like Amon Amarth Arch Enemy or the sound of bass, guitars, vocals and double bass drums sounds the spectacular. The enparejamiento super easy with my phone, a Samsung J7 2017 and my TV a Samsung too. I tried the microphone during a call wasap and I listened and heard me perfectly. Are securely attached to the cabezaby touch pads is perfect. The only but is the scope of the bluetooth, about 7 meters from where the device dentronde house, but that to me is not a problem. A little lasting and do not give any problem, a very wise purchase.</v>
      </c>
    </row>
    <row r="6480">
      <c r="A6480" s="1">
        <v>5.0</v>
      </c>
      <c r="B6480" s="1" t="s">
        <v>6438</v>
      </c>
      <c r="C6480" t="str">
        <f>IFERROR(__xludf.DUMMYFUNCTION("GOOGLETRANSLATE(B6480, ""es"", ""en"")"),"Haunted!! Just as expected, the photo! It's a week before I ordered this watch to another provider and they sent me another model telling me that this is the Asian version and they did not. After this disgust and pertinent refund when I arrived this encha"&amp;"nted stay. It is true that light is not very good, but I do not care, I love it! He wore behind the time.")</f>
        <v>Haunted!! Just as expected, the photo! It's a week before I ordered this watch to another provider and they sent me another model telling me that this is the Asian version and they did not. After this disgust and pertinent refund when I arrived this enchanted stay. It is true that light is not very good, but I do not care, I love it! He wore behind the time.</v>
      </c>
    </row>
    <row r="6481">
      <c r="A6481" s="1">
        <v>5.0</v>
      </c>
      <c r="B6481" s="1" t="s">
        <v>6439</v>
      </c>
      <c r="C6481" t="str">
        <f>IFERROR(__xludf.DUMMYFUNCTION("GOOGLETRANSLATE(B6481, ""es"", ""en"")"),"They have a great set looked great. It notes that are made in series because the name of the brand comes shifted. Large are ideal for the laptop. And small for el.movil.")</f>
        <v>They have a great set looked great. It notes that are made in series because the name of the brand comes shifted. Large are ideal for the laptop. And small for el.movil.</v>
      </c>
    </row>
    <row r="6482">
      <c r="A6482" s="1">
        <v>5.0</v>
      </c>
      <c r="B6482" s="1" t="s">
        <v>6440</v>
      </c>
      <c r="C6482" t="str">
        <f>IFERROR(__xludf.DUMMYFUNCTION("GOOGLETRANSLATE(B6482, ""es"", ""en"")"),"good quality and design came in one day and are perfect. The size matches the requested and the fabric is strong and reinforced on the inside of the thighs. The detail of the pattern gives a different touch and even has a small transparencies above the kn"&amp;"ees, put is barely noticeable. Very happy, would compralo-")</f>
        <v>good quality and design came in one day and are perfect. The size matches the requested and the fabric is strong and reinforced on the inside of the thighs. The detail of the pattern gives a different touch and even has a small transparencies above the knees, put is barely noticeable. Very happy, would compralo-</v>
      </c>
    </row>
    <row r="6483">
      <c r="A6483" s="1">
        <v>5.0</v>
      </c>
      <c r="B6483" s="1" t="s">
        <v>6441</v>
      </c>
      <c r="C6483" t="str">
        <f>IFERROR(__xludf.DUMMYFUNCTION("GOOGLETRANSLATE(B6483, ""es"", ""en"")"),"If I have really enjoyed what I was not funny it is that I come down but I've solved poniendomelos are hanging down and not bother chulis")</f>
        <v>If I have really enjoyed what I was not funny it is that I come down but I've solved poniendomelos are hanging down and not bother chulis</v>
      </c>
    </row>
    <row r="6484">
      <c r="A6484" s="1">
        <v>5.0</v>
      </c>
      <c r="B6484" s="1" t="s">
        <v>6442</v>
      </c>
      <c r="C6484" t="str">
        <f>IFERROR(__xludf.DUMMYFUNCTION("GOOGLETRANSLATE(B6484, ""es"", ""en"")"),"Formal Clock Formal clock with excellent quality. The strap is of good quality and elegant dial")</f>
        <v>Formal Clock Formal clock with excellent quality. The strap is of good quality and elegant dial</v>
      </c>
    </row>
    <row r="6485">
      <c r="A6485" s="1">
        <v>5.0</v>
      </c>
      <c r="B6485" s="1" t="s">
        <v>6443</v>
      </c>
      <c r="C6485" t="str">
        <f>IFERROR(__xludf.DUMMYFUNCTION("GOOGLETRANSLATE(B6485, ""es"", ""en"")"),"The best kettle perfect I've had in a long time. I bought it in the summer and since then I drink four or five teas day. I boil water in about 20 seconds. A joy to go. Very good quality and arrived quickly and in perfect condition.")</f>
        <v>The best kettle perfect I've had in a long time. I bought it in the summer and since then I drink four or five teas day. I boil water in about 20 seconds. A joy to go. Very good quality and arrived quickly and in perfect condition.</v>
      </c>
    </row>
    <row r="6486">
      <c r="A6486" s="1">
        <v>5.0</v>
      </c>
      <c r="B6486" s="1" t="s">
        <v>6444</v>
      </c>
      <c r="C6486" t="str">
        <f>IFERROR(__xludf.DUMMYFUNCTION("GOOGLETRANSLATE(B6486, ""es"", ""en"")"),"Very happy with the product very satisfied with the purchase. It has come very fast and the product quality. I recommend it.")</f>
        <v>Very happy with the product very satisfied with the purchase. It has come very fast and the product quality. I recommend it.</v>
      </c>
    </row>
    <row r="6487">
      <c r="A6487" s="1">
        <v>5.0</v>
      </c>
      <c r="B6487" s="1" t="s">
        <v>6445</v>
      </c>
      <c r="C6487" t="str">
        <f>IFERROR(__xludf.DUMMYFUNCTION("GOOGLETRANSLATE(B6487, ""es"", ""en"")"),"Teat Medela does not interfere with breastfeeding. Wonderful set for collecting breast milk, good quality, Teat Medela can go from breast to bottle without interfering with breastfeeding. We have already tried, and following advice on the network and its "&amp;"official page without problems. Collection bags 180ml came to me and an extra plug. I am saving me money.")</f>
        <v>Teat Medela does not interfere with breastfeeding. Wonderful set for collecting breast milk, good quality, Teat Medela can go from breast to bottle without interfering with breastfeeding. We have already tried, and following advice on the network and its official page without problems. Collection bags 180ml came to me and an extra plug. I am saving me money.</v>
      </c>
    </row>
    <row r="6488">
      <c r="A6488" s="1">
        <v>5.0</v>
      </c>
      <c r="B6488" s="1" t="s">
        <v>524</v>
      </c>
      <c r="C6488" t="str">
        <f>IFERROR(__xludf.DUMMYFUNCTION("GOOGLETRANSLATE(B6488, ""es"", ""en"")"),"Brilliant brilliant")</f>
        <v>Brilliant brilliant</v>
      </c>
    </row>
    <row r="6489">
      <c r="A6489" s="1">
        <v>5.0</v>
      </c>
      <c r="B6489" s="1" t="s">
        <v>6446</v>
      </c>
      <c r="C6489" t="str">
        <f>IFERROR(__xludf.DUMMYFUNCTION("GOOGLETRANSLATE(B6489, ""es"", ""en"")"),"Winter pants if someone XXL worth 100 k. And 120 waist")</f>
        <v>Winter pants if someone XXL worth 100 k. And 120 waist</v>
      </c>
    </row>
    <row r="6490">
      <c r="A6490" s="1">
        <v>5.0</v>
      </c>
      <c r="B6490" s="1" t="s">
        <v>6447</v>
      </c>
      <c r="C6490" t="str">
        <f>IFERROR(__xludf.DUMMYFUNCTION("GOOGLETRANSLATE(B6490, ""es"", ""en"")"),"Tea versatile heats up fast water, and is great both to prepare tea or other drinks requiring hot water to accelerate time when baking such pasta: instead of waiting for it to boil in the pot, put hot water from the kettle and it takes much less cook.")</f>
        <v>Tea versatile heats up fast water, and is great both to prepare tea or other drinks requiring hot water to accelerate time when baking such pasta: instead of waiting for it to boil in the pot, put hot water from the kettle and it takes much less cook.</v>
      </c>
    </row>
    <row r="6491">
      <c r="A6491" s="1">
        <v>5.0</v>
      </c>
      <c r="B6491" s="1" t="s">
        <v>6448</v>
      </c>
      <c r="C6491" t="str">
        <f>IFERROR(__xludf.DUMMYFUNCTION("GOOGLETRANSLATE(B6491, ""es"", ""en"")"),"Spectacular headphones great headphones. The box where they come from is a perfect size to take them anywhere, plus it also makes boot. They come with your cable for charging and also bring several different pillows to suit any ear. They have very good so"&amp;"und, as well as to listen to music to talking on the phone. Which makes touch are also very practical to pause or play songs or for picking up calls. I am very happy with them, really they deserve it.")</f>
        <v>Spectacular headphones great headphones. The box where they come from is a perfect size to take them anywhere, plus it also makes boot. They come with your cable for charging and also bring several different pillows to suit any ear. They have very good sound, as well as to listen to music to talking on the phone. Which makes touch are also very practical to pause or play songs or for picking up calls. I am very happy with them, really they deserve it.</v>
      </c>
    </row>
    <row r="6492">
      <c r="A6492" s="1">
        <v>5.0</v>
      </c>
      <c r="B6492" s="1" t="s">
        <v>6449</v>
      </c>
      <c r="C6492" t="str">
        <f>IFERROR(__xludf.DUMMYFUNCTION("GOOGLETRANSLATE(B6492, ""es"", ""en"")"),"Bianca Perfect, I love to buy from Amazon, my size is 36 but took a 35 and I'm super good!")</f>
        <v>Bianca Perfect, I love to buy from Amazon, my size is 36 but took a 35 and I'm super good!</v>
      </c>
    </row>
    <row r="6493">
      <c r="A6493" s="1">
        <v>5.0</v>
      </c>
      <c r="B6493" s="1" t="s">
        <v>6450</v>
      </c>
      <c r="C6493" t="str">
        <f>IFERROR(__xludf.DUMMYFUNCTION("GOOGLETRANSLATE(B6493, ""es"", ""en"")"),"Speed ​​and quality as expected")</f>
        <v>Speed ​​and quality as expected</v>
      </c>
    </row>
    <row r="6494">
      <c r="A6494" s="1">
        <v>5.0</v>
      </c>
      <c r="B6494" s="1" t="s">
        <v>6451</v>
      </c>
      <c r="C6494" t="str">
        <f>IFERROR(__xludf.DUMMYFUNCTION("GOOGLETRANSLATE(B6494, ""es"", ""en"")"),"Santiagi Very happy with the purchase with all accessories that come you can do many things. I had an equal and this e bought for my sister and is very happy")</f>
        <v>Santiagi Very happy with the purchase with all accessories that come you can do many things. I had an equal and this e bought for my sister and is very happy</v>
      </c>
    </row>
    <row r="6495">
      <c r="A6495" s="1">
        <v>5.0</v>
      </c>
      <c r="B6495" s="1" t="s">
        <v>6452</v>
      </c>
      <c r="C6495" t="str">
        <f>IFERROR(__xludf.DUMMYFUNCTION("GOOGLETRANSLATE(B6495, ""es"", ""en"")"),"Good speed at a good price. For me, the moment a good product at a great price. I had problems with the temperature at the moment and yields as indicated by the manufacturer. I use it mainly to keep the main game.")</f>
        <v>Good speed at a good price. For me, the moment a good product at a great price. I had problems with the temperature at the moment and yields as indicated by the manufacturer. I use it mainly to keep the main game.</v>
      </c>
    </row>
    <row r="6496">
      <c r="A6496" s="1">
        <v>2.0</v>
      </c>
      <c r="B6496" s="1" t="s">
        <v>6453</v>
      </c>
      <c r="C6496" t="str">
        <f>IFERROR(__xludf.DUMMYFUNCTION("GOOGLETRANSLATE(B6496, ""es"", ""en"")"),"I cheat She says she has only has 290 320G but I feel a little cheated")</f>
        <v>I cheat She says she has only has 290 320G but I feel a little cheated</v>
      </c>
    </row>
    <row r="6497">
      <c r="A6497" s="1">
        <v>3.0</v>
      </c>
      <c r="B6497" s="1" t="s">
        <v>6454</v>
      </c>
      <c r="C6497" t="str">
        <f>IFERROR(__xludf.DUMMYFUNCTION("GOOGLETRANSLATE(B6497, ""es"", ""en"")"),"Very good quality good quality, but I had to iron out a side that would fit on the clock, but the bracelet 22 mm of one side, had more than 22, so I had to file it. I do not put it back because I had already filed.")</f>
        <v>Very good quality good quality, but I had to iron out a side that would fit on the clock, but the bracelet 22 mm of one side, had more than 22, so I had to file it. I do not put it back because I had already filed.</v>
      </c>
    </row>
    <row r="6498">
      <c r="A6498" s="1">
        <v>3.0</v>
      </c>
      <c r="B6498" s="1" t="s">
        <v>6455</v>
      </c>
      <c r="C6498" t="str">
        <f>IFERROR(__xludf.DUMMYFUNCTION("GOOGLETRANSLATE(B6498, ""es"", ""en"")"),"Impractical ... not fit crystals hardly gum clean well when all extendidoy can not make pressure correctly")</f>
        <v>Impractical ... not fit crystals hardly gum clean well when all extendidoy can not make pressure correctly</v>
      </c>
    </row>
    <row r="6499">
      <c r="A6499" s="1">
        <v>1.0</v>
      </c>
      <c r="B6499" s="1" t="s">
        <v>6456</v>
      </c>
      <c r="C6499" t="str">
        <f>IFERROR(__xludf.DUMMYFUNCTION("GOOGLETRANSLATE(B6499, ""es"", ""en"")"),"2 Uses and no longer works. . . . . . 2 Use me hard. . . . . it no longer works .")</f>
        <v>2 Uses and no longer works. . . . . . 2 Use me hard. . . . . it no longer works .</v>
      </c>
    </row>
    <row r="6500">
      <c r="A6500" s="1">
        <v>1.0</v>
      </c>
      <c r="B6500" s="1" t="s">
        <v>6457</v>
      </c>
      <c r="C6500" t="str">
        <f>IFERROR(__xludf.DUMMYFUNCTION("GOOGLETRANSLATE(B6500, ""es"", ""en"")"),"It is small not like me because it is smaller than I expected")</f>
        <v>It is small not like me because it is smaller than I expected</v>
      </c>
    </row>
    <row r="6501">
      <c r="A6501" s="1">
        <v>4.0</v>
      </c>
      <c r="B6501" s="1" t="s">
        <v>6458</v>
      </c>
      <c r="C6501" t="str">
        <f>IFERROR(__xludf.DUMMYFUNCTION("GOOGLETRANSLATE(B6501, ""es"", ""en"")"),"Cronografo low key type. A practical and elegant chronograph quartz, but with hands and little contrast sphere. To dress stylishly but discreetly sport.")</f>
        <v>Cronografo low key type. A practical and elegant chronograph quartz, but with hands and little contrast sphere. To dress stylishly but discreetly sport.</v>
      </c>
    </row>
    <row r="6502">
      <c r="A6502" s="1">
        <v>4.0</v>
      </c>
      <c r="B6502" s="1" t="s">
        <v>6459</v>
      </c>
      <c r="C6502" t="str">
        <f>IFERROR(__xludf.DUMMYFUNCTION("GOOGLETRANSLATE(B6502, ""es"", ""en"")"),"The would buy for a gift and was delighted with them.")</f>
        <v>The would buy for a gift and was delighted with them.</v>
      </c>
    </row>
    <row r="6503">
      <c r="A6503" s="1">
        <v>4.0</v>
      </c>
      <c r="B6503" s="1" t="s">
        <v>6460</v>
      </c>
      <c r="C6503" t="str">
        <f>IFERROR(__xludf.DUMMYFUNCTION("GOOGLETRANSLATE(B6503, ""es"", ""en"")"),"A design retro very nice but ... &lt;div id = ""video-block-R3HQIHR5U1IXNO"" class = ""section a-a-a-spacing-small spacing-top-video mini-block""&gt; &lt;div tabindex = ""0"" class = ""airy airy-svg vmin-unsupported airy-skin-beacon"" style = ""background-color: r"&amp;"gb (0, 0, 0) position: relative; width: 100%; height: 100%; font-size: 0px; overflow: hidden; outline: none; ""&gt; &lt;div class ="" airy-renderer-container ""style ="" position: relative; height: 100%; width: 100%; ""&gt; &lt;video id ="" 7 ""preload = ""auto"" src"&amp;" = ""https://images-eu.ssl-images-amazon.com/images/I/A1Ex+uyCmAS.mp4"" style = ""position: absolute; left: 0px; top: 0px; overflow: hidden; height: 1px; width: 1px; ""&gt; &lt;/ video&gt; &lt;/ div&gt; &lt;div id ="" airy Inslate-preload ""style ="" background-color: rgb "&amp;"(0, 0, 0); background-image : url (&amp; quot; https: //images-eu.ssl-images-amazon.com/images/I/91zzmzTFkHS.png&amp;quot;); background-size: Contain; background-position: center center; background-repeat: non- repeat; position: absolute; top: 0px; left: 0px; vis"&amp;"ibility: visible; width: 100%; height: 100%; ""&gt; &lt;/ d iv&gt; &lt;iframe scrolling = ""no"" frameborder = ""0"" src = ""about: blank"" style = ""display: none;""&gt; &lt;/ iframe&gt; &lt;div tabindex = ""- 1"" class = ""airy-controls-container ""style ="" opacity: 0; visibi"&amp;"lity: hidden; ""&gt; &lt;div tabindex ="" - 1 ""class ="" airy-screen-size-toggle airy-fullscreen ""&gt; &lt;/ div&gt; &lt;div tabindex ="" - 1 ""class ="" airy-container-bottom "" &gt; &lt;div tabindex = ""- 1"" class = ""airy-track-bar-spacer-left"" style = ""width: 11px;""&gt; &lt;"&amp;"/ div&gt; &lt;div tabindex = ""- 1"" class = ""airy-play- airy toggle-play ""style ="" width: 12px; margin-right: 12px; ""&gt; &lt;/ div&gt; &lt;div tabindex ="" - 1 ""class ="" airy-audio-elements ""style ="" float: right; width: 34px; ""&gt; &lt;div tabindex ="" - 1 ""class ="&amp;""" airy-audio-toggle airy-on ""&gt; &lt;/ div&gt; &lt;div tabindex ="" - 1 ""class ="" airy-audio-container ""style = ""opacity: 0; visibility: hidden; ""&gt; &lt;div tabindex ="" - 1 ""class ="" airy-audio-track-bar ""style ="" height: 80%; ""&gt; &lt;div tabindex ="" - 1 ""cla"&amp;"ss ="" airy-audio- Scrubber-bar ""style ="" height: 85%; ""&gt; &lt;/ div&gt; &lt;div tabindex ="" - 1 ""class ="" airy-audio-scrubber ""style ="" height: 12px; bottom: 85% ""&gt; &lt;/ div&gt; &lt;/ div&gt; &lt;/ div&gt; &lt;/ div&gt; &lt;div tabindex ="" - 1 ""class ="" airy-duration-label ""st"&amp;"yle ="" float: right; width: 26px; margin-right: 4px; text-align: center; ""&gt; 0:31 &lt;/ div&gt; &lt;div tabindex ="" - 1 ""class ="" airy-track-bar-spacer-right ""style ="" float: right; width: 11px; ""&gt; &lt;/ div&gt; &lt;div tabindex ="" - 1 ""class ="" airy-track-bar-co"&amp;"ntainer ""style ="" margin-left: 35px; margin-right: 75px; ""&gt; &lt;div tabindex ="" - 1 ""class ="" airy-airy-track-bar vertically-centering-table ""&gt; &lt;div tabindex ="" - 1 ""class ="" airy-Vertical-centering- table-cell ""&gt; &lt;div tabindex ="" - 1 ""class ="""&amp;" airy-track bar-elements ""&gt; &lt;div tabindex ="" - 1 ""class ="" airy-progress bar ""style ="" width: 100%; ""&gt; &lt;/ div&gt; &lt;div tabindex ="" - 1 ""class ="" airy-scrubber-bar ""&gt; &lt;/ div&gt; &lt;div tabindex ="" - 1 ""class ="" airy-scrubber ""&gt; &lt;div tabindex ="" - 1"&amp;" ""class ="" airy-scrubber-icon ""&gt; &lt;/ div&gt; &lt;div tabindex ="" - 1 ""class ="" airy-adjusted-AUI-tooltip ""style ="" opacity: 0; visibility: hidden; ""&gt; &lt;div tabindex ="" - 1 ""class ="" airy-adjusted-aui-tooltip-inner ""&gt; &lt;div tabindex ="" - 1 ""class ="""&amp;" airy-current-time-label ""&gt; 0: 00 &lt;/ div&gt; &lt;/ div&gt; &lt;div tabindex = ""- 1"" class = ""airy-adjusted-AUI-arrow-border""&gt; &lt;div tabindex = ""- 1"" class = ""airy-adjusted-AUI-arrow"" &gt; &lt;/ div&gt; &lt;/ div&gt; &lt;/ div&gt; &lt;/ div&gt; &lt;/ div&gt; &lt;/ div&gt; &lt;/ div&gt; &lt;/ div&gt; &lt;/ div&gt; &lt;/"&amp;" div&gt; &lt;div tabindex = ""- 1"" class = ""airy-age-gate airy-stage airy-Vertical-centering-table airy-dialog"" style = ""opacity: 0; visibility: hidden; ""&gt; &lt;div tabindex ="" - 1 ""class ="" airy-age-gate-Vertical-centering-table-cell airy-Vertical-centerin"&amp;"g-table-cell ""&gt; &lt;div tabindex ="" - 1 ""class = ""airy-Vertical-centering-wrapper airy-age-gate-elements-wrapper""&gt; &lt;div tabindex = ""- 1"" class = ""airy-age-gate-elements airy-dialog-elements""&gt; &lt;div tabindex = "" -1 ""class ="" airy-age-gate-prompt """&amp;"&gt; This video is not Intended for all audiences What date were you born &lt;/ div&gt; &lt;div tabindex =.?"" - 1 ""class ="" airy-age-gate -inputs airy-dialog-inner-elements ""&gt; &lt;select tabindex ="" - 1 ""class ="" airy-age-gate-month ""&gt; &lt;option value ="" 1 ""&gt; Ja"&amp;"nuary &lt;/ option&gt; &lt;option value ="" 2 ""&gt; February &lt;/ option&gt; &lt;option value ="" 3 ""&gt; March &lt;/ option&gt; &lt;option value ="" 4 ""&gt; April &lt;/ option&gt; &lt;option value ="" 5 ""&gt; May &lt;/ option&gt; &lt;option value = ""6""&gt; June &lt;/ option&gt; &lt;option value = ""7""&gt; July &lt;/ opt"&amp;"ion&gt; &lt;option value = ""8""&gt; August &lt;/ option&gt; &lt;option value = ""9""&gt; September &lt;/ option&gt; &lt;option value = ""10""&gt; October &lt;/ option&gt; &lt;option value = ""11""&gt; November &lt;/ option&gt; &lt;option value = ""12""&gt; December &lt;/ option&gt; &lt;/ select&gt; &lt;select tabindex = ""- "&amp;"1"" class = ""airy-age-gate-day""&gt; &lt;opti on value = ""1""&gt; 1 &lt;/ option&gt; &lt;option value = ""2""&gt; 2 &lt;/ option&gt; &lt;option value = ""3""&gt; 3 &lt;/ option&gt; &lt;option value = ""4""&gt; 4 &lt;/ option &gt; &lt;option value = ""5""&gt; 5 &lt;/ option&gt; &lt;option value = ""6""&gt; 6 &lt;/ option&gt; &lt;o"&amp;"ption value = ""7""&gt; 7 &lt;/ option&gt; &lt;option value = ""8""&gt; 8 &lt; / option&gt; &lt;option value = ""9""&gt; 9 &lt;/ option&gt; &lt;option value = ""10""&gt; 10 &lt;/ option&gt; &lt;option value = ""11""&gt; 11 &lt;/ option&gt; &lt;option value = ""12""&gt; 12 &lt;/ option&gt; &lt;option value = ""13""&gt; 13 &lt;/ opti"&amp;"on&gt; &lt;option value = ""14""&gt; 14 &lt;/ option&gt; &lt;option value = ""15""&gt; 15 &lt;/ option&gt; &lt;option value = ""16 ""&gt; 16 &lt;/ option&gt; &lt;option value ="" 17 ""&gt; 17 &lt;/ option&gt; &lt;option value ="" 18 ""&gt; 18 &lt;/ option&gt; &lt;option value ="" 19 ""&gt; 19 &lt;/ option&gt; &lt;option value = ""2"&amp;"0""&gt; 20 &lt;/ option&gt; &lt;option value = ""21""&gt; 21 &lt;/ option&gt; &lt;option value = ""22""&gt; 22 &lt;/ option&gt; &lt;option value = ""23""&gt; 23 &lt;/ option&gt; &lt;option value = ""24""&gt; 24 &lt;/ option&gt; &lt;option value = ""25""&gt; 25 &lt;/ option&gt; &lt;option value = ""26""&gt; 26 &lt;/ option&gt; &lt;option "&amp;"value = ""27""&gt; 27 &lt;/ option&gt; &lt;option value = ""28""&gt; 28 &lt;/ option&gt; &lt;option value = ""29""&gt; 29 &lt;/ option&gt; &lt;option value = ""30""&gt; 30 &lt;/ option&gt; &lt;option value = ""31""&gt; 31 &lt;/ option&gt; &lt;/ select&gt; &lt;select tabindex = ""- 1"" class = ""airy-age-gate-year""&gt; &lt;op"&amp;"tion value = ""2019""&gt; 2019 &lt;/ option&gt; &lt; option value = ""2018""&gt; 2018 &lt;/ option&gt; &lt;option value = ""2017""&gt; 2017 &lt;/ option&gt; &lt;option value = ""2016""&gt; ​​2016 &lt;/ option&gt; &lt;option value = ""2015""&gt; 2015 &lt;/ option &gt; &lt;option value = ""2014""&gt; 2014 &lt;/ option&gt; &lt;o"&amp;"ption value = ""2013""&gt; 2013 &lt;/ option&gt; &lt;option value = ""2012""&gt; 2012 &lt;/ option&gt; &lt;option value = ""2011""&gt; 2011 &lt; / option&gt; &lt;option value = ""2010""&gt; 2010 &lt;/ option&gt; &lt;option value = ""2009""&gt; 2009 &lt;/ option&gt; &lt;option value = ""2008""&gt; 2008 &lt;/ option&gt; &lt;opt"&amp;"ion value = ""2007""&gt; 2007 &lt;/ option&gt; &lt;option value = ""2006""&gt; 2006 &lt;/ option&gt; &lt;option value = ""2005""&gt; 2005 &lt;/ option&gt; &lt;option value = ""2004""&gt; 2004 &lt;/ option&gt; &lt;option value = ""2003 ""&gt; 2003 &lt;/ option&gt; &lt;option value ="" 2002 ""&gt; 2002 &lt;/ option&gt; &lt;opti"&amp;"on value ="" 2001 ""&gt; 2001 &lt;/ option&gt; &lt;option value ="" 2000 ""&gt; 2000 &lt;/ option&gt; &lt;option value = ""1999""&gt; 1999 &lt;/ option&gt; &lt;option value = ""1998""&gt; 1998 &lt;/ option&gt; &lt;option value = ""1997""&gt; 1997 &lt;/ option&gt; &lt;option value = ""1996""&gt; 1996 &lt;/ option&gt; &lt;optio"&amp;"n value = ""1995""&gt; 1995 &lt;/ option&gt; &lt;option value = ""1994""&gt; 1994 &lt;/ option&gt; &lt;option value = ""1993""&gt; 1993 &lt;/ option&gt; &lt;option value = ""1992""&gt; 1992 &lt;/ option&gt; &lt;option value = ""1991""&gt; 1991 &lt;/ option&gt; &lt;option value = ""1990""&gt; 1990 &lt;/ option&gt; &lt;option v"&amp;"alue = "" 1989 ""&gt; 1989 &lt;/ option&gt; &lt;option value ="" 1988 ""&gt; 1988 &lt;/ option&gt; &lt;option value ="" 1987 ""&gt; 1987 &lt;/ option&gt; &lt;option value ="" 1986 ""&gt; 1986 &lt;/ option&gt; &lt;value option = ""1985""&gt; 1985 &lt;/ option&gt; &lt;option value = ""1984""&gt; 1984 &lt;/ option&gt; &lt;option"&amp;" value = ""1983""&gt; 1983 &lt;/ option&gt; &lt;option value = ""1982""&gt; 1982 &lt;/ option&gt; &lt; option value = ""1981""&gt; 1981 &lt;/ option&gt; &lt;option value = ""1980""&gt; 1980 &lt;/ option&gt; &lt;option value = ""1979""&gt; 1979 &lt;/ option&gt; &lt;option value = ""1978""&gt; 1978 &lt;/ option &gt; &lt;option "&amp;"value = ""1977""&gt; 1977 &lt;/ option&gt; &lt;option value = ""1976""&gt; 1976 &lt;/ option&gt; &lt;option value = ""1975""&gt; 1975 &lt;/ option&gt; &lt;option value = ""1974""&gt; 1974 &lt; / option&gt; &lt;option value = ""1973""&gt; 1973 &lt;/ option&gt; &lt;option value = ""1972""&gt; 1972 &lt;/ option&gt; &lt;option va"&amp;"lue = ""1971""&gt; 1971 &lt;/ option&gt; &lt;option value = ""1970""&gt; 1970 &lt;/ option&gt; &lt;option value = ""1969""&gt; 1969 &lt;/ option&gt; &lt;option value = ""1968""&gt; 1968 &lt;/ option&gt; &lt;option value = ""1967""&gt; 1967 &lt;/ option&gt; &lt;option value = ""1966 ""&gt; 1966 &lt;/ option&gt; &lt;option valu"&amp;"e ="" 1965 ""&gt; 1965 &lt;/ option&gt; &lt;option value ="" 1964 ""&gt; 1964 &lt;/ option&gt; &lt;option value ="" 1963 ""&gt; 1963 &lt;/ option&gt; &lt;option value = ""1962""&gt; 1962 &lt;/ option&gt; &lt;option value = ""1961""&gt; 1961 &lt;/ option&gt; &lt;option value = ""1960""&gt; 1960 &lt;/ op tion&gt; &lt;option val"&amp;"ue = ""1959""&gt; 1959 &lt;/ option&gt; &lt;option value = ""1958""&gt; 1958 &lt;/ option&gt; &lt;option value = ""1957""&gt; 1957 &lt;/ option&gt; &lt;option value = ""1956""&gt; 1956 &lt;/ option&gt; &lt;option value = ""1955""&gt; 1955 &lt;/ option&gt; &lt;option value = ""1954""&gt; 1954 &lt;/ option&gt; &lt;option value "&amp;"= ""1953""&gt; 1953 &lt;/ option&gt; &lt;option value = ""1952"" &gt; 1952 &lt;/ option&gt; &lt;option value = ""1951""&gt; 1951 &lt;/ option&gt; &lt;option value = ""1950""&gt; 1950 &lt;/ option&gt; &lt;option value = ""1949""&gt; 1949 &lt;/ option&gt; &lt;option value = "" 1948 ""&gt; 1948 &lt;/ option&gt; &lt;option value "&amp;"="" 1947 ""&gt; 1947 &lt;/ option&gt; &lt;option value ="" 1946 ""&gt; 1946 &lt;/ option&gt; &lt;option value ="" 1945 ""&gt; 1945 &lt;/ option&gt; &lt;value option = ""1944""&gt; 1944 &lt;/ option&gt; &lt;option value = ""1943""&gt; 1943 &lt;/ option&gt; &lt;option value = ""1942""&gt; 1942 &lt;/ option&gt; &lt;option value "&amp;"= ""1941""&gt; 1941 &lt;/ option&gt; &lt; option value = ""1940""&gt; 1940 &lt;/ option&gt; &lt;option value = ""1939""&gt; 1939 &lt;/ option&gt; &lt;option value = ""1938""&gt; 1938 &lt;/ option&gt; &lt;option value = ""1937""&gt; 1937 &lt;/ option &gt; &lt;option value = ""1936""&gt; 1936 &lt;/ option&gt; &lt;option value ="&amp;" ""1935""&gt; 1935 &lt;/ option&gt; &lt;option value = ""1934""&gt; 1934 &lt;/ option&gt; &lt;option value = ""1933""&gt; 1933 &lt; / option&gt; &lt;option value = ""1932""&gt; 1932 &lt;/ option&gt; &lt;option value = ""1931""&gt; 1931 &lt;/ option&gt; &lt;option v alue = ""1930""&gt; 1930 &lt;/ option&gt; &lt;option value = "&amp;"""1929""&gt; 1929 &lt;/ option&gt; &lt;option value = ""1928""&gt; 1928 &lt;/ option&gt; &lt;option value = ""1927""&gt; 1927 &lt;/ option&gt; &lt;option value = ""1926""&gt; 1926 &lt;/ option&gt; &lt;option value = ""1925""&gt; 1925 &lt;/ option&gt; &lt;option value = ""1924""&gt; 1924 &lt;/ option&gt; &lt;option value = ""1"&amp;"923""&gt; 1923 &lt;/ option&gt; &lt;option value = ""1922""&gt; 1922 &lt;/ option&gt; &lt;option value = ""1921""&gt; 1921 &lt;/ option&gt; &lt;option value = ""1920""&gt; 1920 &lt;/ option&gt; &lt;option value = ""1919""&gt; 1919 &lt;/ option&gt; &lt;option value = ""1918""&gt; 1918 &lt;/ option&gt; &lt;option value = ""1917"&amp;"""&gt; 1917 &lt;/ option&gt; &lt;option value = ""1916""&gt; 1916 &lt;/ option&gt; &lt;option value = ""1915"" &gt; 1915 &lt;/ option&gt; &lt;option value = ""1914""&gt; 1914 &lt;/ option&gt; &lt;option value = ""1913""&gt; 1913 &lt;/ option&gt; &lt;option value = ""1912""&gt; 1912 &lt;/ option&gt; &lt;option value = "" 1911 "&amp;"""&gt; 1911 &lt;/ option&gt; &lt;option value ="" 1910 ""&gt; 1910 &lt;/ option&gt; &lt;option value ="" 1909 ""&gt; 1909 &lt;/ option&gt; &lt;option value ="" 1908 ""&gt; 1908 &lt;/ option&gt; &lt;value option = ""1907""&gt; 1907 &lt;/ option&gt; &lt;option value = ""1906""&gt; 1906 &lt;/ option&gt; &lt;option value = ""1905"&amp;"""&gt; 1905 &lt;/ option&gt; &lt;option value = ""1904""&gt; 1904 &lt;/ option&gt; &lt; option value = ""1903""&gt; 1903 &lt;/ option&gt; &lt;option value = ""1902""&gt; 1902 &lt;/ option&gt; &lt;option value = ""1901""&gt; 19 01 &lt;/ option&gt; &lt;option value = ""1900""&gt; 1900 &lt;/ option&gt; &lt;/ select&gt; &lt;div tabinde"&amp;"x = ""- 1"" class = ""airy-age-gate-submit airy-submit-button airy airy-submit- disabled ""&gt; Submit &lt;/ div&gt; &lt;/ div&gt; &lt;/ div&gt; &lt;/ div&gt; &lt;/ div&gt; &lt;/ div&gt; &lt;div tabindex ="" - 1 ""class ="" airy-install-flash-dialog airy-stage airy -vertical-centering-table-dialo"&amp;"g airy airy-denied ""style ="" opacity: 0; visibility: hidden; ""&gt; &lt;div tabindex ="" - 1 ""class ="" airy-install-flash-Vertical-centering-table-cell airy-Vertical-centering-table-cell ""&gt; &lt;div tabindex ="" - 1 ""class = ""airy-Vertical-centering-wrapper "&amp;"airy-install-flash-elements-wrapper""&gt; &lt;div tabindex = ""- 1"" class = ""airy-install-flash-elements airy-dialog-elements""&gt; &lt;div tabindex = "" -1 ""class ="" airy-install-flash-prompt ""&gt; Adobe Flash Player is required to watch this video &lt;/ div&gt; &lt;div ta"&amp;"bindex =."" - 1 ""class ="" airy-install-flash-button-wrapper airy -dialog-inner-elements ""&gt; &lt;div tabindex ="" - 1 ""class ="" airy-install-flash-button airy-button ""&gt; install Flash Player &lt;/ div&gt; &lt;/ div&gt; &lt;/ div&gt; &lt;/ div&gt; &lt;/ div&gt; &lt;/ div&gt; &lt;div tabindex = "&amp;"""- 1"" class = ""airy-video-unsupported-dialog airy-stage airy-Vertical-centering-table airy-dialog airy-denied"" style = ""opacity: 0; visibility: hidden; ""&gt; &lt;div tabindex ="" - 1 ""class ="" airy-video-unsupported-Vertical-centering-table-cell airy-Ve"&amp;"rtical-centering-table-cell ""&gt; &lt;div tabindex ="" - 1 ""class = ""airy-Vertical-centering-wrapper airy-video-unsupported-elements-wrapper""&gt; &lt;div tabindex = ""- 1"" class = ""airy-video-unsupported-elements airy-dialog-elements""&gt; &lt;div tabindex = "" -1 """&amp;"class ="" airy-video-unsupported-prompt ""&gt; &lt;/ div&gt; &lt;/ div&gt; &lt;/ div&gt; &lt;/ div&gt; &lt;/ div&gt; &lt;div tabindex ="" - 1 ""class ="" airy-loading- spinner-stage airy-stage ""&gt; &lt;div tabindex ="" - 1 ""class ="" airy-loading-spinner-Vertical-centering-table-cell airy-Vert"&amp;"ical-centering-table-cell ""&gt; &lt;div tabindex ="" - 1 ""class ="" airy-loading-spinner-container airy-scalable-hint-container ""&gt; &lt;div tabindex ="" - 1 ""class ="" airy-loading-spinner-dummy airy-scalable-dummy ""&gt; &lt;/ div&gt; &lt; div tabindex = ""- 1"" class = "&amp;"""airy-loading-spinner airy-hint"" style = ""visibility: hidden;""&gt; &lt;/ div&gt; &lt;/ div&gt; &lt;/ div&gt; &lt;/ div&gt; &lt;div tabindex = ""- 1 ""class ="" airy-ads-screen-size-toggle airy-screen-size-toggle-fullscreen airy ""style ="" visibility: hidden; ""&gt; &lt;/ div&gt; &lt;div tabi"&amp;"ndex = ""-1"" class = ""airy-ad-prompt-container"" style = ""visibility: hidden;""&gt; &lt;div tabindex = ""- 1"" class = ""airy-ad-prompt-Vertical-centering-table-vertically airy centering-table ""&gt; &lt;div tabindex ="" - 1 ""class ="" airy-ad-prompt-Vertical-cen"&amp;"tering-table-cell airy-Vertical-centering-table-cell ""&gt; &lt;div tabindex ="" - 1 ""class = ""airy-ad-prompt-label""&gt; &lt;/ div&gt; &lt;/ div&gt; &lt;/ div&gt; &lt;/ div&gt; &lt;div tabindex = ""- 1"" class = ""airy-ads-controls-container"" style = ""visibility: hidden; ""&gt; &lt;div tabin"&amp;"dex ="" - 1 ""class ="" airy-ads-audio-toggle airy-audio-toggle airy-on ""style ="" visibility: hidden; ""&gt; &lt;/ div&gt; &lt;div tabindex ="" - 1 ""class ="" airy-time-remaining-label-container ""&gt; &lt;div tabindex ="" - 1 ""class ="" airy-time-remaining-Vertical-ce"&amp;"ntering-table airy-Vertical-centering-table ""&gt; &lt;div tabindex = ""- 1"" class = ""airy-time-remaining-Vertical-centering-table-cell airy-Vertical-centering-table-cell""&gt; &lt;div tabindex = ""- 1"" class = ""airy-Vertical-centering-wrapper airy-time-remaining"&amp;"-label-wrapper ""&gt; &lt;div tabindex ="" - 1 ""class ="" airy-time-remaining-label ""style ="" visibility: hidden; ""&gt; &lt;/ div&gt; &lt;div tabi ndex = ""- 1"" class = ""airy-ad-skip"" style = ""visibility: hidden;""&gt; &lt;/ div&gt; &lt;div tabindex = ""- 1"" class = ""airy-ad"&amp;"-end"" style = ""visibility: hidden ""&gt; &lt;/ div&gt; &lt;/ div&gt; &lt;/ div&gt; &lt;/ div&gt; &lt;/ div&gt; &lt;div tabindex ="" - 1 ""class ="" airy-learn-more ""style ="" visibility: hidden; ""&gt; &lt;/ div&gt; &lt;/ div&gt; &lt;div tabindex = ""- 1"" class = ""airy-play-toggle-hint-stage airy-stage "&amp;"airy-cursor""&gt; &lt;div tabindex = ""- 1"" class = ""airy-play -toggle-hint-Vertical-centering-table-cell airy-Vertical-centering-table-cell airy-cursor ""&gt; &lt;div tabindex ="" - 1 ""class ="" airy-play-toggle-hint-container airy-scalable- Hint-container ""&gt; &lt;d"&amp;"iv tabindex ="" - 1 ""class ="" airy-play-toggle-hint-dummy airy-scalable-dummy ""&gt; &lt;/ div&gt; &lt;div tabindex ="" - 1 ""class ="" airy-play -toggle-hint hint airy-airy-play-hint ""style ="" opacity: 1; visibility: visible; ""&gt; &lt;/ div&gt; &lt;/ div&gt; &lt;/ div&gt; &lt;/ div&gt; "&amp;"&lt;div tabindex ="" - 1 ""class ="" airy-replay-hint-stage airy-stage ""style ="" visibility: hidden ; ""&gt; &lt;div tabindex ="" - 1 ""class ="" airy-replay-hint-Vertical-centering-table-cell airy-Vertical-centering-table-cell airy-cursor ""&gt; &lt;div tabindex ="" "&amp;"- 1 ""class = ""airy-replay-hint-container airy-scalable-hint-container""&gt; &lt;div tabindex = ""- 1"" class = ""airy-replay-hint-dummy airy-scalable-dummy""&gt; &lt;/ div&gt; &lt;div tabindex = ""- 1"" class = ""airy-replay-hint airy-hint""&gt; &lt;/ div&gt; &lt;/ div&gt; &lt;/ div&gt; &lt;/ d"&amp;"iv&gt; &lt;div tabindex = ""- 1"" class = ""airy-autoplay-hint -stage airy-stage ""style ="" visibility: hidden; ""&gt; &lt;div tabindex ="" - 1 ""class ="" airy-autoplay-hint-Vertical-centering-table-cell airy-Vertical-centering-table-cell airy- cursor ""&gt; &lt;div tabi"&amp;"ndex ="" - 1 ""class ="" autoplay airy-airy-hint-container-scalable-hint-container ""&gt; &lt;div tabindex ="" - 1 ""class ="" airy-autoplay-hint-dummy airy- scalable-dummy ""&gt; &lt;/ div&gt; &lt;/ div&gt; &lt;/ div&gt; &lt;/ div&gt; &lt;/ div&gt; &lt;/ div&gt; &lt;input type ="" hidden ""name ="" """&amp;"value ="" https: // images-eu .ssl-images-amazon.com / images / I / A1Ex + uyCmAS.mp4 ""Class ="" video-url ""&gt; &lt;input type ="" hidden ""name ="" ""value ="" https://images-eu.ssl-images-amazon.com/images/I/91zzmzTFkHS.png ""class ="" video-slate-img-url "&amp;"""&gt; &amp; nbsp; RETRO I love the design of this kettle, and pastel pink (which I find particularly cheesy). It has a filter that removes very easily for cleaning and protection against BOILED DRY. It has recogecables at the base, and doing quite well when we "&amp;"want to keep the kettle. And the switch on / off button has a blue LED that indicates when the kettle is on. When you pour the boiling water, not a drop falls out of the pipe but here is just what I like. It is a KETTLE a little slow. In 4 minutes 1.5 l o"&amp;"f boiling water, which is its maximum capacity. INDICATOR has a maximum capacity but has no minimum capacity indicator. The manual makes it a cup, so if you just want to make tea for one person, we have to use a measuring cup or. Although the cap and the "&amp;"handle, which are plastic coated with a slightly roughened rubber is slip and not heated, the body of the boiler is heated MUCH not having an insulating layer, so we must be careful not to burn an oversight. Ah! The edge of the lid is stainless steel and "&amp;"much also heated. The handle is well both left or right hand, but is somewhat troublesome to remove and replace the filter to fill the kettle. When you put boiling water into the cup for infusion must be careful lest we burn them with steam coming out dow"&amp;"n the drain with water. CONCLUSION - This kettle have mixed feelings. On the one hand, I really like its retro design and pastel pink. However, I think that some aspects of the design can be improved. So after much reflection, I am giving it three stars b"&amp;"ecause the price seems excessive seen buts I put him.")</f>
        <v>A design retro very nice but ... &lt;div id = "video-block-R3HQIHR5U1IXNO" class = "section a-a-a-spacing-small spacing-top-video mini-block"&gt; &lt;div tabindex = "0" class = "airy airy-svg vmin-unsupported airy-skin-beacon" style = "background-color: rgb (0, 0, 0) position: relative; width: 100%; height: 100%; font-size: 0px; overflow: hidden; outline: none; "&gt; &lt;div class =" airy-renderer-container "style =" position: relative; height: 100%; width: 100%; "&gt; &lt;video id =" 7 "preload = "auto" src = "https://images-eu.ssl-images-amazon.com/images/I/A1Ex+uyCmAS.mp4" style = "position: absolute; left: 0px; top: 0px; overflow: hidden; height: 1px; width: 1px; "&gt; &lt;/ video&gt; &lt;/ div&gt; &lt;div id =" airy Inslate-preload "style =" background-color: rgb (0, 0, 0); background-image : url (&amp; quot; https: //images-eu.ssl-images-amazon.com/images/I/91zzmzTFkHS.png&amp;quot;); background-size: Contain; background-position: center center; background-repeat: non- repeat; position: absolute; top: 0px; left: 0px; visibility: visible; width: 100%; height: 100%; "&gt; &lt;/ d 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0:31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 bar-elements "&gt; &lt;div tabindex =" - 1 "class =" airy-progress bar "style =" width: 100%;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A1Ex + uyCmAS.mp4 "Class =" video-url "&gt; &lt;input type =" hidden "name =" "value =" https://images-eu.ssl-images-amazon.com/images/I/91zzmzTFkHS.png "class =" video-slate-img-url "&gt; &amp; nbsp; RETRO I love the design of this kettle, and pastel pink (which I find particularly cheesy). It has a filter that removes very easily for cleaning and protection against BOILED DRY. It has recogecables at the base, and doing quite well when we want to keep the kettle. And the switch on / off button has a blue LED that indicates when the kettle is on. When you pour the boiling water, not a drop falls out of the pipe but here is just what I like. It is a KETTLE a little slow. In 4 minutes 1.5 l of boiling water, which is its maximum capacity. INDICATOR has a maximum capacity but has no minimum capacity indicator. The manual makes it a cup, so if you just want to make tea for one person, we have to use a measuring cup or. Although the cap and the handle, which are plastic coated with a slightly roughened rubber is slip and not heated, the body of the boiler is heated MUCH not having an insulating layer, so we must be careful not to burn an oversight. Ah! The edge of the lid is stainless steel and much also heated. The handle is well both left or right hand, but is somewhat troublesome to remove and replace the filter to fill the kettle. When you put boiling water into the cup for infusion must be careful lest we burn them with steam coming out down the drain with water. CONCLUSION - This kettle have mixed feelings. On the one hand, I really like its retro design and pastel pink. However, I think that some aspects of the design can be improved. So after much reflection, I am giving it three stars because the price seems excessive seen buts I put him.</v>
      </c>
    </row>
    <row r="6504">
      <c r="A6504" s="1">
        <v>4.0</v>
      </c>
      <c r="B6504" s="1" t="s">
        <v>6461</v>
      </c>
      <c r="C6504" t="str">
        <f>IFERROR(__xludf.DUMMYFUNCTION("GOOGLETRANSLATE(B6504, ""es"", ""en"")"),"Ciao When you torticollis college and you have to read and use 50 thousand books to study and work ... saves your life, neck and back.")</f>
        <v>Ciao When you torticollis college and you have to read and use 50 thousand books to study and work ... saves your life, neck and back.</v>
      </c>
    </row>
    <row r="6505">
      <c r="A6505" s="1">
        <v>4.0</v>
      </c>
      <c r="B6505" s="1" t="s">
        <v>6462</v>
      </c>
      <c r="C6505" t="str">
        <f>IFERROR(__xludf.DUMMYFUNCTION("GOOGLETRANSLATE(B6505, ""es"", ""en"")"),"useful Very useful and versatile")</f>
        <v>useful Very useful and versatile</v>
      </c>
    </row>
    <row r="6506">
      <c r="A6506" s="1">
        <v>5.0</v>
      </c>
      <c r="B6506" s="1" t="s">
        <v>6463</v>
      </c>
      <c r="C6506" t="str">
        <f>IFERROR(__xludf.DUMMYFUNCTION("GOOGLETRANSLATE(B6506, ""es"", ""en"")"),"It offers what right right")</f>
        <v>It offers what right right</v>
      </c>
    </row>
    <row r="6507">
      <c r="A6507" s="1">
        <v>5.0</v>
      </c>
      <c r="B6507" s="1" t="s">
        <v>2184</v>
      </c>
      <c r="C6507" t="str">
        <f>IFERROR(__xludf.DUMMYFUNCTION("GOOGLETRANSLATE(B6507, ""es"", ""en"")"),"Bureau Bureau")</f>
        <v>Bureau Bureau</v>
      </c>
    </row>
    <row r="6508">
      <c r="A6508" s="1">
        <v>5.0</v>
      </c>
      <c r="B6508" s="1" t="s">
        <v>6464</v>
      </c>
      <c r="C6508" t="str">
        <f>IFERROR(__xludf.DUMMYFUNCTION("GOOGLETRANSLATE(B6508, ""es"", ""en"")"),"Good fixation has served me for what I needed, it is strongly subject to many types of surface where've tried it, thanks to the flanges which brings can graduate according to the thickness of the fastening element")</f>
        <v>Good fixation has served me for what I needed, it is strongly subject to many types of surface where've tried it, thanks to the flanges which brings can graduate according to the thickness of the fastening element</v>
      </c>
    </row>
    <row r="6509">
      <c r="A6509" s="1">
        <v>5.0</v>
      </c>
      <c r="B6509" s="1" t="s">
        <v>6465</v>
      </c>
      <c r="C6509" t="str">
        <f>IFERROR(__xludf.DUMMYFUNCTION("GOOGLETRANSLATE(B6509, ""es"", ""en"")"),"Great product very good quality, comfortable and I went for 24 € on black friday so I can not ask for more")</f>
        <v>Great product very good quality, comfortable and I went for 24 € on black friday so I can not ask for more</v>
      </c>
    </row>
    <row r="6510">
      <c r="A6510" s="1">
        <v>5.0</v>
      </c>
      <c r="B6510" s="1" t="s">
        <v>6466</v>
      </c>
      <c r="C6510" t="str">
        <f>IFERROR(__xludf.DUMMYFUNCTION("GOOGLETRANSLATE(B6510, ""es"", ""en"")"),"It was top quality gift and the person is haunted. He uses them almost daily and still are like the first day. Carving something big so I recommend taking a less .. otherwise they are perfect.")</f>
        <v>It was top quality gift and the person is haunted. He uses them almost daily and still are like the first day. Carving something big so I recommend taking a less .. otherwise they are perfect.</v>
      </c>
    </row>
    <row r="6511">
      <c r="A6511" s="1">
        <v>5.0</v>
      </c>
      <c r="B6511" s="1" t="s">
        <v>6467</v>
      </c>
      <c r="C6511" t="str">
        <f>IFERROR(__xludf.DUMMYFUNCTION("GOOGLETRANSLATE(B6511, ""es"", ""en"")"),"The recommended value is impressive, there are better, but the price is very good")</f>
        <v>The recommended value is impressive, there are better, but the price is very good</v>
      </c>
    </row>
    <row r="6512">
      <c r="A6512" s="1">
        <v>5.0</v>
      </c>
      <c r="B6512" s="1" t="s">
        <v>6468</v>
      </c>
      <c r="C6512" t="str">
        <f>IFERROR(__xludf.DUMMYFUNCTION("GOOGLETRANSLATE(B6512, ""es"", ""en"")"),"Original and new. Perfect size. Dr. Martens boots Jadon Black in size 38, all as expected. New and original with box and official label of Dr. Martens. The sizing is correct, neither large nor small as had read somewhere. If you had asked me number less t"&amp;"han they would be small.")</f>
        <v>Original and new. Perfect size. Dr. Martens boots Jadon Black in size 38, all as expected. New and original with box and official label of Dr. Martens. The sizing is correct, neither large nor small as had read somewhere. If you had asked me number less than they would be small.</v>
      </c>
    </row>
    <row r="6513">
      <c r="A6513" s="1">
        <v>5.0</v>
      </c>
      <c r="B6513" s="1" t="s">
        <v>6469</v>
      </c>
      <c r="C6513" t="str">
        <f>IFERROR(__xludf.DUMMYFUNCTION("GOOGLETRANSLATE(B6513, ""es"", ""en"")"),"Smoothie smoothie machine very practical, it has been reduced in size to have in the kitchen, and capable enough for about two more or less juice, which had not previously used it so big it was. With safety mechanism, it is prepared so you can directly ta"&amp;"ke the drinking container. Shreds great and for the price it seems fairly good quality. Great for summer juices in a few seconds. Very happy with purchase, good to have or give away.")</f>
        <v>Smoothie smoothie machine very practical, it has been reduced in size to have in the kitchen, and capable enough for about two more or less juice, which had not previously used it so big it was. With safety mechanism, it is prepared so you can directly take the drinking container. Shreds great and for the price it seems fairly good quality. Great for summer juices in a few seconds. Very happy with purchase, good to have or give away.</v>
      </c>
    </row>
    <row r="6514">
      <c r="A6514" s="1">
        <v>5.0</v>
      </c>
      <c r="B6514" s="1" t="s">
        <v>6470</v>
      </c>
      <c r="C6514" t="str">
        <f>IFERROR(__xludf.DUMMYFUNCTION("GOOGLETRANSLATE(B6514, ""es"", ""en"")"),"Very suitable headphones are comfortable and acceptably listen for the price they are worth not worth spending more for more expensive ones are heard equally and these come with micro also included. I recommend it.")</f>
        <v>Very suitable headphones are comfortable and acceptably listen for the price they are worth not worth spending more for more expensive ones are heard equally and these come with micro also included. I recommend it.</v>
      </c>
    </row>
    <row r="6515">
      <c r="A6515" s="1">
        <v>5.0</v>
      </c>
      <c r="B6515" s="1" t="s">
        <v>6471</v>
      </c>
      <c r="C6515" t="str">
        <f>IFERROR(__xludf.DUMMYFUNCTION("GOOGLETRANSLATE(B6515, ""es"", ""en"")"),"Comfortable I like them because they are very comfortable and look good with everything. Happy with purchase.")</f>
        <v>Comfortable I like them because they are very comfortable and look good with everything. Happy with purchase.</v>
      </c>
    </row>
    <row r="6516">
      <c r="A6516" s="1">
        <v>5.0</v>
      </c>
      <c r="B6516" s="1" t="s">
        <v>6472</v>
      </c>
      <c r="C6516" t="str">
        <f>IFERROR(__xludf.DUMMYFUNCTION("GOOGLETRANSLATE(B6516, ""es"", ""en"")"),"Blender practice practice, we have a larger but this make juice and drink directly from it, it is easier to clean than large. Fruit should throw something cut, we must bear in mind that battery and that will help you better grind.")</f>
        <v>Blender practice practice, we have a larger but this make juice and drink directly from it, it is easier to clean than large. Fruit should throw something cut, we must bear in mind that battery and that will help you better grind.</v>
      </c>
    </row>
    <row r="6517">
      <c r="A6517" s="1">
        <v>5.0</v>
      </c>
      <c r="B6517" s="1" t="s">
        <v>6473</v>
      </c>
      <c r="C6517" t="str">
        <f>IFERROR(__xludf.DUMMYFUNCTION("GOOGLETRANSLATE(B6517, ""es"", ""en"")"),"Sound good to me have liked it, have good sound, to see how long they last. At the moment are perfect and I use them a lot, the would buy")</f>
        <v>Sound good to me have liked it, have good sound, to see how long they last. At the moment are perfect and I use them a lot, the would buy</v>
      </c>
    </row>
    <row r="6518">
      <c r="A6518" s="1">
        <v>5.0</v>
      </c>
      <c r="B6518" s="1" t="s">
        <v>6474</v>
      </c>
      <c r="C6518" t="str">
        <f>IFERROR(__xludf.DUMMYFUNCTION("GOOGLETRANSLATE(B6518, ""es"", ""en"")"),"IDEALS Beautiful, comfortable and very light. Bone size larger than order one size smaller, to me at least happened to me .. I recommend them 100%")</f>
        <v>IDEALS Beautiful, comfortable and very light. Bone size larger than order one size smaller, to me at least happened to me .. I recommend them 100%</v>
      </c>
    </row>
    <row r="6519">
      <c r="A6519" s="1">
        <v>5.0</v>
      </c>
      <c r="B6519" s="1" t="s">
        <v>6475</v>
      </c>
      <c r="C6519" t="str">
        <f>IFERROR(__xludf.DUMMYFUNCTION("GOOGLETRANSLATE(B6519, ""es"", ""en"")"),"Headphones good, comfortable and perfect for working Good sound quality, microphone reduces outside noise very well. Volume control and microphone is working properly and is very useful when called to control the configuration of the device and audio. The"&amp;"y have a good design, perfect for working environments. The cable is quite long allowing mobility. There is a good quality price relation.")</f>
        <v>Headphones good, comfortable and perfect for working Good sound quality, microphone reduces outside noise very well. Volume control and microphone is working properly and is very useful when called to control the configuration of the device and audio. They have a good design, perfect for working environments. The cable is quite long allowing mobility. There is a good quality price relation.</v>
      </c>
    </row>
    <row r="6520">
      <c r="A6520" s="1">
        <v>5.0</v>
      </c>
      <c r="B6520" s="1" t="s">
        <v>6476</v>
      </c>
      <c r="C6520" t="str">
        <f>IFERROR(__xludf.DUMMYFUNCTION("GOOGLETRANSLATE(B6520, ""es"", ""en"")"),"Everything ok, very useful after box buy some for me my father asked me for some but did not like the box of mine so I decided for them and has been a success, the least is happy")</f>
        <v>Everything ok, very useful after box buy some for me my father asked me for some but did not like the box of mine so I decided for them and has been a success, the least is happy</v>
      </c>
    </row>
    <row r="6521">
      <c r="A6521" s="1">
        <v>5.0</v>
      </c>
      <c r="B6521" s="1" t="s">
        <v>6477</v>
      </c>
      <c r="C6521" t="str">
        <f>IFERROR(__xludf.DUMMYFUNCTION("GOOGLETRANSLATE(B6521, ""es"", ""en"")"),"Original and comfortable great fit. The numbers correspond to the Spaniards. They are original!!")</f>
        <v>Original and comfortable great fit. The numbers correspond to the Spaniards. They are original!!</v>
      </c>
    </row>
    <row r="6522">
      <c r="A6522" s="1">
        <v>5.0</v>
      </c>
      <c r="B6522" s="1" t="s">
        <v>6478</v>
      </c>
      <c r="C6522" t="str">
        <f>IFERROR(__xludf.DUMMYFUNCTION("GOOGLETRANSLATE(B6522, ""es"", ""en"")"),"As perfect specified.")</f>
        <v>As perfect specified.</v>
      </c>
    </row>
    <row r="6523">
      <c r="A6523" s="1">
        <v>5.0</v>
      </c>
      <c r="B6523" s="1" t="s">
        <v>6479</v>
      </c>
      <c r="C6523" t="str">
        <f>IFERROR(__xludf.DUMMYFUNCTION("GOOGLETRANSLATE(B6523, ""es"", ""en"")"),"At the moment, meets! I acquired for a PS3 model FAT, and so far so good. A having to install the firmware on the hard drive, it goes much faster than the original. Before, perform a test on PC and meets the speed heralding the manufacturer. I hope it las"&amp;"t time ... For now, I recommend it.")</f>
        <v>At the moment, meets! I acquired for a PS3 model FAT, and so far so good. A having to install the firmware on the hard drive, it goes much faster than the original. Before, perform a test on PC and meets the speed heralding the manufacturer. I hope it last time ... For now, I recommend it.</v>
      </c>
    </row>
    <row r="6524">
      <c r="A6524" s="1">
        <v>5.0</v>
      </c>
      <c r="B6524" s="1" t="s">
        <v>6480</v>
      </c>
      <c r="C6524" t="str">
        <f>IFERROR(__xludf.DUMMYFUNCTION("GOOGLETRANSLATE(B6524, ""es"", ""en"")"),"Quality guaranteed brand always buy this brand because it guarantees quality sound and material helmets me at least I last long unless I am very clumsy and break me, and nothing more to add I have tried other helmets and as those of this brand it is secon"&amp;"d to none, without distortion noise and very clean sound. Guarantee a good brand of helmets")</f>
        <v>Quality guaranteed brand always buy this brand because it guarantees quality sound and material helmets me at least I last long unless I am very clumsy and break me, and nothing more to add I have tried other helmets and as those of this brand it is second to none, without distortion noise and very clean sound. Guarantee a good brand of helmets</v>
      </c>
    </row>
    <row r="6525">
      <c r="A6525" s="1">
        <v>2.0</v>
      </c>
      <c r="B6525" s="1" t="s">
        <v>6481</v>
      </c>
      <c r="C6525" t="str">
        <f>IFERROR(__xludf.DUMMYFUNCTION("GOOGLETRANSLATE(B6525, ""es"", ""en"")"),"It seems that has already been used. It seems that has already been used. A opening the housing, the brush was dirty, with a kind of powder or sawdust. The sole has a few spots, it seems new. To see photos. Other than that, it works correctly")</f>
        <v>It seems that has already been used. It seems that has already been used. A opening the housing, the brush was dirty, with a kind of powder or sawdust. The sole has a few spots, it seems new. To see photos. Other than that, it works correctly</v>
      </c>
    </row>
    <row r="6526">
      <c r="A6526" s="1">
        <v>3.0</v>
      </c>
      <c r="B6526" s="1" t="s">
        <v>6482</v>
      </c>
      <c r="C6526" t="str">
        <f>IFERROR(__xludf.DUMMYFUNCTION("GOOGLETRANSLATE(B6526, ""es"", ""en"")"),"Comfortable yes, but sound regularly. For the many comments praising these headphones, I decided for them. They are really comfortable and lightweight, but the sound quality for listening to music, is poor. Very little definition at any frequency. Yes the"&amp;"y have good resonance (not definition of serious or low); in other frequencies (Not low), even worse. If you are looking for a headset headset with built-in microphone, playing games, or television; They can go well. Probably for the price there is nothin"&amp;"g better. Now if you are looking for a headset to listen to music, unless you do not have any reference to compare; These sony fall short.")</f>
        <v>Comfortable yes, but sound regularly. For the many comments praising these headphones, I decided for them. They are really comfortable and lightweight, but the sound quality for listening to music, is poor. Very little definition at any frequency. Yes they have good resonance (not definition of serious or low); in other frequencies (Not low), even worse. If you are looking for a headset headset with built-in microphone, playing games, or television; They can go well. Probably for the price there is nothing better. Now if you are looking for a headset to listen to music, unless you do not have any reference to compare; These sony fall short.</v>
      </c>
    </row>
    <row r="6527">
      <c r="A6527" s="1">
        <v>3.0</v>
      </c>
      <c r="B6527" s="1" t="s">
        <v>6483</v>
      </c>
      <c r="C6527" t="str">
        <f>IFERROR(__xludf.DUMMYFUNCTION("GOOGLETRANSLATE(B6527, ""es"", ""en"")"),"warranty Hello buys the product I broke down the short time (6months) to buy it without the computer did not recognize, and my son told me in August that as he still had warranty reclamase my right, and I talked to Amazon and as always I exquisite treatme"&amp;"nt. I facilitated the mail manufacturer and after 2 mails and photos uanas the brand has spare me the pendrive October 1 to Amazon and one for kingston")</f>
        <v>warranty Hello buys the product I broke down the short time (6months) to buy it without the computer did not recognize, and my son told me in August that as he still had warranty reclamase my right, and I talked to Amazon and as always I exquisite treatment. I facilitated the mail manufacturer and after 2 mails and photos uanas the brand has spare me the pendrive October 1 to Amazon and one for kingston</v>
      </c>
    </row>
    <row r="6528">
      <c r="A6528" s="1">
        <v>1.0</v>
      </c>
      <c r="B6528" s="1" t="s">
        <v>6484</v>
      </c>
      <c r="C6528" t="str">
        <f>IFERROR(__xludf.DUMMYFUNCTION("GOOGLETRANSLATE(B6528, ""es"", ""en"")"),"VERY POOR QUALITY The product is not if it will be the authentic sixed, is of very poor quality, trying to get him to stick something, cracked and does not leave the entire strip, I do not return because I obviously had to use 1 roll and no longer the who"&amp;"le package. I do not recommend anyone to buy it. Buy it thinking it was ""sixed"" besides breaking, I tried to use it to paste prices in greengrocers and the only weight of a minicartulina of the size of a credit card off and falls if all are like that I "&amp;"have received is a scam, not by AMAZON but by the supplier of this product.")</f>
        <v>VERY POOR QUALITY The product is not if it will be the authentic sixed, is of very poor quality, trying to get him to stick something, cracked and does not leave the entire strip, I do not return because I obviously had to use 1 roll and no longer the whole package. I do not recommend anyone to buy it. Buy it thinking it was "sixed" besides breaking, I tried to use it to paste prices in greengrocers and the only weight of a minicartulina of the size of a credit card off and falls if all are like that I have received is a scam, not by AMAZON but by the supplier of this product.</v>
      </c>
    </row>
    <row r="6529">
      <c r="A6529" s="1">
        <v>1.0</v>
      </c>
      <c r="B6529" s="1" t="s">
        <v>6485</v>
      </c>
      <c r="C6529" t="str">
        <f>IFERROR(__xludf.DUMMYFUNCTION("GOOGLETRANSLATE(B6529, ""es"", ""en"")"),"I do not like it I do not like small belt is for another type of watch. not what you purchase.")</f>
        <v>I do not like it I do not like small belt is for another type of watch. not what you purchase.</v>
      </c>
    </row>
    <row r="6530">
      <c r="A6530" s="1">
        <v>4.0</v>
      </c>
      <c r="B6530" s="1" t="s">
        <v>6486</v>
      </c>
      <c r="C6530" t="str">
        <f>IFERROR(__xludf.DUMMYFUNCTION("GOOGLETRANSLATE(B6530, ""es"", ""en"")"),"Are precious and precious they are superbly fit. I spend 39 and I are perfect. I recommend them. And I have nothing more to add.")</f>
        <v>Are precious and precious they are superbly fit. I spend 39 and I are perfect. I recommend them. And I have nothing more to add.</v>
      </c>
    </row>
    <row r="6531">
      <c r="A6531" s="1">
        <v>4.0</v>
      </c>
      <c r="B6531" s="1" t="s">
        <v>6487</v>
      </c>
      <c r="C6531" t="str">
        <f>IFERROR(__xludf.DUMMYFUNCTION("GOOGLETRANSLATE(B6531, ""es"", ""en"")"),"Currently running good price.")</f>
        <v>Currently running good price.</v>
      </c>
    </row>
    <row r="6532">
      <c r="A6532" s="1">
        <v>4.0</v>
      </c>
      <c r="B6532" s="1" t="s">
        <v>6488</v>
      </c>
      <c r="C6532" t="str">
        <f>IFERROR(__xludf.DUMMYFUNCTION("GOOGLETRANSLATE(B6532, ""es"", ""en"")"),"Very comfortable I bought for my mother who had trouble arm strength and perfect. Highly recommended. I will not return to traditional buckets.")</f>
        <v>Very comfortable I bought for my mother who had trouble arm strength and perfect. Highly recommended. I will not return to traditional buckets.</v>
      </c>
    </row>
    <row r="6533">
      <c r="A6533" s="1">
        <v>4.0</v>
      </c>
      <c r="B6533" s="1" t="s">
        <v>6489</v>
      </c>
      <c r="C6533" t="str">
        <f>IFERROR(__xludf.DUMMYFUNCTION("GOOGLETRANSLATE(B6533, ""es"", ""en"")"),"There is a rigged bag bag Apparent high quality. However its shape and spaces allow you carry phone and wallet with keys comfortably. A good price. The pocket is on the handle is too small for today's mobile")</f>
        <v>There is a rigged bag bag Apparent high quality. However its shape and spaces allow you carry phone and wallet with keys comfortably. A good price. The pocket is on the handle is too small for today's mobile</v>
      </c>
    </row>
    <row r="6534">
      <c r="A6534" s="1">
        <v>5.0</v>
      </c>
      <c r="B6534" s="1" t="s">
        <v>6490</v>
      </c>
      <c r="C6534" t="str">
        <f>IFERROR(__xludf.DUMMYFUNCTION("GOOGLETRANSLATE(B6534, ""es"", ""en"")"),"Perfect for photo and video professional is great, I have 4 equal and worked with them professional manner. Fast for both photo and video. 100% Recommended")</f>
        <v>Perfect for photo and video professional is great, I have 4 equal and worked with them professional manner. Fast for both photo and video. 100% Recommended</v>
      </c>
    </row>
    <row r="6535">
      <c r="A6535" s="1">
        <v>5.0</v>
      </c>
      <c r="B6535" s="1" t="s">
        <v>4166</v>
      </c>
      <c r="C6535" t="str">
        <f>IFERROR(__xludf.DUMMYFUNCTION("GOOGLETRANSLATE(B6535, ""es"", ""en"")"),"Good product good product")</f>
        <v>Good product good product</v>
      </c>
    </row>
    <row r="6536">
      <c r="A6536" s="1">
        <v>5.0</v>
      </c>
      <c r="B6536" s="1" t="s">
        <v>6491</v>
      </c>
      <c r="C6536" t="str">
        <f>IFERROR(__xludf.DUMMYFUNCTION("GOOGLETRANSLATE(B6536, ""es"", ""en"")"),"All ok as described by the seller everything ok as described by the seller")</f>
        <v>All ok as described by the seller everything ok as described by the seller</v>
      </c>
    </row>
    <row r="6537">
      <c r="A6537" s="1">
        <v>5.0</v>
      </c>
      <c r="B6537" s="1" t="s">
        <v>6492</v>
      </c>
      <c r="C6537" t="str">
        <f>IFERROR(__xludf.DUMMYFUNCTION("GOOGLETRANSLATE(B6537, ""es"", ""en"")"),"Sure they are not the last I had already tried the above and you are much better. More stable and equally comfortable")</f>
        <v>Sure they are not the last I had already tried the above and you are much better. More stable and equally comfortable</v>
      </c>
    </row>
    <row r="6538">
      <c r="A6538" s="1">
        <v>5.0</v>
      </c>
      <c r="B6538" s="1" t="s">
        <v>6493</v>
      </c>
      <c r="C6538" t="str">
        <f>IFERROR(__xludf.DUMMYFUNCTION("GOOGLETRANSLATE(B6538, ""es"", ""en"")"),"Very good Release and fresh ... Wide shirt")</f>
        <v>Very good Release and fresh ... Wide shirt</v>
      </c>
    </row>
    <row r="6539">
      <c r="A6539" s="1">
        <v>5.0</v>
      </c>
      <c r="B6539" s="1" t="s">
        <v>6494</v>
      </c>
      <c r="C6539" t="str">
        <f>IFERROR(__xludf.DUMMYFUNCTION("GOOGLETRANSLATE(B6539, ""es"", ""en"")"),"Very good product good product. Although I've only used to make porridge fruit of children. But with two gears, it is perfect. It has suction cups that grip the table.")</f>
        <v>Very good product good product. Although I've only used to make porridge fruit of children. But with two gears, it is perfect. It has suction cups that grip the table.</v>
      </c>
    </row>
    <row r="6540">
      <c r="A6540" s="1">
        <v>5.0</v>
      </c>
      <c r="B6540" s="1" t="s">
        <v>6495</v>
      </c>
      <c r="C6540" t="str">
        <f>IFERROR(__xludf.DUMMYFUNCTION("GOOGLETRANSLATE(B6540, ""es"", ""en"")"),"Perhaps it is early to say took with him, barely a month. I caught him 2nd hand 4TB 84 € the red. I must say that although the description looked to have scratches all over, when I opened it did not have any. Brand new. He could tell it was 2nd hand packa"&amp;"ging, but little else. This month I have used just 10 times and although I have gotten and taken large capacity files has never given me problems. The speed that I get my average is about 70Mb / s which is pretty good compared to others I have. So far the"&amp;" best price / quality ratio. By the way, although he had no predilecciión by any color, red is very nice")</f>
        <v>Perhaps it is early to say took with him, barely a month. I caught him 2nd hand 4TB 84 € the red. I must say that although the description looked to have scratches all over, when I opened it did not have any. Brand new. He could tell it was 2nd hand packaging, but little else. This month I have used just 10 times and although I have gotten and taken large capacity files has never given me problems. The speed that I get my average is about 70Mb / s which is pretty good compared to others I have. So far the best price / quality ratio. By the way, although he had no predilecciión by any color, red is very nice</v>
      </c>
    </row>
    <row r="6541">
      <c r="A6541" s="1">
        <v>5.0</v>
      </c>
      <c r="B6541" s="1" t="s">
        <v>6496</v>
      </c>
      <c r="C6541" t="str">
        <f>IFERROR(__xludf.DUMMYFUNCTION("GOOGLETRANSLATE(B6541, ""es"", ""en"")"),"The product is very good and recommended the product is very good, the audio quality is very good presentation of the case is great, but the best is that it weighs very little and is super comfortable. The supplier did not understand how to make the bill "&amp;"but solved and everything ended well, so I recommend this product and seller.")</f>
        <v>The product is very good and recommended the product is very good, the audio quality is very good presentation of the case is great, but the best is that it weighs very little and is super comfortable. The supplier did not understand how to make the bill but solved and everything ended well, so I recommend this product and seller.</v>
      </c>
    </row>
    <row r="6542">
      <c r="A6542" s="1">
        <v>5.0</v>
      </c>
      <c r="B6542" s="1" t="s">
        <v>6497</v>
      </c>
      <c r="C6542" t="str">
        <f>IFERROR(__xludf.DUMMYFUNCTION("GOOGLETRANSLATE(B6542, ""es"", ""en"")"),"Card micro SD memory card is a card micro SD memory with many applications in my case it was for a sports camera stand 32GB maximum operation card moment is unpolluted and Samsung do not think you disappoint me because has not done so in the past Personal"&amp;"ly, I would recommend your purchase if you fit the capabilities they seek. This is a good product")</f>
        <v>Card micro SD memory card is a card micro SD memory with many applications in my case it was for a sports camera stand 32GB maximum operation card moment is unpolluted and Samsung do not think you disappoint me because has not done so in the past Personally, I would recommend your purchase if you fit the capabilities they seek. This is a good product</v>
      </c>
    </row>
    <row r="6543">
      <c r="A6543" s="1">
        <v>5.0</v>
      </c>
      <c r="B6543" s="1" t="s">
        <v>6498</v>
      </c>
      <c r="C6543" t="str">
        <f>IFERROR(__xludf.DUMMYFUNCTION("GOOGLETRANSLATE(B6543, ""es"", ""en"")"),"Fulfills its function, good value Heats all the water pretty quickly, even if it is full. You do what you have to do. After 6 months of daily use remains as the first day. Metallic gray color complements any kitchen.")</f>
        <v>Fulfills its function, good value Heats all the water pretty quickly, even if it is full. You do what you have to do. After 6 months of daily use remains as the first day. Metallic gray color complements any kitchen.</v>
      </c>
    </row>
    <row r="6544">
      <c r="A6544" s="1">
        <v>5.0</v>
      </c>
      <c r="B6544" s="1" t="s">
        <v>6499</v>
      </c>
      <c r="C6544" t="str">
        <f>IFERROR(__xludf.DUMMYFUNCTION("GOOGLETRANSLATE(B6544, ""es"", ""en"")"),"basic but worth walking to walk sobra.Sencillas ..no is to deporte.plantilla no.muy soft but I've walked and I've been pretty comfortable")</f>
        <v>basic but worth walking to walk sobra.Sencillas ..no is to deporte.plantilla no.muy soft but I've walked and I've been pretty comfortable</v>
      </c>
    </row>
    <row r="6545">
      <c r="A6545" s="1">
        <v>5.0</v>
      </c>
      <c r="B6545" s="1" t="s">
        <v>6500</v>
      </c>
      <c r="C6545" t="str">
        <f>IFERROR(__xludf.DUMMYFUNCTION("GOOGLETRANSLATE(B6545, ""es"", ""en"")"),"Calida price very comfortable and nice, meets expectations")</f>
        <v>Calida price very comfortable and nice, meets expectations</v>
      </c>
    </row>
    <row r="6546">
      <c r="A6546" s="1">
        <v>5.0</v>
      </c>
      <c r="B6546" s="1" t="s">
        <v>6501</v>
      </c>
      <c r="C6546" t="str">
        <f>IFERROR(__xludf.DUMMYFUNCTION("GOOGLETRANSLATE(B6546, ""es"", ""en"")"),"As it appears in the photograph it is as it appears in the photograph. It is rather thin and flexible, but is pretty good and considering the price it has. I recommend it.")</f>
        <v>As it appears in the photograph it is as it appears in the photograph. It is rather thin and flexible, but is pretty good and considering the price it has. I recommend it.</v>
      </c>
    </row>
    <row r="6547">
      <c r="A6547" s="1">
        <v>5.0</v>
      </c>
      <c r="B6547" s="1" t="s">
        <v>6502</v>
      </c>
      <c r="C6547" t="str">
        <f>IFERROR(__xludf.DUMMYFUNCTION("GOOGLETRANSLATE(B6547, ""es"", ""en"")"),"Ready to enjoy the Scrap !!! It is a very complete set to make your exploding box of memories. Personally I loved not having to measure, punching and cutting. He had done some and this is an important step forward to focus only on the creative and emotion"&amp;"al part of the development. The assembly is very well explained. Easy and very nice. Ready to enjoy the Scrap.")</f>
        <v>Ready to enjoy the Scrap !!! It is a very complete set to make your exploding box of memories. Personally I loved not having to measure, punching and cutting. He had done some and this is an important step forward to focus only on the creative and emotional part of the development. The assembly is very well explained. Easy and very nice. Ready to enjoy the Scrap.</v>
      </c>
    </row>
    <row r="6548">
      <c r="A6548" s="1">
        <v>5.0</v>
      </c>
      <c r="B6548" s="1" t="s">
        <v>6503</v>
      </c>
      <c r="C6548" t="str">
        <f>IFERROR(__xludf.DUMMYFUNCTION("GOOGLETRANSLATE(B6548, ""es"", ""en"")"),"Easy to clean Va great! It's super cute, and no problems bringing them into the dishwasher")</f>
        <v>Easy to clean Va great! It's super cute, and no problems bringing them into the dishwasher</v>
      </c>
    </row>
    <row r="6549">
      <c r="A6549" s="1">
        <v>5.0</v>
      </c>
      <c r="B6549" s="1" t="s">
        <v>6504</v>
      </c>
      <c r="C6549" t="str">
        <f>IFERROR(__xludf.DUMMYFUNCTION("GOOGLETRANSLATE(B6549, ""es"", ""en"")"),"PENDRIVE good. Very good finishes, USB 3.0 and high speed file backup USB to your computer and vice versa, highly recommended purchase.")</f>
        <v>PENDRIVE good. Very good finishes, USB 3.0 and high speed file backup USB to your computer and vice versa, highly recommended purchase.</v>
      </c>
    </row>
    <row r="6550">
      <c r="A6550" s="1">
        <v>5.0</v>
      </c>
      <c r="B6550" s="1" t="s">
        <v>6505</v>
      </c>
      <c r="C6550" t="str">
        <f>IFERROR(__xludf.DUMMYFUNCTION("GOOGLETRANSLATE(B6550, ""es"", ""en"")"),"Best price impossible are what was expected at a great price")</f>
        <v>Best price impossible are what was expected at a great price</v>
      </c>
    </row>
    <row r="6551">
      <c r="A6551" s="1">
        <v>5.0</v>
      </c>
      <c r="B6551" s="1" t="s">
        <v>6506</v>
      </c>
      <c r="C6551" t="str">
        <f>IFERROR(__xludf.DUMMYFUNCTION("GOOGLETRANSLATE(B6551, ""es"", ""en"")"),"Very good quality good price")</f>
        <v>Very good quality good price</v>
      </c>
    </row>
    <row r="6552">
      <c r="A6552" s="1">
        <v>2.0</v>
      </c>
      <c r="B6552" s="1" t="s">
        <v>6507</v>
      </c>
      <c r="C6552" t="str">
        <f>IFERROR(__xludf.DUMMYFUNCTION("GOOGLETRANSLATE(B6552, ""es"", ""en"")"),"Not worth did not like me, I have not yet used, but when comparing the thickness with other cloths thought they would be better. They are very thin")</f>
        <v>Not worth did not like me, I have not yet used, but when comparing the thickness with other cloths thought they would be better. They are very thin</v>
      </c>
    </row>
    <row r="6553">
      <c r="A6553" s="1">
        <v>3.0</v>
      </c>
      <c r="B6553" s="1" t="s">
        <v>6508</v>
      </c>
      <c r="C6553" t="str">
        <f>IFERROR(__xludf.DUMMYFUNCTION("GOOGLETRANSLATE(B6553, ""es"", ""en"")"),"Little Difficult reliable cleaning stalls easily")</f>
        <v>Little Difficult reliable cleaning stalls easily</v>
      </c>
    </row>
    <row r="6554">
      <c r="A6554" s="1">
        <v>1.0</v>
      </c>
      <c r="B6554" s="1" t="s">
        <v>6509</v>
      </c>
      <c r="C6554" t="str">
        <f>IFERROR(__xludf.DUMMYFUNCTION("GOOGLETRANSLATE(B6554, ""es"", ""en"")"),"Both the seller Bad seller like Amazon have taken my hair, and have ignored my complaint that I wear my sole in less than two weeks might provoke an injury to his left leg")</f>
        <v>Both the seller Bad seller like Amazon have taken my hair, and have ignored my complaint that I wear my sole in less than two weeks might provoke an injury to his left leg</v>
      </c>
    </row>
    <row r="6555">
      <c r="A6555" s="1">
        <v>1.0</v>
      </c>
      <c r="B6555" s="1" t="s">
        <v>6510</v>
      </c>
      <c r="C6555" t="str">
        <f>IFERROR(__xludf.DUMMYFUNCTION("GOOGLETRANSLATE(B6555, ""es"", ""en"")"),"He lacked the libretto bad exercise, which puts it in the box wearing it, the curler could tell he was used")</f>
        <v>He lacked the libretto bad exercise, which puts it in the box wearing it, the curler could tell he was used</v>
      </c>
    </row>
    <row r="6556">
      <c r="A6556" s="1">
        <v>4.0</v>
      </c>
      <c r="B6556" s="1" t="s">
        <v>6511</v>
      </c>
      <c r="C6556" t="str">
        <f>IFERROR(__xludf.DUMMYFUNCTION("GOOGLETRANSLATE(B6556, ""es"", ""en"")"),"The day of delivery to Me liked everything. The garment is in good condition and delivered on the agreed day")</f>
        <v>The day of delivery to Me liked everything. The garment is in good condition and delivered on the agreed day</v>
      </c>
    </row>
    <row r="6557">
      <c r="A6557" s="1">
        <v>4.0</v>
      </c>
      <c r="B6557" s="1" t="s">
        <v>6512</v>
      </c>
      <c r="C6557" t="str">
        <f>IFERROR(__xludf.DUMMYFUNCTION("GOOGLETRANSLATE(B6557, ""es"", ""en"")"),"They are pretty good about money")</f>
        <v>They are pretty good about money</v>
      </c>
    </row>
    <row r="6558">
      <c r="A6558" s="1">
        <v>4.0</v>
      </c>
      <c r="B6558" s="1" t="s">
        <v>6513</v>
      </c>
      <c r="C6558" t="str">
        <f>IFERROR(__xludf.DUMMYFUNCTION("GOOGLETRANSLATE(B6558, ""es"", ""en"")"),"Safety and low consumption +++ Style Base a little puny")</f>
        <v>Safety and low consumption +++ Style Base a little puny</v>
      </c>
    </row>
    <row r="6559">
      <c r="A6559" s="1">
        <v>4.0</v>
      </c>
      <c r="B6559" s="1" t="s">
        <v>6514</v>
      </c>
      <c r="C6559" t="str">
        <f>IFERROR(__xludf.DUMMYFUNCTION("GOOGLETRANSLATE(B6559, ""es"", ""en"")"),"To have a good time works very well and is heard on the loudspeaker of the micro both voice and synchronized music. Not a professional micro, but it does the trick. The only but is that (levers) buttons eco volumes and could be a little more precise. To h"&amp;"ave a good time with friends, parties, etc.")</f>
        <v>To have a good time works very well and is heard on the loudspeaker of the micro both voice and synchronized music. Not a professional micro, but it does the trick. The only but is that (levers) buttons eco volumes and could be a little more precise. To have a good time with friends, parties, etc.</v>
      </c>
    </row>
    <row r="6560">
      <c r="A6560" s="1">
        <v>4.0</v>
      </c>
      <c r="B6560" s="1" t="s">
        <v>6515</v>
      </c>
      <c r="C6560" t="str">
        <f>IFERROR(__xludf.DUMMYFUNCTION("GOOGLETRANSLATE(B6560, ""es"", ""en"")"),"It is quite fast and is not heated when using intensively This is a memory 128 GB with the plastic housing and USB 3.1 connector. Therefore it is compatible with any USB device (supports USB 3.0, 2.0 and 1.1). Has a size of 56.7 × 18 × 9 mm and is ""plug "&amp;"and play"", ie not need any driver to run correctly. While you're using can put the cap back to not miss. And it has been formatted in FAT32 which limits the size of files that can be transferred to 4 GB. If you want to transfer larger files you'll need t"&amp;"o format it to NTFS or exFAT. I have not done because the files that step forth are smaller (basically documents, pictures and small videos to do with the phone). It has a nominal read and write speeds up to 400MB / s and up to 100 MB / s respectively. In"&amp;" practice memory it is a little slower but keep in mind that the transmission speed also depends on the other device. In any case, it is much faster than a USB 2.0 memory and it shows when you have to transfer large files. It is not heated but use it inte"&amp;"nsively. And I shock resistant because I dropped to the ground once and still working properly. But no light to indicate that it is working or has stopped reading or writing data on, so you have to be careful. And always remove the memory safely.")</f>
        <v>It is quite fast and is not heated when using intensively This is a memory 128 GB with the plastic housing and USB 3.1 connector. Therefore it is compatible with any USB device (supports USB 3.0, 2.0 and 1.1). Has a size of 56.7 × 18 × 9 mm and is "plug and play", ie not need any driver to run correctly. While you're using can put the cap back to not miss. And it has been formatted in FAT32 which limits the size of files that can be transferred to 4 GB. If you want to transfer larger files you'll need to format it to NTFS or exFAT. I have not done because the files that step forth are smaller (basically documents, pictures and small videos to do with the phone). It has a nominal read and write speeds up to 400MB / s and up to 100 MB / s respectively. In practice memory it is a little slower but keep in mind that the transmission speed also depends on the other device. In any case, it is much faster than a USB 2.0 memory and it shows when you have to transfer large files. It is not heated but use it intensively. And I shock resistant because I dropped to the ground once and still working properly. But no light to indicate that it is working or has stopped reading or writing data on, so you have to be careful. And always remove the memory safely.</v>
      </c>
    </row>
    <row r="6561">
      <c r="A6561" s="1">
        <v>5.0</v>
      </c>
      <c r="B6561" s="1" t="s">
        <v>6516</v>
      </c>
      <c r="C6561" t="str">
        <f>IFERROR(__xludf.DUMMYFUNCTION("GOOGLETRANSLATE(B6561, ""es"", ""en"")"),"RECOMMENDABLE 100% are perfect, as the use for cycling in the gym in the photo, super comfortable !! and go great.")</f>
        <v>RECOMMENDABLE 100% are perfect, as the use for cycling in the gym in the photo, super comfortable !! and go great.</v>
      </c>
    </row>
    <row r="6562">
      <c r="A6562" s="1">
        <v>5.0</v>
      </c>
      <c r="B6562" s="1" t="s">
        <v>6517</v>
      </c>
      <c r="C6562" t="str">
        <f>IFERROR(__xludf.DUMMYFUNCTION("GOOGLETRANSLATE(B6562, ""es"", ""en"")"),"Good durability without many expectations bought these headphones as I like with cable. Are the first to have such (well, I bought others but offers usually have for 5 € ...) and I must say I have surprised. What worried me is that not last the sufficient"&amp;", I spend the day listening to music and need to last long for them not to load each snap. These last up to several days, depending on the operating hours that each. As for the sound to say that neither exceptional nor the best I've had but certainly fulf"&amp;"ill its function first and only what people will notice very start on the issue of sound. (For me, in fact, they sound very good). Buy recommended if you do not want to spend much money and not're a geek sound. For an average user.")</f>
        <v>Good durability without many expectations bought these headphones as I like with cable. Are the first to have such (well, I bought others but offers usually have for 5 € ...) and I must say I have surprised. What worried me is that not last the sufficient, I spend the day listening to music and need to last long for them not to load each snap. These last up to several days, depending on the operating hours that each. As for the sound to say that neither exceptional nor the best I've had but certainly fulfill its function first and only what people will notice very start on the issue of sound. (For me, in fact, they sound very good). Buy recommended if you do not want to spend much money and not're a geek sound. For an average user.</v>
      </c>
    </row>
    <row r="6563">
      <c r="A6563" s="1">
        <v>5.0</v>
      </c>
      <c r="B6563" s="1" t="s">
        <v>6518</v>
      </c>
      <c r="C6563" t="str">
        <f>IFERROR(__xludf.DUMMYFUNCTION("GOOGLETRANSLATE(B6563, ""es"", ""en"")"),"All right. Correct operation in bursts picture RAW, packaging and correct delivery term. They come with their individual cases. I will buy them if I need more capacity.")</f>
        <v>All right. Correct operation in bursts picture RAW, packaging and correct delivery term. They come with their individual cases. I will buy them if I need more capacity.</v>
      </c>
    </row>
    <row r="6564">
      <c r="A6564" s="1">
        <v>5.0</v>
      </c>
      <c r="B6564" s="1" t="s">
        <v>6519</v>
      </c>
      <c r="C6564" t="str">
        <f>IFERROR(__xludf.DUMMYFUNCTION("GOOGLETRANSLATE(B6564, ""es"", ""en"")"),"Good good vacuum cleaner. It has suction power and convenience when working do it.")</f>
        <v>Good good vacuum cleaner. It has suction power and convenience when working do it.</v>
      </c>
    </row>
    <row r="6565">
      <c r="A6565" s="1">
        <v>5.0</v>
      </c>
      <c r="B6565" s="1" t="s">
        <v>6520</v>
      </c>
      <c r="C6565" t="str">
        <f>IFERROR(__xludf.DUMMYFUNCTION("GOOGLETRANSLATE(B6565, ""es"", ""en"")"),"Very good quality and very warm. Shirt very good quality. It is very hot used for what is, as a first layer. Worth if it is to be used in cold temperatures. Not 100% merino wool, but still very warm and perspires to time better than others that have 100% "&amp;"merino wool. I recommend it.")</f>
        <v>Very good quality and very warm. Shirt very good quality. It is very hot used for what is, as a first layer. Worth if it is to be used in cold temperatures. Not 100% merino wool, but still very warm and perspires to time better than others that have 100% merino wool. I recommend it.</v>
      </c>
    </row>
    <row r="6566">
      <c r="A6566" s="1">
        <v>5.0</v>
      </c>
      <c r="B6566" s="1" t="s">
        <v>6521</v>
      </c>
      <c r="C6566" t="str">
        <f>IFERROR(__xludf.DUMMYFUNCTION("GOOGLETRANSLATE(B6566, ""es"", ""en"")"),"Screen with good brightness and good color bracelet offers everything. Xiaomi had miband and bought this because miband looks pretty bad in summer. However, in this light it is more powerful (can be adjusted) and is also a color (see the last picture comp"&amp;"arison). It has all modes of exercise I do and has quite accurately.")</f>
        <v>Screen with good brightness and good color bracelet offers everything. Xiaomi had miband and bought this because miband looks pretty bad in summer. However, in this light it is more powerful (can be adjusted) and is also a color (see the last picture comparison). It has all modes of exercise I do and has quite accurately.</v>
      </c>
    </row>
    <row r="6567">
      <c r="A6567" s="1">
        <v>5.0</v>
      </c>
      <c r="B6567" s="1" t="s">
        <v>6522</v>
      </c>
      <c r="C6567" t="str">
        <f>IFERROR(__xludf.DUMMYFUNCTION("GOOGLETRANSLATE(B6567, ""es"", ""en"")"),"Value sweatshirt well")</f>
        <v>Value sweatshirt well</v>
      </c>
    </row>
    <row r="6568">
      <c r="A6568" s="1">
        <v>5.0</v>
      </c>
      <c r="B6568" s="1" t="s">
        <v>6523</v>
      </c>
      <c r="C6568" t="str">
        <f>IFERROR(__xludf.DUMMYFUNCTION("GOOGLETRANSLATE(B6568, ""es"", ""en"")"),"very ergonomic shape very ergonomic and easy to clean. Although cereal teat is too big, my baby is 6 Mees and a half and still can not use as chokes")</f>
        <v>very ergonomic shape very ergonomic and easy to clean. Although cereal teat is too big, my baby is 6 Mees and a half and still can not use as chokes</v>
      </c>
    </row>
    <row r="6569">
      <c r="A6569" s="1">
        <v>5.0</v>
      </c>
      <c r="B6569" s="1" t="s">
        <v>6524</v>
      </c>
      <c r="C6569" t="str">
        <f>IFERROR(__xludf.DUMMYFUNCTION("GOOGLETRANSLATE(B6569, ""es"", ""en"")"),"slate Good")</f>
        <v>slate Good</v>
      </c>
    </row>
    <row r="6570">
      <c r="A6570" s="1">
        <v>5.0</v>
      </c>
      <c r="B6570" s="1" t="s">
        <v>6525</v>
      </c>
      <c r="C6570" t="str">
        <f>IFERROR(__xludf.DUMMYFUNCTION("GOOGLETRANSLATE(B6570, ""es"", ""en"")"),"The best brand The intrudir buy milk for my son cereals. If you miss too many plugs cereals. Cojerle is the point. It goes very well")</f>
        <v>The best brand The intrudir buy milk for my son cereals. If you miss too many plugs cereals. Cojerle is the point. It goes very well</v>
      </c>
    </row>
    <row r="6571">
      <c r="A6571" s="1">
        <v>5.0</v>
      </c>
      <c r="B6571" s="1" t="s">
        <v>6526</v>
      </c>
      <c r="C6571" t="str">
        <f>IFERROR(__xludf.DUMMYFUNCTION("GOOGLETRANSLATE(B6571, ""es"", ""en"")"),"Works as expected, the rate would be moot. By putting a couple of downsides I have not been able to reach the promised speed reading the writing connect to USB 3.0. Is so small that it is easy to lose, not if I is an advantage or a disadvantage. Made the "&amp;"actual metal alloy, it is not painted plastic. Sending by Amazon, perfect, as always.")</f>
        <v>Works as expected, the rate would be moot. By putting a couple of downsides I have not been able to reach the promised speed reading the writing connect to USB 3.0. Is so small that it is easy to lose, not if I is an advantage or a disadvantage. Made the actual metal alloy, it is not painted plastic. Sending by Amazon, perfect, as always.</v>
      </c>
    </row>
    <row r="6572">
      <c r="A6572" s="1">
        <v>5.0</v>
      </c>
      <c r="B6572" s="1" t="s">
        <v>6527</v>
      </c>
      <c r="C6572" t="str">
        <f>IFERROR(__xludf.DUMMYFUNCTION("GOOGLETRANSLATE(B6572, ""es"", ""en"")"),"Very good product I liked for the price it makes a good function, convenient to use and handle and takes up little space, to take one but I will say that when you put the lid on the cup to drink you have to put your mouth wide to that will not stain, but "&amp;"doing so perfect")</f>
        <v>Very good product I liked for the price it makes a good function, convenient to use and handle and takes up little space, to take one but I will say that when you put the lid on the cup to drink you have to put your mouth wide to that will not stain, but doing so perfect</v>
      </c>
    </row>
    <row r="6573">
      <c r="A6573" s="1">
        <v>5.0</v>
      </c>
      <c r="B6573" s="1" t="s">
        <v>6528</v>
      </c>
      <c r="C6573" t="str">
        <f>IFERROR(__xludf.DUMMYFUNCTION("GOOGLETRANSLATE(B6573, ""es"", ""en"")"),"Q can take it home and everyone does their function q What are comfortable while you're home doing things.")</f>
        <v>Q can take it home and everyone does their function q What are comfortable while you're home doing things.</v>
      </c>
    </row>
    <row r="6574">
      <c r="A6574" s="1">
        <v>5.0</v>
      </c>
      <c r="B6574" s="1" t="s">
        <v>5506</v>
      </c>
      <c r="C6574" t="str">
        <f>IFERROR(__xludf.DUMMYFUNCTION("GOOGLETRANSLATE(B6574, ""es"", ""en"")"),"OK, everything's fine")</f>
        <v>OK, everything's fine</v>
      </c>
    </row>
    <row r="6575">
      <c r="A6575" s="1">
        <v>5.0</v>
      </c>
      <c r="B6575" s="1" t="s">
        <v>6529</v>
      </c>
      <c r="C6575" t="str">
        <f>IFERROR(__xludf.DUMMYFUNCTION("GOOGLETRANSLATE(B6575, ""es"", ""en"")"),"very good transfer speed holds perfectly (although the autoradio not fail), but appreciated a lot when it comes to load music on it. In terms of temperature resistance, something we should not ignore if we are to use it for this purpose, is the first to f"&amp;"ind that: a) is not heated even if it takes hours connected to the computer b) has withstood the temperatures reached inside a vehicle parked in the sun. Others used before marring frequently. And for the price it is being 64Gb ... is a gift")</f>
        <v>very good transfer speed holds perfectly (although the autoradio not fail), but appreciated a lot when it comes to load music on it. In terms of temperature resistance, something we should not ignore if we are to use it for this purpose, is the first to find that: a) is not heated even if it takes hours connected to the computer b) has withstood the temperatures reached inside a vehicle parked in the sun. Others used before marring frequently. And for the price it is being 64Gb ... is a gift</v>
      </c>
    </row>
    <row r="6576">
      <c r="A6576" s="1">
        <v>5.0</v>
      </c>
      <c r="B6576" s="1" t="s">
        <v>6530</v>
      </c>
      <c r="C6576" t="str">
        <f>IFERROR(__xludf.DUMMYFUNCTION("GOOGLETRANSLATE(B6576, ""es"", ""en"")"),"Life is more pleasant in a nice box, there are 12 different aromas. Smell good, relax, keep buying ... Thank you for making life more enjoyable ...")</f>
        <v>Life is more pleasant in a nice box, there are 12 different aromas. Smell good, relax, keep buying ... Thank you for making life more enjoyable ...</v>
      </c>
    </row>
    <row r="6577">
      <c r="A6577" s="1">
        <v>5.0</v>
      </c>
      <c r="B6577" s="1" t="s">
        <v>6531</v>
      </c>
      <c r="C6577" t="str">
        <f>IFERROR(__xludf.DUMMYFUNCTION("GOOGLETRANSLATE(B6577, ""es"", ""en"")"),"One more gift. I bought it to give to my daughter of 17 years. From the look elegant and discreet I found for her, I was right, he likes me. Wine in a beautiful presentation and have a good finish.")</f>
        <v>One more gift. I bought it to give to my daughter of 17 years. From the look elegant and discreet I found for her, I was right, he likes me. Wine in a beautiful presentation and have a good finish.</v>
      </c>
    </row>
    <row r="6578">
      <c r="A6578" s="1">
        <v>5.0</v>
      </c>
      <c r="B6578" s="1" t="s">
        <v>6532</v>
      </c>
      <c r="C6578" t="str">
        <f>IFERROR(__xludf.DUMMYFUNCTION("GOOGLETRANSLATE(B6578, ""es"", ""en"")"),"Very good product presentation and appearance of components, meets everything advertised, product highly recommended especially for people who install it in transparent boxes.")</f>
        <v>Very good product presentation and appearance of components, meets everything advertised, product highly recommended especially for people who install it in transparent boxes.</v>
      </c>
    </row>
    <row r="6579">
      <c r="A6579" s="1">
        <v>5.0</v>
      </c>
      <c r="B6579" s="1" t="s">
        <v>6533</v>
      </c>
      <c r="C6579" t="str">
        <f>IFERROR(__xludf.DUMMYFUNCTION("GOOGLETRANSLATE(B6579, ""es"", ""en"")"),"Good quality good quality")</f>
        <v>Good quality good quality</v>
      </c>
    </row>
    <row r="6580">
      <c r="A6580" s="1">
        <v>2.0</v>
      </c>
      <c r="B6580" s="1" t="s">
        <v>6534</v>
      </c>
      <c r="C6580" t="str">
        <f>IFERROR(__xludf.DUMMYFUNCTION("GOOGLETRANSLATE(B6580, ""es"", ""en"")"),"Disillusioned The shoes are very nice. I requested size is correct and I look good but I squeezed over. It never happened to me with any other shoe. That's why I'm disappointed.")</f>
        <v>Disillusioned The shoes are very nice. I requested size is correct and I look good but I squeezed over. It never happened to me with any other shoe. That's why I'm disappointed.</v>
      </c>
    </row>
    <row r="6581">
      <c r="A6581" s="1">
        <v>3.0</v>
      </c>
      <c r="B6581" s="1" t="s">
        <v>6535</v>
      </c>
      <c r="C6581" t="str">
        <f>IFERROR(__xludf.DUMMYFUNCTION("GOOGLETRANSLATE(B6581, ""es"", ""en"")"),"Surprise in the same issue I have a problem with these shoes, my son and has some old and so are the number 41 1/3; because I asked the same model and the same number and I find that you are big you have left over at the least one number not understand wh"&amp;"at happens I think it might be wrong numbered Always use the same shoes for that was shocked, truth is that always bought El Corte Ingles")</f>
        <v>Surprise in the same issue I have a problem with these shoes, my son and has some old and so are the number 41 1/3; because I asked the same model and the same number and I find that you are big you have left over at the least one number not understand what happens I think it might be wrong numbered Always use the same shoes for that was shocked, truth is that always bought El Corte Ingles</v>
      </c>
    </row>
    <row r="6582">
      <c r="A6582" s="1">
        <v>3.0</v>
      </c>
      <c r="B6582" s="1" t="s">
        <v>6536</v>
      </c>
      <c r="C6582" t="str">
        <f>IFERROR(__xludf.DUMMYFUNCTION("GOOGLETRANSLATE(B6582, ""es"", ""en"")"),"are not strong Extra others had bought another brand and were much stronger and durable. The truth is that I have been tested and have been rather spoiled (not as easy as the senzillos, but faster than the really strong)")</f>
        <v>are not strong Extra others had bought another brand and were much stronger and durable. The truth is that I have been tested and have been rather spoiled (not as easy as the senzillos, but faster than the really strong)</v>
      </c>
    </row>
    <row r="6583">
      <c r="A6583" s="1">
        <v>1.0</v>
      </c>
      <c r="B6583" s="1" t="s">
        <v>6537</v>
      </c>
      <c r="C6583" t="str">
        <f>IFERROR(__xludf.DUMMYFUNCTION("GOOGLETRANSLATE(B6583, ""es"", ""en"")"),"Poor quality was an broken me at once, and lasted an average year.")</f>
        <v>Poor quality was an broken me at once, and lasted an average year.</v>
      </c>
    </row>
    <row r="6584">
      <c r="A6584" s="1">
        <v>1.0</v>
      </c>
      <c r="B6584" s="1" t="s">
        <v>6538</v>
      </c>
      <c r="C6584" t="str">
        <f>IFERROR(__xludf.DUMMYFUNCTION("GOOGLETRANSLATE(B6584, ""es"", ""en"")"),"Close evil opens the closure is opened and fall all have had hanging stick with glue")</f>
        <v>Close evil opens the closure is opened and fall all have had hanging stick with glue</v>
      </c>
    </row>
    <row r="6585">
      <c r="A6585" s="1">
        <v>1.0</v>
      </c>
      <c r="B6585" s="1" t="s">
        <v>6539</v>
      </c>
      <c r="C6585" t="str">
        <f>IFERROR(__xludf.DUMMYFUNCTION("GOOGLETRANSLATE(B6585, ""es"", ""en"")"),"Alberto Laserna Villa I bought it back yesterday and today. The belt is broken, three cracks, so understand that the material is of very poor quality.")</f>
        <v>Alberto Laserna Villa I bought it back yesterday and today. The belt is broken, three cracks, so understand that the material is of very poor quality.</v>
      </c>
    </row>
    <row r="6586">
      <c r="A6586" s="1">
        <v>4.0</v>
      </c>
      <c r="B6586" s="1" t="s">
        <v>6540</v>
      </c>
      <c r="C6586" t="str">
        <f>IFERROR(__xludf.DUMMYFUNCTION("GOOGLETRANSLATE(B6586, ""es"", ""en"")"),"All good sneakers are perfect")</f>
        <v>All good sneakers are perfect</v>
      </c>
    </row>
    <row r="6587">
      <c r="A6587" s="1">
        <v>4.0</v>
      </c>
      <c r="B6587" s="1" t="s">
        <v>6541</v>
      </c>
      <c r="C6587" t="str">
        <f>IFERROR(__xludf.DUMMYFUNCTION("GOOGLETRANSLATE(B6587, ""es"", ""en"")"),"Very good very good for back pain and minor works for gardening.")</f>
        <v>Very good very good for back pain and minor works for gardening.</v>
      </c>
    </row>
    <row r="6588">
      <c r="A6588" s="1">
        <v>4.0</v>
      </c>
      <c r="B6588" s="1" t="s">
        <v>6542</v>
      </c>
      <c r="C6588" t="str">
        <f>IFERROR(__xludf.DUMMYFUNCTION("GOOGLETRANSLATE(B6588, ""es"", ""en"")"),"Complies with offered")</f>
        <v>Complies with offered</v>
      </c>
    </row>
    <row r="6589">
      <c r="A6589" s="1">
        <v>4.0</v>
      </c>
      <c r="B6589" s="1" t="s">
        <v>6543</v>
      </c>
      <c r="C6589" t="str">
        <f>IFERROR(__xludf.DUMMYFUNCTION("GOOGLETRANSLATE(B6589, ""es"", ""en"")"),"Better than you expect. It truly has amply met my expectations. Robust, well finished and striking. Satisfied with your purchase and better than shown on the web.")</f>
        <v>Better than you expect. It truly has amply met my expectations. Robust, well finished and striking. Satisfied with your purchase and better than shown on the web.</v>
      </c>
    </row>
    <row r="6590">
      <c r="A6590" s="1">
        <v>4.0</v>
      </c>
      <c r="B6590" s="1" t="s">
        <v>6544</v>
      </c>
      <c r="C6590" t="str">
        <f>IFERROR(__xludf.DUMMYFUNCTION("GOOGLETRANSLATE(B6590, ""es"", ""en"")"),"It used for what it is. After so many years without using cassette tapes of music, almost forgotten for lack of use and the years they have searching the internet I saw device this and I decided to buy it to move old tapes that there are still at home and"&amp;" that they bring me good memories. Box Contents converter with corresponding headphones in black, batteries not included and brings transformer to connect it to light. The design is cool is modern, its weight is almost about 300 grams quite heavier than a"&amp;" mobile, it started is easy you put two batteries of the type AA and we put the cassette or tape you want to copy and USB where we to copy the music. Say can be used to also play music or listen to music from USB, it's a shame not to bring to listen to th"&amp;"e radio and that could be charged by USB and not have to carry batteries. We can connect a small external speaker if you do not want to put helmets.")</f>
        <v>It used for what it is. After so many years without using cassette tapes of music, almost forgotten for lack of use and the years they have searching the internet I saw device this and I decided to buy it to move old tapes that there are still at home and that they bring me good memories. Box Contents converter with corresponding headphones in black, batteries not included and brings transformer to connect it to light. The design is cool is modern, its weight is almost about 300 grams quite heavier than a mobile, it started is easy you put two batteries of the type AA and we put the cassette or tape you want to copy and USB where we to copy the music. Say can be used to also play music or listen to music from USB, it's a shame not to bring to listen to the radio and that could be charged by USB and not have to carry batteries. We can connect a small external speaker if you do not want to put helmets.</v>
      </c>
    </row>
    <row r="6591">
      <c r="A6591" s="1">
        <v>5.0</v>
      </c>
      <c r="B6591" s="1" t="s">
        <v>6545</v>
      </c>
      <c r="C6591" t="str">
        <f>IFERROR(__xludf.DUMMYFUNCTION("GOOGLETRANSLATE(B6591, ""es"", ""en"")"),"Great After 2 weeks using it every day we are very happy with the product. Temperature control is super handy, boil water very fast and the design is very elegant. A great buy")</f>
        <v>Great After 2 weeks using it every day we are very happy with the product. Temperature control is super handy, boil water very fast and the design is very elegant. A great buy</v>
      </c>
    </row>
    <row r="6592">
      <c r="A6592" s="1">
        <v>5.0</v>
      </c>
      <c r="B6592" s="1" t="s">
        <v>6546</v>
      </c>
      <c r="C6592" t="str">
        <f>IFERROR(__xludf.DUMMYFUNCTION("GOOGLETRANSLATE(B6592, ""es"", ""en"")"),"Comfortable and stylish A good buy; blank box with matching; recharge in your own transport box, the load is via micro USB cable and very long battery life; isolated from the external sound and do not fall although use in synchronizing movement Easy")</f>
        <v>Comfortable and stylish A good buy; blank box with matching; recharge in your own transport box, the load is via micro USB cable and very long battery life; isolated from the external sound and do not fall although use in synchronizing movement Easy</v>
      </c>
    </row>
    <row r="6593">
      <c r="A6593" s="1">
        <v>5.0</v>
      </c>
      <c r="B6593" s="1" t="s">
        <v>6547</v>
      </c>
      <c r="C6593" t="str">
        <f>IFERROR(__xludf.DUMMYFUNCTION("GOOGLETRANSLATE(B6593, ""es"", ""en"")"),"I recommend are the same as you come with the Samsung s8 plus")</f>
        <v>I recommend are the same as you come with the Samsung s8 plus</v>
      </c>
    </row>
    <row r="6594">
      <c r="A6594" s="1">
        <v>5.0</v>
      </c>
      <c r="B6594" s="1" t="s">
        <v>6548</v>
      </c>
      <c r="C6594" t="str">
        <f>IFERROR(__xludf.DUMMYFUNCTION("GOOGLETRANSLATE(B6594, ""es"", ""en"")"),"Bottles of the best there is. Good quality, beautiful, practical ... they have it all. Buy them for months now and still as new, the wash in the dishwasher and put up great.")</f>
        <v>Bottles of the best there is. Good quality, beautiful, practical ... they have it all. Buy them for months now and still as new, the wash in the dishwasher and put up great.</v>
      </c>
    </row>
    <row r="6595">
      <c r="A6595" s="1">
        <v>5.0</v>
      </c>
      <c r="B6595" s="1" t="s">
        <v>6549</v>
      </c>
      <c r="C6595" t="str">
        <f>IFERROR(__xludf.DUMMYFUNCTION("GOOGLETRANSLATE(B6595, ""es"", ""en"")"),"I love. Skin looks and you have what I need. I love. Skin looks and has all the gaps that need: keys commonly used in lower front pocket, keys use less common in the upper and mouse to my Surface. And inside, the Surface (or iPad) 10 ""on the inner bag, m"&amp;"ulti charger inside small pocket, charging cables on the other inner small pocket, bag with drugs in the lower large pocket. And the rest of space for portagafas. I do not need more.")</f>
        <v>I love. Skin looks and you have what I need. I love. Skin looks and has all the gaps that need: keys commonly used in lower front pocket, keys use less common in the upper and mouse to my Surface. And inside, the Surface (or iPad) 10 "on the inner bag, multi charger inside small pocket, charging cables on the other inner small pocket, bag with drugs in the lower large pocket. And the rest of space for portagafas. I do not need more.</v>
      </c>
    </row>
    <row r="6596">
      <c r="A6596" s="1">
        <v>5.0</v>
      </c>
      <c r="B6596" s="1" t="s">
        <v>6550</v>
      </c>
      <c r="C6596" t="str">
        <f>IFERROR(__xludf.DUMMYFUNCTION("GOOGLETRANSLATE(B6596, ""es"", ""en"")"),"Excellent ergonomic for its ergonomics, ease of use. ideal for working at home and in the office. EASY TO HANDLE")</f>
        <v>Excellent ergonomic for its ergonomics, ease of use. ideal for working at home and in the office. EASY TO HANDLE</v>
      </c>
    </row>
    <row r="6597">
      <c r="A6597" s="1">
        <v>5.0</v>
      </c>
      <c r="B6597" s="1" t="s">
        <v>6551</v>
      </c>
      <c r="C6597" t="str">
        <f>IFERROR(__xludf.DUMMYFUNCTION("GOOGLETRANSLATE(B6597, ""es"", ""en"")"),"Perfect and very fresh !!! My wife bought it for her, and she is the opinion. Apart from the issue of carving Joma (I use a S normally and this shirt have to order a L) and the terrific quality fabric and is super nice and cool for the summer. I have more"&amp;" than other colors. I definitely repeat purchase.")</f>
        <v>Perfect and very fresh !!! My wife bought it for her, and she is the opinion. Apart from the issue of carving Joma (I use a S normally and this shirt have to order a L) and the terrific quality fabric and is super nice and cool for the summer. I have more than other colors. I definitely repeat purchase.</v>
      </c>
    </row>
    <row r="6598">
      <c r="A6598" s="1">
        <v>5.0</v>
      </c>
      <c r="B6598" s="1" t="s">
        <v>6552</v>
      </c>
      <c r="C6598" t="str">
        <f>IFERROR(__xludf.DUMMYFUNCTION("GOOGLETRANSLATE(B6598, ""es"", ""en"")"),"Great just great!")</f>
        <v>Great just great!</v>
      </c>
    </row>
    <row r="6599">
      <c r="A6599" s="1">
        <v>5.0</v>
      </c>
      <c r="B6599" s="1" t="s">
        <v>6553</v>
      </c>
      <c r="C6599" t="str">
        <f>IFERROR(__xludf.DUMMYFUNCTION("GOOGLETRANSLATE(B6599, ""es"", ""en"")"),"Recommended are very comfortable, I only use 43 and 42 would have been better")</f>
        <v>Recommended are very comfortable, I only use 43 and 42 would have been better</v>
      </c>
    </row>
    <row r="6600">
      <c r="A6600" s="1">
        <v>5.0</v>
      </c>
      <c r="B6600" s="1" t="s">
        <v>6554</v>
      </c>
      <c r="C6600" t="str">
        <f>IFERROR(__xludf.DUMMYFUNCTION("GOOGLETRANSLATE(B6600, ""es"", ""en"")"),"Very good prendrive Pendrive large capacity too small to save anywhere. At the beginning was a mistake as it was packed, but the format it worked perfectly.")</f>
        <v>Very good prendrive Pendrive large capacity too small to save anywhere. At the beginning was a mistake as it was packed, but the format it worked perfectly.</v>
      </c>
    </row>
    <row r="6601">
      <c r="A6601" s="1">
        <v>5.0</v>
      </c>
      <c r="B6601" s="1" t="s">
        <v>6555</v>
      </c>
      <c r="C6601" t="str">
        <f>IFERROR(__xludf.DUMMYFUNCTION("GOOGLETRANSLATE(B6601, ""es"", ""en"")"),"Good quality is a product that must be discovered now. I bought this model easy to apply with a brush in certain arrangements. The price is more or less like in other shops")</f>
        <v>Good quality is a product that must be discovered now. I bought this model easy to apply with a brush in certain arrangements. The price is more or less like in other shops</v>
      </c>
    </row>
    <row r="6602">
      <c r="A6602" s="1">
        <v>5.0</v>
      </c>
      <c r="B6602" s="1" t="s">
        <v>6556</v>
      </c>
      <c r="C6602" t="str">
        <f>IFERROR(__xludf.DUMMYFUNCTION("GOOGLETRANSLATE(B6602, ""es"", ""en"")"),"Durability Nutribullet do not know .... is good quality, I use to grind food shakes and my baby and the truth that well")</f>
        <v>Durability Nutribullet do not know .... is good quality, I use to grind food shakes and my baby and the truth that well</v>
      </c>
    </row>
    <row r="6603">
      <c r="A6603" s="1">
        <v>5.0</v>
      </c>
      <c r="B6603" s="1" t="s">
        <v>6557</v>
      </c>
      <c r="C6603" t="str">
        <f>IFERROR(__xludf.DUMMYFUNCTION("GOOGLETRANSLATE(B6603, ""es"", ""en"")"),"Perfect Very comfortable")</f>
        <v>Perfect Very comfortable</v>
      </c>
    </row>
    <row r="6604">
      <c r="A6604" s="1">
        <v>5.0</v>
      </c>
      <c r="B6604" s="1" t="s">
        <v>6558</v>
      </c>
      <c r="C6604" t="str">
        <f>IFERROR(__xludf.DUMMYFUNCTION("GOOGLETRANSLATE(B6604, ""es"", ""en"")"),"Excellent Excellent workmanship and materials. Great power and capacity regulation including turbo speed function. highly recommendable article.")</f>
        <v>Excellent Excellent workmanship and materials. Great power and capacity regulation including turbo speed function. highly recommendable article.</v>
      </c>
    </row>
    <row r="6605">
      <c r="A6605" s="1">
        <v>5.0</v>
      </c>
      <c r="B6605" s="1" t="s">
        <v>6559</v>
      </c>
      <c r="C6605" t="str">
        <f>IFERROR(__xludf.DUMMYFUNCTION("GOOGLETRANSLATE(B6605, ""es"", ""en"")"),"I arrive in good Perfect condition")</f>
        <v>I arrive in good Perfect condition</v>
      </c>
    </row>
    <row r="6606">
      <c r="A6606" s="1">
        <v>5.0</v>
      </c>
      <c r="B6606" s="1" t="s">
        <v>6560</v>
      </c>
      <c r="C6606" t="str">
        <f>IFERROR(__xludf.DUMMYFUNCTION("GOOGLETRANSLATE(B6606, ""es"", ""en"")"),"WATCH CITIZEN ME arrived very quickly FROM ITALY IN THREE DAYS AND ADDITION VENIA IN A BOTTLE DIVE PLASTIC BIG ENOUGH NOT SHOWN IN THE PHOTOS, THE PACKAGE IS BETTER THAN ME AN SENT FROM PURCHASER IN AMAZON VERY currado AND THE WARRANTY SEALED AND CARD CIT"&amp;"IZEN MORE MANUAL FROM A RELOJERIA ROME, THE CLOCK I thought I was bigger BUT ALSO VERY LIGHT AND DETAIL OF WHICH CAN SEE THE HOUR ALL NIGHT IS OK, I stalk A scooping LA NOTO AFTER SOME LOOSE BUT REMAINS place it back tight.")</f>
        <v>WATCH CITIZEN ME arrived very quickly FROM ITALY IN THREE DAYS AND ADDITION VENIA IN A BOTTLE DIVE PLASTIC BIG ENOUGH NOT SHOWN IN THE PHOTOS, THE PACKAGE IS BETTER THAN ME AN SENT FROM PURCHASER IN AMAZON VERY currado AND THE WARRANTY SEALED AND CARD CITIZEN MORE MANUAL FROM A RELOJERIA ROME, THE CLOCK I thought I was bigger BUT ALSO VERY LIGHT AND DETAIL OF WHICH CAN SEE THE HOUR ALL NIGHT IS OK, I stalk A scooping LA NOTO AFTER SOME LOOSE BUT REMAINS place it back tight.</v>
      </c>
    </row>
    <row r="6607">
      <c r="A6607" s="1">
        <v>5.0</v>
      </c>
      <c r="B6607" s="1" t="s">
        <v>6561</v>
      </c>
      <c r="C6607" t="str">
        <f>IFERROR(__xludf.DUMMYFUNCTION("GOOGLETRANSLATE(B6607, ""es"", ""en"")"),"Comodo is comfortable and the main thing, the hard beteria and necessary. In others I've had the battery did not last anything and precisi'n left much to be desired.")</f>
        <v>Comodo is comfortable and the main thing, the hard beteria and necessary. In others I've had the battery did not last anything and precisi'n left much to be desired.</v>
      </c>
    </row>
    <row r="6608">
      <c r="A6608" s="1">
        <v>5.0</v>
      </c>
      <c r="B6608" s="1" t="s">
        <v>6562</v>
      </c>
      <c r="C6608" t="str">
        <f>IFERROR(__xludf.DUMMYFUNCTION("GOOGLETRANSLATE(B6608, ""es"", ""en"")"),"Perfect Perfect. Price / fantastic price.")</f>
        <v>Perfect Perfect. Price / fantastic price.</v>
      </c>
    </row>
    <row r="6609">
      <c r="A6609" s="1">
        <v>5.0</v>
      </c>
      <c r="B6609" s="1" t="s">
        <v>6563</v>
      </c>
      <c r="C6609" t="str">
        <f>IFERROR(__xludf.DUMMYFUNCTION("GOOGLETRANSLATE(B6609, ""es"", ""en"")"),"perfectly fulfills its function at first glance it seems that the tube is a bit tight, but it is not. It goes very well and the final look is very elegant. I bought a transparent and looks good. Recommendable. Adjusted Price.")</f>
        <v>perfectly fulfills its function at first glance it seems that the tube is a bit tight, but it is not. It goes very well and the final look is very elegant. I bought a transparent and looks good. Recommendable. Adjusted Price.</v>
      </c>
    </row>
    <row r="6610">
      <c r="A6610" s="1">
        <v>2.0</v>
      </c>
      <c r="B6610" s="1" t="s">
        <v>6564</v>
      </c>
      <c r="C6610" t="str">
        <f>IFERROR(__xludf.DUMMYFUNCTION("GOOGLETRANSLATE(B6610, ""es"", ""en"")"),"Small The sizing is very small")</f>
        <v>Small The sizing is very small</v>
      </c>
    </row>
    <row r="6611">
      <c r="A6611" s="1">
        <v>3.0</v>
      </c>
      <c r="B6611" s="1" t="s">
        <v>6565</v>
      </c>
      <c r="C6611" t="str">
        <f>IFERROR(__xludf.DUMMYFUNCTION("GOOGLETRANSLATE(B6611, ""es"", ""en"")"),"They are good, very nontransparent Well")</f>
        <v>They are good, very nontransparent Well</v>
      </c>
    </row>
    <row r="6612">
      <c r="A6612" s="1">
        <v>3.0</v>
      </c>
      <c r="B6612" s="1" t="s">
        <v>6566</v>
      </c>
      <c r="C6612" t="str">
        <f>IFERROR(__xludf.DUMMYFUNCTION("GOOGLETRANSLATE(B6612, ""es"", ""en"")"),"Oil smells you get your hands smell of oil a good time, and article for which I have used the same. But does the job")</f>
        <v>Oil smells you get your hands smell of oil a good time, and article for which I have used the same. But does the job</v>
      </c>
    </row>
    <row r="6613">
      <c r="A6613" s="1">
        <v>1.0</v>
      </c>
      <c r="B6613" s="1" t="s">
        <v>6567</v>
      </c>
      <c r="C6613" t="str">
        <f>IFERROR(__xludf.DUMMYFUNCTION("GOOGLETRANSLATE(B6613, ""es"", ""en"")"),"Evil has nothing to do with the photo! The pants are very wide and does not get spent ankle! Let's not worth buying")</f>
        <v>Evil has nothing to do with the photo! The pants are very wide and does not get spent ankle! Let's not worth buying</v>
      </c>
    </row>
    <row r="6614">
      <c r="A6614" s="1">
        <v>1.0</v>
      </c>
      <c r="B6614" s="1" t="s">
        <v>6568</v>
      </c>
      <c r="C6614" t="str">
        <f>IFERROR(__xludf.DUMMYFUNCTION("GOOGLETRANSLATE(B6614, ""es"", ""en"")"),"I arrived nor try seen comments from other users my case is no different. I come not to use it, was connected to the power, give the button and it didnt work. 22/11/2018: I talked to Amazon and I changed it with no problem, I'm using from time to time and"&amp;" at the moment I work well, I hope I last as long as possible this time")</f>
        <v>I arrived nor try seen comments from other users my case is no different. I come not to use it, was connected to the power, give the button and it didnt work. 22/11/2018: I talked to Amazon and I changed it with no problem, I'm using from time to time and at the moment I work well, I hope I last as long as possible this time</v>
      </c>
    </row>
    <row r="6615">
      <c r="A6615" s="1">
        <v>4.0</v>
      </c>
      <c r="B6615" s="1" t="s">
        <v>6569</v>
      </c>
      <c r="C6615" t="str">
        <f>IFERROR(__xludf.DUMMYFUNCTION("GOOGLETRANSLATE(B6615, ""es"", ""en"")"),"Really protect you from fraud, using the chip with any data-phone. I like that it is finite, that has the metal shield inside, I like the color and looks practical. Would improve in its opening, making such shorter than the other side, it costs a little o"&amp;"pen to wanting to get the card. For the all very good.")</f>
        <v>Really protect you from fraud, using the chip with any data-phone. I like that it is finite, that has the metal shield inside, I like the color and looks practical. Would improve in its opening, making such shorter than the other side, it costs a little open to wanting to get the card. For the all very good.</v>
      </c>
    </row>
    <row r="6616">
      <c r="A6616" s="1">
        <v>4.0</v>
      </c>
      <c r="B6616" s="1" t="s">
        <v>6570</v>
      </c>
      <c r="C6616" t="str">
        <f>IFERROR(__xludf.DUMMYFUNCTION("GOOGLETRANSLATE(B6616, ""es"", ""en"")"),"Little Man is smaller than I thought and it was before. Yet it is well designed and laid out, I fit better things and not bother. I still have room for something else if I need. Many compartments, well thought out. Only one, but could be better strap is n"&amp;"ot very comfortable, but does not disturb.")</f>
        <v>Little Man is smaller than I thought and it was before. Yet it is well designed and laid out, I fit better things and not bother. I still have room for something else if I need. Many compartments, well thought out. Only one, but could be better strap is not very comfortable, but does not disturb.</v>
      </c>
    </row>
    <row r="6617">
      <c r="A6617" s="1">
        <v>4.0</v>
      </c>
      <c r="B6617" s="1" t="s">
        <v>6571</v>
      </c>
      <c r="C6617" t="str">
        <f>IFERROR(__xludf.DUMMYFUNCTION("GOOGLETRANSLATE(B6617, ""es"", ""en"")"),"Nice and comfortable. They are comfortable Lycra type normal size. Are black and color line gives a touch. They are comfortable for sports.")</f>
        <v>Nice and comfortable. They are comfortable Lycra type normal size. Are black and color line gives a touch. They are comfortable for sports.</v>
      </c>
    </row>
    <row r="6618">
      <c r="A6618" s="1">
        <v>4.0</v>
      </c>
      <c r="B6618" s="1" t="s">
        <v>6572</v>
      </c>
      <c r="C6618" t="str">
        <f>IFERROR(__xludf.DUMMYFUNCTION("GOOGLETRANSLATE(B6618, ""es"", ""en"")"),"Everything just right as seen in the photo.")</f>
        <v>Everything just right as seen in the photo.</v>
      </c>
    </row>
    <row r="6619">
      <c r="A6619" s="1">
        <v>5.0</v>
      </c>
      <c r="B6619" s="1" t="s">
        <v>6573</v>
      </c>
      <c r="C6619" t="str">
        <f>IFERROR(__xludf.DUMMYFUNCTION("GOOGLETRANSLATE(B6619, ""es"", ""en"")"),"Just what I expected I'll come for her locker at one point and it was really what I expected, I asked my number 43 and this perfect.")</f>
        <v>Just what I expected I'll come for her locker at one point and it was really what I expected, I asked my number 43 and this perfect.</v>
      </c>
    </row>
    <row r="6620">
      <c r="A6620" s="1">
        <v>5.0</v>
      </c>
      <c r="B6620" s="1" t="s">
        <v>6574</v>
      </c>
      <c r="C6620" t="str">
        <f>IFERROR(__xludf.DUMMYFUNCTION("GOOGLETRANSLATE(B6620, ""es"", ""en"")"),"Better than expected Very well packaged. nice color (orange caught) and well finished fabric. Weighs a little for my taste, but overall I'm happy.")</f>
        <v>Better than expected Very well packaged. nice color (orange caught) and well finished fabric. Weighs a little for my taste, but overall I'm happy.</v>
      </c>
    </row>
    <row r="6621">
      <c r="A6621" s="1">
        <v>5.0</v>
      </c>
      <c r="B6621" s="1" t="s">
        <v>6575</v>
      </c>
      <c r="C6621" t="str">
        <f>IFERROR(__xludf.DUMMYFUNCTION("GOOGLETRANSLATE(B6621, ""es"", ""en"")"),"Genial very comfortable, like all the comidisimo brand.")</f>
        <v>Genial very comfortable, like all the comidisimo brand.</v>
      </c>
    </row>
    <row r="6622">
      <c r="A6622" s="1">
        <v>5.0</v>
      </c>
      <c r="B6622" s="1" t="s">
        <v>6576</v>
      </c>
      <c r="C6622" t="str">
        <f>IFERROR(__xludf.DUMMYFUNCTION("GOOGLETRANSLATE(B6622, ""es"", ""en"")"),"Very nice is small but very nice and good quality")</f>
        <v>Very nice is small but very nice and good quality</v>
      </c>
    </row>
    <row r="6623">
      <c r="A6623" s="1">
        <v>5.0</v>
      </c>
      <c r="B6623" s="1" t="s">
        <v>6577</v>
      </c>
      <c r="C6623" t="str">
        <f>IFERROR(__xludf.DUMMYFUNCTION("GOOGLETRANSLATE(B6623, ""es"", ""en"")"),"Very good quality")</f>
        <v>Very good quality</v>
      </c>
    </row>
    <row r="6624">
      <c r="A6624" s="1">
        <v>5.0</v>
      </c>
      <c r="B6624" s="1" t="s">
        <v>6578</v>
      </c>
      <c r="C6624" t="str">
        <f>IFERROR(__xludf.DUMMYFUNCTION("GOOGLETRANSLATE(B6624, ""es"", ""en"")"),"Practical and powerful vacuum cleaner powerful and with acceptable quality")</f>
        <v>Practical and powerful vacuum cleaner powerful and with acceptable quality</v>
      </c>
    </row>
    <row r="6625">
      <c r="A6625" s="1">
        <v>5.0</v>
      </c>
      <c r="B6625" s="1" t="s">
        <v>6579</v>
      </c>
      <c r="C6625" t="str">
        <f>IFERROR(__xludf.DUMMYFUNCTION("GOOGLETRANSLATE(B6625, ""es"", ""en"")"),"I love this brand this summer buy this brand and I repeat, I am very satisfied with compra.son very comfortable and light, as in the photo.")</f>
        <v>I love this brand this summer buy this brand and I repeat, I am very satisfied with compra.son very comfortable and light, as in the photo.</v>
      </c>
    </row>
    <row r="6626">
      <c r="A6626" s="1">
        <v>5.0</v>
      </c>
      <c r="B6626" s="1" t="s">
        <v>6580</v>
      </c>
      <c r="C6626" t="str">
        <f>IFERROR(__xludf.DUMMYFUNCTION("GOOGLETRANSLATE(B6626, ""es"", ""en"")"),"The speed that sometimes you currently have. It came wrapped well and use it to store music for my teams.")</f>
        <v>The speed that sometimes you currently have. It came wrapped well and use it to store music for my teams.</v>
      </c>
    </row>
    <row r="6627">
      <c r="A6627" s="1">
        <v>5.0</v>
      </c>
      <c r="B6627" s="1" t="s">
        <v>6581</v>
      </c>
      <c r="C6627" t="str">
        <f>IFERROR(__xludf.DUMMYFUNCTION("GOOGLETRANSLATE(B6627, ""es"", ""en"")"),"I LOVE ME PQ would buy OTHERS ARE SUPER SUPER comfortable and tea can put up with any clothing.")</f>
        <v>I LOVE ME PQ would buy OTHERS ARE SUPER SUPER comfortable and tea can put up with any clothing.</v>
      </c>
    </row>
    <row r="6628">
      <c r="A6628" s="1">
        <v>5.0</v>
      </c>
      <c r="B6628" s="1" t="s">
        <v>6582</v>
      </c>
      <c r="C6628" t="str">
        <f>IFERROR(__xludf.DUMMYFUNCTION("GOOGLETRANSLATE(B6628, ""es"", ""en"")"),"Very good buy watch very nice, modern design and good quality, size is adequate as very like a clock with large sphere but it is not annoying ,, I have been following these days and everything is going well, it is also appreciated gift when both the prese"&amp;"ntation and bring the cloth to clean as the small screwdriver, very good value, price")</f>
        <v>Very good buy watch very nice, modern design and good quality, size is adequate as very like a clock with large sphere but it is not annoying ,, I have been following these days and everything is going well, it is also appreciated gift when both the presentation and bring the cloth to clean as the small screwdriver, very good value, price</v>
      </c>
    </row>
    <row r="6629">
      <c r="A6629" s="1">
        <v>5.0</v>
      </c>
      <c r="B6629" s="1" t="s">
        <v>6583</v>
      </c>
      <c r="C6629" t="str">
        <f>IFERROR(__xludf.DUMMYFUNCTION("GOOGLETRANSLATE(B6629, ""es"", ""en"")"),"The product itself I liked everything very well delivered.")</f>
        <v>The product itself I liked everything very well delivered.</v>
      </c>
    </row>
    <row r="6630">
      <c r="A6630" s="1">
        <v>5.0</v>
      </c>
      <c r="B6630" s="1" t="s">
        <v>6584</v>
      </c>
      <c r="C6630" t="str">
        <f>IFERROR(__xludf.DUMMYFUNCTION("GOOGLETRANSLATE(B6630, ""es"", ""en"")"),"Elegant Very nice for the price. Remoj with which you dress perfectly.")</f>
        <v>Elegant Very nice for the price. Remoj with which you dress perfectly.</v>
      </c>
    </row>
    <row r="6631">
      <c r="A6631" s="1">
        <v>5.0</v>
      </c>
      <c r="B6631" s="1" t="s">
        <v>6585</v>
      </c>
      <c r="C6631" t="str">
        <f>IFERROR(__xludf.DUMMYFUNCTION("GOOGLETRANSLATE(B6631, ""es"", ""en"")"),"Meets expectations Colgate has as glass filled q bear.")</f>
        <v>Meets expectations Colgate has as glass filled q bear.</v>
      </c>
    </row>
    <row r="6632">
      <c r="A6632" s="1">
        <v>5.0</v>
      </c>
      <c r="B6632" s="1" t="s">
        <v>6586</v>
      </c>
      <c r="C6632" t="str">
        <f>IFERROR(__xludf.DUMMYFUNCTION("GOOGLETRANSLATE(B6632, ""es"", ""en"")"),"The best gift bottle. We chose glass because it does not catch smells and is much more practical.")</f>
        <v>The best gift bottle. We chose glass because it does not catch smells and is much more practical.</v>
      </c>
    </row>
    <row r="6633">
      <c r="A6633" s="1">
        <v>5.0</v>
      </c>
      <c r="B6633" s="1" t="s">
        <v>6587</v>
      </c>
      <c r="C6633" t="str">
        <f>IFERROR(__xludf.DUMMYFUNCTION("GOOGLETRANSLATE(B6633, ""es"", ""en"")"),"Good value for money. Very nice and good calidad.Tal comodas.muy as lei on the opinions and buy a full size acerte.Salomon makes very fair sizing and recommended hiking on a finger across the heel.")</f>
        <v>Good value for money. Very nice and good calidad.Tal comodas.muy as lei on the opinions and buy a full size acerte.Salomon makes very fair sizing and recommended hiking on a finger across the heel.</v>
      </c>
    </row>
    <row r="6634">
      <c r="A6634" s="1">
        <v>5.0</v>
      </c>
      <c r="B6634" s="1" t="s">
        <v>6588</v>
      </c>
      <c r="C6634" t="str">
        <f>IFERROR(__xludf.DUMMYFUNCTION("GOOGLETRANSLATE(B6634, ""es"", ""en"")"),"Versatile and comfortable to exercise a comfortable and versatile headphones are perfectly suited to the ear, so that the exercise will not fall. They last for 4 to 6 hours. In addition it comes with a very practical charging cable mini-USB, 2 complete se"&amp;"ts of rubber to replace headphones and a bag for storage")</f>
        <v>Versatile and comfortable to exercise a comfortable and versatile headphones are perfectly suited to the ear, so that the exercise will not fall. They last for 4 to 6 hours. In addition it comes with a very practical charging cable mini-USB, 2 complete sets of rubber to replace headphones and a bag for storage</v>
      </c>
    </row>
    <row r="6635">
      <c r="A6635" s="1">
        <v>5.0</v>
      </c>
      <c r="B6635" s="1" t="s">
        <v>6589</v>
      </c>
      <c r="C6635" t="str">
        <f>IFERROR(__xludf.DUMMYFUNCTION("GOOGLETRANSLATE(B6635, ""es"", ""en"")"),"Simple practical but are simple but very practical (is what I needed them). The loading box is very practical, also has an outlet to recharge the phone if needed.")</f>
        <v>Simple practical but are simple but very practical (is what I needed them). The loading box is very practical, also has an outlet to recharge the phone if needed.</v>
      </c>
    </row>
    <row r="6636">
      <c r="A6636" s="1">
        <v>5.0</v>
      </c>
      <c r="B6636" s="1" t="s">
        <v>6590</v>
      </c>
      <c r="C6636" t="str">
        <f>IFERROR(__xludf.DUMMYFUNCTION("GOOGLETRANSLATE(B6636, ""es"", ""en"")"),"As expected Good")</f>
        <v>As expected Good</v>
      </c>
    </row>
    <row r="6637">
      <c r="A6637" s="1">
        <v>2.0</v>
      </c>
      <c r="B6637" s="1" t="s">
        <v>6591</v>
      </c>
      <c r="C6637" t="str">
        <f>IFERROR(__xludf.DUMMYFUNCTION("GOOGLETRANSLATE(B6637, ""es"", ""en"")"),"Does not meet not hold the weight that is supposed to hold. I've tried on various products and always ends up giving")</f>
        <v>Does not meet not hold the weight that is supposed to hold. I've tried on various products and always ends up giving</v>
      </c>
    </row>
    <row r="6638">
      <c r="A6638" s="1">
        <v>3.0</v>
      </c>
      <c r="B6638" s="1" t="s">
        <v>6592</v>
      </c>
      <c r="C6638" t="str">
        <f>IFERROR(__xludf.DUMMYFUNCTION("GOOGLETRANSLATE(B6638, ""es"", ""en"")"),"No transpires, yes Mono waterproofs and makes the hack also carries hood. Super Waterproof but breathable 0. chorreandito finished him. I expect better quality.")</f>
        <v>No transpires, yes Mono waterproofs and makes the hack also carries hood. Super Waterproof but breathable 0. chorreandito finished him. I expect better quality.</v>
      </c>
    </row>
    <row r="6639">
      <c r="A6639" s="1">
        <v>3.0</v>
      </c>
      <c r="B6639" s="1" t="s">
        <v>6593</v>
      </c>
      <c r="C6639" t="str">
        <f>IFERROR(__xludf.DUMMYFUNCTION("GOOGLETRANSLATE(B6639, ""es"", ""en"")"),"Clarks Vargo Plain, height far above the usual. It is a comfortable shoe, light and beautifully designed, with apparent good value. Unfortunately height (ordered 41.5) correspond as 42.5. A huge size, I had to return it. I advise prospective buyers to tak"&amp;"e into account this fact and asked, at the least, a lower height than usual.")</f>
        <v>Clarks Vargo Plain, height far above the usual. It is a comfortable shoe, light and beautifully designed, with apparent good value. Unfortunately height (ordered 41.5) correspond as 42.5. A huge size, I had to return it. I advise prospective buyers to take into account this fact and asked, at the least, a lower height than usual.</v>
      </c>
    </row>
    <row r="6640">
      <c r="A6640" s="1">
        <v>1.0</v>
      </c>
      <c r="B6640" s="1" t="s">
        <v>6594</v>
      </c>
      <c r="C6640" t="str">
        <f>IFERROR(__xludf.DUMMYFUNCTION("GOOGLETRANSLATE(B6640, ""es"", ""en"")"),"Malo tiny one d them or shut it back porq was not much work for the price q has")</f>
        <v>Malo tiny one d them or shut it back porq was not much work for the price q has</v>
      </c>
    </row>
    <row r="6641">
      <c r="A6641" s="1">
        <v>1.0</v>
      </c>
      <c r="B6641" s="1" t="s">
        <v>6595</v>
      </c>
      <c r="C6641" t="str">
        <f>IFERROR(__xludf.DUMMYFUNCTION("GOOGLETRANSLATE(B6641, ""es"", ""en"")"),"It's not original clock that has reached me is a fake. The product has not arrived in its original box and does not correspond with the original product from Casio. Whenever you get a Casio watch in a box than the original I recommend that you seek inform"&amp;"ation about the replicas that it is possible that you have one. Attention by Amazon very correct in returning.")</f>
        <v>It's not original clock that has reached me is a fake. The product has not arrived in its original box and does not correspond with the original product from Casio. Whenever you get a Casio watch in a box than the original I recommend that you seek information about the replicas that it is possible that you have one. Attention by Amazon very correct in returning.</v>
      </c>
    </row>
    <row r="6642">
      <c r="A6642" s="1">
        <v>4.0</v>
      </c>
      <c r="B6642" s="1" t="s">
        <v>6596</v>
      </c>
      <c r="C6642" t="str">
        <f>IFERROR(__xludf.DUMMYFUNCTION("GOOGLETRANSLATE(B6642, ""es"", ""en"")"),"Useful. Useful. It seems good quality.")</f>
        <v>Useful. Useful. It seems good quality.</v>
      </c>
    </row>
    <row r="6643">
      <c r="A6643" s="1">
        <v>4.0</v>
      </c>
      <c r="B6643" s="1" t="s">
        <v>6597</v>
      </c>
      <c r="C6643" t="str">
        <f>IFERROR(__xludf.DUMMYFUNCTION("GOOGLETRANSLATE(B6643, ""es"", ""en"")"),"Does its job really thought that was more inserted into the USB slot. Buy it to put it on the car radio, and very well, but stands a little more than I expected. regarding quality as good as ever, and the price really understanding. (My radio is a pioneer"&amp;" with usb slot, the typical cars.)")</f>
        <v>Does its job really thought that was more inserted into the USB slot. Buy it to put it on the car radio, and very well, but stands a little more than I expected. regarding quality as good as ever, and the price really understanding. (My radio is a pioneer with usb slot, the typical cars.)</v>
      </c>
    </row>
    <row r="6644">
      <c r="A6644" s="1">
        <v>4.0</v>
      </c>
      <c r="B6644" s="1" t="s">
        <v>6598</v>
      </c>
      <c r="C6644" t="str">
        <f>IFERROR(__xludf.DUMMYFUNCTION("GOOGLETRANSLATE(B6644, ""es"", ""en"")"),"Good for Cleaning cleaning are some cloths, dishcloths, very good. Rectangular shape. Carry a big label, in my opinion, we must remove, clutter when you use the cloth, the label is too big. They come in a simple clear plastic bag.")</f>
        <v>Good for Cleaning cleaning are some cloths, dishcloths, very good. Rectangular shape. Carry a big label, in my opinion, we must remove, clutter when you use the cloth, the label is too big. They come in a simple clear plastic bag.</v>
      </c>
    </row>
    <row r="6645">
      <c r="A6645" s="1">
        <v>4.0</v>
      </c>
      <c r="B6645" s="1" t="s">
        <v>6599</v>
      </c>
      <c r="C6645" t="str">
        <f>IFERROR(__xludf.DUMMYFUNCTION("GOOGLETRANSLATE(B6645, ""es"", ""en"")"),"Margaritas are nice but maybe bigger than I like I like esperaba.pero")</f>
        <v>Margaritas are nice but maybe bigger than I like I like esperaba.pero</v>
      </c>
    </row>
    <row r="6646">
      <c r="A6646" s="1">
        <v>4.0</v>
      </c>
      <c r="B6646" s="1" t="s">
        <v>6600</v>
      </c>
      <c r="C6646" t="str">
        <f>IFERROR(__xludf.DUMMYFUNCTION("GOOGLETRANSLATE(B6646, ""es"", ""en"")"),"Backpack ordinary citizen fairly comfortable. Quilted little thick but enough. moldable Interior. Care enough details. Two cameras fit perfectly. Overall good opinion.")</f>
        <v>Backpack ordinary citizen fairly comfortable. Quilted little thick but enough. moldable Interior. Care enough details. Two cameras fit perfectly. Overall good opinion.</v>
      </c>
    </row>
    <row r="6647">
      <c r="A6647" s="1">
        <v>5.0</v>
      </c>
      <c r="B6647" s="1" t="s">
        <v>6601</v>
      </c>
      <c r="C6647" t="str">
        <f>IFERROR(__xludf.DUMMYFUNCTION("GOOGLETRANSLATE(B6647, ""es"", ""en"")"),"What he looked fine on an external hard drive, ruggedness and durability in a technological device and while very fine, to occupy the smallest possible space; both options `the meets this product. In addition to the actual saying gb. Overall great buy at "&amp;"a very affordable price.")</f>
        <v>What he looked fine on an external hard drive, ruggedness and durability in a technological device and while very fine, to occupy the smallest possible space; both options `the meets this product. In addition to the actual saying gb. Overall great buy at a very affordable price.</v>
      </c>
    </row>
    <row r="6648">
      <c r="A6648" s="1">
        <v>5.0</v>
      </c>
      <c r="B6648" s="1" t="s">
        <v>6602</v>
      </c>
      <c r="C6648" t="str">
        <f>IFERROR(__xludf.DUMMYFUNCTION("GOOGLETRANSLATE(B6648, ""es"", ""en"")"),"ESTERILLA very well, and MEVA PHENOMENAL PAIN RELIEF")</f>
        <v>ESTERILLA very well, and MEVA PHENOMENAL PAIN RELIEF</v>
      </c>
    </row>
    <row r="6649">
      <c r="A6649" s="1">
        <v>5.0</v>
      </c>
      <c r="B6649" s="1" t="s">
        <v>6603</v>
      </c>
      <c r="C6649" t="str">
        <f>IFERROR(__xludf.DUMMYFUNCTION("GOOGLETRANSLATE(B6649, ""es"", ""en"")"),"They do not hurt exactly what I wanted. Comfortable, they do not hurt and very nice")</f>
        <v>They do not hurt exactly what I wanted. Comfortable, they do not hurt and very nice</v>
      </c>
    </row>
    <row r="6650">
      <c r="A6650" s="1">
        <v>5.0</v>
      </c>
      <c r="B6650" s="1" t="s">
        <v>6604</v>
      </c>
      <c r="C6650" t="str">
        <f>IFERROR(__xludf.DUMMYFUNCTION("GOOGLETRANSLATE(B6650, ""es"", ""en"")"),"right footwear very good thermal and resistance. I bought shoes and this manufacturer and I am satisfied with the strength of the article.")</f>
        <v>right footwear very good thermal and resistance. I bought shoes and this manufacturer and I am satisfied with the strength of the article.</v>
      </c>
    </row>
    <row r="6651">
      <c r="A6651" s="1">
        <v>5.0</v>
      </c>
      <c r="B6651" s="1" t="s">
        <v>6605</v>
      </c>
      <c r="C6651" t="str">
        <f>IFERROR(__xludf.DUMMYFUNCTION("GOOGLETRANSLATE(B6651, ""es"", ""en"")"),"my favorites are for my taste the best of the best brand shoes, are rather small but reviewing criticism and can not be no surprise. now bring the pasted templates which did not occur with previous models and had to pegarselas. seguire buying them while m"&amp;"anufactured")</f>
        <v>my favorites are for my taste the best of the best brand shoes, are rather small but reviewing criticism and can not be no surprise. now bring the pasted templates which did not occur with previous models and had to pegarselas. seguire buying them while manufactured</v>
      </c>
    </row>
    <row r="6652">
      <c r="A6652" s="1">
        <v>5.0</v>
      </c>
      <c r="B6652" s="1" t="s">
        <v>6606</v>
      </c>
      <c r="C6652" t="str">
        <f>IFERROR(__xludf.DUMMYFUNCTION("GOOGLETRANSLATE(B6652, ""es"", ""en"")"),"Very good very intuitive, easy to handle and very good quality that jumps vista..volvería to buy it again., I liked it and solved my problem storage on an iPhone ...")</f>
        <v>Very good very intuitive, easy to handle and very good quality that jumps vista..volvería to buy it again., I liked it and solved my problem storage on an iPhone ...</v>
      </c>
    </row>
    <row r="6653">
      <c r="A6653" s="1">
        <v>5.0</v>
      </c>
      <c r="B6653" s="1" t="s">
        <v>6607</v>
      </c>
      <c r="C6653" t="str">
        <f>IFERROR(__xludf.DUMMYFUNCTION("GOOGLETRANSLATE(B6653, ""es"", ""en"")"),"Perfect My son is delighted")</f>
        <v>Perfect My son is delighted</v>
      </c>
    </row>
    <row r="6654">
      <c r="A6654" s="1">
        <v>5.0</v>
      </c>
      <c r="B6654" s="1" t="s">
        <v>6608</v>
      </c>
      <c r="C6654" t="str">
        <f>IFERROR(__xludf.DUMMYFUNCTION("GOOGLETRANSLATE(B6654, ""es"", ""en"")"),"As I expected. This brand does not disappoint! Good shoes at a good price. Do not disappoint!")</f>
        <v>As I expected. This brand does not disappoint! Good shoes at a good price. Do not disappoint!</v>
      </c>
    </row>
    <row r="6655">
      <c r="A6655" s="1">
        <v>5.0</v>
      </c>
      <c r="B6655" s="1" t="s">
        <v>6609</v>
      </c>
      <c r="C6655" t="str">
        <f>IFERROR(__xludf.DUMMYFUNCTION("GOOGLETRANSLATE(B6655, ""es"", ""en"")"),"Well Yes, Genil and comfortable")</f>
        <v>Well Yes, Genil and comfortable</v>
      </c>
    </row>
    <row r="6656">
      <c r="A6656" s="1">
        <v>5.0</v>
      </c>
      <c r="B6656" s="1" t="s">
        <v>6610</v>
      </c>
      <c r="C6656" t="str">
        <f>IFERROR(__xludf.DUMMYFUNCTION("GOOGLETRANSLATE(B6656, ""es"", ""en"")"),"Very happy with the purchase Connecting to the perfect and very fast moving, no problems. They are small and of good quality. They load very fast and the battery lasts a long time. It includes charger.")</f>
        <v>Very happy with the purchase Connecting to the perfect and very fast moving, no problems. They are small and of good quality. They load very fast and the battery lasts a long time. It includes charger.</v>
      </c>
    </row>
    <row r="6657">
      <c r="A6657" s="1">
        <v>5.0</v>
      </c>
      <c r="B6657" s="1" t="s">
        <v>6611</v>
      </c>
      <c r="C6657" t="str">
        <f>IFERROR(__xludf.DUMMYFUNCTION("GOOGLETRANSLATE(B6657, ""es"", ""en"")"),"Good sized blender for juices and porridges. With a portable glass. Easy to clean and transport the glass. The blade is quite powerful and has power. Good material and durable")</f>
        <v>Good sized blender for juices and porridges. With a portable glass. Easy to clean and transport the glass. The blade is quite powerful and has power. Good material and durable</v>
      </c>
    </row>
    <row r="6658">
      <c r="A6658" s="1">
        <v>5.0</v>
      </c>
      <c r="B6658" s="1" t="s">
        <v>6612</v>
      </c>
      <c r="C6658" t="str">
        <f>IFERROR(__xludf.DUMMYFUNCTION("GOOGLETRANSLATE(B6658, ""es"", ""en"")"),"I sent one already contacted and send me a new one")</f>
        <v>I sent one already contacted and send me a new one</v>
      </c>
    </row>
    <row r="6659">
      <c r="A6659" s="1">
        <v>5.0</v>
      </c>
      <c r="B6659" s="1" t="s">
        <v>6613</v>
      </c>
      <c r="C6659" t="str">
        <f>IFERROR(__xludf.DUMMYFUNCTION("GOOGLETRANSLATE(B6659, ""es"", ""en"")"),"Perfect perfect and convenient and practical. Enter the capsules.")</f>
        <v>Perfect perfect and convenient and practical. Enter the capsules.</v>
      </c>
    </row>
    <row r="6660">
      <c r="A6660" s="1">
        <v>5.0</v>
      </c>
      <c r="B6660" s="1" t="s">
        <v>6614</v>
      </c>
      <c r="C6660" t="str">
        <f>IFERROR(__xludf.DUMMYFUNCTION("GOOGLETRANSLATE(B6660, ""es"", ""en"")"),"Silvia Perfect !!! Very comfortable and grips well to the table without slipping. It is equal to the photo of the ad.")</f>
        <v>Silvia Perfect !!! Very comfortable and grips well to the table without slipping. It is equal to the photo of the ad.</v>
      </c>
    </row>
    <row r="6661">
      <c r="A6661" s="1">
        <v>5.0</v>
      </c>
      <c r="B6661" s="1" t="s">
        <v>6615</v>
      </c>
      <c r="C6661" t="str">
        <f>IFERROR(__xludf.DUMMYFUNCTION("GOOGLETRANSLATE(B6661, ""es"", ""en"")"),"Satisfying to arrive on time")</f>
        <v>Satisfying to arrive on time</v>
      </c>
    </row>
    <row r="6662">
      <c r="A6662" s="1">
        <v>5.0</v>
      </c>
      <c r="B6662" s="1" t="s">
        <v>6616</v>
      </c>
      <c r="C6662" t="str">
        <f>IFERROR(__xludf.DUMMYFUNCTION("GOOGLETRANSLATE(B6662, ""es"", ""en"")"),"Good Value perfect material. There can be many things. Practical and convenient for travel. good buy")</f>
        <v>Good Value perfect material. There can be many things. Practical and convenient for travel. good buy</v>
      </c>
    </row>
    <row r="6663">
      <c r="A6663" s="1">
        <v>5.0</v>
      </c>
      <c r="B6663" s="1" t="s">
        <v>6617</v>
      </c>
      <c r="C6663" t="str">
        <f>IFERROR(__xludf.DUMMYFUNCTION("GOOGLETRANSLATE(B6663, ""es"", ""en"")"),"Ideal for Android is a last transfer speed when you work with a very large batch of images at a time and large HD videos. What once made me lose time with an old microSD, that makes me in a blink. Certainly a success in the purchase, storage and memory pr"&amp;"oblems ran out on my Android.")</f>
        <v>Ideal for Android is a last transfer speed when you work with a very large batch of images at a time and large HD videos. What once made me lose time with an old microSD, that makes me in a blink. Certainly a success in the purchase, storage and memory problems ran out on my Android.</v>
      </c>
    </row>
    <row r="6664">
      <c r="A6664" s="1">
        <v>5.0</v>
      </c>
      <c r="B6664" s="1" t="s">
        <v>6618</v>
      </c>
      <c r="C6664" t="str">
        <f>IFERROR(__xludf.DUMMYFUNCTION("GOOGLETRANSLATE(B6664, ""es"", ""en"")"),"Details of the stones to the round of The Tree of Life and the owl I really like very good quality")</f>
        <v>Details of the stones to the round of The Tree of Life and the owl I really like very good quality</v>
      </c>
    </row>
    <row r="6665">
      <c r="A6665" s="1">
        <v>5.0</v>
      </c>
      <c r="B6665" s="1" t="s">
        <v>6619</v>
      </c>
      <c r="C6665" t="str">
        <f>IFERROR(__xludf.DUMMYFUNCTION("GOOGLETRANSLATE(B6665, ""es"", ""en"")"),"The pop noise ran to get the famous eliminate noise and pop noise if you approach the microphone much anything like this adapter. Very tight price and quality still.")</f>
        <v>The pop noise ran to get the famous eliminate noise and pop noise if you approach the microphone much anything like this adapter. Very tight price and quality still.</v>
      </c>
    </row>
    <row r="6666">
      <c r="A6666" s="1">
        <v>2.0</v>
      </c>
      <c r="B6666" s="1" t="s">
        <v>6620</v>
      </c>
      <c r="C6666" t="str">
        <f>IFERROR(__xludf.DUMMYFUNCTION("GOOGLETRANSLATE(B6666, ""es"", ""en"")"),"Disappointment fabric which is made does not justify its price.")</f>
        <v>Disappointment fabric which is made does not justify its price.</v>
      </c>
    </row>
    <row r="6667">
      <c r="A6667" s="1">
        <v>3.0</v>
      </c>
      <c r="B6667" s="1" t="s">
        <v>6621</v>
      </c>
      <c r="C6667" t="str">
        <f>IFERROR(__xludf.DUMMYFUNCTION("GOOGLETRANSLATE(B6667, ""es"", ""en"")"),"The fabric is very nice satin lycra. For migusto is a little big, cogi xl and measure 1.74 since usually the sizes are usually small but in this case it is not.")</f>
        <v>The fabric is very nice satin lycra. For migusto is a little big, cogi xl and measure 1.74 since usually the sizes are usually small but in this case it is not.</v>
      </c>
    </row>
    <row r="6668">
      <c r="A6668" s="1">
        <v>3.0</v>
      </c>
      <c r="B6668" s="1" t="s">
        <v>6622</v>
      </c>
      <c r="C6668" t="str">
        <f>IFERROR(__xludf.DUMMYFUNCTION("GOOGLETRANSLATE(B6668, ""es"", ""en"")"),"Good but very small sphere should warn Too small size may seem almost childlike lady or size.")</f>
        <v>Good but very small sphere should warn Too small size may seem almost childlike lady or size.</v>
      </c>
    </row>
    <row r="6669">
      <c r="A6669" s="1">
        <v>1.0</v>
      </c>
      <c r="B6669" s="1" t="s">
        <v>6623</v>
      </c>
      <c r="C6669" t="str">
        <f>IFERROR(__xludf.DUMMYFUNCTION("GOOGLETRANSLATE(B6669, ""es"", ""en"")"),"They do not seem original many years I've been buying these clogs and lowered quality so drastically that even look like a cheap copy. I guess the fault is not the seller, if not the brand. very fast shipping.")</f>
        <v>They do not seem original many years I've been buying these clogs and lowered quality so drastically that even look like a cheap copy. I guess the fault is not the seller, if not the brand. very fast shipping.</v>
      </c>
    </row>
    <row r="6670">
      <c r="A6670" s="1">
        <v>1.0</v>
      </c>
      <c r="B6670" s="1" t="s">
        <v>6624</v>
      </c>
      <c r="C6670" t="str">
        <f>IFERROR(__xludf.DUMMYFUNCTION("GOOGLETRANSLATE(B6670, ""es"", ""en"")"),"The truth disappointment that have lasted me less than a month since the right of the stopped hearing. I bought these because they were very similar to those that came with my mobile samsung when I bought it. And those who came with the phone I was left v"&amp;"ery good so I decided to buy these, but it is that lasted little running.")</f>
        <v>The truth disappointment that have lasted me less than a month since the right of the stopped hearing. I bought these because they were very similar to those that came with my mobile samsung when I bought it. And those who came with the phone I was left very good so I decided to buy these, but it is that lasted little running.</v>
      </c>
    </row>
    <row r="6671">
      <c r="A6671" s="1">
        <v>4.0</v>
      </c>
      <c r="B6671" s="1" t="s">
        <v>6625</v>
      </c>
      <c r="C6671" t="str">
        <f>IFERROR(__xludf.DUMMYFUNCTION("GOOGLETRANSLATE(B6671, ""es"", ""en"")"),"Very useful is very useful and practical. You can sightsee while charging the phone. On the downside, the USB cable to connect the input is not of high quality.")</f>
        <v>Very useful is very useful and practical. You can sightsee while charging the phone. On the downside, the USB cable to connect the input is not of high quality.</v>
      </c>
    </row>
    <row r="6672">
      <c r="A6672" s="1">
        <v>4.0</v>
      </c>
      <c r="B6672" s="1" t="s">
        <v>6626</v>
      </c>
      <c r="C6672" t="str">
        <f>IFERROR(__xludf.DUMMYFUNCTION("GOOGLETRANSLATE(B6672, ""es"", ""en"")"),"Okay, peeeeero .... Delivery time is excellent. !!!! The clock is pretty good, however the only fault we could put, is that the hour hand comes from the color of the clock and therefore is not seen when it is night and active light. For everything else, g"&amp;"ood!")</f>
        <v>Okay, peeeeero .... Delivery time is excellent. !!!! The clock is pretty good, however the only fault we could put, is that the hour hand comes from the color of the clock and therefore is not seen when it is night and active light. For everything else, good!</v>
      </c>
    </row>
    <row r="6673">
      <c r="A6673" s="1">
        <v>4.0</v>
      </c>
      <c r="B6673" s="1" t="s">
        <v>6627</v>
      </c>
      <c r="C6673" t="str">
        <f>IFERROR(__xludf.DUMMYFUNCTION("GOOGLETRANSLATE(B6673, ""es"", ""en"")"),"Right headphones are not the eighth wonder of the world, but for the price, is a solvent headphones. Comfortable and lightweight. They are not bad if what you want is not much money to spend ...")</f>
        <v>Right headphones are not the eighth wonder of the world, but for the price, is a solvent headphones. Comfortable and lightweight. They are not bad if what you want is not much money to spend ...</v>
      </c>
    </row>
    <row r="6674">
      <c r="A6674" s="1">
        <v>4.0</v>
      </c>
      <c r="B6674" s="1" t="s">
        <v>6628</v>
      </c>
      <c r="C6674" t="str">
        <f>IFERROR(__xludf.DUMMYFUNCTION("GOOGLETRANSLATE(B6674, ""es"", ""en"")"),"No professional Good")</f>
        <v>No professional Good</v>
      </c>
    </row>
    <row r="6675">
      <c r="A6675" s="1">
        <v>4.0</v>
      </c>
      <c r="B6675" s="1" t="s">
        <v>6629</v>
      </c>
      <c r="C6675" t="str">
        <f>IFERROR(__xludf.DUMMYFUNCTION("GOOGLETRANSLATE(B6675, ""es"", ""en"")"),"Very good for the PC (Skype) and not so well for the phone. That's why not give it 5 * Overall are fine, buy them primarily for use with computer and talking on Skype. That is perfect, the volume control is the right and necessary, the micro and great hea"&amp;"dphones .... Zero complaint with it. A try with the mobile (phone) who spoke sometimes heard me telling me that far .... and it was not detected mobile porq (at times) the micro and was picking up sound from the microphone of the phone ... in short ... if"&amp;" the need for mobile probably find things improved, but for the pc .... are highly recommended !!")</f>
        <v>Very good for the PC (Skype) and not so well for the phone. That's why not give it 5 * Overall are fine, buy them primarily for use with computer and talking on Skype. That is perfect, the volume control is the right and necessary, the micro and great headphones .... Zero complaint with it. A try with the mobile (phone) who spoke sometimes heard me telling me that far .... and it was not detected mobile porq (at times) the micro and was picking up sound from the microphone of the phone ... in short ... if the need for mobile probably find things improved, but for the pc .... are highly recommended !!</v>
      </c>
    </row>
    <row r="6676">
      <c r="A6676" s="1">
        <v>5.0</v>
      </c>
      <c r="B6676" s="1" t="s">
        <v>6630</v>
      </c>
      <c r="C6676" t="str">
        <f>IFERROR(__xludf.DUMMYFUNCTION("GOOGLETRANSLATE(B6676, ""es"", ""en"")"),"Super recomendableñ is very powerful and as is offered, silent. A glass beaker is very strong and robust, I am very satisfied with the product leaves no lumps or piece of fruit or what gets without liquefying.")</f>
        <v>Super recomendableñ is very powerful and as is offered, silent. A glass beaker is very strong and robust, I am very satisfied with the product leaves no lumps or piece of fruit or what gets without liquefying.</v>
      </c>
    </row>
    <row r="6677">
      <c r="A6677" s="1">
        <v>5.0</v>
      </c>
      <c r="B6677" s="1" t="s">
        <v>6631</v>
      </c>
      <c r="C6677" t="str">
        <f>IFERROR(__xludf.DUMMYFUNCTION("GOOGLETRANSLATE(B6677, ""es"", ""en"")"),"Very good sound This is a wireless headset with great sound quality. Headphones are easily matched to the playback device, adapt perfectly to the ears, come spare pads to put most suited, and from the headphones themselves can perform many functions such "&amp;"as On / Off Hook calls, play / pause, forward / back, volume + / -... the charging base has a 2500mAh battery that recharges the headset few 10 times and takes about half hour recharge of the whole. Load input has USB type C, and charging output for use a"&amp;"s external battery, USB standard. It has a small footprint and a compact and pleasant way. Apart from the quality of the sound, I would highlight the great novelty compared to other headphones I've tried, and is the LED charge level indicator of both the "&amp;"base and each of the headphones.")</f>
        <v>Very good sound This is a wireless headset with great sound quality. Headphones are easily matched to the playback device, adapt perfectly to the ears, come spare pads to put most suited, and from the headphones themselves can perform many functions such as On / Off Hook calls, play / pause, forward / back, volume + / -... the charging base has a 2500mAh battery that recharges the headset few 10 times and takes about half hour recharge of the whole. Load input has USB type C, and charging output for use as external battery, USB standard. It has a small footprint and a compact and pleasant way. Apart from the quality of the sound, I would highlight the great novelty compared to other headphones I've tried, and is the LED charge level indicator of both the base and each of the headphones.</v>
      </c>
    </row>
    <row r="6678">
      <c r="A6678" s="1">
        <v>5.0</v>
      </c>
      <c r="B6678" s="1" t="s">
        <v>6632</v>
      </c>
      <c r="C6678" t="str">
        <f>IFERROR(__xludf.DUMMYFUNCTION("GOOGLETRANSLATE(B6678, ""es"", ""en"")"),"It's easy to place just what I wanted, to cover an entire wall and dedicate it to photos and posters, in an hour, put the 5 packs without any problems")</f>
        <v>It's easy to place just what I wanted, to cover an entire wall and dedicate it to photos and posters, in an hour, put the 5 packs without any problems</v>
      </c>
    </row>
    <row r="6679">
      <c r="A6679" s="1">
        <v>5.0</v>
      </c>
      <c r="B6679" s="1" t="s">
        <v>6633</v>
      </c>
      <c r="C6679" t="str">
        <f>IFERROR(__xludf.DUMMYFUNCTION("GOOGLETRANSLATE(B6679, ""es"", ""en"")"),"Like the original I have always resisted buying these tapes second mark but what a nonsense and they are perfect. They work equally well. The only difference in my case I consider positive is that the colors are not as strong as the original. For example,"&amp;" red, blue and green of the original are so strong that sometimes hard to distinguish letters. With these, it does not happen. I am very happy and secure repeat.")</f>
        <v>Like the original I have always resisted buying these tapes second mark but what a nonsense and they are perfect. They work equally well. The only difference in my case I consider positive is that the colors are not as strong as the original. For example, red, blue and green of the original are so strong that sometimes hard to distinguish letters. With these, it does not happen. I am very happy and secure repeat.</v>
      </c>
    </row>
    <row r="6680">
      <c r="A6680" s="1">
        <v>5.0</v>
      </c>
      <c r="B6680" s="1" t="s">
        <v>6634</v>
      </c>
      <c r="C6680" t="str">
        <f>IFERROR(__xludf.DUMMYFUNCTION("GOOGLETRANSLATE(B6680, ""es"", ""en"")"),"Excellent, I would buy it with open eyes This shoe really are excellent I bought 3 shoes the same, because I have shown 2 friends and wanted to buy it for the convenience of it, so if you have to keep in mind is to buy another number because they run smal"&amp;"l I am 42 and I had to ask 43 and that number came to me correctly")</f>
        <v>Excellent, I would buy it with open eyes This shoe really are excellent I bought 3 shoes the same, because I have shown 2 friends and wanted to buy it for the convenience of it, so if you have to keep in mind is to buy another number because they run small I am 42 and I had to ask 43 and that number came to me correctly</v>
      </c>
    </row>
    <row r="6681">
      <c r="A6681" s="1">
        <v>5.0</v>
      </c>
      <c r="B6681" s="1" t="s">
        <v>6635</v>
      </c>
      <c r="C6681" t="str">
        <f>IFERROR(__xludf.DUMMYFUNCTION("GOOGLETRANSLATE(B6681, ""es"", ""en"")"),"Great I liked, I will draw on my YouTube channel Café with Esther.")</f>
        <v>Great I liked, I will draw on my YouTube channel Café with Esther.</v>
      </c>
    </row>
    <row r="6682">
      <c r="A6682" s="1">
        <v>5.0</v>
      </c>
      <c r="B6682" s="1" t="s">
        <v>6636</v>
      </c>
      <c r="C6682" t="str">
        <f>IFERROR(__xludf.DUMMYFUNCTION("GOOGLETRANSLATE(B6682, ""es"", ""en"")"),"sergio apparently an excellent watch .if seems much more expensive watches of this brand last an average of eight years, this should last doble.solo adding the crown to set the time you have to desenrroscarla turning towards us and then to the contrary .a"&amp;" I totally recommend it exceptional watch")</f>
        <v>sergio apparently an excellent watch .if seems much more expensive watches of this brand last an average of eight years, this should last doble.solo adding the crown to set the time you have to desenrroscarla turning towards us and then to the contrary .a I totally recommend it exceptional watch</v>
      </c>
    </row>
    <row r="6683">
      <c r="A6683" s="1">
        <v>5.0</v>
      </c>
      <c r="B6683" s="1" t="s">
        <v>6637</v>
      </c>
      <c r="C6683" t="str">
        <f>IFERROR(__xludf.DUMMYFUNCTION("GOOGLETRANSLATE(B6683, ""es"", ""en"")"),"Everything as expected very good quality and good design")</f>
        <v>Everything as expected very good quality and good design</v>
      </c>
    </row>
    <row r="6684">
      <c r="A6684" s="1">
        <v>5.0</v>
      </c>
      <c r="B6684" s="1" t="s">
        <v>6638</v>
      </c>
      <c r="C6684" t="str">
        <f>IFERROR(__xludf.DUMMYFUNCTION("GOOGLETRANSLATE(B6684, ""es"", ""en"")"),"Incredible Tal cual expected from a Casio, it's a great product at the best price, no mystery I love and my parents also very durable, my father's have 3 years without changing batteries and is intact, perfect for tough jobs. Normal delivery time, even a "&amp;"few days before with completely original box including plastic.")</f>
        <v>Incredible Tal cual expected from a Casio, it's a great product at the best price, no mystery I love and my parents also very durable, my father's have 3 years without changing batteries and is intact, perfect for tough jobs. Normal delivery time, even a few days before with completely original box including plastic.</v>
      </c>
    </row>
    <row r="6685">
      <c r="A6685" s="1">
        <v>5.0</v>
      </c>
      <c r="B6685" s="1" t="s">
        <v>6639</v>
      </c>
      <c r="C6685" t="str">
        <f>IFERROR(__xludf.DUMMYFUNCTION("GOOGLETRANSLATE(B6685, ""es"", ""en"")"),"QUALITY AT LOW PRICE. The product looks good size because this brand should always buy a size more to those normally use, they are very comfortable, do not weigh almost nothing, has good grip sole, very good for hiking and also to make the Way Santiago, a"&amp;"s in our case. Now I have to see the durability of the shoe. A greeting.")</f>
        <v>QUALITY AT LOW PRICE. The product looks good size because this brand should always buy a size more to those normally use, they are very comfortable, do not weigh almost nothing, has good grip sole, very good for hiking and also to make the Way Santiago, as in our case. Now I have to see the durability of the shoe. A greeting.</v>
      </c>
    </row>
    <row r="6686">
      <c r="A6686" s="1">
        <v>5.0</v>
      </c>
      <c r="B6686" s="1" t="s">
        <v>6640</v>
      </c>
      <c r="C6686" t="str">
        <f>IFERROR(__xludf.DUMMYFUNCTION("GOOGLETRANSLATE(B6686, ""es"", ""en"")"),"Manageable bottle perfect and very comfortable. To sterilize in the microwave, it's the best. I continue using the trademark in the future no doubt.")</f>
        <v>Manageable bottle perfect and very comfortable. To sterilize in the microwave, it's the best. I continue using the trademark in the future no doubt.</v>
      </c>
    </row>
    <row r="6687">
      <c r="A6687" s="1">
        <v>5.0</v>
      </c>
      <c r="B6687" s="1" t="s">
        <v>6641</v>
      </c>
      <c r="C6687" t="str">
        <f>IFERROR(__xludf.DUMMYFUNCTION("GOOGLETRANSLATE(B6687, ""es"", ""en"")"),"Very practical. It is the second I bought and me very well to pass data from the computer to the phone and vice versa. Very happy.")</f>
        <v>Very practical. It is the second I bought and me very well to pass data from the computer to the phone and vice versa. Very happy.</v>
      </c>
    </row>
    <row r="6688">
      <c r="A6688" s="1">
        <v>5.0</v>
      </c>
      <c r="B6688" s="1" t="s">
        <v>6642</v>
      </c>
      <c r="C6688" t="str">
        <f>IFERROR(__xludf.DUMMYFUNCTION("GOOGLETRANSLATE(B6688, ""es"", ""en"")"),"Very good buy. Okay works great battery lasts a lot and has a lot of suction, I recommend 100%")</f>
        <v>Very good buy. Okay works great battery lasts a lot and has a lot of suction, I recommend 100%</v>
      </c>
    </row>
    <row r="6689">
      <c r="A6689" s="1">
        <v>5.0</v>
      </c>
      <c r="B6689" s="1" t="s">
        <v>6643</v>
      </c>
      <c r="C6689" t="str">
        <f>IFERROR(__xludf.DUMMYFUNCTION("GOOGLETRANSLATE(B6689, ""es"", ""en"")"),"Highly recommended! Safety shoes with metal tip and sole reinforced rubber. They are quite comfortable and looks good. Pro: - Comfort - aspect - breathable: - weight - easy to get dirty due to the light color if you do not mind the weight and it is very e"&amp;"asy to get dirty is the perfect shoe for you.")</f>
        <v>Highly recommended! Safety shoes with metal tip and sole reinforced rubber. They are quite comfortable and looks good. Pro: - Comfort - aspect - breathable: - weight - easy to get dirty due to the light color if you do not mind the weight and it is very easy to get dirty is the perfect shoe for you.</v>
      </c>
    </row>
    <row r="6690">
      <c r="A6690" s="1">
        <v>5.0</v>
      </c>
      <c r="B6690" s="1" t="s">
        <v>6644</v>
      </c>
      <c r="C6690" t="str">
        <f>IFERROR(__xludf.DUMMYFUNCTION("GOOGLETRANSLATE(B6690, ""es"", ""en"")"),"Super comfortable and very good practice. A having only ten cm it fits well into any gap under table or counter. I'm super as")</f>
        <v>Super comfortable and very good practice. A having only ten cm it fits well into any gap under table or counter. I'm super as</v>
      </c>
    </row>
    <row r="6691">
      <c r="A6691" s="1">
        <v>5.0</v>
      </c>
      <c r="B6691" s="1" t="s">
        <v>6645</v>
      </c>
      <c r="C6691" t="str">
        <f>IFERROR(__xludf.DUMMYFUNCTION("GOOGLETRANSLATE(B6691, ""es"", ""en"")"),"Same as the photo. They are very pretty. Are for my husband for Christmas so not the to tried it yet. The perfect delivery.")</f>
        <v>Same as the photo. They are very pretty. Are for my husband for Christmas so not the to tried it yet. The perfect delivery.</v>
      </c>
    </row>
    <row r="6692">
      <c r="A6692" s="1">
        <v>5.0</v>
      </c>
      <c r="B6692" s="1" t="s">
        <v>6646</v>
      </c>
      <c r="C6692" t="str">
        <f>IFERROR(__xludf.DUMMYFUNCTION("GOOGLETRANSLATE(B6692, ""es"", ""en"")"),"Ivan All genil expected very good quality and my son can not drink another bottle and teat of very good quality")</f>
        <v>Ivan All genil expected very good quality and my son can not drink another bottle and teat of very good quality</v>
      </c>
    </row>
    <row r="6693">
      <c r="A6693" s="1">
        <v>5.0</v>
      </c>
      <c r="B6693" s="1" t="s">
        <v>6647</v>
      </c>
      <c r="C6693" t="str">
        <f>IFERROR(__xludf.DUMMYFUNCTION("GOOGLETRANSLATE(B6693, ""es"", ""en"")"),"Robusta perfect, very comfortable and with good finishes.")</f>
        <v>Robusta perfect, very comfortable and with good finishes.</v>
      </c>
    </row>
    <row r="6694">
      <c r="A6694" s="1">
        <v>5.0</v>
      </c>
      <c r="B6694" s="1" t="s">
        <v>6648</v>
      </c>
      <c r="C6694" t="str">
        <f>IFERROR(__xludf.DUMMYFUNCTION("GOOGLETRANSLATE(B6694, ""es"", ""en"")"),"magnifies purchase is a speaker that covers any need for it to be very demanding. Materials and finishes of very good quality. The sound is very clean even if you put a stop (not distort at all). I am very pleased with purchase")</f>
        <v>magnifies purchase is a speaker that covers any need for it to be very demanding. Materials and finishes of very good quality. The sound is very clean even if you put a stop (not distort at all). I am very pleased with purchase</v>
      </c>
    </row>
    <row r="6695">
      <c r="A6695" s="1">
        <v>2.0</v>
      </c>
      <c r="B6695" s="1" t="s">
        <v>6649</v>
      </c>
      <c r="C6695" t="str">
        <f>IFERROR(__xludf.DUMMYFUNCTION("GOOGLETRANSLATE(B6695, ""es"", ""en"")"),"Sizing very small very small sizing floor utizar s or m and ordered an L still is stuck me")</f>
        <v>Sizing very small very small sizing floor utizar s or m and ordered an L still is stuck me</v>
      </c>
    </row>
    <row r="6696">
      <c r="A6696" s="1">
        <v>3.0</v>
      </c>
      <c r="B6696" s="1" t="s">
        <v>6650</v>
      </c>
      <c r="C6696" t="str">
        <f>IFERROR(__xludf.DUMMYFUNCTION("GOOGLETRANSLATE(B6696, ""es"", ""en"")"),"Dan lot size. Normally I use size 38 and ordered that number. A arriving, I noticed that give much size. I think I should ask for a 36 because even the 37 would stay great. The returned, I did not want to be testing carvings, so I do not really know what "&amp;"I would fit into that model.")</f>
        <v>Dan lot size. Normally I use size 38 and ordered that number. A arriving, I noticed that give much size. I think I should ask for a 36 because even the 37 would stay great. The returned, I did not want to be testing carvings, so I do not really know what I would fit into that model.</v>
      </c>
    </row>
    <row r="6697">
      <c r="A6697" s="1">
        <v>1.0</v>
      </c>
      <c r="B6697" s="1" t="s">
        <v>6651</v>
      </c>
      <c r="C6697" t="str">
        <f>IFERROR(__xludf.DUMMYFUNCTION("GOOGLETRANSLATE(B6697, ""es"", ""en"")"),"Nothing disappointing recommended. Not able to read most files on the iPad. Very disappointed with this purchase.")</f>
        <v>Nothing disappointing recommended. Not able to read most files on the iPad. Very disappointed with this purchase.</v>
      </c>
    </row>
    <row r="6698">
      <c r="A6698" s="1">
        <v>1.0</v>
      </c>
      <c r="B6698" s="1" t="s">
        <v>6652</v>
      </c>
      <c r="C6698" t="str">
        <f>IFERROR(__xludf.DUMMYFUNCTION("GOOGLETRANSLATE(B6698, ""es"", ""en"")"),"CASIO not receive you've done the test for five seconds to press the lower right button and not the word CASIO appears. I will return to be a mistake.")</f>
        <v>CASIO not receive you've done the test for five seconds to press the lower right button and not the word CASIO appears. I will return to be a mistake.</v>
      </c>
    </row>
    <row r="6699">
      <c r="A6699" s="1">
        <v>1.0</v>
      </c>
      <c r="B6699" s="1" t="s">
        <v>6653</v>
      </c>
      <c r="C6699" t="str">
        <f>IFERROR(__xludf.DUMMYFUNCTION("GOOGLETRANSLATE(B6699, ""es"", ""en"")"),"Mother of God. Excellent buy if you want to buy a blotter. In their defense, I have to say it is magnetic and can be used for something.")</f>
        <v>Mother of God. Excellent buy if you want to buy a blotter. In their defense, I have to say it is magnetic and can be used for something.</v>
      </c>
    </row>
    <row r="6700">
      <c r="A6700" s="1">
        <v>4.0</v>
      </c>
      <c r="B6700" s="1" t="s">
        <v>6654</v>
      </c>
      <c r="C6700" t="str">
        <f>IFERROR(__xludf.DUMMYFUNCTION("GOOGLETRANSLATE(B6700, ""es"", ""en"")"),"I think just perfect for this price. Presence and quality. The rotating bezel tense not accidentally handled. Good product.")</f>
        <v>I think just perfect for this price. Presence and quality. The rotating bezel tense not accidentally handled. Good product.</v>
      </c>
    </row>
    <row r="6701">
      <c r="A6701" s="1">
        <v>4.0</v>
      </c>
      <c r="B6701" s="1" t="s">
        <v>6655</v>
      </c>
      <c r="C6701" t="str">
        <f>IFERROR(__xludf.DUMMYFUNCTION("GOOGLETRANSLATE(B6701, ""es"", ""en"")"),"exelentes are beautiful, I love the unique detail q I see is q shoulda brand classify these bottles by size of teats, Porq the Q will come are flow 1 and have q buy the q use the baby, but overall I love and I recommend")</f>
        <v>exelentes are beautiful, I love the unique detail q I see is q shoulda brand classify these bottles by size of teats, Porq the Q will come are flow 1 and have q buy the q use the baby, but overall I love and I recommend</v>
      </c>
    </row>
    <row r="6702">
      <c r="A6702" s="1">
        <v>4.0</v>
      </c>
      <c r="B6702" s="1" t="s">
        <v>6656</v>
      </c>
      <c r="C6702" t="str">
        <f>IFERROR(__xludf.DUMMYFUNCTION("GOOGLETRANSLATE(B6702, ""es"", ""en"")"),"Good value / price for 1'09 € is fine. The boat is stable in the mouth leads magnets so it is not necessary Volcae the pot to remove the clips. The only drawback is the inability to choose color.")</f>
        <v>Good value / price for 1'09 € is fine. The boat is stable in the mouth leads magnets so it is not necessary Volcae the pot to remove the clips. The only drawback is the inability to choose color.</v>
      </c>
    </row>
    <row r="6703">
      <c r="A6703" s="1">
        <v>4.0</v>
      </c>
      <c r="B6703" s="1" t="s">
        <v>6657</v>
      </c>
      <c r="C6703" t="str">
        <f>IFERROR(__xludf.DUMMYFUNCTION("GOOGLETRANSLATE(B6703, ""es"", ""en"")"),"Fulfill their function by the brand is supposed to be the best quality but I could not try other to compare. These are pretty good.")</f>
        <v>Fulfill their function by the brand is supposed to be the best quality but I could not try other to compare. These are pretty good.</v>
      </c>
    </row>
    <row r="6704">
      <c r="A6704" s="1">
        <v>4.0</v>
      </c>
      <c r="B6704" s="1" t="s">
        <v>6658</v>
      </c>
      <c r="C6704" t="str">
        <f>IFERROR(__xludf.DUMMYFUNCTION("GOOGLETRANSLATE(B6704, ""es"", ""en"")"),"Sandra are very comfortable. They are quite bien.la this wedge inside the template. Chock 40 and corresponds very well")</f>
        <v>Sandra are very comfortable. They are quite bien.la this wedge inside the template. Chock 40 and corresponds very well</v>
      </c>
    </row>
    <row r="6705">
      <c r="A6705" s="1">
        <v>5.0</v>
      </c>
      <c r="B6705" s="1" t="s">
        <v>6659</v>
      </c>
      <c r="C6705" t="str">
        <f>IFERROR(__xludf.DUMMYFUNCTION("GOOGLETRANSLATE(B6705, ""es"", ""en"")"),"perfect perfect")</f>
        <v>perfect perfect</v>
      </c>
    </row>
    <row r="6706">
      <c r="A6706" s="1">
        <v>5.0</v>
      </c>
      <c r="B6706" s="1" t="s">
        <v>6660</v>
      </c>
      <c r="C6706" t="str">
        <f>IFERROR(__xludf.DUMMYFUNCTION("GOOGLETRANSLATE(B6706, ""es"", ""en"")"),"He was looking good headphones Bluetooth wireless headset for use as work or play sports, and my attention and I decided to try them, I would definitely not wrong. Very comfortable to the touch and very light, hardly notice you're wearing. They are bonded"&amp;" very quickly with any phone. I tried to leave the phone and pretty meters away and you will not notice or a loss of signal, all perfect and uncut. Volume more than acceptable, the tone is higher somewhat lower than any other wired headset, logical. But t"&amp;"he maximum volume is slightly uncomfortable for the inconvenience. So all good in general. Definitely a good buy.")</f>
        <v>He was looking good headphones Bluetooth wireless headset for use as work or play sports, and my attention and I decided to try them, I would definitely not wrong. Very comfortable to the touch and very light, hardly notice you're wearing. They are bonded very quickly with any phone. I tried to leave the phone and pretty meters away and you will not notice or a loss of signal, all perfect and uncut. Volume more than acceptable, the tone is higher somewhat lower than any other wired headset, logical. But the maximum volume is slightly uncomfortable for the inconvenience. So all good in general. Definitely a good buy.</v>
      </c>
    </row>
    <row r="6707">
      <c r="A6707" s="1">
        <v>5.0</v>
      </c>
      <c r="B6707" s="1" t="s">
        <v>6661</v>
      </c>
      <c r="C6707" t="str">
        <f>IFERROR(__xludf.DUMMYFUNCTION("GOOGLETRANSLATE(B6707, ""es"", ""en"")"),"Good price Ideal for a christening")</f>
        <v>Good price Ideal for a christening</v>
      </c>
    </row>
    <row r="6708">
      <c r="A6708" s="1">
        <v>5.0</v>
      </c>
      <c r="B6708" s="1" t="s">
        <v>6662</v>
      </c>
      <c r="C6708" t="str">
        <f>IFERROR(__xludf.DUMMYFUNCTION("GOOGLETRANSLATE(B6708, ""es"", ""en"")"),"Just what I was looking I was looking for a Bluetooth headset for my daughter when we were traveling in motorhome might be watching her tablet and hear only the tablet and so we could listen to the radio at a time without molestarnos.Conectan Bluetooth qu"&amp;"ickly to the tablet , good sound, take up little space because they are foldable and the battery lasts enough purchase horas.Excelente")</f>
        <v>Just what I was looking I was looking for a Bluetooth headset for my daughter when we were traveling in motorhome might be watching her tablet and hear only the tablet and so we could listen to the radio at a time without molestarnos.Conectan Bluetooth quickly to the tablet , good sound, take up little space because they are foldable and the battery lasts enough purchase horas.Excelente</v>
      </c>
    </row>
    <row r="6709">
      <c r="A6709" s="1">
        <v>5.0</v>
      </c>
      <c r="B6709" s="1" t="s">
        <v>6663</v>
      </c>
      <c r="C6709" t="str">
        <f>IFERROR(__xludf.DUMMYFUNCTION("GOOGLETRANSLATE(B6709, ""es"", ""en"")"),"How small it is. Perfect for picking up those crumbs left on the table cloth and so we should not try to remove them retiralrlo or something else. It has an ideal size.")</f>
        <v>How small it is. Perfect for picking up those crumbs left on the table cloth and so we should not try to remove them retiralrlo or something else. It has an ideal size.</v>
      </c>
    </row>
    <row r="6710">
      <c r="A6710" s="1">
        <v>5.0</v>
      </c>
      <c r="B6710" s="1" t="s">
        <v>6664</v>
      </c>
      <c r="C6710" t="str">
        <f>IFERROR(__xludf.DUMMYFUNCTION("GOOGLETRANSLATE(B6710, ""es"", ""en"")"),"I have the best to practice more in handling. It is very comprehensive and great for presentations. You have to download software")</f>
        <v>I have the best to practice more in handling. It is very comprehensive and great for presentations. You have to download software</v>
      </c>
    </row>
    <row r="6711">
      <c r="A6711" s="1">
        <v>5.0</v>
      </c>
      <c r="B6711" s="1" t="s">
        <v>6665</v>
      </c>
      <c r="C6711" t="str">
        <f>IFERROR(__xludf.DUMMYFUNCTION("GOOGLETRANSLATE(B6711, ""es"", ""en"")"),"well it works properly, it is a great product and a great brand at a good price, definitely would buy again")</f>
        <v>well it works properly, it is a great product and a great brand at a good price, definitely would buy again</v>
      </c>
    </row>
    <row r="6712">
      <c r="A6712" s="1">
        <v>5.0</v>
      </c>
      <c r="B6712" s="1" t="s">
        <v>6666</v>
      </c>
      <c r="C6712" t="str">
        <f>IFERROR(__xludf.DUMMYFUNCTION("GOOGLETRANSLATE(B6712, ""es"", ""en"")"),"Perfect spectacular with great audio quality. I use to edit video and do not want others.")</f>
        <v>Perfect spectacular with great audio quality. I use to edit video and do not want others.</v>
      </c>
    </row>
    <row r="6713">
      <c r="A6713" s="1">
        <v>5.0</v>
      </c>
      <c r="B6713" s="1" t="s">
        <v>6667</v>
      </c>
      <c r="C6713" t="str">
        <f>IFERROR(__xludf.DUMMYFUNCTION("GOOGLETRANSLATE(B6713, ""es"", ""en"")"),"Good sound and beautiful sound is crisp and can get quite high. The packaging seems very cool, bring a bag to keep the headphones. Color (I chose pink) I love it. Duration remains to be seen, but for now great.")</f>
        <v>Good sound and beautiful sound is crisp and can get quite high. The packaging seems very cool, bring a bag to keep the headphones. Color (I chose pink) I love it. Duration remains to be seen, but for now great.</v>
      </c>
    </row>
    <row r="6714">
      <c r="A6714" s="1">
        <v>5.0</v>
      </c>
      <c r="B6714" s="1" t="s">
        <v>6668</v>
      </c>
      <c r="C6714" t="str">
        <f>IFERROR(__xludf.DUMMYFUNCTION("GOOGLETRANSLATE(B6714, ""es"", ""en"")"),"Elegant and very beautiful First, the watch comes in its box very well presented, plus it comes with a wrist band gift, aesthetics is very nice, better than expected, thick, blue with very nice colors and a matching belt the closure is easy and safe, the "&amp;"truth I've been pleased with the product, highly recommended.")</f>
        <v>Elegant and very beautiful First, the watch comes in its box very well presented, plus it comes with a wrist band gift, aesthetics is very nice, better than expected, thick, blue with very nice colors and a matching belt the closure is easy and safe, the truth I've been pleased with the product, highly recommended.</v>
      </c>
    </row>
    <row r="6715">
      <c r="A6715" s="1">
        <v>5.0</v>
      </c>
      <c r="B6715" s="1" t="s">
        <v>6669</v>
      </c>
      <c r="C6715" t="str">
        <f>IFERROR(__xludf.DUMMYFUNCTION("GOOGLETRANSLATE(B6715, ""es"", ""en"")"),"Good shoes. They are comfortable, I use them daily and am very happy with ellas.Dan little size, recommended order a number more than usual (I chock 46 and 47 and perfect pedi ...)")</f>
        <v>Good shoes. They are comfortable, I use them daily and am very happy with ellas.Dan little size, recommended order a number more than usual (I chock 46 and 47 and perfect pedi ...)</v>
      </c>
    </row>
    <row r="6716">
      <c r="A6716" s="1">
        <v>5.0</v>
      </c>
      <c r="B6716" s="1" t="s">
        <v>6670</v>
      </c>
      <c r="C6716" t="str">
        <f>IFERROR(__xludf.DUMMYFUNCTION("GOOGLETRANSLATE(B6716, ""es"", ""en"")"),"Relojazo for a very good price. A G-Shock comprehensive and more negative readability. Maybe, that is the most complete and best module designed I've seen in digital Casio, and it must be the negative display that best read of the world, because it is per"&amp;"fectly read, even in low light. In addition, it is very nice. A relojazo that the policy of raising and lowering the prices of Amazon, you can catch at prices half what really counts. I've seen more than 100 euros but less than 50 ... The module is impres"&amp;"sive: shows the time in all modes, alarms, countdown and clock, which many do. Moreover, the countdown is set from 1 second well, because other is configured only from 1 minute. The lighting is amazing, like a flashlight, and can be set to 1 second, 3 sec"&amp;"onds or 5 seconds there is nothing. Mute mode not sound buttons, like others, but this machine almost perfect in this way return to the home screen will indicate you what a vibration, detallazo. You feel you are using a G-SHOCK different, with ""something"&amp;" else"", with details as well. You have the option to put it on vibration mode or Flash. In the first, alarms, countdown and warnings times are only vibrations, perceived perfectly without disturbing. Flash mode will warn with typical beeps and also with "&amp;"light strokes; I might prefer to disassociate both, to save battery power. This, and lack of automatic countdown are the two things that this module is not perfect. Some people also complain about other than solar, should perhaps have taken this relojazo "&amp;"solar version too, but with the battery for 5 years, if not abused alarms, can last the least 7 or 8 years battery even more, which is not bad. It has the best world time I know, indicating the names of entire cities (go by like a bright, beautiful ad). D"&amp;"irect access to the countdown from the home screen, with steel button at the bottom right, is a past; also because this super giant screen, everything looks perfectly indicated, and such a comfortable and attractive way, you have to try to understand what"&amp;" I say. The buttons are very comfortable, infinitely more than a G-Shock 5600 and others, but not pressed by mistake ever. The whole watch is very comfortable, despite its large size. Not only are their star functions of vibration and direct access to the"&amp;" countdown, is that this watch is very well done. Reading comfort is huge, negative screen is very legible pretty well, tactically is total, is comfortable and your module is neat, attractive to see and use and very complete ... I do not understand why Ca"&amp;"sio was leaving to manufacture as soon as this relojazo ... maybe too ofracía price? Shame should be made of negative, positive and some sun versions, and would be a G-Shock Casio vendiddo and very classic brand tomorrow. Very lucky to have been able to b"&amp;"uy this, and at a price great, thanks to Amazon. Shipping as always perfect.")</f>
        <v>Relojazo for a very good price. A G-Shock comprehensive and more negative readability. Maybe, that is the most complete and best module designed I've seen in digital Casio, and it must be the negative display that best read of the world, because it is perfectly read, even in low light. In addition, it is very nice. A relojazo that the policy of raising and lowering the prices of Amazon, you can catch at prices half what really counts. I've seen more than 100 euros but less than 50 ... The module is impressive: shows the time in all modes, alarms, countdown and clock, which many do. Moreover, the countdown is set from 1 second well, because other is configured only from 1 minute. The lighting is amazing, like a flashlight, and can be set to 1 second, 3 seconds or 5 seconds there is nothing. Mute mode not sound buttons, like others, but this machine almost perfect in this way return to the home screen will indicate you what a vibration, detallazo. You feel you are using a G-SHOCK different, with "something else", with details as well. You have the option to put it on vibration mode or Flash. In the first, alarms, countdown and warnings times are only vibrations, perceived perfectly without disturbing. Flash mode will warn with typical beeps and also with light strokes; I might prefer to disassociate both, to save battery power. This, and lack of automatic countdown are the two things that this module is not perfect. Some people also complain about other than solar, should perhaps have taken this relojazo solar version too, but with the battery for 5 years, if not abused alarms, can last the least 7 or 8 years battery even more, which is not bad. It has the best world time I know, indicating the names of entire cities (go by like a bright, beautiful ad). Direct access to the countdown from the home screen, with steel button at the bottom right, is a past; also because this super giant screen, everything looks perfectly indicated, and such a comfortable and attractive way, you have to try to understand what I say. The buttons are very comfortable, infinitely more than a G-Shock 5600 and others, but not pressed by mistake ever. The whole watch is very comfortable, despite its large size. Not only are their star functions of vibration and direct access to the countdown, is that this watch is very well done. Reading comfort is huge, negative screen is very legible pretty well, tactically is total, is comfortable and your module is neat, attractive to see and use and very complete ... I do not understand why Casio was leaving to manufacture as soon as this relojazo ... maybe too ofracía price? Shame should be made of negative, positive and some sun versions, and would be a G-Shock Casio vendiddo and very classic brand tomorrow. Very lucky to have been able to buy this, and at a price great, thanks to Amazon. Shipping as always perfect.</v>
      </c>
    </row>
    <row r="6717">
      <c r="A6717" s="1">
        <v>5.0</v>
      </c>
      <c r="B6717" s="1" t="s">
        <v>6671</v>
      </c>
      <c r="C6717" t="str">
        <f>IFERROR(__xludf.DUMMYFUNCTION("GOOGLETRANSLATE(B6717, ""es"", ""en"")"),"Super chulas.Talla perfect perfect. Estimated delivery time")</f>
        <v>Super chulas.Talla perfect perfect. Estimated delivery time</v>
      </c>
    </row>
    <row r="6718">
      <c r="A6718" s="1">
        <v>5.0</v>
      </c>
      <c r="B6718" s="1" t="s">
        <v>6672</v>
      </c>
      <c r="C6718" t="str">
        <f>IFERROR(__xludf.DUMMYFUNCTION("GOOGLETRANSLATE(B6718, ""es"", ""en"")"),"Article with very good quality, would buy again and choose the same without hesitation Encantada with its value, its quality, its storage capacity. Is a great product worth paying what it is worth.")</f>
        <v>Article with very good quality, would buy again and choose the same without hesitation Encantada with its value, its quality, its storage capacity. Is a great product worth paying what it is worth.</v>
      </c>
    </row>
    <row r="6719">
      <c r="A6719" s="1">
        <v>5.0</v>
      </c>
      <c r="B6719" s="1" t="s">
        <v>6673</v>
      </c>
      <c r="C6719" t="str">
        <f>IFERROR(__xludf.DUMMYFUNCTION("GOOGLETRANSLATE(B6719, ""es"", ""en"")"),"Angel Excellent quality / price ratio. Perfect environment both indoors and outdoors. high and low noise response")</f>
        <v>Angel Excellent quality / price ratio. Perfect environment both indoors and outdoors. high and low noise response</v>
      </c>
    </row>
    <row r="6720">
      <c r="A6720" s="1">
        <v>5.0</v>
      </c>
      <c r="B6720" s="1" t="s">
        <v>6674</v>
      </c>
      <c r="C6720" t="str">
        <f>IFERROR(__xludf.DUMMYFUNCTION("GOOGLETRANSLATE(B6720, ""es"", ""en"")"),"Great Very nice.")</f>
        <v>Great Very nice.</v>
      </c>
    </row>
    <row r="6721">
      <c r="A6721" s="1">
        <v>5.0</v>
      </c>
      <c r="B6721" s="1" t="s">
        <v>6675</v>
      </c>
      <c r="C6721" t="str">
        <f>IFERROR(__xludf.DUMMYFUNCTION("GOOGLETRANSLATE(B6721, ""es"", ""en"")"),"It's what I expected. It's what I wanted, I like everything, good quality, size is appropriate and recommend it to everyone.")</f>
        <v>It's what I expected. It's what I wanted, I like everything, good quality, size is appropriate and recommend it to everyone.</v>
      </c>
    </row>
    <row r="6722">
      <c r="A6722" s="1">
        <v>5.0</v>
      </c>
      <c r="B6722" s="1" t="s">
        <v>6676</v>
      </c>
      <c r="C6722" t="str">
        <f>IFERROR(__xludf.DUMMYFUNCTION("GOOGLETRANSLATE(B6722, ""es"", ""en"")"),"Socks good quality very good, they are pinching or down, very nice on the feet and now hold the shape well, either make balls.")</f>
        <v>Socks good quality very good, they are pinching or down, very nice on the feet and now hold the shape well, either make balls.</v>
      </c>
    </row>
    <row r="6723">
      <c r="A6723" s="1">
        <v>2.0</v>
      </c>
      <c r="B6723" s="1" t="s">
        <v>6677</v>
      </c>
      <c r="C6723" t="str">
        <f>IFERROR(__xludf.DUMMYFUNCTION("GOOGLETRANSLATE(B6723, ""es"", ""en"")"),"Cojin very uncomfortable and hurt")</f>
        <v>Cojin very uncomfortable and hurt</v>
      </c>
    </row>
    <row r="6724">
      <c r="A6724" s="1">
        <v>3.0</v>
      </c>
      <c r="B6724" s="1" t="s">
        <v>6678</v>
      </c>
      <c r="C6724" t="str">
        <f>IFERROR(__xludf.DUMMYFUNCTION("GOOGLETRANSLATE(B6724, ""es"", ""en"")"),"Not bad Not what I expected but for the price you can not ask for more.")</f>
        <v>Not bad Not what I expected but for the price you can not ask for more.</v>
      </c>
    </row>
    <row r="6725">
      <c r="A6725" s="1">
        <v>3.0</v>
      </c>
      <c r="B6725" s="1" t="s">
        <v>6679</v>
      </c>
      <c r="C6725" t="str">
        <f>IFERROR(__xludf.DUMMYFUNCTION("GOOGLETRANSLATE(B6725, ""es"", ""en"")"),"Elegant but somewhat small color sphere does not correspond to the photography. It is a darker blue. Still it remains an elegant watch but somewhat smaller than it appears.")</f>
        <v>Elegant but somewhat small color sphere does not correspond to the photography. It is a darker blue. Still it remains an elegant watch but somewhat smaller than it appears.</v>
      </c>
    </row>
    <row r="6726">
      <c r="A6726" s="1">
        <v>3.0</v>
      </c>
      <c r="B6726" s="1" t="s">
        <v>6680</v>
      </c>
      <c r="C6726" t="str">
        <f>IFERROR(__xludf.DUMMYFUNCTION("GOOGLETRANSLATE(B6726, ""es"", ""en"")"),"Interesting &lt;a data-hook = ""product-link-linked"" class = ""to-link-normal"" href = ""/ Leifheit-41520-Duster-XXL-brush-for-dust / dp / B003AM89NK / ref = cm_cr_getr_d_rvw_txt ? ie = UTF8 ""&gt; Leifheit 41520 Duster XXL - Brush for dust &lt;/a&gt; the head is pe"&amp;"rfect but the handle broke on the first day. Convenient and clean. I use it daily and wash it with detergent. It remains perfectly clean.")</f>
        <v>Interesting &lt;a data-hook = "product-link-linked" class = "to-link-normal" href = "/ Leifheit-41520-Duster-XXL-brush-for-dust / dp / B003AM89NK / ref = cm_cr_getr_d_rvw_txt ? ie = UTF8 "&gt; Leifheit 41520 Duster XXL - Brush for dust &lt;/a&gt; the head is perfect but the handle broke on the first day. Convenient and clean. I use it daily and wash it with detergent. It remains perfectly clean.</v>
      </c>
    </row>
    <row r="6727">
      <c r="A6727" s="1">
        <v>1.0</v>
      </c>
      <c r="B6727" s="1" t="s">
        <v>6681</v>
      </c>
      <c r="C6727" t="str">
        <f>IFERROR(__xludf.DUMMYFUNCTION("GOOGLETRANSLATE(B6727, ""es"", ""en"")"),"I do not recommend Everything perfect except that the juicer turns on itself, making it impossible to use. Nobody really realized before removing it to the market ??? I do not recommend it")</f>
        <v>I do not recommend Everything perfect except that the juicer turns on itself, making it impossible to use. Nobody really realized before removing it to the market ??? I do not recommend it</v>
      </c>
    </row>
    <row r="6728">
      <c r="A6728" s="1">
        <v>1.0</v>
      </c>
      <c r="B6728" s="1" t="s">
        <v>6682</v>
      </c>
      <c r="C6728" t="str">
        <f>IFERROR(__xludf.DUMMYFUNCTION("GOOGLETRANSLATE(B6728, ""es"", ""en"")"),"Poor quality welding and finishing tabs The quality of the connectors is not good and its completion and welding is not good, if assembled by hand in the factory leaves much to be desired.")</f>
        <v>Poor quality welding and finishing tabs The quality of the connectors is not good and its completion and welding is not good, if assembled by hand in the factory leaves much to be desired.</v>
      </c>
    </row>
    <row r="6729">
      <c r="A6729" s="1">
        <v>4.0</v>
      </c>
      <c r="B6729" s="1" t="s">
        <v>6683</v>
      </c>
      <c r="C6729" t="str">
        <f>IFERROR(__xludf.DUMMYFUNCTION("GOOGLETRANSLATE(B6729, ""es"", ""en"")"),"Not bad. It is nice but no longer a cheap product eventually starts to get dark. Not bad for own use but is not recommended for a gift")</f>
        <v>Not bad. It is nice but no longer a cheap product eventually starts to get dark. Not bad for own use but is not recommended for a gift</v>
      </c>
    </row>
    <row r="6730">
      <c r="A6730" s="1">
        <v>4.0</v>
      </c>
      <c r="B6730" s="1" t="s">
        <v>6684</v>
      </c>
      <c r="C6730" t="str">
        <f>IFERROR(__xludf.DUMMYFUNCTION("GOOGLETRANSLATE(B6730, ""es"", ""en"")"),"comfortable and easy to use Convenient and easy to use, really it covers the expectations I had now only use and time will tell if it works. Very happy because it helps me keep track of the exercises and evaluation of them.")</f>
        <v>comfortable and easy to use Convenient and easy to use, really it covers the expectations I had now only use and time will tell if it works. Very happy because it helps me keep track of the exercises and evaluation of them.</v>
      </c>
    </row>
    <row r="6731">
      <c r="A6731" s="1">
        <v>4.0</v>
      </c>
      <c r="B6731" s="1" t="s">
        <v>6685</v>
      </c>
      <c r="C6731" t="str">
        <f>IFERROR(__xludf.DUMMYFUNCTION("GOOGLETRANSLATE(B6731, ""es"", ""en"")"),"Very good product, but. It arrived in perfect condition, and after a month of use I can say that connectivity is amazing. In addition the battery life I was pleasantly surprised, the office each week. The only bad thing is that sometimes the sound is not "&amp;"perfectly clear.")</f>
        <v>Very good product, but. It arrived in perfect condition, and after a month of use I can say that connectivity is amazing. In addition the battery life I was pleasantly surprised, the office each week. The only bad thing is that sometimes the sound is not perfectly clear.</v>
      </c>
    </row>
    <row r="6732">
      <c r="A6732" s="1">
        <v>4.0</v>
      </c>
      <c r="B6732" s="1" t="s">
        <v>6686</v>
      </c>
      <c r="C6732" t="str">
        <f>IFERROR(__xludf.DUMMYFUNCTION("GOOGLETRANSLATE(B6732, ""es"", ""en"")"),"practical gift")</f>
        <v>practical gift</v>
      </c>
    </row>
    <row r="6733">
      <c r="A6733" s="1">
        <v>5.0</v>
      </c>
      <c r="B6733" s="1" t="s">
        <v>6687</v>
      </c>
      <c r="C6733" t="str">
        <f>IFERROR(__xludf.DUMMYFUNCTION("GOOGLETRANSLATE(B6733, ""es"", ""en"")"),"silver necklace. very elegant and fine. I like it. the result is not. it looks so good. I recommend it. perhaps repeat purchase")</f>
        <v>silver necklace. very elegant and fine. I like it. the result is not. it looks so good. I recommend it. perhaps repeat purchase</v>
      </c>
    </row>
    <row r="6734">
      <c r="A6734" s="1">
        <v>5.0</v>
      </c>
      <c r="B6734" s="1" t="s">
        <v>6688</v>
      </c>
      <c r="C6734" t="str">
        <f>IFERROR(__xludf.DUMMYFUNCTION("GOOGLETRANSLATE(B6734, ""es"", ""en"")"),"Its great size is ideal. We use it to heat water for tea. Recommended not to be used to heat milk, I do not probare case. It cleans easily")</f>
        <v>Its great size is ideal. We use it to heat water for tea. Recommended not to be used to heat milk, I do not probare case. It cleans easily</v>
      </c>
    </row>
    <row r="6735">
      <c r="A6735" s="1">
        <v>5.0</v>
      </c>
      <c r="B6735" s="1" t="s">
        <v>6689</v>
      </c>
      <c r="C6735" t="str">
        <f>IFERROR(__xludf.DUMMYFUNCTION("GOOGLETRANSLATE(B6735, ""es"", ""en"")"),"IMPRESSIVE THROUGHOUT I freaked. Sound insulation is perfect. You hear that hallucinate, the bass is amazing. The hitting a session premiered 5 chapters of a series I'm seeing, so I put more than 4 hours without discomfort, do not get tired of taking them"&amp;". perfectly around the ear. Pair it easy for bluetooth, is press a button and go. Regarding the received packet, is very carefully worked and stylish, the box, everything. In order that the purchase has been a success, no doubt recommended. EDIT: I have t"&amp;"hem already 3 weeks. They continue hearing great. The battery is not spent, the load the first day and still not have been reloaded, I'm waiting to see when they spend. I've seen 1st Season 3 series and some loose Netflix movies and still without burdenin"&amp;"g need. Ah! a detail, I have tried to link up with the PS4 my son and me not admitted. The only drawback is that for now I have seen, but as I bought them for that, I count only as a curiosity. I have linked perfectly with the phone, with the iPad, with T"&amp;"V, with Team Yamaha music and a sound transmitter bluetooth Buy on Amazon baratero for computers that do not have bluetooth.")</f>
        <v>IMPRESSIVE THROUGHOUT I freaked. Sound insulation is perfect. You hear that hallucinate, the bass is amazing. The hitting a session premiered 5 chapters of a series I'm seeing, so I put more than 4 hours without discomfort, do not get tired of taking them. perfectly around the ear. Pair it easy for bluetooth, is press a button and go. Regarding the received packet, is very carefully worked and stylish, the box, everything. In order that the purchase has been a success, no doubt recommended. EDIT: I have them already 3 weeks. They continue hearing great. The battery is not spent, the load the first day and still not have been reloaded, I'm waiting to see when they spend. I've seen 1st Season 3 series and some loose Netflix movies and still without burdening need. Ah! a detail, I have tried to link up with the PS4 my son and me not admitted. The only drawback is that for now I have seen, but as I bought them for that, I count only as a curiosity. I have linked perfectly with the phone, with the iPad, with TV, with Team Yamaha music and a sound transmitter bluetooth Buy on Amazon baratero for computers that do not have bluetooth.</v>
      </c>
    </row>
    <row r="6736">
      <c r="A6736" s="1">
        <v>5.0</v>
      </c>
      <c r="B6736" s="1" t="s">
        <v>6690</v>
      </c>
      <c r="C6736" t="str">
        <f>IFERROR(__xludf.DUMMYFUNCTION("GOOGLETRANSLATE(B6736, ""es"", ""en"")"),"Hear and work very well be heard well. They are easy to set up, you just have to get them out of the cargo box and press the button on each stereo headphones to configure them. And then connect to the Bluetooth device you want. You can also use one in Mon"&amp;"o. The battery lasts long enough, in constant use, about two hours. And they loaded into the box, without being required to be connected to power, because the box, in turn, has battery. From the button of the handset you can pause songs and videos, and yo"&amp;"u can move forward or backward, so we can listen to music without touching the phone being")</f>
        <v>Hear and work very well be heard well. They are easy to set up, you just have to get them out of the cargo box and press the button on each stereo headphones to configure them. And then connect to the Bluetooth device you want. You can also use one in Mono. The battery lasts long enough, in constant use, about two hours. And they loaded into the box, without being required to be connected to power, because the box, in turn, has battery. From the button of the handset you can pause songs and videos, and you can move forward or backward, so we can listen to music without touching the phone being</v>
      </c>
    </row>
    <row r="6737">
      <c r="A6737" s="1">
        <v>5.0</v>
      </c>
      <c r="B6737" s="1" t="s">
        <v>6691</v>
      </c>
      <c r="C6737" t="str">
        <f>IFERROR(__xludf.DUMMYFUNCTION("GOOGLETRANSLATE(B6737, ""es"", ""en"")"),"I love Great")</f>
        <v>I love Great</v>
      </c>
    </row>
    <row r="6738">
      <c r="A6738" s="1">
        <v>5.0</v>
      </c>
      <c r="B6738" s="1" t="s">
        <v>6692</v>
      </c>
      <c r="C6738" t="str">
        <f>IFERROR(__xludf.DUMMYFUNCTION("GOOGLETRANSLATE(B6738, ""es"", ""en"")"),"All perfect perfect all we have in the office and delighted to take our perfect tea water heats up quickly and is super convenient")</f>
        <v>All perfect perfect all we have in the office and delighted to take our perfect tea water heats up quickly and is super convenient</v>
      </c>
    </row>
    <row r="6739">
      <c r="A6739" s="1">
        <v>5.0</v>
      </c>
      <c r="B6739" s="1" t="s">
        <v>6693</v>
      </c>
      <c r="C6739" t="str">
        <f>IFERROR(__xludf.DUMMYFUNCTION("GOOGLETRANSLATE(B6739, ""es"", ""en"")"),"Very practical The article is quite light and has the basics I needed. Perfect for use I'm giving you. Cheers")</f>
        <v>Very practical The article is quite light and has the basics I needed. Perfect for use I'm giving you. Cheers</v>
      </c>
    </row>
    <row r="6740">
      <c r="A6740" s="1">
        <v>5.0</v>
      </c>
      <c r="B6740" s="1" t="s">
        <v>6694</v>
      </c>
      <c r="C6740" t="str">
        <f>IFERROR(__xludf.DUMMYFUNCTION("GOOGLETRANSLATE(B6740, ""es"", ""en"")"),"It was a gift for my granddaughter has been very happy ... good toy")</f>
        <v>It was a gift for my granddaughter has been very happy ... good toy</v>
      </c>
    </row>
    <row r="6741">
      <c r="A6741" s="1">
        <v>5.0</v>
      </c>
      <c r="B6741" s="1" t="s">
        <v>6695</v>
      </c>
      <c r="C6741" t="str">
        <f>IFERROR(__xludf.DUMMYFUNCTION("GOOGLETRANSLATE(B6741, ""es"", ""en"")"),"Very nice comfortable and practical is fine, ideal for spring, meantime, it is very well placed, accurate picture, the bottom is set, repeat it in another color.")</f>
        <v>Very nice comfortable and practical is fine, ideal for spring, meantime, it is very well placed, accurate picture, the bottom is set, repeat it in another color.</v>
      </c>
    </row>
    <row r="6742">
      <c r="A6742" s="1">
        <v>5.0</v>
      </c>
      <c r="B6742" s="1" t="s">
        <v>6696</v>
      </c>
      <c r="C6742" t="str">
        <f>IFERROR(__xludf.DUMMYFUNCTION("GOOGLETRANSLATE(B6742, ""es"", ""en"")"),"Excellent Excellent shoe. The second pair I have, by that I mean everything. The use for every day, super comfortable. The above about 5 years that I have made, and the sole if somewhat worn, is still with the drawing.")</f>
        <v>Excellent Excellent shoe. The second pair I have, by that I mean everything. The use for every day, super comfortable. The above about 5 years that I have made, and the sole if somewhat worn, is still with the drawing.</v>
      </c>
    </row>
    <row r="6743">
      <c r="A6743" s="1">
        <v>5.0</v>
      </c>
      <c r="B6743" s="1" t="s">
        <v>6697</v>
      </c>
      <c r="C6743" t="str">
        <f>IFERROR(__xludf.DUMMYFUNCTION("GOOGLETRANSLATE(B6743, ""es"", ""en"")"),"Lightweight and comfortable light and elegant watch for both men and women, ideal for people with small wrist. Resistant material, recommended purchase.")</f>
        <v>Lightweight and comfortable light and elegant watch for both men and women, ideal for people with small wrist. Resistant material, recommended purchase.</v>
      </c>
    </row>
    <row r="6744">
      <c r="A6744" s="1">
        <v>5.0</v>
      </c>
      <c r="B6744" s="1" t="s">
        <v>6698</v>
      </c>
      <c r="C6744" t="str">
        <f>IFERROR(__xludf.DUMMYFUNCTION("GOOGLETRANSLATE(B6744, ""es"", ""en"")"),"Contenta a success with fast shipping. Actually I'm not used to use headphones that are inserted into the ear but I have no complaint about your comfort, come with different sizes of ear pads different (better hygiene and better adaptation). Superior soun"&amp;"d quality than I expected, with signal light to indicate battery status. The packaging is right next well protected and very easy to pair with your mobile. Headphones storage box with magnetic closure, with elegant design and small, perfect size to carry "&amp;"in your bag without take care overkill. Color black, button shape. When removed from the cargo directly report the battery status on the phone, I think it is information useful torque warn with time the battery status and thus not take a surprise since th"&amp;"e signal light indicates the battery now, when headphones are charging the white light is on and when they are already loaded turns off. Each handset carries a button as you can see, where you control calls and music without having to handle the phone. An"&amp;"d finally, something important in relation to the battery, go out for themselves if they do not connect with any device in a few minutes. Product and vendor recommended.")</f>
        <v>Contenta a success with fast shipping. Actually I'm not used to use headphones that are inserted into the ear but I have no complaint about your comfort, come with different sizes of ear pads different (better hygiene and better adaptation). Superior sound quality than I expected, with signal light to indicate battery status. The packaging is right next well protected and very easy to pair with your mobile. Headphones storage box with magnetic closure, with elegant design and small, perfect size to carry in your bag without take care overkill. Color black, button shape. When removed from the cargo directly report the battery status on the phone, I think it is information useful torque warn with time the battery status and thus not take a surprise since the signal light indicates the battery now, when headphones are charging the white light is on and when they are already loaded turns off. Each handset carries a button as you can see, where you control calls and music without having to handle the phone. And finally, something important in relation to the battery, go out for themselves if they do not connect with any device in a few minutes. Product and vendor recommended.</v>
      </c>
    </row>
    <row r="6745">
      <c r="A6745" s="1">
        <v>5.0</v>
      </c>
      <c r="B6745" s="1" t="s">
        <v>6699</v>
      </c>
      <c r="C6745" t="str">
        <f>IFERROR(__xludf.DUMMYFUNCTION("GOOGLETRANSLATE(B6745, ""es"", ""en"")"),"CONVENIENCE not easy to find such a comfortable shoe like this")</f>
        <v>CONVENIENCE not easy to find such a comfortable shoe like this</v>
      </c>
    </row>
    <row r="6746">
      <c r="A6746" s="1">
        <v>5.0</v>
      </c>
      <c r="B6746" s="1" t="s">
        <v>6700</v>
      </c>
      <c r="C6746" t="str">
        <f>IFERROR(__xludf.DUMMYFUNCTION("GOOGLETRANSLATE(B6746, ""es"", ""en"")"),"Very cool are great, they were for a gift and every perfect")</f>
        <v>Very cool are great, they were for a gift and every perfect</v>
      </c>
    </row>
    <row r="6747">
      <c r="A6747" s="1">
        <v>5.0</v>
      </c>
      <c r="B6747" s="1" t="s">
        <v>6701</v>
      </c>
      <c r="C6747" t="str">
        <f>IFERROR(__xludf.DUMMYFUNCTION("GOOGLETRANSLATE(B6747, ""es"", ""en"")"),"Buy great Very comfortable to scrape the grill plates type. Mango very comfortable and good buy. I would buy it without hesitation.")</f>
        <v>Buy great Very comfortable to scrape the grill plates type. Mango very comfortable and good buy. I would buy it without hesitation.</v>
      </c>
    </row>
    <row r="6748">
      <c r="A6748" s="1">
        <v>5.0</v>
      </c>
      <c r="B6748" s="1" t="s">
        <v>6702</v>
      </c>
      <c r="C6748" t="str">
        <f>IFERROR(__xludf.DUMMYFUNCTION("GOOGLETRANSLATE(B6748, ""es"", ""en"")"),"Very Good Large capacity, fast. Good material. You can easily choose temperature range 60-100 degrees. 4 months ago I use it every day and works very well.")</f>
        <v>Very Good Large capacity, fast. Good material. You can easily choose temperature range 60-100 degrees. 4 months ago I use it every day and works very well.</v>
      </c>
    </row>
    <row r="6749">
      <c r="A6749" s="1">
        <v>5.0</v>
      </c>
      <c r="B6749" s="1" t="s">
        <v>6703</v>
      </c>
      <c r="C6749" t="str">
        <f>IFERROR(__xludf.DUMMYFUNCTION("GOOGLETRANSLATE(B6749, ""es"", ""en"")"),"Great article is a quality item. As expected of a great brand. It is already the third pair I buy and keep buying insurance.")</f>
        <v>Great article is a quality item. As expected of a great brand. It is already the third pair I buy and keep buying insurance.</v>
      </c>
    </row>
    <row r="6750">
      <c r="A6750" s="1">
        <v>5.0</v>
      </c>
      <c r="B6750" s="1" t="s">
        <v>6704</v>
      </c>
      <c r="C6750" t="str">
        <f>IFERROR(__xludf.DUMMYFUNCTION("GOOGLETRANSLATE(B6750, ""es"", ""en"")"),"Real I like a lot, got a good price and fits very well, I ordered the regular size without problem.")</f>
        <v>Real I like a lot, got a good price and fits very well, I ordered the regular size without problem.</v>
      </c>
    </row>
    <row r="6751">
      <c r="A6751" s="1">
        <v>5.0</v>
      </c>
      <c r="B6751" s="1" t="s">
        <v>6705</v>
      </c>
      <c r="C6751" t="str">
        <f>IFERROR(__xludf.DUMMYFUNCTION("GOOGLETRANSLATE(B6751, ""es"", ""en"")"),"Quiet, lightweight and easy to clean was looking for a humidifier to put essential oils at home so we can get activated by odors or relax. I ordered this because I saw light and I like the detail that can change color and thus play not only with the smell"&amp;"s, the lights also. The details of the command is great to be able to control it from afar. It is also very light and does not feel sleazy. As for the advantages of the ultrasonic humidifier is compared to the other two types are quieter, and it is true, "&amp;"it is very quiet. The only thing that I recommend is that you be very hygienic with the device, because moisture is a perfect breeding ground for bacteria, the device is easy to clean, which also grateful. In short: it's cheap, it is silent, has lights th"&amp;"at change color and create atmosphere and is easy to clean, so I recommend it.")</f>
        <v>Quiet, lightweight and easy to clean was looking for a humidifier to put essential oils at home so we can get activated by odors or relax. I ordered this because I saw light and I like the detail that can change color and thus play not only with the smells, the lights also. The details of the command is great to be able to control it from afar. It is also very light and does not feel sleazy. As for the advantages of the ultrasonic humidifier is compared to the other two types are quieter, and it is true, it is very quiet. The only thing that I recommend is that you be very hygienic with the device, because moisture is a perfect breeding ground for bacteria, the device is easy to clean, which also grateful. In short: it's cheap, it is silent, has lights that change color and create atmosphere and is easy to clean, so I recommend it.</v>
      </c>
    </row>
    <row r="6752">
      <c r="A6752" s="1">
        <v>2.0</v>
      </c>
      <c r="B6752" s="1" t="s">
        <v>6706</v>
      </c>
      <c r="C6752" t="str">
        <f>IFERROR(__xludf.DUMMYFUNCTION("GOOGLETRANSLATE(B6752, ""es"", ""en"")"),"Shoulder bag is cool but it is very small.")</f>
        <v>Shoulder bag is cool but it is very small.</v>
      </c>
    </row>
    <row r="6753">
      <c r="A6753" s="1">
        <v>3.0</v>
      </c>
      <c r="B6753" s="1" t="s">
        <v>6707</v>
      </c>
      <c r="C6753" t="str">
        <f>IFERROR(__xludf.DUMMYFUNCTION("GOOGLETRANSLATE(B6753, ""es"", ""en"")"),"Very nice and good quality are but part of the heel is shallow and makes me incómodo.Aptas for people with wide feet.")</f>
        <v>Very nice and good quality are but part of the heel is shallow and makes me incómodo.Aptas for people with wide feet.</v>
      </c>
    </row>
    <row r="6754">
      <c r="A6754" s="1">
        <v>1.0</v>
      </c>
      <c r="B6754" s="1" t="s">
        <v>6708</v>
      </c>
      <c r="C6754" t="str">
        <f>IFERROR(__xludf.DUMMYFUNCTION("GOOGLETRANSLATE(B6754, ""es"", ""en"")"),"Lousy materials bought this model on 21 September 2017 in 3 months has molten plastic mouth. Good power, good accessories, the engine well but the materials are laughable (my daughter's toys that are better made). In short: A POTATO")</f>
        <v>Lousy materials bought this model on 21 September 2017 in 3 months has molten plastic mouth. Good power, good accessories, the engine well but the materials are laughable (my daughter's toys that are better made). In short: A POTATO</v>
      </c>
    </row>
    <row r="6755">
      <c r="A6755" s="1">
        <v>1.0</v>
      </c>
      <c r="B6755" s="1" t="s">
        <v>6709</v>
      </c>
      <c r="C6755" t="str">
        <f>IFERROR(__xludf.DUMMYFUNCTION("GOOGLETRANSLATE(B6755, ""es"", ""en"")"),"I lasted one month. Buy mixer relying on the great brand is Bosch. I bought other Bosch products and have always been satisfied. At the beginning it worked properly. However at the end of a month use approximately stopped working. He made no burning smell"&amp;" or anything. I gave him use very occasionally, to make some cream occasionally. Look at reviews on Amazon and saw that more consumers had had this same problem. Bosch hopefully resolve this problem, consumers others my suggestion is to be cautious if buy"&amp;"ing is this thinking this product yet.")</f>
        <v>I lasted one month. Buy mixer relying on the great brand is Bosch. I bought other Bosch products and have always been satisfied. At the beginning it worked properly. However at the end of a month use approximately stopped working. He made no burning smell or anything. I gave him use very occasionally, to make some cream occasionally. Look at reviews on Amazon and saw that more consumers had had this same problem. Bosch hopefully resolve this problem, consumers others my suggestion is to be cautious if buying is this thinking this product yet.</v>
      </c>
    </row>
    <row r="6756">
      <c r="A6756" s="1">
        <v>4.0</v>
      </c>
      <c r="B6756" s="1" t="s">
        <v>6710</v>
      </c>
      <c r="C6756" t="str">
        <f>IFERROR(__xludf.DUMMYFUNCTION("GOOGLETRANSLATE(B6756, ""es"", ""en"")"),"They are not bad, but expensive. Amazing, beautiful skin are and had never seen them, are more expensive than cloth .... But surely get dirty less and endure more. A test them and see what they last, if they behave worse than expected will review the opin"&amp;"ion. A little expensive if they are.")</f>
        <v>They are not bad, but expensive. Amazing, beautiful skin are and had never seen them, are more expensive than cloth .... But surely get dirty less and endure more. A test them and see what they last, if they behave worse than expected will review the opinion. A little expensive if they are.</v>
      </c>
    </row>
    <row r="6757">
      <c r="A6757" s="1">
        <v>4.0</v>
      </c>
      <c r="B6757" s="1" t="s">
        <v>6711</v>
      </c>
      <c r="C6757" t="str">
        <f>IFERROR(__xludf.DUMMYFUNCTION("GOOGLETRANSLATE(B6757, ""es"", ""en"")"),"It works fine but noisy! Nice and it works. The only thing is that long ago noise while heating the water! Came quickly.")</f>
        <v>It works fine but noisy! Nice and it works. The only thing is that long ago noise while heating the water! Came quickly.</v>
      </c>
    </row>
    <row r="6758">
      <c r="A6758" s="1">
        <v>4.0</v>
      </c>
      <c r="B6758" s="1" t="s">
        <v>6712</v>
      </c>
      <c r="C6758" t="str">
        <f>IFERROR(__xludf.DUMMYFUNCTION("GOOGLETRANSLATE(B6758, ""es"", ""en"")"),"Good card case. The case came in a resealable bag ""zip"". 18 used to store SD cards and 4 other type size CF. It is a way to have collected all SD cards that you never find. I have a waterproof and rugged case, but with fewer departments. It also comes w"&amp;"ith pegaitanas to identify the slots. Úico it is that inserting and removing cards is a little uncomfortable.")</f>
        <v>Good card case. The case came in a resealable bag "zip". 18 used to store SD cards and 4 other type size CF. It is a way to have collected all SD cards that you never find. I have a waterproof and rugged case, but with fewer departments. It also comes with pegaitanas to identify the slots. Úico it is that inserting and removing cards is a little uncomfortable.</v>
      </c>
    </row>
    <row r="6759">
      <c r="A6759" s="1">
        <v>4.0</v>
      </c>
      <c r="B6759" s="1" t="s">
        <v>6713</v>
      </c>
      <c r="C6759" t="str">
        <f>IFERROR(__xludf.DUMMYFUNCTION("GOOGLETRANSLATE(B6759, ""es"", ""en"")"),"Many markers well priced. I have not had the chance yet to spot a fake ticket, but if you write about a ticket and no business in it is supposed to be authentic. very cheap price and scribbles enough. I always carry one on top of the backpack if you ever "&amp;"give me any of doubtful origin.")</f>
        <v>Many markers well priced. I have not had the chance yet to spot a fake ticket, but if you write about a ticket and no business in it is supposed to be authentic. very cheap price and scribbles enough. I always carry one on top of the backpack if you ever give me any of doubtful origin.</v>
      </c>
    </row>
    <row r="6760">
      <c r="A6760" s="1">
        <v>4.0</v>
      </c>
      <c r="B6760" s="1" t="s">
        <v>6714</v>
      </c>
      <c r="C6760" t="str">
        <f>IFERROR(__xludf.DUMMYFUNCTION("GOOGLETRANSLATE(B6760, ""es"", ""en"")"),"It is an evolved mop mop I was waiting, I used only once, but used well and to me is great because now I can not do so great strength and the result")</f>
        <v>It is an evolved mop mop I was waiting, I used only once, but used well and to me is great because now I can not do so great strength and the result</v>
      </c>
    </row>
    <row r="6761">
      <c r="A6761" s="1">
        <v>5.0</v>
      </c>
      <c r="B6761" s="1" t="s">
        <v>6715</v>
      </c>
      <c r="C6761" t="str">
        <f>IFERROR(__xludf.DUMMYFUNCTION("GOOGLETRANSLATE(B6761, ""es"", ""en"")"),"Precious watch The watch is very nice and super comfortable, recommend, buy one for me and one for my boy who also was enchanted.")</f>
        <v>Precious watch The watch is very nice and super comfortable, recommend, buy one for me and one for my boy who also was enchanted.</v>
      </c>
    </row>
    <row r="6762">
      <c r="A6762" s="1">
        <v>5.0</v>
      </c>
      <c r="B6762" s="1" t="s">
        <v>6716</v>
      </c>
      <c r="C6762" t="str">
        <f>IFERROR(__xludf.DUMMYFUNCTION("GOOGLETRANSLATE(B6762, ""es"", ""en"")"),"I love!!! The finish is very fine, I love it, good buy, hopefully take out other animals, also bought the owl and of great")</f>
        <v>I love!!! The finish is very fine, I love it, good buy, hopefully take out other animals, also bought the owl and of great</v>
      </c>
    </row>
    <row r="6763">
      <c r="A6763" s="1">
        <v>5.0</v>
      </c>
      <c r="B6763" s="1" t="s">
        <v>6717</v>
      </c>
      <c r="C6763" t="str">
        <f>IFERROR(__xludf.DUMMYFUNCTION("GOOGLETRANSLATE(B6763, ""es"", ""en"")"),"Good value for money I saved my life on a journey to my first coffee. Convenient for travel")</f>
        <v>Good value for money I saved my life on a journey to my first coffee. Convenient for travel</v>
      </c>
    </row>
    <row r="6764">
      <c r="A6764" s="1">
        <v>5.0</v>
      </c>
      <c r="B6764" s="1" t="s">
        <v>6718</v>
      </c>
      <c r="C6764" t="str">
        <f>IFERROR(__xludf.DUMMYFUNCTION("GOOGLETRANSLATE(B6764, ""es"", ""en"")"),"subtle and elegant scents. Essential oils of the best I've tasted. I received them very quickly, they come with an excellent presentation with 8 bottles very well protected. Each brings a different, subtle and elegant essence all so do not cloy nor tired."&amp;" Ideal for use with the vaporizer recommended by the brand. I recommend gift. I will buy more in the face of Christmas.")</f>
        <v>subtle and elegant scents. Essential oils of the best I've tasted. I received them very quickly, they come with an excellent presentation with 8 bottles very well protected. Each brings a different, subtle and elegant essence all so do not cloy nor tired. Ideal for use with the vaporizer recommended by the brand. I recommend gift. I will buy more in the face of Christmas.</v>
      </c>
    </row>
    <row r="6765">
      <c r="A6765" s="1">
        <v>5.0</v>
      </c>
      <c r="B6765" s="1" t="s">
        <v>6719</v>
      </c>
      <c r="C6765" t="str">
        <f>IFERROR(__xludf.DUMMYFUNCTION("GOOGLETRANSLATE(B6765, ""es"", ""en"")"),"Ideal Perfect. It looks great with skirts. My son loved him. Very elegant, solid, just enough space for a mobile phone and a wallet.")</f>
        <v>Ideal Perfect. It looks great with skirts. My son loved him. Very elegant, solid, just enough space for a mobile phone and a wallet.</v>
      </c>
    </row>
    <row r="6766">
      <c r="A6766" s="1">
        <v>5.0</v>
      </c>
      <c r="B6766" s="1" t="s">
        <v>6720</v>
      </c>
      <c r="C6766" t="str">
        <f>IFERROR(__xludf.DUMMYFUNCTION("GOOGLETRANSLATE(B6766, ""es"", ""en"")"),"Good product is great and I stay the same as in the photo. good stuff.")</f>
        <v>Good product is great and I stay the same as in the photo. good stuff.</v>
      </c>
    </row>
    <row r="6767">
      <c r="A6767" s="1">
        <v>5.0</v>
      </c>
      <c r="B6767" s="1" t="s">
        <v>6721</v>
      </c>
      <c r="C6767" t="str">
        <f>IFERROR(__xludf.DUMMYFUNCTION("GOOGLETRANSLATE(B6767, ""es"", ""en"")"),"They concentrated smell different aromas allowing me to change everyday containers are small but yield much because the aroma is very concentrated, in fact mix it with a little water smell wonderful and there is so much variety that will this pretty box")</f>
        <v>They concentrated smell different aromas allowing me to change everyday containers are small but yield much because the aroma is very concentrated, in fact mix it with a little water smell wonderful and there is so much variety that will this pretty box</v>
      </c>
    </row>
    <row r="6768">
      <c r="A6768" s="1">
        <v>5.0</v>
      </c>
      <c r="B6768" s="1" t="s">
        <v>6722</v>
      </c>
      <c r="C6768" t="str">
        <f>IFERROR(__xludf.DUMMYFUNCTION("GOOGLETRANSLATE(B6768, ""es"", ""en"")"),"Bag I like")</f>
        <v>Bag I like</v>
      </c>
    </row>
    <row r="6769">
      <c r="A6769" s="1">
        <v>5.0</v>
      </c>
      <c r="B6769" s="1" t="s">
        <v>6723</v>
      </c>
      <c r="C6769" t="str">
        <f>IFERROR(__xludf.DUMMYFUNCTION("GOOGLETRANSLATE(B6769, ""es"", ""en"")"),"Very pleased with the purchase I'm happier with this purchase than I expected. The transfer rate is very good, has a lot of ability (I bought the 2TB) and the computer detects it instantly. The only drawback is that the bottom is not anti-skid. I use it w"&amp;"ithout drawing the whole of the case, not to accidentally throw. The cable is relatively short (about 44cm + -) but not bad. I would buy it.")</f>
        <v>Very pleased with the purchase I'm happier with this purchase than I expected. The transfer rate is very good, has a lot of ability (I bought the 2TB) and the computer detects it instantly. The only drawback is that the bottom is not anti-skid. I use it without drawing the whole of the case, not to accidentally throw. The cable is relatively short (about 44cm + -) but not bad. I would buy it.</v>
      </c>
    </row>
    <row r="6770">
      <c r="A6770" s="1">
        <v>5.0</v>
      </c>
      <c r="B6770" s="1" t="s">
        <v>6724</v>
      </c>
      <c r="C6770" t="str">
        <f>IFERROR(__xludf.DUMMYFUNCTION("GOOGLETRANSLATE(B6770, ""es"", ""en"")"),"Wake ideal is a perfect alarm clock that recreates the light of sunrise and sunset for smoother and without jolts awake, has option to put two alarms, you can choose the type and intensity of light you want, you have several sounds to choose or you can pu"&amp;"t on a radio station as an alarm clock. It has a backup battery in case the power goes out. Almost weightless and design is very minimalist. It is easy to set up with the manual.")</f>
        <v>Wake ideal is a perfect alarm clock that recreates the light of sunrise and sunset for smoother and without jolts awake, has option to put two alarms, you can choose the type and intensity of light you want, you have several sounds to choose or you can put on a radio station as an alarm clock. It has a backup battery in case the power goes out. Almost weightless and design is very minimalist. It is easy to set up with the manual.</v>
      </c>
    </row>
    <row r="6771">
      <c r="A6771" s="1">
        <v>5.0</v>
      </c>
      <c r="B6771" s="1" t="s">
        <v>6725</v>
      </c>
      <c r="C6771" t="str">
        <f>IFERROR(__xludf.DUMMYFUNCTION("GOOGLETRANSLATE(B6771, ""es"", ""en"")"),"Cable perfect very practical to separate the audio input and output to connect headphones handsfree are tiny and the tips and the head are very robust")</f>
        <v>Cable perfect very practical to separate the audio input and output to connect headphones handsfree are tiny and the tips and the head are very robust</v>
      </c>
    </row>
    <row r="6772">
      <c r="A6772" s="1">
        <v>5.0</v>
      </c>
      <c r="B6772" s="1" t="s">
        <v>6726</v>
      </c>
      <c r="C6772" t="str">
        <f>IFERROR(__xludf.DUMMYFUNCTION("GOOGLETRANSLATE(B6772, ""es"", ""en"")"),"Good perfect.")</f>
        <v>Good perfect.</v>
      </c>
    </row>
    <row r="6773">
      <c r="A6773" s="1">
        <v>5.0</v>
      </c>
      <c r="B6773" s="1" t="s">
        <v>6727</v>
      </c>
      <c r="C6773" t="str">
        <f>IFERROR(__xludf.DUMMYFUNCTION("GOOGLETRANSLATE(B6773, ""es"", ""en"")"),"Great fit and excellent price is as expected")</f>
        <v>Great fit and excellent price is as expected</v>
      </c>
    </row>
    <row r="6774">
      <c r="A6774" s="1">
        <v>5.0</v>
      </c>
      <c r="B6774" s="1" t="s">
        <v>6728</v>
      </c>
      <c r="C6774" t="str">
        <f>IFERROR(__xludf.DUMMYFUNCTION("GOOGLETRANSLATE(B6774, ""es"", ""en"")"),"Good quality notice the difference in thickness and glue because they have higher quality than the cheaper price.")</f>
        <v>Good quality notice the difference in thickness and glue because they have higher quality than the cheaper price.</v>
      </c>
    </row>
    <row r="6775">
      <c r="A6775" s="1">
        <v>5.0</v>
      </c>
      <c r="B6775" s="1" t="s">
        <v>6729</v>
      </c>
      <c r="C6775" t="str">
        <f>IFERROR(__xludf.DUMMYFUNCTION("GOOGLETRANSLATE(B6775, ""es"", ""en"")"),"Perfect thank you very much Very nice just to stay dry")</f>
        <v>Perfect thank you very much Very nice just to stay dry</v>
      </c>
    </row>
    <row r="6776">
      <c r="A6776" s="1">
        <v>5.0</v>
      </c>
      <c r="B6776" s="1" t="s">
        <v>6730</v>
      </c>
      <c r="C6776" t="str">
        <f>IFERROR(__xludf.DUMMYFUNCTION("GOOGLETRANSLATE(B6776, ""es"", ""en"")"),"To put on your keychain I am a computer and I need to always carry a USB flash drive, this can be left on the key ring perfectly and looks robust")</f>
        <v>To put on your keychain I am a computer and I need to always carry a USB flash drive, this can be left on the key ring perfectly and looks robust</v>
      </c>
    </row>
    <row r="6777">
      <c r="A6777" s="1">
        <v>5.0</v>
      </c>
      <c r="B6777" s="1" t="s">
        <v>6731</v>
      </c>
      <c r="C6777" t="str">
        <f>IFERROR(__xludf.DUMMYFUNCTION("GOOGLETRANSLATE(B6777, ""es"", ""en"")"),"Perfect is a simple and perfectly fulfills its purpose product, I liked it, I leave a photo, the microphone not included haha ​​of course it's mine THANK YOU!")</f>
        <v>Perfect is a simple and perfectly fulfills its purpose product, I liked it, I leave a photo, the microphone not included haha ​​of course it's mine THANK YOU!</v>
      </c>
    </row>
    <row r="6778">
      <c r="A6778" s="1">
        <v>5.0</v>
      </c>
      <c r="B6778" s="1" t="s">
        <v>6732</v>
      </c>
      <c r="C6778" t="str">
        <f>IFERROR(__xludf.DUMMYFUNCTION("GOOGLETRANSLATE(B6778, ""es"", ""en"")"),"'A great buy !! The truth is I'm delighted. It works like a charm and I have not needed to install anything (apart from the extra software that brings gift). The audio quality I love and can set-la in many ways. A success")</f>
        <v>'A great buy !! The truth is I'm delighted. It works like a charm and I have not needed to install anything (apart from the extra software that brings gift). The audio quality I love and can set-la in many ways. A success</v>
      </c>
    </row>
    <row r="6779">
      <c r="A6779" s="1">
        <v>5.0</v>
      </c>
      <c r="B6779" s="1" t="s">
        <v>6733</v>
      </c>
      <c r="C6779" t="str">
        <f>IFERROR(__xludf.DUMMYFUNCTION("GOOGLETRANSLATE(B6779, ""es"", ""en"")"),"Fits perfecto¡ perfecto¡")</f>
        <v>Fits perfecto¡ perfecto¡</v>
      </c>
    </row>
    <row r="6780">
      <c r="A6780" s="1">
        <v>2.0</v>
      </c>
      <c r="B6780" s="1" t="s">
        <v>6734</v>
      </c>
      <c r="C6780" t="str">
        <f>IFERROR(__xludf.DUMMYFUNCTION("GOOGLETRANSLATE(B6780, ""es"", ""en"")"),"Lapel microphone does not work. The product works with another microphone, the microphone that came with the station does not work with any apparatus gender.")</f>
        <v>Lapel microphone does not work. The product works with another microphone, the microphone that came with the station does not work with any apparatus gender.</v>
      </c>
    </row>
    <row r="6781">
      <c r="A6781" s="1">
        <v>3.0</v>
      </c>
      <c r="B6781" s="1" t="s">
        <v>6735</v>
      </c>
      <c r="C6781" t="str">
        <f>IFERROR(__xludf.DUMMYFUNCTION("GOOGLETRANSLATE(B6781, ""es"", ""en"")"),"Some failures and poor quality material Truth thought the foot of the mixer would be steel and plastic is bad, the rotation to close is not very comfortable and is not very durable. Hitch accessories also bring plastic and does not fit well with the mince"&amp;"r. The truth that gives the workaround but not would buy")</f>
        <v>Some failures and poor quality material Truth thought the foot of the mixer would be steel and plastic is bad, the rotation to close is not very comfortable and is not very durable. Hitch accessories also bring plastic and does not fit well with the mincer. The truth that gives the workaround but not would buy</v>
      </c>
    </row>
    <row r="6782">
      <c r="A6782" s="1">
        <v>3.0</v>
      </c>
      <c r="B6782" s="1" t="s">
        <v>6736</v>
      </c>
      <c r="C6782" t="str">
        <f>IFERROR(__xludf.DUMMYFUNCTION("GOOGLETRANSLATE(B6782, ""es"", ""en"")"),"Good for kids bought them for my son and would buy for him, because they give little volume. But would not buy them for me, the sound quality is pretty fair, given the volume low. But these flaws make them perfect for children. So recommended for children"&amp;" but not adults.")</f>
        <v>Good for kids bought them for my son and would buy for him, because they give little volume. But would not buy them for me, the sound quality is pretty fair, given the volume low. But these flaws make them perfect for children. So recommended for children but not adults.</v>
      </c>
    </row>
    <row r="6783">
      <c r="A6783" s="1">
        <v>1.0</v>
      </c>
      <c r="B6783" s="1" t="s">
        <v>6737</v>
      </c>
      <c r="C6783" t="str">
        <f>IFERROR(__xludf.DUMMYFUNCTION("GOOGLETRANSLATE(B6783, ""es"", ""en"")"),"I do not recommend sizing is wrong, attached photo of another shoe also of the number 40, there is seen a big difference in size")</f>
        <v>I do not recommend sizing is wrong, attached photo of another shoe also of the number 40, there is seen a big difference in size</v>
      </c>
    </row>
    <row r="6784">
      <c r="A6784" s="1">
        <v>1.0</v>
      </c>
      <c r="B6784" s="1" t="s">
        <v>6738</v>
      </c>
      <c r="C6784" t="str">
        <f>IFERROR(__xludf.DUMMYFUNCTION("GOOGLETRANSLATE(B6784, ""es"", ""en"")"),"The last foot does not match the template form is not comfortable, the big toe is not where the template you put it and not comfortable. I have had to return.")</f>
        <v>The last foot does not match the template form is not comfortable, the big toe is not where the template you put it and not comfortable. I have had to return.</v>
      </c>
    </row>
    <row r="6785">
      <c r="A6785" s="1">
        <v>4.0</v>
      </c>
      <c r="B6785" s="1" t="s">
        <v>6739</v>
      </c>
      <c r="C6785" t="str">
        <f>IFERROR(__xludf.DUMMYFUNCTION("GOOGLETRANSLATE(B6785, ""es"", ""en"")"),"Celia is very nice, looks good. The only thing I would have preferred is that the rear frame, was shorter. But I recommend it.")</f>
        <v>Celia is very nice, looks good. The only thing I would have preferred is that the rear frame, was shorter. But I recommend it.</v>
      </c>
    </row>
    <row r="6786">
      <c r="A6786" s="1">
        <v>4.0</v>
      </c>
      <c r="B6786" s="1" t="s">
        <v>6740</v>
      </c>
      <c r="C6786" t="str">
        <f>IFERROR(__xludf.DUMMYFUNCTION("GOOGLETRANSLATE(B6786, ""es"", ""en"")"),"I expected it practical to places where you would not get otherwise. Folds and the cover can be removed to wash.")</f>
        <v>I expected it practical to places where you would not get otherwise. Folds and the cover can be removed to wash.</v>
      </c>
    </row>
    <row r="6787">
      <c r="A6787" s="1">
        <v>4.0</v>
      </c>
      <c r="B6787" s="1" t="s">
        <v>6741</v>
      </c>
      <c r="C6787" t="str">
        <f>IFERROR(__xludf.DUMMYFUNCTION("GOOGLETRANSLATE(B6787, ""es"", ""en"")"),"Warm and comfortable I like the short time it takes to warm the bed. At the end you spare me and that my house is very cold. I took several days trying it and I really like")</f>
        <v>Warm and comfortable I like the short time it takes to warm the bed. At the end you spare me and that my house is very cold. I took several days trying it and I really like</v>
      </c>
    </row>
    <row r="6788">
      <c r="A6788" s="1">
        <v>4.0</v>
      </c>
      <c r="B6788" s="1" t="s">
        <v>6742</v>
      </c>
      <c r="C6788" t="str">
        <f>IFERROR(__xludf.DUMMYFUNCTION("GOOGLETRANSLATE(B6788, ""es"", ""en"")"),"Very good buy already have used it a few times since I bought it and I'm very happy. The only downside I would put it, but is far less important, is the indicator of the water level is just below the handle, and is not well visualized on the whole, but th"&amp;"e rest very good device.")</f>
        <v>Very good buy already have used it a few times since I bought it and I'm very happy. The only downside I would put it, but is far less important, is the indicator of the water level is just below the handle, and is not well visualized on the whole, but the rest very good device.</v>
      </c>
    </row>
    <row r="6789">
      <c r="A6789" s="1">
        <v>4.0</v>
      </c>
      <c r="B6789" s="1" t="s">
        <v>6743</v>
      </c>
      <c r="C6789" t="str">
        <f>IFERROR(__xludf.DUMMYFUNCTION("GOOGLETRANSLATE(B6789, ""es"", ""en"")"),"Very good A very good product at an unbeatable price! I would definitely recommend.")</f>
        <v>Very good A very good product at an unbeatable price! I would definitely recommend.</v>
      </c>
    </row>
    <row r="6790">
      <c r="A6790" s="1">
        <v>5.0</v>
      </c>
      <c r="B6790" s="1" t="s">
        <v>6744</v>
      </c>
      <c r="C6790" t="str">
        <f>IFERROR(__xludf.DUMMYFUNCTION("GOOGLETRANSLATE(B6790, ""es"", ""en"")"),"Meets Converse whole life with the announcement, the model is classic and perfect")</f>
        <v>Meets Converse whole life with the announcement, the model is classic and perfect</v>
      </c>
    </row>
    <row r="6791">
      <c r="A6791" s="1">
        <v>5.0</v>
      </c>
      <c r="B6791" s="1" t="s">
        <v>6745</v>
      </c>
      <c r="C6791" t="str">
        <f>IFERROR(__xludf.DUMMYFUNCTION("GOOGLETRANSLATE(B6791, ""es"", ""en"")"),"Very good jack-jack cable coated string instrument with a bent end. Terminations jacks in gold. very good finish. This cable has a very good value. I am very happy with the purchase.")</f>
        <v>Very good jack-jack cable coated string instrument with a bent end. Terminations jacks in gold. very good finish. This cable has a very good value. I am very happy with the purchase.</v>
      </c>
    </row>
    <row r="6792">
      <c r="A6792" s="1">
        <v>5.0</v>
      </c>
      <c r="B6792" s="1" t="s">
        <v>6746</v>
      </c>
      <c r="C6792" t="str">
        <f>IFERROR(__xludf.DUMMYFUNCTION("GOOGLETRANSLATE(B6792, ""es"", ""en"")"),"Good buy No problem, good buy")</f>
        <v>Good buy No problem, good buy</v>
      </c>
    </row>
    <row r="6793">
      <c r="A6793" s="1">
        <v>5.0</v>
      </c>
      <c r="B6793" s="1" t="s">
        <v>6747</v>
      </c>
      <c r="C6793" t="str">
        <f>IFERROR(__xludf.DUMMYFUNCTION("GOOGLETRANSLATE(B6793, ""es"", ""en"")"),"Rich rich working properly and power is very good, not too long ago noise and the packaging container can be used portable.")</f>
        <v>Rich rich working properly and power is very good, not too long ago noise and the packaging container can be used portable.</v>
      </c>
    </row>
    <row r="6794">
      <c r="A6794" s="1">
        <v>5.0</v>
      </c>
      <c r="B6794" s="1" t="s">
        <v>6748</v>
      </c>
      <c r="C6794" t="str">
        <f>IFERROR(__xludf.DUMMYFUNCTION("GOOGLETRANSLATE(B6794, ""es"", ""en"")"),"Postoperative perfect bra for less than a week ago I have breast reduction surgery; the hospital sold me a bra for 65 €. However, I saw this and opinions, and for the price, I decided to buy it, if only to have it washed and dried as as recommended by the"&amp;" hospital. Well, where will stop. This is soooo me more comfortable and pleasing to the touch. Is a little low cut more above that of the hospital, which acknowledges the skin side and below and collects and holds well. The back is wonderful comfortable, "&amp;"and it is great because I just came out a few wounds on the sides, due to allergy that caused me glue the tape of the compressor bandage with which I left the operating room, and thanks to the design of this bra, I can now finally after several days, trea"&amp;"t and dry to the air. A marvel, so that tomorrow I get to the review of the week, I'll be wearing for me to see the surgeon and see what you think.")</f>
        <v>Postoperative perfect bra for less than a week ago I have breast reduction surgery; the hospital sold me a bra for 65 €. However, I saw this and opinions, and for the price, I decided to buy it, if only to have it washed and dried as as recommended by the hospital. Well, where will stop. This is soooo me more comfortable and pleasing to the touch. Is a little low cut more above that of the hospital, which acknowledges the skin side and below and collects and holds well. The back is wonderful comfortable, and it is great because I just came out a few wounds on the sides, due to allergy that caused me glue the tape of the compressor bandage with which I left the operating room, and thanks to the design of this bra, I can now finally after several days, treat and dry to the air. A marvel, so that tomorrow I get to the review of the week, I'll be wearing for me to see the surgeon and see what you think.</v>
      </c>
    </row>
    <row r="6795">
      <c r="A6795" s="1">
        <v>5.0</v>
      </c>
      <c r="B6795" s="1" t="s">
        <v>6749</v>
      </c>
      <c r="C6795" t="str">
        <f>IFERROR(__xludf.DUMMYFUNCTION("GOOGLETRANSLATE(B6795, ""es"", ""en"")"),"Victor Carrasco Great value for money. Highly recommended purchase, these people does imitations, tributes made by them. For this price and with this mechanism there is nothing better")</f>
        <v>Victor Carrasco Great value for money. Highly recommended purchase, these people does imitations, tributes made by them. For this price and with this mechanism there is nothing better</v>
      </c>
    </row>
    <row r="6796">
      <c r="A6796" s="1">
        <v>5.0</v>
      </c>
      <c r="B6796" s="1" t="s">
        <v>6750</v>
      </c>
      <c r="C6796" t="str">
        <f>IFERROR(__xludf.DUMMYFUNCTION("GOOGLETRANSLATE(B6796, ""es"", ""en"")"),"Recommend I recommend quality and functionality'm very happy with the mixer to thank the people whose positive rating I encourage you to buy")</f>
        <v>Recommend I recommend quality and functionality'm very happy with the mixer to thank the people whose positive rating I encourage you to buy</v>
      </c>
    </row>
    <row r="6797">
      <c r="A6797" s="1">
        <v>5.0</v>
      </c>
      <c r="B6797" s="1" t="s">
        <v>6751</v>
      </c>
      <c r="C6797" t="str">
        <f>IFERROR(__xludf.DUMMYFUNCTION("GOOGLETRANSLATE(B6797, ""es"", ""en"")"),"Leaving the floor clean. It's convenient and it goes well for scrubbing the corners and last long ...")</f>
        <v>Leaving the floor clean. It's convenient and it goes well for scrubbing the corners and last long ...</v>
      </c>
    </row>
    <row r="6798">
      <c r="A6798" s="1">
        <v>5.0</v>
      </c>
      <c r="B6798" s="1" t="s">
        <v>6752</v>
      </c>
      <c r="C6798" t="str">
        <f>IFERROR(__xludf.DUMMYFUNCTION("GOOGLETRANSLATE(B6798, ""es"", ""en"")"),"Portable hand mixer has a single speed mashing fruit and other soft goods. The use container has a capacity of 450 ml. The battery has a range of up to about 5 or 6 uses, then you will have to charge via USB connection to the mains. It is portable and ver"&amp;"y convenient to clean. I use it to make smoothies with fruit and protein.")</f>
        <v>Portable hand mixer has a single speed mashing fruit and other soft goods. The use container has a capacity of 450 ml. The battery has a range of up to about 5 or 6 uses, then you will have to charge via USB connection to the mains. It is portable and very convenient to clean. I use it to make smoothies with fruit and protein.</v>
      </c>
    </row>
    <row r="6799">
      <c r="A6799" s="1">
        <v>5.0</v>
      </c>
      <c r="B6799" s="1" t="s">
        <v>6753</v>
      </c>
      <c r="C6799" t="str">
        <f>IFERROR(__xludf.DUMMYFUNCTION("GOOGLETRANSLATE(B6799, ""es"", ""en"")"),"the proper functioning of the vacuum cleaner is the most important good design that provides a good manufacture of the vacuum cleaner, this design provides an effective and powerful cleaning and operation is simple and convenient")</f>
        <v>the proper functioning of the vacuum cleaner is the most important good design that provides a good manufacture of the vacuum cleaner, this design provides an effective and powerful cleaning and operation is simple and convenient</v>
      </c>
    </row>
    <row r="6800">
      <c r="A6800" s="1">
        <v>5.0</v>
      </c>
      <c r="B6800" s="1" t="s">
        <v>6754</v>
      </c>
      <c r="C6800" t="str">
        <f>IFERROR(__xludf.DUMMYFUNCTION("GOOGLETRANSLATE(B6800, ""es"", ""en"")"),"Adidas shoes are super comfortable West Elm")</f>
        <v>Adidas shoes are super comfortable West Elm</v>
      </c>
    </row>
    <row r="6801">
      <c r="A6801" s="1">
        <v>5.0</v>
      </c>
      <c r="B6801" s="1" t="s">
        <v>6755</v>
      </c>
      <c r="C6801" t="str">
        <f>IFERROR(__xludf.DUMMYFUNCTION("GOOGLETRANSLATE(B6801, ""es"", ""en"")"),"Very cool I like the design and as Agusta to the foot")</f>
        <v>Very cool I like the design and as Agusta to the foot</v>
      </c>
    </row>
    <row r="6802">
      <c r="A6802" s="1">
        <v>5.0</v>
      </c>
      <c r="B6802" s="1" t="s">
        <v>6756</v>
      </c>
      <c r="C6802" t="str">
        <f>IFERROR(__xludf.DUMMYFUNCTION("GOOGLETRANSLATE(B6802, ""es"", ""en"")"),"Good quality / price A product with good quality / price ratio. It is very useful, with a powerful light and variety of lenses make very flexible to different cases. comfortable position and is generally fulfills their duties. A product definitely recomme"&amp;"nded.")</f>
        <v>Good quality / price A product with good quality / price ratio. It is very useful, with a powerful light and variety of lenses make very flexible to different cases. comfortable position and is generally fulfills their duties. A product definitely recommended.</v>
      </c>
    </row>
    <row r="6803">
      <c r="A6803" s="1">
        <v>5.0</v>
      </c>
      <c r="B6803" s="1" t="s">
        <v>6757</v>
      </c>
      <c r="C6803" t="str">
        <f>IFERROR(__xludf.DUMMYFUNCTION("GOOGLETRANSLATE(B6803, ""es"", ""en"")"),"This beautifully perfect")</f>
        <v>This beautifully perfect</v>
      </c>
    </row>
    <row r="6804">
      <c r="A6804" s="1">
        <v>5.0</v>
      </c>
      <c r="B6804" s="1" t="s">
        <v>6758</v>
      </c>
      <c r="C6804" t="str">
        <f>IFERROR(__xludf.DUMMYFUNCTION("GOOGLETRANSLATE(B6804, ""es"", ""en"")"),"I highly recommended and given three and the fourth I've bought for me. It's very fast, it is well finished and is very nice.")</f>
        <v>I highly recommended and given three and the fourth I've bought for me. It's very fast, it is well finished and is very nice.</v>
      </c>
    </row>
    <row r="6805">
      <c r="A6805" s="1">
        <v>5.0</v>
      </c>
      <c r="B6805" s="1" t="s">
        <v>6759</v>
      </c>
      <c r="C6805" t="str">
        <f>IFERROR(__xludf.DUMMYFUNCTION("GOOGLETRANSLATE(B6805, ""es"", ""en"")"),"Good product accurate and easy to make cuts, can cut up to seven or eight adhesive sheets without problem, the retaining tab of the paper to cut locks correctly. There are spare blades not always the case with other products. Good price for a good product"&amp;".")</f>
        <v>Good product accurate and easy to make cuts, can cut up to seven or eight adhesive sheets without problem, the retaining tab of the paper to cut locks correctly. There are spare blades not always the case with other products. Good price for a good product.</v>
      </c>
    </row>
    <row r="6806">
      <c r="A6806" s="1">
        <v>5.0</v>
      </c>
      <c r="B6806" s="1" t="s">
        <v>6760</v>
      </c>
      <c r="C6806" t="str">
        <f>IFERROR(__xludf.DUMMYFUNCTION("GOOGLETRANSLATE(B6806, ""es"", ""en"")"),"PPM Well, it's nice in hand. Carving is doing well, but even average number less could also stay well.")</f>
        <v>PPM Well, it's nice in hand. Carving is doing well, but even average number less could also stay well.</v>
      </c>
    </row>
    <row r="6807">
      <c r="A6807" s="1">
        <v>5.0</v>
      </c>
      <c r="B6807" s="1" t="s">
        <v>6761</v>
      </c>
      <c r="C6807" t="str">
        <f>IFERROR(__xludf.DUMMYFUNCTION("GOOGLETRANSLATE(B6807, ""es"", ""en"")"),"Very useful on trips Fantastic!")</f>
        <v>Very useful on trips Fantastic!</v>
      </c>
    </row>
    <row r="6808">
      <c r="A6808" s="1">
        <v>2.0</v>
      </c>
      <c r="B6808" s="1" t="s">
        <v>6762</v>
      </c>
      <c r="C6808" t="str">
        <f>IFERROR(__xludf.DUMMYFUNCTION("GOOGLETRANSLATE(B6808, ""es"", ""en"")"),"Improve tissue material modern style but very poor quality ..")</f>
        <v>Improve tissue material modern style but very poor quality ..</v>
      </c>
    </row>
    <row r="6809">
      <c r="A6809" s="1">
        <v>3.0</v>
      </c>
      <c r="B6809" s="1" t="s">
        <v>6763</v>
      </c>
      <c r="C6809" t="str">
        <f>IFERROR(__xludf.DUMMYFUNCTION("GOOGLETRANSLATE(B6809, ""es"", ""en"")"),"Ok but cordless labels Labels are OK to stamp your stamp or write the names but the rope ... Comes two labels!")</f>
        <v>Ok but cordless labels Labels are OK to stamp your stamp or write the names but the rope ... Comes two labels!</v>
      </c>
    </row>
    <row r="6810">
      <c r="A6810" s="1">
        <v>3.0</v>
      </c>
      <c r="B6810" s="1" t="s">
        <v>6764</v>
      </c>
      <c r="C6810" t="str">
        <f>IFERROR(__xludf.DUMMYFUNCTION("GOOGLETRANSLATE(B6810, ""es"", ""en"")"),"Very hard leather is very good, but not smooth which makes handling the bag becomes difficult at times something")</f>
        <v>Very hard leather is very good, but not smooth which makes handling the bag becomes difficult at times something</v>
      </c>
    </row>
    <row r="6811">
      <c r="A6811" s="1">
        <v>1.0</v>
      </c>
      <c r="B6811" s="1" t="s">
        <v>6765</v>
      </c>
      <c r="C6811" t="str">
        <f>IFERROR(__xludf.DUMMYFUNCTION("GOOGLETRANSLATE(B6811, ""es"", ""en"")"),"I've given poor quality because it is of very poor quality. The fabric is expensive for the quality that is so bad and for not paying shipping expenses I had to give away.")</f>
        <v>I've given poor quality because it is of very poor quality. The fabric is expensive for the quality that is so bad and for not paying shipping expenses I had to give away.</v>
      </c>
    </row>
    <row r="6812">
      <c r="A6812" s="1">
        <v>1.0</v>
      </c>
      <c r="B6812" s="1" t="s">
        <v>6766</v>
      </c>
      <c r="C6812" t="str">
        <f>IFERROR(__xludf.DUMMYFUNCTION("GOOGLETRANSLATE(B6812, ""es"", ""en"")"),"Seemed to be a good buy but .... I know you for what they are are pretty good, the sound is good without being anything of the other world are nothing uncomfortable, indeed, the attachment is very good and when led to the gym do not move. But the command "&amp;"has lasted well one month, no more no less. Now every time I want to change my song, I have to get mobile. I would not buy.")</f>
        <v>Seemed to be a good buy but .... I know you for what they are are pretty good, the sound is good without being anything of the other world are nothing uncomfortable, indeed, the attachment is very good and when led to the gym do not move. But the command has lasted well one month, no more no less. Now every time I want to change my song, I have to get mobile. I would not buy.</v>
      </c>
    </row>
    <row r="6813">
      <c r="A6813" s="1">
        <v>1.0</v>
      </c>
      <c r="B6813" s="1" t="s">
        <v>6767</v>
      </c>
      <c r="C6813" t="str">
        <f>IFERROR(__xludf.DUMMYFUNCTION("GOOGLETRANSLATE(B6813, ""es"", ""en"")"),"Has let me down. Trinket is, let me down, was expecting more.")</f>
        <v>Has let me down. Trinket is, let me down, was expecting more.</v>
      </c>
    </row>
    <row r="6814">
      <c r="A6814" s="1">
        <v>4.0</v>
      </c>
      <c r="B6814" s="1" t="s">
        <v>6768</v>
      </c>
      <c r="C6814" t="str">
        <f>IFERROR(__xludf.DUMMYFUNCTION("GOOGLETRANSLATE(B6814, ""es"", ""en"")"),"Comfort are super comfortable, they are linked quickly")</f>
        <v>Comfort are super comfortable, they are linked quickly</v>
      </c>
    </row>
    <row r="6815">
      <c r="A6815" s="1">
        <v>4.0</v>
      </c>
      <c r="B6815" s="1" t="s">
        <v>6769</v>
      </c>
      <c r="C6815" t="str">
        <f>IFERROR(__xludf.DUMMYFUNCTION("GOOGLETRANSLATE(B6815, ""es"", ""en"")"),"The security system and support. Use it for brushing a door and it has worked wonderfully")</f>
        <v>The security system and support. Use it for brushing a door and it has worked wonderfully</v>
      </c>
    </row>
    <row r="6816">
      <c r="A6816" s="1">
        <v>4.0</v>
      </c>
      <c r="B6816" s="1" t="s">
        <v>6770</v>
      </c>
      <c r="C6816" t="str">
        <f>IFERROR(__xludf.DUMMYFUNCTION("GOOGLETRANSLATE(B6816, ""es"", ""en"")"),"There are very good are very smart, what happens is that the glass is white and depending on how much light you and the position put come to have a bluish hue, they had to expecificarlo and I returned some believing that abian confused and that I arrived "&amp;"were the same, anyway I stay with them because you like the end as they are laid and sometimes that blueness, bienen in a box perfect jewelry gift")</f>
        <v>There are very good are very smart, what happens is that the glass is white and depending on how much light you and the position put come to have a bluish hue, they had to expecificarlo and I returned some believing that abian confused and that I arrived were the same, anyway I stay with them because you like the end as they are laid and sometimes that blueness, bienen in a box perfect jewelry gift</v>
      </c>
    </row>
    <row r="6817">
      <c r="A6817" s="1">
        <v>4.0</v>
      </c>
      <c r="B6817" s="1" t="s">
        <v>6771</v>
      </c>
      <c r="C6817" t="str">
        <f>IFERROR(__xludf.DUMMYFUNCTION("GOOGLETRANSLATE(B6817, ""es"", ""en"")"),"youthful clock must be an engineer to put and time !!!!!")</f>
        <v>youthful clock must be an engineer to put and time !!!!!</v>
      </c>
    </row>
    <row r="6818">
      <c r="A6818" s="1">
        <v>5.0</v>
      </c>
      <c r="B6818" s="1" t="s">
        <v>6772</v>
      </c>
      <c r="C6818" t="str">
        <f>IFERROR(__xludf.DUMMYFUNCTION("GOOGLETRANSLATE(B6818, ""es"", ""en"")"),"Delighted After a summer with her'm delighted with it. Zippers good. Practical and comfortable. Lots of compartments for mobile, pens and others. Charmed")</f>
        <v>Delighted After a summer with her'm delighted with it. Zippers good. Practical and comfortable. Lots of compartments for mobile, pens and others. Charmed</v>
      </c>
    </row>
    <row r="6819">
      <c r="A6819" s="1">
        <v>5.0</v>
      </c>
      <c r="B6819" s="1" t="s">
        <v>6773</v>
      </c>
      <c r="C6819" t="str">
        <f>IFERROR(__xludf.DUMMYFUNCTION("GOOGLETRANSLATE(B6819, ""es"", ""en"")"),"Very good electric blanket more good than I imagined. Not very big, but wear it in the back is great. It is also very squishy and not having plastic inside not wrinkle nothing.")</f>
        <v>Very good electric blanket more good than I imagined. Not very big, but wear it in the back is great. It is also very squishy and not having plastic inside not wrinkle nothing.</v>
      </c>
    </row>
    <row r="6820">
      <c r="A6820" s="1">
        <v>5.0</v>
      </c>
      <c r="B6820" s="1" t="s">
        <v>6774</v>
      </c>
      <c r="C6820" t="str">
        <f>IFERROR(__xludf.DUMMYFUNCTION("GOOGLETRANSLATE(B6820, ""es"", ""en"")"),"They are promoted as well as images for sale and the number is correct.")</f>
        <v>They are promoted as well as images for sale and the number is correct.</v>
      </c>
    </row>
    <row r="6821">
      <c r="A6821" s="1">
        <v>5.0</v>
      </c>
      <c r="B6821" s="1" t="s">
        <v>6775</v>
      </c>
      <c r="C6821" t="str">
        <f>IFERROR(__xludf.DUMMYFUNCTION("GOOGLETRANSLATE(B6821, ""es"", ""en"")"),"Meets perfect exactly what I was looking for, skin can take a look formal and slightly more than diario.Muchos pockets and perfect size")</f>
        <v>Meets perfect exactly what I was looking for, skin can take a look formal and slightly more than diario.Muchos pockets and perfect size</v>
      </c>
    </row>
    <row r="6822">
      <c r="A6822" s="1">
        <v>5.0</v>
      </c>
      <c r="B6822" s="1" t="s">
        <v>6776</v>
      </c>
      <c r="C6822" t="str">
        <f>IFERROR(__xludf.DUMMYFUNCTION("GOOGLETRANSLATE(B6822, ""es"", ""en"")"),"A microphone good moment experience is satisfactory recordings. It is very reasonably priced and audio mastering allows a good result. The presentation box is good and meets my aspirations when I bought it. Would recommend for who does not want to force y"&amp;"our budget")</f>
        <v>A microphone good moment experience is satisfactory recordings. It is very reasonably priced and audio mastering allows a good result. The presentation box is good and meets my aspirations when I bought it. Would recommend for who does not want to force your budget</v>
      </c>
    </row>
    <row r="6823">
      <c r="A6823" s="1">
        <v>5.0</v>
      </c>
      <c r="B6823" s="1" t="s">
        <v>6777</v>
      </c>
      <c r="C6823" t="str">
        <f>IFERROR(__xludf.DUMMYFUNCTION("GOOGLETRANSLATE(B6823, ""es"", ""en"")"),"Elegant is fine and very nice")</f>
        <v>Elegant is fine and very nice</v>
      </c>
    </row>
    <row r="6824">
      <c r="A6824" s="1">
        <v>5.0</v>
      </c>
      <c r="B6824" s="1" t="s">
        <v>6778</v>
      </c>
      <c r="C6824" t="str">
        <f>IFERROR(__xludf.DUMMYFUNCTION("GOOGLETRANSLATE(B6824, ""es"", ""en"")"),"Easy handling Good enough")</f>
        <v>Easy handling Good enough</v>
      </c>
    </row>
    <row r="6825">
      <c r="A6825" s="1">
        <v>5.0</v>
      </c>
      <c r="B6825" s="1" t="s">
        <v>6779</v>
      </c>
      <c r="C6825" t="str">
        <f>IFERROR(__xludf.DUMMYFUNCTION("GOOGLETRANSLATE(B6825, ""es"", ""en"")"),"very good for a cheap price quality are equal to a cable 30 euros or more. No need to spend a bundle to get quality sound.")</f>
        <v>very good for a cheap price quality are equal to a cable 30 euros or more. No need to spend a bundle to get quality sound.</v>
      </c>
    </row>
    <row r="6826">
      <c r="A6826" s="1">
        <v>5.0</v>
      </c>
      <c r="B6826" s="1" t="s">
        <v>6780</v>
      </c>
      <c r="C6826" t="str">
        <f>IFERROR(__xludf.DUMMYFUNCTION("GOOGLETRANSLATE(B6826, ""es"", ""en"")"),"Seller all right right all right")</f>
        <v>Seller all right right all right</v>
      </c>
    </row>
    <row r="6827">
      <c r="A6827" s="1">
        <v>5.0</v>
      </c>
      <c r="B6827" s="1" t="s">
        <v>6781</v>
      </c>
      <c r="C6827" t="str">
        <f>IFERROR(__xludf.DUMMYFUNCTION("GOOGLETRANSLATE(B6827, ""es"", ""en"")"),"Headphones attractions are a headset with good sound quality hear very high and my isolate me completely outside noise, is that they are made with quality materials, everything works for me perfectly in a galaxy S8 plus, also used in tablet that does not "&amp;"bring headphones manufactures and smoothly. For me it is a good buy.")</f>
        <v>Headphones attractions are a headset with good sound quality hear very high and my isolate me completely outside noise, is that they are made with quality materials, everything works for me perfectly in a galaxy S8 plus, also used in tablet that does not bring headphones manufactures and smoothly. For me it is a good buy.</v>
      </c>
    </row>
    <row r="6828">
      <c r="A6828" s="1">
        <v>5.0</v>
      </c>
      <c r="B6828" s="1" t="s">
        <v>6782</v>
      </c>
      <c r="C6828" t="str">
        <f>IFERROR(__xludf.DUMMYFUNCTION("GOOGLETRANSLATE(B6828, ""es"", ""en"")"),"Value for money Is everything perfect right")</f>
        <v>Value for money Is everything perfect right</v>
      </c>
    </row>
    <row r="6829">
      <c r="A6829" s="1">
        <v>5.0</v>
      </c>
      <c r="B6829" s="1" t="s">
        <v>6783</v>
      </c>
      <c r="C6829" t="str">
        <f>IFERROR(__xludf.DUMMYFUNCTION("GOOGLETRANSLATE(B6829, ""es"", ""en"")"),"This good looks wonderful in the body but the waist is very wide")</f>
        <v>This good looks wonderful in the body but the waist is very wide</v>
      </c>
    </row>
    <row r="6830">
      <c r="A6830" s="1">
        <v>5.0</v>
      </c>
      <c r="B6830" s="1" t="s">
        <v>6784</v>
      </c>
      <c r="C6830" t="str">
        <f>IFERROR(__xludf.DUMMYFUNCTION("GOOGLETRANSLATE(B6830, ""es"", ""en"")"),"Brand that gives less doubt quality Definitely better price per GB, this very well considering the type of hardware which consists of the hybrid being ssd and hdd, the laptop since I started greatly improved, the montage it I already cloning hdd my previo"&amp;"us album and first without fail.")</f>
        <v>Brand that gives less doubt quality Definitely better price per GB, this very well considering the type of hardware which consists of the hybrid being ssd and hdd, the laptop since I started greatly improved, the montage it I already cloning hdd my previous album and first without fail.</v>
      </c>
    </row>
    <row r="6831">
      <c r="A6831" s="1">
        <v>5.0</v>
      </c>
      <c r="B6831" s="1" t="s">
        <v>6785</v>
      </c>
      <c r="C6831" t="str">
        <f>IFERROR(__xludf.DUMMYFUNCTION("GOOGLETRANSLATE(B6831, ""es"", ""en"")"),"Nike shoes at amazing price for what you would pay for an imitation of ""the Chinese"" have a Nike authentic. Perfect finishes, good materials, comfort and good looks. Very good.")</f>
        <v>Nike shoes at amazing price for what you would pay for an imitation of "the Chinese" have a Nike authentic. Perfect finishes, good materials, comfort and good looks. Very good.</v>
      </c>
    </row>
    <row r="6832">
      <c r="A6832" s="1">
        <v>5.0</v>
      </c>
      <c r="B6832" s="1" t="s">
        <v>6786</v>
      </c>
      <c r="C6832" t="str">
        <f>IFERROR(__xludf.DUMMYFUNCTION("GOOGLETRANSLATE(B6832, ""es"", ""en"")"),"Highly recommended I have six packs of this brand CASE LOGIC, of ​​different sizes and for different situations, all for basically photographic material, and I must say they are perfect. They are well designed, well constructed, offer safety and comfort. "&amp;"They are robust and very light weight. Very good product.")</f>
        <v>Highly recommended I have six packs of this brand CASE LOGIC, of ​​different sizes and for different situations, all for basically photographic material, and I must say they are perfect. They are well designed, well constructed, offer safety and comfort. They are robust and very light weight. Very good product.</v>
      </c>
    </row>
    <row r="6833">
      <c r="A6833" s="1">
        <v>5.0</v>
      </c>
      <c r="B6833" s="1" t="s">
        <v>6787</v>
      </c>
      <c r="C6833" t="str">
        <f>IFERROR(__xludf.DUMMYFUNCTION("GOOGLETRANSLATE(B6833, ""es"", ""en"")"),"Good headphones I've been using it a few months, they hear perfectly, are comfortable and the battery has a great autonomy. So far I have not hit, editare with any mishaps that surga.")</f>
        <v>Good headphones I've been using it a few months, they hear perfectly, are comfortable and the battery has a great autonomy. So far I have not hit, editare with any mishaps that surga.</v>
      </c>
    </row>
    <row r="6834">
      <c r="A6834" s="1">
        <v>5.0</v>
      </c>
      <c r="B6834" s="1" t="s">
        <v>6788</v>
      </c>
      <c r="C6834" t="str">
        <f>IFERROR(__xludf.DUMMYFUNCTION("GOOGLETRANSLATE(B6834, ""es"", ""en"")"),"Very satisfied fast shipping. Very comfortable. Colorfast in the first washes but as I wash by hand and separately so that it does not spoil, do not mind me")</f>
        <v>Very satisfied fast shipping. Very comfortable. Colorfast in the first washes but as I wash by hand and separately so that it does not spoil, do not mind me</v>
      </c>
    </row>
    <row r="6835">
      <c r="A6835" s="1">
        <v>5.0</v>
      </c>
      <c r="B6835" s="1" t="s">
        <v>6789</v>
      </c>
      <c r="C6835" t="str">
        <f>IFERROR(__xludf.DUMMYFUNCTION("GOOGLETRANSLATE(B6835, ""es"", ""en"")"),"The color looks good, the important water is fast &lt;div id = ""video-block-R39JU4WBLZ0CNY"" class = ""a-section a-spacing-small a-spacing-top mini video-block""&gt; &lt;div tabindex = "" 0 ""class ="" airy airy-svg vmin-supported airy-skin-beacon ""style ="" bac"&amp;"kground-color: rgb (0, 0, 0) position: relative; width: 100%; height: 100%; font- size: 0px; overflow: hidden; outline: none; ""&gt; &lt;div class ="" airy-renderer-container ""style ="" position: relative; height: 100%; width: 100%; ""&gt; &lt;video id ="" 14 ""prel"&amp;"oad ="" auto ""src ="" https://images-eu.ssl-images-amazon.com/images/I/91C5pnEMSES.mp4 ""style ="" position: absolute; left: 0px; top: 0px; overflow: hidden; height: 1px; width: 1px; ""&gt; &lt;/ video&gt; &lt;/ div&gt; &lt;div id ="" airy Inslate-preload ""style ="" back"&amp;"ground-color: rgb (0, 0, 0); background-image : url (&amp; quot; https: //images-eu.ssl-images-amazon.com/images/I/71VvKxfo3VS.png&amp;quot;); background-size: Contain; background-position: center center; background-repeat: non- repeat; position: absolute; top: 0"&amp;"px; left: 0px; visibility: visible; width: 100%; heig ht: 100%; ""&gt; &lt;/ div&gt; &lt;iframe scrolling ="" no ""frameborder ="" 0 ""src ="" about: blank ""style ="" display: none; ""&gt; &lt;/ iframe&gt; &lt;div tabindex ="" - 1 ""class ="" airy-controls-container ""style ="""&amp;" opacity: 0; visibility: hidden; ""&gt; &lt;div tabindex ="" - 1 ""class ="" airy-screen-size-toggle airy-fullscreen ""&gt; &lt;/ div&gt; &lt;div tabindex ="" - 1 ""class ="" airy-container-bottom "" &gt; &lt;div tabindex = ""- 1"" class = ""airy-track-bar-spacer-left"" style = "&amp;"""width: 11px;""&gt; &lt;/ div&gt; &lt;div tabindex = ""- 1"" class = ""airy-play- airy toggle-play ""style ="" width: 12px; margin-right: 12px; ""&gt; &lt;/ div&gt; &lt;div tabindex ="" - 1 ""class ="" airy-audio-elements ""style ="" float: right; width: 34px; ""&gt; &lt;div tabindex"&amp;" ="" - 1 ""class ="" airy-audio-toggle airy-on ""&gt; &lt;/ div&gt; &lt;div tabindex ="" - 1 ""class ="" airy-audio-container ""style = ""opacity: 0; visibility: hidden; ""&gt; &lt;div tabindex ="" - 1 ""class ="" airy-audio-track-bar ""style ="" height: 80%; ""&gt; &lt;div tabi"&amp;"ndex ="" - 1 ""class ="" airy-audio- Scrubber-bar ""style ="" height: 85%; ""&gt; &lt;/ div&gt; &lt;div tabindex ="" - 1 ""class ="" airy-audio-scrubber ""style ="" height: 12px; bottom: 85% ""&gt; &lt;/ div&gt; &lt;/ div&gt; &lt;/ div&gt; &lt;/ div&gt; &lt;div tabindex ="" - 1 ""class ="" airy-d"&amp;"uration-label ""style ="" float: right; width: 26px; margin-right: 4px; text-align: center; ""&gt; 0:14 &lt;/ div&gt; &lt;div tabindex ="" - 1 ""class ="" airy-track-bar-spacer-right ""style ="" float: right; width: 11px; ""&gt; &lt;/ div&gt; &lt;div tabindex ="" - 1 ""class ="""&amp;" airy-track-bar-container ""style ="" margin-left: 35px; margin-right: 75px; ""&gt; &lt;div tabindex ="" - 1 ""class ="" airy-airy-track-bar vertically-centering-table ""&gt; &lt;div tabindex ="" - 1 ""class ="" airy-Vertical-centering- table-cell ""&gt; &lt;div tabindex ="&amp;""" - 1 ""class ="" airy-track bar-elements ""&gt; &lt;div tabindex ="" - 1 ""class ="" airy-progress bar ""style ="" width: 100%; ""&gt; &lt;/ div&gt; &lt;div tabindex ="" - 1 ""class ="" airy-scrubber-bar ""&gt; &lt;/ div&gt; &lt;div tabindex ="" - 1 ""class ="" airy-scrubber ""&gt; &lt;di"&amp;"v tabindex ="" - 1 ""class ="" airy-scrubber-icon ""&gt; &lt;/ div&gt; &lt;div tabindex ="" - 1 ""class ="" airy-adjusted-AUI-tooltip ""style ="" opacity: 0; visibility: hidden; ""&gt; &lt;div tabindex ="" - 1 ""class ="" airy-adjusted-aui-tooltip-inner ""&gt; &lt;div tabindex ="&amp;""" - 1 ""class ="" airy-current-time-label ""&gt; 0: 00 &lt;/ div&gt; &lt;/ div&gt; &lt;div tabindex = ""- 1"" class = ""airy-adjusted-AUI-arrow-border""&gt; &lt;div tabindex = ""- 1"" class = ""airy-adjusted-AUI-arrow"" &gt; &lt;/ div&gt; &lt;/ div&gt; &lt;/ div&gt; &lt;/ div&gt; &lt;/ div&gt; &lt;/ div&gt; &lt;/ div&gt; "&amp;"&lt;/ div&gt; &lt;/ div&gt; &lt;/ div&gt; &lt;div tabindex = ""- 1"" class = ""airy-age-gate airy-stage airy-Vertical-centering-table airy-dialog"" style = ""opacity: 0; visibility: hidden; ""&gt; &lt;div tabindex ="" - 1 ""class ="" airy-age-gate-Vertical-centering-table-cell airy"&amp;"-Vertical-centering-table-cell ""&gt; &lt;div tabindex ="" - 1 ""class = ""airy-Vertical-centering-wrapper airy-age-gate-elements-wrapper""&gt; &lt;div tabindex = ""- 1"" class = ""airy-age-gate-elements airy-dialog-elements""&gt; &lt;div tabindex = "" -1 ""class ="" airy-"&amp;"age-gate-prompt ""&gt; This video is not Intended for all audiences What date were you born &lt;/ div&gt; &lt;div tabindex =.?"" - 1 ""class ="" airy-age-gate -inputs airy-dialog-inner-elements ""&gt; &lt;select tabindex ="" - 1 ""class ="" airy-age-gate-month ""&gt; &lt;option "&amp;"value ="" 1 ""&gt; January &lt;/ option&gt; &lt;option value ="" 2 ""&gt; February &lt;/ option&gt; &lt;option value ="" 3 ""&gt; March &lt;/ option&gt; &lt;option value ="" 4 ""&gt; April &lt;/ option&gt; &lt;option value ="" 5 ""&gt; May &lt;/ option&gt; &lt;option value = ""6""&gt; June &lt;/ option&gt; &lt;option value = "&amp;"""7""&gt; July &lt;/ option&gt; &lt;option value = ""8""&gt; August &lt;/ option&gt; &lt;option value = ""9""&gt; September &lt;/ option&gt; &lt;option value = ""10""&gt; October &lt;/ option&gt; &lt;option value = ""11""&gt; November &lt;/ option&gt; &lt;option value = ""12""&gt; December &lt;/ option&gt; &lt;/ select&gt; &lt;sele"&amp;"ct tabindex = ""- 1"" class = ""airy-age-gate-day""&gt; &lt;opti on value = ""1""&gt; 1 &lt;/ option&gt; &lt;option value = ""2""&gt; 2 &lt;/ option&gt; &lt;option value = ""3""&gt; 3 &lt;/ option&gt; &lt;option value = ""4""&gt; 4 &lt;/ option &gt; &lt;option value = ""5""&gt; 5 &lt;/ option&gt; &lt;option value = ""6"&amp;"""&gt; 6 &lt;/ option&gt; &lt;option value = ""7""&gt; 7 &lt;/ option&gt; &lt;option value = ""8""&gt; 8 &lt; / option&gt; &lt;option value = ""9""&gt; 9 &lt;/ option&gt; &lt;option value = ""10""&gt; 10 &lt;/ option&gt; &lt;option value = ""11""&gt; 11 &lt;/ option&gt; &lt;option value = ""12""&gt; 12 &lt;/ option&gt; &lt;option value ="&amp;" ""13""&gt; 13 &lt;/ option&gt; &lt;option value = ""14""&gt; 14 &lt;/ option&gt; &lt;option value = ""15""&gt; 15 &lt;/ option&gt; &lt;option value = ""16 ""&gt; 16 &lt;/ option&gt; &lt;option value ="" 17 ""&gt; 17 &lt;/ option&gt; &lt;option value ="" 18 ""&gt; 18 &lt;/ option&gt; &lt;option value ="" 19 ""&gt; 19 &lt;/ option&gt; "&amp;"&lt;option value = ""20""&gt; 20 &lt;/ option&gt; &lt;option value = ""21""&gt; 21 &lt;/ option&gt; &lt;option value = ""22""&gt; 22 &lt;/ option&gt; &lt;option value = ""23""&gt; 23 &lt;/ option&gt; &lt;option value = ""24""&gt; 24 &lt;/ option&gt; &lt;option value = ""25""&gt; 25 &lt;/ option&gt; &lt;option value = ""26""&gt; 26 "&amp;"&lt;/ option&gt; &lt;option value = ""27""&gt; 27 &lt;/ option&gt; &lt;option value = ""28""&gt; 28 &lt;/ option&gt; &lt;option value = ""29""&gt; 29 &lt;/ option&gt; &lt;option value = ""30""&gt; 30 &lt;/ option&gt; &lt;option value = ""31""&gt; 31 &lt;/ option&gt; &lt;/ select&gt; &lt;select tabindex = ""- 1"" class = ""airy-a"&amp;"ge-gate-year""&gt; &lt;option value = ""2019""&gt; 2019 &lt;/ option&gt; &lt; option value = ""2018""&gt; 2018 &lt;/ option&gt; &lt;option value = ""2017""&gt; 2017 &lt;/ option&gt; &lt;option value = ""2016""&gt; ​​2016 &lt;/ option&gt; &lt;option value = ""2015""&gt; 2015 &lt;/ option &gt; &lt;option value = ""2014""&gt;"&amp;" 2014 &lt;/ option&gt; &lt;option value = ""2013""&gt; 2013 &lt;/ option&gt; &lt;option value = ""2012""&gt; 2012 &lt;/ option&gt; &lt;option value = ""2011""&gt; 2011 &lt; / option&gt; &lt;option value = ""2010""&gt; 2010 &lt;/ option&gt; &lt;option value = ""2009""&gt; 2009 &lt;/ option&gt; &lt;option value = ""2008""&gt; 2"&amp;"008 &lt;/ option&gt; &lt;option value = ""2007""&gt; 2007 &lt;/ option&gt; &lt;option value = ""2006""&gt; 2006 &lt;/ option&gt; &lt;option value = ""2005""&gt; 2005 &lt;/ option&gt; &lt;option value = ""2004""&gt; 2004 &lt;/ option&gt; &lt;option value = ""2003 ""&gt; 2003 &lt;/ option&gt; &lt;option value ="" 2002 ""&gt; 20"&amp;"02 &lt;/ option&gt; &lt;option value ="" 2001 ""&gt; 2001 &lt;/ option&gt; &lt;option value ="" 2000 ""&gt; 2000 &lt;/ option&gt; &lt;option value = ""1999""&gt; 1999 &lt;/ option&gt; &lt;option value = ""1998""&gt; 1998 &lt;/ option&gt; &lt;option value = ""1997""&gt; 1997 &lt;/ option&gt; &lt;option value = ""1996""&gt; 199"&amp;"6 &lt;/ option&gt; &lt;option value = ""1995""&gt; 1995 &lt;/ option&gt; &lt;option value = ""1994""&gt; 1994 &lt;/ option&gt; &lt;option value = ""1993""&gt; 1993 &lt;/ option&gt; &lt;option value = ""1992""&gt; 1992 &lt;/ option&gt; &lt;option value = ""1991""&gt; 1991 &lt;/ option&gt; &lt;option value = ""1990""&gt; 1990 &lt;"&amp;"/ option&gt; &lt;option value = "" 1989 ""&gt; 1989 &lt;/ option&gt; &lt;option value ="" 1988 ""&gt; 1988 &lt;/ option&gt; &lt;option value ="" 1987 ""&gt; 1987 &lt;/ option&gt; &lt;option value ="" 1986 ""&gt; 1986 &lt;/ option&gt; &lt;value option = ""1985""&gt; 1985 &lt;/ option&gt; &lt;option value = ""1984""&gt; 1984"&amp;" &lt;/ option&gt; &lt;option value = ""1983""&gt; 1983 &lt;/ option&gt; &lt;option value = ""1982""&gt; 1982 &lt;/ option&gt; &lt; option value = ""1981""&gt; 1981 &lt;/ option&gt; &lt;option value = ""1980""&gt; 1980 &lt;/ option&gt; &lt;option value = ""1979""&gt; 1979 &lt;/ option&gt; &lt;option value = ""1978""&gt; 1978 &lt;"&amp;"/ option &gt; &lt;option value = ""1977""&gt; 1977 &lt;/ option&gt; &lt;option value = ""1976""&gt; 1976 &lt;/ option&gt; &lt;option value = ""1975""&gt; 1975 &lt;/ option&gt; &lt;option value = ""1974""&gt; 1974 &lt; / option&gt; &lt;option value = ""1973""&gt; 1973 &lt;/ option&gt; &lt;option value = ""1972""&gt; 1972 &lt;/"&amp;" option&gt; &lt;option value = ""1971""&gt; 1971 &lt;/ option&gt; &lt;option value = ""1970""&gt; 1970 &lt;/ option&gt; &lt;option value = ""1969""&gt; 1969 &lt;/ option&gt; &lt;option value = ""1968""&gt; 1968 &lt;/ option&gt; &lt;option value = ""1967""&gt; 1967 &lt;/ option&gt; &lt;option value = ""1966 ""&gt; 1966 &lt;/ o"&amp;"ption&gt; &lt;option value ="" 1965 ""&gt; 1965 &lt;/ option&gt; &lt;option value ="" 1964 ""&gt; 1964 &lt;/ option&gt; &lt;option value ="" 1963 ""&gt; 1963 &lt;/ option&gt; &lt;option value = ""1962""&gt; 1962 &lt;/ option&gt; &lt;option value = ""1961""&gt; 1961 &lt;/ option&gt; &lt;option value = ""1960""&gt; 1960 &lt;/ o"&amp;"p tion&gt; &lt;option value = ""1959""&gt; 1959 &lt;/ option&gt; &lt;option value = ""1958""&gt; 1958 &lt;/ option&gt; &lt;option value = ""1957""&gt; 1957 &lt;/ option&gt; &lt;option value = ""1956""&gt; 1956 &lt;/ option&gt; &lt;option value = ""1955""&gt; 1955 &lt;/ option&gt; &lt;option value = ""1954""&gt; 1954 &lt;/ opt"&amp;"ion&gt; &lt;option value = ""1953""&gt; 1953 &lt;/ option&gt; &lt;option value = ""1952"" &gt; 1952 &lt;/ option&gt; &lt;option value = ""1951""&gt; 1951 &lt;/ option&gt; &lt;option value = ""1950""&gt; 1950 &lt;/ option&gt; &lt;option value = ""1949""&gt; 1949 &lt;/ option&gt; &lt;option value = "" 1948 ""&gt; 1948 &lt;/ opt"&amp;"ion&gt; &lt;option value ="" 1947 ""&gt; 1947 &lt;/ option&gt; &lt;option value ="" 1946 ""&gt; 1946 &lt;/ option&gt; &lt;option value ="" 1945 ""&gt; 1945 &lt;/ option&gt; &lt;value option = ""1944""&gt; 1944 &lt;/ option&gt; &lt;option value = ""1943""&gt; 1943 &lt;/ option&gt; &lt;option value = ""1942""&gt; 1942 &lt;/ opt"&amp;"ion&gt; &lt;option value = ""1941""&gt; 1941 &lt;/ option&gt; &lt; option value = ""1940""&gt; 1940 &lt;/ option&gt; &lt;option value = ""1939""&gt; 1939 &lt;/ option&gt; &lt;option value = ""1938""&gt; 1938 &lt;/ option&gt; &lt;option value = ""1937""&gt; 1937 &lt;/ option &gt; &lt;option value = ""1936""&gt; 1936 &lt;/ opti"&amp;"on&gt; &lt;option value = ""1935""&gt; 1935 &lt;/ option&gt; &lt;option value = ""1934""&gt; 1934 &lt;/ option&gt; &lt;option value = ""1933""&gt; 1933 &lt; / option&gt; &lt;option value = ""1932""&gt; 1932 &lt;/ option&gt; &lt;option value = ""1931""&gt; 1931 &lt;/ option&gt; &lt;option v alue = ""1930""&gt; 1930 &lt;/ optio"&amp;"n&gt; &lt;option value = ""1929""&gt; 1929 &lt;/ option&gt; &lt;option value = ""1928""&gt; 1928 &lt;/ option&gt; &lt;option value = ""1927""&gt; 1927 &lt;/ option&gt; &lt;option value = ""1926""&gt; 1926 &lt;/ option&gt; &lt;option value = ""1925""&gt; 1925 &lt;/ option&gt; &lt;option value = ""1924""&gt; 1924 &lt;/ option&gt; "&amp;"&lt;option value = ""1923""&gt; 1923 &lt;/ option&gt; &lt;option value = ""1922""&gt; 1922 &lt;/ option&gt; &lt;option value = ""1921""&gt; 1921 &lt;/ option&gt; &lt;option value = ""1920""&gt; 1920 &lt;/ option&gt; &lt;option value = ""1919""&gt; 1919 &lt;/ option&gt; &lt;option value = ""1918""&gt; 1918 &lt;/ option&gt; &lt;op"&amp;"tion value = ""1917""&gt; 1917 &lt;/ option&gt; &lt;option value = ""1916""&gt; 1916 &lt;/ option&gt; &lt;option value = ""1915"" &gt; 1915 &lt;/ option&gt; &lt;option value = ""1914""&gt; 1914 &lt;/ option&gt; &lt;option value = ""1913""&gt; 1913 &lt;/ option&gt; &lt;option value = ""1912""&gt; 1912 &lt;/ option&gt; &lt;opti"&amp;"on value = "" 1911 ""&gt; 1911 &lt;/ option&gt; &lt;option value ="" 1910 ""&gt; 1910 &lt;/ option&gt; &lt;option value ="" 1909 ""&gt; 1909 &lt;/ option&gt; &lt;option value ="" 1908 ""&gt; 1908 &lt;/ option&gt; &lt;value option = ""1907""&gt; 1907 &lt;/ option&gt; &lt;option value = ""1906""&gt; 1906 &lt;/ option&gt; &lt;op"&amp;"tion value = ""1905""&gt; 1905 &lt;/ option&gt; &lt;option value = ""1904""&gt; 1904 &lt;/ option&gt; &lt; option value = ""1903""&gt; 1903 &lt;/ option&gt; &lt;option value = ""1902""&gt; 1902 &lt;/ option&gt; &lt;option value = ""1901""&gt; 19 01 &lt;/ option&gt; &lt;option value = ""1900""&gt; 1900 &lt;/ option&gt; &lt;/ s"&amp;"elect&gt; &lt;div tabindex = ""- 1"" class = ""airy-age-gate-submit airy-submit-button airy airy-submit- disabled ""&gt; Submit &lt;/ div&gt; &lt;/ div&gt; &lt;/ div&gt; &lt;/ div&gt; &lt;/ div&gt; &lt;/ div&gt; &lt;div tabindex ="" - 1 ""class ="" airy-install-flash-dialog airy-stage airy -vertical-ce"&amp;"ntering-table-dialog airy airy-denied ""style ="" opacity: 0; visibility: hidden; ""&gt; &lt;div tabindex ="" - 1 ""class ="" airy-install-flash-Vertical-centering-table-cell airy-Vertical-centering-table-cell ""&gt; &lt;div tabindex ="" - 1 ""class = ""airy-Vertical"&amp;"-centering-wrapper airy-install-flash-elements-wrapper""&gt; &lt;div tabindex = ""- 1"" class = ""airy-install-flash-elements airy-dialog-elements""&gt; &lt;div tabindex = "" -1 ""class ="" airy-install-flash-prompt ""&gt; Adobe Flash Player is required to watch this vi"&amp;"deo &lt;/ div&gt; &lt;div tabindex =."" - 1 ""class ="" airy-install-flash-button-wrapper airy -dialog-inner-elements ""&gt; &lt;div tabindex ="" - 1 ""class ="" airy-install-flash-button airy-button ""&gt; install Flash Player &lt;/ div&gt; &lt;/ div&gt; &lt;/ div&gt; &lt;/ div&gt; &lt;/ div&gt; &lt;/ di"&amp;"v&gt; &lt;div tabindex = ""- 1"" class = ""airy-video-unsupported-dialog airy-stage airy-Vertical-centering-table airy-dialog airy-denied"" style = ""opacity: 0; visibility: hidden; ""&gt; &lt;div tabindex ="" - 1 ""class ="" airy-video-unsupported-Vertical-centering"&amp;"-table-cell airy-Vertical-centering-table-cell ""&gt; &lt;div tabindex ="" - 1 ""class = ""airy-Vertical-centering-wrapper airy-video-unsupported-elements-wrapper""&gt; &lt;div tabindex = ""- 1"" class = ""airy-video-unsupported-elements airy-dialog-elements""&gt; &lt;div "&amp;"tabindex = "" -1 ""class ="" airy-video-unsupported-prompt ""&gt; &lt;/ div&gt; &lt;/ div&gt; &lt;/ div&gt; &lt;/ div&gt; &lt;/ div&gt; &lt;div tabindex ="" - 1 ""class ="" airy-loading- spinner-stage airy-stage ""&gt; &lt;div tabindex ="" - 1 ""class ="" airy-loading-spinner-Vertical-centering-t"&amp;"able-cell airy-Vertical-centering-table-cell ""&gt; &lt;div tabindex ="" - 1 ""class ="" airy-loading-spinner-container airy-scalable-hint-container ""&gt; &lt;div tabindex ="" - 1 ""class ="" airy-loading-spinner-dummy airy-scalable-dummy ""&gt; &lt;/ div&gt; &lt; div tabindex "&amp;"= ""- 1"" class = ""airy-loading-spinner airy-hint"" style = ""visibility: hidden;""&gt; &lt;/ div&gt; &lt;/ div&gt; &lt;/ div&gt; &lt;/ div&gt; &lt;div tabindex = ""- 1 ""class ="" airy-ads-screen-size-toggle airy-screen-size-toggle-fullscreen airy ""style ="" visibility: hidden; ""&gt;"&amp;" &lt;/ div&gt; &lt;div tabindex = ""-1"" class = ""airy-ad-prompt-container"" style = ""visibility: hidden;""&gt; &lt;div tabindex = ""- 1"" class = ""airy-ad-prompt-Vertical-centering-table-vertically airy centering-table ""&gt; &lt;div tabindex ="" - 1 ""class ="" airy-ad-p"&amp;"rompt-Vertical-centering-table-cell airy-Vertical-centering-table-cell ""&gt; &lt;div tabindex ="" - 1 ""class = ""airy-ad-prompt-label""&gt; &lt;/ div&gt; &lt;/ div&gt; &lt;/ div&gt; &lt;/ div&gt; &lt;div tabindex = ""- 1"" class = ""airy-ads-controls-container"" style = ""visibility: hidd"&amp;"en; ""&gt; &lt;div tabindex ="" - 1 ""class ="" airy-ads-audio-toggle airy-audio-toggle airy-on ""style ="" visibility: hidden; ""&gt; &lt;/ div&gt; &lt;div tabindex ="" - 1 ""class ="" airy-time-remaining-label-container ""&gt; &lt;div tabindex ="" - 1 ""class ="" airy-time-rem"&amp;"aining-Vertical-centering-table airy-Vertical-centering-table ""&gt; &lt;div tabindex = ""- 1"" class = ""airy-time-remaining-Vertical-centering-table-cell airy-Vertical-centering-table-cell""&gt; &lt;div tabindex = ""- 1"" class = ""airy-Vertical-centering-wrapper a"&amp;"iry-time-remaining-label-wrapper ""&gt; &lt;div tabindex ="" - 1 ""class ="" airy-time-remaining-label ""style ="" visibility: hidden; ""&gt; &lt;/ div&gt; &lt;div tabi ndex = ""- 1"" class = ""airy-ad-skip"" style = ""visibility: hidden;""&gt; &lt;/ div&gt; &lt;div tabindex = ""- 1"""&amp;" class = ""airy-ad-end"" style = ""visibility: hidden ""&gt; &lt;/ div&gt; &lt;/ div&gt; &lt;/ div&gt; &lt;/ div&gt; &lt;/ div&gt; &lt;div tabindex ="" - 1 ""class ="" airy-learn-more ""style ="" visibility: hidden; ""&gt; &lt;/ div&gt; &lt;/ div&gt; &lt;div tabindex = ""- 1"" class = ""airy-play-toggle-hint"&amp;"-stage airy-stage airy-cursor""&gt; &lt;div tabindex = ""- 1"" class = ""airy-play -toggle-hint-Vertical-centering-table-cell airy-Vertical-centering-table-cell airy-cursor ""&gt; &lt;div tabindex ="" - 1 ""class ="" airy-play-toggle-hint-container airy-scalable- Hin"&amp;"t-container ""&gt; &lt;div tabindex ="" - 1 ""class ="" airy-play-toggle-hint-dummy airy-scalable-dummy ""&gt; &lt;/ div&gt; &lt;div tabindex ="" - 1 ""class ="" airy-play -toggle-hint hint airy-airy-play-hint ""style ="" opacity: 1; visibility: visible; ""&gt; &lt;/ div&gt; &lt;/ div"&amp;"&gt; &lt;/ div&gt; &lt;/ div&gt; &lt;div tabindex ="" - 1 ""class ="" airy-replay-hint-stage airy-stage ""style ="" visibility: hidden ; ""&gt; &lt;div tabindex ="" - 1 ""class ="" airy-replay-hint-Vertical-centering-table-cell airy-Vertical-centering-table-cell airy-cursor ""&gt; "&amp;"&lt;div tabindex ="" - 1 ""class = ""airy-replay-hint-container airy-scalable-hint-container""&gt; &lt;div tabindex = ""- 1"" class = ""airy-replay-hint-dummy airy-scalable-dummy""&gt; &lt;/ div&gt; &lt;div tabindex = ""- 1"" class = ""airy-replay-hint airy-hint""&gt; &lt;/ div&gt; &lt;/"&amp;" div&gt; &lt;/ div&gt; &lt;/ div&gt; &lt;div tabindex = ""- 1"" class = ""airy-autoplay-hint -stage airy-stage ""style ="" visibility: hidden; ""&gt; &lt;div tabindex ="" - 1 ""class ="" airy-autoplay-hint-Vertical-centering-table-cell airy-Vertical-centering-table-cell airy- cu"&amp;"rsor ""&gt; &lt;div tabindex ="" - 1 ""class ="" autoplay airy-airy-hint-container-scalable-hint-container ""&gt; &lt;div tabindex ="" - 1 ""class ="" airy-autoplay-hint-dummy airy- scalable-dummy ""&gt; &lt;/ div&gt; &lt;/ div&gt; &lt;/ div&gt; &lt;/ div&gt; &lt;/ div&gt; &lt;/ div&gt; &lt;input type ="" hi"&amp;"dden ""name ="" ""value ="" https: // images-eu .ssl-images-amazon.com / images / I / 91C5pnEMSES.mp4 ""Class ="" video-url ""&gt; &lt;input type ="" hidden ""name ="" ""value ="" https://images-eu.ssl-images-amazon.com/images/I/71VvKxfo3VS.png ""class ="" vide"&amp;"o-slate-img-url ""&gt; &amp; nbsp; Because the family loves to drink tea, before buying the electric kettle, took a few years to use it, so I bought this, the quality is good, blue is very good the anti-blanching, boiling water is much stronger than the original"&amp;". Burn 1 liter of water is about three minutes, very soon, and I'm very satisfied.")</f>
        <v>The color looks good, the important water is fast &lt;div id = "video-block-R39JU4WBLZ0CNY" class = "a-section a-spacing-small a-spacing-top mini video-block"&gt; &lt;div tabindex = " 0 "class =" airy airy-svg vmin-supported airy-skin-beacon "style =" background-color: rgb (0, 0, 0) position: relative; width: 100%; height: 100%; font- size: 0px; overflow: hidden; outline: none; "&gt; &lt;div class =" airy-renderer-container "style =" position: relative; height: 100%; width: 100%; "&gt; &lt;video id =" 14 "preload =" auto "src =" https://images-eu.ssl-images-amazon.com/images/I/91C5pnEMSES.mp4 "style =" position: absolute; left: 0px; top: 0px; overflow: hidden; height: 1px; width: 1px; "&gt; &lt;/ video&gt; &lt;/ div&gt; &lt;div id =" airy Inslate-preload "style =" background-color: rgb (0, 0, 0); background-image : url (&amp; quot; https: //images-eu.ssl-images-amazon.com/images/I/71VvKxfo3VS.png&amp;quot;); background-size: Contain; background-position: center center; background-repeat: non- repeat; position: absolute; top: 0px; left: 0px; visibility: visible; width: 100%; heig ht: 100%;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0:14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 bar-elements "&gt; &lt;div tabindex =" - 1 "class =" airy-progress bar "style =" width: 100%;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91C5pnEMSES.mp4 "Class =" video-url "&gt; &lt;input type =" hidden "name =" "value =" https://images-eu.ssl-images-amazon.com/images/I/71VvKxfo3VS.png "class =" video-slate-img-url "&gt; &amp; nbsp; Because the family loves to drink tea, before buying the electric kettle, took a few years to use it, so I bought this, the quality is good, blue is very good the anti-blanching, boiling water is much stronger than the original. Burn 1 liter of water is about three minutes, very soon, and I'm very satisfied.</v>
      </c>
    </row>
    <row r="6836">
      <c r="A6836" s="1">
        <v>5.0</v>
      </c>
      <c r="B6836" s="1" t="s">
        <v>6790</v>
      </c>
      <c r="C6836" t="str">
        <f>IFERROR(__xludf.DUMMYFUNCTION("GOOGLETRANSLATE(B6836, ""es"", ""en"")"),"I love your function has the capabilities to play and and used to create several songs")</f>
        <v>I love your function has the capabilities to play and and used to create several songs</v>
      </c>
    </row>
    <row r="6837">
      <c r="A6837" s="1">
        <v>2.0</v>
      </c>
      <c r="B6837" s="1" t="s">
        <v>6791</v>
      </c>
      <c r="C6837" t="str">
        <f>IFERROR(__xludf.DUMMYFUNCTION("GOOGLETRANSLATE(B6837, ""es"", ""en"")"),"He broke ... broke a short time of use. Less than a week, although intense use. Good for Amazon, which accepted the change smoothly. It was enough to follow instructions. I received a new moment like works. Advise introduce orderly files, one by one, and "&amp;"not several at a time in different windows ...")</f>
        <v>He broke ... broke a short time of use. Less than a week, although intense use. Good for Amazon, which accepted the change smoothly. It was enough to follow instructions. I received a new moment like works. Advise introduce orderly files, one by one, and not several at a time in different windows ...</v>
      </c>
    </row>
    <row r="6838">
      <c r="A6838" s="1">
        <v>3.0</v>
      </c>
      <c r="B6838" s="1" t="s">
        <v>6792</v>
      </c>
      <c r="C6838" t="str">
        <f>IFERROR(__xludf.DUMMYFUNCTION("GOOGLETRANSLATE(B6838, ""es"", ""en"")"),"Money well. Two zippers open a lot and can drop things sewn eh not to open both.")</f>
        <v>Money well. Two zippers open a lot and can drop things sewn eh not to open both.</v>
      </c>
    </row>
    <row r="6839">
      <c r="A6839" s="1">
        <v>3.0</v>
      </c>
      <c r="B6839" s="1" t="s">
        <v>6793</v>
      </c>
      <c r="C6839" t="str">
        <f>IFERROR(__xludf.DUMMYFUNCTION("GOOGLETRANSLATE(B6839, ""es"", ""en"")"),"Dely Very beautiful earrings but weigh enough.")</f>
        <v>Dely Very beautiful earrings but weigh enough.</v>
      </c>
    </row>
    <row r="6840">
      <c r="A6840" s="1">
        <v>1.0</v>
      </c>
      <c r="B6840" s="1" t="s">
        <v>6794</v>
      </c>
      <c r="C6840" t="str">
        <f>IFERROR(__xludf.DUMMYFUNCTION("GOOGLETRANSLATE(B6840, ""es"", ""en"")"),"They are not the same Very bad sound are not like those coming inside the box mobile, aesthetically are the same, the sound light years away")</f>
        <v>They are not the same Very bad sound are not like those coming inside the box mobile, aesthetically are the same, the sound light years away</v>
      </c>
    </row>
    <row r="6841">
      <c r="A6841" s="1">
        <v>4.0</v>
      </c>
      <c r="B6841" s="1" t="s">
        <v>6795</v>
      </c>
      <c r="C6841" t="str">
        <f>IFERROR(__xludf.DUMMYFUNCTION("GOOGLETRANSLATE(B6841, ""es"", ""en"")"),"They were for my children and my children were happy 11 and 14, very especialitos with closed shoes do not like them because they end up doubling the Buttress, these are not the whole descalzas by the heel have a small grip. In summary and how important h"&amp;"ave liked")</f>
        <v>They were for my children and my children were happy 11 and 14, very especialitos with closed shoes do not like them because they end up doubling the Buttress, these are not the whole descalzas by the heel have a small grip. In summary and how important have liked</v>
      </c>
    </row>
    <row r="6842">
      <c r="A6842" s="1">
        <v>4.0</v>
      </c>
      <c r="B6842" s="1" t="s">
        <v>6796</v>
      </c>
      <c r="C6842" t="str">
        <f>IFERROR(__xludf.DUMMYFUNCTION("GOOGLETRANSLATE(B6842, ""es"", ""en"")"),"Fits perfectly fits my cup of tea, a little puny part of the holes, but otherwise perfect. It comes with lid.")</f>
        <v>Fits perfectly fits my cup of tea, a little puny part of the holes, but otherwise perfect. It comes with lid.</v>
      </c>
    </row>
    <row r="6843">
      <c r="A6843" s="1">
        <v>4.0</v>
      </c>
      <c r="B6843" s="1" t="s">
        <v>6797</v>
      </c>
      <c r="C6843" t="str">
        <f>IFERROR(__xludf.DUMMYFUNCTION("GOOGLETRANSLATE(B6843, ""es"", ""en"")"),"Good value for Economica and useful. Who wants unpretentious good price is a good buy. For now it works perfectly for basic use")</f>
        <v>Good value for Economica and useful. Who wants unpretentious good price is a good buy. For now it works perfectly for basic use</v>
      </c>
    </row>
    <row r="6844">
      <c r="A6844" s="1">
        <v>4.0</v>
      </c>
      <c r="B6844" s="1" t="s">
        <v>6798</v>
      </c>
      <c r="C6844" t="str">
        <f>IFERROR(__xludf.DUMMYFUNCTION("GOOGLETRANSLATE(B6844, ""es"", ""en"")"),"Good Value Good Value, with velcro although not the strongest I've seen, does just fine with expectations. He did not give it a 5 for all the fluff that spring. Ideally, rub them when they arrive so that all loose and then do not stain all over the floor "&amp;"when ready to use.")</f>
        <v>Good Value Good Value, with velcro although not the strongest I've seen, does just fine with expectations. He did not give it a 5 for all the fluff that spring. Ideally, rub them when they arrive so that all loose and then do not stain all over the floor when ready to use.</v>
      </c>
    </row>
    <row r="6845">
      <c r="A6845" s="1">
        <v>4.0</v>
      </c>
      <c r="B6845" s="1" t="s">
        <v>1104</v>
      </c>
      <c r="C6845" t="str">
        <f>IFERROR(__xludf.DUMMYFUNCTION("GOOGLETRANSLATE(B6845, ""es"", ""en"")"),"Good very good")</f>
        <v>Good very good</v>
      </c>
    </row>
    <row r="6846">
      <c r="A6846" s="1">
        <v>5.0</v>
      </c>
      <c r="B6846" s="1" t="s">
        <v>6799</v>
      </c>
      <c r="C6846" t="str">
        <f>IFERROR(__xludf.DUMMYFUNCTION("GOOGLETRANSLATE(B6846, ""es"", ""en"")"),"TTT Very nice, top quality.")</f>
        <v>TTT Very nice, top quality.</v>
      </c>
    </row>
    <row r="6847">
      <c r="A6847" s="1">
        <v>5.0</v>
      </c>
      <c r="B6847" s="1" t="s">
        <v>6800</v>
      </c>
      <c r="C6847" t="str">
        <f>IFERROR(__xludf.DUMMYFUNCTION("GOOGLETRANSLATE(B6847, ""es"", ""en"")"),"Very satisfied very satisfied")</f>
        <v>Very satisfied very satisfied</v>
      </c>
    </row>
    <row r="6848">
      <c r="A6848" s="1">
        <v>5.0</v>
      </c>
      <c r="B6848" s="1" t="s">
        <v>6801</v>
      </c>
      <c r="C6848" t="str">
        <f>IFERROR(__xludf.DUMMYFUNCTION("GOOGLETRANSLATE(B6848, ""es"", ""en"")"),"Chests are very comfortable")</f>
        <v>Chests are very comfortable</v>
      </c>
    </row>
    <row r="6849">
      <c r="A6849" s="1">
        <v>5.0</v>
      </c>
      <c r="B6849" s="1" t="s">
        <v>6802</v>
      </c>
      <c r="C6849" t="str">
        <f>IFERROR(__xludf.DUMMYFUNCTION("GOOGLETRANSLATE(B6849, ""es"", ""en"")"),"Mouse mat My daughter loved it and says is comfortable")</f>
        <v>Mouse mat My daughter loved it and says is comfortable</v>
      </c>
    </row>
    <row r="6850">
      <c r="A6850" s="1">
        <v>5.0</v>
      </c>
      <c r="B6850" s="1" t="s">
        <v>6803</v>
      </c>
      <c r="C6850" t="str">
        <f>IFERROR(__xludf.DUMMYFUNCTION("GOOGLETRANSLATE(B6850, ""es"", ""en"")"),"Well great fit and very nice color")</f>
        <v>Well great fit and very nice color</v>
      </c>
    </row>
    <row r="6851">
      <c r="A6851" s="1">
        <v>5.0</v>
      </c>
      <c r="B6851" s="1" t="s">
        <v>6804</v>
      </c>
      <c r="C6851" t="str">
        <f>IFERROR(__xludf.DUMMYFUNCTION("GOOGLETRANSLATE(B6851, ""es"", ""en"")"),"Comfortable excellent. Little weight. Very nice and flattering. 10 for this purchase")</f>
        <v>Comfortable excellent. Little weight. Very nice and flattering. 10 for this purchase</v>
      </c>
    </row>
    <row r="6852">
      <c r="A6852" s="1">
        <v>5.0</v>
      </c>
      <c r="B6852" s="1" t="s">
        <v>6805</v>
      </c>
      <c r="C6852" t="str">
        <f>IFERROR(__xludf.DUMMYFUNCTION("GOOGLETRANSLATE(B6852, ""es"", ""en"")"),"More than a heater I like the design, it is very practical and has strong high capacity .aparentemente I mean that is not easily damaged. And in my kitchen is gorgeous !!!")</f>
        <v>More than a heater I like the design, it is very practical and has strong high capacity .aparentemente I mean that is not easily damaged. And in my kitchen is gorgeous !!!</v>
      </c>
    </row>
    <row r="6853">
      <c r="A6853" s="1">
        <v>5.0</v>
      </c>
      <c r="B6853" s="1" t="s">
        <v>6806</v>
      </c>
      <c r="C6853" t="str">
        <f>IFERROR(__xludf.DUMMYFUNCTION("GOOGLETRANSLATE(B6853, ""es"", ""en"")"),"Tapona pretty well plugged pretty well, see now with the cold if not solidifies")</f>
        <v>Tapona pretty well plugged pretty well, see now with the cold if not solidifies</v>
      </c>
    </row>
    <row r="6854">
      <c r="A6854" s="1">
        <v>5.0</v>
      </c>
      <c r="B6854" s="1" t="s">
        <v>6807</v>
      </c>
      <c r="C6854" t="str">
        <f>IFERROR(__xludf.DUMMYFUNCTION("GOOGLETRANSLATE(B6854, ""es"", ""en"")"),"Perfect! 5 folders of good material and very Uiles. Fast shipping with accurate description. Recommended for students like me who need covers for notes.")</f>
        <v>Perfect! 5 folders of good material and very Uiles. Fast shipping with accurate description. Recommended for students like me who need covers for notes.</v>
      </c>
    </row>
    <row r="6855">
      <c r="A6855" s="1">
        <v>5.0</v>
      </c>
      <c r="B6855" s="1" t="s">
        <v>6808</v>
      </c>
      <c r="C6855" t="str">
        <f>IFERROR(__xludf.DUMMYFUNCTION("GOOGLETRANSLATE(B6855, ""es"", ""en"")"),"Phenomenal value needed a good card good speed for my new camera. The only problem with this card is that it is of 80MB / s, and my camera needs 100 to record 4K, luckily it is an option that almost never use and for now, until I can afford better, is cor"&amp;"rect, and the less in evidence supports 4K recording, as long as not much time. Furthermore does the job and doing very well.")</f>
        <v>Phenomenal value needed a good card good speed for my new camera. The only problem with this card is that it is of 80MB / s, and my camera needs 100 to record 4K, luckily it is an option that almost never use and for now, until I can afford better, is correct, and the less in evidence supports 4K recording, as long as not much time. Furthermore does the job and doing very well.</v>
      </c>
    </row>
    <row r="6856">
      <c r="A6856" s="1">
        <v>5.0</v>
      </c>
      <c r="B6856" s="1" t="s">
        <v>6809</v>
      </c>
      <c r="C6856" t="str">
        <f>IFERROR(__xludf.DUMMYFUNCTION("GOOGLETRANSLATE(B6856, ""es"", ""en"")"),"Perfect quality and useful to carry wallet, mobile phone and keys. Good quality")</f>
        <v>Perfect quality and useful to carry wallet, mobile phone and keys. Good quality</v>
      </c>
    </row>
    <row r="6857">
      <c r="A6857" s="1">
        <v>5.0</v>
      </c>
      <c r="B6857" s="1" t="s">
        <v>6810</v>
      </c>
      <c r="C6857" t="str">
        <f>IFERROR(__xludf.DUMMYFUNCTION("GOOGLETRANSLATE(B6857, ""es"", ""en"")"),"Soft and warm The size is perfect, it's going very well, Anchita, as I like sweatshirts. It is thick and keeps heat well. I love the softness of the fabric. The design is cool, modern. The turtleneck is a hoot for winter.")</f>
        <v>Soft and warm The size is perfect, it's going very well, Anchita, as I like sweatshirts. It is thick and keeps heat well. I love the softness of the fabric. The design is cool, modern. The turtleneck is a hoot for winter.</v>
      </c>
    </row>
    <row r="6858">
      <c r="A6858" s="1">
        <v>5.0</v>
      </c>
      <c r="B6858" s="1" t="s">
        <v>6811</v>
      </c>
      <c r="C6858" t="str">
        <f>IFERROR(__xludf.DUMMYFUNCTION("GOOGLETRANSLATE(B6858, ""es"", ""en"")"),"Good buy Fantastic item, the item corresponds to the description on the page. Very pleased with the acquisition of this article. Lot of compartments, large.")</f>
        <v>Good buy Fantastic item, the item corresponds to the description on the page. Very pleased with the acquisition of this article. Lot of compartments, large.</v>
      </c>
    </row>
    <row r="6859">
      <c r="A6859" s="1">
        <v>5.0</v>
      </c>
      <c r="B6859" s="1" t="s">
        <v>6812</v>
      </c>
      <c r="C6859" t="str">
        <f>IFERROR(__xludf.DUMMYFUNCTION("GOOGLETRANSLATE(B6859, ""es"", ""en"")"),"Very good very good, and have tasted and looked really good, also it comes with a booklet of recipes for smoothies")</f>
        <v>Very good very good, and have tasted and looked really good, also it comes with a booklet of recipes for smoothies</v>
      </c>
    </row>
    <row r="6860">
      <c r="A6860" s="1">
        <v>5.0</v>
      </c>
      <c r="B6860" s="1" t="s">
        <v>6813</v>
      </c>
      <c r="C6860" t="str">
        <f>IFERROR(__xludf.DUMMYFUNCTION("GOOGLETRANSLATE(B6860, ""es"", ""en"")"),"Excellent is the first time I use an SSD, it seemed extraordinary, I relived a laptop ten years and is a very positive experience power and leverage technology. It came very fast in the Prime Day and I recommend it for those who want to have a disk with t"&amp;"he operating system and other programs, it has a price / quality superior.")</f>
        <v>Excellent is the first time I use an SSD, it seemed extraordinary, I relived a laptop ten years and is a very positive experience power and leverage technology. It came very fast in the Prime Day and I recommend it for those who want to have a disk with the operating system and other programs, it has a price / quality superior.</v>
      </c>
    </row>
    <row r="6861">
      <c r="A6861" s="1">
        <v>5.0</v>
      </c>
      <c r="B6861" s="1" t="s">
        <v>6814</v>
      </c>
      <c r="C6861" t="str">
        <f>IFERROR(__xludf.DUMMYFUNCTION("GOOGLETRANSLATE(B6861, ""es"", ""en"")"),"Lovely is a beautiful pendant. It has not been ugly and very elegant nada.Queda")</f>
        <v>Lovely is a beautiful pendant. It has not been ugly and very elegant nada.Queda</v>
      </c>
    </row>
    <row r="6862">
      <c r="A6862" s="1">
        <v>5.0</v>
      </c>
      <c r="B6862" s="1" t="s">
        <v>6815</v>
      </c>
      <c r="C6862" t="str">
        <f>IFERROR(__xludf.DUMMYFUNCTION("GOOGLETRANSLATE(B6862, ""es"", ""en"")"),"Not bad for what I paid I bought this item 7 euros in section Reconditioned Amazon. For now the worst time it took to arrive from Germany. The ear hook is flexible and good feeling. It is adjustable but that part I do not like anything because it has no s"&amp;"trength to hold the position. What are the headphones itself, they seem the train or bus. They seem very basic. I hope only for having better quality brand within. The cable is too thin for my taste rather than what the outcome. The sound is good (for now"&amp;"), and high quality. It recommended for the money, at the least for now.")</f>
        <v>Not bad for what I paid I bought this item 7 euros in section Reconditioned Amazon. For now the worst time it took to arrive from Germany. The ear hook is flexible and good feeling. It is adjustable but that part I do not like anything because it has no strength to hold the position. What are the headphones itself, they seem the train or bus. They seem very basic. I hope only for having better quality brand within. The cable is too thin for my taste rather than what the outcome. The sound is good (for now), and high quality. It recommended for the money, at the least for now.</v>
      </c>
    </row>
    <row r="6863">
      <c r="A6863" s="1">
        <v>5.0</v>
      </c>
      <c r="B6863" s="1" t="s">
        <v>6816</v>
      </c>
      <c r="C6863" t="str">
        <f>IFERROR(__xludf.DUMMYFUNCTION("GOOGLETRANSLATE(B6863, ""es"", ""en"")"),"If you want to sweat a lot this is the shirt for you The shirt I received one day after the delivery date but it was by an error in the happy direction t use it every day and makes me sweat a lot which is very good. I would not hesitate to buy it again.")</f>
        <v>If you want to sweat a lot this is the shirt for you The shirt I received one day after the delivery date but it was by an error in the happy direction t use it every day and makes me sweat a lot which is very good. I would not hesitate to buy it again.</v>
      </c>
    </row>
    <row r="6864">
      <c r="A6864" s="1">
        <v>5.0</v>
      </c>
      <c r="B6864" s="1" t="s">
        <v>6817</v>
      </c>
      <c r="C6864" t="str">
        <f>IFERROR(__xludf.DUMMYFUNCTION("GOOGLETRANSLATE(B6864, ""es"", ""en"")"),"Perfect gift was a gift for my grandfather and liked it. Although the design is simple, it looks nice and works well.")</f>
        <v>Perfect gift was a gift for my grandfather and liked it. Although the design is simple, it looks nice and works well.</v>
      </c>
    </row>
    <row r="6865">
      <c r="A6865" s="1">
        <v>2.0</v>
      </c>
      <c r="B6865" s="1" t="s">
        <v>6818</v>
      </c>
      <c r="C6865" t="str">
        <f>IFERROR(__xludf.DUMMYFUNCTION("GOOGLETRANSLATE(B6865, ""es"", ""en"")"),"Pedi is not expected size I use and I pledge is great in the outline, and gave me the impression that the subject was not enough to run with.")</f>
        <v>Pedi is not expected size I use and I pledge is great in the outline, and gave me the impression that the subject was not enough to run with.</v>
      </c>
    </row>
    <row r="6866">
      <c r="A6866" s="1">
        <v>3.0</v>
      </c>
      <c r="B6866" s="1" t="s">
        <v>6819</v>
      </c>
      <c r="C6866" t="str">
        <f>IFERROR(__xludf.DUMMYFUNCTION("GOOGLETRANSLATE(B6866, ""es"", ""en"")"),"Beautiful, super comfortable, synthetic sole Inconvenient was all perfect. Only one drawback, the coating that surrounds the heel and ankle rubs exaggerated heel and produces undesirable bowls. A shame because it is very nice and comfortable.")</f>
        <v>Beautiful, super comfortable, synthetic sole Inconvenient was all perfect. Only one drawback, the coating that surrounds the heel and ankle rubs exaggerated heel and produces undesirable bowls. A shame because it is very nice and comfortable.</v>
      </c>
    </row>
    <row r="6867">
      <c r="A6867" s="1">
        <v>1.0</v>
      </c>
      <c r="B6867" s="1" t="s">
        <v>6820</v>
      </c>
      <c r="C6867" t="str">
        <f>IFERROR(__xludf.DUMMYFUNCTION("GOOGLETRANSLATE(B6867, ""es"", ""en"")"),"product problems within 10 days Finally it back because it was loaded loading errors. Return smoothly. When a product fails within 10 days leaves you a lot of doubts. I can not evaluate much, how little I used to say it was a bit chaotic in his travels. T"&amp;"he out without much sense. Wherever he went if he aspired believe that good. But at things very rare in their paths.")</f>
        <v>product problems within 10 days Finally it back because it was loaded loading errors. Return smoothly. When a product fails within 10 days leaves you a lot of doubts. I can not evaluate much, how little I used to say it was a bit chaotic in his travels. The out without much sense. Wherever he went if he aspired believe that good. But at things very rare in their paths.</v>
      </c>
    </row>
    <row r="6868">
      <c r="A6868" s="1">
        <v>1.0</v>
      </c>
      <c r="B6868" s="1" t="s">
        <v>6821</v>
      </c>
      <c r="C6868" t="str">
        <f>IFERROR(__xludf.DUMMYFUNCTION("GOOGLETRANSLATE(B6868, ""es"", ""en"")"),"I did not like not recommend it, suctioning and buy Crappy eight months and gives me trouble anymore.")</f>
        <v>I did not like not recommend it, suctioning and buy Crappy eight months and gives me trouble anymore.</v>
      </c>
    </row>
    <row r="6869">
      <c r="A6869" s="1">
        <v>1.0</v>
      </c>
      <c r="B6869" s="1" t="s">
        <v>6822</v>
      </c>
      <c r="C6869" t="str">
        <f>IFERROR(__xludf.DUMMYFUNCTION("GOOGLETRANSLATE(B6869, ""es"", ""en"")"),"The glass does not support temperature, short cable and poor warranty. DO NOT RECOMMEND THIS BRAND After a few uses boiling water started out by breaking the glass and pouring water over said electrical system, I found it quite dangerous. The pitcher has "&amp;"no warranty, no aigostar took over. I DO NOT RECOMMEND poor quality")</f>
        <v>The glass does not support temperature, short cable and poor warranty. DO NOT RECOMMEND THIS BRAND After a few uses boiling water started out by breaking the glass and pouring water over said electrical system, I found it quite dangerous. The pitcher has no warranty, no aigostar took over. I DO NOT RECOMMEND poor quality</v>
      </c>
    </row>
    <row r="6870">
      <c r="A6870" s="1">
        <v>4.0</v>
      </c>
      <c r="B6870" s="1" t="s">
        <v>6823</v>
      </c>
      <c r="C6870" t="str">
        <f>IFERROR(__xludf.DUMMYFUNCTION("GOOGLETRANSLATE(B6870, ""es"", ""en"")"),"As he expected acceptable. They are not great but for the price well, fulfill their function.")</f>
        <v>As he expected acceptable. They are not great but for the price well, fulfill their function.</v>
      </c>
    </row>
    <row r="6871">
      <c r="A6871" s="1">
        <v>4.0</v>
      </c>
      <c r="B6871" s="1" t="s">
        <v>6824</v>
      </c>
      <c r="C6871" t="str">
        <f>IFERROR(__xludf.DUMMYFUNCTION("GOOGLETRANSLATE(B6871, ""es"", ""en"")"),"Alberto Asta date goes well, the only negative is that the temperature is higher than other SSD brands but it is not excessive and is not to rise more remains in a higher range, capacity and speed for the price it has is more than acceptable")</f>
        <v>Alberto Asta date goes well, the only negative is that the temperature is higher than other SSD brands but it is not excessive and is not to rise more remains in a higher range, capacity and speed for the price it has is more than acceptable</v>
      </c>
    </row>
    <row r="6872">
      <c r="A6872" s="1">
        <v>4.0</v>
      </c>
      <c r="B6872" s="1" t="s">
        <v>6825</v>
      </c>
      <c r="C6872" t="str">
        <f>IFERROR(__xludf.DUMMYFUNCTION("GOOGLETRANSLATE(B6872, ""es"", ""en"")"),"While the bottle I bought it mostly because I had Teat 3months. Is a little big, have 340ml and is a bit difficult to wash, sterilize. But otherwise 5 Stars.")</f>
        <v>While the bottle I bought it mostly because I had Teat 3months. Is a little big, have 340ml and is a bit difficult to wash, sterilize. But otherwise 5 Stars.</v>
      </c>
    </row>
    <row r="6873">
      <c r="A6873" s="1">
        <v>4.0</v>
      </c>
      <c r="B6873" s="1" t="s">
        <v>6826</v>
      </c>
      <c r="C6873" t="str">
        <f>IFERROR(__xludf.DUMMYFUNCTION("GOOGLETRANSLATE(B6873, ""es"", ""en"")"),"Fast but a bit noisy. First of all clarify that there are two versions, the retail box includes the hard drive in an antistatic bag without further ado, I bought the first time and I came flawed by poor protection had the package. Retail version Boxed Kit"&amp;" includes product box you see in the picture, and the hard drive is properly protected. This toshiba is one of the hard drives with better quality / price of the market and is perfect for home or gaming equipment. It has a 64MB buffer and rotates at 7200r"&amp;"pm, fast and with good access times. Like all discs of this range all they have bad is the noise, right now is the most often heard on my computer above 5 fans have installed. When visiting it can also hear the movement of the head. Recommend insulate wel"&amp;"l with rubber grommets to prevent vibration in your tower, the difference is noticeable.")</f>
        <v>Fast but a bit noisy. First of all clarify that there are two versions, the retail box includes the hard drive in an antistatic bag without further ado, I bought the first time and I came flawed by poor protection had the package. Retail version Boxed Kit includes product box you see in the picture, and the hard drive is properly protected. This toshiba is one of the hard drives with better quality / price of the market and is perfect for home or gaming equipment. It has a 64MB buffer and rotates at 7200rpm, fast and with good access times. Like all discs of this range all they have bad is the noise, right now is the most often heard on my computer above 5 fans have installed. When visiting it can also hear the movement of the head. Recommend insulate well with rubber grommets to prevent vibration in your tower, the difference is noticeable.</v>
      </c>
    </row>
    <row r="6874">
      <c r="A6874" s="1">
        <v>4.0</v>
      </c>
      <c r="B6874" s="1" t="s">
        <v>6827</v>
      </c>
      <c r="C6874" t="str">
        <f>IFERROR(__xludf.DUMMYFUNCTION("GOOGLETRANSLATE(B6874, ""es"", ""en"")"),"Good value Overall the article is more than good for the price you have. It is small, you can take the keys and silver design is fine. No caps to lose or is retractable, it is used as it is in the picture. What does not seem right, do not know if this is "&amp;"normal in any memory of this kind or not because even I did not see any feedback from users I admit that I had not noticed these things, but the truth is that they advertise 32 gigas and nothing else connect it to the computer, still empty, has only 29. W"&amp;"e're talking about 3GB of difference. On the rate for the use I give it is more than enough (films or series record me see and delete).")</f>
        <v>Good value Overall the article is more than good for the price you have. It is small, you can take the keys and silver design is fine. No caps to lose or is retractable, it is used as it is in the picture. What does not seem right, do not know if this is normal in any memory of this kind or not because even I did not see any feedback from users I admit that I had not noticed these things, but the truth is that they advertise 32 gigas and nothing else connect it to the computer, still empty, has only 29. We're talking about 3GB of difference. On the rate for the use I give it is more than enough (films or series record me see and delete).</v>
      </c>
    </row>
    <row r="6875">
      <c r="A6875" s="1">
        <v>5.0</v>
      </c>
      <c r="B6875" s="1" t="s">
        <v>6828</v>
      </c>
      <c r="C6875" t="str">
        <f>IFERROR(__xludf.DUMMYFUNCTION("GOOGLETRANSLATE(B6875, ""es"", ""en"")"),"Eye Serum Easy to use")</f>
        <v>Eye Serum Easy to use</v>
      </c>
    </row>
    <row r="6876">
      <c r="A6876" s="1">
        <v>5.0</v>
      </c>
      <c r="B6876" s="1" t="s">
        <v>6829</v>
      </c>
      <c r="C6876" t="str">
        <f>IFERROR(__xludf.DUMMYFUNCTION("GOOGLETRANSLATE(B6876, ""es"", ""en"")"),"blender easy carrying. &lt;Div id = ""video-block-R1SGPGZ1LJBJVV"" class = ""a-section a-spacing-small a-spacing-top mini video-block""&gt; &lt;/ div&gt; &lt;input type = ""hidden"" name = """" value = ""https://images-eu.ssl-images-amazon.com/images/I/A1akzzA8dIS.mp4"""&amp;" class = ""video-url""&gt; &lt;input type = ""hidden"" name = """" value = ""https: //images-eu.ssl-images-amazon.com/images/I/A1z1F6GHEkS.png ""class ="" video-slate-img-url ""&gt; &amp; nbsp; I bought to make fruit smoothies children .. size is ideal; easy to clean "&amp;".. that's what I like ... and a quick way to make smoothies and .. beat eggs for omelets. . It has been a good choice, I am very happy with the result. Very good choice.")</f>
        <v>blender easy carrying. &lt;Div id = "video-block-R1SGPGZ1LJBJVV" class = "a-section a-spacing-small a-spacing-top mini video-block"&gt; &lt;/ div&gt; &lt;input type = "hidden" name = "" value = "https://images-eu.ssl-images-amazon.com/images/I/A1akzzA8dIS.mp4" class = "video-url"&gt; &lt;input type = "hidden" name = "" value = "https: //images-eu.ssl-images-amazon.com/images/I/A1z1F6GHEkS.png "class =" video-slate-img-url "&gt; &amp; nbsp; I bought to make fruit smoothies children .. size is ideal; easy to clean .. that's what I like ... and a quick way to make smoothies and .. beat eggs for omelets. . It has been a good choice, I am very happy with the result. Very good choice.</v>
      </c>
    </row>
    <row r="6877">
      <c r="A6877" s="1">
        <v>5.0</v>
      </c>
      <c r="B6877" s="1" t="s">
        <v>680</v>
      </c>
      <c r="C6877" t="str">
        <f>IFERROR(__xludf.DUMMYFUNCTION("GOOGLETRANSLATE(B6877, ""es"", ""en"")"),"Good good")</f>
        <v>Good good</v>
      </c>
    </row>
    <row r="6878">
      <c r="A6878" s="1">
        <v>5.0</v>
      </c>
      <c r="B6878" s="1" t="s">
        <v>6830</v>
      </c>
      <c r="C6878" t="str">
        <f>IFERROR(__xludf.DUMMYFUNCTION("GOOGLETRANSLATE(B6878, ""es"", ""en"")"),"necessary product quality and perfect description, well finished product, works perfectly in HDMI i DVI, I have not tried to HDMI 4K but I intend to try in the future and will comment if it works")</f>
        <v>necessary product quality and perfect description, well finished product, works perfectly in HDMI i DVI, I have not tried to HDMI 4K but I intend to try in the future and will comment if it works</v>
      </c>
    </row>
    <row r="6879">
      <c r="A6879" s="1">
        <v>5.0</v>
      </c>
      <c r="B6879" s="1" t="s">
        <v>6831</v>
      </c>
      <c r="C6879" t="str">
        <f>IFERROR(__xludf.DUMMYFUNCTION("GOOGLETRANSLATE(B6879, ""es"", ""en"")"),"Tape adhesive tape very good quality, so far I have not found tape like this, no noise gets, tough and paste good, keep buying.")</f>
        <v>Tape adhesive tape very good quality, so far I have not found tape like this, no noise gets, tough and paste good, keep buying.</v>
      </c>
    </row>
    <row r="6880">
      <c r="A6880" s="1">
        <v>5.0</v>
      </c>
      <c r="B6880" s="1" t="s">
        <v>6832</v>
      </c>
      <c r="C6880" t="str">
        <f>IFERROR(__xludf.DUMMYFUNCTION("GOOGLETRANSLATE(B6880, ""es"", ""en"")"),"Wake Casio had the same model for 12 years, still working perfectly ... until he suffered an unexpected accident. I was so happy with it that I decided to look for another equal and found it on Amazon, so I'm still just as satisfied")</f>
        <v>Wake Casio had the same model for 12 years, still working perfectly ... until he suffered an unexpected accident. I was so happy with it that I decided to look for another equal and found it on Amazon, so I'm still just as satisfied</v>
      </c>
    </row>
    <row r="6881">
      <c r="A6881" s="1">
        <v>5.0</v>
      </c>
      <c r="B6881" s="1" t="s">
        <v>6833</v>
      </c>
      <c r="C6881" t="str">
        <f>IFERROR(__xludf.DUMMYFUNCTION("GOOGLETRANSLATE(B6881, ""es"", ""en"")"),"Perfect Apart from the adhesive have the ability to place the brackets with screws great when the walls are stuccoed")</f>
        <v>Perfect Apart from the adhesive have the ability to place the brackets with screws great when the walls are stuccoed</v>
      </c>
    </row>
    <row r="6882">
      <c r="A6882" s="1">
        <v>5.0</v>
      </c>
      <c r="B6882" s="1" t="s">
        <v>6834</v>
      </c>
      <c r="C6882" t="str">
        <f>IFERROR(__xludf.DUMMYFUNCTION("GOOGLETRANSLATE(B6882, ""es"", ""en"")"),"Super is a small glass blender but powerful, I recommend 👍🏾")</f>
        <v>Super is a small glass blender but powerful, I recommend 👍🏾</v>
      </c>
    </row>
    <row r="6883">
      <c r="A6883" s="1">
        <v>5.0</v>
      </c>
      <c r="B6883" s="1" t="s">
        <v>6835</v>
      </c>
      <c r="C6883" t="str">
        <f>IFERROR(__xludf.DUMMYFUNCTION("GOOGLETRANSLATE(B6883, ""es"", ""en"")"),"Perfect good filter for tea, good quality stainless steel")</f>
        <v>Perfect good filter for tea, good quality stainless steel</v>
      </c>
    </row>
    <row r="6884">
      <c r="A6884" s="1">
        <v>5.0</v>
      </c>
      <c r="B6884" s="1" t="s">
        <v>6836</v>
      </c>
      <c r="C6884" t="str">
        <f>IFERROR(__xludf.DUMMYFUNCTION("GOOGLETRANSLATE(B6884, ""es"", ""en"")"),"Better than I expected Very good buy. What most like me is that when you save it, the blade stays inside (as a cutter) not like most I bought earlier that stays out and run the risk of cut yourself when you stick your hand in the drawer or that is split. "&amp;"well it has done its function. And I love the compartment having to store spare blades. Delivery very punctual. I recommend it.")</f>
        <v>Better than I expected Very good buy. What most like me is that when you save it, the blade stays inside (as a cutter) not like most I bought earlier that stays out and run the risk of cut yourself when you stick your hand in the drawer or that is split. well it has done its function. And I love the compartment having to store spare blades. Delivery very punctual. I recommend it.</v>
      </c>
    </row>
    <row r="6885">
      <c r="A6885" s="1">
        <v>5.0</v>
      </c>
      <c r="B6885" s="1" t="s">
        <v>6837</v>
      </c>
      <c r="C6885" t="str">
        <f>IFERROR(__xludf.DUMMYFUNCTION("GOOGLETRANSLATE(B6885, ""es"", ""en"")"),"Excellent Excellent value. Boil water very quickly, silently, and is aesthetically very nice.")</f>
        <v>Excellent Excellent value. Boil water very quickly, silently, and is aesthetically very nice.</v>
      </c>
    </row>
    <row r="6886">
      <c r="A6886" s="1">
        <v>5.0</v>
      </c>
      <c r="B6886" s="1" t="s">
        <v>6838</v>
      </c>
      <c r="C6886" t="str">
        <f>IFERROR(__xludf.DUMMYFUNCTION("GOOGLETRANSLATE(B6886, ""es"", ""en"")"),"excellent excellent material for plastic, very happy. all cases in perfect condition without spots or kinks. nothing to envy to other brands.")</f>
        <v>excellent excellent material for plastic, very happy. all cases in perfect condition without spots or kinks. nothing to envy to other brands.</v>
      </c>
    </row>
    <row r="6887">
      <c r="A6887" s="1">
        <v>5.0</v>
      </c>
      <c r="B6887" s="1" t="s">
        <v>6839</v>
      </c>
      <c r="C6887" t="str">
        <f>IFERROR(__xludf.DUMMYFUNCTION("GOOGLETRANSLATE(B6887, ""es"", ""en"")"),"I came fast I have good experience with the brand. I recommend it.")</f>
        <v>I came fast I have good experience with the brand. I recommend it.</v>
      </c>
    </row>
    <row r="6888">
      <c r="A6888" s="1">
        <v>5.0</v>
      </c>
      <c r="B6888" s="1" t="s">
        <v>680</v>
      </c>
      <c r="C6888" t="str">
        <f>IFERROR(__xludf.DUMMYFUNCTION("GOOGLETRANSLATE(B6888, ""es"", ""en"")"),"Good good")</f>
        <v>Good good</v>
      </c>
    </row>
    <row r="6889">
      <c r="A6889" s="1">
        <v>5.0</v>
      </c>
      <c r="B6889" s="1" t="s">
        <v>6840</v>
      </c>
      <c r="C6889" t="str">
        <f>IFERROR(__xludf.DUMMYFUNCTION("GOOGLETRANSLATE(B6889, ""es"", ""en"")"),"Perfectly From 10")</f>
        <v>Perfectly From 10</v>
      </c>
    </row>
    <row r="6890">
      <c r="A6890" s="1">
        <v>5.0</v>
      </c>
      <c r="B6890" s="1" t="s">
        <v>6841</v>
      </c>
      <c r="C6890" t="str">
        <f>IFERROR(__xludf.DUMMYFUNCTION("GOOGLETRANSLATE(B6890, ""es"", ""en"")"),"Perfectly fulfills its function as a say in the title, you have boiling water in a few minutes. The finish is really good, although put some glue, the handle is plastic and when you pour boiling water tends to warm up, but nothing to dissuade you from you"&amp;"r purchase. a month that I have and I use it 4 or 5 times the recommended día.Totalmente make your purchase")</f>
        <v>Perfectly fulfills its function as a say in the title, you have boiling water in a few minutes. The finish is really good, although put some glue, the handle is plastic and when you pour boiling water tends to warm up, but nothing to dissuade you from your purchase. a month that I have and I use it 4 or 5 times the recommended día.Totalmente make your purchase</v>
      </c>
    </row>
    <row r="6891">
      <c r="A6891" s="1">
        <v>5.0</v>
      </c>
      <c r="B6891" s="1" t="s">
        <v>6842</v>
      </c>
      <c r="C6891" t="str">
        <f>IFERROR(__xludf.DUMMYFUNCTION("GOOGLETRANSLATE(B6891, ""es"", ""en"")"),"WD 6TB and 8TB come from the hard drives from Toshiba, but I am never so maximum capacity of 3TB, since they brought me this hard drive, storing disks 2 TB of which I carry in my photo backpack, when filled, and I'm thinking that I buy my 8TB, comparing t"&amp;"he 2 brands I stay shamelessly with WD, noise is even lower with this brand when you move files, checked, alongside this 6TB WD, another 8TB, the difference is remarkable , also I have to say I never had any mishaps with toshiba, I mean, against data loss"&amp;" or suchlike, reliability is tremendous but I change their prices lately are skyrocketing ... After checking quality of the product, and seeing that here I must wait 1 to 2 months to buy the 8TB, I decided to stop by mediamark and found that the price was"&amp;" exactly the same, so now I have 2 hard drives WD one of 6TB and the other 8TB, and I reserve for some time.")</f>
        <v>WD 6TB and 8TB come from the hard drives from Toshiba, but I am never so maximum capacity of 3TB, since they brought me this hard drive, storing disks 2 TB of which I carry in my photo backpack, when filled, and I'm thinking that I buy my 8TB, comparing the 2 brands I stay shamelessly with WD, noise is even lower with this brand when you move files, checked, alongside this 6TB WD, another 8TB, the difference is remarkable , also I have to say I never had any mishaps with toshiba, I mean, against data loss or suchlike, reliability is tremendous but I change their prices lately are skyrocketing ... After checking quality of the product, and seeing that here I must wait 1 to 2 months to buy the 8TB, I decided to stop by mediamark and found that the price was exactly the same, so now I have 2 hard drives WD one of 6TB and the other 8TB, and I reserve for some time.</v>
      </c>
    </row>
    <row r="6892">
      <c r="A6892" s="1">
        <v>5.0</v>
      </c>
      <c r="B6892" s="1" t="s">
        <v>6843</v>
      </c>
      <c r="C6892" t="str">
        <f>IFERROR(__xludf.DUMMYFUNCTION("GOOGLETRANSLATE(B6892, ""es"", ""en"")"),"delivers what it promises a very good option at an affordable price, it does its job well, what more can we ask for? is a good product, and brings what the brush is needed to clean the needle")</f>
        <v>delivers what it promises a very good option at an affordable price, it does its job well, what more can we ask for? is a good product, and brings what the brush is needed to clean the needle</v>
      </c>
    </row>
    <row r="6893">
      <c r="A6893" s="1">
        <v>2.0</v>
      </c>
      <c r="B6893" s="1" t="s">
        <v>6844</v>
      </c>
      <c r="C6893" t="str">
        <f>IFERROR(__xludf.DUMMYFUNCTION("GOOGLETRANSLATE(B6893, ""es"", ""en"")"),"I really have not found it. I read so many good reviews, I decided me to buy it. Total disappointment in seeing the likes ask to ask, not subject and is not good. The materials and the expected finer breathable a sports bra may not be thick, it is assumed"&amp;" that go to sweat, must be elastic, thin materials fast drying. Total disappointment. At the dinal they have been one of Desigual who have been me like a glove.")</f>
        <v>I really have not found it. I read so many good reviews, I decided me to buy it. Total disappointment in seeing the likes ask to ask, not subject and is not good. The materials and the expected finer breathable a sports bra may not be thick, it is assumed that go to sweat, must be elastic, thin materials fast drying. Total disappointment. At the dinal they have been one of Desigual who have been me like a glove.</v>
      </c>
    </row>
    <row r="6894">
      <c r="A6894" s="1">
        <v>3.0</v>
      </c>
      <c r="B6894" s="1" t="s">
        <v>6845</v>
      </c>
      <c r="C6894" t="str">
        <f>IFERROR(__xludf.DUMMYFUNCTION("GOOGLETRANSLATE(B6894, ""es"", ""en"")"),"Regular A sleeve reaches me by the wrist and the other me is more above the wrist and is quite large.")</f>
        <v>Regular A sleeve reaches me by the wrist and the other me is more above the wrist and is quite large.</v>
      </c>
    </row>
    <row r="6895">
      <c r="A6895" s="1">
        <v>3.0</v>
      </c>
      <c r="B6895" s="1" t="s">
        <v>6846</v>
      </c>
      <c r="C6895" t="str">
        <f>IFERROR(__xludf.DUMMYFUNCTION("GOOGLETRANSLATE(B6895, ""es"", ""en"")"),"Well with jeans fits.")</f>
        <v>Well with jeans fits.</v>
      </c>
    </row>
    <row r="6896">
      <c r="A6896" s="1">
        <v>1.0</v>
      </c>
      <c r="B6896" s="1" t="s">
        <v>6847</v>
      </c>
      <c r="C6896" t="str">
        <f>IFERROR(__xludf.DUMMYFUNCTION("GOOGLETRANSLATE(B6896, ""es"", ""en"")"),"disappointment stopped working two weeks made in china.mala quality")</f>
        <v>disappointment stopped working two weeks made in china.mala quality</v>
      </c>
    </row>
    <row r="6897">
      <c r="A6897" s="1">
        <v>1.0</v>
      </c>
      <c r="B6897" s="1" t="s">
        <v>6848</v>
      </c>
      <c r="C6897" t="str">
        <f>IFERROR(__xludf.DUMMYFUNCTION("GOOGLETRANSLATE(B6897, ""es"", ""en"")"),"Not practice unpractical")</f>
        <v>Not practice unpractical</v>
      </c>
    </row>
    <row r="6898">
      <c r="A6898" s="1">
        <v>4.0</v>
      </c>
      <c r="B6898" s="1" t="s">
        <v>6849</v>
      </c>
      <c r="C6898" t="str">
        <f>IFERROR(__xludf.DUMMYFUNCTION("GOOGLETRANSLATE(B6898, ""es"", ""en"")"),"Practice not occupy space and finely ground the Great fruit to fruit smoothies or what you want, a pity that the two bottle not bring the silicone grip as 1 and that the bottle tops are so weak with that plastic gives feeling of poor quality, but the pric"&amp;"e has .. Does the job")</f>
        <v>Practice not occupy space and finely ground the Great fruit to fruit smoothies or what you want, a pity that the two bottle not bring the silicone grip as 1 and that the bottle tops are so weak with that plastic gives feeling of poor quality, but the price has .. Does the job</v>
      </c>
    </row>
    <row r="6899">
      <c r="A6899" s="1">
        <v>4.0</v>
      </c>
      <c r="B6899" s="1" t="s">
        <v>6850</v>
      </c>
      <c r="C6899" t="str">
        <f>IFERROR(__xludf.DUMMYFUNCTION("GOOGLETRANSLATE(B6899, ""es"", ""en"")"),"It is good quality small")</f>
        <v>It is good quality small</v>
      </c>
    </row>
    <row r="6900">
      <c r="A6900" s="1">
        <v>4.0</v>
      </c>
      <c r="B6900" s="1" t="s">
        <v>6851</v>
      </c>
      <c r="C6900" t="str">
        <f>IFERROR(__xludf.DUMMYFUNCTION("GOOGLETRANSLATE(B6900, ""es"", ""en"")"),"Shoes are very nice and not as comfortable as I thought, but very good. Rodo best price that is second to none.")</f>
        <v>Shoes are very nice and not as comfortable as I thought, but very good. Rodo best price that is second to none.</v>
      </c>
    </row>
    <row r="6901">
      <c r="A6901" s="1">
        <v>4.0</v>
      </c>
      <c r="B6901" s="1" t="s">
        <v>6852</v>
      </c>
      <c r="C6901" t="str">
        <f>IFERROR(__xludf.DUMMYFUNCTION("GOOGLETRANSLATE(B6901, ""es"", ""en"")"),"All right good product")</f>
        <v>All right good product</v>
      </c>
    </row>
    <row r="6902">
      <c r="A6902" s="1">
        <v>5.0</v>
      </c>
      <c r="B6902" s="1" t="s">
        <v>6853</v>
      </c>
      <c r="C6902" t="str">
        <f>IFERROR(__xludf.DUMMYFUNCTION("GOOGLETRANSLATE(B6902, ""es"", ""en"")"),"Very good quality. Functional. Good mixer. Fast and powerful. Completamentos also brings useful than others do not bring.")</f>
        <v>Very good quality. Functional. Good mixer. Fast and powerful. Completamentos also brings useful than others do not bring.</v>
      </c>
    </row>
    <row r="6903">
      <c r="A6903" s="1">
        <v>5.0</v>
      </c>
      <c r="B6903" s="1" t="s">
        <v>6854</v>
      </c>
      <c r="C6903" t="str">
        <f>IFERROR(__xludf.DUMMYFUNCTION("GOOGLETRANSLATE(B6903, ""es"", ""en"")"),"Something hard perfect, but perfect. Comfortable, beautiful, isolated from water wonder ... The truth who have everything. Is an expensive boot, yes, but is that what it offers and the quality in which it offers is in the price. The purchase would definit"&amp;"ely")</f>
        <v>Something hard perfect, but perfect. Comfortable, beautiful, isolated from water wonder ... The truth who have everything. Is an expensive boot, yes, but is that what it offers and the quality in which it offers is in the price. The purchase would definitely</v>
      </c>
    </row>
    <row r="6904">
      <c r="A6904" s="1">
        <v>5.0</v>
      </c>
      <c r="B6904" s="1" t="s">
        <v>6855</v>
      </c>
      <c r="C6904" t="str">
        <f>IFERROR(__xludf.DUMMYFUNCTION("GOOGLETRANSLATE(B6904, ""es"", ""en"")"),"Very good quality good quality, would buy.")</f>
        <v>Very good quality good quality, would buy.</v>
      </c>
    </row>
    <row r="6905">
      <c r="A6905" s="1">
        <v>5.0</v>
      </c>
      <c r="B6905" s="1" t="s">
        <v>6856</v>
      </c>
      <c r="C6905" t="str">
        <f>IFERROR(__xludf.DUMMYFUNCTION("GOOGLETRANSLATE(B6905, ""es"", ""en"")"),"Good product for good price")</f>
        <v>Good product for good price</v>
      </c>
    </row>
    <row r="6906">
      <c r="A6906" s="1">
        <v>5.0</v>
      </c>
      <c r="B6906" s="1" t="s">
        <v>6857</v>
      </c>
      <c r="C6906" t="str">
        <f>IFERROR(__xludf.DUMMYFUNCTION("GOOGLETRANSLATE(B6906, ""es"", ""en"")"),"Typical Kettle kettle I bought this because in the description said that rapidly heats the water and certainly does! I love its design and white / cream. The size is similar to that of Nespresso coffee to give you an idea and the cable can be wound into t"&amp;"he bottom discreetly. Works great without doubt, would buy.")</f>
        <v>Typical Kettle kettle I bought this because in the description said that rapidly heats the water and certainly does! I love its design and white / cream. The size is similar to that of Nespresso coffee to give you an idea and the cable can be wound into the bottom discreetly. Works great without doubt, would buy.</v>
      </c>
    </row>
    <row r="6907">
      <c r="A6907" s="1">
        <v>5.0</v>
      </c>
      <c r="B6907" s="1" t="s">
        <v>6858</v>
      </c>
      <c r="C6907" t="str">
        <f>IFERROR(__xludf.DUMMYFUNCTION("GOOGLETRANSLATE(B6907, ""es"", ""en"")"),"Good shoe good quality, comfortable and warm.")</f>
        <v>Good shoe good quality, comfortable and warm.</v>
      </c>
    </row>
    <row r="6908">
      <c r="A6908" s="1">
        <v>5.0</v>
      </c>
      <c r="B6908" s="1" t="s">
        <v>6859</v>
      </c>
      <c r="C6908" t="str">
        <f>IFERROR(__xludf.DUMMYFUNCTION("GOOGLETRANSLATE(B6908, ""es"", ""en"")"),"Perfect Very nice")</f>
        <v>Perfect Very nice</v>
      </c>
    </row>
    <row r="6909">
      <c r="A6909" s="1">
        <v>5.0</v>
      </c>
      <c r="B6909" s="1" t="s">
        <v>6860</v>
      </c>
      <c r="C6909" t="str">
        <f>IFERROR(__xludf.DUMMYFUNCTION("GOOGLETRANSLATE(B6909, ""es"", ""en"")"),"Very satisfied with the purchase. They are fantastic, with a very soft touch. 42-46 size is perfect if shims 40. They keep the heat very well. Great buy.")</f>
        <v>Very satisfied with the purchase. They are fantastic, with a very soft touch. 42-46 size is perfect if shims 40. They keep the heat very well. Great buy.</v>
      </c>
    </row>
    <row r="6910">
      <c r="A6910" s="1">
        <v>5.0</v>
      </c>
      <c r="B6910" s="1" t="s">
        <v>6861</v>
      </c>
      <c r="C6910" t="str">
        <f>IFERROR(__xludf.DUMMYFUNCTION("GOOGLETRANSLATE(B6910, ""es"", ""en"")"),"ENCHANTED 😉 I love how comfortable it is to carry and above all functionality. Ideal for travel, airline tickets, book, iPad, bottle of water ... etc.")</f>
        <v>ENCHANTED 😉 I love how comfortable it is to carry and above all functionality. Ideal for travel, airline tickets, book, iPad, bottle of water ... etc.</v>
      </c>
    </row>
    <row r="6911">
      <c r="A6911" s="1">
        <v>5.0</v>
      </c>
      <c r="B6911" s="1" t="s">
        <v>6862</v>
      </c>
      <c r="C6911" t="str">
        <f>IFERROR(__xludf.DUMMYFUNCTION("GOOGLETRANSLATE(B6911, ""es"", ""en"")"),"Are of good quality are perfect, I have not used yet I will tell")</f>
        <v>Are of good quality are perfect, I have not used yet I will tell</v>
      </c>
    </row>
    <row r="6912">
      <c r="A6912" s="1">
        <v>5.0</v>
      </c>
      <c r="B6912" s="1" t="s">
        <v>6863</v>
      </c>
      <c r="C6912" t="str">
        <f>IFERROR(__xludf.DUMMYFUNCTION("GOOGLETRANSLATE(B6912, ""es"", ""en"")"),"My boots Dr Martens are spectacular !! Hi all! Well, my opinion about the product and the seller are positive enough. The boots are absolutely stunning and are great, as expected. The size is perfect and both the product and the seller met my expectations"&amp;". I recommend it 100%")</f>
        <v>My boots Dr Martens are spectacular !! Hi all! Well, my opinion about the product and the seller are positive enough. The boots are absolutely stunning and are great, as expected. The size is perfect and both the product and the seller met my expectations. I recommend it 100%</v>
      </c>
    </row>
    <row r="6913">
      <c r="A6913" s="1">
        <v>5.0</v>
      </c>
      <c r="B6913" s="1" t="s">
        <v>6864</v>
      </c>
      <c r="C6913" t="str">
        <f>IFERROR(__xludf.DUMMYFUNCTION("GOOGLETRANSLATE(B6913, ""es"", ""en"")"),"Perfect remain great. The size that is used is the one to ask, neither more nor less. They fit like a glove")</f>
        <v>Perfect remain great. The size that is used is the one to ask, neither more nor less. They fit like a glove</v>
      </c>
    </row>
    <row r="6914">
      <c r="A6914" s="1">
        <v>5.0</v>
      </c>
      <c r="B6914" s="1" t="s">
        <v>6865</v>
      </c>
      <c r="C6914" t="str">
        <f>IFERROR(__xludf.DUMMYFUNCTION("GOOGLETRANSLATE(B6914, ""es"", ""en"")"),"OK OK")</f>
        <v>OK OK</v>
      </c>
    </row>
    <row r="6915">
      <c r="A6915" s="1">
        <v>5.0</v>
      </c>
      <c r="B6915" s="1" t="s">
        <v>6866</v>
      </c>
      <c r="C6915" t="str">
        <f>IFERROR(__xludf.DUMMYFUNCTION("GOOGLETRANSLATE(B6915, ""es"", ""en"")"),"Very nice! For the price they are super! They are beautiful, shining a lot, and have an elegant style, perfect size, I hope the material does not change color so easily now very happy")</f>
        <v>Very nice! For the price they are super! They are beautiful, shining a lot, and have an elegant style, perfect size, I hope the material does not change color so easily now very happy</v>
      </c>
    </row>
    <row r="6916">
      <c r="A6916" s="1">
        <v>5.0</v>
      </c>
      <c r="B6916" s="1" t="s">
        <v>6867</v>
      </c>
      <c r="C6916" t="str">
        <f>IFERROR(__xludf.DUMMYFUNCTION("GOOGLETRANSLATE(B6916, ""es"", ""en"")"),"They can not be nicer The shoes are perfect, excellent quality and very QUICK shipping")</f>
        <v>They can not be nicer The shoes are perfect, excellent quality and very QUICK shipping</v>
      </c>
    </row>
    <row r="6917">
      <c r="A6917" s="1">
        <v>5.0</v>
      </c>
      <c r="B6917" s="1" t="s">
        <v>6868</v>
      </c>
      <c r="C6917" t="str">
        <f>IFERROR(__xludf.DUMMYFUNCTION("GOOGLETRANSLATE(B6917, ""es"", ""en"")"),"Very comfortable and great light, really I recommend")</f>
        <v>Very comfortable and great light, really I recommend</v>
      </c>
    </row>
    <row r="6918">
      <c r="A6918" s="1">
        <v>5.0</v>
      </c>
      <c r="B6918" s="1" t="s">
        <v>6869</v>
      </c>
      <c r="C6918" t="str">
        <f>IFERROR(__xludf.DUMMYFUNCTION("GOOGLETRANSLATE(B6918, ""es"", ""en"")"),"Grand'm physiotherapist dedicated to the rehabilitation of the pelvic floor. Working with a similar apparatus for hospital use desktop and I have to say that this level of biofeedback device perfectly fulfills its objective; help the user to detect which "&amp;"muscles must work it is to identify progress since saves the results and motivate to further improve the strength and endurance. *** Attention should be paid only to the contraction of the muscles of the pelvic floor, preventing glutes, adductors (inner s"&amp;"ide of the thigh) or pressure to constrict the abdomen (avoid straining toward outside) *** The box and the presentation are great, the feel of the device is smooth and pleasant. It is recommended to use lubricant, logically, to avoid inconvenience to the"&amp;" line. It is 100% waterproof for easy cleaning (water and very little mild soap) is included a bag for storage and transport if we travel, and an envelope lubricant dose for first use. Is charged via a USB cable included, the battery lasts about 4 hours a"&amp;"nd the app displays the remaining battery level. The antenna is totally flexible and is fixed at the position that is most comfortable, preferably oriented phone for synchronization with the app. simple and intuitive app. Lets work force and speed of cont"&amp;"raction in different exercises, all guided by a female voice in Spanish and a graph showing the contraction is performed. The sensor measures the pressure exerted by the muscles. The exercises are very visual and fun, all work by objectives. There is also"&amp;" the option of an initial assessment may be repeated, a section of free training and a choice of ""massage"" with 4 vibration modes with adjustable intensity. Add finally that although it is highly recommended for the prevention of loss of strength (age, "&amp;"post partum, overweight, impact sports, constipation ...) should never replace a professional treatment if significant symptoms. In case of incontinence or prolapsed organs, it is best to consult a specialist to identify the cause and assign a treatment t"&amp;"hat safely include retraining of the pelvic floor, so this device will be a great addition. As contraindications, should not be used during quarantine in abdominal or pelvic immediately under postoperative (very suitable after a reasonable time, 6 to 8 we"&amp;"eks) if fistulas or open wounds or there vaginal or urinary tract infection, during menstruation (pos possible discomfort, is not an absolute contraindication) and if the pain to use. It would also be indicated in case of hypertonia of the pelvic floor. M"&amp;"oreover, it seems a wise move to have him home for our pelvic floor exercise as we do with any other muscle group in the gym. Simple, pleasing to the eye and to the touch and very handy. A great help. I would definitely recommend.")</f>
        <v>Grand'm physiotherapist dedicated to the rehabilitation of the pelvic floor. Working with a similar apparatus for hospital use desktop and I have to say that this level of biofeedback device perfectly fulfills its objective; help the user to detect which muscles must work it is to identify progress since saves the results and motivate to further improve the strength and endurance. *** Attention should be paid only to the contraction of the muscles of the pelvic floor, preventing glutes, adductors (inner side of the thigh) or pressure to constrict the abdomen (avoid straining toward outside) *** The box and the presentation are great, the feel of the device is smooth and pleasant. It is recommended to use lubricant, logically, to avoid inconvenience to the line. It is 100% waterproof for easy cleaning (water and very little mild soap) is included a bag for storage and transport if we travel, and an envelope lubricant dose for first use. Is charged via a USB cable included, the battery lasts about 4 hours and the app displays the remaining battery level. The antenna is totally flexible and is fixed at the position that is most comfortable, preferably oriented phone for synchronization with the app. simple and intuitive app. Lets work force and speed of contraction in different exercises, all guided by a female voice in Spanish and a graph showing the contraction is performed. The sensor measures the pressure exerted by the muscles. The exercises are very visual and fun, all work by objectives. There is also the option of an initial assessment may be repeated, a section of free training and a choice of "massage" with 4 vibration modes with adjustable intensity. Add finally that although it is highly recommended for the prevention of loss of strength (age, post partum, overweight, impact sports, constipation ...) should never replace a professional treatment if significant symptoms. In case of incontinence or prolapsed organs, it is best to consult a specialist to identify the cause and assign a treatment that safely include retraining of the pelvic floor, so this device will be a great addition. As contraindications, should not be used during quarantine in abdominal or pelvic immediately under postoperative (very suitable after a reasonable time, 6 to 8 weeks) if fistulas or open wounds or there vaginal or urinary tract infection, during menstruation (pos possible discomfort, is not an absolute contraindication) and if the pain to use. It would also be indicated in case of hypertonia of the pelvic floor. Moreover, it seems a wise move to have him home for our pelvic floor exercise as we do with any other muscle group in the gym. Simple, pleasing to the eye and to the touch and very handy. A great help. I would definitely recommend.</v>
      </c>
    </row>
    <row r="6919">
      <c r="A6919" s="1">
        <v>5.0</v>
      </c>
      <c r="B6919" s="1" t="s">
        <v>6870</v>
      </c>
      <c r="C6919" t="str">
        <f>IFERROR(__xludf.DUMMYFUNCTION("GOOGLETRANSLATE(B6919, ""es"", ""en"")"),"Good watch good watch with compass and temperature functions. There is a clear pro trek but it is much cheaper")</f>
        <v>Good watch good watch with compass and temperature functions. There is a clear pro trek but it is much cheaper</v>
      </c>
    </row>
    <row r="6920">
      <c r="A6920" s="1">
        <v>5.0</v>
      </c>
      <c r="B6920" s="1" t="s">
        <v>6871</v>
      </c>
      <c r="C6920" t="str">
        <f>IFERROR(__xludf.DUMMYFUNCTION("GOOGLETRANSLATE(B6920, ""es"", ""en"")"),"Headphone / Batetia'm a huge fan of this type of product and the improvements that are obtained every day in the world of Bluetooth headsets, even if I have more than one handset, decided to buy the Delinuo headset for your Sorpréndete presentation, as we"&amp;"ll as service that it gives you as an external battery, something very practical because overuse consumes battery also mobile, and with a simple USB cable, mobile loads quickly. Very practical case / battery headphone, rapide also very surprised when link"&amp;"ing both handsets, plus digitally also tells you the battery status. It is also very important that the product has a good sound quality, and actually the product meets the target. Moreover, its use is very simple, both when handling any function of the m"&amp;"usic app and any call or message received without q manipulate the handset, just with a simple touch of your finger to activate any function. Also perfect securing the headset to the ear and it is, you may replace the pads. In short, good product quality "&amp;"/ price, I hope to enjoy it for long.")</f>
        <v>Headphone / Batetia'm a huge fan of this type of product and the improvements that are obtained every day in the world of Bluetooth headsets, even if I have more than one handset, decided to buy the Delinuo headset for your Sorpréndete presentation, as well as service that it gives you as an external battery, something very practical because overuse consumes battery also mobile, and with a simple USB cable, mobile loads quickly. Very practical case / battery headphone, rapide also very surprised when linking both handsets, plus digitally also tells you the battery status. It is also very important that the product has a good sound quality, and actually the product meets the target. Moreover, its use is very simple, both when handling any function of the music app and any call or message received without q manipulate the handset, just with a simple touch of your finger to activate any function. Also perfect securing the headset to the ear and it is, you may replace the pads. In short, good product quality / price, I hope to enjoy it for long.</v>
      </c>
    </row>
    <row r="6921">
      <c r="A6921" s="1">
        <v>2.0</v>
      </c>
      <c r="B6921" s="1" t="s">
        <v>6872</v>
      </c>
      <c r="C6921" t="str">
        <f>IFERROR(__xludf.DUMMYFUNCTION("GOOGLETRANSLATE(B6921, ""es"", ""en"")"),"Comfortable I love the garment design. Low quality of the material. Cheers")</f>
        <v>Comfortable I love the garment design. Low quality of the material. Cheers</v>
      </c>
    </row>
    <row r="6922">
      <c r="A6922" s="1">
        <v>3.0</v>
      </c>
      <c r="B6922" s="1" t="s">
        <v>6873</v>
      </c>
      <c r="C6922" t="str">
        <f>IFERROR(__xludf.DUMMYFUNCTION("GOOGLETRANSLATE(B6922, ""es"", ""en"")"),"Mallas sport. The tissue widens putting and drawing changes. It becomes more transparent mesh.")</f>
        <v>Mallas sport. The tissue widens putting and drawing changes. It becomes more transparent mesh.</v>
      </c>
    </row>
    <row r="6923">
      <c r="A6923" s="1">
        <v>3.0</v>
      </c>
      <c r="B6923" s="1" t="s">
        <v>6874</v>
      </c>
      <c r="C6923" t="str">
        <f>IFERROR(__xludf.DUMMYFUNCTION("GOOGLETRANSLATE(B6923, ""es"", ""en"")"),"Entertains but it is close. It is small.")</f>
        <v>Entertains but it is close. It is small.</v>
      </c>
    </row>
    <row r="6924">
      <c r="A6924" s="1">
        <v>1.0</v>
      </c>
      <c r="B6924" s="1" t="s">
        <v>6875</v>
      </c>
      <c r="C6924" t="str">
        <f>IFERROR(__xludf.DUMMYFUNCTION("GOOGLETRANSLATE(B6924, ""es"", ""en"")"),"Poor quality headphones themselves are not bad, but if you use them for anything but what they are intended: sports. They do not last long and four drops of sweat the small screws rust and give the battery problems. Nice try but bad result.")</f>
        <v>Poor quality headphones themselves are not bad, but if you use them for anything but what they are intended: sports. They do not last long and four drops of sweat the small screws rust and give the battery problems. Nice try but bad result.</v>
      </c>
    </row>
    <row r="6925">
      <c r="A6925" s="1">
        <v>1.0</v>
      </c>
      <c r="B6925" s="1" t="s">
        <v>6876</v>
      </c>
      <c r="C6925" t="str">
        <f>IFERROR(__xludf.DUMMYFUNCTION("GOOGLETRANSLATE(B6925, ""es"", ""en"")"),"Shoddy imitation FAKE! The backlight is not as it should be. Tomorrow it back. Very bad amazon, sellers accept without checking its kind, I hope you to do something to prevent this keep happening. I'm very disappointed")</f>
        <v>Shoddy imitation FAKE! The backlight is not as it should be. Tomorrow it back. Very bad amazon, sellers accept without checking its kind, I hope you to do something to prevent this keep happening. I'm very disappointed</v>
      </c>
    </row>
    <row r="6926">
      <c r="A6926" s="1">
        <v>4.0</v>
      </c>
      <c r="B6926" s="1" t="s">
        <v>6877</v>
      </c>
      <c r="C6926" t="str">
        <f>IFERROR(__xludf.DUMMYFUNCTION("GOOGLETRANSLATE(B6926, ""es"", ""en"")"),"Buy perfect am super happy with the purchase everything perfect size model that are actually coming out on the photo and certainly original. I will as usual to buy at Amazon.")</f>
        <v>Buy perfect am super happy with the purchase everything perfect size model that are actually coming out on the photo and certainly original. I will as usual to buy at Amazon.</v>
      </c>
    </row>
    <row r="6927">
      <c r="A6927" s="1">
        <v>4.0</v>
      </c>
      <c r="B6927" s="1" t="s">
        <v>6878</v>
      </c>
      <c r="C6927" t="str">
        <f>IFERROR(__xludf.DUMMYFUNCTION("GOOGLETRANSLATE(B6927, ""es"", ""en"")"),"correct correct, it is beautiful and is in perfect condition comes in a simple black box, has a good finish, the only thing to consider is the string, you have to look to be of the right size, is medium sized with depending on the tastes which can be shor"&amp;"t or long")</f>
        <v>correct correct, it is beautiful and is in perfect condition comes in a simple black box, has a good finish, the only thing to consider is the string, you have to look to be of the right size, is medium sized with depending on the tastes which can be short or long</v>
      </c>
    </row>
    <row r="6928">
      <c r="A6928" s="1">
        <v>4.0</v>
      </c>
      <c r="B6928" s="1" t="s">
        <v>6879</v>
      </c>
      <c r="C6928" t="str">
        <f>IFERROR(__xludf.DUMMYFUNCTION("GOOGLETRANSLATE(B6928, ""es"", ""en"")"),"Large sizes. Are as shown in the photo, the size is great, I'm 38 and I were big, average size, I have to put them a template to fit. But are comfortable to walk on after a while began to touch my edge back, they do not know if because I go great. If they"&amp;" bring in sizes less than half average I would ask my usual size. Packaging and perfect delivery as usual on Amazon.")</f>
        <v>Large sizes. Are as shown in the photo, the size is great, I'm 38 and I were big, average size, I have to put them a template to fit. But are comfortable to walk on after a while began to touch my edge back, they do not know if because I go great. If they bring in sizes less than half average I would ask my usual size. Packaging and perfect delivery as usual on Amazon.</v>
      </c>
    </row>
    <row r="6929">
      <c r="A6929" s="1">
        <v>4.0</v>
      </c>
      <c r="B6929" s="1" t="s">
        <v>6880</v>
      </c>
      <c r="C6929" t="str">
        <f>IFERROR(__xludf.DUMMYFUNCTION("GOOGLETRANSLATE(B6929, ""es"", ""en"")"),"Nice touch is a nice touch to give away. The quality-price rate is good.")</f>
        <v>Nice touch is a nice touch to give away. The quality-price rate is good.</v>
      </c>
    </row>
    <row r="6930">
      <c r="A6930" s="1">
        <v>4.0</v>
      </c>
      <c r="B6930" s="1" t="s">
        <v>6881</v>
      </c>
      <c r="C6930" t="str">
        <f>IFERROR(__xludf.DUMMYFUNCTION("GOOGLETRANSLATE(B6930, ""es"", ""en"")"),"small Calza it back, I needed a number more")</f>
        <v>small Calza it back, I needed a number more</v>
      </c>
    </row>
    <row r="6931">
      <c r="A6931" s="1">
        <v>5.0</v>
      </c>
      <c r="B6931" s="1" t="s">
        <v>6882</v>
      </c>
      <c r="C6931" t="str">
        <f>IFERROR(__xludf.DUMMYFUNCTION("GOOGLETRANSLATE(B6931, ""es"", ""en"")"),"Very good buy. Great. You can clean all kinds of crystals and from all possible positions. It is very comfortable and easy to use. Fully recommended.")</f>
        <v>Very good buy. Great. You can clean all kinds of crystals and from all possible positions. It is very comfortable and easy to use. Fully recommended.</v>
      </c>
    </row>
    <row r="6932">
      <c r="A6932" s="1">
        <v>5.0</v>
      </c>
      <c r="B6932" s="1" t="s">
        <v>6883</v>
      </c>
      <c r="C6932" t="str">
        <f>IFERROR(__xludf.DUMMYFUNCTION("GOOGLETRANSLATE(B6932, ""es"", ""en"")"),"Judy is super comfortable'm delighted not occupy space, easy to bend. The only bad thing not have bought it from the beginning I would have saved him from the other bath only occupied space. Definitely recommend")</f>
        <v>Judy is super comfortable'm delighted not occupy space, easy to bend. The only bad thing not have bought it from the beginning I would have saved him from the other bath only occupied space. Definitely recommend</v>
      </c>
    </row>
    <row r="6933">
      <c r="A6933" s="1">
        <v>5.0</v>
      </c>
      <c r="B6933" s="1" t="s">
        <v>6884</v>
      </c>
      <c r="C6933" t="str">
        <f>IFERROR(__xludf.DUMMYFUNCTION("GOOGLETRANSLATE(B6933, ""es"", ""en"")"),"Good buy good buy economical with respect to the quality of the product and its features product possible is highly recommended to repeat")</f>
        <v>Good buy good buy economical with respect to the quality of the product and its features product possible is highly recommended to repeat</v>
      </c>
    </row>
    <row r="6934">
      <c r="A6934" s="1">
        <v>5.0</v>
      </c>
      <c r="B6934" s="1" t="s">
        <v>6885</v>
      </c>
      <c r="C6934" t="str">
        <f>IFERROR(__xludf.DUMMYFUNCTION("GOOGLETRANSLATE(B6934, ""es"", ""en"")"),"But some large precious!")</f>
        <v>But some large precious!</v>
      </c>
    </row>
    <row r="6935">
      <c r="A6935" s="1">
        <v>5.0</v>
      </c>
      <c r="B6935" s="1" t="s">
        <v>6886</v>
      </c>
      <c r="C6935" t="str">
        <f>IFERROR(__xludf.DUMMYFUNCTION("GOOGLETRANSLATE(B6935, ""es"", ""en"")"),"I liked it, it seems very nice. Blender, the Moulinex brand that changes a bit the concept of Blenders since this pitcher is plastic, which has a good and some bad, one good thing is that the pitcher is very light which is fine because no costs move with "&amp;"it and the bad part may perhaps be the wear of the jar long term we do not know how to be, I guess if the brand has chosen the plastic is to be proven to work, one size is great truth that I It looks great but of course we must keep in mind that the glass"&amp;" is very large 2-liter base engine is large with good power 600 watts. In the box we find: - Blender foot motor base. - Glass 2 liter plastic capless maximum 1.25 liters useful. - closure cap with a measuring cup. - Instructions but Spanish. The contents "&amp;"of the blender is basic with nothing. Building materials of the mixer is all plastic, they seem good quality, fit together with well. I recommend taking a look at the instruction manual to get a better idea of ​​the product, how it works and what can and "&amp;"can not do with it. Is relatively easy to wash the plastic cup as the blades are very easy to remove from the jar with just a twist, the area of ​​the blades have an O-ring do not recommend putting it in the dishwasher. The base is made of plastic materia"&amp;"ls quality in beautiful red color, but plastic is in line with the price of the product, h, has a single wheel that allows us to do all functions, this wheel can adjust the speed from pussycat to the maximum, which are ultimately two positions I and II, i"&amp;"s fine because we can adjust the power to our liking very easily in the market there are some with more power ranges, if we turn elsewhere PULSE have the option of allowing intervals beat us if we release the button stops working. The jar was placed with "&amp;"a closure on the base to ensure stability of the pitcher on the engine. The base has at the bottom with two suction cups at the front which give stability to the mixer does not move. The engine power is 600 watts which is fine for this type of apparatus, "&amp;"this can easily crush power anything, not too noisy for this power and after a few seconds. The maximum operating time continuously is 3 minutes. The blades crushing are 4 with different orientations seem good quality, and this model is easy to detach the"&amp;" blades can chop ice, but I would not recommend much wear this inflicts on the blades, if spades ice are not large cubes. Pros: -Design nice. -Good size. -Power 600 w. -Several speed settings and press function. Good blades. -Ventosas to prevent the Contr"&amp;"as blender move: isn't know if jar ?, I think not be a problem but not not put my hand in the fire, the use of this type of pitcher is a material and now the final price of Windows that. Conclusion: Blender very nice with a design in beautiful red, I thin"&amp;"k it is well built, the only question is how it will behave the pitcher long term, I insist that I believe that well but I do not know, I guess there was no mark used if this matter were not effective.")</f>
        <v>I liked it, it seems very nice. Blender, the Moulinex brand that changes a bit the concept of Blenders since this pitcher is plastic, which has a good and some bad, one good thing is that the pitcher is very light which is fine because no costs move with it and the bad part may perhaps be the wear of the jar long term we do not know how to be, I guess if the brand has chosen the plastic is to be proven to work, one size is great truth that I It looks great but of course we must keep in mind that the glass is very large 2-liter base engine is large with good power 600 watts. In the box we find: - Blender foot motor base. - Glass 2 liter plastic capless maximum 1.25 liters useful. - closure cap with a measuring cup. - Instructions but Spanish. The contents of the blender is basic with nothing. Building materials of the mixer is all plastic, they seem good quality, fit together with well. I recommend taking a look at the instruction manual to get a better idea of ​​the product, how it works and what can and can not do with it. Is relatively easy to wash the plastic cup as the blades are very easy to remove from the jar with just a twist, the area of ​​the blades have an O-ring do not recommend putting it in the dishwasher. The base is made of plastic materials quality in beautiful red color, but plastic is in line with the price of the product, h, has a single wheel that allows us to do all functions, this wheel can adjust the speed from pussycat to the maximum, which are ultimately two positions I and II, is fine because we can adjust the power to our liking very easily in the market there are some with more power ranges, if we turn elsewhere PULSE have the option of allowing intervals beat us if we release the button stops working. The jar was placed with a closure on the base to ensure stability of the pitcher on the engine. The base has at the bottom with two suction cups at the front which give stability to the mixer does not move. The engine power is 600 watts which is fine for this type of apparatus, this can easily crush power anything, not too noisy for this power and after a few seconds. The maximum operating time continuously is 3 minutes. The blades crushing are 4 with different orientations seem good quality, and this model is easy to detach the blades can chop ice, but I would not recommend much wear this inflicts on the blades, if spades ice are not large cubes. Pros: -Design nice. -Good size. -Power 600 w. -Several speed settings and press function. Good blades. -Ventosas to prevent the Contras blender move: isn't know if jar ?, I think not be a problem but not not put my hand in the fire, the use of this type of pitcher is a material and now the final price of Windows that. Conclusion: Blender very nice with a design in beautiful red, I think it is well built, the only question is how it will behave the pitcher long term, I insist that I believe that well but I do not know, I guess there was no mark used if this matter were not effective.</v>
      </c>
    </row>
    <row r="6936">
      <c r="A6936" s="1">
        <v>5.0</v>
      </c>
      <c r="B6936" s="1" t="s">
        <v>6887</v>
      </c>
      <c r="C6936" t="str">
        <f>IFERROR(__xludf.DUMMYFUNCTION("GOOGLETRANSLATE(B6936, ""es"", ""en"")"),"BBB Good nice and cheap jjj Very wapo'm happy")</f>
        <v>BBB Good nice and cheap jjj Very wapo'm happy</v>
      </c>
    </row>
    <row r="6937">
      <c r="A6937" s="1">
        <v>5.0</v>
      </c>
      <c r="B6937" s="1" t="s">
        <v>6888</v>
      </c>
      <c r="C6937" t="str">
        <f>IFERROR(__xludf.DUMMYFUNCTION("GOOGLETRANSLATE(B6937, ""es"", ""en"")"),"Excellent I use to work in a workshop and are super comfortable. Light. Van great.")</f>
        <v>Excellent I use to work in a workshop and are super comfortable. Light. Van great.</v>
      </c>
    </row>
    <row r="6938">
      <c r="A6938" s="1">
        <v>5.0</v>
      </c>
      <c r="B6938" s="1" t="s">
        <v>6889</v>
      </c>
      <c r="C6938" t="str">
        <f>IFERROR(__xludf.DUMMYFUNCTION("GOOGLETRANSLATE(B6938, ""es"", ""en"")"),"Nice design and rapid heating is very nice, long 3 cups less. Heated very fast 1 or 2 cups (less than 1 minute). Care because the enamel is heated outside. It has inside an indicator of amount of water for 1 2 or 3 cups medium useful for not putting littl"&amp;"e or much. The cable is collected (it is wound manually engaging in flanges, not automatic). Highly recommended.")</f>
        <v>Nice design and rapid heating is very nice, long 3 cups less. Heated very fast 1 or 2 cups (less than 1 minute). Care because the enamel is heated outside. It has inside an indicator of amount of water for 1 2 or 3 cups medium useful for not putting little or much. The cable is collected (it is wound manually engaging in flanges, not automatic). Highly recommended.</v>
      </c>
    </row>
    <row r="6939">
      <c r="A6939" s="1">
        <v>5.0</v>
      </c>
      <c r="B6939" s="1" t="s">
        <v>6890</v>
      </c>
      <c r="C6939" t="str">
        <f>IFERROR(__xludf.DUMMYFUNCTION("GOOGLETRANSLATE(B6939, ""es"", ""en"")"),"Good for the gym good gym pants with pockets, use them for the gym. For me great taste and size as well.")</f>
        <v>Good for the gym good gym pants with pockets, use them for the gym. For me great taste and size as well.</v>
      </c>
    </row>
    <row r="6940">
      <c r="A6940" s="1">
        <v>5.0</v>
      </c>
      <c r="B6940" s="1" t="s">
        <v>6891</v>
      </c>
      <c r="C6940" t="str">
        <f>IFERROR(__xludf.DUMMYFUNCTION("GOOGLETRANSLATE(B6940, ""es"", ""en"")"),"Watch arrived on time in the corresponding box and certificate very nice and very comfortable recommend very happy")</f>
        <v>Watch arrived on time in the corresponding box and certificate very nice and very comfortable recommend very happy</v>
      </c>
    </row>
    <row r="6941">
      <c r="A6941" s="1">
        <v>5.0</v>
      </c>
      <c r="B6941" s="1" t="s">
        <v>6892</v>
      </c>
      <c r="C6941" t="str">
        <f>IFERROR(__xludf.DUMMYFUNCTION("GOOGLETRANSLATE(B6941, ""es"", ""en"")"),"The large capacity storage representing me on the computer and the security of being a good product.")</f>
        <v>The large capacity storage representing me on the computer and the security of being a good product.</v>
      </c>
    </row>
    <row r="6942">
      <c r="A6942" s="1">
        <v>5.0</v>
      </c>
      <c r="B6942" s="1" t="s">
        <v>6893</v>
      </c>
      <c r="C6942" t="str">
        <f>IFERROR(__xludf.DUMMYFUNCTION("GOOGLETRANSLATE(B6942, ""es"", ""en"")"),"I recommend buying. I recommend buying. Perfect, ideal gift ..")</f>
        <v>I recommend buying. I recommend buying. Perfect, ideal gift ..</v>
      </c>
    </row>
    <row r="6943">
      <c r="A6943" s="1">
        <v>5.0</v>
      </c>
      <c r="B6943" s="1" t="s">
        <v>6894</v>
      </c>
      <c r="C6943" t="str">
        <f>IFERROR(__xludf.DUMMYFUNCTION("GOOGLETRANSLATE(B6943, ""es"", ""en"")"),"If you plan well diluted spray only once and wait a little while I've used the soil and diluted as spray for kitchen tiles and campaign. Spectacular but the amazing result ... As a perfect spot removers and tb diluted because it does not foam and is compl"&amp;"etely liquid. Very dilute")</f>
        <v>If you plan well diluted spray only once and wait a little while I've used the soil and diluted as spray for kitchen tiles and campaign. Spectacular but the amazing result ... As a perfect spot removers and tb diluted because it does not foam and is completely liquid. Very dilute</v>
      </c>
    </row>
    <row r="6944">
      <c r="A6944" s="1">
        <v>5.0</v>
      </c>
      <c r="B6944" s="1" t="s">
        <v>6895</v>
      </c>
      <c r="C6944" t="str">
        <f>IFERROR(__xludf.DUMMYFUNCTION("GOOGLETRANSLATE(B6944, ""es"", ""en"")"),"Very nice it gave my husband and I liked it, buy it long ago and has never failed, is a dress watch that looks good on the wrist of the man.")</f>
        <v>Very nice it gave my husband and I liked it, buy it long ago and has never failed, is a dress watch that looks good on the wrist of the man.</v>
      </c>
    </row>
    <row r="6945">
      <c r="A6945" s="1">
        <v>5.0</v>
      </c>
      <c r="B6945" s="1" t="s">
        <v>6896</v>
      </c>
      <c r="C6945" t="str">
        <f>IFERROR(__xludf.DUMMYFUNCTION("GOOGLETRANSLATE(B6945, ""es"", ""en"")"),"Discreet and comfortable had long wanted to change me to a small bluetooth headphones that fit snugly in the ear. These go perfectly without very discreet and sound pretty good price. I recommend following the instructions on the letter because if you get"&amp;" two headphones at the same time the case the first time, not only will match well or will one of them.")</f>
        <v>Discreet and comfortable had long wanted to change me to a small bluetooth headphones that fit snugly in the ear. These go perfectly without very discreet and sound pretty good price. I recommend following the instructions on the letter because if you get two headphones at the same time the case the first time, not only will match well or will one of them.</v>
      </c>
    </row>
    <row r="6946">
      <c r="A6946" s="1">
        <v>5.0</v>
      </c>
      <c r="B6946" s="1" t="s">
        <v>6897</v>
      </c>
      <c r="C6946" t="str">
        <f>IFERROR(__xludf.DUMMYFUNCTION("GOOGLETRANSLATE(B6946, ""es"", ""en"")"),"Excellent product comfy ... very nice colores..no you press the head, is comfortable and ideal price. I do not have qe buy more")</f>
        <v>Excellent product comfy ... very nice colores..no you press the head, is comfortable and ideal price. I do not have qe buy more</v>
      </c>
    </row>
    <row r="6947">
      <c r="A6947" s="1">
        <v>5.0</v>
      </c>
      <c r="B6947" s="1" t="s">
        <v>6898</v>
      </c>
      <c r="C6947" t="str">
        <f>IFERROR(__xludf.DUMMYFUNCTION("GOOGLETRANSLATE(B6947, ""es"", ""en"")"),"Seiko watch Good watch at a good price")</f>
        <v>Seiko watch Good watch at a good price</v>
      </c>
    </row>
    <row r="6948">
      <c r="A6948" s="1">
        <v>5.0</v>
      </c>
      <c r="B6948" s="1" t="s">
        <v>6899</v>
      </c>
      <c r="C6948" t="str">
        <f>IFERROR(__xludf.DUMMYFUNCTION("GOOGLETRANSLATE(B6948, ""es"", ""en"")"),"High sound quality with the best noise canceling sound good balance, with some serious excess that primarily affects the voices in conversation or voice type audio podcast or radio. They differ much variety of tones from treble to bass. Passive noise canc"&amp;"ellation is very good and unbeatable active having tested the Sony MX1000. Q q what does not have to raise both the volume and do not spoil your ears. The pad is very comfortable and large so does pressure above the ear.")</f>
        <v>High sound quality with the best noise canceling sound good balance, with some serious excess that primarily affects the voices in conversation or voice type audio podcast or radio. They differ much variety of tones from treble to bass. Passive noise cancellation is very good and unbeatable active having tested the Sony MX1000. Q q what does not have to raise both the volume and do not spoil your ears. The pad is very comfortable and large so does pressure above the ear.</v>
      </c>
    </row>
    <row r="6949">
      <c r="A6949" s="1">
        <v>5.0</v>
      </c>
      <c r="B6949" s="1" t="s">
        <v>6900</v>
      </c>
      <c r="C6949" t="str">
        <f>IFERROR(__xludf.DUMMYFUNCTION("GOOGLETRANSLATE(B6949, ""es"", ""en"")"),"We'll see what lasts, which came with the clock has lasted me a year and a half we'll see what lasts, which came with the clock has lasted me a year and a half. We'll see what happens")</f>
        <v>We'll see what lasts, which came with the clock has lasted me a year and a half we'll see what lasts, which came with the clock has lasted me a year and a half. We'll see what happens</v>
      </c>
    </row>
    <row r="6950">
      <c r="A6950" s="1">
        <v>2.0</v>
      </c>
      <c r="B6950" s="1" t="s">
        <v>6901</v>
      </c>
      <c r="C6950" t="str">
        <f>IFERROR(__xludf.DUMMYFUNCTION("GOOGLETRANSLATE(B6950, ""es"", ""en"")"),"It loses with time, quality of materials regularly, is not seeking After trying a few days, I started noticing that did not keep the shape, the quality of materials is very fair ... very simple design ... . On the other hand it is very spacious, but too b"&amp;"ig. It is also very comfortable to wear. Finish returning ....")</f>
        <v>It loses with time, quality of materials regularly, is not seeking After trying a few days, I started noticing that did not keep the shape, the quality of materials is very fair ... very simple design ... . On the other hand it is very spacious, but too big. It is also very comfortable to wear. Finish returning ....</v>
      </c>
    </row>
    <row r="6951">
      <c r="A6951" s="1">
        <v>3.0</v>
      </c>
      <c r="B6951" s="1" t="s">
        <v>6902</v>
      </c>
      <c r="C6951" t="str">
        <f>IFERROR(__xludf.DUMMYFUNCTION("GOOGLETRANSLATE(B6951, ""es"", ""en"")"),"The size is tiny, I had to return this dwarf size product. I carry a 38-39 and, as I saw the comments, requested a 39-40. The product that has come to me rather a 37-38, which is Brazil's size. Worth heeding Brazil's size because it is clear that conversi"&amp;"on to Europe is not correct. Otherwise well, flip-flops came in the box and looked good")</f>
        <v>The size is tiny, I had to return this dwarf size product. I carry a 38-39 and, as I saw the comments, requested a 39-40. The product that has come to me rather a 37-38, which is Brazil's size. Worth heeding Brazil's size because it is clear that conversion to Europe is not correct. Otherwise well, flip-flops came in the box and looked good</v>
      </c>
    </row>
    <row r="6952">
      <c r="A6952" s="1">
        <v>3.0</v>
      </c>
      <c r="B6952" s="1" t="s">
        <v>6903</v>
      </c>
      <c r="C6952" t="str">
        <f>IFERROR(__xludf.DUMMYFUNCTION("GOOGLETRANSLATE(B6952, ""es"", ""en"")"),"function makes his feature makes, has no hook for keys but has plenty of pockets and the material is good.")</f>
        <v>function makes his feature makes, has no hook for keys but has plenty of pockets and the material is good.</v>
      </c>
    </row>
    <row r="6953">
      <c r="A6953" s="1">
        <v>1.0</v>
      </c>
      <c r="B6953" s="1" t="s">
        <v>6904</v>
      </c>
      <c r="C6953" t="str">
        <f>IFERROR(__xludf.DUMMYFUNCTION("GOOGLETRANSLATE(B6953, ""es"", ""en"")"),"Poor quality price, the less my case were used on 4 occasions and two loads, and one of the headphones stopped working. Pending deresolver the problem and who is responsible.")</f>
        <v>Poor quality price, the less my case were used on 4 occasions and two loads, and one of the headphones stopped working. Pending deresolver the problem and who is responsible.</v>
      </c>
    </row>
    <row r="6954">
      <c r="A6954" s="1">
        <v>1.0</v>
      </c>
      <c r="B6954" s="1" t="s">
        <v>6905</v>
      </c>
      <c r="C6954" t="str">
        <f>IFERROR(__xludf.DUMMYFUNCTION("GOOGLETRANSLATE(B6954, ""es"", ""en"")"),"I can not recommend not going to go into analyzing whether the disk is good or bad, lies problem that both connectors of the box and USB cable included are of poor quality which in the future will end up giving problems reading / writing and undermining t"&amp;"he life of the disc, do not understand how a company like Toshiba has released a box so that cable and still the cheapest disc component")</f>
        <v>I can not recommend not going to go into analyzing whether the disk is good or bad, lies problem that both connectors of the box and USB cable included are of poor quality which in the future will end up giving problems reading / writing and undermining the life of the disc, do not understand how a company like Toshiba has released a box so that cable and still the cheapest disc component</v>
      </c>
    </row>
    <row r="6955">
      <c r="A6955" s="1">
        <v>4.0</v>
      </c>
      <c r="B6955" s="1" t="s">
        <v>6906</v>
      </c>
      <c r="C6955" t="str">
        <f>IFERROR(__xludf.DUMMYFUNCTION("GOOGLETRANSLATE(B6955, ""es"", ""en"")"),"Good Price for Normal run little sound insulation from external noise")</f>
        <v>Good Price for Normal run little sound insulation from external noise</v>
      </c>
    </row>
    <row r="6956">
      <c r="A6956" s="1">
        <v>4.0</v>
      </c>
      <c r="B6956" s="1" t="s">
        <v>6907</v>
      </c>
      <c r="C6956" t="str">
        <f>IFERROR(__xludf.DUMMYFUNCTION("GOOGLETRANSLATE(B6956, ""es"", ""en"")"),"robust and efficient, is low so it can go under furniture many robust and efficient, is low so it can pass under many furniture. but pray that you will not spoil, because the service in Murcia is a complete disaster, I left the unit because they aspired a"&amp;"nd tell me that one week, 10 days and notified me by SMS. So far so good, 15 days later and having no news call and tell me that missing one piece and not covered by the guarantee, accept the price of the piece and let you put it again another 15 days and"&amp;" I have to I llamaryo they do not say anything, and when I call they tell me that is not true and should vera him with the technical .... 2 months without the appliance without news .... a huge blunder.")</f>
        <v>robust and efficient, is low so it can go under furniture many robust and efficient, is low so it can pass under many furniture. but pray that you will not spoil, because the service in Murcia is a complete disaster, I left the unit because they aspired and tell me that one week, 10 days and notified me by SMS. So far so good, 15 days later and having no news call and tell me that missing one piece and not covered by the guarantee, accept the price of the piece and let you put it again another 15 days and I have to I llamaryo they do not say anything, and when I call they tell me that is not true and should vera him with the technical .... 2 months without the appliance without news .... a huge blunder.</v>
      </c>
    </row>
    <row r="6957">
      <c r="A6957" s="1">
        <v>4.0</v>
      </c>
      <c r="B6957" s="1" t="s">
        <v>6908</v>
      </c>
      <c r="C6957" t="str">
        <f>IFERROR(__xludf.DUMMYFUNCTION("GOOGLETRANSLATE(B6957, ""es"", ""en"")"),"Cool Like all Avent Bibes I bought ... I decided on AVENT reading reviews without trying other brands from the beginning my baby was adapted to them without any problem.")</f>
        <v>Cool Like all Avent Bibes I bought ... I decided on AVENT reading reviews without trying other brands from the beginning my baby was adapted to them without any problem.</v>
      </c>
    </row>
    <row r="6958">
      <c r="A6958" s="1">
        <v>4.0</v>
      </c>
      <c r="B6958" s="1" t="s">
        <v>6909</v>
      </c>
      <c r="C6958" t="str">
        <f>IFERROR(__xludf.DUMMYFUNCTION("GOOGLETRANSLATE(B6958, ""es"", ""en"")"),"They recommend After 2 months of use I recommend for everyday use at work, are comfortable and lightweight. It is as expected according to size.")</f>
        <v>They recommend After 2 months of use I recommend for everyday use at work, are comfortable and lightweight. It is as expected according to size.</v>
      </c>
    </row>
    <row r="6959">
      <c r="A6959" s="1">
        <v>4.0</v>
      </c>
      <c r="B6959" s="1" t="s">
        <v>6910</v>
      </c>
      <c r="C6959" t="str">
        <f>IFERROR(__xludf.DUMMYFUNCTION("GOOGLETRANSLATE(B6959, ""es"", ""en"")"),"For use in cars without bluetooth Valid to connect the phone to the car renault")</f>
        <v>For use in cars without bluetooth Valid to connect the phone to the car renault</v>
      </c>
    </row>
    <row r="6960">
      <c r="A6960" s="1">
        <v>5.0</v>
      </c>
      <c r="B6960" s="1" t="s">
        <v>6911</v>
      </c>
      <c r="C6960" t="str">
        <f>IFERROR(__xludf.DUMMYFUNCTION("GOOGLETRANSLATE(B6960, ""es"", ""en"")"),"PERFECTA had read reviews that tangled but the fact that I put it every day with more strings and have not had any problems. It's really nice. I arrived earlier than expected and is of good quality. I would buy it.")</f>
        <v>PERFECTA had read reviews that tangled but the fact that I put it every day with more strings and have not had any problems. It's really nice. I arrived earlier than expected and is of good quality. I would buy it.</v>
      </c>
    </row>
    <row r="6961">
      <c r="A6961" s="1">
        <v>5.0</v>
      </c>
      <c r="B6961" s="1" t="s">
        <v>6912</v>
      </c>
      <c r="C6961" t="str">
        <f>IFERROR(__xludf.DUMMYFUNCTION("GOOGLETRANSLATE(B6961, ""es"", ""en"")"),"Quality and price have the three B, good, nice and cheap. I was impressed, it is very nice place, very good quality at a great price. It is exactly as it appears in the image.")</f>
        <v>Quality and price have the three B, good, nice and cheap. I was impressed, it is very nice place, very good quality at a great price. It is exactly as it appears in the image.</v>
      </c>
    </row>
    <row r="6962">
      <c r="A6962" s="1">
        <v>5.0</v>
      </c>
      <c r="B6962" s="1" t="s">
        <v>6913</v>
      </c>
      <c r="C6962" t="str">
        <f>IFERROR(__xludf.DUMMYFUNCTION("GOOGLETRANSLATE(B6962, ""es"", ""en"")"),"Quality of material comfort. They adapt very well to go running and better than being wired")</f>
        <v>Quality of material comfort. They adapt very well to go running and better than being wired</v>
      </c>
    </row>
    <row r="6963">
      <c r="A6963" s="1">
        <v>5.0</v>
      </c>
      <c r="B6963" s="1" t="s">
        <v>6914</v>
      </c>
      <c r="C6963" t="str">
        <f>IFERROR(__xludf.DUMMYFUNCTION("GOOGLETRANSLATE(B6963, ""es"", ""en"")"),"You are perfect! Very good price and good quality!")</f>
        <v>You are perfect! Very good price and good quality!</v>
      </c>
    </row>
    <row r="6964">
      <c r="A6964" s="1">
        <v>5.0</v>
      </c>
      <c r="B6964" s="1" t="s">
        <v>6915</v>
      </c>
      <c r="C6964" t="str">
        <f>IFERROR(__xludf.DUMMYFUNCTION("GOOGLETRANSLATE(B6964, ""es"", ""en"")"),"Very fast. Cards very good quality, super fast!")</f>
        <v>Very fast. Cards very good quality, super fast!</v>
      </c>
    </row>
    <row r="6965">
      <c r="A6965" s="1">
        <v>5.0</v>
      </c>
      <c r="B6965" s="1" t="s">
        <v>6916</v>
      </c>
      <c r="C6965" t="str">
        <f>IFERROR(__xludf.DUMMYFUNCTION("GOOGLETRANSLATE(B6965, ""es"", ""en"")"),"A good buy big shoes quality / price.")</f>
        <v>A good buy big shoes quality / price.</v>
      </c>
    </row>
    <row r="6966">
      <c r="A6966" s="1">
        <v>5.0</v>
      </c>
      <c r="B6966" s="1" t="s">
        <v>6917</v>
      </c>
      <c r="C6966" t="str">
        <f>IFERROR(__xludf.DUMMYFUNCTION("GOOGLETRANSLATE(B6966, ""es"", ""en"")"),"Everything works perfectly well, and accessories are very useful and easy to clean.")</f>
        <v>Everything works perfectly well, and accessories are very useful and easy to clean.</v>
      </c>
    </row>
    <row r="6967">
      <c r="A6967" s="1">
        <v>5.0</v>
      </c>
      <c r="B6967" s="1" t="s">
        <v>6918</v>
      </c>
      <c r="C6967" t="str">
        <f>IFERROR(__xludf.DUMMYFUNCTION("GOOGLETRANSLATE(B6967, ""es"", ""en"")"),"good perfect")</f>
        <v>good perfect</v>
      </c>
    </row>
    <row r="6968">
      <c r="A6968" s="1">
        <v>5.0</v>
      </c>
      <c r="B6968" s="1" t="s">
        <v>6919</v>
      </c>
      <c r="C6968" t="str">
        <f>IFERROR(__xludf.DUMMYFUNCTION("GOOGLETRANSLATE(B6968, ""es"", ""en"")"),"Fully recommended highly recommended! Oils are intense smell, I put 2-3 drops in my diffuser and that's enough for me. Everyone has a rich aroma, but the ones I have liked are Jasmine and Cherry Blossom.")</f>
        <v>Fully recommended highly recommended! Oils are intense smell, I put 2-3 drops in my diffuser and that's enough for me. Everyone has a rich aroma, but the ones I have liked are Jasmine and Cherry Blossom.</v>
      </c>
    </row>
    <row r="6969">
      <c r="A6969" s="1">
        <v>5.0</v>
      </c>
      <c r="B6969" s="1" t="s">
        <v>6920</v>
      </c>
      <c r="C6969" t="str">
        <f>IFERROR(__xludf.DUMMYFUNCTION("GOOGLETRANSLATE(B6969, ""es"", ""en"")"),"The best oils for humedificadores Wear time with my humedificador and had tried several loose pure oils that were not convincing because me to smell too strong and a little chemist, and certainly these are the ones I was looking for, everyone has a mild, "&amp;"pleasant odor , now I have put the lavender and the truth that I love, the vote in which the oil is is perfect to pour drop by drop in the humedificador also come beautifully presented in its box. 100% recommended purchase.")</f>
        <v>The best oils for humedificadores Wear time with my humedificador and had tried several loose pure oils that were not convincing because me to smell too strong and a little chemist, and certainly these are the ones I was looking for, everyone has a mild, pleasant odor , now I have put the lavender and the truth that I love, the vote in which the oil is is perfect to pour drop by drop in the humedificador also come beautifully presented in its box. 100% recommended purchase.</v>
      </c>
    </row>
    <row r="6970">
      <c r="A6970" s="1">
        <v>5.0</v>
      </c>
      <c r="B6970" s="1" t="s">
        <v>6921</v>
      </c>
      <c r="C6970" t="str">
        <f>IFERROR(__xludf.DUMMYFUNCTION("GOOGLETRANSLATE(B6970, ""es"", ""en"")"),"Perfect I loved the design of these modern and comfortable headphones. The box where you keep shows very graphically the remaining battery every handset. That same box serves as a charger and you are easily placed because they are magnetized. They have ve"&amp;"ry good sound quality and I are very comfortable to wear. Very happy with purchase")</f>
        <v>Perfect I loved the design of these modern and comfortable headphones. The box where you keep shows very graphically the remaining battery every handset. That same box serves as a charger and you are easily placed because they are magnetized. They have very good sound quality and I are very comfortable to wear. Very happy with purchase</v>
      </c>
    </row>
    <row r="6971">
      <c r="A6971" s="1">
        <v>5.0</v>
      </c>
      <c r="B6971" s="1" t="s">
        <v>6922</v>
      </c>
      <c r="C6971" t="str">
        <f>IFERROR(__xludf.DUMMYFUNCTION("GOOGLETRANSLATE(B6971, ""es"", ""en"")"),"perfect useful")</f>
        <v>perfect useful</v>
      </c>
    </row>
    <row r="6972">
      <c r="A6972" s="1">
        <v>5.0</v>
      </c>
      <c r="B6972" s="1" t="s">
        <v>6923</v>
      </c>
      <c r="C6972" t="str">
        <f>IFERROR(__xludf.DUMMYFUNCTION("GOOGLETRANSLATE(B6972, ""es"", ""en"")"),"BONITA, ELEGANT AND VERY FUNCTIONAL striking thing about this coffee is its appearance, very elegant and with an air of other times as attractive. It has a manual in several languages, including Spanish (this does not always happen, as I have stated in ot"&amp;"her reviews). It has a capacity of 1.25 liters, sufficient for 10 cups. It has a water level indicator and a built-measuring spoon coffee. Does not bring coffee filters, which must be purchased separately. also it has a colorful flag on the top front that"&amp;" will indicate the process of preparation of coffee. As a particular note has a water spray system on Cape to make it more uniform. The result is most satisfactory. Beautiful, elegant and with good results, what more could you ask for? The value seems app"&amp;"ropriate. Product highly recommended for coffee.")</f>
        <v>BONITA, ELEGANT AND VERY FUNCTIONAL striking thing about this coffee is its appearance, very elegant and with an air of other times as attractive. It has a manual in several languages, including Spanish (this does not always happen, as I have stated in other reviews). It has a capacity of 1.25 liters, sufficient for 10 cups. It has a water level indicator and a built-measuring spoon coffee. Does not bring coffee filters, which must be purchased separately. also it has a colorful flag on the top front that will indicate the process of preparation of coffee. As a particular note has a water spray system on Cape to make it more uniform. The result is most satisfactory. Beautiful, elegant and with good results, what more could you ask for? The value seems appropriate. Product highly recommended for coffee.</v>
      </c>
    </row>
    <row r="6973">
      <c r="A6973" s="1">
        <v>5.0</v>
      </c>
      <c r="B6973" s="1" t="s">
        <v>6924</v>
      </c>
      <c r="C6973" t="str">
        <f>IFERROR(__xludf.DUMMYFUNCTION("GOOGLETRANSLATE(B6973, ""es"", ""en"")"),"Chulo are cool and good quality / price")</f>
        <v>Chulo are cool and good quality / price</v>
      </c>
    </row>
    <row r="6974">
      <c r="A6974" s="1">
        <v>5.0</v>
      </c>
      <c r="B6974" s="1" t="s">
        <v>6925</v>
      </c>
      <c r="C6974" t="str">
        <f>IFERROR(__xludf.DUMMYFUNCTION("GOOGLETRANSLATE(B6974, ""es"", ""en"")"),"Efficient It was a very good buy, makes a cool effect very quickly and relieves the area in a short time, I will definitely return to repeat")</f>
        <v>Efficient It was a very good buy, makes a cool effect very quickly and relieves the area in a short time, I will definitely return to repeat</v>
      </c>
    </row>
    <row r="6975">
      <c r="A6975" s="1">
        <v>5.0</v>
      </c>
      <c r="B6975" s="1" t="s">
        <v>6926</v>
      </c>
      <c r="C6975" t="str">
        <f>IFERROR(__xludf.DUMMYFUNCTION("GOOGLETRANSLATE(B6975, ""es"", ""en"")"),"Good value for the money they have, did not give me much confidence, but listening to music super good")</f>
        <v>Good value for the money they have, did not give me much confidence, but listening to music super good</v>
      </c>
    </row>
    <row r="6976">
      <c r="A6976" s="1">
        <v>5.0</v>
      </c>
      <c r="B6976" s="1" t="s">
        <v>6927</v>
      </c>
      <c r="C6976" t="str">
        <f>IFERROR(__xludf.DUMMYFUNCTION("GOOGLETRANSLATE(B6976, ""es"", ""en"")"),"Comfortable and very nice. very comfortable slippers. Aesthetically very it cool. Very happy with the purchase. It shipped fast, all perfect. Dan wanted to buy another pair.")</f>
        <v>Comfortable and very nice. very comfortable slippers. Aesthetically very it cool. Very happy with the purchase. It shipped fast, all perfect. Dan wanted to buy another pair.</v>
      </c>
    </row>
    <row r="6977">
      <c r="A6977" s="1">
        <v>5.0</v>
      </c>
      <c r="B6977" s="1" t="s">
        <v>6928</v>
      </c>
      <c r="C6977" t="str">
        <f>IFERROR(__xludf.DUMMYFUNCTION("GOOGLETRANSLATE(B6977, ""es"", ""en"")"),"The correct measure correctly and works perfectly")</f>
        <v>The correct measure correctly and works perfectly</v>
      </c>
    </row>
    <row r="6978">
      <c r="A6978" s="1">
        <v>2.0</v>
      </c>
      <c r="B6978" s="1" t="s">
        <v>6929</v>
      </c>
      <c r="C6978" t="str">
        <f>IFERROR(__xludf.DUMMYFUNCTION("GOOGLETRANSLATE(B6978, ""es"", ""en"")"),"Dissatisfied make much noise when you walk to plastic ... are not very good quality.")</f>
        <v>Dissatisfied make much noise when you walk to plastic ... are not very good quality.</v>
      </c>
    </row>
    <row r="6979">
      <c r="A6979" s="1">
        <v>3.0</v>
      </c>
      <c r="B6979" s="1" t="s">
        <v>6930</v>
      </c>
      <c r="C6979" t="str">
        <f>IFERROR(__xludf.DUMMYFUNCTION("GOOGLETRANSLATE(B6979, ""es"", ""en"")"),"A pleasant surprise was looking for a humidifier because a friend had one and he recommended amazon buy one cheap; I chose this and being so economical thought maybe it was not such quality as my friend or other. Nothing is further from reality, I have ta"&amp;"ken a sorpresón is great. Has different light modes, it works really well with a controller is included which is quite convenient and also I bought a part a few drops of mint and is great to help breathing or simply as aromatic method, really, a great buy"&amp;". 100% Recommended")</f>
        <v>A pleasant surprise was looking for a humidifier because a friend had one and he recommended amazon buy one cheap; I chose this and being so economical thought maybe it was not such quality as my friend or other. Nothing is further from reality, I have taken a sorpresón is great. Has different light modes, it works really well with a controller is included which is quite convenient and also I bought a part a few drops of mint and is great to help breathing or simply as aromatic method, really, a great buy. 100% Recommended</v>
      </c>
    </row>
    <row r="6980">
      <c r="A6980" s="1">
        <v>1.0</v>
      </c>
      <c r="B6980" s="1" t="s">
        <v>6931</v>
      </c>
      <c r="C6980" t="str">
        <f>IFERROR(__xludf.DUMMYFUNCTION("GOOGLETRANSLATE(B6980, ""es"", ""en"")"),"Terrible product the first time I showered with him, water entered and exited some rust in the rear. Amazing ... It has all the earmarks of the watch was fake.")</f>
        <v>Terrible product the first time I showered with him, water entered and exited some rust in the rear. Amazing ... It has all the earmarks of the watch was fake.</v>
      </c>
    </row>
    <row r="6981">
      <c r="A6981" s="1">
        <v>1.0</v>
      </c>
      <c r="B6981" s="1" t="s">
        <v>6932</v>
      </c>
      <c r="C6981" t="str">
        <f>IFERROR(__xludf.DUMMYFUNCTION("GOOGLETRANSLATE(B6981, ""es"", ""en"")"),"Not bad is of a rigid material and gets rare color")</f>
        <v>Not bad is of a rigid material and gets rare color</v>
      </c>
    </row>
    <row r="6982">
      <c r="A6982" s="1">
        <v>1.0</v>
      </c>
      <c r="B6982" s="1" t="s">
        <v>6933</v>
      </c>
      <c r="C6982" t="str">
        <f>IFERROR(__xludf.DUMMYFUNCTION("GOOGLETRANSLATE(B6982, ""es"", ""en"")"),"It's not like I expected, much less being the Oster brand makes a strange noise ... and the buttons are not going well")</f>
        <v>It's not like I expected, much less being the Oster brand makes a strange noise ... and the buttons are not going well</v>
      </c>
    </row>
    <row r="6983">
      <c r="A6983" s="1">
        <v>4.0</v>
      </c>
      <c r="B6983" s="1" t="s">
        <v>6934</v>
      </c>
      <c r="C6983" t="str">
        <f>IFERROR(__xludf.DUMMYFUNCTION("GOOGLETRANSLATE(B6983, ""es"", ""en"")"),"Very comfortable pants very comfortable but not suitable for people who do not like things tight, comfortable fabric.")</f>
        <v>Very comfortable pants very comfortable but not suitable for people who do not like things tight, comfortable fabric.</v>
      </c>
    </row>
    <row r="6984">
      <c r="A6984" s="1">
        <v>4.0</v>
      </c>
      <c r="B6984" s="1" t="s">
        <v>6935</v>
      </c>
      <c r="C6984" t="str">
        <f>IFERROR(__xludf.DUMMYFUNCTION("GOOGLETRANSLATE(B6984, ""es"", ""en"")"),"It is not reflected in the ad. I like the way but I expected more type jacket. It is a polar buttons.")</f>
        <v>It is not reflected in the ad. I like the way but I expected more type jacket. It is a polar buttons.</v>
      </c>
    </row>
    <row r="6985">
      <c r="A6985" s="1">
        <v>4.0</v>
      </c>
      <c r="B6985" s="1" t="s">
        <v>6936</v>
      </c>
      <c r="C6985" t="str">
        <f>IFERROR(__xludf.DUMMYFUNCTION("GOOGLETRANSLATE(B6985, ""es"", ""en"")"),"Very beautiful and original earrings cute, although the snap closure is inconsistent")</f>
        <v>Very beautiful and original earrings cute, although the snap closure is inconsistent</v>
      </c>
    </row>
    <row r="6986">
      <c r="A6986" s="1">
        <v>4.0</v>
      </c>
      <c r="B6986" s="1" t="s">
        <v>6937</v>
      </c>
      <c r="C6986" t="str">
        <f>IFERROR(__xludf.DUMMYFUNCTION("GOOGLETRANSLATE(B6986, ""es"", ""en"")"),"BLUE YETI microphone I bought it for future projects, we have heard much of this microphone ... if you have the quality of a professional via USB among other opinions. Professional, if you dedicate yourself to the sound field, do not buy this microphone, "&amp;"there are many other alternatives for similar or lower prices. For someone who has no idea sound, you want to make own projects etc. I totally recommend.")</f>
        <v>BLUE YETI microphone I bought it for future projects, we have heard much of this microphone ... if you have the quality of a professional via USB among other opinions. Professional, if you dedicate yourself to the sound field, do not buy this microphone, there are many other alternatives for similar or lower prices. For someone who has no idea sound, you want to make own projects etc. I totally recommend.</v>
      </c>
    </row>
    <row r="6987">
      <c r="A6987" s="1">
        <v>5.0</v>
      </c>
      <c r="B6987" s="1" t="s">
        <v>6938</v>
      </c>
      <c r="C6987" t="str">
        <f>IFERROR(__xludf.DUMMYFUNCTION("GOOGLETRANSLATE(B6987, ""es"", ""en"")"),"Beautiful and perfect for babies We are super good to send compotes or natural juices or yogurt to kindergarten! Easily and then they filled to the close are very tight so I would say almost impossible for the baby to open the site was filled. a success t"&amp;"o send to the baby's natural homemade tidbits are easily washed, anyway ....")</f>
        <v>Beautiful and perfect for babies We are super good to send compotes or natural juices or yogurt to kindergarten! Easily and then they filled to the close are very tight so I would say almost impossible for the baby to open the site was filled. a success to send to the baby's natural homemade tidbits are easily washed, anyway ....</v>
      </c>
    </row>
    <row r="6988">
      <c r="A6988" s="1">
        <v>5.0</v>
      </c>
      <c r="B6988" s="1" t="s">
        <v>6939</v>
      </c>
      <c r="C6988" t="str">
        <f>IFERROR(__xludf.DUMMYFUNCTION("GOOGLETRANSLATE(B6988, ""es"", ""en"")"),"Very surprised and happy Quite happy with the team. Quality / price of the best I've found. Too easily they pair with any team. A novelty that I have over others is that you can spend the song, as well as access Google assistand and pause and activate the"&amp;" song. It has a good micro to make calls. They are very comfortable to play sports and do not fall at all. I am very happy with them.")</f>
        <v>Very surprised and happy Quite happy with the team. Quality / price of the best I've found. Too easily they pair with any team. A novelty that I have over others is that you can spend the song, as well as access Google assistand and pause and activate the song. It has a good micro to make calls. They are very comfortable to play sports and do not fall at all. I am very happy with them.</v>
      </c>
    </row>
    <row r="6989">
      <c r="A6989" s="1">
        <v>5.0</v>
      </c>
      <c r="B6989" s="1" t="s">
        <v>6940</v>
      </c>
      <c r="C6989" t="str">
        <f>IFERROR(__xludf.DUMMYFUNCTION("GOOGLETRANSLATE(B6989, ""es"", ""en"")"),"an excellent gift very nice watch, just as detail worth noting that even coming in the description the belt size, we get a surprise when we opened the box, was somewhat smaller than what we had in mind, but other than that all perfect.")</f>
        <v>an excellent gift very nice watch, just as detail worth noting that even coming in the description the belt size, we get a surprise when we opened the box, was somewhat smaller than what we had in mind, but other than that all perfect.</v>
      </c>
    </row>
    <row r="6990">
      <c r="A6990" s="1">
        <v>5.0</v>
      </c>
      <c r="B6990" s="1" t="s">
        <v>6941</v>
      </c>
      <c r="C6990" t="str">
        <f>IFERROR(__xludf.DUMMYFUNCTION("GOOGLETRANSLATE(B6990, ""es"", ""en"")"),"I comfortable in the ear and good quality Perfect for mobile and hands-free, high quality sound.")</f>
        <v>I comfortable in the ear and good quality Perfect for mobile and hands-free, high quality sound.</v>
      </c>
    </row>
    <row r="6991">
      <c r="A6991" s="1">
        <v>5.0</v>
      </c>
      <c r="B6991" s="1" t="s">
        <v>6942</v>
      </c>
      <c r="C6991" t="str">
        <f>IFERROR(__xludf.DUMMYFUNCTION("GOOGLETRANSLATE(B6991, ""es"", ""en"")"),"It is just what it sounds a toaster, comfortable and functional. He has no problem.")</f>
        <v>It is just what it sounds a toaster, comfortable and functional. He has no problem.</v>
      </c>
    </row>
    <row r="6992">
      <c r="A6992" s="1">
        <v>5.0</v>
      </c>
      <c r="B6992" s="1" t="s">
        <v>6943</v>
      </c>
      <c r="C6992" t="str">
        <f>IFERROR(__xludf.DUMMYFUNCTION("GOOGLETRANSLATE(B6992, ""es"", ""en"")"),"Recommended Good quality and just what I expected for the order them")</f>
        <v>Recommended Good quality and just what I expected for the order them</v>
      </c>
    </row>
    <row r="6993">
      <c r="A6993" s="1">
        <v>5.0</v>
      </c>
      <c r="B6993" s="1" t="s">
        <v>6944</v>
      </c>
      <c r="C6993" t="str">
        <f>IFERROR(__xludf.DUMMYFUNCTION("GOOGLETRANSLATE(B6993, ""es"", ""en"")"),"Many lot for little pills at the best price, you really do not find a better price. In supermarket boxes 45 cuastan more than these!")</f>
        <v>Many lot for little pills at the best price, you really do not find a better price. In supermarket boxes 45 cuastan more than these!</v>
      </c>
    </row>
    <row r="6994">
      <c r="A6994" s="1">
        <v>5.0</v>
      </c>
      <c r="B6994" s="1" t="s">
        <v>6945</v>
      </c>
      <c r="C6994" t="str">
        <f>IFERROR(__xludf.DUMMYFUNCTION("GOOGLETRANSLATE(B6994, ""es"", ""en"")"),"Fast and at a good price Perfect everything and my number included")</f>
        <v>Fast and at a good price Perfect everything and my number included</v>
      </c>
    </row>
    <row r="6995">
      <c r="A6995" s="1">
        <v>5.0</v>
      </c>
      <c r="B6995" s="1" t="s">
        <v>6946</v>
      </c>
      <c r="C6995" t="str">
        <f>IFERROR(__xludf.DUMMYFUNCTION("GOOGLETRANSLATE(B6995, ""es"", ""en"")"),"The product is all well presented and protected. The IN pin goes in the OUT and IN OUT on as colleagues have said. It works well. At the beginning there was because I had misconfigured the keyboard, but then without problems. I use a Yamaha keyboard CS1x "&amp;"a mid 2011 iMac with Ableton Live, Reaper and also tried with Garage Band. I recommend it.")</f>
        <v>The product is all well presented and protected. The IN pin goes in the OUT and IN OUT on as colleagues have said. It works well. At the beginning there was because I had misconfigured the keyboard, but then without problems. I use a Yamaha keyboard CS1x a mid 2011 iMac with Ableton Live, Reaper and also tried with Garage Band. I recommend it.</v>
      </c>
    </row>
    <row r="6996">
      <c r="A6996" s="1">
        <v>5.0</v>
      </c>
      <c r="B6996" s="1" t="s">
        <v>6947</v>
      </c>
      <c r="C6996" t="str">
        <f>IFERROR(__xludf.DUMMYFUNCTION("GOOGLETRANSLATE(B6996, ""es"", ""en"")"),"Very good. Very good.")</f>
        <v>Very good. Very good.</v>
      </c>
    </row>
    <row r="6997">
      <c r="A6997" s="1">
        <v>5.0</v>
      </c>
      <c r="B6997" s="1" t="s">
        <v>6948</v>
      </c>
      <c r="C6997" t="str">
        <f>IFERROR(__xludf.DUMMYFUNCTION("GOOGLETRANSLATE(B6997, ""es"", ""en"")"),"Review of a first-We looked especially by mouth silicone and also by the lid aguitarlo / transport. In definitva, I recommend it for any new, as other brands we have not finished like the nipple.")</f>
        <v>Review of a first-We looked especially by mouth silicone and also by the lid aguitarlo / transport. In definitva, I recommend it for any new, as other brands we have not finished like the nipple.</v>
      </c>
    </row>
    <row r="6998">
      <c r="A6998" s="1">
        <v>5.0</v>
      </c>
      <c r="B6998" s="1" t="s">
        <v>6949</v>
      </c>
      <c r="C6998" t="str">
        <f>IFERROR(__xludf.DUMMYFUNCTION("GOOGLETRANSLATE(B6998, ""es"", ""en"")"),"Functional and practical Pointer is small and light. Comfy. It includes a free case (perfect for leaving a pile there, without having to leave her start pointer), and instructions in English. Still, the work pointer simply connecting the USB to the comput"&amp;"er. In addition something that I liked is that it has 2 side buttons, while you're in presentation, serve to raise and lower the volume. Incorporates laser that looks good in the full light of day. It is powered by one AAA battery, so that the advantages "&amp;"of incorporating long off the button. They are cheaper and common.")</f>
        <v>Functional and practical Pointer is small and light. Comfy. It includes a free case (perfect for leaving a pile there, without having to leave her start pointer), and instructions in English. Still, the work pointer simply connecting the USB to the computer. In addition something that I liked is that it has 2 side buttons, while you're in presentation, serve to raise and lower the volume. Incorporates laser that looks good in the full light of day. It is powered by one AAA battery, so that the advantages of incorporating long off the button. They are cheaper and common.</v>
      </c>
    </row>
    <row r="6999">
      <c r="A6999" s="1">
        <v>5.0</v>
      </c>
      <c r="B6999" s="1" t="s">
        <v>6950</v>
      </c>
      <c r="C6999" t="str">
        <f>IFERROR(__xludf.DUMMYFUNCTION("GOOGLETRANSLATE(B6999, ""es"", ""en"")"),"Perfect are the original, arrived in the corresponding box. They are white white. He read all the comments that it was best to order one size smaller, so did not know what to do. I am a lifelong 36, so I ignored and I took a chance and ordered a 36 and I "&amp;"are perfect (and that I have thin and small foot). So I'm delighted with the shoes.")</f>
        <v>Perfect are the original, arrived in the corresponding box. They are white white. He read all the comments that it was best to order one size smaller, so did not know what to do. I am a lifelong 36, so I ignored and I took a chance and ordered a 36 and I are perfect (and that I have thin and small foot). So I'm delighted with the shoes.</v>
      </c>
    </row>
    <row r="7000">
      <c r="A7000" s="1">
        <v>5.0</v>
      </c>
      <c r="B7000" s="1" t="s">
        <v>6951</v>
      </c>
      <c r="C7000" t="str">
        <f>IFERROR(__xludf.DUMMYFUNCTION("GOOGLETRANSLATE(B7000, ""es"", ""en"")"),"High capacity and speed read / write at a very reasonable price. I use it to carry your music, movies and series and works very well. It should be borne in mind that it is USB 3.0 only when you connect to the PC, while the microUSB connection for mobile o"&amp;"r tablet also goes pretty fast, especially in reading. Being a former model which costs € nearly 100, it offers faster read and write the newest and most expensive. Heat a little when it takes a while working without pause, but burns like any other mini f"&amp;"ormat I've tried. The size is too small to carry it anywhere, even on your keychain. I would definitely recommend.")</f>
        <v>High capacity and speed read / write at a very reasonable price. I use it to carry your music, movies and series and works very well. It should be borne in mind that it is USB 3.0 only when you connect to the PC, while the microUSB connection for mobile or tablet also goes pretty fast, especially in reading. Being a former model which costs € nearly 100, it offers faster read and write the newest and most expensive. Heat a little when it takes a while working without pause, but burns like any other mini format I've tried. The size is too small to carry it anywhere, even on your keychain. I would definitely recommend.</v>
      </c>
    </row>
    <row r="7001">
      <c r="A7001" s="1">
        <v>5.0</v>
      </c>
      <c r="B7001" s="1" t="s">
        <v>6952</v>
      </c>
      <c r="C7001" t="str">
        <f>IFERROR(__xludf.DUMMYFUNCTION("GOOGLETRANSLATE(B7001, ""es"", ""en"")"),"Perfect will also go well for Ambit 1. going with new screws and glue. Let's see if it lasts longer than the other! ...")</f>
        <v>Perfect will also go well for Ambit 1. going with new screws and glue. Let's see if it lasts longer than the other! ...</v>
      </c>
    </row>
    <row r="7002">
      <c r="A7002" s="1">
        <v>5.0</v>
      </c>
      <c r="B7002" s="1" t="s">
        <v>6953</v>
      </c>
      <c r="C7002" t="str">
        <f>IFERROR(__xludf.DUMMYFUNCTION("GOOGLETRANSLATE(B7002, ""es"", ""en"")"),"Very good value for money Etsupendo, just buy q.otro q have for centuries and broke my children. Basic but no longer needed and the light does not bother turning it on in the dark")</f>
        <v>Very good value for money Etsupendo, just buy q.otro q have for centuries and broke my children. Basic but no longer needed and the light does not bother turning it on in the dark</v>
      </c>
    </row>
    <row r="7003">
      <c r="A7003" s="1">
        <v>5.0</v>
      </c>
      <c r="B7003" s="1" t="s">
        <v>6954</v>
      </c>
      <c r="C7003" t="str">
        <f>IFERROR(__xludf.DUMMYFUNCTION("GOOGLETRANSLATE(B7003, ""es"", ""en"")"),"I love seems very durable and is perfect for what I wanted. It has even shield the headphone jack. The power and volume buttons are covered but no problem for use. Protected wine based on a sturdy plastic bag.")</f>
        <v>I love seems very durable and is perfect for what I wanted. It has even shield the headphone jack. The power and volume buttons are covered but no problem for use. Protected wine based on a sturdy plastic bag.</v>
      </c>
    </row>
    <row r="7004">
      <c r="A7004" s="1">
        <v>5.0</v>
      </c>
      <c r="B7004" s="1" t="s">
        <v>6955</v>
      </c>
      <c r="C7004" t="str">
        <f>IFERROR(__xludf.DUMMYFUNCTION("GOOGLETRANSLATE(B7004, ""es"", ""en"")"),"Brand quality and unbeatable value. Fulfills its function.")</f>
        <v>Brand quality and unbeatable value. Fulfills its function.</v>
      </c>
    </row>
    <row r="7005">
      <c r="A7005" s="1">
        <v>5.0</v>
      </c>
      <c r="B7005" s="1" t="s">
        <v>6956</v>
      </c>
      <c r="C7005" t="str">
        <f>IFERROR(__xludf.DUMMYFUNCTION("GOOGLETRANSLATE(B7005, ""es"", ""en"")"),"Good Very nice. Fit well")</f>
        <v>Good Very nice. Fit well</v>
      </c>
    </row>
    <row r="7006">
      <c r="A7006" s="1">
        <v>2.0</v>
      </c>
      <c r="B7006" s="1" t="s">
        <v>6957</v>
      </c>
      <c r="C7006" t="str">
        <f>IFERROR(__xludf.DUMMYFUNCTION("GOOGLETRANSLATE(B7006, ""es"", ""en"")"),"Good for evil for battery signal cuts Having a devrepuesto battery is fine, but going down the street one signal of the headphones is cut as if bad one cable and that makes me nervous")</f>
        <v>Good for evil for battery signal cuts Having a devrepuesto battery is fine, but going down the street one signal of the headphones is cut as if bad one cable and that makes me nervous</v>
      </c>
    </row>
    <row r="7007">
      <c r="A7007" s="1">
        <v>3.0</v>
      </c>
      <c r="B7007" s="1" t="s">
        <v>6958</v>
      </c>
      <c r="C7007" t="str">
        <f>IFERROR(__xludf.DUMMYFUNCTION("GOOGLETRANSLATE(B7007, ""es"", ""en"")"),"Small size are nice, but are a bit hard as the sole and the size is smaller than normal.")</f>
        <v>Small size are nice, but are a bit hard as the sole and the size is smaller than normal.</v>
      </c>
    </row>
    <row r="7008">
      <c r="A7008" s="1">
        <v>3.0</v>
      </c>
      <c r="B7008" s="1" t="s">
        <v>6959</v>
      </c>
      <c r="C7008" t="str">
        <f>IFERROR(__xludf.DUMMYFUNCTION("GOOGLETRANSLATE(B7008, ""es"", ""en"")"),"Nice but poor quality wine defective, comes off the leash because one of the hooks is short. For the price you can not expect more quality, but very nice.")</f>
        <v>Nice but poor quality wine defective, comes off the leash because one of the hooks is short. For the price you can not expect more quality, but very nice.</v>
      </c>
    </row>
    <row r="7009">
      <c r="A7009" s="1">
        <v>3.0</v>
      </c>
      <c r="B7009" s="1" t="s">
        <v>6960</v>
      </c>
      <c r="C7009" t="str">
        <f>IFERROR(__xludf.DUMMYFUNCTION("GOOGLETRANSLATE(B7009, ""es"", ""en"")"),"They are what you see Strolling right to practice sport There")</f>
        <v>They are what you see Strolling right to practice sport There</v>
      </c>
    </row>
    <row r="7010">
      <c r="A7010" s="1">
        <v>1.0</v>
      </c>
      <c r="B7010" s="1" t="s">
        <v>6961</v>
      </c>
      <c r="C7010" t="str">
        <f>IFERROR(__xludf.DUMMYFUNCTION("GOOGLETRANSLATE(B7010, ""es"", ""en"")"),"Works well but made for incredibly small head, ** Update **. Stopped working even on a very small head. It works well, but is made for an incredibly small head. I do not think that the heads of the manufacturers are so small, perhaps their children. To up"&amp;"date. After only four months, it stopped working.")</f>
        <v>Works well but made for incredibly small head, ** Update **. Stopped working even on a very small head. It works well, but is made for an incredibly small head. I do not think that the heads of the manufacturers are so small, perhaps their children. To update. After only four months, it stopped working.</v>
      </c>
    </row>
    <row r="7011">
      <c r="A7011" s="1">
        <v>1.0</v>
      </c>
      <c r="B7011" s="1" t="s">
        <v>6962</v>
      </c>
      <c r="C7011" t="str">
        <f>IFERROR(__xludf.DUMMYFUNCTION("GOOGLETRANSLATE(B7011, ""es"", ""en"")"),"Extremely weak. Recomedable not at all. It is broken after two weeks of use. And besides twice for the same site (after ordering spare) I do not recommend this product at all. I'll request a refund of the amount.")</f>
        <v>Extremely weak. Recomedable not at all. It is broken after two weeks of use. And besides twice for the same site (after ordering spare) I do not recommend this product at all. I'll request a refund of the amount.</v>
      </c>
    </row>
    <row r="7012">
      <c r="A7012" s="1">
        <v>4.0</v>
      </c>
      <c r="B7012" s="1" t="s">
        <v>6963</v>
      </c>
      <c r="C7012" t="str">
        <f>IFERROR(__xludf.DUMMYFUNCTION("GOOGLETRANSLATE(B7012, ""es"", ""en"")"),"Working properly it is functioning properly. As indicated in the description of the article, water boils quickly and is very convenient to use by the system to open the lid and the handle to serve.")</f>
        <v>Working properly it is functioning properly. As indicated in the description of the article, water boils quickly and is very convenient to use by the system to open the lid and the handle to serve.</v>
      </c>
    </row>
    <row r="7013">
      <c r="A7013" s="1">
        <v>4.0</v>
      </c>
      <c r="B7013" s="1" t="s">
        <v>6964</v>
      </c>
      <c r="C7013" t="str">
        <f>IFERROR(__xludf.DUMMYFUNCTION("GOOGLETRANSLATE(B7013, ""es"", ""en"")"),"adjustable rings'm very happy, they came sooner than expected. For the price they have, do not know what will last but it will be enough to use these parties, if they last longer, super")</f>
        <v>adjustable rings'm very happy, they came sooner than expected. For the price they have, do not know what will last but it will be enough to use these parties, if they last longer, super</v>
      </c>
    </row>
    <row r="7014">
      <c r="A7014" s="1">
        <v>4.0</v>
      </c>
      <c r="B7014" s="1" t="s">
        <v>6965</v>
      </c>
      <c r="C7014" t="str">
        <f>IFERROR(__xludf.DUMMYFUNCTION("GOOGLETRANSLATE(B7014, ""es"", ""en"")"),"Carolina's not the most comfortable I have of this brand, even so thrilled !! The most comfortable brand I know so far for me !!")</f>
        <v>Carolina's not the most comfortable I have of this brand, even so thrilled !! The most comfortable brand I know so far for me !!</v>
      </c>
    </row>
    <row r="7015">
      <c r="A7015" s="1">
        <v>4.0</v>
      </c>
      <c r="B7015" s="1" t="s">
        <v>6966</v>
      </c>
      <c r="C7015" t="str">
        <f>IFERROR(__xludf.DUMMYFUNCTION("GOOGLETRANSLATE(B7015, ""es"", ""en"")"),"Imitate the chest, but not the breast We buy the ""desperate"" to give our baby bottles (normal not picked up). This was not picked up. I imagine that this bottle is best for babies not charge you Lien and not breastfeeding at the first hurdle; But do not"&amp;" think that mimic the chest, your baby will like and will take ... I think if the baby is breast lactacia caught and does not want bottles, it neither will want (though I do not want to discourage anyone, because as I said, we also tried).")</f>
        <v>Imitate the chest, but not the breast We buy the "desperate" to give our baby bottles (normal not picked up). This was not picked up. I imagine that this bottle is best for babies not charge you Lien and not breastfeeding at the first hurdle; But do not think that mimic the chest, your baby will like and will take ... I think if the baby is breast lactacia caught and does not want bottles, it neither will want (though I do not want to discourage anyone, because as I said, we also tried).</v>
      </c>
    </row>
    <row r="7016">
      <c r="A7016" s="1">
        <v>4.0</v>
      </c>
      <c r="B7016" s="1" t="s">
        <v>6967</v>
      </c>
      <c r="C7016" t="str">
        <f>IFERROR(__xludf.DUMMYFUNCTION("GOOGLETRANSLATE(B7016, ""es"", ""en"")"),"Good price Perfectas")</f>
        <v>Good price Perfectas</v>
      </c>
    </row>
    <row r="7017">
      <c r="A7017" s="1">
        <v>5.0</v>
      </c>
      <c r="B7017" s="1" t="s">
        <v>6968</v>
      </c>
      <c r="C7017" t="str">
        <f>IFERROR(__xludf.DUMMYFUNCTION("GOOGLETRANSLATE(B7017, ""es"", ""en"")"),"Good headphones bluetooth good product to sport, since its subject is not moving and are very comfortable, the box load is very small and fits perfectly in a pocket and gives to many loads, it's great to do sport without cables I worry that will fall from"&amp;" the ear, only downside to put something that says information in English (when the battery is low ...) but the truth is a great product.")</f>
        <v>Good headphones bluetooth good product to sport, since its subject is not moving and are very comfortable, the box load is very small and fits perfectly in a pocket and gives to many loads, it's great to do sport without cables I worry that will fall from the ear, only downside to put something that says information in English (when the battery is low ...) but the truth is a great product.</v>
      </c>
    </row>
    <row r="7018">
      <c r="A7018" s="1">
        <v>5.0</v>
      </c>
      <c r="B7018" s="1" t="s">
        <v>6969</v>
      </c>
      <c r="C7018" t="str">
        <f>IFERROR(__xludf.DUMMYFUNCTION("GOOGLETRANSLATE(B7018, ""es"", ""en"")"),"Vacuum cleaner sucking to enjoy and keep the house clean is a fantastic cleaner without cables, almost no use normal vacuum cleaner. It is quiet, very powerful, garter belt and very manageable. Once mounted feels very solid, as a single piece. I have had "&amp;"others like vacuums other premium brands range and performance of the Rowenta Air Force 460 is much higher. I value it as the best vacuum cleaner broom I've had to use every day and being so easy and cables gives me no laziness vacuuming and helps a lot t"&amp;"o maintain the cleanliness of the day.")</f>
        <v>Vacuum cleaner sucking to enjoy and keep the house clean is a fantastic cleaner without cables, almost no use normal vacuum cleaner. It is quiet, very powerful, garter belt and very manageable. Once mounted feels very solid, as a single piece. I have had others like vacuums other premium brands range and performance of the Rowenta Air Force 460 is much higher. I value it as the best vacuum cleaner broom I've had to use every day and being so easy and cables gives me no laziness vacuuming and helps a lot to maintain the cleanliness of the day.</v>
      </c>
    </row>
    <row r="7019">
      <c r="A7019" s="1">
        <v>5.0</v>
      </c>
      <c r="B7019" s="1" t="s">
        <v>6970</v>
      </c>
      <c r="C7019" t="str">
        <f>IFERROR(__xludf.DUMMYFUNCTION("GOOGLETRANSLATE(B7019, ""es"", ""en"")"),"Fast and scalable. Heat up quickly and the quality is apparently very good. You may have some level of temperature but still more ideal.")</f>
        <v>Fast and scalable. Heat up quickly and the quality is apparently very good. You may have some level of temperature but still more ideal.</v>
      </c>
    </row>
    <row r="7020">
      <c r="A7020" s="1">
        <v>5.0</v>
      </c>
      <c r="B7020" s="1" t="s">
        <v>6971</v>
      </c>
      <c r="C7020" t="str">
        <f>IFERROR(__xludf.DUMMYFUNCTION("GOOGLETRANSLATE(B7020, ""es"", ""en"")"),"Good gift and cheap have fulfilled their role")</f>
        <v>Good gift and cheap have fulfilled their role</v>
      </c>
    </row>
    <row r="7021">
      <c r="A7021" s="1">
        <v>5.0</v>
      </c>
      <c r="B7021" s="1" t="s">
        <v>6972</v>
      </c>
      <c r="C7021" t="str">
        <f>IFERROR(__xludf.DUMMYFUNCTION("GOOGLETRANSLATE(B7021, ""es"", ""en"")"),"Perfect, as I expected I wanted a pyrolytic oven to avoid having to clean it so much - I was usually pretty ...- stain, and the truth is that the function works very well. The finishes are very good and above the brand is Spanish. Pleased with purchase.")</f>
        <v>Perfect, as I expected I wanted a pyrolytic oven to avoid having to clean it so much - I was usually pretty ...- stain, and the truth is that the function works very well. The finishes are very good and above the brand is Spanish. Pleased with purchase.</v>
      </c>
    </row>
    <row r="7022">
      <c r="A7022" s="1">
        <v>5.0</v>
      </c>
      <c r="B7022" s="1" t="s">
        <v>6973</v>
      </c>
      <c r="C7022" t="str">
        <f>IFERROR(__xludf.DUMMYFUNCTION("GOOGLETRANSLATE(B7022, ""es"", ""en"")"),"Perfect very soft switches when switching on and off")</f>
        <v>Perfect very soft switches when switching on and off</v>
      </c>
    </row>
    <row r="7023">
      <c r="A7023" s="1">
        <v>5.0</v>
      </c>
      <c r="B7023" s="1" t="s">
        <v>6974</v>
      </c>
      <c r="C7023" t="str">
        <f>IFERROR(__xludf.DUMMYFUNCTION("GOOGLETRANSLATE(B7023, ""es"", ""en"")"),"Good quality, comfortable correct size. The size is right, the shape is quite wide so do not bother and quite warm. Are sport shoes, casual or as want to call good enough for the price. Durability is not as it is, but seem well made.")</f>
        <v>Good quality, comfortable correct size. The size is right, the shape is quite wide so do not bother and quite warm. Are sport shoes, casual or as want to call good enough for the price. Durability is not as it is, but seem well made.</v>
      </c>
    </row>
    <row r="7024">
      <c r="A7024" s="1">
        <v>5.0</v>
      </c>
      <c r="B7024" s="1" t="s">
        <v>6975</v>
      </c>
      <c r="C7024" t="str">
        <f>IFERROR(__xludf.DUMMYFUNCTION("GOOGLETRANSLATE(B7024, ""es"", ""en"")"),"Comodisimos are comfortable.")</f>
        <v>Comodisimos are comfortable.</v>
      </c>
    </row>
    <row r="7025">
      <c r="A7025" s="1">
        <v>5.0</v>
      </c>
      <c r="B7025" s="1" t="s">
        <v>6976</v>
      </c>
      <c r="C7025" t="str">
        <f>IFERROR(__xludf.DUMMYFUNCTION("GOOGLETRANSLATE(B7025, ""es"", ""en"")"),"Excellent fully recommended blanket for cold days with a switch with several positions to regulate the degree of heat you need how security automatically switches itself off after half an hour and fully recommend for frioleros Amazon")</f>
        <v>Excellent fully recommended blanket for cold days with a switch with several positions to regulate the degree of heat you need how security automatically switches itself off after half an hour and fully recommend for frioleros Amazon</v>
      </c>
    </row>
    <row r="7026">
      <c r="A7026" s="1">
        <v>5.0</v>
      </c>
      <c r="B7026" s="1" t="s">
        <v>6977</v>
      </c>
      <c r="C7026" t="str">
        <f>IFERROR(__xludf.DUMMYFUNCTION("GOOGLETRANSLATE(B7026, ""es"", ""en"")"),"cheap and cheerful clock clock Man, KOTIME is a very nice watch with a round dial where two needles and seconds are red. In the field lines do not appear only numbers. For me this is not a problem, I say just because someone find it harder to see the time"&amp;" when the numbers do not appear. The strap is made of maya in black and brings a safety lock which you adjust what you do. It really is very simple to move the gizmo that brings. But I had to resort to the announcement because it does not come in a box an"&amp;"y explanation. (I've missed a little at fault). This watch makes it a man, but in my house finally is my wife who uses it and I do not think it is wrong. This is possible also to what I said before its closure can be moved. It is a simple design clock, bu"&amp;"t cocky and economic")</f>
        <v>cheap and cheerful clock clock Man, KOTIME is a very nice watch with a round dial where two needles and seconds are red. In the field lines do not appear only numbers. For me this is not a problem, I say just because someone find it harder to see the time when the numbers do not appear. The strap is made of maya in black and brings a safety lock which you adjust what you do. It really is very simple to move the gizmo that brings. But I had to resort to the announcement because it does not come in a box any explanation. (I've missed a little at fault). This watch makes it a man, but in my house finally is my wife who uses it and I do not think it is wrong. This is possible also to what I said before its closure can be moved. It is a simple design clock, but cocky and economic</v>
      </c>
    </row>
    <row r="7027">
      <c r="A7027" s="1">
        <v>5.0</v>
      </c>
      <c r="B7027" s="1" t="s">
        <v>6978</v>
      </c>
      <c r="C7027" t="str">
        <f>IFERROR(__xludf.DUMMYFUNCTION("GOOGLETRANSLATE(B7027, ""es"", ""en"")"),"Easy to use and heats the water very quickly Works great for boiling water, it takes just a couple of minutes and has enough power, makes some noise to the heat it but it is not the machine itself, but the hirbiendo water. It has a capacity of up to 600ml"&amp;" and also has a scale filter (which when I bought did not know I had and I was pleasantly surprised). I recommend it a lot, since I have it I do a lot of herbal teas and teas, so I'm drinking almost twice as much water as before.")</f>
        <v>Easy to use and heats the water very quickly Works great for boiling water, it takes just a couple of minutes and has enough power, makes some noise to the heat it but it is not the machine itself, but the hirbiendo water. It has a capacity of up to 600ml and also has a scale filter (which when I bought did not know I had and I was pleasantly surprised). I recommend it a lot, since I have it I do a lot of herbal teas and teas, so I'm drinking almost twice as much water as before.</v>
      </c>
    </row>
    <row r="7028">
      <c r="A7028" s="1">
        <v>5.0</v>
      </c>
      <c r="B7028" s="1" t="s">
        <v>6979</v>
      </c>
      <c r="C7028" t="str">
        <f>IFERROR(__xludf.DUMMYFUNCTION("GOOGLETRANSLATE(B7028, ""es"", ""en"")"),"Improving year after year! The shoe is lightweight comfortable for my age and weight.")</f>
        <v>Improving year after year! The shoe is lightweight comfortable for my age and weight.</v>
      </c>
    </row>
    <row r="7029">
      <c r="A7029" s="1">
        <v>5.0</v>
      </c>
      <c r="B7029" s="1" t="s">
        <v>6980</v>
      </c>
      <c r="C7029" t="str">
        <f>IFERROR(__xludf.DUMMYFUNCTION("GOOGLETRANSLATE(B7029, ""es"", ""en"")"),"I love real good battery last longer and listen to siri category")</f>
        <v>I love real good battery last longer and listen to siri category</v>
      </c>
    </row>
    <row r="7030">
      <c r="A7030" s="1">
        <v>5.0</v>
      </c>
      <c r="B7030" s="1" t="s">
        <v>6981</v>
      </c>
      <c r="C7030" t="str">
        <f>IFERROR(__xludf.DUMMYFUNCTION("GOOGLETRANSLATE(B7030, ""es"", ""en"")"),"very good awesome power it can not make the maximum turbine is a highly recommended")</f>
        <v>very good awesome power it can not make the maximum turbine is a highly recommended</v>
      </c>
    </row>
    <row r="7031">
      <c r="A7031" s="1">
        <v>5.0</v>
      </c>
      <c r="B7031" s="1" t="s">
        <v>6982</v>
      </c>
      <c r="C7031" t="str">
        <f>IFERROR(__xludf.DUMMYFUNCTION("GOOGLETRANSLATE(B7031, ""es"", ""en"")"),"PROFESSIONAL use this POP UP or Anti pop in our study and our customers are very please, if it's true it's not a very recognized brand, but for money is perfect")</f>
        <v>PROFESSIONAL use this POP UP or Anti pop in our study and our customers are very please, if it's true it's not a very recognized brand, but for money is perfect</v>
      </c>
    </row>
    <row r="7032">
      <c r="A7032" s="1">
        <v>5.0</v>
      </c>
      <c r="B7032" s="1" t="s">
        <v>6983</v>
      </c>
      <c r="C7032" t="str">
        <f>IFERROR(__xludf.DUMMYFUNCTION("GOOGLETRANSLATE(B7032, ""es"", ""en"")"),"Very nice are very nice, as it is, and arrived on time.")</f>
        <v>Very nice are very nice, as it is, and arrived on time.</v>
      </c>
    </row>
    <row r="7033">
      <c r="A7033" s="1">
        <v>5.0</v>
      </c>
      <c r="B7033" s="1" t="s">
        <v>6984</v>
      </c>
      <c r="C7033" t="str">
        <f>IFERROR(__xludf.DUMMYFUNCTION("GOOGLETRANSLATE(B7033, ""es"", ""en"")"),"Great value The sound from the headphones is very good in relation to its price. Get isolate outside noise, at least much of it. By the time I've been using them, I have not exhausted its battery (counting each time you saved, they are loaded). The maximu"&amp;"m duration that have been connected to music, have been a total of two hours at maximum volume, even dismissively, a total of 10% battery. The only flaw that I find is that I sometimes they fall, probably because none of the pads that come with them, adap"&amp;"t to my ear.")</f>
        <v>Great value The sound from the headphones is very good in relation to its price. Get isolate outside noise, at least much of it. By the time I've been using them, I have not exhausted its battery (counting each time you saved, they are loaded). The maximum duration that have been connected to music, have been a total of two hours at maximum volume, even dismissively, a total of 10% battery. The only flaw that I find is that I sometimes they fall, probably because none of the pads that come with them, adapt to my ear.</v>
      </c>
    </row>
    <row r="7034">
      <c r="A7034" s="1">
        <v>5.0</v>
      </c>
      <c r="B7034" s="1" t="s">
        <v>6985</v>
      </c>
      <c r="C7034" t="str">
        <f>IFERROR(__xludf.DUMMYFUNCTION("GOOGLETRANSLATE(B7034, ""es"", ""en"")"),"It is very well Contenta purchase. The moment has fulfilled its function. He lay on the child shampoo.")</f>
        <v>It is very well Contenta purchase. The moment has fulfilled its function. He lay on the child shampoo.</v>
      </c>
    </row>
    <row r="7035">
      <c r="A7035" s="1">
        <v>5.0</v>
      </c>
      <c r="B7035" s="1" t="s">
        <v>6986</v>
      </c>
      <c r="C7035" t="str">
        <f>IFERROR(__xludf.DUMMYFUNCTION("GOOGLETRANSLATE(B7035, ""es"", ""en"")"),"the best virtue for money as his trousers for a brotherhood, in fact was going to make a request at least three pants, for other people, but tell me they are not available sizes, I ask if there are in other colors, did they again do?")</f>
        <v>the best virtue for money as his trousers for a brotherhood, in fact was going to make a request at least three pants, for other people, but tell me they are not available sizes, I ask if there are in other colors, did they again do?</v>
      </c>
    </row>
    <row r="7036">
      <c r="A7036" s="1">
        <v>2.0</v>
      </c>
      <c r="B7036" s="1" t="s">
        <v>6987</v>
      </c>
      <c r="C7036" t="str">
        <f>IFERROR(__xludf.DUMMYFUNCTION("GOOGLETRANSLATE(B7036, ""es"", ""en"")"),"Regular Tab moves and leaves the instep of the foot bare. That's why I returned")</f>
        <v>Regular Tab moves and leaves the instep of the foot bare. That's why I returned</v>
      </c>
    </row>
    <row r="7037">
      <c r="A7037" s="1">
        <v>3.0</v>
      </c>
      <c r="B7037" s="1" t="s">
        <v>6988</v>
      </c>
      <c r="C7037" t="str">
        <f>IFERROR(__xludf.DUMMYFUNCTION("GOOGLETRANSLATE(B7037, ""es"", ""en"")"),"Not what I expected I have a 95D and buy a cup L. is fine, but I contour is too big. I could not use it as a bra without further because not subject enough.")</f>
        <v>Not what I expected I have a 95D and buy a cup L. is fine, but I contour is too big. I could not use it as a bra without further because not subject enough.</v>
      </c>
    </row>
    <row r="7038">
      <c r="A7038" s="1">
        <v>1.0</v>
      </c>
      <c r="B7038" s="1" t="s">
        <v>6989</v>
      </c>
      <c r="C7038" t="str">
        <f>IFERROR(__xludf.DUMMYFUNCTION("GOOGLETRANSLATE(B7038, ""es"", ""en"")"),"It does not fulfill its function This is the result after once stuck ... bad product. The idea is good, but comes with adhesive surface is of poor quality glue and small.")</f>
        <v>It does not fulfill its function This is the result after once stuck ... bad product. The idea is good, but comes with adhesive surface is of poor quality glue and small.</v>
      </c>
    </row>
    <row r="7039">
      <c r="A7039" s="1">
        <v>1.0</v>
      </c>
      <c r="B7039" s="1" t="s">
        <v>6990</v>
      </c>
      <c r="C7039" t="str">
        <f>IFERROR(__xludf.DUMMYFUNCTION("GOOGLETRANSLATE(B7039, ""es"", ""en"")"),"Paco T Nothing recommended. Not dry mop. You can squeeze off wet. Mal would not buy it for a good brand invention")</f>
        <v>Paco T Nothing recommended. Not dry mop. You can squeeze off wet. Mal would not buy it for a good brand invention</v>
      </c>
    </row>
    <row r="7040">
      <c r="A7040" s="1">
        <v>4.0</v>
      </c>
      <c r="B7040" s="1" t="s">
        <v>6991</v>
      </c>
      <c r="C7040" t="str">
        <f>IFERROR(__xludf.DUMMYFUNCTION("GOOGLETRANSLATE(B7040, ""es"", ""en"")"),"Good product are the same as in the photos, are well finished off and the air chamber are very comfortable")</f>
        <v>Good product are the same as in the photos, are well finished off and the air chamber are very comfortable</v>
      </c>
    </row>
    <row r="7041">
      <c r="A7041" s="1">
        <v>4.0</v>
      </c>
      <c r="B7041" s="1" t="s">
        <v>6992</v>
      </c>
      <c r="C7041" t="str">
        <f>IFERROR(__xludf.DUMMYFUNCTION("GOOGLETRANSLATE(B7041, ""es"", ""en"")"),"Good but not for everyone are good shoes, but considering that usually have to ask 1n ° and last is narrow. The sole with taqueado it brings is very good in soft soil and mud, which is what I want them.")</f>
        <v>Good but not for everyone are good shoes, but considering that usually have to ask 1n ° and last is narrow. The sole with taqueado it brings is very good in soft soil and mud, which is what I want them.</v>
      </c>
    </row>
    <row r="7042">
      <c r="A7042" s="1">
        <v>4.0</v>
      </c>
      <c r="B7042" s="1" t="s">
        <v>6993</v>
      </c>
      <c r="C7042" t="str">
        <f>IFERROR(__xludf.DUMMYFUNCTION("GOOGLETRANSLATE(B7042, ""es"", ""en"")"),"Good good tape tape, better than the original. Correa flexible and comfortable. Good price if it ends up being tough and enduring wear.")</f>
        <v>Good good tape tape, better than the original. Correa flexible and comfortable. Good price if it ends up being tough and enduring wear.</v>
      </c>
    </row>
    <row r="7043">
      <c r="A7043" s="1">
        <v>4.0</v>
      </c>
      <c r="B7043" s="1" t="s">
        <v>6994</v>
      </c>
      <c r="C7043" t="str">
        <f>IFERROR(__xludf.DUMMYFUNCTION("GOOGLETRANSLATE(B7043, ""es"", ""en"")"),"Fulfills its function A bit long for my taste, maybe I should be a little wider. It grips well at the table and do not need to use a mouse to the mouse itself as they go perfectly on top of the product")</f>
        <v>Fulfills its function A bit long for my taste, maybe I should be a little wider. It grips well at the table and do not need to use a mouse to the mouse itself as they go perfectly on top of the product</v>
      </c>
    </row>
    <row r="7044">
      <c r="A7044" s="1">
        <v>4.0</v>
      </c>
      <c r="B7044" s="1" t="s">
        <v>6995</v>
      </c>
      <c r="C7044" t="str">
        <f>IFERROR(__xludf.DUMMYFUNCTION("GOOGLETRANSLATE(B7044, ""es"", ""en"")"),"Cool article This product is great for younger and very comfortable for their parents, they are easy to fill, are completely waterproof, but cleanliness is a bit more complicated, but easy to clean if a clean biberones.Además have used design fun and attr"&amp;"active to children. Thoroughly recommended.")</f>
        <v>Cool article This product is great for younger and very comfortable for their parents, they are easy to fill, are completely waterproof, but cleanliness is a bit more complicated, but easy to clean if a clean biberones.Además have used design fun and attractive to children. Thoroughly recommended.</v>
      </c>
    </row>
    <row r="7045">
      <c r="A7045" s="1">
        <v>5.0</v>
      </c>
      <c r="B7045" s="1" t="s">
        <v>6996</v>
      </c>
      <c r="C7045" t="str">
        <f>IFERROR(__xludf.DUMMYFUNCTION("GOOGLETRANSLATE(B7045, ""es"", ""en"")"),"The ability works in the tests I've done so far is specifying advertising. In my Nikon D90 works very well.")</f>
        <v>The ability works in the tests I've done so far is specifying advertising. In my Nikon D90 works very well.</v>
      </c>
    </row>
    <row r="7046">
      <c r="A7046" s="1">
        <v>5.0</v>
      </c>
      <c r="B7046" s="1" t="s">
        <v>6997</v>
      </c>
      <c r="C7046" t="str">
        <f>IFERROR(__xludf.DUMMYFUNCTION("GOOGLETRANSLATE(B7046, ""es"", ""en"")"),"Beautiful perfect ideal")</f>
        <v>Beautiful perfect ideal</v>
      </c>
    </row>
    <row r="7047">
      <c r="A7047" s="1">
        <v>5.0</v>
      </c>
      <c r="B7047" s="1" t="s">
        <v>6998</v>
      </c>
      <c r="C7047" t="str">
        <f>IFERROR(__xludf.DUMMYFUNCTION("GOOGLETRANSLATE(B7047, ""es"", ""en"")"),"Good humidifying the atmosphere Excellent cacharrito :) I needed to sleep and I'm from a tropical country where I live now the weather is very dry. Especially when you put it near heat fan and cools the room very much. Better and cheaper than putting the "&amp;"ac.")</f>
        <v>Good humidifying the atmosphere Excellent cacharrito :) I needed to sleep and I'm from a tropical country where I live now the weather is very dry. Especially when you put it near heat fan and cools the room very much. Better and cheaper than putting the ac.</v>
      </c>
    </row>
    <row r="7048">
      <c r="A7048" s="1">
        <v>5.0</v>
      </c>
      <c r="B7048" s="1" t="s">
        <v>6999</v>
      </c>
      <c r="C7048" t="str">
        <f>IFERROR(__xludf.DUMMYFUNCTION("GOOGLETRANSLATE(B7048, ""es"", ""en"")"),"Very nice are very comfortable and as pictured")</f>
        <v>Very nice are very comfortable and as pictured</v>
      </c>
    </row>
    <row r="7049">
      <c r="A7049" s="1">
        <v>5.0</v>
      </c>
      <c r="B7049" s="1" t="s">
        <v>7000</v>
      </c>
      <c r="C7049" t="str">
        <f>IFERROR(__xludf.DUMMYFUNCTION("GOOGLETRANSLATE(B7049, ""es"", ""en"")"),"Are comfortable but not mushy for my use, walking and training, I look very good.")</f>
        <v>Are comfortable but not mushy for my use, walking and training, I look very good.</v>
      </c>
    </row>
    <row r="7050">
      <c r="A7050" s="1">
        <v>5.0</v>
      </c>
      <c r="B7050" s="1" t="s">
        <v>7001</v>
      </c>
      <c r="C7050" t="str">
        <f>IFERROR(__xludf.DUMMYFUNCTION("GOOGLETRANSLATE(B7050, ""es"", ""en"")"),"Everything perfect everything perfect.")</f>
        <v>Everything perfect everything perfect.</v>
      </c>
    </row>
    <row r="7051">
      <c r="A7051" s="1">
        <v>5.0</v>
      </c>
      <c r="B7051" s="1" t="s">
        <v>7002</v>
      </c>
      <c r="C7051" t="str">
        <f>IFERROR(__xludf.DUMMYFUNCTION("GOOGLETRANSLATE(B7051, ""es"", ""en"")"),"Value From moment I made a decalcification, and it worked perfectly.")</f>
        <v>Value From moment I made a decalcification, and it worked perfectly.</v>
      </c>
    </row>
    <row r="7052">
      <c r="A7052" s="1">
        <v>5.0</v>
      </c>
      <c r="B7052" s="1" t="s">
        <v>7003</v>
      </c>
      <c r="C7052" t="str">
        <f>IFERROR(__xludf.DUMMYFUNCTION("GOOGLETRANSLATE(B7052, ""es"", ""en"")"),"Perfect fit the description.")</f>
        <v>Perfect fit the description.</v>
      </c>
    </row>
    <row r="7053">
      <c r="A7053" s="1">
        <v>5.0</v>
      </c>
      <c r="B7053" s="1" t="s">
        <v>7004</v>
      </c>
      <c r="C7053" t="str">
        <f>IFERROR(__xludf.DUMMYFUNCTION("GOOGLETRANSLATE(B7053, ""es"", ""en"")"),"Elegant and beautiful I bought for a wedding and were all great and held my wedding without hurting your feet")</f>
        <v>Elegant and beautiful I bought for a wedding and were all great and held my wedding without hurting your feet</v>
      </c>
    </row>
    <row r="7054">
      <c r="A7054" s="1">
        <v>5.0</v>
      </c>
      <c r="B7054" s="1" t="s">
        <v>7005</v>
      </c>
      <c r="C7054" t="str">
        <f>IFERROR(__xludf.DUMMYFUNCTION("GOOGLETRANSLATE(B7054, ""es"", ""en"")"),"Imprecindible If you have a laminator, this pack is going to make absolutely necessary, because the laminator came with some, but eventually need more, and this product has very good quality.")</f>
        <v>Imprecindible If you have a laminator, this pack is going to make absolutely necessary, because the laminator came with some, but eventually need more, and this product has very good quality.</v>
      </c>
    </row>
    <row r="7055">
      <c r="A7055" s="1">
        <v>5.0</v>
      </c>
      <c r="B7055" s="1" t="s">
        <v>7006</v>
      </c>
      <c r="C7055" t="str">
        <f>IFERROR(__xludf.DUMMYFUNCTION("GOOGLETRANSLATE(B7055, ""es"", ""en"")"),"It was very well priced as expected")</f>
        <v>It was very well priced as expected</v>
      </c>
    </row>
    <row r="7056">
      <c r="A7056" s="1">
        <v>5.0</v>
      </c>
      <c r="B7056" s="1" t="s">
        <v>7007</v>
      </c>
      <c r="C7056" t="str">
        <f>IFERROR(__xludf.DUMMYFUNCTION("GOOGLETRANSLATE(B7056, ""es"", ""en"")"),"Better than expected Your comfort and finishes are very good, however the laces are too long")</f>
        <v>Better than expected Your comfort and finishes are very good, however the laces are too long</v>
      </c>
    </row>
    <row r="7057">
      <c r="A7057" s="1">
        <v>5.0</v>
      </c>
      <c r="B7057" s="1" t="s">
        <v>7008</v>
      </c>
      <c r="C7057" t="str">
        <f>IFERROR(__xludf.DUMMYFUNCTION("GOOGLETRANSLATE(B7057, ""es"", ""en"")"),"They were very nice for my son and he really liked, small and discreet pen.")</f>
        <v>They were very nice for my son and he really liked, small and discreet pen.</v>
      </c>
    </row>
    <row r="7058">
      <c r="A7058" s="1">
        <v>5.0</v>
      </c>
      <c r="B7058" s="1" t="s">
        <v>7009</v>
      </c>
      <c r="C7058" t="str">
        <f>IFERROR(__xludf.DUMMYFUNCTION("GOOGLETRANSLATE(B7058, ""es"", ""en"")"),"Very useful I bought one year ago to mark the clothes and school materials for my daughter. Perfect! Hold on clothes washing and other materials, waiting a couple of seconds, not blurred. I would buy it.")</f>
        <v>Very useful I bought one year ago to mark the clothes and school materials for my daughter. Perfect! Hold on clothes washing and other materials, waiting a couple of seconds, not blurred. I would buy it.</v>
      </c>
    </row>
    <row r="7059">
      <c r="A7059" s="1">
        <v>5.0</v>
      </c>
      <c r="B7059" s="1" t="s">
        <v>7010</v>
      </c>
      <c r="C7059" t="str">
        <f>IFERROR(__xludf.DUMMYFUNCTION("GOOGLETRANSLATE(B7059, ""es"", ""en"")"),"PERFECT They seal perfectly, the only thing is that it does not how much are the Micron.")</f>
        <v>PERFECT They seal perfectly, the only thing is that it does not how much are the Micron.</v>
      </c>
    </row>
    <row r="7060">
      <c r="A7060" s="1">
        <v>5.0</v>
      </c>
      <c r="B7060" s="1" t="s">
        <v>7011</v>
      </c>
      <c r="C7060" t="str">
        <f>IFERROR(__xludf.DUMMYFUNCTION("GOOGLETRANSLATE(B7060, ""es"", ""en"")"),"Perfect strap fits perfectly with my Fitbit and is very elegant. Well with the kit to adjust the size of the chain and is very effective. purchase satisfied")</f>
        <v>Perfect strap fits perfectly with my Fitbit and is very elegant. Well with the kit to adjust the size of the chain and is very effective. purchase satisfied</v>
      </c>
    </row>
    <row r="7061">
      <c r="A7061" s="1">
        <v>5.0</v>
      </c>
      <c r="B7061" s="1" t="s">
        <v>7012</v>
      </c>
      <c r="C7061" t="str">
        <f>IFERROR(__xludf.DUMMYFUNCTION("GOOGLETRANSLATE(B7061, ""es"", ""en"")"),"Casio GD 350 Watch spectacular very similar to the 5600 (in thermos quadrado quasi format) but much Maior, the visibility of the numbers is very good, thermos design is very sober (being all black).")</f>
        <v>Casio GD 350 Watch spectacular very similar to the 5600 (in thermos quadrado quasi format) but much Maior, the visibility of the numbers is very good, thermos design is very sober (being all black).</v>
      </c>
    </row>
    <row r="7062">
      <c r="A7062" s="1">
        <v>5.0</v>
      </c>
      <c r="B7062" s="1" t="s">
        <v>7013</v>
      </c>
      <c r="C7062" t="str">
        <f>IFERROR(__xludf.DUMMYFUNCTION("GOOGLETRANSLATE(B7062, ""es"", ""en"")"),"Purchase 10 A-B-S-O-L-U-T-A-M-E-N-T-E. FANTASTIC. Everything good that can be said of this micro is little. And on top you find (like me) almost new 120 euritos, or think about it. By the way, I bought in Cash &amp; Company. And they've bought from them vario"&amp;"us things and always been satisfied.")</f>
        <v>Purchase 10 A-B-S-O-L-U-T-A-M-E-N-T-E. FANTASTIC. Everything good that can be said of this micro is little. And on top you find (like me) almost new 120 euritos, or think about it. By the way, I bought in Cash &amp; Company. And they've bought from them various things and always been satisfied.</v>
      </c>
    </row>
    <row r="7063">
      <c r="A7063" s="1">
        <v>2.0</v>
      </c>
      <c r="B7063" s="1" t="s">
        <v>7014</v>
      </c>
      <c r="C7063" t="str">
        <f>IFERROR(__xludf.DUMMYFUNCTION("GOOGLETRANSLATE(B7063, ""es"", ""en"")"),"Just nice nothing more. The mat is nice but impractical for use buy it for Apple Magic Mouse and when you drag the mouse over it seems sandpaper and is noisy and although you put the suction cup does not move but if he swings. not recommend")</f>
        <v>Just nice nothing more. The mat is nice but impractical for use buy it for Apple Magic Mouse and when you drag the mouse over it seems sandpaper and is noisy and although you put the suction cup does not move but if he swings. not recommend</v>
      </c>
    </row>
    <row r="7064">
      <c r="A7064" s="1">
        <v>3.0</v>
      </c>
      <c r="B7064" s="1" t="s">
        <v>7015</v>
      </c>
      <c r="C7064" t="str">
        <f>IFERROR(__xludf.DUMMYFUNCTION("GOOGLETRANSLATE(B7064, ""es"", ""en"")"),"Senderoo shoes can not give any opinion because I were very large, and have not returned yet reached me I asked. I recommend ordering the number that fits that are very large")</f>
        <v>Senderoo shoes can not give any opinion because I were very large, and have not returned yet reached me I asked. I recommend ordering the number that fits that are very large</v>
      </c>
    </row>
    <row r="7065">
      <c r="A7065" s="1">
        <v>3.0</v>
      </c>
      <c r="B7065" s="1" t="s">
        <v>7016</v>
      </c>
      <c r="C7065" t="str">
        <f>IFERROR(__xludf.DUMMYFUNCTION("GOOGLETRANSLATE(B7065, ""es"", ""en"")"),"Face color. There are twice the capacity of the same price on Amazon Maybe a little face color, I had to buy pink for a gift but no Amazon for less money and even twice the capacity. As memory is not bad, like all verbatim, it does the job without further"&amp;".")</f>
        <v>Face color. There are twice the capacity of the same price on Amazon Maybe a little face color, I had to buy pink for a gift but no Amazon for less money and even twice the capacity. As memory is not bad, like all verbatim, it does the job without further.</v>
      </c>
    </row>
    <row r="7066">
      <c r="A7066" s="1">
        <v>1.0</v>
      </c>
      <c r="B7066" s="1" t="s">
        <v>7017</v>
      </c>
      <c r="C7066" t="str">
        <f>IFERROR(__xludf.DUMMYFUNCTION("GOOGLETRANSLATE(B7066, ""es"", ""en"")"),"Not heat anything, it's like a toy article. Amazing selling things like the worst item I purchased on Amazon and the only item that moment I have been forced to return. Not heat anything, but nothing is nothing. A real thymus pad. You do not buy some beca"&amp;"use it does not heat. Worthless.")</f>
        <v>Not heat anything, it's like a toy article. Amazing selling things like the worst item I purchased on Amazon and the only item that moment I have been forced to return. Not heat anything, but nothing is nothing. A real thymus pad. You do not buy some because it does not heat. Worthless.</v>
      </c>
    </row>
    <row r="7067">
      <c r="A7067" s="1">
        <v>1.0</v>
      </c>
      <c r="B7067" s="1" t="s">
        <v>7018</v>
      </c>
      <c r="C7067" t="str">
        <f>IFERROR(__xludf.DUMMYFUNCTION("GOOGLETRANSLATE(B7067, ""es"", ""en"")"),"Or 6 months I lasted 6 months, has left the piece that rotates and engages the blades, and copper top or warranty and sell spare parts to throw a mixer for one piece")</f>
        <v>Or 6 months I lasted 6 months, has left the piece that rotates and engages the blades, and copper top or warranty and sell spare parts to throw a mixer for one piece</v>
      </c>
    </row>
    <row r="7068">
      <c r="A7068" s="1">
        <v>4.0</v>
      </c>
      <c r="B7068" s="1" t="s">
        <v>7019</v>
      </c>
      <c r="C7068" t="str">
        <f>IFERROR(__xludf.DUMMYFUNCTION("GOOGLETRANSLATE(B7068, ""es"", ""en"")"),"Juan Luis labels lace perfect but somewhat sparse though it is easy to find could put more for the labels are! Also recommended!")</f>
        <v>Juan Luis labels lace perfect but somewhat sparse though it is easy to find could put more for the labels are! Also recommended!</v>
      </c>
    </row>
    <row r="7069">
      <c r="A7069" s="1">
        <v>4.0</v>
      </c>
      <c r="B7069" s="1" t="s">
        <v>7020</v>
      </c>
      <c r="C7069" t="str">
        <f>IFERROR(__xludf.DUMMYFUNCTION("GOOGLETRANSLATE(B7069, ""es"", ""en"")"),"An infusion time The truth is q looks like a toy, but it works great, heats water in a few minutes and especially off when ternima q is a hoot. Q do not have to be watching all the time. I recommend it")</f>
        <v>An infusion time The truth is q looks like a toy, but it works great, heats water in a few minutes and especially off when ternima q is a hoot. Q do not have to be watching all the time. I recommend it</v>
      </c>
    </row>
    <row r="7070">
      <c r="A7070" s="1">
        <v>4.0</v>
      </c>
      <c r="B7070" s="1" t="s">
        <v>7021</v>
      </c>
      <c r="C7070" t="str">
        <f>IFERROR(__xludf.DUMMYFUNCTION("GOOGLETRANSLATE(B7070, ""es"", ""en"")"),"Zspatillas are comfortable well.")</f>
        <v>Zspatillas are comfortable well.</v>
      </c>
    </row>
    <row r="7071">
      <c r="A7071" s="1">
        <v>4.0</v>
      </c>
      <c r="B7071" s="1" t="s">
        <v>7022</v>
      </c>
      <c r="C7071" t="str">
        <f>IFERROR(__xludf.DUMMYFUNCTION("GOOGLETRANSLATE(B7071, ""es"", ""en"")"),"V very well for the tablet Very good option for charging on the tablet, it hurts Amazon were not many options like")</f>
        <v>V very well for the tablet Very good option for charging on the tablet, it hurts Amazon were not many options like</v>
      </c>
    </row>
    <row r="7072">
      <c r="A7072" s="1">
        <v>4.0</v>
      </c>
      <c r="B7072" s="1" t="s">
        <v>7023</v>
      </c>
      <c r="C7072" t="str">
        <f>IFERROR(__xludf.DUMMYFUNCTION("GOOGLETRANSLATE(B7072, ""es"", ""en"")"),"Meets Value The price there are better but are perfect could not ask for more")</f>
        <v>Meets Value The price there are better but are perfect could not ask for more</v>
      </c>
    </row>
    <row r="7073">
      <c r="A7073" s="1">
        <v>5.0</v>
      </c>
      <c r="B7073" s="1" t="s">
        <v>7024</v>
      </c>
      <c r="C7073" t="str">
        <f>IFERROR(__xludf.DUMMYFUNCTION("GOOGLETRANSLATE(B7073, ""es"", ""en"")"),"Fantastic fantastic, comfortable and useful to graduate the temperature of each side of the bed. Certainly a great choice.")</f>
        <v>Fantastic fantastic, comfortable and useful to graduate the temperature of each side of the bed. Certainly a great choice.</v>
      </c>
    </row>
    <row r="7074">
      <c r="A7074" s="1">
        <v>5.0</v>
      </c>
      <c r="B7074" s="1" t="s">
        <v>696</v>
      </c>
      <c r="C7074" t="str">
        <f>IFERROR(__xludf.DUMMYFUNCTION("GOOGLETRANSLATE(B7074, ""es"", ""en"")"),"Very good very good")</f>
        <v>Very good very good</v>
      </c>
    </row>
    <row r="7075">
      <c r="A7075" s="1">
        <v>5.0</v>
      </c>
      <c r="B7075" s="1" t="s">
        <v>7025</v>
      </c>
      <c r="C7075" t="str">
        <f>IFERROR(__xludf.DUMMYFUNCTION("GOOGLETRANSLATE(B7075, ""es"", ""en"")"),"Very pretty! It is very nice and something bigger than I thought, the chain is quite long. The sound is nice miy. Satisfied.")</f>
        <v>Very pretty! It is very nice and something bigger than I thought, the chain is quite long. The sound is nice miy. Satisfied.</v>
      </c>
    </row>
    <row r="7076">
      <c r="A7076" s="1">
        <v>5.0</v>
      </c>
      <c r="B7076" s="1" t="s">
        <v>7026</v>
      </c>
      <c r="C7076" t="str">
        <f>IFERROR(__xludf.DUMMYFUNCTION("GOOGLETRANSLATE(B7076, ""es"", ""en"")"),"All product arrived perfectly in time indicated and product images corresponded sale.")</f>
        <v>All product arrived perfectly in time indicated and product images corresponded sale.</v>
      </c>
    </row>
    <row r="7077">
      <c r="A7077" s="1">
        <v>5.0</v>
      </c>
      <c r="B7077" s="1" t="s">
        <v>7027</v>
      </c>
      <c r="C7077" t="str">
        <f>IFERROR(__xludf.DUMMYFUNCTION("GOOGLETRANSLATE(B7077, ""es"", ""en"")"),"Rapido everything perfect, perfect ... nothing to say.")</f>
        <v>Rapido everything perfect, perfect ... nothing to say.</v>
      </c>
    </row>
    <row r="7078">
      <c r="A7078" s="1">
        <v>5.0</v>
      </c>
      <c r="B7078" s="1" t="s">
        <v>7028</v>
      </c>
      <c r="C7078" t="str">
        <f>IFERROR(__xludf.DUMMYFUNCTION("GOOGLETRANSLATE(B7078, ""es"", ""en"")"),"Good sound quality, intuitive and long battery life. Wear and one using them week and I are enjoying enough, the box is still a save external bteria you can and load helmets, is never going to have helmets without battery, and also if you need to charge t"&amp;"he phone to save at some point will do it . Charging the battery gives you for almost 2 weeks of use ded helmets and even I think more of how I am doing. The sound is very good and perfect comfort I've had to change the size silicone because those who usu"&amp;"ally use are small. Overall it is very intuitive and I liked that you can change the volume without needing to access the device used. It also includes a holster to carry protected if you take it in a bag or a fanny as I have in which also usually carry k"&amp;"eys that might scratch it. Very happy with the purchase. If you appreciate utility has served the useful vote :)")</f>
        <v>Good sound quality, intuitive and long battery life. Wear and one using them week and I are enjoying enough, the box is still a save external bteria you can and load helmets, is never going to have helmets without battery, and also if you need to charge the phone to save at some point will do it . Charging the battery gives you for almost 2 weeks of use ded helmets and even I think more of how I am doing. The sound is very good and perfect comfort I've had to change the size silicone because those who usually use are small. Overall it is very intuitive and I liked that you can change the volume without needing to access the device used. It also includes a holster to carry protected if you take it in a bag or a fanny as I have in which also usually carry keys that might scratch it. Very happy with the purchase. If you appreciate utility has served the useful vote :)</v>
      </c>
    </row>
    <row r="7079">
      <c r="A7079" s="1">
        <v>5.0</v>
      </c>
      <c r="B7079" s="1" t="s">
        <v>7029</v>
      </c>
      <c r="C7079" t="str">
        <f>IFERROR(__xludf.DUMMYFUNCTION("GOOGLETRANSLATE(B7079, ""es"", ""en"")"),"Good quality power goes great for home")</f>
        <v>Good quality power goes great for home</v>
      </c>
    </row>
    <row r="7080">
      <c r="A7080" s="1">
        <v>5.0</v>
      </c>
      <c r="B7080" s="1" t="s">
        <v>7030</v>
      </c>
      <c r="C7080" t="str">
        <f>IFERROR(__xludf.DUMMYFUNCTION("GOOGLETRANSLATE(B7080, ""es"", ""en"")"),"Good article Slippers comfortable and light")</f>
        <v>Good article Slippers comfortable and light</v>
      </c>
    </row>
    <row r="7081">
      <c r="A7081" s="1">
        <v>5.0</v>
      </c>
      <c r="B7081" s="1" t="s">
        <v>7031</v>
      </c>
      <c r="C7081" t="str">
        <f>IFERROR(__xludf.DUMMYFUNCTION("GOOGLETRANSLATE(B7081, ""es"", ""en"")"),"Unique and very well received I bought this for my sister for her birthday. She loved him. I have not seen anything like this before and was so glad I found. She has put her photos on your page and many of his followers have shown interest and have asked "&amp;"where it came from, so I have probably gained some extra custom.")</f>
        <v>Unique and very well received I bought this for my sister for her birthday. She loved him. I have not seen anything like this before and was so glad I found. She has put her photos on your page and many of his followers have shown interest and have asked where it came from, so I have probably gained some extra custom.</v>
      </c>
    </row>
    <row r="7082">
      <c r="A7082" s="1">
        <v>5.0</v>
      </c>
      <c r="B7082" s="1" t="s">
        <v>7032</v>
      </c>
      <c r="C7082" t="str">
        <f>IFERROR(__xludf.DUMMYFUNCTION("GOOGLETRANSLATE(B7082, ""es"", ""en"")"),"Nice and comfortable. Very pretty. After six months the belt is perfect. The display any scratches, common thing these Casio with plastic and mineral glass but just not noticed. It is small and light, at the beginning it seemed very small because he used "&amp;"a sports watch, but now ""normal"" look. Very comfortable on the wrist.")</f>
        <v>Nice and comfortable. Very pretty. After six months the belt is perfect. The display any scratches, common thing these Casio with plastic and mineral glass but just not noticed. It is small and light, at the beginning it seemed very small because he used a sports watch, but now "normal" look. Very comfortable on the wrist.</v>
      </c>
    </row>
    <row r="7083">
      <c r="A7083" s="1">
        <v>5.0</v>
      </c>
      <c r="B7083" s="1" t="s">
        <v>7033</v>
      </c>
      <c r="C7083" t="str">
        <f>IFERROR(__xludf.DUMMYFUNCTION("GOOGLETRANSLATE(B7083, ""es"", ""en"")"),"Good money come two bottles of the same size in green / aqua color with nipple 3 types of flow. My son is 6 months and only use it for milk mixed with a little gruel, the minimum flow is fairly quick and milk for just goes too fast ... yes ... every baby "&amp;"is different.")</f>
        <v>Good money come two bottles of the same size in green / aqua color with nipple 3 types of flow. My son is 6 months and only use it for milk mixed with a little gruel, the minimum flow is fairly quick and milk for just goes too fast ... yes ... every baby is different.</v>
      </c>
    </row>
    <row r="7084">
      <c r="A7084" s="1">
        <v>5.0</v>
      </c>
      <c r="B7084" s="1" t="s">
        <v>7034</v>
      </c>
      <c r="C7084" t="str">
        <f>IFERROR(__xludf.DUMMYFUNCTION("GOOGLETRANSLATE(B7084, ""es"", ""en"")"),"Better than the original seems incredible that a € 500 clock comes with a strap that will not last even a year. That's what happened to me, that I cracked the original belt. This strap is exactly like the original, all you need a screwdriver, ""Thor"" to "&amp;"remove it, but it took almost 2 years with her and this as the first day, much better than the original.")</f>
        <v>Better than the original seems incredible that a € 500 clock comes with a strap that will not last even a year. That's what happened to me, that I cracked the original belt. This strap is exactly like the original, all you need a screwdriver, "Thor" to remove it, but it took almost 2 years with her and this as the first day, much better than the original.</v>
      </c>
    </row>
    <row r="7085">
      <c r="A7085" s="1">
        <v>5.0</v>
      </c>
      <c r="B7085" s="1" t="s">
        <v>7035</v>
      </c>
      <c r="C7085" t="str">
        <f>IFERROR(__xludf.DUMMYFUNCTION("GOOGLETRANSLATE(B7085, ""es"", ""en"")"),"angela I love the design of the two vessels, saving step of pouring a glass juice smoothie as can be mounted directly on it. It is small but serves its function well.")</f>
        <v>angela I love the design of the two vessels, saving step of pouring a glass juice smoothie as can be mounted directly on it. It is small but serves its function well.</v>
      </c>
    </row>
    <row r="7086">
      <c r="A7086" s="1">
        <v>5.0</v>
      </c>
      <c r="B7086" s="1" t="s">
        <v>7036</v>
      </c>
      <c r="C7086" t="str">
        <f>IFERROR(__xludf.DUMMYFUNCTION("GOOGLETRANSLATE(B7086, ""es"", ""en"")"),"Fulfills its function. For the price I think a good buy because it does the job. If jealousy is very large and has many meters can not fit.")</f>
        <v>Fulfills its function. For the price I think a good buy because it does the job. If jealousy is very large and has many meters can not fit.</v>
      </c>
    </row>
    <row r="7087">
      <c r="A7087" s="1">
        <v>5.0</v>
      </c>
      <c r="B7087" s="1" t="s">
        <v>7037</v>
      </c>
      <c r="C7087" t="str">
        <f>IFERROR(__xludf.DUMMYFUNCTION("GOOGLETRANSLATE(B7087, ""es"", ""en"")"),"Better than it looks very pretty")</f>
        <v>Better than it looks very pretty</v>
      </c>
    </row>
    <row r="7088">
      <c r="A7088" s="1">
        <v>5.0</v>
      </c>
      <c r="B7088" s="1" t="s">
        <v>7038</v>
      </c>
      <c r="C7088" t="str">
        <f>IFERROR(__xludf.DUMMYFUNCTION("GOOGLETRANSLATE(B7088, ""es"", ""en"")"),"Good choice and fast shipping This product works perfectly. It is easy to use and takes up little space. Great for sterilizing manicure tools ... scissors, pliers, pushers, ...")</f>
        <v>Good choice and fast shipping This product works perfectly. It is easy to use and takes up little space. Great for sterilizing manicure tools ... scissors, pliers, pushers, ...</v>
      </c>
    </row>
    <row r="7089">
      <c r="A7089" s="1">
        <v>5.0</v>
      </c>
      <c r="B7089" s="1" t="s">
        <v>7039</v>
      </c>
      <c r="C7089" t="str">
        <f>IFERROR(__xludf.DUMMYFUNCTION("GOOGLETRANSLATE(B7089, ""es"", ""en"")"),"Well overall design")</f>
        <v>Well overall design</v>
      </c>
    </row>
    <row r="7090">
      <c r="A7090" s="1">
        <v>5.0</v>
      </c>
      <c r="B7090" s="1" t="s">
        <v>7040</v>
      </c>
      <c r="C7090" t="str">
        <f>IFERROR(__xludf.DUMMYFUNCTION("GOOGLETRANSLATE(B7090, ""es"", ""en"")"),"Very good I buy this watch because I decided to have always drawn attention to the G-Shock, me seeing the price I had and opinions opted for cogérmelo. The design is very nice, large and robust (as I like watches), watch the finish is matte and my good te"&amp;"xture. What perhaps is a little worse, it is the lighting of the clock. Would have put a more powerful light, still it looks good. If digital is not dazzles in the hands of analog and see the equally time. For my part, a purchase great and fully recommend"&amp;"ed.")</f>
        <v>Very good I buy this watch because I decided to have always drawn attention to the G-Shock, me seeing the price I had and opinions opted for cogérmelo. The design is very nice, large and robust (as I like watches), watch the finish is matte and my good texture. What perhaps is a little worse, it is the lighting of the clock. Would have put a more powerful light, still it looks good. If digital is not dazzles in the hands of analog and see the equally time. For my part, a purchase great and fully recommended.</v>
      </c>
    </row>
    <row r="7091">
      <c r="A7091" s="1">
        <v>5.0</v>
      </c>
      <c r="B7091" s="1" t="s">
        <v>7041</v>
      </c>
      <c r="C7091" t="str">
        <f>IFERROR(__xludf.DUMMYFUNCTION("GOOGLETRANSLATE(B7091, ""es"", ""en"")"),"Nice and economical. I bought it for my wife, but puts unisex I would rather see ladies, but that is in taste of each. Nice clock with a simple adjustment strap, lift the clip and adjust to your needs.")</f>
        <v>Nice and economical. I bought it for my wife, but puts unisex I would rather see ladies, but that is in taste of each. Nice clock with a simple adjustment strap, lift the clip and adjust to your needs.</v>
      </c>
    </row>
    <row r="7092">
      <c r="A7092" s="1">
        <v>2.0</v>
      </c>
      <c r="B7092" s="1" t="s">
        <v>7042</v>
      </c>
      <c r="C7092" t="str">
        <f>IFERROR(__xludf.DUMMYFUNCTION("GOOGLETRANSLATE(B7092, ""es"", ""en"")"),"The very small size L size L is not even a 42. I can put as the leggings. I do not know what will happen when you wash it!")</f>
        <v>The very small size L size L is not even a 42. I can put as the leggings. I do not know what will happen when you wash it!</v>
      </c>
    </row>
    <row r="7093">
      <c r="A7093" s="1">
        <v>3.0</v>
      </c>
      <c r="B7093" s="1" t="s">
        <v>7043</v>
      </c>
      <c r="C7093" t="str">
        <f>IFERROR(__xludf.DUMMYFUNCTION("GOOGLETRANSLATE(B7093, ""es"", ""en"")"),"Pretty good watch works very well and is very intuitive to program. Downside the instructions in English and coming peeled in a bag and if you want to give away have to buy a separate box.")</f>
        <v>Pretty good watch works very well and is very intuitive to program. Downside the instructions in English and coming peeled in a bag and if you want to give away have to buy a separate box.</v>
      </c>
    </row>
    <row r="7094">
      <c r="A7094" s="1">
        <v>3.0</v>
      </c>
      <c r="B7094" s="1" t="s">
        <v>7044</v>
      </c>
      <c r="C7094" t="str">
        <f>IFERROR(__xludf.DUMMYFUNCTION("GOOGLETRANSLATE(B7094, ""es"", ""en"")"),"Very interesting, but they broke fast, fabric is very delicate")</f>
        <v>Very interesting, but they broke fast, fabric is very delicate</v>
      </c>
    </row>
    <row r="7095">
      <c r="A7095" s="1">
        <v>1.0</v>
      </c>
      <c r="B7095" s="1" t="s">
        <v>7045</v>
      </c>
      <c r="C7095" t="str">
        <f>IFERROR(__xludf.DUMMYFUNCTION("GOOGLETRANSLATE(B7095, ""es"", ""en"")"),"recognized brand but poor quality After 3 months of sporadic use going to beat a dough for sponge cake, it is true that quite thick, the mixer overheated and stopped working. Expected much more from such a recognized brand. Totally disappointed with the p"&amp;"urchase. I will not be buying anything from this brand.")</f>
        <v>recognized brand but poor quality After 3 months of sporadic use going to beat a dough for sponge cake, it is true that quite thick, the mixer overheated and stopped working. Expected much more from such a recognized brand. Totally disappointed with the purchase. I will not be buying anything from this brand.</v>
      </c>
    </row>
    <row r="7096">
      <c r="A7096" s="1">
        <v>1.0</v>
      </c>
      <c r="B7096" s="1" t="s">
        <v>7046</v>
      </c>
      <c r="C7096" t="str">
        <f>IFERROR(__xludf.DUMMYFUNCTION("GOOGLETRANSLATE(B7096, ""es"", ""en"")"),"Poor Very Poor, fails a lot and does not recognize any devices, sometimes it goes and sometimes stops working. I do not recommend it")</f>
        <v>Poor Very Poor, fails a lot and does not recognize any devices, sometimes it goes and sometimes stops working. I do not recommend it</v>
      </c>
    </row>
    <row r="7097">
      <c r="A7097" s="1">
        <v>1.0</v>
      </c>
      <c r="B7097" s="1" t="s">
        <v>7047</v>
      </c>
      <c r="C7097" t="str">
        <f>IFERROR(__xludf.DUMMYFUNCTION("GOOGLETRANSLATE(B7097, ""es"", ""en"")"),"Cheerful Malasima chose this product quality, brand and warranty. But it turned out the opposite to expectations, from day one to the put into operation he dislodged a burning smell without having gone 20 seconds fact carrying off the machine uncrushed fo"&amp;"od thoroughly. very bad warranty as Amazon does not keep you the same price to change and try something just for the same price, but makes you return and to buy it for a price superior.¡DECEPCIÓN ABSOLUTE!")</f>
        <v>Cheerful Malasima chose this product quality, brand and warranty. But it turned out the opposite to expectations, from day one to the put into operation he dislodged a burning smell without having gone 20 seconds fact carrying off the machine uncrushed food thoroughly. very bad warranty as Amazon does not keep you the same price to change and try something just for the same price, but makes you return and to buy it for a price superior.¡DECEPCIÓN ABSOLUTE!</v>
      </c>
    </row>
    <row r="7098">
      <c r="A7098" s="1">
        <v>4.0</v>
      </c>
      <c r="B7098" s="1" t="s">
        <v>7048</v>
      </c>
      <c r="C7098" t="str">
        <f>IFERROR(__xludf.DUMMYFUNCTION("GOOGLETRANSLATE(B7098, ""es"", ""en"")"),"Is skin is fine and good quality. You just have to consider that is a orm a little closer but in two days is fine.")</f>
        <v>Is skin is fine and good quality. You just have to consider that is a orm a little closer but in two days is fine.</v>
      </c>
    </row>
    <row r="7099">
      <c r="A7099" s="1">
        <v>4.0</v>
      </c>
      <c r="B7099" s="1" t="s">
        <v>7049</v>
      </c>
      <c r="C7099" t="str">
        <f>IFERROR(__xludf.DUMMYFUNCTION("GOOGLETRANSLATE(B7099, ""es"", ""en"")"),"Well Perfect is what I was looking, it remains to check the belt life but perfectly Day endures today")</f>
        <v>Well Perfect is what I was looking, it remains to check the belt life but perfectly Day endures today</v>
      </c>
    </row>
    <row r="7100">
      <c r="A7100" s="1">
        <v>4.0</v>
      </c>
      <c r="B7100" s="1" t="s">
        <v>7050</v>
      </c>
      <c r="C7100" t="str">
        <f>IFERROR(__xludf.DUMMYFUNCTION("GOOGLETRANSLATE(B7100, ""es"", ""en"")"),"Good buy for the price For the price very good buy. The chain is separated from the clock and must assemble yourself (not very practical assembly)")</f>
        <v>Good buy for the price For the price very good buy. The chain is separated from the clock and must assemble yourself (not very practical assembly)</v>
      </c>
    </row>
    <row r="7101">
      <c r="A7101" s="1">
        <v>4.0</v>
      </c>
      <c r="B7101" s="1" t="s">
        <v>7051</v>
      </c>
      <c r="C7101" t="str">
        <f>IFERROR(__xludf.DUMMYFUNCTION("GOOGLETRANSLATE(B7101, ""es"", ""en"")"),"Quickly Okay, I change the first time I came by broken, the second came on a folded corner, but rather in terms of price quality")</f>
        <v>Quickly Okay, I change the first time I came by broken, the second came on a folded corner, but rather in terms of price quality</v>
      </c>
    </row>
    <row r="7102">
      <c r="A7102" s="1">
        <v>5.0</v>
      </c>
      <c r="B7102" s="1" t="s">
        <v>7052</v>
      </c>
      <c r="C7102" t="str">
        <f>IFERROR(__xludf.DUMMYFUNCTION("GOOGLETRANSLATE(B7102, ""es"", ""en"")"),"Value for money very good time and I've been wearing them bastabte are perfect, they are very comfortable and the sound is fine. I have always bought Sony headphones and has always been good buy. I recommend it")</f>
        <v>Value for money very good time and I've been wearing them bastabte are perfect, they are very comfortable and the sound is fine. I have always bought Sony headphones and has always been good buy. I recommend it</v>
      </c>
    </row>
    <row r="7103">
      <c r="A7103" s="1">
        <v>5.0</v>
      </c>
      <c r="B7103" s="1" t="s">
        <v>7053</v>
      </c>
      <c r="C7103" t="str">
        <f>IFERROR(__xludf.DUMMYFUNCTION("GOOGLETRANSLATE(B7103, ""es"", ""en"")"),"Excellent for a gift Very nice")</f>
        <v>Excellent for a gift Very nice</v>
      </c>
    </row>
    <row r="7104">
      <c r="A7104" s="1">
        <v>5.0</v>
      </c>
      <c r="B7104" s="1" t="s">
        <v>7054</v>
      </c>
      <c r="C7104" t="str">
        <f>IFERROR(__xludf.DUMMYFUNCTION("GOOGLETRANSLATE(B7104, ""es"", ""en"")"),"Good buy good measure and good quality")</f>
        <v>Good buy good measure and good quality</v>
      </c>
    </row>
    <row r="7105">
      <c r="A7105" s="1">
        <v>5.0</v>
      </c>
      <c r="B7105" s="1" t="s">
        <v>7055</v>
      </c>
      <c r="C7105" t="str">
        <f>IFERROR(__xludf.DUMMYFUNCTION("GOOGLETRANSLATE(B7105, ""es"", ""en"")"),"WATCH THE CLOCK IS PRETTY AS IS SHOWN, THE MATERIAL IS NICE TO THE TOUCH AND DESPITE TOUGH NOT GOOD SIZE STEEL AND SOMETIMES YOU HAVE THE FIELD FOR MAN IS JUST SOME BUT NOT THE CASE")</f>
        <v>WATCH THE CLOCK IS PRETTY AS IS SHOWN, THE MATERIAL IS NICE TO THE TOUCH AND DESPITE TOUGH NOT GOOD SIZE STEEL AND SOMETIMES YOU HAVE THE FIELD FOR MAN IS JUST SOME BUT NOT THE CASE</v>
      </c>
    </row>
    <row r="7106">
      <c r="A7106" s="1">
        <v>5.0</v>
      </c>
      <c r="B7106" s="1" t="s">
        <v>7056</v>
      </c>
      <c r="C7106" t="str">
        <f>IFERROR(__xludf.DUMMYFUNCTION("GOOGLETRANSLATE(B7106, ""es"", ""en"")"),"Small but great bully, is small but hard you enough if you fill it to the top, I lasted me 3-4h to the top, good diffusion of the aroma, with put a while you smelled the room, (it is also very important type aroma you buy, as it is a full it does not smel"&amp;"l or joke) very good quality and really cool so that light go changing")</f>
        <v>Small but great bully, is small but hard you enough if you fill it to the top, I lasted me 3-4h to the top, good diffusion of the aroma, with put a while you smelled the room, (it is also very important type aroma you buy, as it is a full it does not smell or joke) very good quality and really cool so that light go changing</v>
      </c>
    </row>
    <row r="7107">
      <c r="A7107" s="1">
        <v>5.0</v>
      </c>
      <c r="B7107" s="1" t="s">
        <v>7057</v>
      </c>
      <c r="C7107" t="str">
        <f>IFERROR(__xludf.DUMMYFUNCTION("GOOGLETRANSLATE(B7107, ""es"", ""en"")"),"definitely my favorite !! this mask is the most !! It is exfoliating and since I use it, I notice that I have a lot less black spots and visible pores on my skin !! great also wear it smells and it's a pleasure !! exfoliating texture and smell love me !! "&amp;"Super recommended!")</f>
        <v>definitely my favorite !! this mask is the most !! It is exfoliating and since I use it, I notice that I have a lot less black spots and visible pores on my skin !! great also wear it smells and it's a pleasure !! exfoliating texture and smell love me !! Super recommended!</v>
      </c>
    </row>
    <row r="7108">
      <c r="A7108" s="1">
        <v>5.0</v>
      </c>
      <c r="B7108" s="1" t="s">
        <v>7058</v>
      </c>
      <c r="C7108" t="str">
        <f>IFERROR(__xludf.DUMMYFUNCTION("GOOGLETRANSLATE(B7108, ""es"", ""en"")"),"Fruit fruit blender blender or Cacaolat quite powerful and easy to transport as shake because it comes with two glasses coon screw cap and cooler apañado very well, very happy with the blenders hope to last quite")</f>
        <v>Fruit fruit blender blender or Cacaolat quite powerful and easy to transport as shake because it comes with two glasses coon screw cap and cooler apañado very well, very happy with the blenders hope to last quite</v>
      </c>
    </row>
    <row r="7109">
      <c r="A7109" s="1">
        <v>5.0</v>
      </c>
      <c r="B7109" s="1" t="s">
        <v>7059</v>
      </c>
      <c r="C7109" t="str">
        <f>IFERROR(__xludf.DUMMYFUNCTION("GOOGLETRANSLATE(B7109, ""es"", ""en"")"),"Good product. Complies with offered. Item arrived at the agreed time and without any problems.")</f>
        <v>Good product. Complies with offered. Item arrived at the agreed time and without any problems.</v>
      </c>
    </row>
    <row r="7110">
      <c r="A7110" s="1">
        <v>5.0</v>
      </c>
      <c r="B7110" s="1" t="s">
        <v>7060</v>
      </c>
      <c r="C7110" t="str">
        <f>IFERROR(__xludf.DUMMYFUNCTION("GOOGLETRANSLATE(B7110, ""es"", ""en"")"),"Perfect shoe good quality and nice design")</f>
        <v>Perfect shoe good quality and nice design</v>
      </c>
    </row>
    <row r="7111">
      <c r="A7111" s="1">
        <v>5.0</v>
      </c>
      <c r="B7111" s="1" t="s">
        <v>7061</v>
      </c>
      <c r="C7111" t="str">
        <f>IFERROR(__xludf.DUMMYFUNCTION("GOOGLETRANSLATE(B7111, ""es"", ""en"")"),"Very comfortable, nice and flattering. SIZING CORRECT. I've loved these tights super sport for women. I will detail the aspects that I find most important about this product: - The design is very nice. I love the details of how the waist, along with the b"&amp;"rand logo (like a snowflake) on the back of it, and perpendicular stripes thick in white and purple along each leg . - There are very flattering on. They adapt perfectly to the figure, as they are very elastic. - The sizing seems correct. I usually use a "&amp;"size 38 and I'm petite (about 1.55 cm). This size L corresponding to a 42 goes me quite large. A S, equivalent to 38, had gone well. I'll still use a lot, because I find very comfortable. I have to explain that had previously acquired two meshes of the sa"&amp;"me mark in size S (one 38). A model was similar to this (long leg model) and I were great. Instead the others that were shorter (like pirates) would not fit. They were like one or two sizes smaller. So was a little scatterbrained with size. My experience "&amp;"start to think that they are long have the correct size. - Are high waist (collect around the belly) and are very comfortable to exercise. - The material which is composed 83% and 17% polyester elastane. I love the feel they have, do not give me warm whil"&amp;"e I exercise and I may transpire properly. - They can be machine washed at most 30 °, getting into the dryer and ironed. - I appreciate that the label is made into a kind of very soft fabric, like loop. I do not itchy or annoying at all. They are great. I"&amp;"'m going to put a lot, both for sport and to be at home. I hope my review this product has been helpful to you.")</f>
        <v>Very comfortable, nice and flattering. SIZING CORRECT. I've loved these tights super sport for women. I will detail the aspects that I find most important about this product: - The design is very nice. I love the details of how the waist, along with the brand logo (like a snowflake) on the back of it, and perpendicular stripes thick in white and purple along each leg . - There are very flattering on. They adapt perfectly to the figure, as they are very elastic. - The sizing seems correct. I usually use a size 38 and I'm petite (about 1.55 cm). This size L corresponding to a 42 goes me quite large. A S, equivalent to 38, had gone well. I'll still use a lot, because I find very comfortable. I have to explain that had previously acquired two meshes of the same mark in size S (one 38). A model was similar to this (long leg model) and I were great. Instead the others that were shorter (like pirates) would not fit. They were like one or two sizes smaller. So was a little scatterbrained with size. My experience start to think that they are long have the correct size. - Are high waist (collect around the belly) and are very comfortable to exercise. - The material which is composed 83% and 17% polyester elastane. I love the feel they have, do not give me warm while I exercise and I may transpire properly. - They can be machine washed at most 30 °, getting into the dryer and ironed. - I appreciate that the label is made into a kind of very soft fabric, like loop. I do not itchy or annoying at all. They are great. I'm going to put a lot, both for sport and to be at home. I hope my review this product has been helpful to you.</v>
      </c>
    </row>
    <row r="7112">
      <c r="A7112" s="1">
        <v>5.0</v>
      </c>
      <c r="B7112" s="1" t="s">
        <v>7062</v>
      </c>
      <c r="C7112" t="str">
        <f>IFERROR(__xludf.DUMMYFUNCTION("GOOGLETRANSLATE(B7112, ""es"", ""en"")"),"Very good shoes very good buy, perfect size and color decñas shoes more beautiful than the pictures")</f>
        <v>Very good shoes very good buy, perfect size and color decñas shoes more beautiful than the pictures</v>
      </c>
    </row>
    <row r="7113">
      <c r="A7113" s="1">
        <v>5.0</v>
      </c>
      <c r="B7113" s="1" t="s">
        <v>7063</v>
      </c>
      <c r="C7113" t="str">
        <f>IFERROR(__xludf.DUMMYFUNCTION("GOOGLETRANSLATE(B7113, ""es"", ""en"")"),"Such perfect as described")</f>
        <v>Such perfect as described</v>
      </c>
    </row>
    <row r="7114">
      <c r="A7114" s="1">
        <v>5.0</v>
      </c>
      <c r="B7114" s="1" t="s">
        <v>7064</v>
      </c>
      <c r="C7114" t="str">
        <f>IFERROR(__xludf.DUMMYFUNCTION("GOOGLETRANSLATE(B7114, ""es"", ""en"")"),"Casio practical as all was a gift for my husband loves the Casio brand, has always used but the black of a lifetime and will always spoiled with this belt and no.")</f>
        <v>Casio practical as all was a gift for my husband loves the Casio brand, has always used but the black of a lifetime and will always spoiled with this belt and no.</v>
      </c>
    </row>
    <row r="7115">
      <c r="A7115" s="1">
        <v>5.0</v>
      </c>
      <c r="B7115" s="1" t="s">
        <v>7065</v>
      </c>
      <c r="C7115" t="str">
        <f>IFERROR(__xludf.DUMMYFUNCTION("GOOGLETRANSLATE(B7115, ""es"", ""en"")"),"Good product I find a good product for the price it now depends to want it. Gravel charged the maximum 6-8 hours of what you want, is easy to use since it has only turned on and off, for download as you connect a USB to the computer, 8Gb memory has respon"&amp;"ded to this review interna.Si you from utility, do not forget to leave me a vote.")</f>
        <v>Good product I find a good product for the price it now depends to want it. Gravel charged the maximum 6-8 hours of what you want, is easy to use since it has only turned on and off, for download as you connect a USB to the computer, 8Gb memory has responded to this review interna.Si you from utility, do not forget to leave me a vote.</v>
      </c>
    </row>
    <row r="7116">
      <c r="A7116" s="1">
        <v>5.0</v>
      </c>
      <c r="B7116" s="1" t="s">
        <v>7066</v>
      </c>
      <c r="C7116" t="str">
        <f>IFERROR(__xludf.DUMMYFUNCTION("GOOGLETRANSLATE(B7116, ""es"", ""en"")"),"Q is as it looks is great, perfect size and super soft touch, we loved 😍")</f>
        <v>Q is as it looks is great, perfect size and super soft touch, we loved 😍</v>
      </c>
    </row>
    <row r="7117">
      <c r="A7117" s="1">
        <v>5.0</v>
      </c>
      <c r="B7117" s="1" t="s">
        <v>7067</v>
      </c>
      <c r="C7117" t="str">
        <f>IFERROR(__xludf.DUMMYFUNCTION("GOOGLETRANSLATE(B7117, ""es"", ""en"")"),"Good quality is advertised")</f>
        <v>Good quality is advertised</v>
      </c>
    </row>
    <row r="7118">
      <c r="A7118" s="1">
        <v>5.0</v>
      </c>
      <c r="B7118" s="1" t="s">
        <v>7068</v>
      </c>
      <c r="C7118" t="str">
        <f>IFERROR(__xludf.DUMMYFUNCTION("GOOGLETRANSLATE(B7118, ""es"", ""en"")"),"Good money right size for my number 37, I would not go well for someone with a higher number of 39 ... good value for money. They are comfortable and do not slip.")</f>
        <v>Good money right size for my number 37, I would not go well for someone with a higher number of 39 ... good value for money. They are comfortable and do not slip.</v>
      </c>
    </row>
    <row r="7119">
      <c r="A7119" s="1">
        <v>5.0</v>
      </c>
      <c r="B7119" s="1" t="s">
        <v>7069</v>
      </c>
      <c r="C7119" t="str">
        <f>IFERROR(__xludf.DUMMYFUNCTION("GOOGLETRANSLATE(B7119, ""es"", ""en"")"),"Great plastic used the same brand, but the read traveler plastic heat things and how damaging it can be to health decided to buy these and I'm delighted. Although they weigh a little more. I thought they would be fragile and not at all have fallen once or"&amp;" twice and have not been broken, neither streaking the wash them with loofah. Great, very good buy.")</f>
        <v>Great plastic used the same brand, but the read traveler plastic heat things and how damaging it can be to health decided to buy these and I'm delighted. Although they weigh a little more. I thought they would be fragile and not at all have fallen once or twice and have not been broken, neither streaking the wash them with loofah. Great, very good buy.</v>
      </c>
    </row>
    <row r="7120">
      <c r="A7120" s="1">
        <v>5.0</v>
      </c>
      <c r="B7120" s="1" t="s">
        <v>7070</v>
      </c>
      <c r="C7120" t="str">
        <f>IFERROR(__xludf.DUMMYFUNCTION("GOOGLETRANSLATE(B7120, ""es"", ""en"")"),"Excellent recommended")</f>
        <v>Excellent recommended</v>
      </c>
    </row>
    <row r="7121">
      <c r="A7121" s="1">
        <v>2.0</v>
      </c>
      <c r="B7121" s="1" t="s">
        <v>7071</v>
      </c>
      <c r="C7121" t="str">
        <f>IFERROR(__xludf.DUMMYFUNCTION("GOOGLETRANSLATE(B7121, ""es"", ""en"")"),"USB low quality. Amazon management fast and perfect. After 6 months of very little use, about 10 times, the USB is removed has, has released the metal cover of the USB A. But Amazon has quickly managed my money back.")</f>
        <v>USB low quality. Amazon management fast and perfect. After 6 months of very little use, about 10 times, the USB is removed has, has released the metal cover of the USB A. But Amazon has quickly managed my money back.</v>
      </c>
    </row>
    <row r="7122">
      <c r="A7122" s="1">
        <v>3.0</v>
      </c>
      <c r="B7122" s="1" t="s">
        <v>7072</v>
      </c>
      <c r="C7122" t="str">
        <f>IFERROR(__xludf.DUMMYFUNCTION("GOOGLETRANSLATE(B7122, ""es"", ""en"")"),"Okay beautiful aesthetic, but the skin or it seems, is somewhat stiff .... would not use it for sports.")</f>
        <v>Okay beautiful aesthetic, but the skin or it seems, is somewhat stiff .... would not use it for sports.</v>
      </c>
    </row>
    <row r="7123">
      <c r="A7123" s="1">
        <v>3.0</v>
      </c>
      <c r="B7123" s="1" t="s">
        <v>7073</v>
      </c>
      <c r="C7123" t="str">
        <f>IFERROR(__xludf.DUMMYFUNCTION("GOOGLETRANSLATE(B7123, ""es"", ""en"")"),"Good quality improvable I liked the design and the outside touch. Its capacity is good. While inside the compartments separated by synthetic fabric can descoserse. It should be leather or resistant")</f>
        <v>Good quality improvable I liked the design and the outside touch. Its capacity is good. While inside the compartments separated by synthetic fabric can descoserse. It should be leather or resistant</v>
      </c>
    </row>
    <row r="7124">
      <c r="A7124" s="1">
        <v>1.0</v>
      </c>
      <c r="B7124" s="1" t="s">
        <v>7074</v>
      </c>
      <c r="C7124" t="str">
        <f>IFERROR(__xludf.DUMMYFUNCTION("GOOGLETRANSLATE(B7124, ""es"", ""en"")"),"bad, very bad, Chinese copy does not match the photo, is a Chinese copy, not put MagicGate, it seems to work but in my ps2 slim does not work because it is very modern firmware by what I saw on the internet (not indicated in the ad, see the thinking that "&amp;"goes for any model), I'll stay for the test that my brother but very disappointed.")</f>
        <v>bad, very bad, Chinese copy does not match the photo, is a Chinese copy, not put MagicGate, it seems to work but in my ps2 slim does not work because it is very modern firmware by what I saw on the internet (not indicated in the ad, see the thinking that goes for any model), I'll stay for the test that my brother but very disappointed.</v>
      </c>
    </row>
    <row r="7125">
      <c r="A7125" s="1">
        <v>1.0</v>
      </c>
      <c r="B7125" s="1" t="s">
        <v>7075</v>
      </c>
      <c r="C7125" t="str">
        <f>IFERROR(__xludf.DUMMYFUNCTION("GOOGLETRANSLATE(B7125, ""es"", ""en"")"),"Not bad experience after one month of purchase and has already broken.")</f>
        <v>Not bad experience after one month of purchase and has already broken.</v>
      </c>
    </row>
    <row r="7126">
      <c r="A7126" s="1">
        <v>4.0</v>
      </c>
      <c r="B7126" s="1" t="s">
        <v>7076</v>
      </c>
      <c r="C7126" t="str">
        <f>IFERROR(__xludf.DUMMYFUNCTION("GOOGLETRANSLATE(B7126, ""es"", ""en"")"),"Instep narrow. All right but the tape is narrow instep. Morcillones about it a little. Everything has been very correct, size and color.")</f>
        <v>Instep narrow. All right but the tape is narrow instep. Morcillones about it a little. Everything has been very correct, size and color.</v>
      </c>
    </row>
    <row r="7127">
      <c r="A7127" s="1">
        <v>4.0</v>
      </c>
      <c r="B7127" s="1" t="s">
        <v>7077</v>
      </c>
      <c r="C7127" t="str">
        <f>IFERROR(__xludf.DUMMYFUNCTION("GOOGLETRANSLATE(B7127, ""es"", ""en"")"),"Useful good size and adhere well.")</f>
        <v>Useful good size and adhere well.</v>
      </c>
    </row>
    <row r="7128">
      <c r="A7128" s="1">
        <v>4.0</v>
      </c>
      <c r="B7128" s="1" t="s">
        <v>7078</v>
      </c>
      <c r="C7128" t="str">
        <f>IFERROR(__xludf.DUMMYFUNCTION("GOOGLETRANSLATE(B7128, ""es"", ""en"")"),"Does the job that meets my goal is to collect leaves pool.")</f>
        <v>Does the job that meets my goal is to collect leaves pool.</v>
      </c>
    </row>
    <row r="7129">
      <c r="A7129" s="1">
        <v>4.0</v>
      </c>
      <c r="B7129" s="1" t="s">
        <v>7079</v>
      </c>
      <c r="C7129" t="str">
        <f>IFERROR(__xludf.DUMMYFUNCTION("GOOGLETRANSLATE(B7129, ""es"", ""en"")"),"Masajeador was slow to arrive, overall okay but do not give all the stars it is because there q q take into account weighs ""pretty"" and if a person is to take into account.")</f>
        <v>Masajeador was slow to arrive, overall okay but do not give all the stars it is because there q q take into account weighs "pretty" and if a person is to take into account.</v>
      </c>
    </row>
    <row r="7130">
      <c r="A7130" s="1">
        <v>4.0</v>
      </c>
      <c r="B7130" s="1" t="s">
        <v>7080</v>
      </c>
      <c r="C7130" t="str">
        <f>IFERROR(__xludf.DUMMYFUNCTION("GOOGLETRANSLATE(B7130, ""es"", ""en"")"),"Just what I expected A classic ... taking advantage of an offer lightweight, comfortable and very readable put a but: belt (being nice to the touch), to change the armis have to invest as much as on the clock")</f>
        <v>Just what I expected A classic ... taking advantage of an offer lightweight, comfortable and very readable put a but: belt (being nice to the touch), to change the armis have to invest as much as on the clock</v>
      </c>
    </row>
    <row r="7131">
      <c r="A7131" s="1">
        <v>5.0</v>
      </c>
      <c r="B7131" s="1" t="s">
        <v>7081</v>
      </c>
      <c r="C7131" t="str">
        <f>IFERROR(__xludf.DUMMYFUNCTION("GOOGLETRANSLATE(B7131, ""es"", ""en"")"),"I would say excellent clock is a clock everyday, nice and accurate. 100% successful in purchasing,")</f>
        <v>I would say excellent clock is a clock everyday, nice and accurate. 100% successful in purchasing,</v>
      </c>
    </row>
    <row r="7132">
      <c r="A7132" s="1">
        <v>5.0</v>
      </c>
      <c r="B7132" s="1" t="s">
        <v>7082</v>
      </c>
      <c r="C7132" t="str">
        <f>IFERROR(__xludf.DUMMYFUNCTION("GOOGLETRANSLATE(B7132, ""es"", ""en"")"),"Easy to use, comfortable in the ear, have volume setting. The family asked for because I have other models that have also worked well for me. This has several advantages over the others. You can adjust the volume from the headphones, which in other models"&amp;" is not possible. Has button is not touch, which prevents accidental pressing. Light right out of the box, it is also an advantage. Its configuration is the simplest, once outside, pagers with your phone, you link them and are ready to sound. They have ve"&amp;"ry good sound quality and are comfortable in the ear hole even if they have no gum as other models. Do not fall off when you walk, run did not try. Regarding the battery. hard enough and as loaded when they are in their box, note ran out of battery so eas"&amp;"ily. Another advantage is leading micro USB instead of USB Type C, being easier to find where to load when you're out and you do not have cable. Button operations depend on whether you press the left or right button and the number of pulses that you give "&amp;"to each button, for example 3 up or down according to volume pulses that you give and 2 pulses next or previous song. The box size is not very large, which allows it can be carried in a purse, fanny pack, shoulder, etc without any problems. Even in wide t"&amp;"rousers with pockets. It also alerts you when a call is incoming and you can have the conversation through them without any problem. thus facilitating the hassle of having you to remove the headphones, disconnect bluetooth and to answer the call. In short"&amp;", my family is happy with them. And with simple explanations on my part the only known use without constantly asking how it is done or give me this.")</f>
        <v>Easy to use, comfortable in the ear, have volume setting. The family asked for because I have other models that have also worked well for me. This has several advantages over the others. You can adjust the volume from the headphones, which in other models is not possible. Has button is not touch, which prevents accidental pressing. Light right out of the box, it is also an advantage. Its configuration is the simplest, once outside, pagers with your phone, you link them and are ready to sound. They have very good sound quality and are comfortable in the ear hole even if they have no gum as other models. Do not fall off when you walk, run did not try. Regarding the battery. hard enough and as loaded when they are in their box, note ran out of battery so easily. Another advantage is leading micro USB instead of USB Type C, being easier to find where to load when you're out and you do not have cable. Button operations depend on whether you press the left or right button and the number of pulses that you give to each button, for example 3 up or down according to volume pulses that you give and 2 pulses next or previous song. The box size is not very large, which allows it can be carried in a purse, fanny pack, shoulder, etc without any problems. Even in wide trousers with pockets. It also alerts you when a call is incoming and you can have the conversation through them without any problem. thus facilitating the hassle of having you to remove the headphones, disconnect bluetooth and to answer the call. In short, my family is happy with them. And with simple explanations on my part the only known use without constantly asking how it is done or give me this.</v>
      </c>
    </row>
    <row r="7133">
      <c r="A7133" s="1">
        <v>5.0</v>
      </c>
      <c r="B7133" s="1" t="s">
        <v>7083</v>
      </c>
      <c r="C7133" t="str">
        <f>IFERROR(__xludf.DUMMYFUNCTION("GOOGLETRANSLATE(B7133, ""es"", ""en"")"),"Stapler good quality! It is a very good quality stapler that fulfills its purpose. The drive with no doubt. I recommend purchase!")</f>
        <v>Stapler good quality! It is a very good quality stapler that fulfills its purpose. The drive with no doubt. I recommend purchase!</v>
      </c>
    </row>
    <row r="7134">
      <c r="A7134" s="1">
        <v>5.0</v>
      </c>
      <c r="B7134" s="1" t="s">
        <v>7084</v>
      </c>
      <c r="C7134" t="str">
        <f>IFERROR(__xludf.DUMMYFUNCTION("GOOGLETRANSLATE(B7134, ""es"", ""en"")"),"Very nice watch!")</f>
        <v>Very nice watch!</v>
      </c>
    </row>
    <row r="7135">
      <c r="A7135" s="1">
        <v>5.0</v>
      </c>
      <c r="B7135" s="1" t="s">
        <v>7085</v>
      </c>
      <c r="C7135" t="str">
        <f>IFERROR(__xludf.DUMMYFUNCTION("GOOGLETRANSLATE(B7135, ""es"", ""en"")"),"Very useful to go to the gym is a very useful sports underpants to go to the outdoors or the gym. Very comfortable to wear and helps you get fast heat.")</f>
        <v>Very useful to go to the gym is a very useful sports underpants to go to the outdoors or the gym. Very comfortable to wear and helps you get fast heat.</v>
      </c>
    </row>
    <row r="7136">
      <c r="A7136" s="1">
        <v>5.0</v>
      </c>
      <c r="B7136" s="1" t="s">
        <v>7086</v>
      </c>
      <c r="C7136" t="str">
        <f>IFERROR(__xludf.DUMMYFUNCTION("GOOGLETRANSLATE(B7136, ""es"", ""en"")"),"Bonito &lt;div id = ""video-block-R1WBL78MZ3TQH1"" class = ""a-section a-spacing-small a-spacing-top mini video-block""&gt; &lt;/ div&gt; &lt;input type = ""hidden"" name = """" value = ""https://images-eu.ssl-images-amazon.com/images/I/A1BTNert54S.mp4"" class = ""video"&amp;"-url""&gt; &lt;input type = ""hidden"" name = """" value = ""https : //images-eu.ssl-images-amazon.com/images/I/91iuN4xHO3S.png ""class ="" video-slate-img-url ""&gt; &amp; nbsp; Come back slightly bent with how beautiful it was the box in coming and it is a shame tha"&amp;"t arrive so. Otherwise it is fine. Nice and as I wanted.")</f>
        <v>Bonito &lt;div id = "video-block-R1WBL78MZ3TQH1" class = "a-section a-spacing-small a-spacing-top mini video-block"&gt; &lt;/ div&gt; &lt;input type = "hidden" name = "" value = "https://images-eu.ssl-images-amazon.com/images/I/A1BTNert54S.mp4" class = "video-url"&gt; &lt;input type = "hidden" name = "" value = "https : //images-eu.ssl-images-amazon.com/images/I/91iuN4xHO3S.png "class =" video-slate-img-url "&gt; &amp; nbsp; Come back slightly bent with how beautiful it was the box in coming and it is a shame that arrive so. Otherwise it is fine. Nice and as I wanted.</v>
      </c>
    </row>
    <row r="7137">
      <c r="A7137" s="1">
        <v>5.0</v>
      </c>
      <c r="B7137" s="1" t="s">
        <v>7087</v>
      </c>
      <c r="C7137" t="str">
        <f>IFERROR(__xludf.DUMMYFUNCTION("GOOGLETRANSLATE(B7137, ""es"", ""en"")"),"Pretty nice folder folder for students, above buy another of the same brand for my son and hope lasted him two years that this just tough out.")</f>
        <v>Pretty nice folder folder for students, above buy another of the same brand for my son and hope lasted him two years that this just tough out.</v>
      </c>
    </row>
    <row r="7138">
      <c r="A7138" s="1">
        <v>5.0</v>
      </c>
      <c r="B7138" s="1" t="s">
        <v>7088</v>
      </c>
      <c r="C7138" t="str">
        <f>IFERROR(__xludf.DUMMYFUNCTION("GOOGLETRANSLATE(B7138, ""es"", ""en"")"),"Recommended is quite convenient and easy to use. Sound right to make any home video or school work. Do not ask him more.")</f>
        <v>Recommended is quite convenient and easy to use. Sound right to make any home video or school work. Do not ask him more.</v>
      </c>
    </row>
    <row r="7139">
      <c r="A7139" s="1">
        <v>5.0</v>
      </c>
      <c r="B7139" s="1" t="s">
        <v>7089</v>
      </c>
      <c r="C7139" t="str">
        <f>IFERROR(__xludf.DUMMYFUNCTION("GOOGLETRANSLATE(B7139, ""es"", ""en"")"),"Good Buy The buy to give them to my sister, I found them simple and elegant. The carbujón size is the q I like for gems. My sister have loved. They are the same as in the photo. They are of good quality. They come in a box with a silver cleaning cloth.")</f>
        <v>Good Buy The buy to give them to my sister, I found them simple and elegant. The carbujón size is the q I like for gems. My sister have loved. They are the same as in the photo. They are of good quality. They come in a box with a silver cleaning cloth.</v>
      </c>
    </row>
    <row r="7140">
      <c r="A7140" s="1">
        <v>5.0</v>
      </c>
      <c r="B7140" s="1" t="s">
        <v>7090</v>
      </c>
      <c r="C7140" t="str">
        <f>IFERROR(__xludf.DUMMYFUNCTION("GOOGLETRANSLATE(B7140, ""es"", ""en"")"),"It gives a new life to the PSVITA With this adapter and a micro sd have 64GB to store games on my PS Vita, and all for € 15!")</f>
        <v>It gives a new life to the PSVITA With this adapter and a micro sd have 64GB to store games on my PS Vita, and all for € 15!</v>
      </c>
    </row>
    <row r="7141">
      <c r="A7141" s="1">
        <v>5.0</v>
      </c>
      <c r="B7141" s="1" t="s">
        <v>7091</v>
      </c>
      <c r="C7141" t="str">
        <f>IFERROR(__xludf.DUMMYFUNCTION("GOOGLETRANSLATE(B7141, ""es"", ""en"")"),"Excellent buy very good backpack. Quality materials, robust zippers. It may seem that the distribution of pockets, 35L remain in small thing, but for nothing. It fulfills very well.")</f>
        <v>Excellent buy very good backpack. Quality materials, robust zippers. It may seem that the distribution of pockets, 35L remain in small thing, but for nothing. It fulfills very well.</v>
      </c>
    </row>
    <row r="7142">
      <c r="A7142" s="1">
        <v>5.0</v>
      </c>
      <c r="B7142" s="1" t="s">
        <v>7092</v>
      </c>
      <c r="C7142" t="str">
        <f>IFERROR(__xludf.DUMMYFUNCTION("GOOGLETRANSLATE(B7142, ""es"", ""en"")"),"Very useful temperature selector I've been using it since July least twice a day without any problems. Smart, fast and super useful temperature selection.")</f>
        <v>Very useful temperature selector I've been using it since July least twice a day without any problems. Smart, fast and super useful temperature selection.</v>
      </c>
    </row>
    <row r="7143">
      <c r="A7143" s="1">
        <v>5.0</v>
      </c>
      <c r="B7143" s="1" t="s">
        <v>7093</v>
      </c>
      <c r="C7143" t="str">
        <f>IFERROR(__xludf.DUMMYFUNCTION("GOOGLETRANSLATE(B7143, ""es"", ""en"")"),"Stapler This well 👌👌perfecto but thought it came with more staples spare but nothing happens but it's very good")</f>
        <v>Stapler This well 👌👌perfecto but thought it came with more staples spare but nothing happens but it's very good</v>
      </c>
    </row>
    <row r="7144">
      <c r="A7144" s="1">
        <v>5.0</v>
      </c>
      <c r="B7144" s="1" t="s">
        <v>7094</v>
      </c>
      <c r="C7144" t="str">
        <f>IFERROR(__xludf.DUMMYFUNCTION("GOOGLETRANSLATE(B7144, ""es"", ""en"")"),"Five Stars relojazo, as always a pleasure to Watch")</f>
        <v>Five Stars relojazo, as always a pleasure to Watch</v>
      </c>
    </row>
    <row r="7145">
      <c r="A7145" s="1">
        <v>5.0</v>
      </c>
      <c r="B7145" s="1" t="s">
        <v>7095</v>
      </c>
      <c r="C7145" t="str">
        <f>IFERROR(__xludf.DUMMYFUNCTION("GOOGLETRANSLATE(B7145, ""es"", ""en"")"),"As Victor remembered, as expected size and are comfortable and quality. I would buy the")</f>
        <v>As Victor remembered, as expected size and are comfortable and quality. I would buy the</v>
      </c>
    </row>
    <row r="7146">
      <c r="A7146" s="1">
        <v>5.0</v>
      </c>
      <c r="B7146" s="1" t="s">
        <v>7096</v>
      </c>
      <c r="C7146" t="str">
        <f>IFERROR(__xludf.DUMMYFUNCTION("GOOGLETRANSLATE(B7146, ""es"", ""en"")"),"Lightweight and comfortable Very lightweight and comfortable ..mi woman is enchanted with them")</f>
        <v>Lightweight and comfortable Very lightweight and comfortable ..mi woman is enchanted with them</v>
      </c>
    </row>
    <row r="7147">
      <c r="A7147" s="1">
        <v>5.0</v>
      </c>
      <c r="B7147" s="1" t="s">
        <v>7097</v>
      </c>
      <c r="C7147" t="str">
        <f>IFERROR(__xludf.DUMMYFUNCTION("GOOGLETRANSLATE(B7147, ""es"", ""en"")"),"It works to perfect perfection")</f>
        <v>It works to perfect perfection</v>
      </c>
    </row>
    <row r="7148">
      <c r="A7148" s="1">
        <v>5.0</v>
      </c>
      <c r="B7148" s="1" t="s">
        <v>7098</v>
      </c>
      <c r="C7148" t="str">
        <f>IFERROR(__xludf.DUMMYFUNCTION("GOOGLETRANSLATE(B7148, ""es"", ""en"")"),"Precious precious collar. Color very nice. Perfect finish. the details are seen to perfection. Perfect gift for a woman.")</f>
        <v>Precious precious collar. Color very nice. Perfect finish. the details are seen to perfection. Perfect gift for a woman.</v>
      </c>
    </row>
    <row r="7149">
      <c r="A7149" s="1">
        <v>2.0</v>
      </c>
      <c r="B7149" s="1" t="s">
        <v>7099</v>
      </c>
      <c r="C7149" t="str">
        <f>IFERROR(__xludf.DUMMYFUNCTION("GOOGLETRANSLATE(B7149, ""es"", ""en"")"),"Fulfills its function but can be washed does its job but you can not wash. I have another that he dismantles the handle and can be put directly into the washing machine. This is annoying in that regard.")</f>
        <v>Fulfills its function but can be washed does its job but you can not wash. I have another that he dismantles the handle and can be put directly into the washing machine. This is annoying in that regard.</v>
      </c>
    </row>
    <row r="7150">
      <c r="A7150" s="1">
        <v>3.0</v>
      </c>
      <c r="B7150" s="1" t="s">
        <v>7100</v>
      </c>
      <c r="C7150" t="str">
        <f>IFERROR(__xludf.DUMMYFUNCTION("GOOGLETRANSLATE(B7150, ""es"", ""en"")"),"MEETS YOUR Illegal function for occasional use, in my case I have in the house, the biggest drawback of it is that the blender is all one piece and not dismantled, which makes when cleaning is more cumbersome .")</f>
        <v>MEETS YOUR Illegal function for occasional use, in my case I have in the house, the biggest drawback of it is that the blender is all one piece and not dismantled, which makes when cleaning is more cumbersome .</v>
      </c>
    </row>
    <row r="7151">
      <c r="A7151" s="1">
        <v>3.0</v>
      </c>
      <c r="B7151" s="1" t="s">
        <v>7101</v>
      </c>
      <c r="C7151" t="str">
        <f>IFERROR(__xludf.DUMMYFUNCTION("GOOGLETRANSLATE(B7151, ""es"", ""en"")"),"It goes well may be useful but lacks some force when tightening the wires")</f>
        <v>It goes well may be useful but lacks some force when tightening the wires</v>
      </c>
    </row>
    <row r="7152">
      <c r="A7152" s="1">
        <v>1.0</v>
      </c>
      <c r="B7152" s="1" t="s">
        <v>7102</v>
      </c>
      <c r="C7152" t="str">
        <f>IFERROR(__xludf.DUMMYFUNCTION("GOOGLETRANSLATE(B7152, ""es"", ""en"")"),"So it works. I like the product, if it works. And already sent to their offices.")</f>
        <v>So it works. I like the product, if it works. And already sent to their offices.</v>
      </c>
    </row>
    <row r="7153">
      <c r="A7153" s="1">
        <v>1.0</v>
      </c>
      <c r="B7153" s="1" t="s">
        <v>7103</v>
      </c>
      <c r="C7153" t="str">
        <f>IFERROR(__xludf.DUMMYFUNCTION("GOOGLETRANSLATE(B7153, ""es"", ""en"")"),"The slip is ineffective No I are comfortable, the foot moves as if you bring along a normal sock")</f>
        <v>The slip is ineffective No I are comfortable, the foot moves as if you bring along a normal sock</v>
      </c>
    </row>
    <row r="7154">
      <c r="A7154" s="1">
        <v>4.0</v>
      </c>
      <c r="B7154" s="1" t="s">
        <v>7104</v>
      </c>
      <c r="C7154" t="str">
        <f>IFERROR(__xludf.DUMMYFUNCTION("GOOGLETRANSLATE(B7154, ""es"", ""en"")"),"Normal In the first use was hooked tape, and was a good time to re-spooled. But with a little care and for this price, great.")</f>
        <v>Normal In the first use was hooked tape, and was a good time to re-spooled. But with a little care and for this price, great.</v>
      </c>
    </row>
    <row r="7155">
      <c r="A7155" s="1">
        <v>4.0</v>
      </c>
      <c r="B7155" s="1" t="s">
        <v>7105</v>
      </c>
      <c r="C7155" t="str">
        <f>IFERROR(__xludf.DUMMYFUNCTION("GOOGLETRANSLATE(B7155, ""es"", ""en"")"),"Very nice comfortable product and very good quality material Your comfort with its material is best .Deberia have asked a number and still the product is great")</f>
        <v>Very nice comfortable product and very good quality material Your comfort with its material is best .Deberia have asked a number and still the product is great</v>
      </c>
    </row>
    <row r="7156">
      <c r="A7156" s="1">
        <v>4.0</v>
      </c>
      <c r="B7156" s="1" t="s">
        <v>7106</v>
      </c>
      <c r="C7156" t="str">
        <f>IFERROR(__xludf.DUMMYFUNCTION("GOOGLETRANSLATE(B7156, ""es"", ""en"")"),"Good. Little can be expected to say. its function does write speed and accurate readings. Would greatly lowered the price a little")</f>
        <v>Good. Little can be expected to say. its function does write speed and accurate readings. Would greatly lowered the price a little</v>
      </c>
    </row>
    <row r="7157">
      <c r="A7157" s="1">
        <v>4.0</v>
      </c>
      <c r="B7157" s="1" t="s">
        <v>7107</v>
      </c>
      <c r="C7157" t="str">
        <f>IFERROR(__xludf.DUMMYFUNCTION("GOOGLETRANSLATE(B7157, ""es"", ""en"")"),"Well something smaller than I expected, but very well relaccion money.")</f>
        <v>Well something smaller than I expected, but very well relaccion money.</v>
      </c>
    </row>
    <row r="7158">
      <c r="A7158" s="1">
        <v>4.0</v>
      </c>
      <c r="B7158" s="1" t="s">
        <v>7108</v>
      </c>
      <c r="C7158" t="str">
        <f>IFERROR(__xludf.DUMMYFUNCTION("GOOGLETRANSLATE(B7158, ""es"", ""en"")"),"As it should be a good buy This brand for me is quality assurance and the quality is not barata.Pero last in perfect condition and that to me already amortizes")</f>
        <v>As it should be a good buy This brand for me is quality assurance and the quality is not barata.Pero last in perfect condition and that to me already amortizes</v>
      </c>
    </row>
    <row r="7159">
      <c r="A7159" s="1">
        <v>5.0</v>
      </c>
      <c r="B7159" s="1" t="s">
        <v>7109</v>
      </c>
      <c r="C7159" t="str">
        <f>IFERROR(__xludf.DUMMYFUNCTION("GOOGLETRANSLATE(B7159, ""es"", ""en"")"),"The product works perfectly great, the color is beautiful and has a nice super-soft touch. As already it indicated a total of 12 different vibrations, which all have a lot of vibration-power. The remote control is great and besides, it comes with a bag to"&amp;" keep it very soft and pretty too. It really worth it, delighted with the product")</f>
        <v>The product works perfectly great, the color is beautiful and has a nice super-soft touch. As already it indicated a total of 12 different vibrations, which all have a lot of vibration-power. The remote control is great and besides, it comes with a bag to keep it very soft and pretty too. It really worth it, delighted with the product</v>
      </c>
    </row>
    <row r="7160">
      <c r="A7160" s="1">
        <v>5.0</v>
      </c>
      <c r="B7160" s="1" t="s">
        <v>7110</v>
      </c>
      <c r="C7160" t="str">
        <f>IFERROR(__xludf.DUMMYFUNCTION("GOOGLETRANSLATE(B7160, ""es"", ""en"")"),"Imprisionante I really liked its functionality and arrived super fast")</f>
        <v>Imprisionante I really liked its functionality and arrived super fast</v>
      </c>
    </row>
    <row r="7161">
      <c r="A7161" s="1">
        <v>5.0</v>
      </c>
      <c r="B7161" s="1" t="s">
        <v>7111</v>
      </c>
      <c r="C7161" t="str">
        <f>IFERROR(__xludf.DUMMYFUNCTION("GOOGLETRANSLATE(B7161, ""es"", ""en"")"),"Order 1/2 less perfect number. 1/2 number less. Using 37 and asked 36'5.")</f>
        <v>Order 1/2 less perfect number. 1/2 number less. Using 37 and asked 36'5.</v>
      </c>
    </row>
    <row r="7162">
      <c r="A7162" s="1">
        <v>5.0</v>
      </c>
      <c r="B7162" s="1" t="s">
        <v>7112</v>
      </c>
      <c r="C7162" t="str">
        <f>IFERROR(__xludf.DUMMYFUNCTION("GOOGLETRANSLATE(B7162, ""es"", ""en"")"),"Silver earrings beautiful medium sized. As they are seen in the images do not appear shoddy. I'm using on a daily basis.")</f>
        <v>Silver earrings beautiful medium sized. As they are seen in the images do not appear shoddy. I'm using on a daily basis.</v>
      </c>
    </row>
    <row r="7163">
      <c r="A7163" s="1">
        <v>5.0</v>
      </c>
      <c r="B7163" s="1" t="s">
        <v>7113</v>
      </c>
      <c r="C7163" t="str">
        <f>IFERROR(__xludf.DUMMYFUNCTION("GOOGLETRANSLATE(B7163, ""es"", ""en"")"),"Perfect size. I read that size tended to be small, but to me it is always perfect my size.")</f>
        <v>Perfect size. I read that size tended to be small, but to me it is always perfect my size.</v>
      </c>
    </row>
    <row r="7164">
      <c r="A7164" s="1">
        <v>5.0</v>
      </c>
      <c r="B7164" s="1" t="s">
        <v>7114</v>
      </c>
      <c r="C7164" t="str">
        <f>IFERROR(__xludf.DUMMYFUNCTION("GOOGLETRANSLATE(B7164, ""es"", ""en"")"),"Good quality time doing very well, has power enough to pass the entire floor and remove dust, lint ... Autonomy is very good, it takes no more than 15 minutes to finish a floor of about 80 m2 so you It gives leftovers. It has two speeds, with little effor"&amp;"t have a good result and keep the floor clean.")</f>
        <v>Good quality time doing very well, has power enough to pass the entire floor and remove dust, lint ... Autonomy is very good, it takes no more than 15 minutes to finish a floor of about 80 m2 so you It gives leftovers. It has two speeds, with little effort have a good result and keep the floor clean.</v>
      </c>
    </row>
    <row r="7165">
      <c r="A7165" s="1">
        <v>5.0</v>
      </c>
      <c r="B7165" s="1" t="s">
        <v>7115</v>
      </c>
      <c r="C7165" t="str">
        <f>IFERROR(__xludf.DUMMYFUNCTION("GOOGLETRANSLATE(B7165, ""es"", ""en"")"),"These very pleasant aroma oils worked very well with my humidifier and the last hours! The scent is not overwhelming (if you use the right amount) but strong enough so you can smell it across the room. There is a good variety and will last a long time if "&amp;"you are only using a humidifier.")</f>
        <v>These very pleasant aroma oils worked very well with my humidifier and the last hours! The scent is not overwhelming (if you use the right amount) but strong enough so you can smell it across the room. There is a good variety and will last a long time if you are only using a humidifier.</v>
      </c>
    </row>
    <row r="7166">
      <c r="A7166" s="1">
        <v>5.0</v>
      </c>
      <c r="B7166" s="1" t="s">
        <v>7116</v>
      </c>
      <c r="C7166" t="str">
        <f>IFERROR(__xludf.DUMMYFUNCTION("GOOGLETRANSLATE(B7166, ""es"", ""en"")"),"Muzili R9000 hand vac car wet and dry High Power I bought this vacuum for their power (95W). I wanted one that was powerful to not have to be going several times for the same site to remove dirt. What I liked is that it is very easy to use, just weighs, s"&amp;"o it is fairly light. The cable is quite long, it arrives perfectly to all sites in the car, including the trunk. Also having a lot of power in a single pass, remove all debris from the floor mats (which is what most stains and costs removed) For the pric"&amp;"e it comes with a thin adapter, a tube for hard to reach areas and another to clean upholstery (for example) plus a bag to save power everything in the car without clutter. Very happy with the purchase")</f>
        <v>Muzili R9000 hand vac car wet and dry High Power I bought this vacuum for their power (95W). I wanted one that was powerful to not have to be going several times for the same site to remove dirt. What I liked is that it is very easy to use, just weighs, so it is fairly light. The cable is quite long, it arrives perfectly to all sites in the car, including the trunk. Also having a lot of power in a single pass, remove all debris from the floor mats (which is what most stains and costs removed) For the price it comes with a thin adapter, a tube for hard to reach areas and another to clean upholstery (for example) plus a bag to save power everything in the car without clutter. Very happy with the purchase</v>
      </c>
    </row>
    <row r="7167">
      <c r="A7167" s="1">
        <v>5.0</v>
      </c>
      <c r="B7167" s="1" t="s">
        <v>7117</v>
      </c>
      <c r="C7167" t="str">
        <f>IFERROR(__xludf.DUMMYFUNCTION("GOOGLETRANSLATE(B7167, ""es"", ""en"")"),"Fundamental to home. Very good vacuuming, many extras that other brands do not have very manageable and comfortable to wear. Aspects to improve the dirt and battery at full power.")</f>
        <v>Fundamental to home. Very good vacuuming, many extras that other brands do not have very manageable and comfortable to wear. Aspects to improve the dirt and battery at full power.</v>
      </c>
    </row>
    <row r="7168">
      <c r="A7168" s="1">
        <v>5.0</v>
      </c>
      <c r="B7168" s="1" t="s">
        <v>7118</v>
      </c>
      <c r="C7168" t="str">
        <f>IFERROR(__xludf.DUMMYFUNCTION("GOOGLETRANSLATE(B7168, ""es"", ""en"")"),"Good for the price you can not ask for more okay")</f>
        <v>Good for the price you can not ask for more okay</v>
      </c>
    </row>
    <row r="7169">
      <c r="A7169" s="1">
        <v>5.0</v>
      </c>
      <c r="B7169" s="1" t="s">
        <v>7119</v>
      </c>
      <c r="C7169" t="str">
        <f>IFERROR(__xludf.DUMMYFUNCTION("GOOGLETRANSLATE(B7169, ""es"", ""en"")"),"Something that always carry on your key chain Excellent value and brand recognition. Now you have no excuse not to carry all you want everywhere. This 64Gb USB can take it along with the keys with all your files.")</f>
        <v>Something that always carry on your key chain Excellent value and brand recognition. Now you have no excuse not to carry all you want everywhere. This 64Gb USB can take it along with the keys with all your files.</v>
      </c>
    </row>
    <row r="7170">
      <c r="A7170" s="1">
        <v>5.0</v>
      </c>
      <c r="B7170" s="1" t="s">
        <v>7120</v>
      </c>
      <c r="C7170" t="str">
        <f>IFERROR(__xludf.DUMMYFUNCTION("GOOGLETRANSLATE(B7170, ""es"", ""en"")"),"Simply perfect perfect, as it comes in foto.genial, really.")</f>
        <v>Simply perfect perfect, as it comes in foto.genial, really.</v>
      </c>
    </row>
    <row r="7171">
      <c r="A7171" s="1">
        <v>5.0</v>
      </c>
      <c r="B7171" s="1" t="s">
        <v>7121</v>
      </c>
      <c r="C7171" t="str">
        <f>IFERROR(__xludf.DUMMYFUNCTION("GOOGLETRANSLATE(B7171, ""es"", ""en"")"),"I love with screws for wall hanging. Magnetic, very white. ideal for anyone explain a concept or to study like a paper size. I recommend the product and be magnetic, hanging leaves, your notes, with a magnet.")</f>
        <v>I love with screws for wall hanging. Magnetic, very white. ideal for anyone explain a concept or to study like a paper size. I recommend the product and be magnetic, hanging leaves, your notes, with a magnet.</v>
      </c>
    </row>
    <row r="7172">
      <c r="A7172" s="1">
        <v>5.0</v>
      </c>
      <c r="B7172" s="1" t="s">
        <v>7122</v>
      </c>
      <c r="C7172" t="str">
        <f>IFERROR(__xludf.DUMMYFUNCTION("GOOGLETRANSLATE(B7172, ""es"", ""en"")"),"Perfect You save a lot of sandpaper. I of abanda.")</f>
        <v>Perfect You save a lot of sandpaper. I of abanda.</v>
      </c>
    </row>
    <row r="7173">
      <c r="A7173" s="1">
        <v>5.0</v>
      </c>
      <c r="B7173" s="1" t="s">
        <v>7123</v>
      </c>
      <c r="C7173" t="str">
        <f>IFERROR(__xludf.DUMMYFUNCTION("GOOGLETRANSLATE(B7173, ""es"", ""en"")"),"The interior touch for Chinese footwear is amazing Perfectas")</f>
        <v>The interior touch for Chinese footwear is amazing Perfectas</v>
      </c>
    </row>
    <row r="7174">
      <c r="A7174" s="1">
        <v>5.0</v>
      </c>
      <c r="B7174" s="1" t="s">
        <v>7124</v>
      </c>
      <c r="C7174" t="str">
        <f>IFERROR(__xludf.DUMMYFUNCTION("GOOGLETRANSLATE(B7174, ""es"", ""en"")"),"perfect Good")</f>
        <v>perfect Good</v>
      </c>
    </row>
    <row r="7175">
      <c r="A7175" s="1">
        <v>5.0</v>
      </c>
      <c r="B7175" s="1" t="s">
        <v>7125</v>
      </c>
      <c r="C7175" t="str">
        <f>IFERROR(__xludf.DUMMYFUNCTION("GOOGLETRANSLATE(B7175, ""es"", ""en"")"),"Excellent buy excellent for contractures related to daily stress or bad posturas.Me pleasantly surprised .Very good quality .With a massage and a half amortize the purchase, although not one hour you have it for ever and whenever you need it. I also used "&amp;"my husband and my children. It helps you relax and smooth power is already very effective.")</f>
        <v>Excellent buy excellent for contractures related to daily stress or bad posturas.Me pleasantly surprised .Very good quality .With a massage and a half amortize the purchase, although not one hour you have it for ever and whenever you need it. I also used my husband and my children. It helps you relax and smooth power is already very effective.</v>
      </c>
    </row>
    <row r="7176">
      <c r="A7176" s="1">
        <v>5.0</v>
      </c>
      <c r="B7176" s="1" t="s">
        <v>7126</v>
      </c>
      <c r="C7176" t="str">
        <f>IFERROR(__xludf.DUMMYFUNCTION("GOOGLETRANSLATE(B7176, ""es"", ""en"")"),"Better than expected is great it takes no filters so it is even better than others, high capacity and low noise")</f>
        <v>Better than expected is great it takes no filters so it is even better than others, high capacity and low noise</v>
      </c>
    </row>
    <row r="7177">
      <c r="A7177" s="1">
        <v>5.0</v>
      </c>
      <c r="B7177" s="1" t="s">
        <v>7127</v>
      </c>
      <c r="C7177" t="str">
        <f>IFERROR(__xludf.DUMMYFUNCTION("GOOGLETRANSLATE(B7177, ""es"", ""en"")"),"All right perfect size. Good quality of the garment. I bought it on sale so q very good price validity. Fast shipping.")</f>
        <v>All right perfect size. Good quality of the garment. I bought it on sale so q very good price validity. Fast shipping.</v>
      </c>
    </row>
    <row r="7178">
      <c r="A7178" s="1">
        <v>2.0</v>
      </c>
      <c r="B7178" s="1" t="s">
        <v>7128</v>
      </c>
      <c r="C7178" t="str">
        <f>IFERROR(__xludf.DUMMYFUNCTION("GOOGLETRANSLATE(B7178, ""es"", ""en"")"),"It was not what I expected not taste much like is set")</f>
        <v>It was not what I expected not taste much like is set</v>
      </c>
    </row>
    <row r="7179">
      <c r="A7179" s="1">
        <v>3.0</v>
      </c>
      <c r="B7179" s="1" t="s">
        <v>7129</v>
      </c>
      <c r="C7179" t="str">
        <f>IFERROR(__xludf.DUMMYFUNCTION("GOOGLETRANSLATE(B7179, ""es"", ""en"")"),"They are not bad not bad but are do not seem so good, we must also be aware of the template because no template, no sabots")</f>
        <v>They are not bad not bad but are do not seem so good, we must also be aware of the template because no template, no sabots</v>
      </c>
    </row>
    <row r="7180">
      <c r="A7180" s="1">
        <v>1.0</v>
      </c>
      <c r="B7180" s="1" t="s">
        <v>7130</v>
      </c>
      <c r="C7180" t="str">
        <f>IFERROR(__xludf.DUMMYFUNCTION("GOOGLETRANSLATE(B7180, ""es"", ""en"")"),"DECEPTION For that amount, I took off the stone the next day. I will try RETURNING, Porqu VERY BAD MCALIAD")</f>
        <v>DECEPTION For that amount, I took off the stone the next day. I will try RETURNING, Porqu VERY BAD MCALIAD</v>
      </c>
    </row>
    <row r="7181">
      <c r="A7181" s="1">
        <v>1.0</v>
      </c>
      <c r="B7181" s="1" t="s">
        <v>7131</v>
      </c>
      <c r="C7181" t="str">
        <f>IFERROR(__xludf.DUMMYFUNCTION("GOOGLETRANSLATE(B7181, ""es"", ""en"")"),"awful (at least samsung s6) I have returned with my Samsung tablet Galaxy S6 or the result is horrible. Collect all the sound and only hear noise environment; so much so that it works exactly the same with the cable unplugged guitar. A shame, looked good")</f>
        <v>awful (at least samsung s6) I have returned with my Samsung tablet Galaxy S6 or the result is horrible. Collect all the sound and only hear noise environment; so much so that it works exactly the same with the cable unplugged guitar. A shame, looked good</v>
      </c>
    </row>
    <row r="7182">
      <c r="A7182" s="1">
        <v>4.0</v>
      </c>
      <c r="B7182" s="1" t="s">
        <v>7132</v>
      </c>
      <c r="C7182" t="str">
        <f>IFERROR(__xludf.DUMMYFUNCTION("GOOGLETRANSLATE(B7182, ""es"", ""en"")"),"CEREALS TETINA is great, but if I see more ""soft"" than teats classic. It was a very good buy. l")</f>
        <v>CEREALS TETINA is great, but if I see more "soft" than teats classic. It was a very good buy. l</v>
      </c>
    </row>
    <row r="7183">
      <c r="A7183" s="1">
        <v>4.0</v>
      </c>
      <c r="B7183" s="1" t="s">
        <v>7133</v>
      </c>
      <c r="C7183" t="str">
        <f>IFERROR(__xludf.DUMMYFUNCTION("GOOGLETRANSLATE(B7183, ""es"", ""en"")"),"Favors not exactly like the picture (yes color), is thinner and it looks like the girl wear a size too. The pockets are a little strange because instead of being front and sides are sometimes put you in the back. However, harbors, looks good and is very c"&amp;"omfortable. Enough.")</f>
        <v>Favors not exactly like the picture (yes color), is thinner and it looks like the girl wear a size too. The pockets are a little strange because instead of being front and sides are sometimes put you in the back. However, harbors, looks good and is very comfortable. Enough.</v>
      </c>
    </row>
    <row r="7184">
      <c r="A7184" s="1">
        <v>4.0</v>
      </c>
      <c r="B7184" s="1" t="s">
        <v>7134</v>
      </c>
      <c r="C7184" t="str">
        <f>IFERROR(__xludf.DUMMYFUNCTION("GOOGLETRANSLATE(B7184, ""es"", ""en"")"),"I do not have box arrived in perfect condition, but I was rather surprised to breaking the package and find that DISCS were loose! Do not had box! Luckily I had an old one. Otherwise well.")</f>
        <v>I do not have box arrived in perfect condition, but I was rather surprised to breaking the package and find that DISCS were loose! Do not had box! Luckily I had an old one. Otherwise well.</v>
      </c>
    </row>
    <row r="7185">
      <c r="A7185" s="1">
        <v>4.0</v>
      </c>
      <c r="B7185" s="1" t="s">
        <v>7135</v>
      </c>
      <c r="C7185" t="str">
        <f>IFERROR(__xludf.DUMMYFUNCTION("GOOGLETRANSLATE(B7185, ""es"", ""en"")"),"biberon My daughter has not served him because he sucked strongly and swallowed a lot of air, but he gave my nephew and wonder, you have to keep trying until you find the one that best suits each child, in my case it was the teat Suavinex 3 positions whic"&amp;"h come me well. I discovered when my daughter was a month and holy hand, now with five months still use the same brand because it also applies to baby food.")</f>
        <v>biberon My daughter has not served him because he sucked strongly and swallowed a lot of air, but he gave my nephew and wonder, you have to keep trying until you find the one that best suits each child, in my case it was the teat Suavinex 3 positions which come me well. I discovered when my daughter was a month and holy hand, now with five months still use the same brand because it also applies to baby food.</v>
      </c>
    </row>
    <row r="7186">
      <c r="A7186" s="1">
        <v>4.0</v>
      </c>
      <c r="B7186" s="1" t="s">
        <v>7136</v>
      </c>
      <c r="C7186" t="str">
        <f>IFERROR(__xludf.DUMMYFUNCTION("GOOGLETRANSLATE(B7186, ""es"", ""en"")"),"This bien..se well as looks good but if it's a little entertaining ponerlo..puedes collect several cables..también could have more colors")</f>
        <v>This bien..se well as looks good but if it's a little entertaining ponerlo..puedes collect several cables..también could have more colors</v>
      </c>
    </row>
    <row r="7187">
      <c r="A7187" s="1">
        <v>5.0</v>
      </c>
      <c r="B7187" s="1" t="s">
        <v>7137</v>
      </c>
      <c r="C7187" t="str">
        <f>IFERROR(__xludf.DUMMYFUNCTION("GOOGLETRANSLATE(B7187, ""es"", ""en"")"),"So comfortable and weigh nothing perfect")</f>
        <v>So comfortable and weigh nothing perfect</v>
      </c>
    </row>
    <row r="7188">
      <c r="A7188" s="1">
        <v>5.0</v>
      </c>
      <c r="B7188" s="1" t="s">
        <v>7138</v>
      </c>
      <c r="C7188" t="str">
        <f>IFERROR(__xludf.DUMMYFUNCTION("GOOGLETRANSLATE(B7188, ""es"", ""en"")"),"A good choice for gifts this Christmas. The product has met all my expectations. It looks like a quality product. It's so nice to natural like the pictures.")</f>
        <v>A good choice for gifts this Christmas. The product has met all my expectations. It looks like a quality product. It's so nice to natural like the pictures.</v>
      </c>
    </row>
    <row r="7189">
      <c r="A7189" s="1">
        <v>5.0</v>
      </c>
      <c r="B7189" s="1" t="s">
        <v>7139</v>
      </c>
      <c r="C7189" t="str">
        <f>IFERROR(__xludf.DUMMYFUNCTION("GOOGLETRANSLATE(B7189, ""es"", ""en"")"),"Suunto 5 Fitbit clock is a steroid. Amazing clock very easy to use. You can move from exercise, navigation, logbook, timer, and option settings by pressing the upper right button. A using the lower right button will access instructions heart rate, sleep p"&amp;"hysical stress, steps, training, and fitness. The top left button lets you switch from the time the battery symbol%. The lower left button is basically a back button for all functions. This watch is typical Suunto quality, which is always great. It has an"&amp;" anodized buckle and a ring bevel. The bezel itself and the silicone bands are feeling super soft. These materials should result in a durable watch. I have many traditional watches and I love it. I like all the features, but my favorite is tracking sleep."&amp;" I thought I was getting enough sleep, but follow-up tells me otherwise. I assumed he was sleeping 6 hours, but really I'm getting 1.5 to 2 hours of sleep a day, which is really little. The option exercise and GPS tracking is great too. I think appreciate"&amp;" this watch built with a very good quality. I slept in my case I will try more and exercising properly")</f>
        <v>Suunto 5 Fitbit clock is a steroid. Amazing clock very easy to use. You can move from exercise, navigation, logbook, timer, and option settings by pressing the upper right button. A using the lower right button will access instructions heart rate, sleep physical stress, steps, training, and fitness. The top left button lets you switch from the time the battery symbol%. The lower left button is basically a back button for all functions. This watch is typical Suunto quality, which is always great. It has an anodized buckle and a ring bevel. The bezel itself and the silicone bands are feeling super soft. These materials should result in a durable watch. I have many traditional watches and I love it. I like all the features, but my favorite is tracking sleep. I thought I was getting enough sleep, but follow-up tells me otherwise. I assumed he was sleeping 6 hours, but really I'm getting 1.5 to 2 hours of sleep a day, which is really little. The option exercise and GPS tracking is great too. I think appreciate this watch built with a very good quality. I slept in my case I will try more and exercising properly</v>
      </c>
    </row>
    <row r="7190">
      <c r="A7190" s="1">
        <v>5.0</v>
      </c>
      <c r="B7190" s="1" t="s">
        <v>7140</v>
      </c>
      <c r="C7190" t="str">
        <f>IFERROR(__xludf.DUMMYFUNCTION("GOOGLETRANSLATE(B7190, ""es"", ""en"")"),"100% 100% recommended recommended, it is my size and after a few months they are perfect, they are of good quality and long lasting.")</f>
        <v>100% 100% recommended recommended, it is my size and after a few months they are perfect, they are of good quality and long lasting.</v>
      </c>
    </row>
    <row r="7191">
      <c r="A7191" s="1">
        <v>5.0</v>
      </c>
      <c r="B7191" s="1" t="s">
        <v>7141</v>
      </c>
      <c r="C7191" t="str">
        <f>IFERROR(__xludf.DUMMYFUNCTION("GOOGLETRANSLATE(B7191, ""es"", ""en"")"),"Stylish, lightweight and elegant")</f>
        <v>Stylish, lightweight and elegant</v>
      </c>
    </row>
    <row r="7192">
      <c r="A7192" s="1">
        <v>5.0</v>
      </c>
      <c r="B7192" s="1" t="s">
        <v>7142</v>
      </c>
      <c r="C7192" t="str">
        <f>IFERROR(__xludf.DUMMYFUNCTION("GOOGLETRANSLATE(B7192, ""es"", ""en"")"),"A value equal to the other hard drive I bought has a great price for a quality product and storage capacity. Shipping service was very fast, almost more than going to the store for him, saving a few euros.")</f>
        <v>A value equal to the other hard drive I bought has a great price for a quality product and storage capacity. Shipping service was very fast, almost more than going to the store for him, saving a few euros.</v>
      </c>
    </row>
    <row r="7193">
      <c r="A7193" s="1">
        <v>5.0</v>
      </c>
      <c r="B7193" s="1" t="s">
        <v>7143</v>
      </c>
      <c r="C7193" t="str">
        <f>IFERROR(__xludf.DUMMYFUNCTION("GOOGLETRANSLATE(B7193, ""es"", ""en"")"),"Sending and receiving perfect Very good")</f>
        <v>Sending and receiving perfect Very good</v>
      </c>
    </row>
    <row r="7194">
      <c r="A7194" s="1">
        <v>5.0</v>
      </c>
      <c r="B7194" s="1" t="s">
        <v>7144</v>
      </c>
      <c r="C7194" t="str">
        <f>IFERROR(__xludf.DUMMYFUNCTION("GOOGLETRANSLATE(B7194, ""es"", ""en"")"),"Such perfect as it appears")</f>
        <v>Such perfect as it appears</v>
      </c>
    </row>
    <row r="7195">
      <c r="A7195" s="1">
        <v>5.0</v>
      </c>
      <c r="B7195" s="1" t="s">
        <v>7145</v>
      </c>
      <c r="C7195" t="str">
        <f>IFERROR(__xludf.DUMMYFUNCTION("GOOGLETRANSLATE(B7195, ""es"", ""en"")"),"Very good buy very good performance, quality, but, size. Only one drawback, the instructions a bit complicated.")</f>
        <v>Very good buy very good performance, quality, but, size. Only one drawback, the instructions a bit complicated.</v>
      </c>
    </row>
    <row r="7196">
      <c r="A7196" s="1">
        <v>5.0</v>
      </c>
      <c r="B7196" s="1" t="s">
        <v>7146</v>
      </c>
      <c r="C7196" t="str">
        <f>IFERROR(__xludf.DUMMYFUNCTION("GOOGLETRANSLATE(B7196, ""es"", ""en"")"),"The Classics bought this brand because it reminded both the university and college. The need for consideration of the P.E.R. and they have sincerely worked very well! 100% recommendable.")</f>
        <v>The Classics bought this brand because it reminded both the university and college. The need for consideration of the P.E.R. and they have sincerely worked very well! 100% recommendable.</v>
      </c>
    </row>
    <row r="7197">
      <c r="A7197" s="1">
        <v>5.0</v>
      </c>
      <c r="B7197" s="1" t="s">
        <v>7147</v>
      </c>
      <c r="C7197" t="str">
        <f>IFERROR(__xludf.DUMMYFUNCTION("GOOGLETRANSLATE(B7197, ""es"", ""en"")"),"Powerful and sexy scent is a comprehensive box of essential oils. Brings 12 different fragrances with very good aromas, and without opening the box and odors are perceived. As a point in his favor brings a small instruction booklet with the description of"&amp;" each scent and you can do a number of mixtures and get different fragrances for rooms in the house. Right now I use it with diffuser making random mixtures to test and fine. Aroma durable. Highly recommended oil packs.")</f>
        <v>Powerful and sexy scent is a comprehensive box of essential oils. Brings 12 different fragrances with very good aromas, and without opening the box and odors are perceived. As a point in his favor brings a small instruction booklet with the description of each scent and you can do a number of mixtures and get different fragrances for rooms in the house. Right now I use it with diffuser making random mixtures to test and fine. Aroma durable. Highly recommended oil packs.</v>
      </c>
    </row>
    <row r="7198">
      <c r="A7198" s="1">
        <v>5.0</v>
      </c>
      <c r="B7198" s="1" t="s">
        <v>7148</v>
      </c>
      <c r="C7198" t="str">
        <f>IFERROR(__xludf.DUMMYFUNCTION("GOOGLETRANSLATE(B7198, ""es"", ""en"")"),"I've loved beautiful earrings, but I will say that weigh a bit, thought they were lighter. But it is not an impediment to wear them, combined with everything! They arrived earlier than expected.")</f>
        <v>I've loved beautiful earrings, but I will say that weigh a bit, thought they were lighter. But it is not an impediment to wear them, combined with everything! They arrived earlier than expected.</v>
      </c>
    </row>
    <row r="7199">
      <c r="A7199" s="1">
        <v>5.0</v>
      </c>
      <c r="B7199" s="1" t="s">
        <v>7149</v>
      </c>
      <c r="C7199" t="str">
        <f>IFERROR(__xludf.DUMMYFUNCTION("GOOGLETRANSLATE(B7199, ""es"", ""en"")"),"Very good grip Great fixing tried several wall ornaments traditional double face tape could not hold and so far is great.")</f>
        <v>Very good grip Great fixing tried several wall ornaments traditional double face tape could not hold and so far is great.</v>
      </c>
    </row>
    <row r="7200">
      <c r="A7200" s="1">
        <v>5.0</v>
      </c>
      <c r="B7200" s="1" t="s">
        <v>7150</v>
      </c>
      <c r="C7200" t="str">
        <f>IFERROR(__xludf.DUMMYFUNCTION("GOOGLETRANSLATE(B7200, ""es"", ""en"")"),"Excellent product and a year if it works It works great, and makes use it to remove makeup or just wash my face with water and removes impurities great.")</f>
        <v>Excellent product and a year if it works It works great, and makes use it to remove makeup or just wash my face with water and removes impurities great.</v>
      </c>
    </row>
    <row r="7201">
      <c r="A7201" s="1">
        <v>5.0</v>
      </c>
      <c r="B7201" s="1" t="s">
        <v>7151</v>
      </c>
      <c r="C7201" t="str">
        <f>IFERROR(__xludf.DUMMYFUNCTION("GOOGLETRANSLATE(B7201, ""es"", ""en"")"),"It is worth buying. No. of turns have good sound. And even battery or ma have loaded. They have a good price and super easy to use and adapt also connect with several rubber bands to the ears.")</f>
        <v>It is worth buying. No. of turns have good sound. And even battery or ma have loaded. They have a good price and super easy to use and adapt also connect with several rubber bands to the ears.</v>
      </c>
    </row>
    <row r="7202">
      <c r="A7202" s="1">
        <v>5.0</v>
      </c>
      <c r="B7202" s="1" t="s">
        <v>7152</v>
      </c>
      <c r="C7202" t="str">
        <f>IFERROR(__xludf.DUMMYFUNCTION("GOOGLETRANSLATE(B7202, ""es"", ""en"")"),"Good product as much money come a lot of units for the price you have, the quality may not be the best but for the price they have is the best")</f>
        <v>Good product as much money come a lot of units for the price you have, the quality may not be the best but for the price they have is the best</v>
      </c>
    </row>
    <row r="7203">
      <c r="A7203" s="1">
        <v>5.0</v>
      </c>
      <c r="B7203" s="1" t="s">
        <v>7153</v>
      </c>
      <c r="C7203" t="str">
        <f>IFERROR(__xludf.DUMMYFUNCTION("GOOGLETRANSLATE(B7203, ""es"", ""en"")"),"Good moment &lt;div id = ""video-block-R37S435KJXTLPI"" class = ""section a-a-a-spacing-small spacing-top-video mini-block""&gt; &lt;div tabindex = ""0"" class = ""airy airy- svg vmin-supported airy-skin-beacon ""style ="" background-color: rgb (0, 0, 0) position:"&amp;" relative; width: 100%; height: 100%; font-size: 0px; overflow: hidden; outline: none; ""&gt; &lt;div class ="" airy-renderer-container ""style ="" position: relative; height: 100%; width: 100%; ""&gt; &lt;video id ="" 55 ""preload ="" auto ""src = ""https://images-e"&amp;"u.ssl-images-amazon.com/images/I/81+CrG0GA7S.mp4"" style = ""position: absolute; left: 0px; top: 0px; overflow: hidden; height: 1px; width: 1px; ""&gt; &lt;/ video&gt; &lt;/ div&gt; &lt;div id ="" airy-slate-preload ""style ="" background-color: rgb (0, 0, 0); background-i"&amp;"mage: url (&amp; quot; https : //images-eu.ssl-images-amazon.com/images/I/81jw+BYc92S.png&amp;quot;); background-size: Contain; background-position: center center; background-repeat: no-repeat; position: absolute; top: 0px; left: 0px; visibility: visible; width: "&amp;"100%; height: 100%; ""&gt; &lt;/ div&gt; &lt;iframe scrolling = ""No"" frameborder = ""0"" src = ""about: blank"" style = ""display: none;""&gt; &lt;/ iframe&gt; &lt;div tabindex = ""- 1"" class = ""airy-controls-container"" style = ""opacity: 0; visibility: hidden; ""&gt; &lt;div tab"&amp;"index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airy-o"&amp;"n ""&gt; &lt;/ div&gt; &lt;div tabindex ="" - 1 ""class ="" airy-audio-container ""style = ""opacity: 0; visibility: hidden; ""&gt; &lt;div tabindex ="" - 1 ""class ="" airy-audio-track-bar ""style ="" height: 80%; ""&gt; &lt;div tabindex ="" - 1 ""class ="" airy-audio- Scrubber"&amp;"-bar ""style ="" height: 85%; ""&gt; &lt;/ div&gt; &lt;div tabindex ="" - 1 ""class ="" airy-audio-scrubber ""style ="" height: 12px; bottom: 85% ""&gt; &lt;/ div&gt; &lt;/ div&gt; &lt;/ div&gt; &lt;/ div&gt; &lt;div tabindex ="" - 1 ""class ="" airy-duration-label ""style ="" float: right; width"&amp;": 26px; margin-right: 4px; text-align: center; ""&gt; 0:00 &lt;/ div&gt; &lt;div tabindex ="" - 1 ""class ="" airy-track-bar-spacer-right ""style ="" float: right; width: 11px; ""&gt; &lt;/ div&gt; &lt;div tabindex ="" - 1 ""class ="" airy-track-bar-container ""style ="" margin-"&amp;"left: 35px; margin-right: 75px; ""&gt; &lt;div tabindex ="" - 1 ""class ="" airy-airy-track-bar vertically-centering-table ""&gt; &lt;div tabindex ="" - 1 ""class ="" airy-Vertical-centering- table-cell ""&gt; &lt;div tabindex ="" - 1 ""class ="" airy-track-bar-elements """&amp;"&gt; &lt;div tabindex ="" - 1 ""class ="" airy-progress-bar ""&gt; &lt;/ div&gt; &lt;div tabindex = ""- 1"" class = ""airy-scrubber-bar""&gt; &lt;/ div&gt; &lt;div tabindex = ""- 1"" class = ""airy-scrubber""&gt; &lt;div tabindex = ""- 1"" class = ""airy-scrubber- icon ""&gt; &lt;/ div&gt; &lt;div tabi"&amp;"ndex ="" - 1 ""class ="" airy-adjusted-AUI-tooltip ""style ="" opacity: 0; visibility: hidden; ""&gt; &lt;div tabindex ="" - 1 ""class ="" airy-adjusted-aui-tooltip-inner ""&gt; &lt;div tabindex ="" - 1 ""class ="" airy-current-time-label ""&gt; 0: 00 &lt;/ div&gt; &lt;/ div&gt; &lt;d"&amp;"iv tabindex = ""- 1"" class = ""airy-adjusted-AUI-arrow-border""&gt; &lt;div tabindex = ""- 1"" class = ""airy-adjusted-AUI-arrow"" &gt; &lt;/ div&gt; &lt;/ div&gt; &lt;/ div&gt; &lt;/ div&gt; &lt;/ div&gt; &lt;/ div&gt; &lt;/ div&gt; &lt;/ div&gt; &lt;/ div&gt; &lt;/ div&gt; &lt;div tabindex = ""- 1"" class = ""airy-age-gate"&amp;" airy-stage airy-Vertical-centering-table airy-dialog"" style = ""opacity: 0; visibility: hidden; ""&gt; &lt;div tabindex ="" - 1 ""class ="" airy-age-gate-Vertical-centering-table-cell airy-Vertical-centering-table-cell ""&gt; &lt;div tabindex ="" - 1 ""class = ""ai"&amp;"ry-Vertical-centering-wrapper airy-age-gate-elements-wrapper""&gt; &lt;div tabindex = ""- 1"" class = ""airy-age-gate-elements airy-dialog-elements""&gt; &lt;div tabindex = "" -1 ""class ="" airy-age-gate-prompt ""&gt; This video is not Intended for all audiences What d"&amp;"ate were you born &lt;/ div&gt; &lt;div tabindex =.?"" - 1 ""class ="" airy-age-gate -inputs airy-dialog-inner-elements ""&gt; &lt;select tabindex ="" - 1 ""class ="" airy-age-gate-month ""&gt; &lt;option value ="" 1 ""&gt; January &lt;/ option&gt; &lt;option value ="" 2 ""&gt; February &lt;/ "&amp;"option&gt; &lt;option value ="" 3 ""&gt; March &lt;/ option&gt; &lt;option value ="" 4 ""&gt; April &lt;/ option&gt; &lt;option value ="" 5 ""&gt; May &lt;/ option&gt; &lt;option value = ""6""&gt; June &lt;/ option&gt; &lt;option value = ""7""&gt; July &lt;/ option&gt; &lt;option value = ""8""&gt; August &lt;/ option&gt; &lt;option"&amp;" value = ""9""&gt; September &lt;/ option&gt; &lt;option value = ""10""&gt; October &lt;/ option&gt; &lt;option value = ""11""&gt; November &lt;/ option&gt; &lt;option value = ""12""&gt; December &lt;/ option&gt; &lt;/ select&gt; &lt;select tabindex = ""- 1"" class = ""airy-age-gate-day""&gt; &lt;opti on value = "&amp;"""1""&gt; 1 &lt;/ option&gt; &lt;option value = ""2""&gt; 2 &lt;/ option&gt; &lt;option value = ""3""&gt; 3 &lt;/ option&gt; &lt;option value = ""4""&gt; 4 &lt;/ option &gt; &lt;option value = ""5""&gt; 5 &lt;/ option&gt; &lt;option value = ""6""&gt; 6 &lt;/ option&gt; &lt;option value = ""7""&gt; 7 &lt;/ option&gt; &lt;option value = """&amp;"8""&gt; 8 &lt; / option&gt; &lt;option value = ""9""&gt; 9 &lt;/ option&gt; &lt;option value = ""10""&gt; 10 &lt;/ option&gt; &lt;option value = ""11""&gt; 11 &lt;/ option&gt; &lt;option value = ""12""&gt; 12 &lt;/ option&gt; &lt;option value = ""13""&gt; 13 &lt;/ option&gt; &lt;option value = ""14""&gt; 14 &lt;/ option&gt; &lt;option va"&amp;"lue = ""15""&gt; 15 &lt;/ option&gt; &lt;option value = ""16 ""&gt; 16 &lt;/ option&gt; &lt;option value ="" 17 ""&gt; 17 &lt;/ option&gt; &lt;option value ="" 18 ""&gt; 18 &lt;/ option&gt; &lt;option value ="" 19 ""&gt; 19 &lt;/ option&gt; &lt;option value = ""20""&gt; 20 &lt;/ option&gt; &lt;option value = ""21""&gt; 21 &lt;/ opt"&amp;"ion&gt; &lt;option value = ""22""&gt; 22 &lt;/ option&gt; &lt;option value = ""23""&gt; 23 &lt;/ option&gt; &lt;option value = ""24""&gt; 24 &lt;/ option&gt; &lt;option value = ""25""&gt; 25 &lt;/ option&gt; &lt;option value = ""26""&gt; 26 &lt;/ option&gt; &lt;option value = ""27""&gt; 27 &lt;/ option&gt; &lt;option value = ""28"""&amp;"&gt; 28 &lt;/ option&gt; &lt;option value = ""29""&gt; 29 &lt;/ option&gt; &lt;option value = ""30""&gt; 30 &lt;/ option&gt; &lt;option value = ""31""&gt; 31 &lt;/ option&gt; &lt;/ select&gt; &lt;select tabindex = ""- 1"" class = ""airy-age-gate-year""&gt; &lt;option value = ""2019""&gt; 2019 &lt;/ option&gt; &lt; option valu"&amp;"e = ""2018""&gt; 2018 &lt;/ option&gt; &lt;option value = ""2017""&gt; 2017 &lt;/ option&gt; &lt;option value = ""2016""&gt; ​​2016 &lt;/ option&gt; &lt;option value = ""2015""&gt; 2015 &lt;/ option &gt; &lt;option value = ""2014""&gt; 2014 &lt;/ option&gt; &lt;option value = ""2013""&gt; 2013 &lt;/ option&gt; &lt;option valu"&amp;"e = ""2012""&gt; 2012 &lt;/ option&gt; &lt;option value = ""2011""&gt; 2011 &lt; / option&gt; &lt;option value = ""2010""&gt; 2010 &lt;/ option&gt; &lt;option value = ""2009""&gt; 2009 &lt;/ option&gt; &lt;option value = ""2008""&gt; 2008 &lt;/ option&gt; &lt;option value = ""2007""&gt; 2007 &lt;/ option&gt; &lt;option value "&amp;"= ""2006""&gt; 2006 &lt;/ option&gt; &lt;option value = ""2005""&gt; 2005 &lt;/ option&gt; &lt;option value = ""2004""&gt; 2004 &lt;/ option&gt; &lt;option value = ""2003 ""&gt; 2003 &lt;/ option&gt; &lt;option value ="" 2002 ""&gt; 2002 &lt;/ option&gt; &lt;option value ="" 2001 ""&gt; 2001 &lt;/ option&gt; &lt;option value "&amp;"="" 2000 ""&gt; 2000 &lt;/ option&gt; &lt;option value = ""1999""&gt; 1999 &lt;/ option&gt; &lt;option value = ""1998""&gt; 1998 &lt;/ option&gt; &lt;option value = ""1997""&gt; 1997 &lt;/ option&gt; &lt;option value = ""1996""&gt; 1996 &lt;/ option&gt; &lt;option value = ""1995""&gt; 1995 &lt;/ option&gt; &lt;option value = "&amp;"""1994""&gt;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 "&amp;"""1982""&gt;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&lt;value option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&lt;value option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visib"&amp;"ility: hidden; ""&gt; &lt;div tabindex ="" - 1 ""class ="" airy-install-flash-Vertical-centering-table-cell airy-Vertical-centering-table-cell ""&gt; &lt;div tabindex ="" - 1 ""class = ""airy-Vertical-centering-wrapper airy-install-flash-elements-wrapper""&gt; &lt;div tabi"&amp;"ndex = ""- 1"" class = ""airy-install-flash-elements airy-dialog-elements""&gt; &lt;div tabindex = "" -1 ""class ="" airy-install-flash-prompt ""&gt; Adobe Flash Player is required to watch this video &lt;/ div&gt; &lt;div tabindex =."" - 1 ""class ="" airy-install-flash-b"&amp;"utton-wrapper airy -dialog-inner-elements ""&gt; &lt;div tabindex ="" - 1 ""class ="" airy-install-flash-button airy-button ""&gt; install Flash Player &lt;/ div&gt; &lt;/ div&gt; &lt;/ div&gt; &lt;/ div&gt; &lt;/ div&gt; &lt;/ div&gt; &lt;div tabindex = ""- 1"" class = ""airy-video-unsupported-dialog "&amp;"airy-stage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81 + CrG0GA7S.mp4 ""Class ="" video-url ""&gt; &lt;input type ="" hidden ""name ="" ""value ="" https://images-eu.ssl-images-amazon.com/images/I/81jw+BYc92S.png ""class = ""video-slate-img-url""&gt; &amp; nbsp; pretty good, expected to heat up, do"&amp;" not expect a stove, the maximum heat is not very strong, but good for trifles people like me do well, it's pretty thin and it takes a while to warm up. At the moment good")</f>
        <v>Good moment &lt;div id = "video-block-R37S435KJXTLPI" class = "section a-a-a-spacing-small spacing-top-video mini-block"&gt; &lt;div tabindex = "0" class = "airy airy- svg vmin-supported airy-skin-beacon "style =" background-color: rgb (0, 0, 0) position: relative; width: 100%; height: 100%; font-size: 0px; overflow: hidden; outline: none; "&gt; &lt;div class =" airy-renderer-container "style =" position: relative; height: 100%; width: 100%; "&gt; &lt;video id =" 55 "preload =" auto "src = "https://images-eu.ssl-images-amazon.com/images/I/81+CrG0GA7S.mp4" style = "position: absolute; left: 0px; top: 0px; overflow: hidden; height: 1px; width: 1px; "&gt; &lt;/ video&gt; &lt;/ div&gt; &lt;div id =" airy-slate-preload "style =" background-color: rgb (0, 0, 0); background-image: url (&amp; quot; https : //images-eu.ssl-images-amazon.com/images/I/81jw+BYc92S.png&amp;quot;); background-size: Contain; background-position: center center; background-repeat: no-repeat; position: absolute; top: 0px; left: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81 + CrG0GA7S.mp4 "Class =" video-url "&gt; &lt;input type =" hidden "name =" "value =" https://images-eu.ssl-images-amazon.com/images/I/81jw+BYc92S.png "class = "video-slate-img-url"&gt; &amp; nbsp; pretty good, expected to heat up, do not expect a stove, the maximum heat is not very strong, but good for trifles people like me do well, it's pretty thin and it takes a while to warm up. At the moment good</v>
      </c>
    </row>
    <row r="7204">
      <c r="A7204" s="1">
        <v>5.0</v>
      </c>
      <c r="B7204" s="1" t="s">
        <v>7154</v>
      </c>
      <c r="C7204" t="str">
        <f>IFERROR(__xludf.DUMMYFUNCTION("GOOGLETRANSLATE(B7204, ""es"", ""en"")"),"Quality and speed of very good quality materials. Most importantly, having up to 12 speeds and leaves very smooth with a clean smooth texture and old food.")</f>
        <v>Quality and speed of very good quality materials. Most importantly, having up to 12 speeds and leaves very smooth with a clean smooth texture and old food.</v>
      </c>
    </row>
    <row r="7205">
      <c r="A7205" s="1">
        <v>5.0</v>
      </c>
      <c r="B7205" s="1" t="s">
        <v>7155</v>
      </c>
      <c r="C7205" t="str">
        <f>IFERROR(__xludf.DUMMYFUNCTION("GOOGLETRANSLATE(B7205, ""es"", ""en"")"),"Recomendadísimo I am delighted I am delighted useful for all, both to make smoothies, juices, sauces, crushed, slushies etc .. In addition it dismantles easy to scrub. The best kitchen machines I've ever had.")</f>
        <v>Recomendadísimo I am delighted I am delighted useful for all, both to make smoothies, juices, sauces, crushed, slushies etc .. In addition it dismantles easy to scrub. The best kitchen machines I've ever had.</v>
      </c>
    </row>
    <row r="7206">
      <c r="A7206" s="1">
        <v>2.0</v>
      </c>
      <c r="B7206" s="1" t="s">
        <v>7156</v>
      </c>
      <c r="C7206" t="str">
        <f>IFERROR(__xludf.DUMMYFUNCTION("GOOGLETRANSLATE(B7206, ""es"", ""en"")"),"Be careful what to IPX7 10 months has lasted me :-( I guess it has ruined his battery today during training. For some time it has sparked and sweat, has not endured. In the end, how difficult it is to find a handset I am really IPX7. a pity not buy it aga"&amp;"in.")</f>
        <v>Be careful what to IPX7 10 months has lasted me :-( I guess it has ruined his battery today during training. For some time it has sparked and sweat, has not endured. In the end, how difficult it is to find a handset I am really IPX7. a pity not buy it again.</v>
      </c>
    </row>
    <row r="7207">
      <c r="A7207" s="1">
        <v>3.0</v>
      </c>
      <c r="B7207" s="1" t="s">
        <v>7157</v>
      </c>
      <c r="C7207" t="str">
        <f>IFERROR(__xludf.DUMMYFUNCTION("GOOGLETRANSLATE(B7207, ""es"", ""en"")"),"Not bad but not what you purchase is not bad .. but prefer silicone. It is comfortable and ergonomic")</f>
        <v>Not bad but not what you purchase is not bad .. but prefer silicone. It is comfortable and ergonomic</v>
      </c>
    </row>
    <row r="7208">
      <c r="A7208" s="1">
        <v>3.0</v>
      </c>
      <c r="B7208" s="1" t="s">
        <v>7158</v>
      </c>
      <c r="C7208" t="str">
        <f>IFERROR(__xludf.DUMMYFUNCTION("GOOGLETRANSLATE(B7208, ""es"", ""en"")"),"Nice cushy")</f>
        <v>Nice cushy</v>
      </c>
    </row>
    <row r="7209">
      <c r="A7209" s="1">
        <v>1.0</v>
      </c>
      <c r="B7209" s="1" t="s">
        <v>7159</v>
      </c>
      <c r="C7209" t="str">
        <f>IFERROR(__xludf.DUMMYFUNCTION("GOOGLETRANSLATE(B7209, ""es"", ""en"")"),"Brush to clean grooves doors and windows useless useful first day because the second day lost half of the truth, which are plastic, and no longer was able to reuse")</f>
        <v>Brush to clean grooves doors and windows useless useful first day because the second day lost half of the truth, which are plastic, and no longer was able to reuse</v>
      </c>
    </row>
    <row r="7210">
      <c r="A7210" s="1">
        <v>1.0</v>
      </c>
      <c r="B7210" s="1" t="s">
        <v>7160</v>
      </c>
      <c r="C7210" t="str">
        <f>IFERROR(__xludf.DUMMYFUNCTION("GOOGLETRANSLATE(B7210, ""es"", ""en"")"),"A churro, is worthless. Horrible, low-grade plastic in the Chinese sell the same cheaper, rust resistance just by looking, gives bad taste and smell of the water heat up, totally inadvisable")</f>
        <v>A churro, is worthless. Horrible, low-grade plastic in the Chinese sell the same cheaper, rust resistance just by looking, gives bad taste and smell of the water heat up, totally inadvisable</v>
      </c>
    </row>
    <row r="7211">
      <c r="A7211" s="1">
        <v>1.0</v>
      </c>
      <c r="B7211" s="1" t="s">
        <v>7161</v>
      </c>
      <c r="C7211" t="str">
        <f>IFERROR(__xludf.DUMMYFUNCTION("GOOGLETRANSLATE(B7211, ""es"", ""en"")"),"Bad card Throughout my life I have used many Tando SDXC memory cards such as micro and normalmetne of the same brand. In short, I bought this card because I needed for a major project, and yesterday, the access card to display the content I realize that a"&amp;" video of 4 recorded this directly or defective and corrupt. Now I'm back and I can not go back to the place recording corrupt files ... The card fails, a lot. The worst buying makes a lot of TIMP ... This kind of problamas makes you sereiamente considerr"&amp;"es leaving a mark on the side. I hope to answer at least part of Amazon since it was the seller.")</f>
        <v>Bad card Throughout my life I have used many Tando SDXC memory cards such as micro and normalmetne of the same brand. In short, I bought this card because I needed for a major project, and yesterday, the access card to display the content I realize that a video of 4 recorded this directly or defective and corrupt. Now I'm back and I can not go back to the place recording corrupt files ... The card fails, a lot. The worst buying makes a lot of TIMP ... This kind of problamas makes you sereiamente considerres leaving a mark on the side. I hope to answer at least part of Amazon since it was the seller.</v>
      </c>
    </row>
    <row r="7212">
      <c r="A7212" s="1">
        <v>4.0</v>
      </c>
      <c r="B7212" s="1" t="s">
        <v>7162</v>
      </c>
      <c r="C7212" t="str">
        <f>IFERROR(__xludf.DUMMYFUNCTION("GOOGLETRANSLATE(B7212, ""es"", ""en"")"),"Nice very nice, a little small but are very fine, for an elderly person you are ideal, so it's a good buy.")</f>
        <v>Nice very nice, a little small but are very fine, for an elderly person you are ideal, so it's a good buy.</v>
      </c>
    </row>
    <row r="7213">
      <c r="A7213" s="1">
        <v>4.0</v>
      </c>
      <c r="B7213" s="1" t="s">
        <v>7163</v>
      </c>
      <c r="C7213" t="str">
        <f>IFERROR(__xludf.DUMMYFUNCTION("GOOGLETRANSLATE(B7213, ""es"", ""en"")"),"They are equally well on the photo q")</f>
        <v>They are equally well on the photo q</v>
      </c>
    </row>
    <row r="7214">
      <c r="A7214" s="1">
        <v>4.0</v>
      </c>
      <c r="B7214" s="1" t="s">
        <v>7164</v>
      </c>
      <c r="C7214" t="str">
        <f>IFERROR(__xludf.DUMMYFUNCTION("GOOGLETRANSLATE(B7214, ""es"", ""en"")"),"Overall very good The perfect length (1.68 am), but slightly wider hip. Cotton is soft and very comfortable indeed.")</f>
        <v>Overall very good The perfect length (1.68 am), but slightly wider hip. Cotton is soft and very comfortable indeed.</v>
      </c>
    </row>
    <row r="7215">
      <c r="A7215" s="1">
        <v>4.0</v>
      </c>
      <c r="B7215" s="1" t="s">
        <v>7165</v>
      </c>
      <c r="C7215" t="str">
        <f>IFERROR(__xludf.DUMMYFUNCTION("GOOGLETRANSLATE(B7215, ""es"", ""en"")"),"Classic I like the brand is not the first time I buy q. The only thing approx 10 uses, the rubber is somewhat flabby. Fabric good.")</f>
        <v>Classic I like the brand is not the first time I buy q. The only thing approx 10 uses, the rubber is somewhat flabby. Fabric good.</v>
      </c>
    </row>
    <row r="7216">
      <c r="A7216" s="1">
        <v>5.0</v>
      </c>
      <c r="B7216" s="1" t="s">
        <v>7166</v>
      </c>
      <c r="C7216" t="str">
        <f>IFERROR(__xludf.DUMMYFUNCTION("GOOGLETRANSLATE(B7216, ""es"", ""en"")"),"Recommended. I was surprised by the quality and texture of the material, especially the inner lining that unlike other boots competition is much better managed. In the pictures I show as they really are and I also show the sole, where you can see it has v"&amp;"ery good quality. As for the material, it is not waterproof but is more resistant than other competition.")</f>
        <v>Recommended. I was surprised by the quality and texture of the material, especially the inner lining that unlike other boots competition is much better managed. In the pictures I show as they really are and I also show the sole, where you can see it has very good quality. As for the material, it is not waterproof but is more resistant than other competition.</v>
      </c>
    </row>
    <row r="7217">
      <c r="A7217" s="1">
        <v>5.0</v>
      </c>
      <c r="B7217" s="1" t="s">
        <v>7167</v>
      </c>
      <c r="C7217" t="str">
        <f>IFERROR(__xludf.DUMMYFUNCTION("GOOGLETRANSLATE(B7217, ""es"", ""en"")"),"Very nice folder.")</f>
        <v>Very nice folder.</v>
      </c>
    </row>
    <row r="7218">
      <c r="A7218" s="1">
        <v>5.0</v>
      </c>
      <c r="B7218" s="1" t="s">
        <v>7168</v>
      </c>
      <c r="C7218" t="str">
        <f>IFERROR(__xludf.DUMMYFUNCTION("GOOGLETRANSLATE(B7218, ""es"", ""en"")"),"Good quality Very good")</f>
        <v>Good quality Very good</v>
      </c>
    </row>
    <row r="7219">
      <c r="A7219" s="1">
        <v>5.0</v>
      </c>
      <c r="B7219" s="1" t="s">
        <v>7169</v>
      </c>
      <c r="C7219" t="str">
        <f>IFERROR(__xludf.DUMMYFUNCTION("GOOGLETRANSLATE(B7219, ""es"", ""en"")"),"Excellent quality at a good price is a headset to hear good, I like that stay securely fastened in the ears and also the duration of the load is quite satisfactory for my use (about one hour and after 5 hours of use'm still with They are bringing battery "&amp;"factory).")</f>
        <v>Excellent quality at a good price is a headset to hear good, I like that stay securely fastened in the ears and also the duration of the load is quite satisfactory for my use (about one hour and after 5 hours of use'm still with They are bringing battery factory).</v>
      </c>
    </row>
    <row r="7220">
      <c r="A7220" s="1">
        <v>5.0</v>
      </c>
      <c r="B7220" s="1" t="s">
        <v>7170</v>
      </c>
      <c r="C7220" t="str">
        <f>IFERROR(__xludf.DUMMYFUNCTION("GOOGLETRANSLATE(B7220, ""es"", ""en"")"),"Power and capacity Good product, does not fail and is faithful to what publicita. It has enough power and everything is very good texture.")</f>
        <v>Power and capacity Good product, does not fail and is faithful to what publicita. It has enough power and everything is very good texture.</v>
      </c>
    </row>
    <row r="7221">
      <c r="A7221" s="1">
        <v>5.0</v>
      </c>
      <c r="B7221" s="1" t="s">
        <v>7171</v>
      </c>
      <c r="C7221" t="str">
        <f>IFERROR(__xludf.DUMMYFUNCTION("GOOGLETRANSLATE(B7221, ""es"", ""en"")"),"All right all right")</f>
        <v>All right all right</v>
      </c>
    </row>
    <row r="7222">
      <c r="A7222" s="1">
        <v>5.0</v>
      </c>
      <c r="B7222" s="1" t="s">
        <v>7172</v>
      </c>
      <c r="C7222" t="str">
        <f>IFERROR(__xludf.DUMMYFUNCTION("GOOGLETRANSLATE(B7222, ""es"", ""en"")"),"Leave the perfect smoothies I am delighted with this mini mixer, ideal for a shake wherever fresh! I bought it to take to work and rest I was so hungry I ate anything, now I wear some fruit blender and make myself a smoothie super good and healthy")</f>
        <v>Leave the perfect smoothies I am delighted with this mini mixer, ideal for a shake wherever fresh! I bought it to take to work and rest I was so hungry I ate anything, now I wear some fruit blender and make myself a smoothie super good and healthy</v>
      </c>
    </row>
    <row r="7223">
      <c r="A7223" s="1">
        <v>5.0</v>
      </c>
      <c r="B7223" s="1" t="s">
        <v>7173</v>
      </c>
      <c r="C7223" t="str">
        <f>IFERROR(__xludf.DUMMYFUNCTION("GOOGLETRANSLATE(B7223, ""es"", ""en"")"),"Ok Very cool, as describen.lleva battery and is perfect.")</f>
        <v>Ok Very cool, as describen.lleva battery and is perfect.</v>
      </c>
    </row>
    <row r="7224">
      <c r="A7224" s="1">
        <v>5.0</v>
      </c>
      <c r="B7224" s="1" t="s">
        <v>7174</v>
      </c>
      <c r="C7224" t="str">
        <f>IFERROR(__xludf.DUMMYFUNCTION("GOOGLETRANSLATE(B7224, ""es"", ""en"")"),"Exsito Preciosa")</f>
        <v>Exsito Preciosa</v>
      </c>
    </row>
    <row r="7225">
      <c r="A7225" s="1">
        <v>5.0</v>
      </c>
      <c r="B7225" s="1" t="s">
        <v>7175</v>
      </c>
      <c r="C7225" t="str">
        <f>IFERROR(__xludf.DUMMYFUNCTION("GOOGLETRANSLATE(B7225, ""es"", ""en"")"),"ekegante simple but fulfilled the expectations")</f>
        <v>ekegante simple but fulfilled the expectations</v>
      </c>
    </row>
    <row r="7226">
      <c r="A7226" s="1">
        <v>5.0</v>
      </c>
      <c r="B7226" s="1" t="s">
        <v>7176</v>
      </c>
      <c r="C7226" t="str">
        <f>IFERROR(__xludf.DUMMYFUNCTION("GOOGLETRANSLATE(B7226, ""es"", ""en"")"),"Nice and convenient, I recommend 100% I loved. I've done a couple of cuts to put it on the desk and could fit well and has been great. Good quality, I recommend it 100%. perfect fit for keyboard and mouse.")</f>
        <v>Nice and convenient, I recommend 100% I loved. I've done a couple of cuts to put it on the desk and could fit well and has been great. Good quality, I recommend it 100%. perfect fit for keyboard and mouse.</v>
      </c>
    </row>
    <row r="7227">
      <c r="A7227" s="1">
        <v>5.0</v>
      </c>
      <c r="B7227" s="1" t="s">
        <v>7177</v>
      </c>
      <c r="C7227" t="str">
        <f>IFERROR(__xludf.DUMMYFUNCTION("GOOGLETRANSLATE(B7227, ""es"", ""en"")"),"Very good! Great! its function and the truth is practical and comfortable easy to clean.")</f>
        <v>Very good! Great! its function and the truth is practical and comfortable easy to clean.</v>
      </c>
    </row>
    <row r="7228">
      <c r="A7228" s="1">
        <v>5.0</v>
      </c>
      <c r="B7228" s="1" t="s">
        <v>7178</v>
      </c>
      <c r="C7228" t="str">
        <f>IFERROR(__xludf.DUMMYFUNCTION("GOOGLETRANSLATE(B7228, ""es"", ""en"")"),"Very good quality! I love! The only bad thing is I requested and sent gold color pink. Since I do not feel like going to the post office and change, the better I stay because the pink is nice too. Sorry for my husband who is not going to be able to enjoy.")</f>
        <v>Very good quality! I love! The only bad thing is I requested and sent gold color pink. Since I do not feel like going to the post office and change, the better I stay because the pink is nice too. Sorry for my husband who is not going to be able to enjoy.</v>
      </c>
    </row>
    <row r="7229">
      <c r="A7229" s="1">
        <v>5.0</v>
      </c>
      <c r="B7229" s="1" t="s">
        <v>7179</v>
      </c>
      <c r="C7229" t="str">
        <f>IFERROR(__xludf.DUMMYFUNCTION("GOOGLETRANSLATE(B7229, ""es"", ""en"")"),"All perfectly ok quality")</f>
        <v>All perfectly ok quality</v>
      </c>
    </row>
    <row r="7230">
      <c r="A7230" s="1">
        <v>5.0</v>
      </c>
      <c r="B7230" s="1" t="s">
        <v>7180</v>
      </c>
      <c r="C7230" t="str">
        <f>IFERROR(__xludf.DUMMYFUNCTION("GOOGLETRANSLATE(B7230, ""es"", ""en"")"),"I enjoyed very useful and practical")</f>
        <v>I enjoyed very useful and practical</v>
      </c>
    </row>
    <row r="7231">
      <c r="A7231" s="1">
        <v>5.0</v>
      </c>
      <c r="B7231" s="1" t="s">
        <v>7181</v>
      </c>
      <c r="C7231" t="str">
        <f>IFERROR(__xludf.DUMMYFUNCTION("GOOGLETRANSLATE(B7231, ""es"", ""en"")"),"Quality. Does the job all ordenadito.")</f>
        <v>Quality. Does the job all ordenadito.</v>
      </c>
    </row>
    <row r="7232">
      <c r="A7232" s="1">
        <v>5.0</v>
      </c>
      <c r="B7232" s="1" t="s">
        <v>7182</v>
      </c>
      <c r="C7232" t="str">
        <f>IFERROR(__xludf.DUMMYFUNCTION("GOOGLETRANSLATE(B7232, ""es"", ""en"")"),"As stated mandatory purchase the title, this ssd is a compulsory purchase both laptops without ssd and equipment support plate M.2 SSD BBB (Bueno, Bonito, Barato) Not the best SSD on the market, but for the price and simple use as installing the OS, more "&amp;"than enough. The price is compared laugh with improved performance you get.")</f>
        <v>As stated mandatory purchase the title, this ssd is a compulsory purchase both laptops without ssd and equipment support plate M.2 SSD BBB (Bueno, Bonito, Barato) Not the best SSD on the market, but for the price and simple use as installing the OS, more than enough. The price is compared laugh with improved performance you get.</v>
      </c>
    </row>
    <row r="7233">
      <c r="A7233" s="1">
        <v>5.0</v>
      </c>
      <c r="B7233" s="1" t="s">
        <v>7183</v>
      </c>
      <c r="C7233" t="str">
        <f>IFERROR(__xludf.DUMMYFUNCTION("GOOGLETRANSLATE(B7233, ""es"", ""en"")"),"I bought Calida Price Brutal taking advantage of the Black Friday a crucial MX500 2TB for my laptop Lenovo Y520 Legion, very well priced. I came very fast, and although I had some little hiccup to use it (I had to give via format usb with the first diskpa"&amp;"rt tool), once recognized works of scandal, I forgot about the problem of space and also to gaming performance is perfect, times load are incredibly fast (OS already had a part in another SSD). Moreover, the energy consumption is lower in these SSDs in me"&amp;"chanics, gaining some battery. In the last year I bought 3 Crucial SSD for my laptop 3 and can not be happier with this product, economical and very good performance.")</f>
        <v>I bought Calida Price Brutal taking advantage of the Black Friday a crucial MX500 2TB for my laptop Lenovo Y520 Legion, very well priced. I came very fast, and although I had some little hiccup to use it (I had to give via format usb with the first diskpart tool), once recognized works of scandal, I forgot about the problem of space and also to gaming performance is perfect, times load are incredibly fast (OS already had a part in another SSD). Moreover, the energy consumption is lower in these SSDs in mechanics, gaining some battery. In the last year I bought 3 Crucial SSD for my laptop 3 and can not be happier with this product, economical and very good performance.</v>
      </c>
    </row>
    <row r="7234">
      <c r="A7234" s="1">
        <v>2.0</v>
      </c>
      <c r="B7234" s="1" t="s">
        <v>7184</v>
      </c>
      <c r="C7234" t="str">
        <f>IFERROR(__xludf.DUMMYFUNCTION("GOOGLETRANSLATE(B7234, ""es"", ""en"")"),"Does not work In the fourth adapter has worked for me but only to the 70D, and that card is not valid for this camera, this camera need more speed, wanted for a tiny one Sony HX 50 and is not worth")</f>
        <v>Does not work In the fourth adapter has worked for me but only to the 70D, and that card is not valid for this camera, this camera need more speed, wanted for a tiny one Sony HX 50 and is not worth</v>
      </c>
    </row>
    <row r="7235">
      <c r="A7235" s="1">
        <v>3.0</v>
      </c>
      <c r="B7235" s="1" t="s">
        <v>7185</v>
      </c>
      <c r="C7235" t="str">
        <f>IFERROR(__xludf.DUMMYFUNCTION("GOOGLETRANSLATE(B7235, ""es"", ""en"")"),"Could be improved Hitch USB, to the get into the groove, often going backwards, you have to hold the switch to not sink, on the other hand, the transfer speed is very good.")</f>
        <v>Could be improved Hitch USB, to the get into the groove, often going backwards, you have to hold the switch to not sink, on the other hand, the transfer speed is very good.</v>
      </c>
    </row>
    <row r="7236">
      <c r="A7236" s="1">
        <v>3.0</v>
      </c>
      <c r="B7236" s="1" t="s">
        <v>7186</v>
      </c>
      <c r="C7236" t="str">
        <f>IFERROR(__xludf.DUMMYFUNCTION("GOOGLETRANSLATE(B7236, ""es"", ""en"")"),"Deluded fool. Encuanto to storage there is nothing to say. It will depend on the capacity that you bought it, falling slightly depending on the format. Of course, it claims to be 3.0 and is no lie. But silly me I thought that having the trapaso 3.0 connec"&amp;"tion data would be very fast. Well, one thing is the connection speed and other read / write. I did not realized when I bought it. If it is something faster than a 2.0, but compared to other so I, if the 2.0 is able to reach 7MB / s, this 3.0've only obta"&amp;"ined peaks of 10 and an average of 7. At the least it is cheaper to the ability, so 3 star. But you do not buy some for speed, because you will not serve anything.")</f>
        <v>Deluded fool. Encuanto to storage there is nothing to say. It will depend on the capacity that you bought it, falling slightly depending on the format. Of course, it claims to be 3.0 and is no lie. But silly me I thought that having the trapaso 3.0 connection data would be very fast. Well, one thing is the connection speed and other read / write. I did not realized when I bought it. If it is something faster than a 2.0, but compared to other so I, if the 2.0 is able to reach 7MB / s, this 3.0've only obtained peaks of 10 and an average of 7. At the least it is cheaper to the ability, so 3 star. But you do not buy some for speed, because you will not serve anything.</v>
      </c>
    </row>
    <row r="7237">
      <c r="A7237" s="1">
        <v>1.0</v>
      </c>
      <c r="B7237" s="1" t="s">
        <v>7187</v>
      </c>
      <c r="C7237" t="str">
        <f>IFERROR(__xludf.DUMMYFUNCTION("GOOGLETRANSLATE(B7237, ""es"", ""en"")"),"The damage came with had to return 3 times and all three with the same problem. the liner is peeled off. The good thing about Amazon that made me change and to the end they refunded the money.")</f>
        <v>The damage came with had to return 3 times and all three with the same problem. the liner is peeled off. The good thing about Amazon that made me change and to the end they refunded the money.</v>
      </c>
    </row>
    <row r="7238">
      <c r="A7238" s="1">
        <v>1.0</v>
      </c>
      <c r="B7238" s="1" t="s">
        <v>7188</v>
      </c>
      <c r="C7238" t="str">
        <f>IFERROR(__xludf.DUMMYFUNCTION("GOOGLETRANSLATE(B7238, ""es"", ""en"")"),"defective article First impressions were good sound quality and cancellation of acceptable sound, but stopped working two months. If you are looking for a nice paperweight for 50 euros it is a great option, but if you look hooves highly recommend any opti"&amp;"on unless these.")</f>
        <v>defective article First impressions were good sound quality and cancellation of acceptable sound, but stopped working two months. If you are looking for a nice paperweight for 50 euros it is a great option, but if you look hooves highly recommend any option unless these.</v>
      </c>
    </row>
    <row r="7239">
      <c r="A7239" s="1">
        <v>4.0</v>
      </c>
      <c r="B7239" s="1" t="s">
        <v>7189</v>
      </c>
      <c r="C7239" t="str">
        <f>IFERROR(__xludf.DUMMYFUNCTION("GOOGLETRANSLATE(B7239, ""es"", ""en"")"),"Comfort and good duration of battery I bought these headphones for use during my training (mainly running). Subjection in the ears in my case is very acceptable half-hour race have not had to touch them to reset them at any time. A note also the battery l"&amp;"ife. Since the box has a battery that recharges the headset while on it, the battery life of the headset becomes a less decisive point. With that last in my case enough for the longest training, it is more than enough. Regarding the battery box, in more t"&amp;"han ten days you have and using them almost daily, follow load stop. If I do not put him five stars, it is by sound. The sound is good, but in relation to those comments ""good sound for the price they have"" ... I disagree. In the range of 50 euros expec"&amp;"ting an even better next high fidelity sound. Of course it improves the many headphones I've had thirty-something euros, but of course, is worth almost double. I have to clarify that I am a stickler for high-fidelity, so go ahead.")</f>
        <v>Comfort and good duration of battery I bought these headphones for use during my training (mainly running). Subjection in the ears in my case is very acceptable half-hour race have not had to touch them to reset them at any time. A note also the battery life. Since the box has a battery that recharges the headset while on it, the battery life of the headset becomes a less decisive point. With that last in my case enough for the longest training, it is more than enough. Regarding the battery box, in more than ten days you have and using them almost daily, follow load stop. If I do not put him five stars, it is by sound. The sound is good, but in relation to those comments "good sound for the price they have" ... I disagree. In the range of 50 euros expecting an even better next high fidelity sound. Of course it improves the many headphones I've had thirty-something euros, but of course, is worth almost double. I have to clarify that I am a stickler for high-fidelity, so go ahead.</v>
      </c>
    </row>
    <row r="7240">
      <c r="A7240" s="1">
        <v>4.0</v>
      </c>
      <c r="B7240" s="1" t="s">
        <v>7190</v>
      </c>
      <c r="C7240" t="str">
        <f>IFERROR(__xludf.DUMMYFUNCTION("GOOGLETRANSLATE(B7240, ""es"", ""en"")"),"Not bad but could improve I think a good buy for what it's worth, I do not like the back enough and not subject to the end it seems like a flip-flop and is uncomfortable. Otherwise it's pretty good")</f>
        <v>Not bad but could improve I think a good buy for what it's worth, I do not like the back enough and not subject to the end it seems like a flip-flop and is uncomfortable. Otherwise it's pretty good</v>
      </c>
    </row>
    <row r="7241">
      <c r="A7241" s="1">
        <v>4.0</v>
      </c>
      <c r="B7241" s="1" t="s">
        <v>7191</v>
      </c>
      <c r="C7241" t="str">
        <f>IFERROR(__xludf.DUMMYFUNCTION("GOOGLETRANSLATE(B7241, ""es"", ""en"")"),"Good power and easy to use. Has a more than acceptable power and accessories are very useful. The quality of materials in the case of accessories is fair and in the mixer itself are very good value for money.")</f>
        <v>Good power and easy to use. Has a more than acceptable power and accessories are very useful. The quality of materials in the case of accessories is fair and in the mixer itself are very good value for money.</v>
      </c>
    </row>
    <row r="7242">
      <c r="A7242" s="1">
        <v>4.0</v>
      </c>
      <c r="B7242" s="1" t="s">
        <v>7192</v>
      </c>
      <c r="C7242" t="str">
        <f>IFERROR(__xludf.DUMMYFUNCTION("GOOGLETRANSLATE(B7242, ""es"", ""en"")"),"Satisfied Earrings are the same as in the picture, look elegant barateros not look as if they were Chinese, the closures are good. You arrive in a box beautifully presented and each pair has a plastic that comes in handy to avoid losing, it's cheap, has i"&amp;"t all")</f>
        <v>Satisfied Earrings are the same as in the picture, look elegant barateros not look as if they were Chinese, the closures are good. You arrive in a box beautifully presented and each pair has a plastic that comes in handy to avoid losing, it's cheap, has it all</v>
      </c>
    </row>
    <row r="7243">
      <c r="A7243" s="1">
        <v>4.0</v>
      </c>
      <c r="B7243" s="1" t="s">
        <v>7193</v>
      </c>
      <c r="C7243" t="str">
        <f>IFERROR(__xludf.DUMMYFUNCTION("GOOGLETRANSLATE(B7243, ""es"", ""en"")"),"It is very comfortable tightest I expected, although I liked everyone. Blue is very nice, and quite plush and shelters.")</f>
        <v>It is very comfortable tightest I expected, although I liked everyone. Blue is very nice, and quite plush and shelters.</v>
      </c>
    </row>
    <row r="7244">
      <c r="A7244" s="1">
        <v>5.0</v>
      </c>
      <c r="B7244" s="1" t="s">
        <v>7194</v>
      </c>
      <c r="C7244" t="str">
        <f>IFERROR(__xludf.DUMMYFUNCTION("GOOGLETRANSLATE(B7244, ""es"", ""en"")"),"Good size ideal size, many pages, the accessories that come to decorate are we really to my liking, the stickers have very bright colors that do not stick with brown tones, otherwise fine.")</f>
        <v>Good size ideal size, many pages, the accessories that come to decorate are we really to my liking, the stickers have very bright colors that do not stick with brown tones, otherwise fine.</v>
      </c>
    </row>
    <row r="7245">
      <c r="A7245" s="1">
        <v>5.0</v>
      </c>
      <c r="B7245" s="1" t="s">
        <v>7195</v>
      </c>
      <c r="C7245" t="str">
        <f>IFERROR(__xludf.DUMMYFUNCTION("GOOGLETRANSLATE(B7245, ""es"", ""en"")"),"Very good sterling silver bracelet bracelet Magnificent and his job quality and price go hand in hand this bracelet that will astonish you so comfortable you will feel with it on")</f>
        <v>Very good sterling silver bracelet bracelet Magnificent and his job quality and price go hand in hand this bracelet that will astonish you so comfortable you will feel with it on</v>
      </c>
    </row>
    <row r="7246">
      <c r="A7246" s="1">
        <v>5.0</v>
      </c>
      <c r="B7246" s="1" t="s">
        <v>7196</v>
      </c>
      <c r="C7246" t="str">
        <f>IFERROR(__xludf.DUMMYFUNCTION("GOOGLETRANSLATE(B7246, ""es"", ""en"")"),"Perfect start ALL say it is an appliance that is very useful to have the house clean of dust and lint. It is the first to buy and it works perfectly. At the beginning I got stuck in some places and not finished cleaning, but when you understand how it wor"&amp;"ks and leave the house with the fewest obstacles in the way, in a clean time a house of 100 m2. It should be borne in mind that is unable to access where there is no and that the only robot can not move furniture, besides trying not put things that can pa"&amp;"rtially suck (bags, rags, cables ...) because it gets stuck and leaves cleaning until you desatrancas. This model makes a map of the area to be cleaned, but do not save and identifies each room, although it may be a plus, because I know cases that keep th"&amp;"e map and then changed the location inside the house and become locos. Finally say that if you find it normal maintenance (detangle hair and clean filter rollers and brush) works better and last longer accessories.")</f>
        <v>Perfect start ALL say it is an appliance that is very useful to have the house clean of dust and lint. It is the first to buy and it works perfectly. At the beginning I got stuck in some places and not finished cleaning, but when you understand how it works and leave the house with the fewest obstacles in the way, in a clean time a house of 100 m2. It should be borne in mind that is unable to access where there is no and that the only robot can not move furniture, besides trying not put things that can partially suck (bags, rags, cables ...) because it gets stuck and leaves cleaning until you desatrancas. This model makes a map of the area to be cleaned, but do not save and identifies each room, although it may be a plus, because I know cases that keep the map and then changed the location inside the house and become locos. Finally say that if you find it normal maintenance (detangle hair and clean filter rollers and brush) works better and last longer accessories.</v>
      </c>
    </row>
    <row r="7247">
      <c r="A7247" s="1">
        <v>5.0</v>
      </c>
      <c r="B7247" s="1" t="s">
        <v>7197</v>
      </c>
      <c r="C7247" t="str">
        <f>IFERROR(__xludf.DUMMYFUNCTION("GOOGLETRANSLATE(B7247, ""es"", ""en"")"),"Elegant, beautiful and spectacular. It has the right and necessary. Time (no second hand), day and chronometer. But the design is spectacular. The quality price relation is very good.")</f>
        <v>Elegant, beautiful and spectacular. It has the right and necessary. Time (no second hand), day and chronometer. But the design is spectacular. The quality price relation is very good.</v>
      </c>
    </row>
    <row r="7248">
      <c r="A7248" s="1">
        <v>5.0</v>
      </c>
      <c r="B7248" s="1" t="s">
        <v>7198</v>
      </c>
      <c r="C7248" t="str">
        <f>IFERROR(__xludf.DUMMYFUNCTION("GOOGLETRANSLATE(B7248, ""es"", ""en"")"),"A purchase or yes, if you have the VideoMic Roda Go! It is something that should sell bundled with the microphone because without it is impossible to record audio clean outdoor windy. So I bought it, change it for you comes standard with the VideoMic Go a"&amp;"nd have never been back to remove. Works great, eliminates wind noise without problem and if you are hesitant to buy it, those taking! Call it a necessary amateur or professional you purchase if the video. You would 10 10 utility and money.")</f>
        <v>A purchase or yes, if you have the VideoMic Roda Go! It is something that should sell bundled with the microphone because without it is impossible to record audio clean outdoor windy. So I bought it, change it for you comes standard with the VideoMic Go and have never been back to remove. Works great, eliminates wind noise without problem and if you are hesitant to buy it, those taking! Call it a necessary amateur or professional you purchase if the video. You would 10 10 utility and money.</v>
      </c>
    </row>
    <row r="7249">
      <c r="A7249" s="1">
        <v>5.0</v>
      </c>
      <c r="B7249" s="1" t="s">
        <v>7199</v>
      </c>
      <c r="C7249" t="str">
        <f>IFERROR(__xludf.DUMMYFUNCTION("GOOGLETRANSLATE(B7249, ""es"", ""en"")"),"Fantastic At this price is really fantastic, I use them mostly for my youtube channel fulfills its purpose very well, very good quality materials and classic design excellent.")</f>
        <v>Fantastic At this price is really fantastic, I use them mostly for my youtube channel fulfills its purpose very well, very good quality materials and classic design excellent.</v>
      </c>
    </row>
    <row r="7250">
      <c r="A7250" s="1">
        <v>5.0</v>
      </c>
      <c r="B7250" s="1" t="s">
        <v>7200</v>
      </c>
      <c r="C7250" t="str">
        <f>IFERROR(__xludf.DUMMYFUNCTION("GOOGLETRANSLATE(B7250, ""es"", ""en"")"),"Reebook as always, perfect Reebok as always, great.")</f>
        <v>Reebook as always, perfect Reebok as always, great.</v>
      </c>
    </row>
    <row r="7251">
      <c r="A7251" s="1">
        <v>5.0</v>
      </c>
      <c r="B7251" s="1" t="s">
        <v>7201</v>
      </c>
      <c r="C7251" t="str">
        <f>IFERROR(__xludf.DUMMYFUNCTION("GOOGLETRANSLATE(B7251, ""es"", ""en"")"),"This great brand like always best")</f>
        <v>This great brand like always best</v>
      </c>
    </row>
    <row r="7252">
      <c r="A7252" s="1">
        <v>5.0</v>
      </c>
      <c r="B7252" s="1" t="s">
        <v>7202</v>
      </c>
      <c r="C7252" t="str">
        <f>IFERROR(__xludf.DUMMYFUNCTION("GOOGLETRANSLATE(B7252, ""es"", ""en"")"),"Han recommended very good out. As the expected size")</f>
        <v>Han recommended very good out. As the expected size</v>
      </c>
    </row>
    <row r="7253">
      <c r="A7253" s="1">
        <v>5.0</v>
      </c>
      <c r="B7253" s="1" t="s">
        <v>7203</v>
      </c>
      <c r="C7253" t="str">
        <f>IFERROR(__xludf.DUMMYFUNCTION("GOOGLETRANSLATE(B7253, ""es"", ""en"")"),"Very high quality amazing, as it sounds, as it adapts to the ear and the sound insulation you have, you put them and hear nothing around you, the Bluetooth quick grabs with the application and the best is that pliegas in his carrying bag acupa not anythin"&amp;"g 100x100 recommended.")</f>
        <v>Very high quality amazing, as it sounds, as it adapts to the ear and the sound insulation you have, you put them and hear nothing around you, the Bluetooth quick grabs with the application and the best is that pliegas in his carrying bag acupa not anything 100x100 recommended.</v>
      </c>
    </row>
    <row r="7254">
      <c r="A7254" s="1">
        <v>5.0</v>
      </c>
      <c r="B7254" s="1" t="s">
        <v>7204</v>
      </c>
      <c r="C7254" t="str">
        <f>IFERROR(__xludf.DUMMYFUNCTION("GOOGLETRANSLATE(B7254, ""es"", ""en"")"),"Very nice good product recommended.")</f>
        <v>Very nice good product recommended.</v>
      </c>
    </row>
    <row r="7255">
      <c r="A7255" s="1">
        <v>5.0</v>
      </c>
      <c r="B7255" s="1" t="s">
        <v>7205</v>
      </c>
      <c r="C7255" t="str">
        <f>IFERROR(__xludf.DUMMYFUNCTION("GOOGLETRANSLATE(B7255, ""es"", ""en"")"),"It is a good gift money very elegant and very fine, left is good quality")</f>
        <v>It is a good gift money very elegant and very fine, left is good quality</v>
      </c>
    </row>
    <row r="7256">
      <c r="A7256" s="1">
        <v>5.0</v>
      </c>
      <c r="B7256" s="1" t="s">
        <v>7206</v>
      </c>
      <c r="C7256" t="str">
        <f>IFERROR(__xludf.DUMMYFUNCTION("GOOGLETRANSLATE(B7256, ""es"", ""en"")"),"Functional and warm I love this bag of hot water. Does not weigh as much as others I have had and as the interior is not rubber, it does not smell as strong as most bags. The outer fabric is also very nice.")</f>
        <v>Functional and warm I love this bag of hot water. Does not weigh as much as others I have had and as the interior is not rubber, it does not smell as strong as most bags. The outer fabric is also very nice.</v>
      </c>
    </row>
    <row r="7257">
      <c r="A7257" s="1">
        <v>5.0</v>
      </c>
      <c r="B7257" s="1" t="s">
        <v>7207</v>
      </c>
      <c r="C7257" t="str">
        <f>IFERROR(__xludf.DUMMYFUNCTION("GOOGLETRANSLATE(B7257, ""es"", ""en"")"),"Excellent Excellent microphone condenser microphone. Recommended to almost 100% for professional use. It has several operating modes that make it very versatile.")</f>
        <v>Excellent Excellent microphone condenser microphone. Recommended to almost 100% for professional use. It has several operating modes that make it very versatile.</v>
      </c>
    </row>
    <row r="7258">
      <c r="A7258" s="1">
        <v>5.0</v>
      </c>
      <c r="B7258" s="1" t="s">
        <v>7208</v>
      </c>
      <c r="C7258" t="str">
        <f>IFERROR(__xludf.DUMMYFUNCTION("GOOGLETRANSLATE(B7258, ""es"", ""en"")"),"It is a perfect gift great.")</f>
        <v>It is a perfect gift great.</v>
      </c>
    </row>
    <row r="7259">
      <c r="A7259" s="1">
        <v>5.0</v>
      </c>
      <c r="B7259" s="1" t="s">
        <v>7209</v>
      </c>
      <c r="C7259" t="str">
        <f>IFERROR(__xludf.DUMMYFUNCTION("GOOGLETRANSLATE(B7259, ""es"", ""en"")"),"Very good impression. It is an alarm clock with FM radio built. It meets all expectations of an alarm clock (time, alarm, Snoze, radio, ...). quite a few more features are useful. For example the light used to read with the lights off. Different alarm sou"&amp;"nds (including sounds of nature). Also, if you have kids, having a functionality of sunset (15, 30, 60 m) which reproduces a sunset (it decreases the light to off), which can be used as a nightlight. Tambiés has different colors of light. Definitely an in"&amp;"teresting option for both adults and children. A improvable thing would touch the top buttons.")</f>
        <v>Very good impression. It is an alarm clock with FM radio built. It meets all expectations of an alarm clock (time, alarm, Snoze, radio, ...). quite a few more features are useful. For example the light used to read with the lights off. Different alarm sounds (including sounds of nature). Also, if you have kids, having a functionality of sunset (15, 30, 60 m) which reproduces a sunset (it decreases the light to off), which can be used as a nightlight. Tambiés has different colors of light. Definitely an interesting option for both adults and children. A improvable thing would touch the top buttons.</v>
      </c>
    </row>
    <row r="7260">
      <c r="A7260" s="1">
        <v>5.0</v>
      </c>
      <c r="B7260" s="1" t="s">
        <v>7210</v>
      </c>
      <c r="C7260" t="str">
        <f>IFERROR(__xludf.DUMMYFUNCTION("GOOGLETRANSLATE(B7260, ""es"", ""en"")"),"Good set to complete the purchase of the extractor Medela Purchase seems to me essential if the extractor Medela is acquired. It comes with: - Teat ""Calm"" - 5 freezer bags - 2 small bottles - 2 medium bottle teat ""Calma"" we found very good, since it m"&amp;"akes the baby suck like if the mother amantase him. Thus it is not customary to drink normal bottles.")</f>
        <v>Good set to complete the purchase of the extractor Medela Purchase seems to me essential if the extractor Medela is acquired. It comes with: - Teat "Calm" - 5 freezer bags - 2 small bottles - 2 medium bottle teat "Calma" we found very good, since it makes the baby suck like if the mother amantase him. Thus it is not customary to drink normal bottles.</v>
      </c>
    </row>
    <row r="7261">
      <c r="A7261" s="1">
        <v>5.0</v>
      </c>
      <c r="B7261" s="1" t="s">
        <v>7211</v>
      </c>
      <c r="C7261" t="str">
        <f>IFERROR(__xludf.DUMMYFUNCTION("GOOGLETRANSLATE(B7261, ""es"", ""en"")"),"George. Large and the light time. What I was looking for. In addition, when (very fine) occupies very little folds. You might think of all that is fragile but no. I fit very well folios that's what I wanted.")</f>
        <v>George. Large and the light time. What I was looking for. In addition, when (very fine) occupies very little folds. You might think of all that is fragile but no. I fit very well folios that's what I wanted.</v>
      </c>
    </row>
    <row r="7262">
      <c r="A7262" s="1">
        <v>5.0</v>
      </c>
      <c r="B7262" s="1" t="s">
        <v>7212</v>
      </c>
      <c r="C7262" t="str">
        <f>IFERROR(__xludf.DUMMYFUNCTION("GOOGLETRANSLATE(B7262, ""es"", ""en"")"),"Stunning stunning, that is the word that defines these headphones. Starting with its design, very modern, elegant and attractive, which makes the stay as infatuated see them, as happened to me. As for functionality, they are of superior quality in all its"&amp;" features. Pairs with Bluetooth in a very simple way and can use headphones in an individual way each, or 2 together, in stereo. As for the sound, it has great quality, plus bantante isolate noise outside, with consequent benefits for sound quality. One o"&amp;"f the things I most liked is the ability to charge the battery as being charged to 100% allows you to use the headphones for many hours. And the burden of the base is done fairly quickly, a little more than a couple of about hours. They are also resistant"&amp;" to water and sweat. I, who do I like jogging with headphones on, I have checked several days, and do not disappoint. And finally come with a case to keep the base, ear pads parts and instructions in Castilian. That said, STUNNING !!!")</f>
        <v>Stunning stunning, that is the word that defines these headphones. Starting with its design, very modern, elegant and attractive, which makes the stay as infatuated see them, as happened to me. As for functionality, they are of superior quality in all its features. Pairs with Bluetooth in a very simple way and can use headphones in an individual way each, or 2 together, in stereo. As for the sound, it has great quality, plus bantante isolate noise outside, with consequent benefits for sound quality. One of the things I most liked is the ability to charge the battery as being charged to 100% allows you to use the headphones for many hours. And the burden of the base is done fairly quickly, a little more than a couple of about hours. They are also resistant to water and sweat. I, who do I like jogging with headphones on, I have checked several days, and do not disappoint. And finally come with a case to keep the base, ear pads parts and instructions in Castilian. That said, STUNNING !!!</v>
      </c>
    </row>
    <row r="7263">
      <c r="A7263" s="1">
        <v>2.0</v>
      </c>
      <c r="B7263" s="1" t="s">
        <v>7213</v>
      </c>
      <c r="C7263" t="str">
        <f>IFERROR(__xludf.DUMMYFUNCTION("GOOGLETRANSLATE(B7263, ""es"", ""en"")"),"It is poor quality Not bad")</f>
        <v>It is poor quality Not bad</v>
      </c>
    </row>
    <row r="7264">
      <c r="A7264" s="1">
        <v>3.0</v>
      </c>
      <c r="B7264" s="1" t="s">
        <v>7214</v>
      </c>
      <c r="C7264" t="str">
        <f>IFERROR(__xludf.DUMMYFUNCTION("GOOGLETRANSLATE(B7264, ""es"", ""en"")"),"I expected better quality not understand why this is the second time I wear and colorfast on the inside and black stain cords and inside the shoe ... I've had these same shoes in this and previous model years there has never happened to me. I also had mor"&amp;"e models of vans from the same cloth and never happened .... I expected another quality for the price they will not buy")</f>
        <v>I expected better quality not understand why this is the second time I wear and colorfast on the inside and black stain cords and inside the shoe ... I've had these same shoes in this and previous model years there has never happened to me. I also had more models of vans from the same cloth and never happened .... I expected another quality for the price they will not buy</v>
      </c>
    </row>
    <row r="7265">
      <c r="A7265" s="1">
        <v>3.0</v>
      </c>
      <c r="B7265" s="1" t="s">
        <v>7215</v>
      </c>
      <c r="C7265" t="str">
        <f>IFERROR(__xludf.DUMMYFUNCTION("GOOGLETRANSLATE(B7265, ""es"", ""en"")"),"a little generally well adjusted, perhaps could have the option to extend pins to leave a little more space between the lens and the glasses we use.")</f>
        <v>a little generally well adjusted, perhaps could have the option to extend pins to leave a little more space between the lens and the glasses we use.</v>
      </c>
    </row>
    <row r="7266">
      <c r="A7266" s="1">
        <v>1.0</v>
      </c>
      <c r="B7266" s="1" t="s">
        <v>7216</v>
      </c>
      <c r="C7266" t="str">
        <f>IFERROR(__xludf.DUMMYFUNCTION("GOOGLETRANSLATE(B7266, ""es"", ""en"")"),"delay the clock is about 3 months and longer fails minutes delayed work but the time is late therefore understand that stack has, but not delayed a few minutes but hours. money thrown away")</f>
        <v>delay the clock is about 3 months and longer fails minutes delayed work but the time is late therefore understand that stack has, but not delayed a few minutes but hours. money thrown away</v>
      </c>
    </row>
    <row r="7267">
      <c r="A7267" s="1">
        <v>1.0</v>
      </c>
      <c r="B7267" s="1" t="s">
        <v>7217</v>
      </c>
      <c r="C7267" t="str">
        <f>IFERROR(__xludf.DUMMYFUNCTION("GOOGLETRANSLATE(B7267, ""es"", ""en"")"),"The poor quality product lasted about ten days of use. The main zipper is broken and has begun to peel off the skin.")</f>
        <v>The poor quality product lasted about ten days of use. The main zipper is broken and has begun to peel off the skin.</v>
      </c>
    </row>
    <row r="7268">
      <c r="A7268" s="1">
        <v>4.0</v>
      </c>
      <c r="B7268" s="1" t="s">
        <v>7218</v>
      </c>
      <c r="C7268" t="str">
        <f>IFERROR(__xludf.DUMMYFUNCTION("GOOGLETRANSLATE(B7268, ""es"", ""en"")"),"Blenders father versa I like his power, also as smoothies but I remain quite concerned that at the base after two months of using the rotor begins to appear rusty")</f>
        <v>Blenders father versa I like his power, also as smoothies but I remain quite concerned that at the base after two months of using the rotor begins to appear rusty</v>
      </c>
    </row>
    <row r="7269">
      <c r="A7269" s="1">
        <v>4.0</v>
      </c>
      <c r="B7269" s="1" t="s">
        <v>7219</v>
      </c>
      <c r="C7269" t="str">
        <f>IFERROR(__xludf.DUMMYFUNCTION("GOOGLETRANSLATE(B7269, ""es"", ""en"")"),"Comfort for walking")</f>
        <v>Comfort for walking</v>
      </c>
    </row>
    <row r="7270">
      <c r="A7270" s="1">
        <v>4.0</v>
      </c>
      <c r="B7270" s="1" t="s">
        <v>7220</v>
      </c>
      <c r="C7270" t="str">
        <f>IFERROR(__xludf.DUMMYFUNCTION("GOOGLETRANSLATE(B7270, ""es"", ""en"")"),"Good buy, very light. Ordered a 44EU and sent 45, thought wrong serious but carrying the inner sheet is an appropriate number. Very good quality, not give it 5 stars because you have to see what that last with use but I'm very satisfied. Thank you.")</f>
        <v>Good buy, very light. Ordered a 44EU and sent 45, thought wrong serious but carrying the inner sheet is an appropriate number. Very good quality, not give it 5 stars because you have to see what that last with use but I'm very satisfied. Thank you.</v>
      </c>
    </row>
    <row r="7271">
      <c r="A7271" s="1">
        <v>4.0</v>
      </c>
      <c r="B7271" s="1" t="s">
        <v>7221</v>
      </c>
      <c r="C7271" t="str">
        <f>IFERROR(__xludf.DUMMYFUNCTION("GOOGLETRANSLATE(B7271, ""es"", ""en"")"),"2.5 mm roll of 20 meters looks very good quality cable. Both the cable sheath as copper itself are seen that are quality. I bought the roll of dark color. it is almost black and brings a mark on one of the cables to differentiate both so do not be confuse"&amp;"d in long runs of which is the positive and negative for the speaker. I would buy it")</f>
        <v>2.5 mm roll of 20 meters looks very good quality cable. Both the cable sheath as copper itself are seen that are quality. I bought the roll of dark color. it is almost black and brings a mark on one of the cables to differentiate both so do not be confused in long runs of which is the positive and negative for the speaker. I would buy it</v>
      </c>
    </row>
    <row r="7272">
      <c r="A7272" s="1">
        <v>4.0</v>
      </c>
      <c r="B7272" s="1" t="s">
        <v>7222</v>
      </c>
      <c r="C7272" t="str">
        <f>IFERROR(__xludf.DUMMYFUNCTION("GOOGLETRANSLATE(B7272, ""es"", ""en"")"),"Good brand but low actual speed I bought the brand because I've had bad experiences with other memories less have failed to name overnight. This Sandisk has good build quality (important to me), and I hope the quality of internal components are at the sam"&amp;"e height. The connector is retractable, which is useful and also allows to dispense with separate cover. The transfer rate is low, it is the only drawback that I see.")</f>
        <v>Good brand but low actual speed I bought the brand because I've had bad experiences with other memories less have failed to name overnight. This Sandisk has good build quality (important to me), and I hope the quality of internal components are at the same height. The connector is retractable, which is useful and also allows to dispense with separate cover. The transfer rate is low, it is the only drawback that I see.</v>
      </c>
    </row>
    <row r="7273">
      <c r="A7273" s="1">
        <v>5.0</v>
      </c>
      <c r="B7273" s="1" t="s">
        <v>7223</v>
      </c>
      <c r="C7273" t="str">
        <f>IFERROR(__xludf.DUMMYFUNCTION("GOOGLETRANSLATE(B7273, ""es"", ""en"")"),"An all terrain!! For years I use this model clock and do not disappoint me. I always bought in store. This time I decided to try through Amazon. Thought might be a fake but it is not. If you push the right button 3 seconds, the Casio word appears. That is"&amp;" the proof of its authenticity. I have always used both for sport and for the construction and even welding is my business for years. It's hard as a rock !! I have always lasted years. The only downside it is the strap but if it breaks and gets another ru"&amp;"n not pretend to be a luxury watch is a watch that meets basic functions and also submersible. There are bad reviews about it but it's like everything else, everyone has their vision. For me and for what I use. PERFECT!!")</f>
        <v>An all terrain!! For years I use this model clock and do not disappoint me. I always bought in store. This time I decided to try through Amazon. Thought might be a fake but it is not. If you push the right button 3 seconds, the Casio word appears. That is the proof of its authenticity. I have always used both for sport and for the construction and even welding is my business for years. It's hard as a rock !! I have always lasted years. The only downside it is the strap but if it breaks and gets another run not pretend to be a luxury watch is a watch that meets basic functions and also submersible. There are bad reviews about it but it's like everything else, everyone has their vision. For me and for what I use. PERFECT!!</v>
      </c>
    </row>
    <row r="7274">
      <c r="A7274" s="1">
        <v>5.0</v>
      </c>
      <c r="B7274" s="1" t="s">
        <v>7224</v>
      </c>
      <c r="C7274" t="str">
        <f>IFERROR(__xludf.DUMMYFUNCTION("GOOGLETRANSLATE(B7274, ""es"", ""en"")"),"Braun Multiquick Well, this device is something my wife, and she in these chores knows more than me, but says the money of this article is linked to their needs, so it's a good product ..")</f>
        <v>Braun Multiquick Well, this device is something my wife, and she in these chores knows more than me, but says the money of this article is linked to their needs, so it's a good product ..</v>
      </c>
    </row>
    <row r="7275">
      <c r="A7275" s="1">
        <v>5.0</v>
      </c>
      <c r="B7275" s="1" t="s">
        <v>7225</v>
      </c>
      <c r="C7275" t="str">
        <f>IFERROR(__xludf.DUMMYFUNCTION("GOOGLETRANSLATE(B7275, ""es"", ""en"")"),"Comfortable shoes excellent both for sport and to go for a walk, my wife loves")</f>
        <v>Comfortable shoes excellent both for sport and to go for a walk, my wife loves</v>
      </c>
    </row>
    <row r="7276">
      <c r="A7276" s="1">
        <v>5.0</v>
      </c>
      <c r="B7276" s="1" t="s">
        <v>7226</v>
      </c>
      <c r="C7276" t="str">
        <f>IFERROR(__xludf.DUMMYFUNCTION("GOOGLETRANSLATE(B7276, ""es"", ""en"")"),"They are very comfortable I love")</f>
        <v>They are very comfortable I love</v>
      </c>
    </row>
    <row r="7277">
      <c r="A7277" s="1">
        <v>5.0</v>
      </c>
      <c r="B7277" s="1" t="s">
        <v>7227</v>
      </c>
      <c r="C7277" t="str">
        <f>IFERROR(__xludf.DUMMYFUNCTION("GOOGLETRANSLATE(B7277, ""es"", ""en"")"),"Nice and comfortable The Gotcha on sale a few days ago for 32 €. They came to me yesterday and the truth is that they are very nice, quality is quite good and ""mistakes"" are not manufacturing. They are very comfortable to walk. The've taken over a whole"&amp;" and have not bothered me day also say that absolutely weigh nothing, which is much appreciated. They are quite fresh that by the time you are doing and which will soon come very well. Fully recommended price for content but for more than 40-50 may not bu"&amp;"y them.")</f>
        <v>Nice and comfortable The Gotcha on sale a few days ago for 32 €. They came to me yesterday and the truth is that they are very nice, quality is quite good and "mistakes" are not manufacturing. They are very comfortable to walk. The've taken over a whole and have not bothered me day also say that absolutely weigh nothing, which is much appreciated. They are quite fresh that by the time you are doing and which will soon come very well. Fully recommended price for content but for more than 40-50 may not buy them.</v>
      </c>
    </row>
    <row r="7278">
      <c r="A7278" s="1">
        <v>5.0</v>
      </c>
      <c r="B7278" s="1" t="s">
        <v>7228</v>
      </c>
      <c r="C7278" t="str">
        <f>IFERROR(__xludf.DUMMYFUNCTION("GOOGLETRANSLATE(B7278, ""es"", ""en"")"),"perfect and inexpensive item Perfect! As it has been since my mother has noticed improvement in her back")</f>
        <v>perfect and inexpensive item Perfect! As it has been since my mother has noticed improvement in her back</v>
      </c>
    </row>
    <row r="7279">
      <c r="A7279" s="1">
        <v>5.0</v>
      </c>
      <c r="B7279" s="1" t="s">
        <v>7229</v>
      </c>
      <c r="C7279" t="str">
        <f>IFERROR(__xludf.DUMMYFUNCTION("GOOGLETRANSLATE(B7279, ""es"", ""en"")"),"The workmanship is exquisite workmanship is exquisite, simple and fashionable, it is also very convenient to use, the sound is not great and the juice produced is also very good.")</f>
        <v>The workmanship is exquisite workmanship is exquisite, simple and fashionable, it is also very convenient to use, the sound is not great and the juice produced is also very good.</v>
      </c>
    </row>
    <row r="7280">
      <c r="A7280" s="1">
        <v>5.0</v>
      </c>
      <c r="B7280" s="1" t="s">
        <v>7230</v>
      </c>
      <c r="C7280" t="str">
        <f>IFERROR(__xludf.DUMMYFUNCTION("GOOGLETRANSLATE(B7280, ""es"", ""en"")"),"Everything ok all perfect. I repeat purchase.")</f>
        <v>Everything ok all perfect. I repeat purchase.</v>
      </c>
    </row>
    <row r="7281">
      <c r="A7281" s="1">
        <v>5.0</v>
      </c>
      <c r="B7281" s="1" t="s">
        <v>7231</v>
      </c>
      <c r="C7281" t="str">
        <f>IFERROR(__xludf.DUMMYFUNCTION("GOOGLETRANSLATE(B7281, ""es"", ""en"")"),"It looks good. Llegay and put just a little, a bit is a hint index finger, and I neck. Gives much, much too hot slips well ... good buy, I'll buy cold right now!")</f>
        <v>It looks good. Llegay and put just a little, a bit is a hint index finger, and I neck. Gives much, much too hot slips well ... good buy, I'll buy cold right now!</v>
      </c>
    </row>
    <row r="7282">
      <c r="A7282" s="1">
        <v>5.0</v>
      </c>
      <c r="B7282" s="1" t="s">
        <v>7232</v>
      </c>
      <c r="C7282" t="str">
        <f>IFERROR(__xludf.DUMMYFUNCTION("GOOGLETRANSLATE(B7282, ""es"", ""en"")"),"GOOD QUALITY Mo use for a sound system of the trabsjo")</f>
        <v>GOOD QUALITY Mo use for a sound system of the trabsjo</v>
      </c>
    </row>
    <row r="7283">
      <c r="A7283" s="1">
        <v>5.0</v>
      </c>
      <c r="B7283" s="1" t="s">
        <v>7233</v>
      </c>
      <c r="C7283" t="str">
        <f>IFERROR(__xludf.DUMMYFUNCTION("GOOGLETRANSLATE(B7283, ""es"", ""en"")"),"Good product good product and a good price. The size was chosen for a similar product and therefore can not compare to other brands. The shipment arrived in good condition and soon.")</f>
        <v>Good product good product and a good price. The size was chosen for a similar product and therefore can not compare to other brands. The shipment arrived in good condition and soon.</v>
      </c>
    </row>
    <row r="7284">
      <c r="A7284" s="1">
        <v>5.0</v>
      </c>
      <c r="B7284" s="1" t="s">
        <v>7234</v>
      </c>
      <c r="C7284" t="str">
        <f>IFERROR(__xludf.DUMMYFUNCTION("GOOGLETRANSLATE(B7284, ""es"", ""en"")"),"Relieves back pain I bought it because a family member suffers from back problems occasionally, not chronic pain. The massager produces the relief after a while to be using and uses both the back and neck. It comes in a box gift beautifully presented and "&amp;"has an adapter for the car cigarette lighter.")</f>
        <v>Relieves back pain I bought it because a family member suffers from back problems occasionally, not chronic pain. The massager produces the relief after a while to be using and uses both the back and neck. It comes in a box gift beautifully presented and has an adapter for the car cigarette lighter.</v>
      </c>
    </row>
    <row r="7285">
      <c r="A7285" s="1">
        <v>5.0</v>
      </c>
      <c r="B7285" s="1" t="s">
        <v>7235</v>
      </c>
      <c r="C7285" t="str">
        <f>IFERROR(__xludf.DUMMYFUNCTION("GOOGLETRANSLATE(B7285, ""es"", ""en"")"),"Perfect !! Perfect size, good quality as expected !! They are for a gift and you'll love !!")</f>
        <v>Perfect !! Perfect size, good quality as expected !! They are for a gift and you'll love !!</v>
      </c>
    </row>
    <row r="7286">
      <c r="A7286" s="1">
        <v>5.0</v>
      </c>
      <c r="B7286" s="1" t="s">
        <v>7236</v>
      </c>
      <c r="C7286" t="str">
        <f>IFERROR(__xludf.DUMMYFUNCTION("GOOGLETRANSLATE(B7286, ""es"", ""en"")"),"Perfect Does the job")</f>
        <v>Perfect Does the job</v>
      </c>
    </row>
    <row r="7287">
      <c r="A7287" s="1">
        <v>5.0</v>
      </c>
      <c r="B7287" s="1" t="s">
        <v>7237</v>
      </c>
      <c r="C7287" t="str">
        <f>IFERROR(__xludf.DUMMYFUNCTION("GOOGLETRANSLATE(B7287, ""es"", ""en"")"),"It's fantastic Lets collect all kinds of small wires leaving, when using the scraper strip on the cable so that not perish. Adhesion is very good velcro type and remove or put brainer. Much better than the plasticized wires. I recommend ordering cable.")</f>
        <v>It's fantastic Lets collect all kinds of small wires leaving, when using the scraper strip on the cable so that not perish. Adhesion is very good velcro type and remove or put brainer. Much better than the plasticized wires. I recommend ordering cable.</v>
      </c>
    </row>
    <row r="7288">
      <c r="A7288" s="1">
        <v>5.0</v>
      </c>
      <c r="B7288" s="1" t="s">
        <v>7238</v>
      </c>
      <c r="C7288" t="str">
        <f>IFERROR(__xludf.DUMMYFUNCTION("GOOGLETRANSLATE(B7288, ""es"", ""en"")"),"Value, Good Ok")</f>
        <v>Value, Good Ok</v>
      </c>
    </row>
    <row r="7289">
      <c r="A7289" s="1">
        <v>5.0</v>
      </c>
      <c r="B7289" s="1" t="s">
        <v>7239</v>
      </c>
      <c r="C7289" t="str">
        <f>IFERROR(__xludf.DUMMYFUNCTION("GOOGLETRANSLATE(B7289, ""es"", ""en"")"),"Mary do their duty. I començado with smaller bottles and have followed the same line as the baby bottles did not want to others.")</f>
        <v>Mary do their duty. I començado with smaller bottles and have followed the same line as the baby bottles did not want to others.</v>
      </c>
    </row>
    <row r="7290">
      <c r="A7290" s="1">
        <v>5.0</v>
      </c>
      <c r="B7290" s="1" t="s">
        <v>7240</v>
      </c>
      <c r="C7290" t="str">
        <f>IFERROR(__xludf.DUMMYFUNCTION("GOOGLETRANSLATE(B7290, ""es"", ""en"")"),"The pefect label are phenomenal. The string twine is much more finite than in the photo and do not come hundred strings but very good label")</f>
        <v>The pefect label are phenomenal. The string twine is much more finite than in the photo and do not come hundred strings but very good label</v>
      </c>
    </row>
    <row r="7291">
      <c r="A7291" s="1">
        <v>5.0</v>
      </c>
      <c r="B7291" s="1" t="s">
        <v>7241</v>
      </c>
      <c r="C7291" t="str">
        <f>IFERROR(__xludf.DUMMYFUNCTION("GOOGLETRANSLATE(B7291, ""es"", ""en"")"),"Aroma amazing If you like the smell of white moss, the ambiance is perfect. Aroma got very, pleasant, not heavy. I use a cold steam diffuser Ambienta the room. I found it a bit expensive at the buy, but now I see that spreads enough. Pongo five or six dro"&amp;"ps and is sufficient for a 300ml container. I do not Mess diffuser as I happened to others who were not water soluble.")</f>
        <v>Aroma amazing If you like the smell of white moss, the ambiance is perfect. Aroma got very, pleasant, not heavy. I use a cold steam diffuser Ambienta the room. I found it a bit expensive at the buy, but now I see that spreads enough. Pongo five or six drops and is sufficient for a 300ml container. I do not Mess diffuser as I happened to others who were not water soluble.</v>
      </c>
    </row>
    <row r="7292">
      <c r="A7292" s="1">
        <v>2.0</v>
      </c>
      <c r="B7292" s="1" t="s">
        <v>7242</v>
      </c>
      <c r="C7292" t="str">
        <f>IFERROR(__xludf.DUMMYFUNCTION("GOOGLETRANSLATE(B7292, ""es"", ""en"")"),"PALO very short, makes it hurt my back (and you can not change to another) THE POLE is very short: forcing me to bend back and it hurts. The stick is fitted with three metal tubes, plus the end and the tip of the mop, because I would need the least two mo"&amp;"re tubes. As it comes is a bit shorter than normal broomstick and years that changed normal for long because you allow cleaned stretched back instead of stooping. As this is a little shorter than a normal choice but to bend down and shoulders with my back"&amp;" resents me no choice. My boy is taller than me is not able to finish a room. The only solution would be to buy a second Swifer to have the two tubes that I need because there is no way to put a stick than that of the kit.")</f>
        <v>PALO very short, makes it hurt my back (and you can not change to another) THE POLE is very short: forcing me to bend back and it hurts. The stick is fitted with three metal tubes, plus the end and the tip of the mop, because I would need the least two more tubes. As it comes is a bit shorter than normal broomstick and years that changed normal for long because you allow cleaned stretched back instead of stooping. As this is a little shorter than a normal choice but to bend down and shoulders with my back resents me no choice. My boy is taller than me is not able to finish a room. The only solution would be to buy a second Swifer to have the two tubes that I need because there is no way to put a stick than that of the kit.</v>
      </c>
    </row>
    <row r="7293">
      <c r="A7293" s="1">
        <v>3.0</v>
      </c>
      <c r="B7293" s="1" t="s">
        <v>7243</v>
      </c>
      <c r="C7293" t="str">
        <f>IFERROR(__xludf.DUMMYFUNCTION("GOOGLETRANSLATE(B7293, ""es"", ""en"")"),"The product makes the workaround is fine! All the balls peeled off the first day!")</f>
        <v>The product makes the workaround is fine! All the balls peeled off the first day!</v>
      </c>
    </row>
    <row r="7294">
      <c r="A7294" s="1">
        <v>3.0</v>
      </c>
      <c r="B7294" s="1" t="s">
        <v>7244</v>
      </c>
      <c r="C7294" t="str">
        <f>IFERROR(__xludf.DUMMYFUNCTION("GOOGLETRANSLATE(B7294, ""es"", ""en"")"),"First defective first he gave us problems and we meant losing a huge job saved in. We restored him and received a new one, we cross fingers.")</f>
        <v>First defective first he gave us problems and we meant losing a huge job saved in. We restored him and received a new one, we cross fingers.</v>
      </c>
    </row>
    <row r="7295">
      <c r="A7295" s="1">
        <v>1.0</v>
      </c>
      <c r="B7295" s="1" t="s">
        <v>7245</v>
      </c>
      <c r="C7295" t="str">
        <f>IFERROR(__xludf.DUMMYFUNCTION("GOOGLETRANSLATE(B7295, ""es"", ""en"")"),"Poor quality are lovely and comfortable, but very bad quality of the sole wears nothing, a shame")</f>
        <v>Poor quality are lovely and comfortable, but very bad quality of the sole wears nothing, a shame</v>
      </c>
    </row>
    <row r="7296">
      <c r="A7296" s="1">
        <v>1.0</v>
      </c>
      <c r="B7296" s="1" t="s">
        <v>7246</v>
      </c>
      <c r="C7296" t="str">
        <f>IFERROR(__xludf.DUMMYFUNCTION("GOOGLETRANSLATE(B7296, ""es"", ""en"")"),"¿2 paquetessss? clearly it puts two packages and I only received one .... so I am very unhappy, otherwise they are of good quality but plastics do not fall into that is an offer and then you only receive one")</f>
        <v>¿2 paquetessss? clearly it puts two packages and I only received one .... so I am very unhappy, otherwise they are of good quality but plastics do not fall into that is an offer and then you only receive one</v>
      </c>
    </row>
    <row r="7297">
      <c r="A7297" s="1">
        <v>4.0</v>
      </c>
      <c r="B7297" s="1" t="s">
        <v>7247</v>
      </c>
      <c r="C7297" t="str">
        <f>IFERROR(__xludf.DUMMYFUNCTION("GOOGLETRANSLATE(B7297, ""es"", ""en"")"),"It is more internal than clothing trained eye wear, because if you buy it as a short to train, prick yourself. It is fine as long tight underpants, the leg fits well and is comfortable in the crotch. But if you take it as outer pants (especially white), t"&amp;"hen it is too obvious, marks a lot and transpires. I have the gray and goes something like, though not so obvious.")</f>
        <v>It is more internal than clothing trained eye wear, because if you buy it as a short to train, prick yourself. It is fine as long tight underpants, the leg fits well and is comfortable in the crotch. But if you take it as outer pants (especially white), then it is too obvious, marks a lot and transpires. I have the gray and goes something like, though not so obvious.</v>
      </c>
    </row>
    <row r="7298">
      <c r="A7298" s="1">
        <v>4.0</v>
      </c>
      <c r="B7298" s="1" t="s">
        <v>7248</v>
      </c>
      <c r="C7298" t="str">
        <f>IFERROR(__xludf.DUMMYFUNCTION("GOOGLETRANSLATE(B7298, ""es"", ""en"")"),"Good quality good quality, as is seen in the photo, three keys. I am satisfied with the purchase. The expected size bigger but it suits me.")</f>
        <v>Good quality good quality, as is seen in the photo, three keys. I am satisfied with the purchase. The expected size bigger but it suits me.</v>
      </c>
    </row>
    <row r="7299">
      <c r="A7299" s="1">
        <v>4.0</v>
      </c>
      <c r="B7299" s="1" t="s">
        <v>7249</v>
      </c>
      <c r="C7299" t="str">
        <f>IFERROR(__xludf.DUMMYFUNCTION("GOOGLETRANSLATE(B7299, ""es"", ""en"")"),"While they are correct and put right")</f>
        <v>While they are correct and put right</v>
      </c>
    </row>
    <row r="7300">
      <c r="A7300" s="1">
        <v>4.0</v>
      </c>
      <c r="B7300" s="1" t="s">
        <v>7250</v>
      </c>
      <c r="C7300" t="str">
        <f>IFERROR(__xludf.DUMMYFUNCTION("GOOGLETRANSLATE(B7300, ""es"", ""en"")"),"Very nice very nice. It looks great. Great value for money")</f>
        <v>Very nice very nice. It looks great. Great value for money</v>
      </c>
    </row>
    <row r="7301">
      <c r="A7301" s="1">
        <v>5.0</v>
      </c>
      <c r="B7301" s="1" t="s">
        <v>7251</v>
      </c>
      <c r="C7301" t="str">
        <f>IFERROR(__xludf.DUMMYFUNCTION("GOOGLETRANSLATE(B7301, ""es"", ""en"")"),"Good product quality, looks very strong. Good size too.")</f>
        <v>Good product quality, looks very strong. Good size too.</v>
      </c>
    </row>
    <row r="7302">
      <c r="A7302" s="1">
        <v>5.0</v>
      </c>
      <c r="B7302" s="1" t="s">
        <v>7252</v>
      </c>
      <c r="C7302" t="str">
        <f>IFERROR(__xludf.DUMMYFUNCTION("GOOGLETRANSLATE(B7302, ""es"", ""en"")"),"Vacuums Very good")</f>
        <v>Vacuums Very good</v>
      </c>
    </row>
    <row r="7303">
      <c r="A7303" s="1">
        <v>5.0</v>
      </c>
      <c r="B7303" s="1" t="s">
        <v>7253</v>
      </c>
      <c r="C7303" t="str">
        <f>IFERROR(__xludf.DUMMYFUNCTION("GOOGLETRANSLATE(B7303, ""es"", ""en"")"),"Good product and price! I was pleasantly surprised by this team to hold mics and also for its price / quality. The order arrived quickly and well embalado.Desde then this brand is to keep in cuenta.ya dispose of other products and are really buenos.Recome"&amp;"ndable Neewer purchase")</f>
        <v>Good product and price! I was pleasantly surprised by this team to hold mics and also for its price / quality. The order arrived quickly and well embalado.Desde then this brand is to keep in cuenta.ya dispose of other products and are really buenos.Recomendable Neewer purchase</v>
      </c>
    </row>
    <row r="7304">
      <c r="A7304" s="1">
        <v>5.0</v>
      </c>
      <c r="B7304" s="1" t="s">
        <v>7254</v>
      </c>
      <c r="C7304" t="str">
        <f>IFERROR(__xludf.DUMMYFUNCTION("GOOGLETRANSLATE(B7304, ""es"", ""en"")"),"Very happy speed boiling water is also very fast and the capacity is also very large. The kettle is with good quality and the inner material is very good. It makes no noise. very satisfied.")</f>
        <v>Very happy speed boiling water is also very fast and the capacity is also very large. The kettle is with good quality and the inner material is very good. It makes no noise. very satisfied.</v>
      </c>
    </row>
    <row r="7305">
      <c r="A7305" s="1">
        <v>5.0</v>
      </c>
      <c r="B7305" s="1" t="s">
        <v>7255</v>
      </c>
      <c r="C7305" t="str">
        <f>IFERROR(__xludf.DUMMYFUNCTION("GOOGLETRANSLATE(B7305, ""es"", ""en"")"),"Beautiful thrilled elegant and is very thin neck is 925 to 100% ideal gift also it comes with a very nice and compact case")</f>
        <v>Beautiful thrilled elegant and is very thin neck is 925 to 100% ideal gift also it comes with a very nice and compact case</v>
      </c>
    </row>
    <row r="7306">
      <c r="A7306" s="1">
        <v>5.0</v>
      </c>
      <c r="B7306" s="1" t="s">
        <v>7256</v>
      </c>
      <c r="C7306" t="str">
        <f>IFERROR(__xludf.DUMMYFUNCTION("GOOGLETRANSLATE(B7306, ""es"", ""en"")"),"Perfect glide not very comfortable")</f>
        <v>Perfect glide not very comfortable</v>
      </c>
    </row>
    <row r="7307">
      <c r="A7307" s="1">
        <v>5.0</v>
      </c>
      <c r="B7307" s="1" t="s">
        <v>7257</v>
      </c>
      <c r="C7307" t="str">
        <f>IFERROR(__xludf.DUMMYFUNCTION("GOOGLETRANSLATE(B7307, ""es"", ""en"")"),"Good product. Hard drives quality and proper functioning know when it does the job for many years, obviously this has little time and can not comment on it, but what I have with him is normal running smoothly. Not a potato, seagate so far has always worke"&amp;"d well for me.")</f>
        <v>Good product. Hard drives quality and proper functioning know when it does the job for many years, obviously this has little time and can not comment on it, but what I have with him is normal running smoothly. Not a potato, seagate so far has always worked well for me.</v>
      </c>
    </row>
    <row r="7308">
      <c r="A7308" s="1">
        <v>5.0</v>
      </c>
      <c r="B7308" s="1" t="s">
        <v>7258</v>
      </c>
      <c r="C7308" t="str">
        <f>IFERROR(__xludf.DUMMYFUNCTION("GOOGLETRANSLATE(B7308, ""es"", ""en"")"),"I use this product comfort comfortably walk everywhere, many years ago I use this brand products, its quality")</f>
        <v>I use this product comfort comfortably walk everywhere, many years ago I use this brand products, its quality</v>
      </c>
    </row>
    <row r="7309">
      <c r="A7309" s="1">
        <v>5.0</v>
      </c>
      <c r="B7309" s="1" t="s">
        <v>7259</v>
      </c>
      <c r="C7309" t="str">
        <f>IFERROR(__xludf.DUMMYFUNCTION("GOOGLETRANSLATE(B7309, ""es"", ""en"")"),"Window Cleaning rails buy it for those places in the windows that are difficult to access. true if function. It is easy to grip. I liked it!")</f>
        <v>Window Cleaning rails buy it for those places in the windows that are difficult to access. true if function. It is easy to grip. I liked it!</v>
      </c>
    </row>
    <row r="7310">
      <c r="A7310" s="1">
        <v>5.0</v>
      </c>
      <c r="B7310" s="1" t="s">
        <v>7260</v>
      </c>
      <c r="C7310" t="str">
        <f>IFERROR(__xludf.DUMMYFUNCTION("GOOGLETRANSLATE(B7310, ""es"", ""en"")"),"Very useful, light and handling simple &lt;div id = ""video-block-R34NADH5PKEIM9"" class = ""a-section a-spacing-small a-spacing-top mini video-block""&gt; &lt;div tabindex = ""0"" class = ""airy airy-svg vmin-supported airy-skin-beacon"" style = ""background-colo"&amp;"r: rgb (0, 0, 0) position: relative; width: 100%; height: 100%; font-size: 0px ; overflow: hidden; outline: none; ""&gt; &lt;div class ="" airy-renderer-container ""style ="" position: relative; height: 100%; width: 100%; ""&gt; &lt;video id ="" 7 ""preload = ""auto"&amp;""" src = ""https://images-eu.ssl-images-amazon.com/images/I/B1uCvsxPVxS.mp4"" style = ""position: absolute; left: 0px; top: 0px; overflow: hidden; height : 1px; width: 1px; ""&gt; &lt;/ video&gt; &lt;/ div&gt; &lt;div id ="" airy-slate-preload ""style ="" background-color:"&amp;" rgb (0, 0, 0); background-image: url ( &amp; quot; https: //images-eu.ssl-images-amazon.com/images/I/91czv64wn8S.png&amp;quot;); background-size: Contain; background-position: center center; background-repeat: no-repeat; position : absolute; top: 0px; left: 0px;"&amp;" visibility: visible; width: 100%; height: 100%; ""&gt; &lt;/ div&gt; &lt;iframe scrolling = ""no"" frameborder = ""0"" src = ""about: blank"" style = ""display: none;""&gt; &lt;/ iframe&gt; &lt;div tabindex = ""- 1"" class = ""airy-controls-container ""style ="" opacity: 0; vis"&amp;"ibility: hidden; ""&gt; &lt;div tabindex ="" - 1 ""class ="" airy-screen-size-toggle airy-fullscreen ""&gt; &lt;/ div&gt; &lt;div tabindex ="" - 1 ""class ="" airy-container-bottom "" &gt; &lt;div tabindex = ""- 1"" class = ""airy-track-bar-spacer-left"" style = ""width: 11px;"""&amp;"&gt; &lt;/ div&gt; &lt;div tabindex = ""- 1"" class = ""airy-play- airy toggle-play ""style ="" width: 12px; margin-right: 12px; ""&gt; &lt;/ div&gt; &lt;div tabindex ="" - 1 ""class ="" airy-audio-elements ""style ="" float: right; width: 34px; ""&gt; &lt;div tabindex ="" - 1 ""class"&amp;" ="" airy-audio-toggle airy-on ""&gt; &lt;/ div&gt; &lt;div tabindex ="" - 1 ""class ="" airy-audio-container ""style = ""opacity: 0; visibility: hidden; ""&gt; &lt;div tabindex ="" - 1 ""class ="" airy-audio-track-bar ""style ="" height: 80%; ""&gt; &lt;div tabindex ="" - 1 ""c"&amp;"lass ="" airy-audio- Scrubber-bar ""style ="" height: 85%; ""&gt; &lt;/ div&gt; &lt;div tabindex ="" - 1 ""class ="" airy-audio-scrubber ""style ="" height: 12px; bottom: 85% ""&gt; &lt;/ div&gt; &lt;/ div&gt; &lt;/ div&gt; &lt;/ div&gt; &lt;div tabindex ="" - 1 ""class ="" airy-duration-label """&amp;"style ="" float: right; width: 26px; margin-right: 4px; text-align: center; ""&gt; 0:44 &lt;/ div&gt; &lt;div tabindex ="" - 1 ""class ="" airy-track-bar-spacer-right ""style ="" float: right; width: 11px; ""&gt; &lt;/ div&gt; &lt;div tabindex ="" - 1 ""class ="" airy-track-bar-"&amp;"container ""style ="" margin-left: 35px; margin-right: 75px; ""&gt; &lt;div tabindex ="" - 1 ""class ="" airy-airy-track-bar vertically-centering-table ""&gt; &lt;div tabindex ="" - 1 ""class ="" airy-Vertical-centering- table-cell ""&gt; &lt;div tabindex ="" - 1 ""class ="&amp;""" airy-track-bar-elements ""&gt; &lt;div tabindex ="" - 1 ""class ="" airy-progress-bar ""style ="" width: 18.2583%; ""&gt; &lt;/ div&gt; &lt;div tabindex ="" - 1 ""class ="" airy-scrubber-bar ""&gt; &lt;/ div&gt; &lt;div tabindex ="" - 1 ""class ="" airy-scrubber ""&gt; &lt;div tabindex ="&amp;""" - 1 ""class ="" airy-scrubber-icon ""&gt; &lt;/ div&gt; &lt;div tabindex ="" - 1 ""class ="" airy-adjusted-AUI-tooltip ""style ="" opacity: 0; visibility: hidden; ""&gt; &lt;div tabindex ="" - 1 ""class ="" airy-adjusted-aui-tooltip-inner ""&gt; &lt;div tabindex ="" - 1 ""cla"&amp;"ss ="" airy-current-time-label ""&gt; 0: 00 &lt;/ div&gt; &lt;/ div&gt; &lt;div tabindex = ""- 1"" class = ""airy-adjusted-AUI-arrow-border""&gt; &lt;div tabindex = ""- 1"" class = ""airy-adjusted-AUI-arrow"" &gt; &lt;/ div&gt; &lt;/ div&gt; &lt;/ div&gt; &lt;/ div&gt; &lt;/ div&gt; &lt;/ div&gt; &lt;/ div&gt; &lt;/ div&gt; &lt;/ d"&amp;"iv&gt; &lt;/ div&gt; &lt;div tabindex = ""- 1"" class = ""airy-age-gate airy-stage airy-Vertical-centering-table airy-dialog"" style = ""opacity: 0; visibility: hidden; ""&gt; &lt;div tabindex ="" - 1 ""class ="" airy-age-gate-Vertical-centering-table-cell airy-Vertical-ce"&amp;"ntering-table-cell ""&gt; &lt;div tabindex ="" - 1 ""class = ""airy-Vertical-centering-wrapper airy-age-gate-elements-wrapper""&gt; &lt;div tabindex = ""- 1"" class = ""airy-age-gate-elements airy-dialog-elements""&gt; &lt;div tabindex = "" -1 ""class ="" airy-age-gate-pro"&amp;"mpt ""&gt; This video is not Intended for all audiences What date were you born &lt;/ div&gt; &lt;div tabindex =.?"" - 1 ""class ="" airy-age-gate -inputs airy-dialog-inner-elements ""&gt; &lt;select tabindex ="" - 1 ""class ="" airy-age-gate-month ""&gt; &lt;option value ="" 1 "&amp;"""&gt; January &lt;/ option&gt; &lt;option value ="" 2 ""&gt; February &lt;/ option&gt; &lt;option value ="" 3 ""&gt; March &lt;/ option&gt; &lt;option value ="" 4 ""&gt; April &lt;/ option&gt; &lt;option value ="" 5 ""&gt; May &lt;/ option&gt; &lt;option value = ""6""&gt; June &lt;/ option&gt; &lt;option value = ""7""&gt; July "&amp;"&lt;/ option&gt; &lt;option value = ""8""&gt; August &lt;/ option&gt; &lt;option value = ""9""&gt; September &lt;/ option&gt; &lt;option value = ""10""&gt; October &lt;/ option&gt; &lt;option value = ""11""&gt; November &lt;/ option&gt; &lt;option value = ""12""&gt; December &lt;/ option&gt; &lt;/ select&gt; &lt;select tabindex "&amp;"= ""- 1"" class = ""airy-age-gate-day""&gt; &lt;opti on value = ""1""&gt; 1 &lt;/ option&gt; &lt;option value = ""2""&gt; 2 &lt;/ option&gt; &lt;option value = ""3""&gt; 3 &lt;/ option&gt; &lt;option value = ""4""&gt; 4 &lt;/ option &gt; &lt;option value = ""5""&gt; 5 &lt;/ option&gt; &lt;option value = ""6""&gt; 6 &lt;/ opti"&amp;"on&gt; &lt;option value = ""7""&gt; 7 &lt;/ option&gt; &lt;option value = ""8""&gt; 8 &lt; / option&gt; &lt;option value = ""9""&gt; 9 &lt;/ option&gt; &lt;option value = ""10""&gt; 10 &lt;/ option&gt; &lt;option value = ""11""&gt; 11 &lt;/ option&gt; &lt;option value = ""12""&gt; 12 &lt;/ option&gt; &lt;option value = ""13""&gt; 13 &lt;"&amp;"/ option&gt; &lt;option value = ""14""&gt; 14 &lt;/ option&gt; &lt;option value = ""15""&gt; 15 &lt;/ option&gt; &lt;option value = ""16 ""&gt; 16 &lt;/ option&gt; &lt;option value ="" 17 ""&gt; 17 &lt;/ option&gt; &lt;option value ="" 18 ""&gt; 18 &lt;/ option&gt; &lt;option value ="" 19 ""&gt; 19 &lt;/ option&gt; &lt;option value"&amp;" = ""20""&gt; 20 &lt;/ option&gt; &lt;option value = ""21""&gt; 21 &lt;/ option&gt; &lt;option value = ""22""&gt; 22 &lt;/ option&gt; &lt;option value = ""23""&gt; 23 &lt;/ option&gt; &lt;option value = ""24""&gt; 24 &lt;/ option&gt; &lt;option value = ""25""&gt; 25 &lt;/ option&gt; &lt;option value = ""26""&gt; 26 &lt;/ option&gt; &lt;o"&amp;"ption value = ""27""&gt; 27 &lt;/ option&gt; &lt;option value = ""28""&gt; 28 &lt;/ option&gt; &lt;option value = ""29""&gt; 29 &lt;/ option&gt; &lt;option value = ""30""&gt; 30 &lt;/ option&gt; &lt;option value = ""31""&gt; 31 &lt;/ option&gt; &lt;/ select&gt; &lt;select tabindex = ""- 1"" class = ""airy-age-gate-year"&amp;"""&gt; &lt;option value = ""2019""&gt; 2019 &lt;/ option&gt; &lt; option value = ""2018""&gt; 2018 &lt;/ option&gt; &lt;option value = ""2017""&gt; 2017 &lt;/ option&gt; &lt;option value = ""2016""&gt; ​​2016 &lt;/ option&gt; &lt;option value = ""2015""&gt; 2015 &lt;/ option &gt; &lt;option value = ""2014""&gt; 2014 &lt;/ opt"&amp;"ion&gt; &lt;option value = ""2013""&gt; 2013 &lt;/ option&gt; &lt;option value = ""2012""&gt; 2012 &lt;/ option&gt; &lt;option value = ""2011""&gt; 2011 &lt; / option&gt; &lt;option value = ""2010""&gt; 2010 &lt;/ option&gt; &lt;option value = ""2009""&gt; 2009 &lt;/ option&gt; &lt;option value = ""2008""&gt; 2008 &lt;/ optio"&amp;"n&gt; &lt;option value = ""2007""&gt; 2007 &lt;/ option&gt; &lt;option value = ""2006""&gt; 2006 &lt;/ option&gt; &lt;option value = ""2005""&gt; 2005 &lt;/ option&gt; &lt;option value = ""2004""&gt; 2004 &lt;/ option&gt; &lt;option value = ""2003 ""&gt; 2003 &lt;/ option&gt; &lt;option value ="" 2002 ""&gt; 2002 &lt;/ option"&amp;"&gt; &lt;option value ="" 2001 ""&gt; 2001 &lt;/ option&gt; &lt;option value ="" 2000 ""&gt; 2000 &lt;/ option&gt; &lt;option value = ""1999""&gt; 1999 &lt;/ option&gt; &lt;option value = ""1998""&gt; 1998 &lt;/ option&gt; &lt;option value = ""1997""&gt; 1997 &lt;/ option&gt; &lt;option value = ""1996""&gt; 1996 &lt;/ option&gt;"&amp;" &lt;option value = ""1995""&gt; 1995 &lt;/ option&gt; &lt;option value = ""1994""&gt; 1994 &lt;/ option&gt; &lt;option value = ""1993""&gt; 1993 &lt;/ option&gt; &lt;option value = ""1992""&gt; 1992 &lt;/ option&gt; &lt;option value = ""1991""&gt; 1991 &lt;/ option&gt; &lt;option value = ""1990""&gt; 1990 &lt;/ option&gt; &lt;o"&amp;"ption value = "" 1989 ""&gt; 1989 &lt;/ option&gt; &lt;option value ="" 1988 ""&gt; 1988 &lt;/ option&gt; &lt;option value ="" 1987 ""&gt; 1987 &lt;/ option&gt; &lt;option value ="" 1986 ""&gt; 1986 &lt;/ option&gt; &lt;value option = ""1985""&gt; 1985 &lt;/ option&gt; &lt;option value = ""1984""&gt; 1984 &lt;/ option&gt; "&amp;"&lt;option value = ""1983""&gt; 1983 &lt;/ option&gt; &lt;option value = ""1982""&gt; 1982 &lt;/ option&gt; &lt; option value = ""1981""&gt; 1981 &lt;/ option&gt; &lt;option value = ""1980""&gt; 1980 &lt;/ option&gt; &lt;option value = ""1979""&gt; 1979 &lt;/ option&gt; &lt;option value = ""1978""&gt; 1978 &lt;/ option &gt; &lt;"&amp;"option value = ""1977""&gt; 1977 &lt;/ option&gt; &lt;option value = ""1976""&gt; 1976 &lt;/ option&gt; &lt;option value = ""1975""&gt; 1975 &lt;/ option&gt; &lt;option value = ""1974""&gt; 1974 &lt; / option&gt; &lt;option value = ""1973""&gt; 1973 &lt;/ option&gt; &lt;option value = ""1972""&gt; 1972 &lt;/ option&gt; &lt;op"&amp;"tion value = ""1971""&gt; 1971 &lt;/ option&gt; &lt;option value = ""1970""&gt; 1970 &lt;/ option&gt; &lt;option value = ""1969""&gt; 1969 &lt;/ option&gt; &lt;option value = ""1968""&gt; 1968 &lt;/ option&gt; &lt;option value = ""1967""&gt; 1967 &lt;/ option&gt; &lt;option value = ""1966 ""&gt; 1966 &lt;/ option&gt; &lt;opti"&amp;"on value ="" 1965 ""&gt; 1965 &lt;/ option&gt; &lt;option value ="" 1964 ""&gt; 1964 &lt;/ option&gt; &lt;option value ="" 1963 ""&gt; 1963 &lt;/ option&gt; &lt;option value = ""1962""&gt; 1962 &lt;/ option&gt; &lt;option value = ""1961""&gt; 1961 &lt;/ option&gt; &lt;option value = ""1960""&gt; 1960 &lt;/ op tion&gt; &lt;opt"&amp;"ion value = ""1959""&gt; 1959 &lt;/ option&gt; &lt;option value = ""1958""&gt; 1958 &lt;/ option&gt; &lt;option value = ""1957""&gt; 1957 &lt;/ option&gt; &lt;option value = ""1956""&gt; 1956 &lt;/ option&gt; &lt;option value = ""1955""&gt; 1955 &lt;/ option&gt; &lt;option value = ""1954""&gt; 1954 &lt;/ option&gt; &lt;option"&amp;" value = ""1953""&gt; 1953 &lt;/ option&gt; &lt;option value = ""1952"" &gt; 1952 &lt;/ option&gt; &lt;option value = ""1951""&gt; 1951 &lt;/ option&gt; &lt;option value = ""1950""&gt; 1950 &lt;/ option&gt; &lt;option value = ""1949""&gt; 1949 &lt;/ option&gt; &lt;option value = "" 1948 ""&gt; 1948 &lt;/ option&gt; &lt;option"&amp;" value ="" 1947 ""&gt; 1947 &lt;/ option&gt; &lt;option value ="" 1946 ""&gt; 1946 &lt;/ option&gt; &lt;option value ="" 1945 ""&gt; 1945 &lt;/ option&gt; &lt;value option = ""1944""&gt; 1944 &lt;/ option&gt; &lt;option value = ""1943""&gt; 1943 &lt;/ option&gt; &lt;option value = ""1942""&gt; 1942 &lt;/ option&gt; &lt;option"&amp;" value = ""1941""&gt; 1941 &lt;/ option&gt; &lt; option value = ""1940""&gt; 1940 &lt;/ option&gt; &lt;option value = ""1939""&gt; 1939 &lt;/ option&gt; &lt;option value = ""1938""&gt; 1938 &lt;/ option&gt; &lt;option value = ""1937""&gt; 1937 &lt;/ option &gt; &lt;option value = ""1936""&gt; 1936 &lt;/ option&gt; &lt;option "&amp;"value = ""1935""&gt; 1935 &lt;/ option&gt; &lt;option value = ""1934""&gt; 1934 &lt;/ option&gt; &lt;option value = ""1933""&gt; 1933 &lt; / option&gt; &lt;option value = ""1932""&gt; 1932 &lt;/ option&gt; &lt;option value = ""1931""&gt; 1931 &lt;/ option&gt; &lt;option v alue = ""1930""&gt; 1930 &lt;/ option&gt; &lt;option v"&amp;"alue = ""1929""&gt; 1929 &lt;/ option&gt; &lt;option value = ""1928""&gt; 1928 &lt;/ option&gt; &lt;option value = ""1927""&gt; 1927 &lt;/ option&gt; &lt;option value = ""1926""&gt; 1926 &lt;/ option&gt; &lt;option value = ""1925""&gt; 1925 &lt;/ option&gt; &lt;option value = ""1924""&gt; 1924 &lt;/ option&gt; &lt;option valu"&amp;"e = ""1923""&gt; 1923 &lt;/ option&gt; &lt;option value = ""1922""&gt; 1922 &lt;/ option&gt; &lt;option value = ""1921""&gt; 1921 &lt;/ option&gt; &lt;option value = ""1920""&gt; 1920 &lt;/ option&gt; &lt;option value = ""1919""&gt; 1919 &lt;/ option&gt; &lt;option value = ""1918""&gt; 1918 &lt;/ option&gt; &lt;option value ="&amp;" ""1917""&gt; 1917 &lt;/ option&gt; &lt;option value = ""1916""&gt; 1916 &lt;/ option&gt; &lt;option value = ""1915"" &gt; 1915 &lt;/ option&gt; &lt;option value = ""1914""&gt; 1914 &lt;/ option&gt; &lt;option value = ""1913""&gt; 1913 &lt;/ option&gt; &lt;option value = ""1912""&gt; 1912 &lt;/ option&gt; &lt;option value = "&amp;""" 1911 ""&gt; 1911 &lt;/ option&gt; &lt;option value ="" 1910 ""&gt; 1910 &lt;/ option&gt; &lt;option value ="" 1909 ""&gt; 1909 &lt;/ option&gt; &lt;option value ="" 1908 ""&gt; 1908 &lt;/ option&gt; &lt;value option = ""1907""&gt; 1907 &lt;/ option&gt; &lt;option value = ""1906""&gt; 1906 &lt;/ option&gt; &lt;option value "&amp;"= ""1905""&gt; 1905 &lt;/ option&gt; &lt;option value = ""1904""&gt; 1904 &lt;/ option&gt; &lt; option value = ""1903""&gt; 1903 &lt;/ option&gt; &lt;option value = ""1902""&gt; 1902 &lt;/ option&gt; &lt;option value = ""1901""&gt; 19 01 &lt;/ option&gt; &lt;option value = ""1900""&gt; 1900 &lt;/ option&gt; &lt;/ select&gt; &lt;div"&amp;" tabindex = ""- 1"" class = ""airy-age-gate-submit airy-submit-button airy airy-submit- disabled ""&gt; Submit &lt;/ div&gt; &lt;/ div&gt; &lt;/ div&gt; &lt;/ div&gt; &lt;/ div&gt; &lt;/ div&gt; &lt;div tabindex ="" - 1 ""class ="" airy-install-flash-dialog airy-stage airy -vertical-centering-tab"&amp;"le-dialog airy airy-denied ""style ="" opacity: 0; visibility: hidden; ""&gt; &lt;div tabindex ="" - 1 ""class ="" airy-install-flash-Vertical-centering-table-cell airy-Vertical-centering-table-cell ""&gt; &lt;div tabindex ="" - 1 ""class = ""airy-Vertical-centering-"&amp;"wrapper airy-install-flash-elements-wrapper""&gt; &lt;div tabindex = ""- 1"" class = ""airy-install-flash-elements airy-dialog-elements""&gt; &lt;div tabindex = "" -1 ""class ="" airy-install-flash-prompt ""&gt; Adobe Flash Player is required to watch this video &lt;/ div&gt;"&amp;" &lt;div tabindex =."" - 1 ""class ="" airy-install-flash-button-wrapper airy -dialog-inner-elements ""&gt; &lt;div tabindex ="" - 1 ""class ="" airy-install-flash-button airy-button ""&gt; install Flash Player &lt;/ div&gt; &lt;/ div&gt; &lt;/ div&gt; &lt;/ div&gt; &lt;/ div&gt; &lt;/ div&gt; &lt;div tab"&amp;"index = ""- 1"" class = ""airy-video-unsupported-dialog airy-stage airy-Vertical-centering-table airy-dialog airy-denied"" style = ""opacity: 0; visibility: hidden; ""&gt; &lt;div tabindex ="" - 1 ""class ="" airy-video-unsupported-Vertical-centering-table-cell"&amp;" airy-Vertical-centering-table-cell ""&gt; &lt;div tabindex ="" - 1 ""class = ""airy-Vertical-centering-wrapper airy-video-unsupported-elements-wrapper""&gt; &lt;div tabindex = ""- 1"" class = ""airy-video-unsupported-elements airy-dialog-elements""&gt; &lt;div tabindex = "&amp;""" -1 ""class ="" airy-video-unsupported-prompt ""&gt; &lt;/ div&gt; &lt;/ div&gt; &lt;/ div&gt; &lt;/ div&gt; &lt;/ div&gt; &lt;div tabindex ="" - 1 ""class ="" airy-loading- spinner-stage airy-stage ""&gt; &lt;div tabindex ="" - 1 ""class ="" airy-loading-spinner-Vertical-centering-table-cell a"&amp;"iry-Vertical-centering-table-cell ""&gt; &lt;div tabindex ="" - 1 ""class ="" airy-loading-spinner-container airy-scalable-hint-container ""&gt; &lt;div tabindex ="" - 1 ""class ="" airy-loading-spinner-dummy airy-scalable-dummy ""&gt; &lt;/ div&gt; &lt; div tabindex = ""- 1"" c"&amp;"lass = ""airy-loading-spinner airy-hint"" style = ""visibility: hidden;""&gt; &lt;/ div&gt; &lt;/ div&gt; &lt;/ div&gt; &lt;/ div&gt; &lt;div tabindex = ""- 1 ""class ="" airy-ads-screen-size-toggle airy-screen-size-toggle-fullscreen airy ""style ="" visibility: hidden; ""&gt; &lt;/ div&gt; &lt;d"&amp;"iv tabindex = ""-1"" class = ""airy-ad-prompt-container"" style = ""visibility: hidden;""&gt; &lt;div tabindex = ""- 1"" class = ""airy-ad-prompt-Vertical-centering-table-vertically airy centering-table ""&gt; &lt;div tabindex ="" - 1 ""class ="" airy-ad-prompt-Verti"&amp;"cal-centering-table-cell airy-Vertical-centering-table-cell ""&gt; &lt;div tabindex ="" - 1 ""class = ""airy-ad-prompt-label""&gt; &lt;/ div&gt; &lt;/ div&gt; &lt;/ div&gt; &lt;/ div&gt; &lt;div tabindex = ""- 1"" class = ""airy-ads-controls-container"" style = ""visibility: hidden; ""&gt; &lt;di"&amp;"v tabindex ="" - 1 ""class ="" airy-ads-audio-toggle airy-audio-toggle airy-on ""style ="" visibility: hidden; ""&gt; &lt;/ div&gt; &lt;div tabindex ="" - 1 ""class ="" airy-time-remaining-label-container ""&gt; &lt;div tabindex ="" - 1 ""class ="" airy-time-remaining-Vert"&amp;"ical-centering-table airy-Vertical-centering-table ""&gt; &lt;div tabindex = ""- 1"" class = ""airy-time-remaining-Vertical-centering-table-cell airy-Vertical-centering-table-cell""&gt; &lt;div tabindex = ""- 1"" class = ""airy-Vertical-centering-wrapper airy-time-re"&amp;"maining-label-wrapper ""&gt; &lt;div tabindex ="" - 1 ""class ="" airy-time-remaining-label ""style ="" visibility: hidden; ""&gt; &lt;/ div&gt; &lt;div tabi ndex = ""- 1"" class = ""airy-ad-skip"" style = ""visibility: hidden;""&gt; &lt;/ div&gt; &lt;div tabindex = ""- 1"" class = """&amp;"airy-ad-end"" style = ""visibility: hidden ""&gt; &lt;/ div&gt; &lt;/ div&gt; &lt;/ div&gt; &lt;/ div&gt; &lt;/ div&gt; &lt;div tabindex ="" - 1 ""class ="" airy-learn-more ""style ="" visibility: hidden; ""&gt; &lt;/ div&gt; &lt;/ div&gt; &lt;div tabindex = ""- 1"" class = ""airy-play-toggle-hint-stage airy"&amp;"-stage airy-cursor""&gt; &lt;div tabindex = ""- 1"" class = ""airy-play -toggle-hint-Vertical-centering-table-cell airy-Vertical-centering-table-cell airy-cursor ""&gt; &lt;div tabindex ="" - 1 ""class ="" airy-play-toggle-hint-container airy-scalable- Hint-container"&amp;" ""&gt; &lt;div tabindex ="" - 1 ""class ="" airy-play-toggle-hint-dummy airy-scalable-dummy ""&gt; &lt;/ div&gt; &lt;div tabindex ="" - 1 ""class ="" airy-play -toggle-hint hint airy-airy-play-hint ""style ="" opacity: 1; visibility: visible; ""&gt; &lt;/ div&gt; &lt;/ div&gt; &lt;/ div&gt; &lt;"&amp;"/ div&gt; &lt;div tabindex ="" - 1 ""class ="" airy-replay-hint-stage airy-stage ""style ="" visibility: hidden ; ""&gt; &lt;div tabindex ="" - 1 ""class ="" airy-replay-hint-Vertical-centering-table-cell airy-Vertical-centering-table-cell airy-cursor ""&gt; &lt;div tabind"&amp;"ex ="" - 1 ""class = ""airy-replay-hint-container airy-scalable-hint-container""&gt; &lt;div tabindex = ""- 1"" class = ""airy-replay-hint-dummy airy-scalable-dummy""&gt; &lt;/ div&gt; &lt;div tabindex = ""- 1"" class = ""airy-replay-hint airy-hint""&gt; &lt;/ div&gt; &lt;/ div&gt; &lt;/ di"&amp;"v&gt; &lt;/ div&gt; &lt;div tabindex = ""- 1"" class = ""airy-autoplay-hint -stage airy-stage ""style ="" visibility: hidden; ""&gt; &lt;div tabindex ="" - 1 ""class ="" airy-autoplay-hint-Vertical-centering-table-cell airy-Vertical-centering-table-cell airy- cursor ""&gt; &lt;d"&amp;"iv tabindex ="" - 1 ""class ="" autoplay airy-airy-hint-container-scalable-hint-container ""&gt; &lt;div tabindex ="" - 1 ""class ="" airy-autoplay-hint-dummy airy- scalable-dummy ""&gt; &lt;/ div&gt; &lt;/ div&gt; &lt;/ div&gt; &lt;/ div&gt; &lt;/ div&gt; &lt;/ div&gt; &lt;input type ="" hidden ""name"&amp;" ="" ""value ="" https: // images-eu .ssl-images-amazon.com / images / I / B1uCvsxPVxS.mp4 ""Class ="" video-url ""&gt; &lt;input type ="" hidden ""name ="" ""value ="" https://images-eu.ssl-images-amazon.com/images/I/91czv64wn8S.png ""class ="" video-slate-img"&amp;"-url ""&gt; &amp; nbsp; quite useful and easy to use, carrying a stack of small. In my case I wanted to use to play with my gatehouse and the truth that has loved aemás has enough reach.")</f>
        <v>Very useful, light and handling simple &lt;div id = "video-block-R34NADH5PKEIM9" class = "a-section a-spacing-small a-spacing-top mini video-block"&gt; &lt;div tabindex = "0" class = "airy airy-svg vmin-supported airy-skin-beacon" style = "background-color: rgb (0, 0, 0) position: relative; width: 100%; height: 100%; font-size: 0px ; overflow: hidden; outline: none; "&gt; &lt;div class =" airy-renderer-container "style =" position: relative; height: 100%; width: 100%; "&gt; &lt;video id =" 7 "preload = "auto" src = "https://images-eu.ssl-images-amazon.com/images/I/B1uCvsxPVxS.mp4" style = "position: absolute; left: 0px; top: 0px; overflow: hidden; height : 1px; width: 1px; "&gt; &lt;/ video&gt; &lt;/ div&gt; &lt;div id =" airy-slate-preload "style =" background-color: rgb (0, 0, 0); background-image: url ( &amp; quot; https: //images-eu.ssl-images-amazon.com/images/I/91czv64wn8S.png&amp;quot;); background-size: Contain; background-position: center center; background-repeat: no-repeat; position : absolute; top: 0px; left: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0:44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18.2583%;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B1uCvsxPVxS.mp4 "Class =" video-url "&gt; &lt;input type =" hidden "name =" "value =" https://images-eu.ssl-images-amazon.com/images/I/91czv64wn8S.png "class =" video-slate-img-url "&gt; &amp; nbsp; quite useful and easy to use, carrying a stack of small. In my case I wanted to use to play with my gatehouse and the truth that has loved aemás has enough reach.</v>
      </c>
    </row>
    <row r="7311">
      <c r="A7311" s="1">
        <v>5.0</v>
      </c>
      <c r="B7311" s="1" t="s">
        <v>7261</v>
      </c>
      <c r="C7311" t="str">
        <f>IFERROR(__xludf.DUMMYFUNCTION("GOOGLETRANSLATE(B7311, ""es"", ""en"")"),"massage oils essential oils This set is perfect as it brings various types of aromas and various uses (analgesia, anti-inflammatory, for anxiety and stress, etc.) are 100% natural oils and pure. It is an ideal gift box and cans containing 6 essential oils"&amp;" that last a very long time, since it is necessary to use very few drops in each massage. It is also highly recommended mixed with almond oil to lower its essence and so have a more lasting effect over time.")</f>
        <v>massage oils essential oils This set is perfect as it brings various types of aromas and various uses (analgesia, anti-inflammatory, for anxiety and stress, etc.) are 100% natural oils and pure. It is an ideal gift box and cans containing 6 essential oils that last a very long time, since it is necessary to use very few drops in each massage. It is also highly recommended mixed with almond oil to lower its essence and so have a more lasting effect over time.</v>
      </c>
    </row>
    <row r="7312">
      <c r="A7312" s="1">
        <v>5.0</v>
      </c>
      <c r="B7312" s="1" t="s">
        <v>7262</v>
      </c>
      <c r="C7312" t="str">
        <f>IFERROR(__xludf.DUMMYFUNCTION("GOOGLETRANSLATE(B7312, ""es"", ""en"")"),"/ Quality excellent price / quality excellent price.")</f>
        <v>/ Quality excellent price / quality excellent price.</v>
      </c>
    </row>
    <row r="7313">
      <c r="A7313" s="1">
        <v>5.0</v>
      </c>
      <c r="B7313" s="1" t="s">
        <v>7263</v>
      </c>
      <c r="C7313" t="str">
        <f>IFERROR(__xludf.DUMMYFUNCTION("GOOGLETRANSLATE(B7313, ""es"", ""en"")"),"Ideal gift for someone else's child. It was a gift for my 11 year old daughter. She is thrilled and does not let go. Before buying I recommend to note that you will never again take a nap quietly.")</f>
        <v>Ideal gift for someone else's child. It was a gift for my 11 year old daughter. She is thrilled and does not let go. Before buying I recommend to note that you will never again take a nap quietly.</v>
      </c>
    </row>
    <row r="7314">
      <c r="A7314" s="1">
        <v>5.0</v>
      </c>
      <c r="B7314" s="1" t="s">
        <v>7264</v>
      </c>
      <c r="C7314" t="str">
        <f>IFERROR(__xludf.DUMMYFUNCTION("GOOGLETRANSLATE(B7314, ""es"", ""en"")"),"External to Internal going well. I've been able to put as internal hard drive following a video. To install inside the PC did not recognize, but it solves looking ""fix pin 3.3V issue"". At the end it works as an intern what he intended.")</f>
        <v>External to Internal going well. I've been able to put as internal hard drive following a video. To install inside the PC did not recognize, but it solves looking "fix pin 3.3V issue". At the end it works as an intern what he intended.</v>
      </c>
    </row>
    <row r="7315">
      <c r="A7315" s="1">
        <v>5.0</v>
      </c>
      <c r="B7315" s="1" t="s">
        <v>7265</v>
      </c>
      <c r="C7315" t="str">
        <f>IFERROR(__xludf.DUMMYFUNCTION("GOOGLETRANSLATE(B7315, ""es"", ""en"")"),"Good buy and comfortable. Very comfortable, the number that normally use")</f>
        <v>Good buy and comfortable. Very comfortable, the number that normally use</v>
      </c>
    </row>
    <row r="7316">
      <c r="A7316" s="1">
        <v>5.0</v>
      </c>
      <c r="B7316" s="1" t="s">
        <v>7266</v>
      </c>
      <c r="C7316" t="str">
        <f>IFERROR(__xludf.DUMMYFUNCTION("GOOGLETRANSLATE(B7316, ""es"", ""en"")"),"Perfect adapter for PS Vita adapter Wonderful to have loads of space on your PS Vita and best of all cheap.")</f>
        <v>Perfect adapter for PS Vita adapter Wonderful to have loads of space on your PS Vita and best of all cheap.</v>
      </c>
    </row>
    <row r="7317">
      <c r="A7317" s="1">
        <v>5.0</v>
      </c>
      <c r="B7317" s="1" t="s">
        <v>7267</v>
      </c>
      <c r="C7317" t="str">
        <f>IFERROR(__xludf.DUMMYFUNCTION("GOOGLETRANSLATE(B7317, ""es"", ""en"")"),"Powerful variable speed. Powerful and good. The anchoring mechanism of the cup looks good and stable. Seems resistant glass and also has variable speed.")</f>
        <v>Powerful variable speed. Powerful and good. The anchoring mechanism of the cup looks good and stable. Seems resistant glass and also has variable speed.</v>
      </c>
    </row>
    <row r="7318">
      <c r="A7318" s="1">
        <v>5.0</v>
      </c>
      <c r="B7318" s="1" t="s">
        <v>7268</v>
      </c>
      <c r="C7318" t="str">
        <f>IFERROR(__xludf.DUMMYFUNCTION("GOOGLETRANSLATE(B7318, ""es"", ""en"")"),"Perfect very good, very good pratico and Quality Quality I love better than esperava.")</f>
        <v>Perfect very good, very good pratico and Quality Quality I love better than esperava.</v>
      </c>
    </row>
    <row r="7319">
      <c r="A7319" s="1">
        <v>2.0</v>
      </c>
      <c r="B7319" s="1" t="s">
        <v>7269</v>
      </c>
      <c r="C7319" t="str">
        <f>IFERROR(__xludf.DUMMYFUNCTION("GOOGLETRANSLATE(B7319, ""es"", ""en"")"),"malisimo buy one thought came wrong but asking replacement I realized it was not the fault of the first unit but the product itself gets caught leaving applications, games and even the operating system does not respond for several seconds (20 -30 seconds."&amp;")")</f>
        <v>malisimo buy one thought came wrong but asking replacement I realized it was not the fault of the first unit but the product itself gets caught leaving applications, games and even the operating system does not respond for several seconds (20 -30 seconds.)</v>
      </c>
    </row>
    <row r="7320">
      <c r="A7320" s="1">
        <v>3.0</v>
      </c>
      <c r="B7320" s="1" t="s">
        <v>7270</v>
      </c>
      <c r="C7320" t="str">
        <f>IFERROR(__xludf.DUMMYFUNCTION("GOOGLETRANSLATE(B7320, ""es"", ""en"")"),"It's very comfortable! It is very comfortable but has some small cups.")</f>
        <v>It's very comfortable! It is very comfortable but has some small cups.</v>
      </c>
    </row>
    <row r="7321">
      <c r="A7321" s="1">
        <v>1.0</v>
      </c>
      <c r="B7321" s="1" t="s">
        <v>7271</v>
      </c>
      <c r="C7321" t="str">
        <f>IFERROR(__xludf.DUMMYFUNCTION("GOOGLETRANSLATE(B7321, ""es"", ""en"")"),"USB is not recommended Does not meet my expectations (I have some months with him), for the following reasons: - the transfer rate is much less of that promise (not the PC) - to the use heated outrageous - to the plugging in certain devices, if not imposs"&amp;"ible comes loose it is connect, since uSB is inserted into and does not allow the connection. - the size can be an advantage or a disadvantage depending on what you seek, quite small (little more than a € 2 coin).")</f>
        <v>USB is not recommended Does not meet my expectations (I have some months with him), for the following reasons: - the transfer rate is much less of that promise (not the PC) - to the use heated outrageous - to the plugging in certain devices, if not impossible comes loose it is connect, since uSB is inserted into and does not allow the connection. - the size can be an advantage or a disadvantage depending on what you seek, quite small (little more than a € 2 coin).</v>
      </c>
    </row>
    <row r="7322">
      <c r="A7322" s="1">
        <v>1.0</v>
      </c>
      <c r="B7322" s="1" t="s">
        <v>7272</v>
      </c>
      <c r="C7322" t="str">
        <f>IFERROR(__xludf.DUMMYFUNCTION("GOOGLETRANSLATE(B7322, ""es"", ""en"")"),"The anti-colic system does not work anti-colic system this bottle did not work with my baby")</f>
        <v>The anti-colic system does not work anti-colic system this bottle did not work with my baby</v>
      </c>
    </row>
    <row r="7323">
      <c r="A7323" s="1">
        <v>4.0</v>
      </c>
      <c r="B7323" s="1" t="s">
        <v>7273</v>
      </c>
      <c r="C7323" t="str">
        <f>IFERROR(__xludf.DUMMYFUNCTION("GOOGLETRANSLATE(B7323, ""es"", ""en"")"),"Original good socks socks fit, and enough shelter for the winter because they are high, the quality is always expected spending since this brand.")</f>
        <v>Original good socks socks fit, and enough shelter for the winter because they are high, the quality is always expected spending since this brand.</v>
      </c>
    </row>
    <row r="7324">
      <c r="A7324" s="1">
        <v>4.0</v>
      </c>
      <c r="B7324" s="1" t="s">
        <v>7274</v>
      </c>
      <c r="C7324" t="str">
        <f>IFERROR(__xludf.DUMMYFUNCTION("GOOGLETRANSLATE(B7324, ""es"", ""en"")"),"Socks very comfortable very comfortable as tread, compression is quite high for my taste. All the rest as described in the announcement. Stating that in a 100k Andaina eventually broken due to wear, but I think it was because most of the shoes, then retur"&amp;"ned to buy them and keep them for 10Ks")</f>
        <v>Socks very comfortable very comfortable as tread, compression is quite high for my taste. All the rest as described in the announcement. Stating that in a 100k Andaina eventually broken due to wear, but I think it was because most of the shoes, then returned to buy them and keep them for 10Ks</v>
      </c>
    </row>
    <row r="7325">
      <c r="A7325" s="1">
        <v>4.0</v>
      </c>
      <c r="B7325" s="1" t="s">
        <v>7275</v>
      </c>
      <c r="C7325" t="str">
        <f>IFERROR(__xludf.DUMMYFUNCTION("GOOGLETRANSLATE(B7325, ""es"", ""en"")"),"It works well as expected, meets my expectations.")</f>
        <v>It works well as expected, meets my expectations.</v>
      </c>
    </row>
    <row r="7326">
      <c r="A7326" s="1">
        <v>4.0</v>
      </c>
      <c r="B7326" s="1" t="s">
        <v>7276</v>
      </c>
      <c r="C7326" t="str">
        <f>IFERROR(__xludf.DUMMYFUNCTION("GOOGLETRANSLATE(B7326, ""es"", ""en"")"),"Wearing comfort fits what I expected. Good buy.")</f>
        <v>Wearing comfort fits what I expected. Good buy.</v>
      </c>
    </row>
    <row r="7327">
      <c r="A7327" s="1">
        <v>4.0</v>
      </c>
      <c r="B7327" s="1" t="s">
        <v>7277</v>
      </c>
      <c r="C7327" t="str">
        <f>IFERROR(__xludf.DUMMYFUNCTION("GOOGLETRANSLATE(B7327, ""es"", ""en"")"),"Come in group five, the best are perfect for storing all kinds of files and being five p you allocate each to a different theme")</f>
        <v>Come in group five, the best are perfect for storing all kinds of files and being five p you allocate each to a different theme</v>
      </c>
    </row>
    <row r="7328">
      <c r="A7328" s="1">
        <v>5.0</v>
      </c>
      <c r="B7328" s="1" t="s">
        <v>7278</v>
      </c>
      <c r="C7328" t="str">
        <f>IFERROR(__xludf.DUMMYFUNCTION("GOOGLETRANSLATE(B7328, ""es"", ""en"")"),"good for good switch for switch")</f>
        <v>good for good switch for switch</v>
      </c>
    </row>
    <row r="7329">
      <c r="A7329" s="1">
        <v>5.0</v>
      </c>
      <c r="B7329" s="1" t="s">
        <v>7279</v>
      </c>
      <c r="C7329" t="str">
        <f>IFERROR(__xludf.DUMMYFUNCTION("GOOGLETRANSLATE(B7329, ""es"", ""en"")"),"Perfect quality for dispensing handle having. Very comfortable and last a long time so I advise your purchase")</f>
        <v>Perfect quality for dispensing handle having. Very comfortable and last a long time so I advise your purchase</v>
      </c>
    </row>
    <row r="7330">
      <c r="A7330" s="1">
        <v>5.0</v>
      </c>
      <c r="B7330" s="1" t="s">
        <v>7280</v>
      </c>
      <c r="C7330" t="str">
        <f>IFERROR(__xludf.DUMMYFUNCTION("GOOGLETRANSLATE(B7330, ""es"", ""en"")"),"Perfect wise")</f>
        <v>Perfect wise</v>
      </c>
    </row>
    <row r="7331">
      <c r="A7331" s="1">
        <v>5.0</v>
      </c>
      <c r="B7331" s="1" t="s">
        <v>7281</v>
      </c>
      <c r="C7331" t="str">
        <f>IFERROR(__xludf.DUMMYFUNCTION("GOOGLETRANSLATE(B7331, ""es"", ""en"")"),"Nice Size M corresponds to a 90b-c, the fabric is very good and tough, no relleno.espero to serve my comment to orient himself a little.")</f>
        <v>Nice Size M corresponds to a 90b-c, the fabric is very good and tough, no relleno.espero to serve my comment to orient himself a little.</v>
      </c>
    </row>
    <row r="7332">
      <c r="A7332" s="1">
        <v>5.0</v>
      </c>
      <c r="B7332" s="1" t="s">
        <v>7282</v>
      </c>
      <c r="C7332" t="str">
        <f>IFERROR(__xludf.DUMMYFUNCTION("GOOGLETRANSLATE(B7332, ""es"", ""en"")"),"Wonderful and super practical is the second pair you already bought that, after two years of use, I had broken two strands. Are great, super good fit only use the pie.Yo shoe laces 3 and it's going very well. 100% advisable, and you forget crouch to kill "&amp;"shoes, which in my case de.columna problems, I came great.")</f>
        <v>Wonderful and super practical is the second pair you already bought that, after two years of use, I had broken two strands. Are great, super good fit only use the pie.Yo shoe laces 3 and it's going very well. 100% advisable, and you forget crouch to kill shoes, which in my case de.columna problems, I came great.</v>
      </c>
    </row>
    <row r="7333">
      <c r="A7333" s="1">
        <v>5.0</v>
      </c>
      <c r="B7333" s="1" t="s">
        <v>7283</v>
      </c>
      <c r="C7333" t="str">
        <f>IFERROR(__xludf.DUMMYFUNCTION("GOOGLETRANSLATE(B7333, ""es"", ""en"")"),"Useful resistant and resistant")</f>
        <v>Useful resistant and resistant</v>
      </c>
    </row>
    <row r="7334">
      <c r="A7334" s="1">
        <v>5.0</v>
      </c>
      <c r="B7334" s="1" t="s">
        <v>7284</v>
      </c>
      <c r="C7334" t="str">
        <f>IFERROR(__xludf.DUMMYFUNCTION("GOOGLETRANSLATE(B7334, ""es"", ""en"")"),"It is always very practical use. I find it very useful")</f>
        <v>It is always very practical use. I find it very useful</v>
      </c>
    </row>
    <row r="7335">
      <c r="A7335" s="1">
        <v>5.0</v>
      </c>
      <c r="B7335" s="1" t="s">
        <v>7285</v>
      </c>
      <c r="C7335" t="str">
        <f>IFERROR(__xludf.DUMMYFUNCTION("GOOGLETRANSLATE(B7335, ""es"", ""en"")"),"A great value for money sleeves folder tough and with good finishes. It's not heavy but seems sturdy enough. We are happy with the purchase")</f>
        <v>A great value for money sleeves folder tough and with good finishes. It's not heavy but seems sturdy enough. We are happy with the purchase</v>
      </c>
    </row>
    <row r="7336">
      <c r="A7336" s="1">
        <v>5.0</v>
      </c>
      <c r="B7336" s="1" t="s">
        <v>7286</v>
      </c>
      <c r="C7336" t="str">
        <f>IFERROR(__xludf.DUMMYFUNCTION("GOOGLETRANSLATE(B7336, ""es"", ""en"")"),"Beautiful light and comfortable very comfortable the regale my sister and they loved it.")</f>
        <v>Beautiful light and comfortable very comfortable the regale my sister and they loved it.</v>
      </c>
    </row>
    <row r="7337">
      <c r="A7337" s="1">
        <v>5.0</v>
      </c>
      <c r="B7337" s="1" t="s">
        <v>7287</v>
      </c>
      <c r="C7337" t="str">
        <f>IFERROR(__xludf.DUMMYFUNCTION("GOOGLETRANSLATE(B7337, ""es"", ""en"")"),"Quality and autonomy bought these helmets since previous I had this kind of messed headphones but this format has surprised me a lot since there and I must say that every time are better and this is a proof of that. The design and quality of materials is "&amp;"10. weigh nothing and are perfectly suited to the ear. The sound quality is very good, both serious and acute. Noise cancellation is remarkable. As for battery life, I do not understand how such a small thing can last many hours working. Very happy with t"&amp;"he product.")</f>
        <v>Quality and autonomy bought these helmets since previous I had this kind of messed headphones but this format has surprised me a lot since there and I must say that every time are better and this is a proof of that. The design and quality of materials is 10. weigh nothing and are perfectly suited to the ear. The sound quality is very good, both serious and acute. Noise cancellation is remarkable. As for battery life, I do not understand how such a small thing can last many hours working. Very happy with the product.</v>
      </c>
    </row>
    <row r="7338">
      <c r="A7338" s="1">
        <v>5.0</v>
      </c>
      <c r="B7338" s="1" t="s">
        <v>7288</v>
      </c>
      <c r="C7338" t="str">
        <f>IFERROR(__xludf.DUMMYFUNCTION("GOOGLETRANSLATE(B7338, ""es"", ""en"")"),"Salomon Speedcross great shoe !!!! I enjoy running through the woods with this shoe a lot but the experience is fantastic, feet do not suffer at all")</f>
        <v>Salomon Speedcross great shoe !!!! I enjoy running through the woods with this shoe a lot but the experience is fantastic, feet do not suffer at all</v>
      </c>
    </row>
    <row r="7339">
      <c r="A7339" s="1">
        <v>5.0</v>
      </c>
      <c r="B7339" s="1" t="s">
        <v>7289</v>
      </c>
      <c r="C7339" t="str">
        <f>IFERROR(__xludf.DUMMYFUNCTION("GOOGLETRANSLATE(B7339, ""es"", ""en"")"),"His, until he pushes not cut the retractable blade cutter is simple and accurate, has guides for orthogonal cuts and angled cuts, but the best is its retractable blade that prevents small house can be cut.")</f>
        <v>His, until he pushes not cut the retractable blade cutter is simple and accurate, has guides for orthogonal cuts and angled cuts, but the best is its retractable blade that prevents small house can be cut.</v>
      </c>
    </row>
    <row r="7340">
      <c r="A7340" s="1">
        <v>5.0</v>
      </c>
      <c r="B7340" s="1" t="s">
        <v>7290</v>
      </c>
      <c r="C7340" t="str">
        <f>IFERROR(__xludf.DUMMYFUNCTION("GOOGLETRANSLATE(B7340, ""es"", ""en"")"),"Excellent All right, good stuff")</f>
        <v>Excellent All right, good stuff</v>
      </c>
    </row>
    <row r="7341">
      <c r="A7341" s="1">
        <v>5.0</v>
      </c>
      <c r="B7341" s="1" t="s">
        <v>7291</v>
      </c>
      <c r="C7341" t="str">
        <f>IFERROR(__xludf.DUMMYFUNCTION("GOOGLETRANSLATE(B7341, ""es"", ""en"")"),"Fantastic value A blender American type of stainless steel and glass vase for just over 50 €? For this MYWAVE (which is the first time I hear the brand) it is a fantastic example of quality at a price content. Its 1000W are sufficient for almost everythin"&amp;"g, and blades allow to cut ice, in fact even has an exclusive feature for that. To further enhance the experience has led lights to identify the program you are using or power. It comes in a box protected everywhere most perfectly cork (polyurethane) with"&amp;" no risk that screwed, unless the carrier is a wild.")</f>
        <v>Fantastic value A blender American type of stainless steel and glass vase for just over 50 €? For this MYWAVE (which is the first time I hear the brand) it is a fantastic example of quality at a price content. Its 1000W are sufficient for almost everything, and blades allow to cut ice, in fact even has an exclusive feature for that. To further enhance the experience has led lights to identify the program you are using or power. It comes in a box protected everywhere most perfectly cork (polyurethane) with no risk that screwed, unless the carrier is a wild.</v>
      </c>
    </row>
    <row r="7342">
      <c r="A7342" s="1">
        <v>5.0</v>
      </c>
      <c r="B7342" s="1" t="s">
        <v>7292</v>
      </c>
      <c r="C7342" t="str">
        <f>IFERROR(__xludf.DUMMYFUNCTION("GOOGLETRANSLATE(B7342, ""es"", ""en"")"),"Fast shipping ordered 2 bracelets, one for me and one for my companion, arrived one week earlier, it is very nice and fits well, we have small wrists and looks great, very pleased with the purchase.")</f>
        <v>Fast shipping ordered 2 bracelets, one for me and one for my companion, arrived one week earlier, it is very nice and fits well, we have small wrists and looks great, very pleased with the purchase.</v>
      </c>
    </row>
    <row r="7343">
      <c r="A7343" s="1">
        <v>5.0</v>
      </c>
      <c r="B7343" s="1" t="s">
        <v>7293</v>
      </c>
      <c r="C7343" t="str">
        <f>IFERROR(__xludf.DUMMYFUNCTION("GOOGLETRANSLATE(B7343, ""es"", ""en"")"),"Beautiful. It was for a gift and loved it. Really for the price it is really beautiful.")</f>
        <v>Beautiful. It was for a gift and loved it. Really for the price it is really beautiful.</v>
      </c>
    </row>
    <row r="7344">
      <c r="A7344" s="1">
        <v>5.0</v>
      </c>
      <c r="B7344" s="1" t="s">
        <v>7294</v>
      </c>
      <c r="C7344" t="str">
        <f>IFERROR(__xludf.DUMMYFUNCTION("GOOGLETRANSLATE(B7344, ""es"", ""en"")"),"Very comfortable I bought it because I hurt my wrist. Since that I have not hurt me again, if you bought it before. Very comfortable.")</f>
        <v>Very comfortable I bought it because I hurt my wrist. Since that I have not hurt me again, if you bought it before. Very comfortable.</v>
      </c>
    </row>
    <row r="7345">
      <c r="A7345" s="1">
        <v>5.0</v>
      </c>
      <c r="B7345" s="1" t="s">
        <v>7295</v>
      </c>
      <c r="C7345" t="str">
        <f>IFERROR(__xludf.DUMMYFUNCTION("GOOGLETRANSLATE(B7345, ""es"", ""en"")"),"Great value came to the day of order and works well.")</f>
        <v>Great value came to the day of order and works well.</v>
      </c>
    </row>
    <row r="7346">
      <c r="A7346" s="1">
        <v>5.0</v>
      </c>
      <c r="B7346" s="1" t="s">
        <v>7296</v>
      </c>
      <c r="C7346" t="str">
        <f>IFERROR(__xludf.DUMMYFUNCTION("GOOGLETRANSLATE(B7346, ""es"", ""en"")"),"Perfect perfect, right size, nice and good quality.")</f>
        <v>Perfect perfect, right size, nice and good quality.</v>
      </c>
    </row>
    <row r="7347">
      <c r="A7347" s="1">
        <v>2.0</v>
      </c>
      <c r="B7347" s="1" t="s">
        <v>7297</v>
      </c>
      <c r="C7347" t="str">
        <f>IFERROR(__xludf.DUMMYFUNCTION("GOOGLETRANSLATE(B7347, ""es"", ""en"")"),"It's not like in the picture is not as nice as in the photo, plus it was very big and I could not shrink it. I gave it back.")</f>
        <v>It's not like in the picture is not as nice as in the photo, plus it was very big and I could not shrink it. I gave it back.</v>
      </c>
    </row>
    <row r="7348">
      <c r="A7348" s="1">
        <v>3.0</v>
      </c>
      <c r="B7348" s="1" t="s">
        <v>7298</v>
      </c>
      <c r="C7348" t="str">
        <f>IFERROR(__xludf.DUMMYFUNCTION("GOOGLETRANSLATE(B7348, ""es"", ""en"")"),"To increase the noise level of moisture in a dry room. Maybe not enough.")</f>
        <v>To increase the noise level of moisture in a dry room. Maybe not enough.</v>
      </c>
    </row>
    <row r="7349">
      <c r="A7349" s="1">
        <v>3.0</v>
      </c>
      <c r="B7349" s="1" t="s">
        <v>7299</v>
      </c>
      <c r="C7349" t="str">
        <f>IFERROR(__xludf.DUMMYFUNCTION("GOOGLETRANSLATE(B7349, ""es"", ""en"")"),"Lara adhesives well. very functional and looks good in the photo album. As a negative thing: the box came a little broken")</f>
        <v>Lara adhesives well. very functional and looks good in the photo album. As a negative thing: the box came a little broken</v>
      </c>
    </row>
    <row r="7350">
      <c r="A7350" s="1">
        <v>1.0</v>
      </c>
      <c r="B7350" s="1" t="s">
        <v>7300</v>
      </c>
      <c r="C7350" t="str">
        <f>IFERROR(__xludf.DUMMYFUNCTION("GOOGLETRANSLATE(B7350, ""es"", ""en"")"),"Product wrong is not at all the product I purchased. It is a completely different model and it is one size smaller than I asked")</f>
        <v>Product wrong is not at all the product I purchased. It is a completely different model and it is one size smaller than I asked</v>
      </c>
    </row>
    <row r="7351">
      <c r="A7351" s="1">
        <v>1.0</v>
      </c>
      <c r="B7351" s="1" t="s">
        <v>7301</v>
      </c>
      <c r="C7351" t="str">
        <f>IFERROR(__xludf.DUMMYFUNCTION("GOOGLETRANSLATE(B7351, ""es"", ""en"")"),"Not silver is not silver. Nice design but I hacdn damage because they are not silver")</f>
        <v>Not silver is not silver. Nice design but I hacdn damage because they are not silver</v>
      </c>
    </row>
    <row r="7352">
      <c r="A7352" s="1">
        <v>4.0</v>
      </c>
      <c r="B7352" s="1" t="s">
        <v>7302</v>
      </c>
      <c r="C7352" t="str">
        <f>IFERROR(__xludf.DUMMYFUNCTION("GOOGLETRANSLATE(B7352, ""es"", ""en"")"),"It is long and warm The truth is I liked very bn")</f>
        <v>It is long and warm The truth is I liked very bn</v>
      </c>
    </row>
    <row r="7353">
      <c r="A7353" s="1">
        <v>4.0</v>
      </c>
      <c r="B7353" s="1" t="s">
        <v>7303</v>
      </c>
      <c r="C7353" t="str">
        <f>IFERROR(__xludf.DUMMYFUNCTION("GOOGLETRANSLATE(B7353, ""es"", ""en"")"),"Most of the noise I expected more noise ago that I expected and I do not know, does not stop the whole grind well. True, it is quieter than others, but hey, not as much as we want to sell from Bosch")</f>
        <v>Most of the noise I expected more noise ago that I expected and I do not know, does not stop the whole grind well. True, it is quieter than others, but hey, not as much as we want to sell from Bosch</v>
      </c>
    </row>
    <row r="7354">
      <c r="A7354" s="1">
        <v>4.0</v>
      </c>
      <c r="B7354" s="1" t="s">
        <v>7304</v>
      </c>
      <c r="C7354" t="str">
        <f>IFERROR(__xludf.DUMMYFUNCTION("GOOGLETRANSLATE(B7354, ""es"", ""en"")"),"Successful purchase is an economic and urban shoe usually use a size 38 and I was right by taking a number 39")</f>
        <v>Successful purchase is an economic and urban shoe usually use a size 38 and I was right by taking a number 39</v>
      </c>
    </row>
    <row r="7355">
      <c r="A7355" s="1">
        <v>4.0</v>
      </c>
      <c r="B7355" s="1" t="s">
        <v>7305</v>
      </c>
      <c r="C7355" t="str">
        <f>IFERROR(__xludf.DUMMYFUNCTION("GOOGLETRANSLATE(B7355, ""es"", ""en"")"),"Somewhat winter shoes brogues, I have them from a month ago are somewhat heavy, rigid and laces mejorables.Tallan a little big long but good winter shoes, comfortable, well made, in principle good buy there as they age.")</f>
        <v>Somewhat winter shoes brogues, I have them from a month ago are somewhat heavy, rigid and laces mejorables.Tallan a little big long but good winter shoes, comfortable, well made, in principle good buy there as they age.</v>
      </c>
    </row>
    <row r="7356">
      <c r="A7356" s="1">
        <v>4.0</v>
      </c>
      <c r="B7356" s="1" t="s">
        <v>7306</v>
      </c>
      <c r="C7356" t="str">
        <f>IFERROR(__xludf.DUMMYFUNCTION("GOOGLETRANSLATE(B7356, ""es"", ""en"")"),"Cheap and nice. Even brings box. The order arrived on time. Chain and very pretty hearts. Good finish and look good. maybe a bit small but looks like a good gem. unbeatable value for money. I will buy the matching earring.")</f>
        <v>Cheap and nice. Even brings box. The order arrived on time. Chain and very pretty hearts. Good finish and look good. maybe a bit small but looks like a good gem. unbeatable value for money. I will buy the matching earring.</v>
      </c>
    </row>
    <row r="7357">
      <c r="A7357" s="1">
        <v>5.0</v>
      </c>
      <c r="B7357" s="1" t="s">
        <v>7307</v>
      </c>
      <c r="C7357" t="str">
        <f>IFERROR(__xludf.DUMMYFUNCTION("GOOGLETRANSLATE(B7357, ""es"", ""en"")"),"I love this brand, very good pure oils knew this brand and is the best, very good pure oils, the best lavender, arnica and Tea Tree")</f>
        <v>I love this brand, very good pure oils knew this brand and is the best, very good pure oils, the best lavender, arnica and Tea Tree</v>
      </c>
    </row>
    <row r="7358">
      <c r="A7358" s="1">
        <v>5.0</v>
      </c>
      <c r="B7358" s="1" t="s">
        <v>7308</v>
      </c>
      <c r="C7358" t="str">
        <f>IFERROR(__xludf.DUMMYFUNCTION("GOOGLETRANSLATE(B7358, ""es"", ""en"")"),"Very good! Very good quality and great capacity. It is convenient to use and easy to clean. It can be used for full or a couple of cups. I recommend it")</f>
        <v>Very good! Very good quality and great capacity. It is convenient to use and easy to clean. It can be used for full or a couple of cups. I recommend it</v>
      </c>
    </row>
    <row r="7359">
      <c r="A7359" s="1">
        <v>5.0</v>
      </c>
      <c r="B7359" s="1" t="s">
        <v>7309</v>
      </c>
      <c r="C7359" t="str">
        <f>IFERROR(__xludf.DUMMYFUNCTION("GOOGLETRANSLATE(B7359, ""es"", ""en"")"),"Very classic but very renovated A clock born in 1983 will have to consider a classic. The first of the saga g-shock, and in my opinion the most wearable every day, because it is not big. Really it goes through a digital without further ado, but seen close"&amp;" warns best finishes. The renewal comes from the technology of this particular model, solar, allowing less access to the box for battery change and therefore more maintenance of tightness, and radiocontrolado, although, depending on the area of ​​use can "&amp;"recognize signal better or worse. In my case, Galicia, I've just gotten in, no automatic synchronizations manual. Perhaps less configurable brand some brothers in principle below, and by the fact that the alarms last 10 seconds, not 20 as in others, and i"&amp;"s not an editable parameter, or lighting lights 1.5 seconds, and not being able to choose 3 seconds as other casio. All this seems focused on a system of energy saving, which also ""sleeps"" to watch dawn. While those aspects that were preferred choice of"&amp;" the user. In short, quality g-shock with more subdued image, classic and effective, and with a technological plus that makes it unique. Not disappoint in what sells.")</f>
        <v>Very classic but very renovated A clock born in 1983 will have to consider a classic. The first of the saga g-shock, and in my opinion the most wearable every day, because it is not big. Really it goes through a digital without further ado, but seen close warns best finishes. The renewal comes from the technology of this particular model, solar, allowing less access to the box for battery change and therefore more maintenance of tightness, and radiocontrolado, although, depending on the area of ​​use can recognize signal better or worse. In my case, Galicia, I've just gotten in, no automatic synchronizations manual. Perhaps less configurable brand some brothers in principle below, and by the fact that the alarms last 10 seconds, not 20 as in others, and is not an editable parameter, or lighting lights 1.5 seconds, and not being able to choose 3 seconds as other casio. All this seems focused on a system of energy saving, which also "sleeps" to watch dawn. While those aspects that were preferred choice of the user. In short, quality g-shock with more subdued image, classic and effective, and with a technological plus that makes it unique. Not disappoint in what sells.</v>
      </c>
    </row>
    <row r="7360">
      <c r="A7360" s="1">
        <v>5.0</v>
      </c>
      <c r="B7360" s="1" t="s">
        <v>7310</v>
      </c>
      <c r="C7360" t="str">
        <f>IFERROR(__xludf.DUMMYFUNCTION("GOOGLETRANSLATE(B7360, ""es"", ""en"")"),"This is the second product recommended I buy and I encanta.Buena quality and very duradera.Recomiendo")</f>
        <v>This is the second product recommended I buy and I encanta.Buena quality and very duradera.Recomiendo</v>
      </c>
    </row>
    <row r="7361">
      <c r="A7361" s="1">
        <v>5.0</v>
      </c>
      <c r="B7361" s="1" t="s">
        <v>7311</v>
      </c>
      <c r="C7361" t="str">
        <f>IFERROR(__xludf.DUMMYFUNCTION("GOOGLETRANSLATE(B7361, ""es"", ""en"")"),"Wonderful sounds phenomenal phenomenon is transported great, cover with pocket to keep it all, the requeteencanta micros..me")</f>
        <v>Wonderful sounds phenomenal phenomenon is transported great, cover with pocket to keep it all, the requeteencanta micros..me</v>
      </c>
    </row>
    <row r="7362">
      <c r="A7362" s="1">
        <v>5.0</v>
      </c>
      <c r="B7362" s="1" t="s">
        <v>7312</v>
      </c>
      <c r="C7362" t="str">
        <f>IFERROR(__xludf.DUMMYFUNCTION("GOOGLETRANSLATE(B7362, ""es"", ""en"")"),"Precious Precious!")</f>
        <v>Precious Precious!</v>
      </c>
    </row>
    <row r="7363">
      <c r="A7363" s="1">
        <v>5.0</v>
      </c>
      <c r="B7363" s="1" t="s">
        <v>7313</v>
      </c>
      <c r="C7363" t="str">
        <f>IFERROR(__xludf.DUMMYFUNCTION("GOOGLETRANSLATE(B7363, ""es"", ""en"")"),"Convenient and easy to use since I bought have not had any problems with it. Very easy to use and with excellent results. The use everyday and the truth is that it saves me lots of time. Dustpan, I have not heard from him. 100% recommendable.")</f>
        <v>Convenient and easy to use since I bought have not had any problems with it. Very easy to use and with excellent results. The use everyday and the truth is that it saves me lots of time. Dustpan, I have not heard from him. 100% recommendable.</v>
      </c>
    </row>
    <row r="7364">
      <c r="A7364" s="1">
        <v>5.0</v>
      </c>
      <c r="B7364" s="1" t="s">
        <v>7314</v>
      </c>
      <c r="C7364" t="str">
        <f>IFERROR(__xludf.DUMMYFUNCTION("GOOGLETRANSLATE(B7364, ""es"", ""en"")"),"Very good and quickly heats superfast")</f>
        <v>Very good and quickly heats superfast</v>
      </c>
    </row>
    <row r="7365">
      <c r="A7365" s="1">
        <v>5.0</v>
      </c>
      <c r="B7365" s="1" t="s">
        <v>7315</v>
      </c>
      <c r="C7365" t="str">
        <f>IFERROR(__xludf.DUMMYFUNCTION("GOOGLETRANSLATE(B7365, ""es"", ""en"")"),"Good product Escelente foot massager, it can take anywhere because of its size and does not require plug for a portable battery that can be charged with any USB mobile charger.")</f>
        <v>Good product Escelente foot massager, it can take anywhere because of its size and does not require plug for a portable battery that can be charged with any USB mobile charger.</v>
      </c>
    </row>
    <row r="7366">
      <c r="A7366" s="1">
        <v>5.0</v>
      </c>
      <c r="B7366" s="1" t="s">
        <v>7316</v>
      </c>
      <c r="C7366" t="str">
        <f>IFERROR(__xludf.DUMMYFUNCTION("GOOGLETRANSLATE(B7366, ""es"", ""en"")"),"Great Value Great Value")</f>
        <v>Great Value Great Value</v>
      </c>
    </row>
    <row r="7367">
      <c r="A7367" s="1">
        <v>5.0</v>
      </c>
      <c r="B7367" s="1" t="s">
        <v>7317</v>
      </c>
      <c r="C7367" t="str">
        <f>IFERROR(__xludf.DUMMYFUNCTION("GOOGLETRANSLATE(B7367, ""es"", ""en"")"),"It is as expected I liked a lot ... they are very good, touch is perfect, and comfort as well. right size. recommendable. Greetings.")</f>
        <v>It is as expected I liked a lot ... they are very good, touch is perfect, and comfort as well. right size. recommendable. Greetings.</v>
      </c>
    </row>
    <row r="7368">
      <c r="A7368" s="1">
        <v>5.0</v>
      </c>
      <c r="B7368" s="1" t="s">
        <v>7318</v>
      </c>
      <c r="C7368" t="str">
        <f>IFERROR(__xludf.DUMMYFUNCTION("GOOGLETRANSLATE(B7368, ""es"", ""en"")"),"I think good buy right. It does its job well, I do not mind too much and that use speed 2 and tightening")</f>
        <v>I think good buy right. It does its job well, I do not mind too much and that use speed 2 and tightening</v>
      </c>
    </row>
    <row r="7369">
      <c r="A7369" s="1">
        <v>5.0</v>
      </c>
      <c r="B7369" s="1" t="s">
        <v>7319</v>
      </c>
      <c r="C7369" t="str">
        <f>IFERROR(__xludf.DUMMYFUNCTION("GOOGLETRANSLATE(B7369, ""es"", ""en"")"),"Perfect Perfect, easy handling and operation very quickly")</f>
        <v>Perfect Perfect, easy handling and operation very quickly</v>
      </c>
    </row>
    <row r="7370">
      <c r="A7370" s="1">
        <v>5.0</v>
      </c>
      <c r="B7370" s="1" t="s">
        <v>7320</v>
      </c>
      <c r="C7370" t="str">
        <f>IFERROR(__xludf.DUMMYFUNCTION("GOOGLETRANSLATE(B7370, ""es"", ""en"")"),"Reyes Magos Reyes Waiting for")</f>
        <v>Reyes Magos Reyes Waiting for</v>
      </c>
    </row>
    <row r="7371">
      <c r="A7371" s="1">
        <v>5.0</v>
      </c>
      <c r="B7371" s="1" t="s">
        <v>7321</v>
      </c>
      <c r="C7371" t="str">
        <f>IFERROR(__xludf.DUMMYFUNCTION("GOOGLETRANSLATE(B7371, ""es"", ""en"")"),"COMFORTABLE GOOD AND GOOD AND COMFORTABLE. I am delighted AUQUE TALLAN rather small. ADVISE TO CATCH A SIZE OVER WHICH USUALLY USA")</f>
        <v>COMFORTABLE GOOD AND GOOD AND COMFORTABLE. I am delighted AUQUE TALLAN rather small. ADVISE TO CATCH A SIZE OVER WHICH USUALLY USA</v>
      </c>
    </row>
    <row r="7372">
      <c r="A7372" s="1">
        <v>5.0</v>
      </c>
      <c r="B7372" s="1" t="s">
        <v>7322</v>
      </c>
      <c r="C7372" t="str">
        <f>IFERROR(__xludf.DUMMYFUNCTION("GOOGLETRANSLATE(B7372, ""es"", ""en"")"),"BOTAS BOOTS ARE SUPER WELL, THAT IS THE ONLY THING IS VERY LARGE SIZES, AND I HAVE A 43-44 REQUESTING THAT HE HAD 42.")</f>
        <v>BOTAS BOOTS ARE SUPER WELL, THAT IS THE ONLY THING IS VERY LARGE SIZES, AND I HAVE A 43-44 REQUESTING THAT HE HAD 42.</v>
      </c>
    </row>
    <row r="7373">
      <c r="A7373" s="1">
        <v>5.0</v>
      </c>
      <c r="B7373" s="1" t="s">
        <v>7323</v>
      </c>
      <c r="C7373" t="str">
        <f>IFERROR(__xludf.DUMMYFUNCTION("GOOGLETRANSLATE(B7373, ""es"", ""en"")"),"Effective shipping fast. Absolute efficiency from day one. Great find anti humidity. I was looking for.")</f>
        <v>Effective shipping fast. Absolute efficiency from day one. Great find anti humidity. I was looking for.</v>
      </c>
    </row>
    <row r="7374">
      <c r="A7374" s="1">
        <v>5.0</v>
      </c>
      <c r="B7374" s="1" t="s">
        <v>7324</v>
      </c>
      <c r="C7374" t="str">
        <f>IFERROR(__xludf.DUMMYFUNCTION("GOOGLETRANSLATE(B7374, ""es"", ""en"")"),"Excellent Very easy to use, and records with very good quality")</f>
        <v>Excellent Very easy to use, and records with very good quality</v>
      </c>
    </row>
    <row r="7375">
      <c r="A7375" s="1">
        <v>5.0</v>
      </c>
      <c r="B7375" s="1" t="s">
        <v>7325</v>
      </c>
      <c r="C7375" t="str">
        <f>IFERROR(__xludf.DUMMYFUNCTION("GOOGLETRANSLATE(B7375, ""es"", ""en"")"),"Adidas is cool, all have made back that is bigger than I expected but it's k and asked my son likes keria k is k ..")</f>
        <v>Adidas is cool, all have made back that is bigger than I expected but it's k and asked my son likes keria k is k ..</v>
      </c>
    </row>
    <row r="7376">
      <c r="A7376" s="1">
        <v>2.0</v>
      </c>
      <c r="B7376" s="1" t="s">
        <v>7326</v>
      </c>
      <c r="C7376" t="str">
        <f>IFERROR(__xludf.DUMMYFUNCTION("GOOGLETRANSLATE(B7376, ""es"", ""en"")"),"Extremely basic for the price not have been very pleased with these headphones. For the price and brand, the quality of the audio is very flat. The cable is not very strong and although very basic things like sports are good for music fall short. It also "&amp;"has no microphone for calls to mobile.")</f>
        <v>Extremely basic for the price not have been very pleased with these headphones. For the price and brand, the quality of the audio is very flat. The cable is not very strong and although very basic things like sports are good for music fall short. It also has no microphone for calls to mobile.</v>
      </c>
    </row>
    <row r="7377">
      <c r="A7377" s="1">
        <v>3.0</v>
      </c>
      <c r="B7377" s="1" t="s">
        <v>7327</v>
      </c>
      <c r="C7377" t="str">
        <f>IFERROR(__xludf.DUMMYFUNCTION("GOOGLETRANSLATE(B7377, ""es"", ""en"")"),"Nice but unhelpful if more than 2 people Besides making a lot of noise, the indicator light never gets into green, so do not know if the beer is ready to serve or not. The quality of materials is not quite there but it does the job and who loves the regal"&amp;"e. That if the barrels of ""2litros"" wear out quickly and are not cheap. Additionally or very cold or enter the machine it is not able to be cooled in less than 10 / 12h")</f>
        <v>Nice but unhelpful if more than 2 people Besides making a lot of noise, the indicator light never gets into green, so do not know if the beer is ready to serve or not. The quality of materials is not quite there but it does the job and who loves the regale. That if the barrels of "2litros" wear out quickly and are not cheap. Additionally or very cold or enter the machine it is not able to be cooled in less than 10 / 12h</v>
      </c>
    </row>
    <row r="7378">
      <c r="A7378" s="1">
        <v>1.0</v>
      </c>
      <c r="B7378" s="1" t="s">
        <v>7328</v>
      </c>
      <c r="C7378" t="str">
        <f>IFERROR(__xludf.DUMMYFUNCTION("GOOGLETRANSLATE(B7378, ""es"", ""en"")"),"Money thrown away very bad are. With less than a month since they started giving problems. The caller will not hear well.")</f>
        <v>Money thrown away very bad are. With less than a month since they started giving problems. The caller will not hear well.</v>
      </c>
    </row>
    <row r="7379">
      <c r="A7379" s="1">
        <v>1.0</v>
      </c>
      <c r="B7379" s="1" t="s">
        <v>7329</v>
      </c>
      <c r="C7379" t="str">
        <f>IFERROR(__xludf.DUMMYFUNCTION("GOOGLETRANSLATE(B7379, ""es"", ""en"")"),"The worst is a very bad shoes shoe, the hitch is loose and does not give stability, Lousy")</f>
        <v>The worst is a very bad shoes shoe, the hitch is loose and does not give stability, Lousy</v>
      </c>
    </row>
    <row r="7380">
      <c r="A7380" s="1">
        <v>1.0</v>
      </c>
      <c r="B7380" s="1" t="s">
        <v>7330</v>
      </c>
      <c r="C7380" t="str">
        <f>IFERROR(__xludf.DUMMYFUNCTION("GOOGLETRANSLATE(B7380, ""es"", ""en"")"),"I regret to have bought I do not recommend this purchase. I hurt in the heel and in the front, they are smaller than I expected. I asked for my number because tried in a store and I were fine. These were cheaper, that's why I asked. But nothing to do. For"&amp;" me they are so uncomfortable that I can not put.")</f>
        <v>I regret to have bought I do not recommend this purchase. I hurt in the heel and in the front, they are smaller than I expected. I asked for my number because tried in a store and I were fine. These were cheaper, that's why I asked. But nothing to do. For me they are so uncomfortable that I can not put.</v>
      </c>
    </row>
    <row r="7381">
      <c r="A7381" s="1">
        <v>4.0</v>
      </c>
      <c r="B7381" s="1" t="s">
        <v>7331</v>
      </c>
      <c r="C7381" t="str">
        <f>IFERROR(__xludf.DUMMYFUNCTION("GOOGLETRANSLATE(B7381, ""es"", ""en"")"),"Not satisfied all I have acquired two 32 Gb micro Sd and truth left me a bittersweet feeling. One is to expand the memory of a Motorola G4 plus a family and the other was for the tablet Amazon Fire Hd 8. - Motorola specifies a UHS-I card is required as th"&amp;"is fluid to go mobile, what otherwise slow skip a warning card, well, I have left a message warning that should take a faster card. I tried both cards on mobile and both me indicated. I do not know what confidence will apps that measure speed but I get 37"&amp;"MB / s reading and writing 18.30. Moreover in the use of mobile do not appreciate changes but the message flow slow card leaves me uncomfortable. - Amazon Fire HD 8: recognize the card but when you want to download a series of primevideo, jumps an error m"&amp;"essage. Seems incompatible with this tablet because if formatting the micro sd from it, leaves me with a capacity of 15.9 MB only. Otherwise, the cards came properly packaged and were deposited in the mailbox.")</f>
        <v>Not satisfied all I have acquired two 32 Gb micro Sd and truth left me a bittersweet feeling. One is to expand the memory of a Motorola G4 plus a family and the other was for the tablet Amazon Fire Hd 8. - Motorola specifies a UHS-I card is required as this fluid to go mobile, what otherwise slow skip a warning card, well, I have left a message warning that should take a faster card. I tried both cards on mobile and both me indicated. I do not know what confidence will apps that measure speed but I get 37MB / s reading and writing 18.30. Moreover in the use of mobile do not appreciate changes but the message flow slow card leaves me uncomfortable. - Amazon Fire HD 8: recognize the card but when you want to download a series of primevideo, jumps an error message. Seems incompatible with this tablet because if formatting the micro sd from it, leaves me with a capacity of 15.9 MB only. Otherwise, the cards came properly packaged and were deposited in the mailbox.</v>
      </c>
    </row>
    <row r="7382">
      <c r="A7382" s="1">
        <v>4.0</v>
      </c>
      <c r="B7382" s="1" t="s">
        <v>7332</v>
      </c>
      <c r="C7382" t="str">
        <f>IFERROR(__xludf.DUMMYFUNCTION("GOOGLETRANSLATE(B7382, ""es"", ""en"")"),"Excellent Good watch watch like most Casio, but only one: It is difficult to understand and combine actions to take full advantage of the user manual is quite cumbersome and leads to configuration errors")</f>
        <v>Excellent Good watch watch like most Casio, but only one: It is difficult to understand and combine actions to take full advantage of the user manual is quite cumbersome and leads to configuration errors</v>
      </c>
    </row>
    <row r="7383">
      <c r="A7383" s="1">
        <v>4.0</v>
      </c>
      <c r="B7383" s="1" t="s">
        <v>7333</v>
      </c>
      <c r="C7383" t="str">
        <f>IFERROR(__xludf.DUMMYFUNCTION("GOOGLETRANSLATE(B7383, ""es"", ""en"")"),"Expectations fulfilled is a shirt that meets your térmica.Estoy function well pleased because it shows that it is a quality product, I've washed several times and is new.")</f>
        <v>Expectations fulfilled is a shirt that meets your térmica.Estoy function well pleased because it shows that it is a quality product, I've washed several times and is new.</v>
      </c>
    </row>
    <row r="7384">
      <c r="A7384" s="1">
        <v>4.0</v>
      </c>
      <c r="B7384" s="1" t="s">
        <v>7334</v>
      </c>
      <c r="C7384" t="str">
        <f>IFERROR(__xludf.DUMMYFUNCTION("GOOGLETRANSLATE(B7384, ""es"", ""en"")"),"Meets expectations The watch is very nice and very good quality. Although the size is 4 cm in diameter, which implies that is big, the sphere is small.")</f>
        <v>Meets expectations The watch is very nice and very good quality. Although the size is 4 cm in diameter, which implies that is big, the sphere is small.</v>
      </c>
    </row>
    <row r="7385">
      <c r="A7385" s="1">
        <v>4.0</v>
      </c>
      <c r="B7385" s="1" t="s">
        <v>7335</v>
      </c>
      <c r="C7385" t="str">
        <f>IFERROR(__xludf.DUMMYFUNCTION("GOOGLETRANSLATE(B7385, ""es"", ""en"")"),"Buy glad footwear without testing is always a risk, but fortunately everything was as expected. The shoe appears to be of good quality and workmanship, and I is extremely comfortable. The sole is very good and has good cushioning; and its duration will .."&amp;". are very warm, keep in mind that it's winter shoes, not for any time of the year. By the way, I ordered the 43, which is the number that usually chock and I are perfectly")</f>
        <v>Buy glad footwear without testing is always a risk, but fortunately everything was as expected. The shoe appears to be of good quality and workmanship, and I is extremely comfortable. The sole is very good and has good cushioning; and its duration will ... are very warm, keep in mind that it's winter shoes, not for any time of the year. By the way, I ordered the 43, which is the number that usually chock and I are perfectly</v>
      </c>
    </row>
    <row r="7386">
      <c r="A7386" s="1">
        <v>5.0</v>
      </c>
      <c r="B7386" s="1" t="s">
        <v>7336</v>
      </c>
      <c r="C7386" t="str">
        <f>IFERROR(__xludf.DUMMYFUNCTION("GOOGLETRANSLATE(B7386, ""es"", ""en"")"),"The odor varied easier to find online is the lemon. Other odors looking for my baths and massages. Which is my favorite sweet orange for creating natural soaps. If you know someone who likes is it ideal for a gift. The packaging is quite stylish with a bl"&amp;"ack box.")</f>
        <v>The odor varied easier to find online is the lemon. Other odors looking for my baths and massages. Which is my favorite sweet orange for creating natural soaps. If you know someone who likes is it ideal for a gift. The packaging is quite stylish with a black box.</v>
      </c>
    </row>
    <row r="7387">
      <c r="A7387" s="1">
        <v>5.0</v>
      </c>
      <c r="B7387" s="1" t="s">
        <v>7337</v>
      </c>
      <c r="C7387" t="str">
        <f>IFERROR(__xludf.DUMMYFUNCTION("GOOGLETRANSLATE(B7387, ""es"", ""en"")"),"Mitico clock that never goes out of style a must have in every rule, a watch that never gets old and you can use it for whatever you want, clarify the indecisive people who are water up to 1 meter deep, so do not worry about get him into the shower, the a"&amp;"verage price of the watch around 17 euros (sometimes 15, sometimes 20)")</f>
        <v>Mitico clock that never goes out of style a must have in every rule, a watch that never gets old and you can use it for whatever you want, clarify the indecisive people who are water up to 1 meter deep, so do not worry about get him into the shower, the average price of the watch around 17 euros (sometimes 15, sometimes 20)</v>
      </c>
    </row>
    <row r="7388">
      <c r="A7388" s="1">
        <v>5.0</v>
      </c>
      <c r="B7388" s="1" t="s">
        <v>7338</v>
      </c>
      <c r="C7388" t="str">
        <f>IFERROR(__xludf.DUMMYFUNCTION("GOOGLETRANSLATE(B7388, ""es"", ""en"")"),"I was pleasantly surprised incredibly good is like you were massaging a person, it is great for any area of ​​the back. It even comes with an adapter for the car cigarette lighter, which makes it even suitable for travel. Updated: I spoiled me a week, but"&amp;" I will buy it since I was very happy with the")</f>
        <v>I was pleasantly surprised incredibly good is like you were massaging a person, it is great for any area of ​​the back. It even comes with an adapter for the car cigarette lighter, which makes it even suitable for travel. Updated: I spoiled me a week, but I will buy it since I was very happy with the</v>
      </c>
    </row>
    <row r="7389">
      <c r="A7389" s="1">
        <v>5.0</v>
      </c>
      <c r="B7389" s="1" t="s">
        <v>7339</v>
      </c>
      <c r="C7389" t="str">
        <f>IFERROR(__xludf.DUMMYFUNCTION("GOOGLETRANSLATE(B7389, ""es"", ""en"")"),"A classic Love")</f>
        <v>A classic Love</v>
      </c>
    </row>
    <row r="7390">
      <c r="A7390" s="1">
        <v>5.0</v>
      </c>
      <c r="B7390" s="1" t="s">
        <v>7340</v>
      </c>
      <c r="C7390" t="str">
        <f>IFERROR(__xludf.DUMMYFUNCTION("GOOGLETRANSLATE(B7390, ""es"", ""en"")"),"Very well and practiced well all right as advertised. Something bigger than I expected but correct")</f>
        <v>Very well and practiced well all right as advertised. Something bigger than I expected but correct</v>
      </c>
    </row>
    <row r="7391">
      <c r="A7391" s="1">
        <v>5.0</v>
      </c>
      <c r="B7391" s="1" t="s">
        <v>7341</v>
      </c>
      <c r="C7391" t="str">
        <f>IFERROR(__xludf.DUMMYFUNCTION("GOOGLETRANSLATE(B7391, ""es"", ""en"")"),"It took too Good product but problems with sending")</f>
        <v>It took too Good product but problems with sending</v>
      </c>
    </row>
    <row r="7392">
      <c r="A7392" s="1">
        <v>5.0</v>
      </c>
      <c r="B7392" s="1" t="s">
        <v>7342</v>
      </c>
      <c r="C7392" t="str">
        <f>IFERROR(__xludf.DUMMYFUNCTION("GOOGLETRANSLATE(B7392, ""es"", ""en"")"),"Perfect does exactly what is proposed is ideal if you like tea and do not have too much space. I particularly use when traveling on a motorcycle, you want no luggage to carry is reduced, and going great and very fast.")</f>
        <v>Perfect does exactly what is proposed is ideal if you like tea and do not have too much space. I particularly use when traveling on a motorcycle, you want no luggage to carry is reduced, and going great and very fast.</v>
      </c>
    </row>
    <row r="7393">
      <c r="A7393" s="1">
        <v>5.0</v>
      </c>
      <c r="B7393" s="1" t="s">
        <v>7343</v>
      </c>
      <c r="C7393" t="str">
        <f>IFERROR(__xludf.DUMMYFUNCTION("GOOGLETRANSLATE(B7393, ""es"", ""en"")"),"Electric kettle Very good !!!!")</f>
        <v>Electric kettle Very good !!!!</v>
      </c>
    </row>
    <row r="7394">
      <c r="A7394" s="1">
        <v>5.0</v>
      </c>
      <c r="B7394" s="1" t="s">
        <v>7344</v>
      </c>
      <c r="C7394" t="str">
        <f>IFERROR(__xludf.DUMMYFUNCTION("GOOGLETRANSLATE(B7394, ""es"", ""en"")"),"Very pretty. Order a size more than you use meshes very nice and comfortable. Small size, you have to order one size more than you use")</f>
        <v>Very pretty. Order a size more than you use meshes very nice and comfortable. Small size, you have to order one size more than you use</v>
      </c>
    </row>
    <row r="7395">
      <c r="A7395" s="1">
        <v>5.0</v>
      </c>
      <c r="B7395" s="1" t="s">
        <v>7345</v>
      </c>
      <c r="C7395" t="str">
        <f>IFERROR(__xludf.DUMMYFUNCTION("GOOGLETRANSLATE(B7395, ""es"", ""en"")"),"Excellent Very nice wear for two days not take it off for anything and has not broken me")</f>
        <v>Excellent Very nice wear for two days not take it off for anything and has not broken me</v>
      </c>
    </row>
    <row r="7396">
      <c r="A7396" s="1">
        <v>5.0</v>
      </c>
      <c r="B7396" s="1" t="s">
        <v>7346</v>
      </c>
      <c r="C7396" t="str">
        <f>IFERROR(__xludf.DUMMYFUNCTION("GOOGLETRANSLATE(B7396, ""es"", ""en"")"),"The very good value for money is very interesting. Definitely a purchase thanks")</f>
        <v>The very good value for money is very interesting. Definitely a purchase thanks</v>
      </c>
    </row>
    <row r="7397">
      <c r="A7397" s="1">
        <v>5.0</v>
      </c>
      <c r="B7397" s="1" t="s">
        <v>7347</v>
      </c>
      <c r="C7397" t="str">
        <f>IFERROR(__xludf.DUMMYFUNCTION("GOOGLETRANSLATE(B7397, ""es"", ""en"")"),"Very good Although the order was delayed a few days, they were very attentive and resolved without any problems. The product is good, as described.")</f>
        <v>Very good Although the order was delayed a few days, they were very attentive and resolved without any problems. The product is good, as described.</v>
      </c>
    </row>
    <row r="7398">
      <c r="A7398" s="1">
        <v>5.0</v>
      </c>
      <c r="B7398" s="1" t="s">
        <v>7348</v>
      </c>
      <c r="C7398" t="str">
        <f>IFERROR(__xludf.DUMMYFUNCTION("GOOGLETRANSLATE(B7398, ""es"", ""en"")"),"Very good store all fine and as said on the site descripcion.Buen to buy.")</f>
        <v>Very good store all fine and as said on the site descripcion.Buen to buy.</v>
      </c>
    </row>
    <row r="7399">
      <c r="A7399" s="1">
        <v>5.0</v>
      </c>
      <c r="B7399" s="1" t="s">
        <v>7349</v>
      </c>
      <c r="C7399" t="str">
        <f>IFERROR(__xludf.DUMMYFUNCTION("GOOGLETRANSLATE(B7399, ""es"", ""en"")"),"Very cute Although not completely circular, this brush cleans rust can not possibly pq is plastic. Really buy that. I've had others that Cape oxidise time. This month seemed phenomenal and I imagine you have made of this material for this reason")</f>
        <v>Very cute Although not completely circular, this brush cleans rust can not possibly pq is plastic. Really buy that. I've had others that Cape oxidise time. This month seemed phenomenal and I imagine you have made of this material for this reason</v>
      </c>
    </row>
    <row r="7400">
      <c r="A7400" s="1">
        <v>5.0</v>
      </c>
      <c r="B7400" s="1" t="s">
        <v>7350</v>
      </c>
      <c r="C7400" t="str">
        <f>IFERROR(__xludf.DUMMYFUNCTION("GOOGLETRANSLATE(B7400, ""es"", ""en"")"),"Good shoe good buy")</f>
        <v>Good shoe good buy</v>
      </c>
    </row>
    <row r="7401">
      <c r="A7401" s="1">
        <v>5.0</v>
      </c>
      <c r="B7401" s="1" t="s">
        <v>7351</v>
      </c>
      <c r="C7401" t="str">
        <f>IFERROR(__xludf.DUMMYFUNCTION("GOOGLETRANSLATE(B7401, ""es"", ""en"")"),"PERFECTOS arrived earlier than expected, very good product, easy to use, very pleased with this product. Good quality, very reomendaables.")</f>
        <v>PERFECTOS arrived earlier than expected, very good product, easy to use, very pleased with this product. Good quality, very reomendaables.</v>
      </c>
    </row>
    <row r="7402">
      <c r="A7402" s="1">
        <v>5.0</v>
      </c>
      <c r="B7402" s="1" t="s">
        <v>7352</v>
      </c>
      <c r="C7402" t="str">
        <f>IFERROR(__xludf.DUMMYFUNCTION("GOOGLETRANSLATE(B7402, ""es"", ""en"")"),"As good as the originals are exactly like the original, is good listening and microphone works perfectly for a phone call or send voice notes by WhatsApp")</f>
        <v>As good as the originals are exactly like the original, is good listening and microphone works perfectly for a phone call or send voice notes by WhatsApp</v>
      </c>
    </row>
    <row r="7403">
      <c r="A7403" s="1">
        <v>5.0</v>
      </c>
      <c r="B7403" s="1" t="s">
        <v>7353</v>
      </c>
      <c r="C7403" t="str">
        <f>IFERROR(__xludf.DUMMYFUNCTION("GOOGLETRANSLATE(B7403, ""es"", ""en"")"),"We asked well in high school who could bend the two sides is perfect")</f>
        <v>We asked well in high school who could bend the two sides is perfect</v>
      </c>
    </row>
    <row r="7404">
      <c r="A7404" s="1">
        <v>2.0</v>
      </c>
      <c r="B7404" s="1" t="s">
        <v>7354</v>
      </c>
      <c r="C7404" t="str">
        <f>IFERROR(__xludf.DUMMYFUNCTION("GOOGLETRANSLATE(B7404, ""es"", ""en"")"),"big drawer but with tiny compartments for coins I bought the biggest box of 30 cm wide because it seemed the most practical. Well portamonedas tray (and money) is not the same as the photo. It has much room for the tickets but fit only about 10 coins of e"&amp;"ach type, so it is enough for me. Furthermore, it should move completely flat box or mixed all. On the other hand, it seems robust. Bad purchase, return it.")</f>
        <v>big drawer but with tiny compartments for coins I bought the biggest box of 30 cm wide because it seemed the most practical. Well portamonedas tray (and money) is not the same as the photo. It has much room for the tickets but fit only about 10 coins of each type, so it is enough for me. Furthermore, it should move completely flat box or mixed all. On the other hand, it seems robust. Bad purchase, return it.</v>
      </c>
    </row>
    <row r="7405">
      <c r="A7405" s="1">
        <v>3.0</v>
      </c>
      <c r="B7405" s="1" t="s">
        <v>7355</v>
      </c>
      <c r="C7405" t="str">
        <f>IFERROR(__xludf.DUMMYFUNCTION("GOOGLETRANSLATE(B7405, ""es"", ""en"")"),"OK but ... They are like the picture, but the sole makes walking noise")</f>
        <v>OK but ... They are like the picture, but the sole makes walking noise</v>
      </c>
    </row>
    <row r="7406">
      <c r="A7406" s="1">
        <v>3.0</v>
      </c>
      <c r="B7406" s="1" t="s">
        <v>7356</v>
      </c>
      <c r="C7406" t="str">
        <f>IFERROR(__xludf.DUMMYFUNCTION("GOOGLETRANSLATE(B7406, ""es"", ""en"")"),"Very nice was what I expected really nice")</f>
        <v>Very nice was what I expected really nice</v>
      </c>
    </row>
    <row r="7407">
      <c r="A7407" s="1">
        <v>3.0</v>
      </c>
      <c r="B7407" s="1" t="s">
        <v>7357</v>
      </c>
      <c r="C7407" t="str">
        <f>IFERROR(__xludf.DUMMYFUNCTION("GOOGLETRANSLATE(B7407, ""es"", ""en"")"),"Good product but the power adapter makes enough noise I've had a hard drive like this before and the experience was very good. This model works smoothly and has a great capacity, but the power supply makes enough noise (even with USB unconnected with the "&amp;"disc, thus off), so it is quite annoying and gives the feeling that you can last long. Unfortunately I found the problem too late to change and more than 2 TB of information already stored. Otherwise, it's a great product.")</f>
        <v>Good product but the power adapter makes enough noise I've had a hard drive like this before and the experience was very good. This model works smoothly and has a great capacity, but the power supply makes enough noise (even with USB unconnected with the disc, thus off), so it is quite annoying and gives the feeling that you can last long. Unfortunately I found the problem too late to change and more than 2 TB of information already stored. Otherwise, it's a great product.</v>
      </c>
    </row>
    <row r="7408">
      <c r="A7408" s="1">
        <v>1.0</v>
      </c>
      <c r="B7408" s="1" t="s">
        <v>7358</v>
      </c>
      <c r="C7408" t="str">
        <f>IFERROR(__xludf.DUMMYFUNCTION("GOOGLETRANSLATE(B7408, ""es"", ""en"")"),"A refund would be good but falls It's nice heart diamonds")</f>
        <v>A refund would be good but falls It's nice heart diamonds</v>
      </c>
    </row>
    <row r="7409">
      <c r="A7409" s="1">
        <v>1.0</v>
      </c>
      <c r="B7409" s="1" t="s">
        <v>7359</v>
      </c>
      <c r="C7409" t="str">
        <f>IFERROR(__xludf.DUMMYFUNCTION("GOOGLETRANSLATE(B7409, ""es"", ""en"")"),"I have other originals are not identical helmets (sold by Amazon directly https://www.amazon.es/gp/product/B00I3LUYNG/ref=oh_aui_detailpage_o00_s00?ie=UTF8&amp;amp;psc=1) and the sound quality is worse in these, diadem squeezes rather than the originals. And "&amp;"the quality of the cable is worse, the pads are less padded ... we come back very similar but with much poorer quality.")</f>
        <v>I have other originals are not identical helmets (sold by Amazon directly https://www.amazon.es/gp/product/B00I3LUYNG/ref=oh_aui_detailpage_o00_s00?ie=UTF8&amp;amp;psc=1) and the sound quality is worse in these, diadem squeezes rather than the originals. And the quality of the cable is worse, the pads are less padded ... we come back very similar but with much poorer quality.</v>
      </c>
    </row>
    <row r="7410">
      <c r="A7410" s="1">
        <v>4.0</v>
      </c>
      <c r="B7410" s="1" t="s">
        <v>7360</v>
      </c>
      <c r="C7410" t="str">
        <f>IFERROR(__xludf.DUMMYFUNCTION("GOOGLETRANSLATE(B7410, ""es"", ""en"")"),"Carve small Normally I use 40 and I had to change for a 41. Carve small, recommend taking another number. The sole slides a little.")</f>
        <v>Carve small Normally I use 40 and I had to change for a 41. Carve small, recommend taking another number. The sole slides a little.</v>
      </c>
    </row>
    <row r="7411">
      <c r="A7411" s="1">
        <v>4.0</v>
      </c>
      <c r="B7411" s="1" t="s">
        <v>7361</v>
      </c>
      <c r="C7411" t="str">
        <f>IFERROR(__xludf.DUMMYFUNCTION("GOOGLETRANSLATE(B7411, ""es"", ""en"")"),"Clear sound These headphones are highly recommended for lovers of pure sound: not disguise the sound by adding more depth at low frequencies or exaggerate treble, as in other auriculares.En these AKG the sound flows naturally and you can hear every one of"&amp;" the instruments so clara.Por elsewhere are comfortable to listen for hours. Very useful, too, connectivity via a cable that can be disconnected from the body of the headset, good value for money.")</f>
        <v>Clear sound These headphones are highly recommended for lovers of pure sound: not disguise the sound by adding more depth at low frequencies or exaggerate treble, as in other auriculares.En these AKG the sound flows naturally and you can hear every one of the instruments so clara.Por elsewhere are comfortable to listen for hours. Very useful, too, connectivity via a cable that can be disconnected from the body of the headset, good value for money.</v>
      </c>
    </row>
    <row r="7412">
      <c r="A7412" s="1">
        <v>4.0</v>
      </c>
      <c r="B7412" s="1" t="s">
        <v>7362</v>
      </c>
      <c r="C7412" t="str">
        <f>IFERROR(__xludf.DUMMYFUNCTION("GOOGLETRANSLATE(B7412, ""es"", ""en"")"),"The device works perfectly the system works perfectly and the extension next is very useful. This fine that can be turned on and off feeding")</f>
        <v>The device works perfectly the system works perfectly and the extension next is very useful. This fine that can be turned on and off feeding</v>
      </c>
    </row>
    <row r="7413">
      <c r="A7413" s="1">
        <v>4.0</v>
      </c>
      <c r="B7413" s="1" t="s">
        <v>7363</v>
      </c>
      <c r="C7413" t="str">
        <f>IFERROR(__xludf.DUMMYFUNCTION("GOOGLETRANSLATE(B7413, ""es"", ""en"")"),"They are comfortable for an elderly person and find comfortable, although perhaps somewhat excessively soft. Construction is good, but it seems as lightweight materials that can end up yielding soon, hopefully withstand without deformation and rigid enoug"&amp;"h to give good support to the foot. The prices on offer are good buy.")</f>
        <v>They are comfortable for an elderly person and find comfortable, although perhaps somewhat excessively soft. Construction is good, but it seems as lightweight materials that can end up yielding soon, hopefully withstand without deformation and rigid enough to give good support to the foot. The prices on offer are good buy.</v>
      </c>
    </row>
    <row r="7414">
      <c r="A7414" s="1">
        <v>5.0</v>
      </c>
      <c r="B7414" s="1" t="s">
        <v>7364</v>
      </c>
      <c r="C7414" t="str">
        <f>IFERROR(__xludf.DUMMYFUNCTION("GOOGLETRANSLATE(B7414, ""es"", ""en"")"),"Perfect I liked its simplicity and the truth is that meets my needs. Recommended for those who need a bag for mobile phone, keys and wallet. Little else.")</f>
        <v>Perfect I liked its simplicity and the truth is that meets my needs. Recommended for those who need a bag for mobile phone, keys and wallet. Little else.</v>
      </c>
    </row>
    <row r="7415">
      <c r="A7415" s="1">
        <v>5.0</v>
      </c>
      <c r="B7415" s="1" t="s">
        <v>7365</v>
      </c>
      <c r="C7415" t="str">
        <f>IFERROR(__xludf.DUMMYFUNCTION("GOOGLETRANSLATE(B7415, ""es"", ""en"")"),"Practical and perfect size! Fantastic this knob to slide, weighs little, is very thin to carry in your pocket, the laser has very good range, never fail buttons and is very easy to use. Let you can not ask for a remote control for this price slide. Ah! It"&amp;" connects very well to all the devices I tested advisable Purchase")</f>
        <v>Practical and perfect size! Fantastic this knob to slide, weighs little, is very thin to carry in your pocket, the laser has very good range, never fail buttons and is very easy to use. Let you can not ask for a remote control for this price slide. Ah! It connects very well to all the devices I tested advisable Purchase</v>
      </c>
    </row>
    <row r="7416">
      <c r="A7416" s="1">
        <v>5.0</v>
      </c>
      <c r="B7416" s="1" t="s">
        <v>7366</v>
      </c>
      <c r="C7416" t="str">
        <f>IFERROR(__xludf.DUMMYFUNCTION("GOOGLETRANSLATE(B7416, ""es"", ""en"")"),"Calls are comfortable minimum number more than you have. I usually ask for 43 and 44 I asked to go loose and take them righteous. I do not crowded, but I recommend asking more than a number.")</f>
        <v>Calls are comfortable minimum number more than you have. I usually ask for 43 and 44 I asked to go loose and take them righteous. I do not crowded, but I recommend asking more than a number.</v>
      </c>
    </row>
    <row r="7417">
      <c r="A7417" s="1">
        <v>5.0</v>
      </c>
      <c r="B7417" s="1" t="s">
        <v>7367</v>
      </c>
      <c r="C7417" t="str">
        <f>IFERROR(__xludf.DUMMYFUNCTION("GOOGLETRANSLATE(B7417, ""es"", ""en"")"),"Very good Excellent product recommended 100%")</f>
        <v>Very good Excellent product recommended 100%</v>
      </c>
    </row>
    <row r="7418">
      <c r="A7418" s="1">
        <v>5.0</v>
      </c>
      <c r="B7418" s="1" t="s">
        <v>7368</v>
      </c>
      <c r="C7418" t="str">
        <f>IFERROR(__xludf.DUMMYFUNCTION("GOOGLETRANSLATE(B7418, ""es"", ""en"")"),"Good fit, comfortable. It's great for large breasts, rebound still exists, but 80% less than other expensive nad.")</f>
        <v>Good fit, comfortable. It's great for large breasts, rebound still exists, but 80% less than other expensive nad.</v>
      </c>
    </row>
    <row r="7419">
      <c r="A7419" s="1">
        <v>5.0</v>
      </c>
      <c r="B7419" s="1" t="s">
        <v>7369</v>
      </c>
      <c r="C7419" t="str">
        <f>IFERROR(__xludf.DUMMYFUNCTION("GOOGLETRANSLATE(B7419, ""es"", ""en"")"),"Very good value !! I really do not have anything to envy him the original apple, moreover, are exactly the same, the only thing that varies is the price, which is infinitely cheaper! I recommend buying it and when I break or lose color, buy another one.")</f>
        <v>Very good value !! I really do not have anything to envy him the original apple, moreover, are exactly the same, the only thing that varies is the price, which is infinitely cheaper! I recommend buying it and when I break or lose color, buy another one.</v>
      </c>
    </row>
    <row r="7420">
      <c r="A7420" s="1">
        <v>5.0</v>
      </c>
      <c r="B7420" s="1" t="s">
        <v>7370</v>
      </c>
      <c r="C7420" t="str">
        <f>IFERROR(__xludf.DUMMYFUNCTION("GOOGLETRANSLATE(B7420, ""es"", ""en"")"),"Purchase Magnifica Super comfortable and lightweight boots. Carve feet very well and appreciate it. Jeans are very good and dress.")</f>
        <v>Purchase Magnifica Super comfortable and lightweight boots. Carve feet very well and appreciate it. Jeans are very good and dress.</v>
      </c>
    </row>
    <row r="7421">
      <c r="A7421" s="1">
        <v>5.0</v>
      </c>
      <c r="B7421" s="1" t="s">
        <v>7371</v>
      </c>
      <c r="C7421" t="str">
        <f>IFERROR(__xludf.DUMMYFUNCTION("GOOGLETRANSLATE(B7421, ""es"", ""en"")"),"I love Perfect to put it in the bathtub. I bought it for my grandparents' house and it's great")</f>
        <v>I love Perfect to put it in the bathtub. I bought it for my grandparents' house and it's great</v>
      </c>
    </row>
    <row r="7422">
      <c r="A7422" s="1">
        <v>5.0</v>
      </c>
      <c r="B7422" s="1" t="s">
        <v>7372</v>
      </c>
      <c r="C7422" t="str">
        <f>IFERROR(__xludf.DUMMYFUNCTION("GOOGLETRANSLATE(B7422, ""es"", ""en"")"),"Pretty nice gift, perfect aesthetics")</f>
        <v>Pretty nice gift, perfect aesthetics</v>
      </c>
    </row>
    <row r="7423">
      <c r="A7423" s="1">
        <v>5.0</v>
      </c>
      <c r="B7423" s="1" t="s">
        <v>7373</v>
      </c>
      <c r="C7423" t="str">
        <f>IFERROR(__xludf.DUMMYFUNCTION("GOOGLETRANSLATE(B7423, ""es"", ""en"")"),"It makes perfectly well prepared function. In my case I bought contracture because of my job ... and I'm very satisfied with the purchase")</f>
        <v>It makes perfectly well prepared function. In my case I bought contracture because of my job ... and I'm very satisfied with the purchase</v>
      </c>
    </row>
    <row r="7424">
      <c r="A7424" s="1">
        <v>5.0</v>
      </c>
      <c r="B7424" s="1" t="s">
        <v>7374</v>
      </c>
      <c r="C7424" t="str">
        <f>IFERROR(__xludf.DUMMYFUNCTION("GOOGLETRANSLATE(B7424, ""es"", ""en"")"),"I love! These headphones have surprised me outrageous! We are of good quality, facilísimos to use. Instruction manual is translated into Spanish. It also comes with several pillows to exchange according to the size you need each. As for sound quality they"&amp;" are pretty decent. Right out of the box automatically connect to the last device to which they were connected. It has two buttons, one on each handset, a touch to play the music we are listening and two-touch passing Song (right) or back to the previous "&amp;"track (left). You have the ability to use a single handset, just drawing from the box we want. As for battery still I have to try more, but promises to charge the headset up to 8 times the box itself, which is more than enough if used daily. You could loa"&amp;"d the entire box once a week. The very complete look for the price they have. I am very happy with the purchase.")</f>
        <v>I love! These headphones have surprised me outrageous! We are of good quality, facilísimos to use. Instruction manual is translated into Spanish. It also comes with several pillows to exchange according to the size you need each. As for sound quality they are pretty decent. Right out of the box automatically connect to the last device to which they were connected. It has two buttons, one on each handset, a touch to play the music we are listening and two-touch passing Song (right) or back to the previous track (left). You have the ability to use a single handset, just drawing from the box we want. As for battery still I have to try more, but promises to charge the headset up to 8 times the box itself, which is more than enough if used daily. You could load the entire box once a week. The very complete look for the price they have. I am very happy with the purchase.</v>
      </c>
    </row>
    <row r="7425">
      <c r="A7425" s="1">
        <v>5.0</v>
      </c>
      <c r="B7425" s="1" t="s">
        <v>7375</v>
      </c>
      <c r="C7425" t="str">
        <f>IFERROR(__xludf.DUMMYFUNCTION("GOOGLETRANSLATE(B7425, ""es"", ""en"")"),"Hunidificador desire I had to have one to have a more pleasant home environment. Aesthetically very I cool. Very simple to prepare. Water is poured with a measuring cup that comes with a few drops of essence (4 come jars) and turn it on. You can schedule "&amp;"putting the hours you want it on. It is advisable not to exceed 8 hours. I love.")</f>
        <v>Hunidificador desire I had to have one to have a more pleasant home environment. Aesthetically very I cool. Very simple to prepare. Water is poured with a measuring cup that comes with a few drops of essence (4 come jars) and turn it on. You can schedule putting the hours you want it on. It is advisable not to exceed 8 hours. I love.</v>
      </c>
    </row>
    <row r="7426">
      <c r="A7426" s="1">
        <v>5.0</v>
      </c>
      <c r="B7426" s="1" t="s">
        <v>7376</v>
      </c>
      <c r="C7426" t="str">
        <f>IFERROR(__xludf.DUMMYFUNCTION("GOOGLETRANSLATE(B7426, ""es"", ""en"")"),"Original Good finish, leather strap quality for price.")</f>
        <v>Original Good finish, leather strap quality for price.</v>
      </c>
    </row>
    <row r="7427">
      <c r="A7427" s="1">
        <v>5.0</v>
      </c>
      <c r="B7427" s="1" t="s">
        <v>7377</v>
      </c>
      <c r="C7427" t="str">
        <f>IFERROR(__xludf.DUMMYFUNCTION("GOOGLETRANSLATE(B7427, ""es"", ""en"")"),"Very good! Very good!")</f>
        <v>Very good! Very good!</v>
      </c>
    </row>
    <row r="7428">
      <c r="A7428" s="1">
        <v>5.0</v>
      </c>
      <c r="B7428" s="1" t="s">
        <v>7378</v>
      </c>
      <c r="C7428" t="str">
        <f>IFERROR(__xludf.DUMMYFUNCTION("GOOGLETRANSLATE(B7428, ""es"", ""en"")"),"Thank new jobs please Buenísimo")</f>
        <v>Thank new jobs please Buenísimo</v>
      </c>
    </row>
    <row r="7429">
      <c r="A7429" s="1">
        <v>5.0</v>
      </c>
      <c r="B7429" s="1" t="s">
        <v>7379</v>
      </c>
      <c r="C7429" t="str">
        <f>IFERROR(__xludf.DUMMYFUNCTION("GOOGLETRANSLATE(B7429, ""es"", ""en"")"),"Very good quality great. I have already used two weeks going to the gym 5 times a week and gave up daily and this perfex4o. phenomenal subject. Yes, I bought the normal size to use la.que not indicated measures. Which left me with the measures would have "&amp;"been great.")</f>
        <v>Very good quality great. I have already used two weeks going to the gym 5 times a week and gave up daily and this perfex4o. phenomenal subject. Yes, I bought the normal size to use la.que not indicated measures. Which left me with the measures would have been great.</v>
      </c>
    </row>
    <row r="7430">
      <c r="A7430" s="1">
        <v>5.0</v>
      </c>
      <c r="B7430" s="1" t="s">
        <v>7380</v>
      </c>
      <c r="C7430" t="str">
        <f>IFERROR(__xludf.DUMMYFUNCTION("GOOGLETRANSLATE(B7430, ""es"", ""en"")"),"If you go to never fail safe! I bought this card for a actioncam that records 1080p 60 FPS and the performance is excellent. And I have other cards of this brand with different classes and abilities and so far is the best I've ever had (in relation qualit"&amp;"y-performance-price). Since the speed of read / write is very good, you can use it in simpler gadget or those who need to perform read / write. So far I have not broken any durability so far, perfect. 10 to the product.")</f>
        <v>If you go to never fail safe! I bought this card for a actioncam that records 1080p 60 FPS and the performance is excellent. And I have other cards of this brand with different classes and abilities and so far is the best I've ever had (in relation quality-performance-price). Since the speed of read / write is very good, you can use it in simpler gadget or those who need to perform read / write. So far I have not broken any durability so far, perfect. 10 to the product.</v>
      </c>
    </row>
    <row r="7431">
      <c r="A7431" s="1">
        <v>5.0</v>
      </c>
      <c r="B7431" s="1" t="s">
        <v>7381</v>
      </c>
      <c r="C7431" t="str">
        <f>IFERROR(__xludf.DUMMYFUNCTION("GOOGLETRANSLATE(B7431, ""es"", ""en"")"),"SNEAKERS SPORT Very good product, with a price / super quality. The numbering is somewhat fair.")</f>
        <v>SNEAKERS SPORT Very good product, with a price / super quality. The numbering is somewhat fair.</v>
      </c>
    </row>
    <row r="7432">
      <c r="A7432" s="1">
        <v>5.0</v>
      </c>
      <c r="B7432" s="1" t="s">
        <v>7382</v>
      </c>
      <c r="C7432" t="str">
        <f>IFERROR(__xludf.DUMMYFUNCTION("GOOGLETRANSLATE(B7432, ""es"", ""en"")"),"Article quality enough quality, the battery lasts quite ...")</f>
        <v>Article quality enough quality, the battery lasts quite ...</v>
      </c>
    </row>
    <row r="7433">
      <c r="A7433" s="1">
        <v>2.0</v>
      </c>
      <c r="B7433" s="1" t="s">
        <v>7383</v>
      </c>
      <c r="C7433" t="str">
        <f>IFERROR(__xludf.DUMMYFUNCTION("GOOGLETRANSLATE(B7433, ""es"", ""en"")"),"Simon married is fine. It is a thread. I pictured did not understand or did not see it was so thin. I'm a guy, that chain is for girls. They should specify in the photo.")</f>
        <v>Simon married is fine. It is a thread. I pictured did not understand or did not see it was so thin. I'm a guy, that chain is for girls. They should specify in the photo.</v>
      </c>
    </row>
    <row r="7434">
      <c r="A7434" s="1">
        <v>3.0</v>
      </c>
      <c r="B7434" s="1" t="s">
        <v>7384</v>
      </c>
      <c r="C7434" t="str">
        <f>IFERROR(__xludf.DUMMYFUNCTION("GOOGLETRANSLATE(B7434, ""es"", ""en"")"),"Good buy Not bad for a basic, complies use, although it is missing that is magnetic. It includes pen and spikes for installation, which is appreciated. After a few months of use, the remains of the pen are not deleted.")</f>
        <v>Good buy Not bad for a basic, complies use, although it is missing that is magnetic. It includes pen and spikes for installation, which is appreciated. After a few months of use, the remains of the pen are not deleted.</v>
      </c>
    </row>
    <row r="7435">
      <c r="A7435" s="1">
        <v>1.0</v>
      </c>
      <c r="B7435" s="1" t="s">
        <v>7385</v>
      </c>
      <c r="C7435" t="str">
        <f>IFERROR(__xludf.DUMMYFUNCTION("GOOGLETRANSLATE(B7435, ""es"", ""en"")"),"Disappointment with this purchase Purchased in late November. In the perfect beginning, but after three months of use (mainly we used to crush tomato morning, about three times a week) makes strange noises and loses power. We'll see if the service fixes. "&amp;"Certainly when you spend money you do not expect this to last so little.")</f>
        <v>Disappointment with this purchase Purchased in late November. In the perfect beginning, but after three months of use (mainly we used to crush tomato morning, about three times a week) makes strange noises and loses power. We'll see if the service fixes. Certainly when you spend money you do not expect this to last so little.</v>
      </c>
    </row>
    <row r="7436">
      <c r="A7436" s="1">
        <v>1.0</v>
      </c>
      <c r="B7436" s="1" t="s">
        <v>7386</v>
      </c>
      <c r="C7436" t="str">
        <f>IFERROR(__xludf.DUMMYFUNCTION("GOOGLETRANSLATE(B7436, ""es"", ""en"")"),"Unmet Nothing I put the side seam opened. Very bad.")</f>
        <v>Unmet Nothing I put the side seam opened. Very bad.</v>
      </c>
    </row>
    <row r="7437">
      <c r="A7437" s="1">
        <v>4.0</v>
      </c>
      <c r="B7437" s="1" t="s">
        <v>7387</v>
      </c>
      <c r="C7437" t="str">
        <f>IFERROR(__xludf.DUMMYFUNCTION("GOOGLETRANSLATE(B7437, ""es"", ""en"")"),"Something missing filling fine but for the price, perfect")</f>
        <v>Something missing filling fine but for the price, perfect</v>
      </c>
    </row>
    <row r="7438">
      <c r="A7438" s="1">
        <v>4.0</v>
      </c>
      <c r="B7438" s="1" t="s">
        <v>7388</v>
      </c>
      <c r="C7438" t="str">
        <f>IFERROR(__xludf.DUMMYFUNCTION("GOOGLETRANSLATE(B7438, ""es"", ""en"")"),"Very nice is fine but is very well placed and is tobillero")</f>
        <v>Very nice is fine but is very well placed and is tobillero</v>
      </c>
    </row>
    <row r="7439">
      <c r="A7439" s="1">
        <v>4.0</v>
      </c>
      <c r="B7439" s="1" t="s">
        <v>7389</v>
      </c>
      <c r="C7439" t="str">
        <f>IFERROR(__xludf.DUMMYFUNCTION("GOOGLETRANSLATE(B7439, ""es"", ""en"")"),"Good shoes good shoes, are comfortable and Puma. Color is adjusted to what comes in foto.mYo usually use 44 in this mark. I have a 43 foot.")</f>
        <v>Good shoes good shoes, are comfortable and Puma. Color is adjusted to what comes in foto.mYo usually use 44 in this mark. I have a 43 foot.</v>
      </c>
    </row>
    <row r="7440">
      <c r="A7440" s="1">
        <v>4.0</v>
      </c>
      <c r="B7440" s="1" t="s">
        <v>7390</v>
      </c>
      <c r="C7440" t="str">
        <f>IFERROR(__xludf.DUMMYFUNCTION("GOOGLETRANSLATE(B7440, ""es"", ""en"")"),"It is conveniently ALL PERFECT, EXCEPT THAT THE BRUSH IS A LITTLE HARD AND FREGONA has little FLECOS ... BUT THE PRICE IS GOOD ENOUGH")</f>
        <v>It is conveniently ALL PERFECT, EXCEPT THAT THE BRUSH IS A LITTLE HARD AND FREGONA has little FLECOS ... BUT THE PRICE IS GOOD ENOUGH</v>
      </c>
    </row>
    <row r="7441">
      <c r="A7441" s="1">
        <v>4.0</v>
      </c>
      <c r="B7441" s="1" t="s">
        <v>7391</v>
      </c>
      <c r="C7441" t="str">
        <f>IFERROR(__xludf.DUMMYFUNCTION("GOOGLETRANSLATE(B7441, ""es"", ""en"")"),"Simple and effective Very useful, you would not think much use. It is practical, compact and fast, and when boiling water is disconnected. Ideal for whom a cup of tea occasionally done.")</f>
        <v>Simple and effective Very useful, you would not think much use. It is practical, compact and fast, and when boiling water is disconnected. Ideal for whom a cup of tea occasionally done.</v>
      </c>
    </row>
    <row r="7442">
      <c r="A7442" s="1">
        <v>5.0</v>
      </c>
      <c r="B7442" s="1" t="s">
        <v>7392</v>
      </c>
      <c r="C7442" t="str">
        <f>IFERROR(__xludf.DUMMYFUNCTION("GOOGLETRANSLATE(B7442, ""es"", ""en"")"),"Excellent, super recommended I charm")</f>
        <v>Excellent, super recommended I charm</v>
      </c>
    </row>
    <row r="7443">
      <c r="A7443" s="1">
        <v>5.0</v>
      </c>
      <c r="B7443" s="1" t="s">
        <v>7393</v>
      </c>
      <c r="C7443" t="str">
        <f>IFERROR(__xludf.DUMMYFUNCTION("GOOGLETRANSLATE(B7443, ""es"", ""en"")"),"Good service perfect")</f>
        <v>Good service perfect</v>
      </c>
    </row>
    <row r="7444">
      <c r="A7444" s="1">
        <v>5.0</v>
      </c>
      <c r="B7444" s="1" t="s">
        <v>7394</v>
      </c>
      <c r="C7444" t="str">
        <f>IFERROR(__xludf.DUMMYFUNCTION("GOOGLETRANSLATE(B7444, ""es"", ""en"")"),"Such perfect and as seen in the picture, works wonders")</f>
        <v>Such perfect and as seen in the picture, works wonders</v>
      </c>
    </row>
    <row r="7445">
      <c r="A7445" s="1">
        <v>5.0</v>
      </c>
      <c r="B7445" s="1" t="s">
        <v>7395</v>
      </c>
      <c r="C7445" t="str">
        <f>IFERROR(__xludf.DUMMYFUNCTION("GOOGLETRANSLATE(B7445, ""es"", ""en"")"),"Well I tried stapled two looks that fulfills its mission. Stapling is good! I have to say I use with the stapler Rapesco Minno.")</f>
        <v>Well I tried stapled two looks that fulfills its mission. Stapling is good! I have to say I use with the stapler Rapesco Minno.</v>
      </c>
    </row>
    <row r="7446">
      <c r="A7446" s="1">
        <v>5.0</v>
      </c>
      <c r="B7446" s="1" t="s">
        <v>42</v>
      </c>
      <c r="C7446" t="str">
        <f>IFERROR(__xludf.DUMMYFUNCTION("GOOGLETRANSLATE(B7446, ""es"", ""en"")"),"Well well")</f>
        <v>Well well</v>
      </c>
    </row>
    <row r="7447">
      <c r="A7447" s="1">
        <v>5.0</v>
      </c>
      <c r="B7447" s="1" t="s">
        <v>7396</v>
      </c>
      <c r="C7447" t="str">
        <f>IFERROR(__xludf.DUMMYFUNCTION("GOOGLETRANSLATE(B7447, ""es"", ""en"")"),"Reliability has long used this brand for my photographic cameras and have never had any problems. The capacity is for me perfect for a photoshoot with high definition cameras.")</f>
        <v>Reliability has long used this brand for my photographic cameras and have never had any problems. The capacity is for me perfect for a photoshoot with high definition cameras.</v>
      </c>
    </row>
    <row r="7448">
      <c r="A7448" s="1">
        <v>5.0</v>
      </c>
      <c r="B7448" s="1" t="s">
        <v>7397</v>
      </c>
      <c r="C7448" t="str">
        <f>IFERROR(__xludf.DUMMYFUNCTION("GOOGLETRANSLATE(B7448, ""es"", ""en"")"),"It works perfectly 100% recommended to use your backups. It gives new life to a console that is dead. You must be completed with a memory card with high capacity.")</f>
        <v>It works perfectly 100% recommended to use your backups. It gives new life to a console that is dead. You must be completed with a memory card with high capacity.</v>
      </c>
    </row>
    <row r="7449">
      <c r="A7449" s="1">
        <v>5.0</v>
      </c>
      <c r="B7449" s="1" t="s">
        <v>7398</v>
      </c>
      <c r="C7449" t="str">
        <f>IFERROR(__xludf.DUMMYFUNCTION("GOOGLETRANSLATE(B7449, ""es"", ""en"")"),"I arrived on time as buying Excellent said, I am a trader and for my clients. Thank you")</f>
        <v>I arrived on time as buying Excellent said, I am a trader and for my clients. Thank you</v>
      </c>
    </row>
    <row r="7450">
      <c r="A7450" s="1">
        <v>5.0</v>
      </c>
      <c r="B7450" s="1" t="s">
        <v>7399</v>
      </c>
      <c r="C7450" t="str">
        <f>IFERROR(__xludf.DUMMYFUNCTION("GOOGLETRANSLATE(B7450, ""es"", ""en"")"),"October 1 I imagined smaller, it's beautiful, well worked and super fast shipping ... great for a gift ... I would not have returned to remove")</f>
        <v>October 1 I imagined smaller, it's beautiful, well worked and super fast shipping ... great for a gift ... I would not have returned to remove</v>
      </c>
    </row>
    <row r="7451">
      <c r="A7451" s="1">
        <v>5.0</v>
      </c>
      <c r="B7451" s="1" t="s">
        <v>7400</v>
      </c>
      <c r="C7451" t="str">
        <f>IFERROR(__xludf.DUMMYFUNCTION("GOOGLETRANSLATE(B7451, ""es"", ""en"")"),"Sneakers sports very comfortable very light and comfortable, I use in my daily work in which I stand a 8 hours.")</f>
        <v>Sneakers sports very comfortable very light and comfortable, I use in my daily work in which I stand a 8 hours.</v>
      </c>
    </row>
    <row r="7452">
      <c r="A7452" s="1">
        <v>5.0</v>
      </c>
      <c r="B7452" s="1" t="s">
        <v>7401</v>
      </c>
      <c r="C7452" t="str">
        <f>IFERROR(__xludf.DUMMYFUNCTION("GOOGLETRANSLATE(B7452, ""es"", ""en"")"),"Very good all great")</f>
        <v>Very good all great</v>
      </c>
    </row>
    <row r="7453">
      <c r="A7453" s="1">
        <v>5.0</v>
      </c>
      <c r="B7453" s="1" t="s">
        <v>7402</v>
      </c>
      <c r="C7453" t="str">
        <f>IFERROR(__xludf.DUMMYFUNCTION("GOOGLETRANSLATE(B7453, ""es"", ""en"")"),"Cool Perfect just what I ordered are perfect")</f>
        <v>Cool Perfect just what I ordered are perfect</v>
      </c>
    </row>
    <row r="7454">
      <c r="A7454" s="1">
        <v>5.0</v>
      </c>
      <c r="B7454" s="1" t="s">
        <v>7403</v>
      </c>
      <c r="C7454" t="str">
        <f>IFERROR(__xludf.DUMMYFUNCTION("GOOGLETRANSLATE(B7454, ""es"", ""en"")"),"Fast delivery and good product perfect shoe.")</f>
        <v>Fast delivery and good product perfect shoe.</v>
      </c>
    </row>
    <row r="7455">
      <c r="A7455" s="1">
        <v>5.0</v>
      </c>
      <c r="B7455" s="1" t="s">
        <v>7404</v>
      </c>
      <c r="C7455" t="str">
        <f>IFERROR(__xludf.DUMMYFUNCTION("GOOGLETRANSLATE(B7455, ""es"", ""en"")"),"Great! Product great for plasticizing. Good quality and has come overnight !!")</f>
        <v>Great! Product great for plasticizing. Good quality and has come overnight !!</v>
      </c>
    </row>
    <row r="7456">
      <c r="A7456" s="1">
        <v>5.0</v>
      </c>
      <c r="B7456" s="1" t="s">
        <v>7405</v>
      </c>
      <c r="C7456" t="str">
        <f>IFERROR(__xludf.DUMMYFUNCTION("GOOGLETRANSLATE(B7456, ""es"", ""en"")"),"Good product is great fun to play with the microphone, you have several possibilities to interact with different connection modes and can record what you sing, the kids love it ,,,,, wave pass is a good little gift birthday 100 %")</f>
        <v>Good product is great fun to play with the microphone, you have several possibilities to interact with different connection modes and can record what you sing, the kids love it ,,,,, wave pass is a good little gift birthday 100 %</v>
      </c>
    </row>
    <row r="7457">
      <c r="A7457" s="1">
        <v>5.0</v>
      </c>
      <c r="B7457" s="1" t="s">
        <v>7406</v>
      </c>
      <c r="C7457" t="str">
        <f>IFERROR(__xludf.DUMMYFUNCTION("GOOGLETRANSLATE(B7457, ""es"", ""en"")"),"Sweatshirts regular youth fair quality, but x the price still I not have lacquered")</f>
        <v>Sweatshirts regular youth fair quality, but x the price still I not have lacquered</v>
      </c>
    </row>
    <row r="7458">
      <c r="A7458" s="1">
        <v>5.0</v>
      </c>
      <c r="B7458" s="1" t="s">
        <v>7407</v>
      </c>
      <c r="C7458" t="str">
        <f>IFERROR(__xludf.DUMMYFUNCTION("GOOGLETRANSLATE(B7458, ""es"", ""en"")"),"Everything was perfect for my son 1.80. And fits like a glove.")</f>
        <v>Everything was perfect for my son 1.80. And fits like a glove.</v>
      </c>
    </row>
    <row r="7459">
      <c r="A7459" s="1">
        <v>5.0</v>
      </c>
      <c r="B7459" s="1" t="s">
        <v>7408</v>
      </c>
      <c r="C7459" t="str">
        <f>IFERROR(__xludf.DUMMYFUNCTION("GOOGLETRANSLATE(B7459, ""es"", ""en"")"),"All right all right")</f>
        <v>All right all right</v>
      </c>
    </row>
    <row r="7460">
      <c r="A7460" s="1">
        <v>5.0</v>
      </c>
      <c r="B7460" s="1" t="s">
        <v>7409</v>
      </c>
      <c r="C7460" t="str">
        <f>IFERROR(__xludf.DUMMYFUNCTION("GOOGLETRANSLATE(B7460, ""es"", ""en"")"),"Simple but good quality my headphones just damaged and I was looking for a serve. Actually, these were much better than expected. Have good definition, both the portable and mobile and not invasive when they are in the ear. However, the best thing they ha"&amp;"ve is the cable, which has a plastic cover that prevents it from tangling. I literally have not seen that roll up even once. Fully recommended.")</f>
        <v>Simple but good quality my headphones just damaged and I was looking for a serve. Actually, these were much better than expected. Have good definition, both the portable and mobile and not invasive when they are in the ear. However, the best thing they have is the cable, which has a plastic cover that prevents it from tangling. I literally have not seen that roll up even once. Fully recommended.</v>
      </c>
    </row>
    <row r="7461">
      <c r="A7461" s="1">
        <v>2.0</v>
      </c>
      <c r="B7461" s="1" t="s">
        <v>7410</v>
      </c>
      <c r="C7461" t="str">
        <f>IFERROR(__xludf.DUMMYFUNCTION("GOOGLETRANSLATE(B7461, ""es"", ""en"")"),"I had to return difficult because the wire is impossible to set it straight, which is impossible to put it in your ears and stay subject. Difficult radio tuning etc, because it will have it in your ear, you can not see the squeeze buttons q .. I feel bad,"&amp;" but I were not comfortable. Maybe I was a speaker incorporated to tune them, something the problem resolceria")</f>
        <v>I had to return difficult because the wire is impossible to set it straight, which is impossible to put it in your ears and stay subject. Difficult radio tuning etc, because it will have it in your ear, you can not see the squeeze buttons q .. I feel bad, but I were not comfortable. Maybe I was a speaker incorporated to tune them, something the problem resolceria</v>
      </c>
    </row>
    <row r="7462">
      <c r="A7462" s="1">
        <v>3.0</v>
      </c>
      <c r="B7462" s="1" t="s">
        <v>7411</v>
      </c>
      <c r="C7462" t="str">
        <f>IFERROR(__xludf.DUMMYFUNCTION("GOOGLETRANSLATE(B7462, ""es"", ""en"")"),"Spoiled much sneakers are made with good materials (leather is real and not plastic like the cheap), but break down too quickly. I mean, the leather is like back leather and loses the black color. It rubs, especially by the tip and gets a gray color and t"&amp;"hat neither a damp cloth by brushing leaves, and wiping (and the washer or meter can obviously). Moreover, the sole inside the shoe, where the template is, breaks quickly, even using them with some additional templates and rubber soles is inside. This occ"&amp;"urs in the area of ​​the heel. I offer the Gotcha 30 € and use every day, so I was worth. But if they are at their normal price, usually around between 50 € -70 €, there already, I think there are better options, such as a New Balance, for example.")</f>
        <v>Spoiled much sneakers are made with good materials (leather is real and not plastic like the cheap), but break down too quickly. I mean, the leather is like back leather and loses the black color. It rubs, especially by the tip and gets a gray color and that neither a damp cloth by brushing leaves, and wiping (and the washer or meter can obviously). Moreover, the sole inside the shoe, where the template is, breaks quickly, even using them with some additional templates and rubber soles is inside. This occurs in the area of ​​the heel. I offer the Gotcha 30 € and use every day, so I was worth. But if they are at their normal price, usually around between 50 € -70 €, there already, I think there are better options, such as a New Balance, for example.</v>
      </c>
    </row>
    <row r="7463">
      <c r="A7463" s="1">
        <v>3.0</v>
      </c>
      <c r="B7463" s="1" t="s">
        <v>7412</v>
      </c>
      <c r="C7463" t="str">
        <f>IFERROR(__xludf.DUMMYFUNCTION("GOOGLETRANSLATE(B7463, ""es"", ""en"")"),"Precious I liked the quality of the footwear and are aesthetically beautiful. What I had to return because they are very close to last and not be dependent on that template.")</f>
        <v>Precious I liked the quality of the footwear and are aesthetically beautiful. What I had to return because they are very close to last and not be dependent on that template.</v>
      </c>
    </row>
    <row r="7464">
      <c r="A7464" s="1">
        <v>1.0</v>
      </c>
      <c r="B7464" s="1" t="s">
        <v>7413</v>
      </c>
      <c r="C7464" t="str">
        <f>IFERROR(__xludf.DUMMYFUNCTION("GOOGLETRANSLATE(B7464, ""es"", ""en"")"),"Color failure were not like the photo. They came totally black")</f>
        <v>Color failure were not like the photo. They came totally black</v>
      </c>
    </row>
    <row r="7465">
      <c r="A7465" s="1">
        <v>1.0</v>
      </c>
      <c r="B7465" s="1" t="s">
        <v>7414</v>
      </c>
      <c r="C7465" t="str">
        <f>IFERROR(__xludf.DUMMYFUNCTION("GOOGLETRANSLATE(B7465, ""es"", ""en"")"),"no smell in humidifier When you put the drops indicating the humidifier does not smell like anything, I tried putting half the pot and still barely appreciated. If you come outside and walk which is set running practically no note, I have already spent tw"&amp;"o different boats and usually does not look like any of the six oils meyin going to smell.")</f>
        <v>no smell in humidifier When you put the drops indicating the humidifier does not smell like anything, I tried putting half the pot and still barely appreciated. If you come outside and walk which is set running practically no note, I have already spent two different boats and usually does not look like any of the six oils meyin going to smell.</v>
      </c>
    </row>
    <row r="7466">
      <c r="A7466" s="1">
        <v>4.0</v>
      </c>
      <c r="B7466" s="1" t="s">
        <v>7415</v>
      </c>
      <c r="C7466" t="str">
        <f>IFERROR(__xludf.DUMMYFUNCTION("GOOGLETRANSLATE(B7466, ""es"", ""en"")"),"The number is either as expected wine. The number is correct and arrived perfectly.")</f>
        <v>The number is either as expected wine. The number is correct and arrived perfectly.</v>
      </c>
    </row>
    <row r="7467">
      <c r="A7467" s="1">
        <v>4.0</v>
      </c>
      <c r="B7467" s="1" t="s">
        <v>7416</v>
      </c>
      <c r="C7467" t="str">
        <f>IFERROR(__xludf.DUMMYFUNCTION("GOOGLETRANSLATE(B7467, ""es"", ""en"")"),"Good buy all right but require care to maintain them in good condition. Skin color and impermeability who require the use some skills and dedication to their preservation.")</f>
        <v>Good buy all right but require care to maintain them in good condition. Skin color and impermeability who require the use some skills and dedication to their preservation.</v>
      </c>
    </row>
    <row r="7468">
      <c r="A7468" s="1">
        <v>4.0</v>
      </c>
      <c r="B7468" s="1" t="s">
        <v>7417</v>
      </c>
      <c r="C7468" t="str">
        <f>IFERROR(__xludf.DUMMYFUNCTION("GOOGLETRANSLATE(B7468, ""es"", ""en"")"),"Only one thing is missing a cover that lacks a FUNDIT or briefcase where to store or transport the album. It is quite robust and although the covers are thick and is well protected inside will always be better in a holster. The photos are glued super good"&amp;".")</f>
        <v>Only one thing is missing a cover that lacks a FUNDIT or briefcase where to store or transport the album. It is quite robust and although the covers are thick and is well protected inside will always be better in a holster. The photos are glued super good.</v>
      </c>
    </row>
    <row r="7469">
      <c r="A7469" s="1">
        <v>4.0</v>
      </c>
      <c r="B7469" s="1" t="s">
        <v>7418</v>
      </c>
      <c r="C7469" t="str">
        <f>IFERROR(__xludf.DUMMYFUNCTION("GOOGLETRANSLATE(B7469, ""es"", ""en"")"),"quality / price is a product that value restaurant seems very good. I am using it for a camera and at the moment very well")</f>
        <v>quality / price is a product that value restaurant seems very good. I am using it for a camera and at the moment very well</v>
      </c>
    </row>
    <row r="7470">
      <c r="A7470" s="1">
        <v>4.0</v>
      </c>
      <c r="B7470" s="1" t="s">
        <v>7419</v>
      </c>
      <c r="C7470" t="str">
        <f>IFERROR(__xludf.DUMMYFUNCTION("GOOGLETRANSLATE(B7470, ""es"", ""en"")"),"Resistance to work the best")</f>
        <v>Resistance to work the best</v>
      </c>
    </row>
    <row r="7471">
      <c r="A7471" s="1">
        <v>5.0</v>
      </c>
      <c r="B7471" s="1" t="s">
        <v>7420</v>
      </c>
      <c r="C7471" t="str">
        <f>IFERROR(__xludf.DUMMYFUNCTION("GOOGLETRANSLATE(B7471, ""es"", ""en"")"),"After much searching, the encontreeeee. Good, here I come to speak a little of what has been, though it may seem silly, the odyssey to find a shoulder bag for men. Had several at home but none of them, either by size or design, I was convinced. I needed o"&amp;"ne that was a perfect size, with multiple zippers and holes for both the wallet, mobile, glasses, small camera ... Well the end I found it. Measuring 16 cm wide, 19 cm high and 7 cm deep. Has three zippered pockets, two middle, one front compartment and m"&amp;"obile, keys, coins ... In the photos you can see I added that in the larger pocket between a camera perfectly, in my case, a sony nex c3 with 18-55, and plenty of space for the portfolio, plus another small compartment for some documentation such as a pas"&amp;"sport. In the intermediate pocket there is room for mobile hole is padded by a nice touch fabric that prevents the grated screen and another zippered pocket to store smaller headphones, for example. Outside pocket although an entry a bit narrower than the"&amp;" above has a spacious interior. It is made of black canvas fabric that repels some water if we get caught raining down the street, quite sturdy. It is a bag for daily use, very casual, but at the same time by the black color that has passed very unnoticed"&amp;". The adjustable band is wide and hang tough, very comfortable it does not bother to take the hook. Very satisfied overall with the purchase recommending purchase with confidence knowing that will not disappoint anyone. Cheers")</f>
        <v>After much searching, the encontreeeee. Good, here I come to speak a little of what has been, though it may seem silly, the odyssey to find a shoulder bag for men. Had several at home but none of them, either by size or design, I was convinced. I needed one that was a perfect size, with multiple zippers and holes for both the wallet, mobile, glasses, small camera ... Well the end I found it. Measuring 16 cm wide, 19 cm high and 7 cm deep. Has three zippered pockets, two middle, one front compartment and mobile, keys, coins ... In the photos you can see I added that in the larger pocket between a camera perfectly, in my case, a sony nex c3 with 18-55, and plenty of space for the portfolio, plus another small compartment for some documentation such as a passport. In the intermediate pocket there is room for mobile hole is padded by a nice touch fabric that prevents the grated screen and another zippered pocket to store smaller headphones, for example. Outside pocket although an entry a bit narrower than the above has a spacious interior. It is made of black canvas fabric that repels some water if we get caught raining down the street, quite sturdy. It is a bag for daily use, very casual, but at the same time by the black color that has passed very unnoticed. The adjustable band is wide and hang tough, very comfortable it does not bother to take the hook. Very satisfied overall with the purchase recommending purchase with confidence knowing that will not disappoint anyone. Cheers</v>
      </c>
    </row>
    <row r="7472">
      <c r="A7472" s="1">
        <v>5.0</v>
      </c>
      <c r="B7472" s="1" t="s">
        <v>7421</v>
      </c>
      <c r="C7472" t="str">
        <f>IFERROR(__xludf.DUMMYFUNCTION("GOOGLETRANSLATE(B7472, ""es"", ""en"")"),"They deliver what they promise've been washing clothes more than 2 months and I can say that is practically as with a conventional detergent (remove grease, blood stains ...). Nuts do not smell very good, but does not affect clothing, it just smells clean"&amp;". Wash at 30 ° C and usually take a couple of nuts more than recommended. Bicabornato also be added for stains, vinegar softness or essential oil to perfume. The've also used to make liquid soap in order to use it to wash hands and dishes but I did not li"&amp;"ke because they do nothing of soap (and I've tried several recipes).")</f>
        <v>They deliver what they promise've been washing clothes more than 2 months and I can say that is practically as with a conventional detergent (remove grease, blood stains ...). Nuts do not smell very good, but does not affect clothing, it just smells clean. Wash at 30 ° C and usually take a couple of nuts more than recommended. Bicabornato also be added for stains, vinegar softness or essential oil to perfume. The've also used to make liquid soap in order to use it to wash hands and dishes but I did not like because they do nothing of soap (and I've tried several recipes).</v>
      </c>
    </row>
    <row r="7473">
      <c r="A7473" s="1">
        <v>5.0</v>
      </c>
      <c r="B7473" s="1" t="s">
        <v>7422</v>
      </c>
      <c r="C7473" t="str">
        <f>IFERROR(__xludf.DUMMYFUNCTION("GOOGLETRANSLATE(B7473, ""es"", ""en"")"),"Bracelet fine and elegant. It's perfect. Far above all because I usually get big but 18cm. It is perfect. Moreover, although they are finite do very nice, every circumstance I have already bought varias.Buena money.")</f>
        <v>Bracelet fine and elegant. It's perfect. Far above all because I usually get big but 18cm. It is perfect. Moreover, although they are finite do very nice, every circumstance I have already bought varias.Buena money.</v>
      </c>
    </row>
    <row r="7474">
      <c r="A7474" s="1">
        <v>5.0</v>
      </c>
      <c r="B7474" s="1" t="s">
        <v>7423</v>
      </c>
      <c r="C7474" t="str">
        <f>IFERROR(__xludf.DUMMYFUNCTION("GOOGLETRANSLATE(B7474, ""es"", ""en"")"),"Calentito and quality is very warm and soft. I do not know if it is intended for this but I use my coat and going great. Maybe not to go gala, but gave for a day. Said that the sizing was small, I have found it average. I'm small and I usually use the S, "&amp;"sometimes XS, XS in this case I will perfect. It fitted remains without being tight. Good buy for the winter !! It electrifies a little so it will not if very good idea to risk the hood hair look an electric ball, but the rest well!")</f>
        <v>Calentito and quality is very warm and soft. I do not know if it is intended for this but I use my coat and going great. Maybe not to go gala, but gave for a day. Said that the sizing was small, I have found it average. I'm small and I usually use the S, sometimes XS, XS in this case I will perfect. It fitted remains without being tight. Good buy for the winter !! It electrifies a little so it will not if very good idea to risk the hood hair look an electric ball, but the rest well!</v>
      </c>
    </row>
    <row r="7475">
      <c r="A7475" s="1">
        <v>5.0</v>
      </c>
      <c r="B7475" s="1" t="s">
        <v>7424</v>
      </c>
      <c r="C7475" t="str">
        <f>IFERROR(__xludf.DUMMYFUNCTION("GOOGLETRANSLATE(B7475, ""es"", ""en"")"),"I like too very comfortable, easy to operate, can be used by a family, and the cover can be removed for cleaning. It is wonderful to go home and get a massage at work.")</f>
        <v>I like too very comfortable, easy to operate, can be used by a family, and the cover can be removed for cleaning. It is wonderful to go home and get a massage at work.</v>
      </c>
    </row>
    <row r="7476">
      <c r="A7476" s="1">
        <v>5.0</v>
      </c>
      <c r="B7476" s="1" t="s">
        <v>7425</v>
      </c>
      <c r="C7476" t="str">
        <f>IFERROR(__xludf.DUMMYFUNCTION("GOOGLETRANSLATE(B7476, ""es"", ""en"")"),"Good glue and good format had to paste multiple pieces of plastic and other materials (toe of the sole of a sport that had taken off, the cell phone protectors for enganchón had been loose ...) and really sticking great in those materials. I was hesitant "&amp;"to buy it because when you buy a small boat you always stays dry or jams and wasted almost everything. With this format 3 small I am very happy. I spent one. I am using it several days I had not dried and could continue to use it, and I still have two uno"&amp;"pened in perfect condition when you need them.")</f>
        <v>Good glue and good format had to paste multiple pieces of plastic and other materials (toe of the sole of a sport that had taken off, the cell phone protectors for enganchón had been loose ...) and really sticking great in those materials. I was hesitant to buy it because when you buy a small boat you always stays dry or jams and wasted almost everything. With this format 3 small I am very happy. I spent one. I am using it several days I had not dried and could continue to use it, and I still have two unopened in perfect condition when you need them.</v>
      </c>
    </row>
    <row r="7477">
      <c r="A7477" s="1">
        <v>5.0</v>
      </c>
      <c r="B7477" s="1" t="s">
        <v>7426</v>
      </c>
      <c r="C7477" t="str">
        <f>IFERROR(__xludf.DUMMYFUNCTION("GOOGLETRANSLATE(B7477, ""es"", ""en"")"),"Like q Perfect very nice photo")</f>
        <v>Like q Perfect very nice photo</v>
      </c>
    </row>
    <row r="7478">
      <c r="A7478" s="1">
        <v>5.0</v>
      </c>
      <c r="B7478" s="1" t="s">
        <v>7427</v>
      </c>
      <c r="C7478" t="str">
        <f>IFERROR(__xludf.DUMMYFUNCTION("GOOGLETRANSLATE(B7478, ""es"", ""en"")"),"Effective muscle massage A good product for those q play sports to relax muscles after exertion")</f>
        <v>Effective muscle massage A good product for those q play sports to relax muscles after exertion</v>
      </c>
    </row>
    <row r="7479">
      <c r="A7479" s="1">
        <v>5.0</v>
      </c>
      <c r="B7479" s="1" t="s">
        <v>7428</v>
      </c>
      <c r="C7479" t="str">
        <f>IFERROR(__xludf.DUMMYFUNCTION("GOOGLETRANSLATE(B7479, ""es"", ""en"")"),"I'll cool is a marker as office but for clothes. I will go great for when colony or excursion because it super fast dialing. If they go somewhere where no possibility of changing clothes, tb. Ink is infinite. For years I have it and I have not changed. Th"&amp;"e only fault I find is that the letter is a bit small. I only put the names, and the size of the seal could be large print. And black clothes ... the need to put on the label. The advantage is that if clarito or pink dress, etc ... going very well. I reco"&amp;"mmend it without hesitation, you save thousands of labels board.")</f>
        <v>I'll cool is a marker as office but for clothes. I will go great for when colony or excursion because it super fast dialing. If they go somewhere where no possibility of changing clothes, tb. Ink is infinite. For years I have it and I have not changed. The only fault I find is that the letter is a bit small. I only put the names, and the size of the seal could be large print. And black clothes ... the need to put on the label. The advantage is that if clarito or pink dress, etc ... going very well. I recommend it without hesitation, you save thousands of labels board.</v>
      </c>
    </row>
    <row r="7480">
      <c r="A7480" s="1">
        <v>5.0</v>
      </c>
      <c r="B7480" s="1" t="s">
        <v>7429</v>
      </c>
      <c r="C7480" t="str">
        <f>IFERROR(__xludf.DUMMYFUNCTION("GOOGLETRANSLATE(B7480, ""es"", ""en"")"),"Compact and fast hard drive compact and lightweight that can be transported without any problems. No external power, making it very practical. Good transfer rate, although the move large files, low performance. Still, very good choice.")</f>
        <v>Compact and fast hard drive compact and lightweight that can be transported without any problems. No external power, making it very practical. Good transfer rate, although the move large files, low performance. Still, very good choice.</v>
      </c>
    </row>
    <row r="7481">
      <c r="A7481" s="1">
        <v>5.0</v>
      </c>
      <c r="B7481" s="1" t="s">
        <v>7430</v>
      </c>
      <c r="C7481" t="str">
        <f>IFERROR(__xludf.DUMMYFUNCTION("GOOGLETRANSLATE(B7481, ""es"", ""en"")"),"Comfort I go very well and I like how they look and are very comfortable")</f>
        <v>Comfort I go very well and I like how they look and are very comfortable</v>
      </c>
    </row>
    <row r="7482">
      <c r="A7482" s="1">
        <v>5.0</v>
      </c>
      <c r="B7482" s="1" t="s">
        <v>7431</v>
      </c>
      <c r="C7482" t="str">
        <f>IFERROR(__xludf.DUMMYFUNCTION("GOOGLETRANSLATE(B7482, ""es"", ""en"")"),"Maybe I recommend 100%. Is a brand that I love and my baby also is the third I have and as always happy with the price.")</f>
        <v>Maybe I recommend 100%. Is a brand that I love and my baby also is the third I have and as always happy with the price.</v>
      </c>
    </row>
    <row r="7483">
      <c r="A7483" s="1">
        <v>5.0</v>
      </c>
      <c r="B7483" s="1" t="s">
        <v>7432</v>
      </c>
      <c r="C7483" t="str">
        <f>IFERROR(__xludf.DUMMYFUNCTION("GOOGLETRANSLATE(B7483, ""es"", ""en"")"),"Well Van perfect, can not stand as the original but quality / price by 10.")</f>
        <v>Well Van perfect, can not stand as the original but quality / price by 10.</v>
      </c>
    </row>
    <row r="7484">
      <c r="A7484" s="1">
        <v>5.0</v>
      </c>
      <c r="B7484" s="1" t="s">
        <v>7433</v>
      </c>
      <c r="C7484" t="str">
        <f>IFERROR(__xludf.DUMMYFUNCTION("GOOGLETRANSLATE(B7484, ""es"", ""en"")"),"Keyboard Alesis Q49 Good keyboard and excellent software")</f>
        <v>Keyboard Alesis Q49 Good keyboard and excellent software</v>
      </c>
    </row>
    <row r="7485">
      <c r="A7485" s="1">
        <v>5.0</v>
      </c>
      <c r="B7485" s="1" t="s">
        <v>7434</v>
      </c>
      <c r="C7485" t="str">
        <f>IFERROR(__xludf.DUMMYFUNCTION("GOOGLETRANSLATE(B7485, ""es"", ""en"")"),"Robusta We liked it. It is powerful fast and easily cleaned.")</f>
        <v>Robusta We liked it. It is powerful fast and easily cleaned.</v>
      </c>
    </row>
    <row r="7486">
      <c r="A7486" s="1">
        <v>5.0</v>
      </c>
      <c r="B7486" s="1" t="s">
        <v>7435</v>
      </c>
      <c r="C7486" t="str">
        <f>IFERROR(__xludf.DUMMYFUNCTION("GOOGLETRANSLATE(B7486, ""es"", ""en"")"),"Quality unbeatable price The watch has a quality unbeatable price. Perfect for him as watch parts: I use it for when I go on a bike (I hooked to the handlebars) or when I'll go somewhere to which I do not want to bring him good watch. highly recommended")</f>
        <v>Quality unbeatable price The watch has a quality unbeatable price. Perfect for him as watch parts: I use it for when I go on a bike (I hooked to the handlebars) or when I'll go somewhere to which I do not want to bring him good watch. highly recommended</v>
      </c>
    </row>
    <row r="7487">
      <c r="A7487" s="1">
        <v>5.0</v>
      </c>
      <c r="B7487" s="1" t="s">
        <v>7436</v>
      </c>
      <c r="C7487" t="str">
        <f>IFERROR(__xludf.DUMMYFUNCTION("GOOGLETRANSLATE(B7487, ""es"", ""en"")"),"Good quality. Satisfied with the purchase. Comfortable, sound great, and I can move around the house with them. Good value for money")</f>
        <v>Good quality. Satisfied with the purchase. Comfortable, sound great, and I can move around the house with them. Good value for money</v>
      </c>
    </row>
    <row r="7488">
      <c r="A7488" s="1">
        <v>5.0</v>
      </c>
      <c r="B7488" s="1" t="s">
        <v>7437</v>
      </c>
      <c r="C7488" t="str">
        <f>IFERROR(__xludf.DUMMYFUNCTION("GOOGLETRANSLATE(B7488, ""es"", ""en"")"),"So comfortable !!! They are very comfortable, with padded back and the staff very comfortable too. I had a lot of talk and know that never fail. But I love it because this model is even more comfortable than chuck taylor")</f>
        <v>So comfortable !!! They are very comfortable, with padded back and the staff very comfortable too. I had a lot of talk and know that never fail. But I love it because this model is even more comfortable than chuck taylor</v>
      </c>
    </row>
    <row r="7489">
      <c r="A7489" s="1">
        <v>2.0</v>
      </c>
      <c r="B7489" s="1" t="s">
        <v>7438</v>
      </c>
      <c r="C7489" t="str">
        <f>IFERROR(__xludf.DUMMYFUNCTION("GOOGLETRANSLATE(B7489, ""es"", ""en"")"),"The problem botonera The product came well packaged and presented with their respective (headphones, USB cable components to charge cable and 3.5mm jack male / male to listen without BT. I had no trouble connecting with BT dispositvo (mobile huawei p10, t"&amp;"ablet bq10) and even a PC with USB adapter BT. well, I received such that a Friday tried it, I was 3 days working with great, it sounded good and functioning properly, and suddenly, I could not turn it off, the keypad did not respond, ie, no RESPONDIA the"&amp;" button pressed .... so I returned it ... Even today I am waiting for me AMAZON reimburse the purchase money, I hope so ... experience has been very negative. the device itself is nice, works well, sounds correctly (could hear movies and music and the sou"&amp;"nd was correct), the pads cover almost all ears and insulate well, did not taste much the protection of the part of the head, this Förråd to a kind of plastic, not padded, but still protects and fits well, even with glasses. a greeting")</f>
        <v>The problem botonera The product came well packaged and presented with their respective (headphones, USB cable components to charge cable and 3.5mm jack male / male to listen without BT. I had no trouble connecting with BT dispositvo (mobile huawei p10, tablet bq10) and even a PC with USB adapter BT. well, I received such that a Friday tried it, I was 3 days working with great, it sounded good and functioning properly, and suddenly, I could not turn it off, the keypad did not respond, ie, no RESPONDIA the button pressed .... so I returned it ... Even today I am waiting for me AMAZON reimburse the purchase money, I hope so ... experience has been very negative. the device itself is nice, works well, sounds correctly (could hear movies and music and the sound was correct), the pads cover almost all ears and insulate well, did not taste much the protection of the part of the head, this Förråd to a kind of plastic, not padded, but still protects and fits well, even with glasses. a greeting</v>
      </c>
    </row>
    <row r="7490">
      <c r="A7490" s="1">
        <v>3.0</v>
      </c>
      <c r="B7490" s="1" t="s">
        <v>7439</v>
      </c>
      <c r="C7490" t="str">
        <f>IFERROR(__xludf.DUMMYFUNCTION("GOOGLETRANSLATE(B7490, ""es"", ""en"")"),"Look good look good but the color is not the one requested is darker red")</f>
        <v>Look good look good but the color is not the one requested is darker red</v>
      </c>
    </row>
    <row r="7491">
      <c r="A7491" s="1">
        <v>3.0</v>
      </c>
      <c r="B7491" s="1" t="s">
        <v>7440</v>
      </c>
      <c r="C7491" t="str">
        <f>IFERROR(__xludf.DUMMYFUNCTION("GOOGLETRANSLATE(B7491, ""es"", ""en"")"),"Marks on the right side is normal quality, proper delivery, appropriate packaging, but has a mark on the right side I've read in other reviews that has not been corrected.")</f>
        <v>Marks on the right side is normal quality, proper delivery, appropriate packaging, but has a mark on the right side I've read in other reviews that has not been corrected.</v>
      </c>
    </row>
    <row r="7492">
      <c r="A7492" s="1">
        <v>1.0</v>
      </c>
      <c r="B7492" s="1" t="s">
        <v>7441</v>
      </c>
      <c r="C7492" t="str">
        <f>IFERROR(__xludf.DUMMYFUNCTION("GOOGLETRANSLATE(B7492, ""es"", ""en"")"),"Eye with the number standing !!! I use a 39, so I bought the M size ranging from 36-40. Well, me are so fair that the front seams press on the thumb. So I do not recommend purchase because I think it is wrong carved and also cools quickly. 0 patatero for "&amp;"these shoes.")</f>
        <v>Eye with the number standing !!! I use a 39, so I bought the M size ranging from 36-40. Well, me are so fair that the front seams press on the thumb. So I do not recommend purchase because I think it is wrong carved and also cools quickly. 0 patatero for these shoes.</v>
      </c>
    </row>
    <row r="7493">
      <c r="A7493" s="1">
        <v>1.0</v>
      </c>
      <c r="B7493" s="1" t="s">
        <v>7442</v>
      </c>
      <c r="C7493" t="str">
        <f>IFERROR(__xludf.DUMMYFUNCTION("GOOGLETRANSLATE(B7493, ""es"", ""en"")"),"Good but very small equipment too small")</f>
        <v>Good but very small equipment too small</v>
      </c>
    </row>
    <row r="7494">
      <c r="A7494" s="1">
        <v>1.0</v>
      </c>
      <c r="B7494" s="1" t="s">
        <v>7443</v>
      </c>
      <c r="C7494" t="str">
        <f>IFERROR(__xludf.DUMMYFUNCTION("GOOGLETRANSLATE(B7494, ""es"", ""en"")"),"Product used Product arrived unsealed and with signs of having been used. I did not buy a refurbished product price. It is the umpteenth time that happens.")</f>
        <v>Product used Product arrived unsealed and with signs of having been used. I did not buy a refurbished product price. It is the umpteenth time that happens.</v>
      </c>
    </row>
    <row r="7495">
      <c r="A7495" s="1">
        <v>4.0</v>
      </c>
      <c r="B7495" s="1" t="s">
        <v>7444</v>
      </c>
      <c r="C7495" t="str">
        <f>IFERROR(__xludf.DUMMYFUNCTION("GOOGLETRANSLATE(B7495, ""es"", ""en"")"),"Good product but can improve good product for cleaning bottles, limpiatetinas is not good all think they should improve and not cleaned well all traces")</f>
        <v>Good product but can improve good product for cleaning bottles, limpiatetinas is not good all think they should improve and not cleaned well all traces</v>
      </c>
    </row>
    <row r="7496">
      <c r="A7496" s="1">
        <v>4.0</v>
      </c>
      <c r="B7496" s="1" t="s">
        <v>7445</v>
      </c>
      <c r="C7496" t="str">
        <f>IFERROR(__xludf.DUMMYFUNCTION("GOOGLETRANSLATE(B7496, ""es"", ""en"")"),"Good watch arrived a day earlier. It's what is seen in the photo. Sphere very original and very thick leather strap. Its operation is perfect so far. It is my opinion a watch for everyday use")</f>
        <v>Good watch arrived a day earlier. It's what is seen in the photo. Sphere very original and very thick leather strap. Its operation is perfect so far. It is my opinion a watch for everyday use</v>
      </c>
    </row>
    <row r="7497">
      <c r="A7497" s="1">
        <v>4.0</v>
      </c>
      <c r="B7497" s="1" t="s">
        <v>7446</v>
      </c>
      <c r="C7497" t="str">
        <f>IFERROR(__xludf.DUMMYFUNCTION("GOOGLETRANSLATE(B7497, ""es"", ""en"")"),"Easy assembly. It works well Assuming that the value for money is pretty good, in my view the only downside is that it makes some noise running (but very slight). However, installation is very simple and completely intuitive. I use it in the office I have"&amp;" at home and does the job perfectly pleasant smell and top with many choices of light.")</f>
        <v>Easy assembly. It works well Assuming that the value for money is pretty good, in my view the only downside is that it makes some noise running (but very slight). However, installation is very simple and completely intuitive. I use it in the office I have at home and does the job perfectly pleasant smell and top with many choices of light.</v>
      </c>
    </row>
    <row r="7498">
      <c r="A7498" s="1">
        <v>4.0</v>
      </c>
      <c r="B7498" s="1" t="s">
        <v>7447</v>
      </c>
      <c r="C7498" t="str">
        <f>IFERROR(__xludf.DUMMYFUNCTION("GOOGLETRANSLATE(B7498, ""es"", ""en"")"),"Within normal Cascos wired deep inside normal, unremarkable, sound average, do not cover the ear, when you take too long they stay on top and has a little damage with them, design is nice and not bad for take them down the street. The cable is not wound, "&amp;"and is comfortable. I would have put Aconchado discreet head.")</f>
        <v>Within normal Cascos wired deep inside normal, unremarkable, sound average, do not cover the ear, when you take too long they stay on top and has a little damage with them, design is nice and not bad for take them down the street. The cable is not wound, and is comfortable. I would have put Aconchado discreet head.</v>
      </c>
    </row>
    <row r="7499">
      <c r="A7499" s="1">
        <v>5.0</v>
      </c>
      <c r="B7499" s="1" t="s">
        <v>7448</v>
      </c>
      <c r="C7499" t="str">
        <f>IFERROR(__xludf.DUMMYFUNCTION("GOOGLETRANSLATE(B7499, ""es"", ""en"")"),"Helmets are very comfortable and easy helmets lay cable is also quite long with which can slip the phone in your pocket and still you keep coming helmets and for the price I paid to come helmets and parts I think It is pretty good")</f>
        <v>Helmets are very comfortable and easy helmets lay cable is also quite long with which can slip the phone in your pocket and still you keep coming helmets and for the price I paid to come helmets and parts I think It is pretty good</v>
      </c>
    </row>
    <row r="7500">
      <c r="A7500" s="1">
        <v>5.0</v>
      </c>
      <c r="B7500" s="1" t="s">
        <v>7449</v>
      </c>
      <c r="C7500" t="str">
        <f>IFERROR(__xludf.DUMMYFUNCTION("GOOGLETRANSLATE(B7500, ""es"", ""en"")"),"A good quality blender. Good quality blender recomiendo👌👌👍")</f>
        <v>A good quality blender. Good quality blender recomiendo👌👌👍</v>
      </c>
    </row>
    <row r="7501">
      <c r="A7501" s="1">
        <v>5.0</v>
      </c>
      <c r="B7501" s="1" t="s">
        <v>7450</v>
      </c>
      <c r="C7501" t="str">
        <f>IFERROR(__xludf.DUMMYFUNCTION("GOOGLETRANSLATE(B7501, ""es"", ""en"")"),"Good operation came very fast and with a good price. The quality is quite acceptable so you can not ask for more")</f>
        <v>Good operation came very fast and with a good price. The quality is quite acceptable so you can not ask for more</v>
      </c>
    </row>
    <row r="7502">
      <c r="A7502" s="1">
        <v>5.0</v>
      </c>
      <c r="B7502" s="1" t="s">
        <v>7451</v>
      </c>
      <c r="C7502" t="str">
        <f>IFERROR(__xludf.DUMMYFUNCTION("GOOGLETRANSLATE(B7502, ""es"", ""en"")"),"A practical and comfortable mat XL, stays very beautiful and very practical. The mouse glides really well for her giving a feeling of great comfort. And of course additional protection to the table where you have your keyboard and your mouse")</f>
        <v>A practical and comfortable mat XL, stays very beautiful and very practical. The mouse glides really well for her giving a feeling of great comfort. And of course additional protection to the table where you have your keyboard and your mouse</v>
      </c>
    </row>
    <row r="7503">
      <c r="A7503" s="1">
        <v>5.0</v>
      </c>
      <c r="B7503" s="1" t="s">
        <v>7452</v>
      </c>
      <c r="C7503" t="str">
        <f>IFERROR(__xludf.DUMMYFUNCTION("GOOGLETRANSLATE(B7503, ""es"", ""en"")"),"Good Good all")</f>
        <v>Good Good all</v>
      </c>
    </row>
    <row r="7504">
      <c r="A7504" s="1">
        <v>5.0</v>
      </c>
      <c r="B7504" s="1" t="s">
        <v>7453</v>
      </c>
      <c r="C7504" t="str">
        <f>IFERROR(__xludf.DUMMYFUNCTION("GOOGLETRANSLATE(B7504, ""es"", ""en"")"),"Of the best watches that have very good, maybe a little more could a more modern buy backlit instead of bulbs, but otherwise is of high quality when you buy a watch for less than 35 € usually it lasts what the stack since the belt is damaged or simply doe"&amp;"s not work on replacing the battery. Super recommended.")</f>
        <v>Of the best watches that have very good, maybe a little more could a more modern buy backlit instead of bulbs, but otherwise is of high quality when you buy a watch for less than 35 € usually it lasts what the stack since the belt is damaged or simply does not work on replacing the battery. Super recommended.</v>
      </c>
    </row>
    <row r="7505">
      <c r="A7505" s="1">
        <v>5.0</v>
      </c>
      <c r="B7505" s="1" t="s">
        <v>7454</v>
      </c>
      <c r="C7505" t="str">
        <f>IFERROR(__xludf.DUMMYFUNCTION("GOOGLETRANSLATE(B7505, ""es"", ""en"")"),"Very nice retro style is so well buy 3 different colors")</f>
        <v>Very nice retro style is so well buy 3 different colors</v>
      </c>
    </row>
    <row r="7506">
      <c r="A7506" s="1">
        <v>5.0</v>
      </c>
      <c r="B7506" s="1" t="s">
        <v>7455</v>
      </c>
      <c r="C7506" t="str">
        <f>IFERROR(__xludf.DUMMYFUNCTION("GOOGLETRANSLATE(B7506, ""es"", ""en"")"),"Headphones exceptional product, fast shipping and it works great. Recommended hundred hundred")</f>
        <v>Headphones exceptional product, fast shipping and it works great. Recommended hundred hundred</v>
      </c>
    </row>
    <row r="7507">
      <c r="A7507" s="1">
        <v>5.0</v>
      </c>
      <c r="B7507" s="1" t="s">
        <v>7456</v>
      </c>
      <c r="C7507" t="str">
        <f>IFERROR(__xludf.DUMMYFUNCTION("GOOGLETRANSLATE(B7507, ""es"", ""en"")"),"Intense aromas is the first pack of flavors that I buy and I am happy with the product. Bring 6 bottles of 10 ml. Which I liked is the eucalyptus, 3 hours in the humidor 300ml doing great and smells pretty, great intensity.")</f>
        <v>Intense aromas is the first pack of flavors that I buy and I am happy with the product. Bring 6 bottles of 10 ml. Which I liked is the eucalyptus, 3 hours in the humidor 300ml doing great and smells pretty, great intensity.</v>
      </c>
    </row>
    <row r="7508">
      <c r="A7508" s="1">
        <v>5.0</v>
      </c>
      <c r="B7508" s="1" t="s">
        <v>7457</v>
      </c>
      <c r="C7508" t="str">
        <f>IFERROR(__xludf.DUMMYFUNCTION("GOOGLETRANSLATE(B7508, ""es"", ""en"")"),"Perfect! It is as it is described, is very nice and good quality price, I recommend it !!")</f>
        <v>Perfect! It is as it is described, is very nice and good quality price, I recommend it !!</v>
      </c>
    </row>
    <row r="7509">
      <c r="A7509" s="1">
        <v>5.0</v>
      </c>
      <c r="B7509" s="1" t="s">
        <v>7458</v>
      </c>
      <c r="C7509" t="str">
        <f>IFERROR(__xludf.DUMMYFUNCTION("GOOGLETRANSLATE(B7509, ""es"", ""en"")"),"Very nice good quality good quality")</f>
        <v>Very nice good quality good quality</v>
      </c>
    </row>
    <row r="7510">
      <c r="A7510" s="1">
        <v>5.0</v>
      </c>
      <c r="B7510" s="1" t="s">
        <v>7459</v>
      </c>
      <c r="C7510" t="str">
        <f>IFERROR(__xludf.DUMMYFUNCTION("GOOGLETRANSLATE(B7510, ""es"", ""en"")"),"Good texture and transpiration They comes in a pretty ""cute"" box are very comfortable and very well (use 43) the suit also use the gym and not sweaty notice. 100% Recommended")</f>
        <v>Good texture and transpiration They comes in a pretty "cute" box are very comfortable and very well (use 43) the suit also use the gym and not sweaty notice. 100% Recommended</v>
      </c>
    </row>
    <row r="7511">
      <c r="A7511" s="1">
        <v>5.0</v>
      </c>
      <c r="B7511" s="1" t="s">
        <v>7460</v>
      </c>
      <c r="C7511" t="str">
        <f>IFERROR(__xludf.DUMMYFUNCTION("GOOGLETRANSLATE(B7511, ""es"", ""en"")"),"The useful Beautiful")</f>
        <v>The useful Beautiful</v>
      </c>
    </row>
    <row r="7512">
      <c r="A7512" s="1">
        <v>5.0</v>
      </c>
      <c r="B7512" s="1" t="s">
        <v>7461</v>
      </c>
      <c r="C7512" t="str">
        <f>IFERROR(__xludf.DUMMYFUNCTION("GOOGLETRANSLATE(B7512, ""es"", ""en"")"),"Good quality is completely watertight and have not had any problems with single él.A view it is original and not imitation in my opinion")</f>
        <v>Good quality is completely watertight and have not had any problems with single él.A view it is original and not imitation in my opinion</v>
      </c>
    </row>
    <row r="7513">
      <c r="A7513" s="1">
        <v>5.0</v>
      </c>
      <c r="B7513" s="1" t="s">
        <v>7462</v>
      </c>
      <c r="C7513" t="str">
        <f>IFERROR(__xludf.DUMMYFUNCTION("GOOGLETRANSLATE(B7513, ""es"", ""en"")"),"I still love me hmm Preciosos are precious and not weigh")</f>
        <v>I still love me hmm Preciosos are precious and not weigh</v>
      </c>
    </row>
    <row r="7514">
      <c r="A7514" s="1">
        <v>5.0</v>
      </c>
      <c r="B7514" s="1" t="s">
        <v>7463</v>
      </c>
      <c r="C7514" t="str">
        <f>IFERROR(__xludf.DUMMYFUNCTION("GOOGLETRANSLATE(B7514, ""es"", ""en"")"),"Perfect Lovque I expected")</f>
        <v>Perfect Lovque I expected</v>
      </c>
    </row>
    <row r="7515">
      <c r="A7515" s="1">
        <v>5.0</v>
      </c>
      <c r="B7515" s="1" t="s">
        <v>7464</v>
      </c>
      <c r="C7515" t="str">
        <f>IFERROR(__xludf.DUMMYFUNCTION("GOOGLETRANSLATE(B7515, ""es"", ""en"")"),"It looks quality materials. I wanted a fanny pack for lasting run. And I think I am right. The back is very important breathable. It has 2 zippers for keys and mobile. And to put a bottle truth is that good materials. The hitch is hopefully lasting qualit"&amp;"y.")</f>
        <v>It looks quality materials. I wanted a fanny pack for lasting run. And I think I am right. The back is very important breathable. It has 2 zippers for keys and mobile. And to put a bottle truth is that good materials. The hitch is hopefully lasting quality.</v>
      </c>
    </row>
    <row r="7516">
      <c r="A7516" s="1">
        <v>5.0</v>
      </c>
      <c r="B7516" s="1" t="s">
        <v>7465</v>
      </c>
      <c r="C7516" t="str">
        <f>IFERROR(__xludf.DUMMYFUNCTION("GOOGLETRANSLATE(B7516, ""es"", ""en"")"),"Comfort Food, flexible, nice. It is very combinable. I've put template winter to keep warm. They are more for spring")</f>
        <v>Comfort Food, flexible, nice. It is very combinable. I've put template winter to keep warm. They are more for spring</v>
      </c>
    </row>
    <row r="7517">
      <c r="A7517" s="1">
        <v>5.0</v>
      </c>
      <c r="B7517" s="1" t="s">
        <v>7466</v>
      </c>
      <c r="C7517" t="str">
        <f>IFERROR(__xludf.DUMMYFUNCTION("GOOGLETRANSLATE(B7517, ""es"", ""en"")"),"Ana perfectly clean all the holes of the knives, including the underside, which is the most complicated. An excellent buy")</f>
        <v>Ana perfectly clean all the holes of the knives, including the underside, which is the most complicated. An excellent buy</v>
      </c>
    </row>
    <row r="7518">
      <c r="A7518" s="1">
        <v>2.0</v>
      </c>
      <c r="B7518" s="1" t="s">
        <v>7467</v>
      </c>
      <c r="C7518" t="str">
        <f>IFERROR(__xludf.DUMMYFUNCTION("GOOGLETRANSLATE(B7518, ""es"", ""en"")"),"It is as pictured. The fabric quality is the only thing I do not like")</f>
        <v>It is as pictured. The fabric quality is the only thing I do not like</v>
      </c>
    </row>
    <row r="7519">
      <c r="A7519" s="1">
        <v>3.0</v>
      </c>
      <c r="B7519" s="1" t="s">
        <v>7468</v>
      </c>
      <c r="C7519" t="str">
        <f>IFERROR(__xludf.DUMMYFUNCTION("GOOGLETRANSLATE(B7519, ""es"", ""en"")"),"Good product for the price It seems you're listening to music in the toilet, but good for what it costs if you do not mind the quality of the sound and so poor acoustics by little you have a Bluetooth headset that connect fast and easy to use. The battery"&amp;" is not very wide but I guess you can not ask for anything.")</f>
        <v>Good product for the price It seems you're listening to music in the toilet, but good for what it costs if you do not mind the quality of the sound and so poor acoustics by little you have a Bluetooth headset that connect fast and easy to use. The battery is not very wide but I guess you can not ask for anything.</v>
      </c>
    </row>
    <row r="7520">
      <c r="A7520" s="1">
        <v>3.0</v>
      </c>
      <c r="B7520" s="1" t="s">
        <v>7469</v>
      </c>
      <c r="C7520" t="str">
        <f>IFERROR(__xludf.DUMMYFUNCTION("GOOGLETRANSLATE(B7520, ""es"", ""en"")"),"Clock worst strap strong and tough, the worst is the belt, specifically the ""clip"" I broke away.")</f>
        <v>Clock worst strap strong and tough, the worst is the belt, specifically the "clip" I broke away.</v>
      </c>
    </row>
    <row r="7521">
      <c r="A7521" s="1">
        <v>1.0</v>
      </c>
      <c r="B7521" s="1" t="s">
        <v>7470</v>
      </c>
      <c r="C7521" t="str">
        <f>IFERROR(__xludf.DUMMYFUNCTION("GOOGLETRANSLATE(B7521, ""es"", ""en"")"),"Poor quality is not what happened to the shoes but the party month an half and that's not good quality")</f>
        <v>Poor quality is not what happened to the shoes but the party month an half and that's not good quality</v>
      </c>
    </row>
    <row r="7522">
      <c r="A7522" s="1">
        <v>1.0</v>
      </c>
      <c r="B7522" s="1" t="s">
        <v>7471</v>
      </c>
      <c r="C7522" t="str">
        <f>IFERROR(__xludf.DUMMYFUNCTION("GOOGLETRANSLATE(B7522, ""es"", ""en"")"),"I ordered small size less than the average number that I have and I fell on my foot. Does not match or the sizing cm")</f>
        <v>I ordered small size less than the average number that I have and I fell on my foot. Does not match or the sizing cm</v>
      </c>
    </row>
    <row r="7523">
      <c r="A7523" s="1">
        <v>4.0</v>
      </c>
      <c r="B7523" s="1" t="s">
        <v>7472</v>
      </c>
      <c r="C7523" t="str">
        <f>IFERROR(__xludf.DUMMYFUNCTION("GOOGLETRANSLATE(B7523, ""es"", ""en"")"),"Good fun")</f>
        <v>Good fun</v>
      </c>
    </row>
    <row r="7524">
      <c r="A7524" s="1">
        <v>4.0</v>
      </c>
      <c r="B7524" s="1" t="s">
        <v>7473</v>
      </c>
      <c r="C7524" t="str">
        <f>IFERROR(__xludf.DUMMYFUNCTION("GOOGLETRANSLATE(B7524, ""es"", ""en"")"),"Size Given the reviews, I asked for a larger number for my mother, but you are a little loose even with big sock. Surely, if applicable, those of their number would have been better.")</f>
        <v>Size Given the reviews, I asked for a larger number for my mother, but you are a little loose even with big sock. Surely, if applicable, those of their number would have been better.</v>
      </c>
    </row>
    <row r="7525">
      <c r="A7525" s="1">
        <v>4.0</v>
      </c>
      <c r="B7525" s="1" t="s">
        <v>7474</v>
      </c>
      <c r="C7525" t="str">
        <f>IFERROR(__xludf.DUMMYFUNCTION("GOOGLETRANSLATE(B7525, ""es"", ""en"")"),"No correct measurements liters product measures are indicated, but not the 40 liters. The packaging of the product indicates the actual liters that are not nearly 40 ... still has a good size. The ideal is to look at measures to locate where you are going"&amp;" to put the box. As for the product is a simple box that serves domestically. Logically, if a thief wants to steal it you will not have much trouble opening this box ... but to prevent anyone in our home can access your content without using brute force.")</f>
        <v>No correct measurements liters product measures are indicated, but not the 40 liters. The packaging of the product indicates the actual liters that are not nearly 40 ... still has a good size. The ideal is to look at measures to locate where you are going to put the box. As for the product is a simple box that serves domestically. Logically, if a thief wants to steal it you will not have much trouble opening this box ... but to prevent anyone in our home can access your content without using brute force.</v>
      </c>
    </row>
    <row r="7526">
      <c r="A7526" s="1">
        <v>4.0</v>
      </c>
      <c r="B7526" s="1" t="s">
        <v>7475</v>
      </c>
      <c r="C7526" t="str">
        <f>IFERROR(__xludf.DUMMYFUNCTION("GOOGLETRANSLATE(B7526, ""es"", ""en"")"),"You can not handle the volume from the headphones. The battery could be improved. The other important issue is that you can not increase or decrease the volume from the headphones, which I think quite necessary. For example this you're listening to Spotif"&amp;"y (no premium) and suddenly you skip a typical ad at all unpleasant volume and have to go to the phone backpack or take it where you have to have to lower the volume ...")</f>
        <v>You can not handle the volume from the headphones. The battery could be improved. The other important issue is that you can not increase or decrease the volume from the headphones, which I think quite necessary. For example this you're listening to Spotify (no premium) and suddenly you skip a typical ad at all unpleasant volume and have to go to the phone backpack or take it where you have to have to lower the volume ...</v>
      </c>
    </row>
    <row r="7527">
      <c r="A7527" s="1">
        <v>4.0</v>
      </c>
      <c r="B7527" s="1" t="s">
        <v>7476</v>
      </c>
      <c r="C7527" t="str">
        <f>IFERROR(__xludf.DUMMYFUNCTION("GOOGLETRANSLATE(B7527, ""es"", ""en"")"),"Everything Ok ok")</f>
        <v>Everything Ok ok</v>
      </c>
    </row>
    <row r="7528">
      <c r="A7528" s="1">
        <v>5.0</v>
      </c>
      <c r="B7528" s="1" t="s">
        <v>7477</v>
      </c>
      <c r="C7528" t="str">
        <f>IFERROR(__xludf.DUMMYFUNCTION("GOOGLETRANSLATE(B7528, ""es"", ""en"")"),"Well earrings")</f>
        <v>Well earrings</v>
      </c>
    </row>
    <row r="7529">
      <c r="A7529" s="1">
        <v>5.0</v>
      </c>
      <c r="B7529" s="1" t="s">
        <v>7478</v>
      </c>
      <c r="C7529" t="str">
        <f>IFERROR(__xludf.DUMMYFUNCTION("GOOGLETRANSLATE(B7529, ""es"", ""en"")"),"Recommended I liked. It is compatible with my electric breast pump another brand so this super good.")</f>
        <v>Recommended I liked. It is compatible with my electric breast pump another brand so this super good.</v>
      </c>
    </row>
    <row r="7530">
      <c r="A7530" s="1">
        <v>5.0</v>
      </c>
      <c r="B7530" s="1" t="s">
        <v>7479</v>
      </c>
      <c r="C7530" t="str">
        <f>IFERROR(__xludf.DUMMYFUNCTION("GOOGLETRANSLATE(B7530, ""es"", ""en"")"),"Versatility of use in smartphones and computers, capacity and manufacturer's pendrive of 128GB that can be used only for computer or storage and unid OTG for smartphones or tablets with type-C connection and USB 3.0 for sharing with your computer. very go"&amp;"od product and good price compared to other sites that sell the same product Sandisk.Versatilidad of use and ability")</f>
        <v>Versatility of use in smartphones and computers, capacity and manufacturer's pendrive of 128GB that can be used only for computer or storage and unid OTG for smartphones or tablets with type-C connection and USB 3.0 for sharing with your computer. very good product and good price compared to other sites that sell the same product Sandisk.Versatilidad of use and ability</v>
      </c>
    </row>
    <row r="7531">
      <c r="A7531" s="1">
        <v>5.0</v>
      </c>
      <c r="B7531" s="1" t="s">
        <v>7480</v>
      </c>
      <c r="C7531" t="str">
        <f>IFERROR(__xludf.DUMMYFUNCTION("GOOGLETRANSLATE(B7531, ""es"", ""en"")"),"Good, nice and affordable is a gift for my grandfather. Likes traditional watches and this is perfect. It also has the advantage that it is waterproof. Just great, recominedo your purchase.")</f>
        <v>Good, nice and affordable is a gift for my grandfather. Likes traditional watches and this is perfect. It also has the advantage that it is waterproof. Just great, recominedo your purchase.</v>
      </c>
    </row>
    <row r="7532">
      <c r="A7532" s="1">
        <v>5.0</v>
      </c>
      <c r="B7532" s="1" t="s">
        <v>7481</v>
      </c>
      <c r="C7532" t="str">
        <f>IFERROR(__xludf.DUMMYFUNCTION("GOOGLETRANSLATE(B7532, ""es"", ""en"")"),"ONE LAST! I arrived super fast and very well packed! This blender is lovely, small and super comfortable to put on the counter! great beats both vegetables and fruits ... At the moment only I beat that! Highly I recommend this blender and highly recommend"&amp;" this seller! Thank you for every seller!")</f>
        <v>ONE LAST! I arrived super fast and very well packed! This blender is lovely, small and super comfortable to put on the counter! great beats both vegetables and fruits ... At the moment only I beat that! Highly I recommend this blender and highly recommend this seller! Thank you for every seller!</v>
      </c>
    </row>
    <row r="7533">
      <c r="A7533" s="1">
        <v>5.0</v>
      </c>
      <c r="B7533" s="1" t="s">
        <v>7482</v>
      </c>
      <c r="C7533" t="str">
        <f>IFERROR(__xludf.DUMMYFUNCTION("GOOGLETRANSLATE(B7533, ""es"", ""en"")"),"Change your hand this electric broom broom! &lt;Div id = ""video-block-R1PSTA81TH4Q3Q"" class = ""section a-a-a-spacing-small spacing-top-video mini-block""&gt; &lt;div tabindex = ""0"" class = ""airy airy-svg vmin- unsupported airy-skin-beacon ""style ="" backgro"&amp;"und-color: rgb (0, 0, 0) position: relative; width: 100%; height: 100%; font-size: 0px; overflow: hidden; outline: none ; ""&gt; &lt;div class ="" airy-renderer-container ""style ="" position: relative; height: 100%; width: 100%; ""&gt; &lt;video id ="" 14 ""preload "&amp;"="" auto ""src ="" https: //images-eu.ssl-images-amazon.com/images/I/A1gmxWjZu4S.mp4 ""style ="" position: absolute; left: 0px; top: 0px; overflow: hidden; height: 1px; width: 1px; "" &gt; &lt;/ video&gt; &lt;/ div&gt; &lt;div id = ""airy-slate-preload"" style = ""backgrou"&amp;"nd-color: rgb (0, 0, 0); background-image: url (&amp; quot; https: // images- eu.ssl-images-amazon.com/images/I/81+lal720LS.png&amp;quot;); background-size: Contain; background-position: center center; background-repeat: no-repeat; position: absolute; top: 0px ; "&amp;"left: 0px; visibility: visible; width: 100%; height: 100%; ""&gt; &lt;/ div&gt; &lt;iframe scrolling ="" no ""framebord er = ""0"" src = ""about: blank"" style = ""display: none;""&gt; &lt;/ iframe&gt; &lt;div tabindex = ""- 1"" class = ""airy-controls-container"" style = ""opac"&amp;"ity: 0; visibility: hidden; ""&gt; &lt;div tabindex ="" - 1 ""class ="" airy-screen-size-toggle airy-fullscreen ""&gt; &lt;/ div&gt; &lt;div tabindex ="" - 1 ""class ="" airy-container-bottom "" &gt; &lt;div tabindex = ""- 1"" class = ""airy-track-bar-spacer-left"" style = ""wid"&amp;"th: 11px;""&gt; &lt;/ div&gt; &lt;div tabindex = ""- 1"" class = ""airy-play- airy toggle-play ""style ="" width: 12px; margin-right: 12px; ""&gt; &lt;/ div&gt; &lt;div tabindex ="" - 1 ""class ="" airy-audio-elements ""style ="" float: right; width: 34px; ""&gt; &lt;div tabindex ="" "&amp;"- 1 ""class ="" airy-audio-toggle airy-on ""&gt; &lt;/ div&gt; &lt;div tabindex ="" - 1 ""class ="" airy-audio-container ""style = ""opacity: 0; visibility: hidden; ""&gt; &lt;div tabindex ="" - 1 ""class ="" airy-audio-track-bar ""style ="" height: 80%; ""&gt; &lt;div tabindex "&amp;"="" - 1 ""class ="" airy-audio- Scrubber-bar ""style ="" height: 85%; ""&gt; &lt;/ div&gt; &lt;div tabindex ="" - 1 ""class ="" airy-audio-scrubber ""style ="" height: 12px; bottom: 85% ""&gt; &lt;/ div&gt; &lt;/ div&gt; &lt;/ div&gt; &lt;/ div&gt; &lt;div tabindex ="" - 1 ""class ="" airy-durati"&amp;"on-label ""style ="" float: right; width: 26px; margin-right: 4px; text-align: center; ""&gt; 0:00 &lt;/ div&gt; &lt;div tabindex ="" - 1 ""class ="" airy-track-bar-spacer-right ""style ="" float: right; width: 11px; ""&gt; &lt;/ div&gt; &lt;div tabindex ="" - 1 ""class ="" airy"&amp;"-track-bar-container ""style ="" margin-left: 35px; margin-right: 75px; ""&gt; &lt;div tabindex ="" - 1 ""class ="" airy-airy-track-bar vertically-centering-table ""&gt; &lt;div tabindex ="" - 1 ""class ="" airy-Vertical-centering- table-cell ""&gt; &lt;div tabindex ="" - "&amp;"1 ""class ="" airy-track-bar-elements ""&gt; &lt;div tabindex ="" - 1 ""class ="" airy-progress-bar ""&gt; &lt;/ div&gt; &lt;div tabindex = ""- 1"" class = ""airy-scrubber-bar""&gt; &lt;/ div&gt; &lt;div tabindex = ""- 1"" class = ""airy-scrubber""&gt; &lt;div tabindex = ""- 1"" class = ""a"&amp;"iry-scrubber- icon ""&gt; &lt;/ div&gt; &lt;div tabindex ="" - 1 ""class ="" airy-adjusted-AUI-tooltip ""style ="" opacity: 0; visibility: hidden; ""&gt; &lt;div tabindex ="" - 1 ""class ="" airy-adjusted-aui-tooltip-inner ""&gt; &lt;div tabindex ="" - 1 ""class ="" airy-current"&amp;"-time-label ""&gt; 0: 00 &lt;/ div&gt; &lt;/ div&gt; &lt;div tabindex = ""- 1"" class = ""airy-adjusted-AUI-arrow-border""&gt; &lt;div tabindex = ""- 1"" class = ""airy-adjusted-AUI-arrow"" &gt; &lt;/ div&gt; &lt;/ div&gt; &lt;/ div&gt; &lt;/ div&gt; &lt;/ div&gt; &lt;/ div&gt; &lt;/ div&gt; &lt;/ div&gt; &lt;/ div&gt; &lt;/ div&gt; &lt;div ta"&amp;"bindex = ""- 1"" class = ""airy-age-gate airy-stage airy-Vertical-centering-table airy-dialog"" style = ""opacity: 0; visibility: hidden; ""&gt; &lt;div tabindex ="" - 1 ""class ="" airy-age-gate-Vertical-centering-table-cell airy-Vertical-centering-table-cell "&amp;"""&gt; &lt;div tabindex ="" - 1 ""class = ""airy-Vertical-centering-wrapper airy-age-gate-elements-wrapper""&gt; &lt;div tabindex = ""- 1"" class = ""airy-age-gate-elements airy-dialog-elements""&gt; &lt;div tabindex = "" -1 ""class ="" airy-age-gate-prompt ""&gt; This video "&amp;"is not Intended for all audiences What date were you born &lt;/ div&gt; &lt;div tabindex =.?"" - 1 ""class ="" airy-age-gate -inputs airy-dialog-inner-elements ""&gt; &lt;select tabindex ="" - 1 ""class ="" airy-age-gate-month ""&gt; &lt;option value ="" 1 ""&gt; January &lt;/ opti"&amp;"on&gt; &lt;option value ="" 2 ""&gt; February &lt;/ option&gt; &lt;option value ="" 3 ""&gt; March &lt;/ option&gt; &lt;option value ="" 4 ""&gt; April &lt;/ option&gt; &lt;option value ="" 5 ""&gt; May &lt;/ option&gt; &lt;option value = ""6""&gt; June &lt;/ option&gt; &lt;option value = ""7""&gt; July &lt;/ option&gt; &lt;option "&amp;"value = ""8""&gt; August &lt;/ option&gt; &lt;option value = ""9""&gt; September &lt;/ option&gt; &lt;option value = ""10""&gt; October &lt;/ option&gt; &lt;option value = ""11""&gt; November &lt;/ option&gt; &lt;option value = ""12""&gt; December &lt;/ option&gt; &lt;/ select&gt; &lt;select tabindex = ""- 1"" class = "&amp;"""airy-age-gate-day""&gt; &lt;opti on value = ""1""&gt; 1 &lt;/ option&gt; &lt;option value = ""2""&gt; 2 &lt;/ option&gt; &lt;option value = ""3""&gt; 3 &lt;/ option&gt; &lt;option value = ""4""&gt; 4 &lt;/ option &gt; &lt;option value = ""5""&gt; 5 &lt;/ option&gt; &lt;option value = ""6""&gt; 6 &lt;/ option&gt; &lt;option value "&amp;"= ""7""&gt; 7 &lt;/ option&gt; &lt;option value = ""8""&gt; 8 &lt; / option&gt; &lt;option value = ""9""&gt; 9 &lt;/ option&gt; &lt;option value = ""10""&gt; 10 &lt;/ option&gt; &lt;option value = ""11""&gt; 11 &lt;/ option&gt; &lt;option value = ""12""&gt; 12 &lt;/ option&gt; &lt;option value = ""13""&gt; 13 &lt;/ option&gt; &lt;option "&amp;"value = ""14""&gt; 14 &lt;/ option&gt; &lt;option value = ""15""&gt; 15 &lt;/ option&gt; &lt;option value = ""16 ""&gt; 16 &lt;/ option&gt; &lt;option value ="" 17 ""&gt; 17 &lt;/ option&gt; &lt;option value ="" 18 ""&gt; 18 &lt;/ option&gt; &lt;option value ="" 19 ""&gt; 19 &lt;/ option&gt; &lt;option value = ""20""&gt; 20 &lt;/ o"&amp;"ption&gt; &lt;option value = ""21""&gt; 21 &lt;/ option&gt; &lt;option value = ""22""&gt; 22 &lt;/ option&gt; &lt;option value = ""23""&gt; 23 &lt;/ option&gt; &lt;option value = ""24""&gt; 24 &lt;/ option&gt; &lt;option value = ""25""&gt; 25 &lt;/ option&gt; &lt;option value = ""26""&gt; 26 &lt;/ option&gt; &lt;option value = ""27"&amp;"""&gt; 27 &lt;/ option&gt; &lt;option value = ""28""&gt; 28 &lt;/ option&gt; &lt;option value = ""29""&gt; 29 &lt;/ option&gt; &lt;option value = ""30""&gt; 30 &lt;/ option&gt; &lt;option value = ""31""&gt; 31 &lt;/ option&gt; &lt;/ select&gt; &lt;select tabindex = ""- 1"" class = ""airy-age-gate-year""&gt; &lt;option value ="&amp;" ""2019""&gt; 2019 &lt;/ option&gt; &lt; option value = ""2018""&gt; 2018 &lt;/ option&gt; &lt;option value = ""2017""&gt; 2017 &lt;/ option&gt; &lt;option value = ""2016""&gt; ​​2016 &lt;/ option&gt; &lt;option value = ""2015""&gt; 2015 &lt;/ option &gt; &lt;option value = ""2014""&gt; 2014 &lt;/ option&gt; &lt;option value "&amp;"= ""2013""&gt; 2013 &lt;/ option&gt; &lt;option value = ""2012""&gt; 2012 &lt;/ option&gt; &lt;option value = ""2011""&gt; 2011 &lt; / option&gt; &lt;option value = ""2010""&gt; 2010 &lt;/ option&gt; &lt;option value = ""2009""&gt; 2009 &lt;/ option&gt; &lt;option value = ""2008""&gt; 2008 &lt;/ option&gt; &lt;option value = "&amp;"""2007""&gt; 2007 &lt;/ option&gt; &lt;option value = ""2006""&gt; 2006 &lt;/ option&gt; &lt;option value = ""2005""&gt; 2005 &lt;/ option&gt; &lt;option value = ""2004""&gt; 2004 &lt;/ option&gt; &lt;option value = ""2003 ""&gt; 2003 &lt;/ option&gt; &lt;option value ="" 2002 ""&gt; 2002 &lt;/ option&gt; &lt;option value ="""&amp;" 2001 ""&gt; 2001 &lt;/ option&gt; &lt;option value ="" 2000 ""&gt; 2000 &lt;/ option&gt; &lt;option value = ""1999""&gt; 1999 &lt;/ option&gt; &lt;option value = ""1998""&gt; 1998 &lt;/ option&gt; &lt;option value = ""1997""&gt; 1997 &lt;/ option&gt; &lt;option value = ""1996""&gt; 1996 &lt;/ option&gt; &lt;option value = """&amp;"1995""&gt; 1995 &lt;/ option&gt; &lt;option value = ""1994""&gt; 1994 &lt;/ option&gt; &lt;option value = ""1993""&gt; 1993 &lt;/ option&gt; &lt;option value = ""1992""&gt; 1992 &lt;/ option&gt; &lt;option value = ""1991""&gt; 1991 &lt;/ option&gt; &lt;option value = ""1990""&gt; 1990 &lt;/ option&gt; &lt;option value = "" 19"&amp;"89 ""&gt; 1989 &lt;/ option&gt; &lt;option value ="" 1988 ""&gt; 1988 &lt;/ option&gt; &lt;option value ="" 1987 ""&gt; 1987 &lt;/ option&gt; &lt;option value ="" 1986 ""&gt; 1986 &lt;/ option&gt; &lt;value option = ""1985""&gt; 1985 &lt;/ option&gt; &lt;option value = ""1984""&gt; 1984 &lt;/ option&gt; &lt;option value = ""1"&amp;"983""&gt; 1983 &lt;/ option&gt; &lt;option value = ""1982""&gt; 1982 &lt;/ option&gt; &lt; option value = ""1981""&gt; 1981 &lt;/ option&gt; &lt;option value = ""1980""&gt; 1980 &lt;/ option&gt; &lt;option value = ""1979""&gt; 1979 &lt;/ option&gt; &lt;option value = ""1978""&gt; 1978 &lt;/ option &gt; &lt;option value = ""19"&amp;"77""&gt; 1977 &lt;/ option&gt; &lt;option value = ""1976""&gt; 1976 &lt;/ option&gt; &lt;option value = ""1975""&gt; 1975 &lt;/ option&gt; &lt;option value = ""1974""&gt; 1974 &lt; / option&gt; &lt;option value = ""1973""&gt; 1973 &lt;/ option&gt; &lt;option value = ""1972""&gt; 1972 &lt;/ option&gt; &lt;option value = ""1971"&amp;"""&gt; 1971 &lt;/ option&gt; &lt;option value = ""1970""&gt; 1970 &lt;/ option&gt; &lt;option value = ""1969""&gt; 1969 &lt;/ option&gt; &lt;option value = ""1968""&gt; 1968 &lt;/ option&gt; &lt;option value = ""1967""&gt; 1967 &lt;/ option&gt; &lt;option value = ""1966 ""&gt; 1966 &lt;/ option&gt; &lt;option value ="" 1965 "&amp;"""&gt; 1965 &lt;/ option&gt; &lt;option value ="" 1964 ""&gt; 1964 &lt;/ option&gt; &lt;option value ="" 1963 ""&gt; 1963 &lt;/ option&gt; &lt;option value = ""1962""&gt; 1962 &lt;/ option&gt; &lt;option value = ""1961""&gt; 1961 &lt;/ option&gt; &lt;option value = ""1960""&gt; 1960 &lt;/ op tion&gt; &lt;option value = ""1959"&amp;"""&gt; 1959 &lt;/ option&gt; &lt;option value = ""1958""&gt; 1958 &lt;/ option&gt; &lt;option value = ""1957""&gt; 1957 &lt;/ option&gt; &lt;option value = ""1956""&gt; 1956 &lt;/ option&gt; &lt;option value = ""1955""&gt; 1955 &lt;/ option&gt; &lt;option value = ""1954""&gt; 1954 &lt;/ option&gt; &lt;option value = ""1953""&gt;"&amp;" 1953 &lt;/ option&gt; &lt;option value = ""1952"" &gt; 1952 &lt;/ option&gt; &lt;option value = ""1951""&gt; 1951 &lt;/ option&gt; &lt;option value = ""1950""&gt; 1950 &lt;/ option&gt; &lt;option value = ""1949""&gt; 1949 &lt;/ option&gt; &lt;option value = "" 1948 ""&gt; 1948 &lt;/ option&gt; &lt;option value ="" 1947 """&amp;"&gt; 1947 &lt;/ option&gt; &lt;option value ="" 1946 ""&gt; 1946 &lt;/ option&gt; &lt;option value ="" 1945 ""&gt; 1945 &lt;/ option&gt; &lt;value option = ""1944""&gt; 1944 &lt;/ option&gt; &lt;option value = ""1943""&gt; 1943 &lt;/ option&gt; &lt;option value = ""1942""&gt; 1942 &lt;/ option&gt; &lt;option value = ""1941""&gt;"&amp;" 1941 &lt;/ option&gt; &lt; option value = ""1940""&gt; 1940 &lt;/ option&gt; &lt;option value = ""1939""&gt; 1939 &lt;/ option&gt; &lt;option value = ""1938""&gt; 1938 &lt;/ option&gt; &lt;option value = ""1937""&gt; 1937 &lt;/ option &gt; &lt;option value = ""1936""&gt; 1936 &lt;/ option&gt; &lt;option value = ""1935""&gt; "&amp;"1935 &lt;/ option&gt; &lt;option value = ""1934""&gt; 1934 &lt;/ option&gt; &lt;option value = ""1933""&gt; 1933 &lt; / option&gt; &lt;option value = ""1932""&gt; 1932 &lt;/ option&gt; &lt;option value = ""1931""&gt; 1931 &lt;/ option&gt; &lt;option v alue = ""1930""&gt; 1930 &lt;/ option&gt; &lt;option value = ""1929""&gt; 1"&amp;"929 &lt;/ option&gt; &lt;option value = ""1928""&gt; 1928 &lt;/ option&gt; &lt;option value = ""1927""&gt; 1927 &lt;/ option&gt; &lt;option value = ""1926""&gt; 1926 &lt;/ option&gt; &lt;option value = ""1925""&gt; 1925 &lt;/ option&gt; &lt;option value = ""1924""&gt; 1924 &lt;/ option&gt; &lt;option value = ""1923""&gt; 1923"&amp;" &lt;/ option&gt; &lt;option value = ""1922""&gt; 1922 &lt;/ option&gt; &lt;option value = ""1921""&gt; 1921 &lt;/ option&gt; &lt;option value = ""1920""&gt; 1920 &lt;/ option&gt; &lt;option value = ""1919""&gt; 1919 &lt;/ option&gt; &lt;option value = ""1918""&gt; 1918 &lt;/ option&gt; &lt;option value = ""1917""&gt; 1917 &lt;/"&amp;" option&gt; &lt;option value = ""1916""&gt; 1916 &lt;/ option&gt; &lt;option value = ""1915"" &gt; 1915 &lt;/ option&gt; &lt;option value = ""1914""&gt; 1914 &lt;/ option&gt; &lt;option value = ""1913""&gt; 1913 &lt;/ option&gt; &lt;option value = ""1912""&gt; 1912 &lt;/ option&gt; &lt;option value = "" 1911 ""&gt; 1911 &lt;/"&amp;" option&gt; &lt;option value ="" 1910 ""&gt; 1910 &lt;/ option&gt; &lt;option value ="" 1909 ""&gt; 1909 &lt;/ option&gt; &lt;option value ="" 1908 ""&gt; 1908 &lt;/ option&gt; &lt;value option = ""1907""&gt; 1907 &lt;/ option&gt; &lt;option value = ""1906""&gt; 1906 &lt;/ option&gt; &lt;option value = ""1905""&gt; 1905 &lt;/"&amp;" option&gt; &lt;option value = ""1904""&gt; 1904 &lt;/ option&gt; &lt; option value = ""1903""&gt; 1903 &lt;/ option&gt; &lt;option value = ""1902""&gt; 1902 &lt;/ option&gt; &lt;option value = ""1901""&gt; 19 01 &lt;/ option&gt; &lt;option value = ""1900""&gt; 1900 &lt;/ option&gt; &lt;/ select&gt; &lt;div tabindex = ""- 1"""&amp;" class = ""airy-age-gate-submit airy-submit-button airy airy-submit- disabled ""&gt; Submit &lt;/ div&gt; &lt;/ div&gt; &lt;/ div&gt; &lt;/ div&gt; &lt;/ div&gt; &lt;/ div&gt; &lt;div tabindex ="" - 1 ""class ="" airy-install-flash-dialog airy-stage airy -vertical-centering-table-dialog airy airy"&amp;"-denied ""style ="" opacity: 0; visibility: hidden; ""&gt; &lt;div tabindex ="" - 1 ""class ="" airy-install-flash-Vertical-centering-table-cell airy-Vertical-centering-table-cell ""&gt; &lt;div tabindex ="" - 1 ""class = ""airy-Vertical-centering-wrapper airy-instal"&amp;"l-flash-elements-wrapper""&gt; &lt;div tabindex = ""- 1"" class = ""airy-install-flash-elements airy-dialog-elements""&gt; &lt;div tabindex = "" -1 ""class ="" airy-install-flash-prompt ""&gt; Adobe Flash Player is required to watch this video &lt;/ div&gt; &lt;div tabindex =."""&amp;" - 1 ""class ="" airy-install-flash-button-wrapper airy -dialog-inner-elements ""&gt; &lt;div tabindex ="" - 1 ""class ="" airy-install-flash-button airy-button ""&gt; install Flash Player &lt;/ div&gt; &lt;/ div&gt; &lt;/ div&gt; &lt;/ div&gt; &lt;/ div&gt; &lt;/ div&gt; &lt;div tabindex = ""- 1"" cla"&amp;"ss = ""airy-video-unsupported-dialog airy-stage airy-Vertical-centering-table airy-dialog airy-denied"" style = ""opacity: 0; visibility: hidden; ""&gt; &lt;div tabindex ="" - 1 ""class ="" airy-video-unsupported-Vertical-centering-table-cell airy-Vertical-cent"&amp;"ering-table-cell ""&gt; &lt;div tabindex ="" - 1 ""class = ""airy-Vertical-centering-wrapper airy-video-unsupported-elements-wrapper""&gt; &lt;div tabindex = ""- 1"" class = ""airy-video-unsupported-elements airy-dialog-elements""&gt; &lt;div tabindex = "" -1 ""class ="" a"&amp;"iry-video-unsupported-prompt ""&gt; &lt;/ div&gt; &lt;/ div&gt; &lt;/ div&gt; &lt;/ div&gt; &lt;/ div&gt; &lt;div tabindex ="" - 1 ""class ="" airy-loading- spinner-stage airy-stage ""&gt; &lt;div tabindex ="" - 1 ""class ="" airy-loading-spinner-Vertical-centering-table-cell airy-Vertical-center"&amp;"ing-table-cell ""&gt; &lt;div tabindex ="" - 1 ""class ="" airy-loading-spinner-container airy-scalable-hint-container ""&gt; &lt;div tabindex ="" - 1 ""class ="" airy-loading-spinner-dummy airy-scalable-dummy ""&gt; &lt;/ div&gt; &lt; div tabindex = ""- 1"" class = ""airy-loadi"&amp;"ng-spinner airy-hint"" style = ""visibility: hidden;""&gt; &lt;/ div&gt; &lt;/ div&gt; &lt;/ div&gt; &lt;/ div&gt; &lt;div tabindex = ""- 1 ""class ="" airy-ads-screen-size-toggle airy-screen-size-toggle-fullscreen airy ""style ="" visibility: hidden; ""&gt; &lt;/ div&gt; &lt;div tabindex = ""-1"&amp;""" class = ""airy-ad-prompt-container"" style = ""visibility: hidden;""&gt; &lt;div tabindex = ""- 1"" class = ""airy-ad-prompt-Vertical-centering-table-vertically airy centering-table ""&gt; &lt;div tabindex ="" - 1 ""class ="" airy-ad-prompt-Vertical-centering-tabl"&amp;"e-cell airy-Vertical-centering-table-cell ""&gt; &lt;div tabindex ="" - 1 ""class = ""airy-ad-prompt-label""&gt; &lt;/ div&gt; &lt;/ div&gt; &lt;/ div&gt; &lt;/ div&gt; &lt;div tabindex = ""- 1"" class = ""airy-ads-controls-container"" style = ""visibility: hidden; ""&gt; &lt;div tabindex ="" - 1"&amp;" ""class ="" airy-ads-audio-toggle airy-audio-toggle airy-on ""style ="" visibility: hidden; ""&gt; &lt;/ div&gt; &lt;div tabindex ="" - 1 ""class ="" airy-time-remaining-label-container ""&gt; &lt;div tabindex ="" - 1 ""class ="" airy-time-remaining-Vertical-centering-tab"&amp;"le airy-Vertical-centering-table ""&gt; &lt;div tabindex = ""- 1"" class = ""airy-time-remaining-Vertical-centering-table-cell airy-Vertical-centering-table-cell""&gt; &lt;div tabindex = ""- 1"" class = ""airy-Vertical-centering-wrapper airy-time-remaining-label-wrap"&amp;"per ""&gt; &lt;div tabindex ="" - 1 ""class ="" airy-time-remaining-label ""style ="" visibility: hidden; ""&gt; &lt;/ div&gt; &lt;div tabi ndex = ""- 1"" class = ""airy-ad-skip"" style = ""visibility: hidden;""&gt; &lt;/ div&gt; &lt;div tabindex = ""- 1"" class = ""airy-ad-end"" styl"&amp;"e = ""visibility: hidden ""&gt; &lt;/ div&gt; &lt;/ div&gt; &lt;/ div&gt; &lt;/ div&gt; &lt;/ div&gt; &lt;div tabindex ="" - 1 ""class ="" airy-learn-more ""style ="" visibility: hidden; ""&gt; &lt;/ div&gt; &lt;/ div&gt; &lt;div tabindex = ""- 1"" class = ""airy-play-toggle-hint-stage airy-stage airy-cursor"&amp;"""&gt; &lt;div tabindex = ""- 1"" class = ""airy-play -toggle-hint-Vertical-centering-table-cell airy-Vertical-centering-table-cell airy-cursor ""&gt; &lt;div tabindex ="" - 1 ""class ="" airy-play-toggle-hint-container airy-scalable- Hint-container ""&gt; &lt;div tabindex"&amp;" ="" - 1 ""class ="" airy-play-toggle-hint-dummy airy-scalable-dummy ""&gt; &lt;/ div&gt; &lt;div tabindex ="" - 1 ""class ="" airy-play -toggle-hint hint airy-airy-play-hint ""style ="" opacity: 1; visibility: visible; ""&gt; &lt;/ div&gt; &lt;/ div&gt; &lt;/ div&gt; &lt;/ div&gt; &lt;div tabind"&amp;"ex ="" - 1 ""class ="" airy-replay-hint-stage airy-stage ""style ="" visibility: hidden ; ""&gt; &lt;div tabindex ="" - 1 ""class ="" airy-replay-hint-Vertical-centering-table-cell airy-Vertical-centering-table-cell airy-cursor ""&gt; &lt;div tabindex ="" - 1 ""class"&amp;" = ""airy-replay-hint-container airy-scalable-hint-container""&gt; &lt;div tabindex = ""- 1"" class = ""airy-replay-hint-dummy airy-scalable-dummy""&gt; &lt;/ div&gt; &lt;div tabindex = ""- 1"" class = ""airy-replay-hint airy-hint""&gt; &lt;/ div&gt; &lt;/ div&gt; &lt;/ div&gt; &lt;/ div&gt; &lt;div ta"&amp;"bindex = ""- 1"" class = ""airy-autoplay-hint -stage airy-stage ""style ="" visibility: hidden; ""&gt; &lt;div tabindex ="" - 1 ""class ="" airy-autoplay-hint-Vertical-centering-table-cell airy-Vertical-centering-table-cell airy- cursor ""&gt; &lt;div tabindex ="" - "&amp;"1 ""class ="" autoplay airy-airy-hint-container-scalable-hint-container ""&gt; &lt;div tabindex ="" - 1 ""class ="" airy-autoplay-hint-dummy airy- scalable-dummy ""&gt; &lt;/ div&gt; &lt;/ div&gt; &lt;/ div&gt; &lt;/ div&gt; &lt;/ div&gt; &lt;/ div&gt; &lt;input type ="" hidden ""name ="" ""value ="" h"&amp;"ttps: // images-eu .ssl-images-amazon.com / images / I / A1gmxWjZu4S.mp4 ""Class ="" video-url ""&gt; &lt;input type ="" hidden ""name ="" ""value ="" https://images-eu.ssl-images-amazon.com/images/I/81+lal720LS.png ""class = ""video-slate-img-url""&gt; &amp; nbsp; yo"&amp;"u do not like vacuum cleaners because they make a lot of noise and / or occupy much space, but a can sweep you think? This Vileda electric broom comes to your aid. Characteristics and dimensions This electric broom has a reduced size (27 cm wide x 20 cm l"&amp;"ong x 6.5 cm high) and the handle, which is 115 cm, has a very comfortable handle, rubber, allowing handle with quite easily. Compared with a manual brush, take up more or less the same space. Weighs about 1 kg, its lithium battery has a power of 10W, it "&amp;"takes to load about 3.5 h and has a range of approximately 30-35 m. It's pretty quiet (its noise level is 70dB) and energy efficiency A +++ EFFECTIVENESS Although a priori it or not, the reality is that this broom electric clean dirt from the floor (crumb"&amp;"s, lint, confetti, etc.) so much more effective than a manual broom. Collect dirt the two rollers to the turn, throw dirt inside the tank broom. The rollers are rubber and lead, in turn, rubber lamellae drag dirt without damaging the floor. In addition, t"&amp;"o the contrary that when we use a manual broom, dustpan does not need it because it brings already incorporated in the casing. The only thing we have in mind is that your deposit is not too large (160 ml), so we must remember to empty it regularly (I do e"&amp;"very time after sweeping) because if not, when filled, we run the risk that part of the dirt out of the tank. The rollers are easily removable and can be washed with water (or soap and water, depends on how dirty they are). The deposit can also be washed "&amp;"with water (or soap and water) and the rest of the broom it is cleaned with a microfibre cloth. The only but I find is that the corners do not sweep well, despite carrying two small rubber bands at its base that appear to be there for limpar corners. A th"&amp;"e end, the corners must review them by hand with a brush for example withdraw dirt with a brush and then just collect the electric broom. VERSATILE The handle has a flexible joint that allows virtually rotate in all directions. And as the broom measures o"&amp;"nly 6.5 cm high (at the least one centimeter or two less than many vacuum cleaner robots), we can clean nimbly under almost all the furniture. Useful for all types of flooring (parquet, tiles, terrazzo ...) and even for very short hair carpets. But only f"&amp;"or dry sweeping. &amp; Gt; &amp; gt; &amp; gt; CONCLUSION &amp; gt; &amp; gt; &amp; gt; This electric broom can sweep us quickly and efficiently. With its approximately 30 m of autonomy, given leftovers to sweep a house not very large (70-80 m2) almost two days. Although it has "&amp;"the power of a vacuum, it works very well and perfectly replaces manual brushes (with the exception noted above on the corners).")</f>
        <v>Change your hand this electric broom broom! &lt;Div id = "video-block-R1PSTA81TH4Q3Q" class = "section a-a-a-spacing-small spacing-top-video mini-block"&gt; &lt;div tabindex = "0" class = "airy airy-svg vmin- unsupported airy-skin-beacon "style =" background-color: rgb (0, 0, 0) position: relative; width: 100%; height: 100%; font-size: 0px; overflow: hidden; outline: none ; "&gt; &lt;div class =" airy-renderer-container "style =" position: relative; height: 100%; width: 100%; "&gt; &lt;video id =" 14 "preload =" auto "src =" https: //images-eu.ssl-images-amazon.com/images/I/A1gmxWjZu4S.mp4 "style =" position: absolute; left: 0px; top: 0px; overflow: hidden; height: 1px; width: 1px; " &gt; &lt;/ video&gt; &lt;/ div&gt; &lt;div id = "airy-slate-preload" style = "background-color: rgb (0, 0, 0); background-image: url (&amp; quot; https: // images- eu.ssl-images-amazon.com/images/I/81+lal720LS.png&amp;quot;); background-size: Contain; background-position: center center; background-repeat: no-repeat; position: absolute; top: 0px ; left: 0px; visibility: visible; width: 100%; height: 100%; "&gt; &lt;/ div&gt; &lt;iframe scrolling =" no "framebord 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A1gmxWjZu4S.mp4 "Class =" video-url "&gt; &lt;input type =" hidden "name =" "value =" https://images-eu.ssl-images-amazon.com/images/I/81+lal720LS.png "class = "video-slate-img-url"&gt; &amp; nbsp; you do not like vacuum cleaners because they make a lot of noise and / or occupy much space, but a can sweep you think? This Vileda electric broom comes to your aid. Characteristics and dimensions This electric broom has a reduced size (27 cm wide x 20 cm long x 6.5 cm high) and the handle, which is 115 cm, has a very comfortable handle, rubber, allowing handle with quite easily. Compared with a manual brush, take up more or less the same space. Weighs about 1 kg, its lithium battery has a power of 10W, it takes to load about 3.5 h and has a range of approximately 30-35 m. It's pretty quiet (its noise level is 70dB) and energy efficiency A +++ EFFECTIVENESS Although a priori it or not, the reality is that this broom electric clean dirt from the floor (crumbs, lint, confetti, etc.) so much more effective than a manual broom. Collect dirt the two rollers to the turn, throw dirt inside the tank broom. The rollers are rubber and lead, in turn, rubber lamellae drag dirt without damaging the floor. In addition, to the contrary that when we use a manual broom, dustpan does not need it because it brings already incorporated in the casing. The only thing we have in mind is that your deposit is not too large (160 ml), so we must remember to empty it regularly (I do every time after sweeping) because if not, when filled, we run the risk that part of the dirt out of the tank. The rollers are easily removable and can be washed with water (or soap and water, depends on how dirty they are). The deposit can also be washed with water (or soap and water) and the rest of the broom it is cleaned with a microfibre cloth. The only but I find is that the corners do not sweep well, despite carrying two small rubber bands at its base that appear to be there for limpar corners. A the end, the corners must review them by hand with a brush for example withdraw dirt with a brush and then just collect the electric broom. VERSATILE The handle has a flexible joint that allows virtually rotate in all directions. And as the broom measures only 6.5 cm high (at the least one centimeter or two less than many vacuum cleaner robots), we can clean nimbly under almost all the furniture. Useful for all types of flooring (parquet, tiles, terrazzo ...) and even for very short hair carpets. But only for dry sweeping. &amp; Gt; &amp; gt; &amp; gt; CONCLUSION &amp; gt; &amp; gt; &amp; gt; This electric broom can sweep us quickly and efficiently. With its approximately 30 m of autonomy, given leftovers to sweep a house not very large (70-80 m2) almost two days. Although it has the power of a vacuum, it works very well and perfectly replaces manual brushes (with the exception noted above on the corners).</v>
      </c>
    </row>
    <row r="7534">
      <c r="A7534" s="1">
        <v>5.0</v>
      </c>
      <c r="B7534" s="1" t="s">
        <v>7483</v>
      </c>
      <c r="C7534" t="str">
        <f>IFERROR(__xludf.DUMMYFUNCTION("GOOGLETRANSLATE(B7534, ""es"", ""en"")"),"Clock. Very good value for money.")</f>
        <v>Clock. Very good value for money.</v>
      </c>
    </row>
    <row r="7535">
      <c r="A7535" s="1">
        <v>5.0</v>
      </c>
      <c r="B7535" s="1" t="s">
        <v>7484</v>
      </c>
      <c r="C7535" t="str">
        <f>IFERROR(__xludf.DUMMYFUNCTION("GOOGLETRANSLATE(B7535, ""es"", ""en"")"),"do not fall the most important thing is that they fall no matter what you do, to the lead the way behind the ear remain, the sound quality is quite acceptable and in principle support sweat and rain (the latter I could not prove it) for this price are fin"&amp;"e")</f>
        <v>do not fall the most important thing is that they fall no matter what you do, to the lead the way behind the ear remain, the sound quality is quite acceptable and in principle support sweat and rain (the latter I could not prove it) for this price are fine</v>
      </c>
    </row>
    <row r="7536">
      <c r="A7536" s="1">
        <v>5.0</v>
      </c>
      <c r="B7536" s="1" t="s">
        <v>7485</v>
      </c>
      <c r="C7536" t="str">
        <f>IFERROR(__xludf.DUMMYFUNCTION("GOOGLETRANSLATE(B7536, ""es"", ""en"")"),"I arrive and returned it without problems. It was not my plug. I can not rate it, because I got a different pin. who it was not error. If mine or theirs. No problem for return. It was pretty and practical. But I could not test the operation")</f>
        <v>I arrive and returned it without problems. It was not my plug. I can not rate it, because I got a different pin. who it was not error. If mine or theirs. No problem for return. It was pretty and practical. But I could not test the operation</v>
      </c>
    </row>
    <row r="7537">
      <c r="A7537" s="1">
        <v>5.0</v>
      </c>
      <c r="B7537" s="1" t="s">
        <v>7486</v>
      </c>
      <c r="C7537" t="str">
        <f>IFERROR(__xludf.DUMMYFUNCTION("GOOGLETRANSLATE(B7537, ""es"", ""en"")"),"Cool good buy. Very comfortable and lightweight.")</f>
        <v>Cool good buy. Very comfortable and lightweight.</v>
      </c>
    </row>
    <row r="7538">
      <c r="A7538" s="1">
        <v>5.0</v>
      </c>
      <c r="B7538" s="1" t="s">
        <v>7487</v>
      </c>
      <c r="C7538" t="str">
        <f>IFERROR(__xludf.DUMMYFUNCTION("GOOGLETRANSLATE(B7538, ""es"", ""en"")"),"Good design and powerful. Good power and adjustable. Accessories are very good and are typical. The mincer is well thought out and the worst for snacks is meat for burgers and has a design that spins and is not stuck. Pretty well I thought this design. Fo"&amp;"r more liquid products no problem and bat well and fine.")</f>
        <v>Good design and powerful. Good power and adjustable. Accessories are very good and are typical. The mincer is well thought out and the worst for snacks is meat for burgers and has a design that spins and is not stuck. Pretty well I thought this design. For more liquid products no problem and bat well and fine.</v>
      </c>
    </row>
    <row r="7539">
      <c r="A7539" s="1">
        <v>5.0</v>
      </c>
      <c r="B7539" s="1" t="s">
        <v>7488</v>
      </c>
      <c r="C7539" t="str">
        <f>IFERROR(__xludf.DUMMYFUNCTION("GOOGLETRANSLATE(B7539, ""es"", ""en"")"),"Nice touch was a gift for my daughter and liked it a lot. The only downside is that the chain is weak, but for the price you can not ask for more.")</f>
        <v>Nice touch was a gift for my daughter and liked it a lot. The only downside is that the chain is weak, but for the price you can not ask for more.</v>
      </c>
    </row>
    <row r="7540">
      <c r="A7540" s="1">
        <v>5.0</v>
      </c>
      <c r="B7540" s="1" t="s">
        <v>7489</v>
      </c>
      <c r="C7540" t="str">
        <f>IFERROR(__xludf.DUMMYFUNCTION("GOOGLETRANSLATE(B7540, ""es"", ""en"")"),"Pretty good QUALITY / PRICE product apparently is quality, size is not very large positions have normal apatencia, hear quite well and strong, easily connect to the Bluetooth mobile (I've tested with Samsung s7 and perfect) . Brings different sizes of ear"&amp;"s pad. In a helmet brings a couple of buttons, one volume and one to light them, is a bit complicated when you have to tighten positions. Charging is done with a USB cable that comes with the product, is typical stmarphone connection, loading is fast. Two"&amp;" 'buts', one is that the cover where loads seems a bit fragile, not without some loads will be completed starting and two in the cable does not bring anything to pick up some excess cable and adjust it to the nape (I made a knot to fijármelo good). Overal"&amp;"l for the price they have it is a good buy.")</f>
        <v>Pretty good QUALITY / PRICE product apparently is quality, size is not very large positions have normal apatencia, hear quite well and strong, easily connect to the Bluetooth mobile (I've tested with Samsung s7 and perfect) . Brings different sizes of ears pad. In a helmet brings a couple of buttons, one volume and one to light them, is a bit complicated when you have to tighten positions. Charging is done with a USB cable that comes with the product, is typical stmarphone connection, loading is fast. Two 'buts', one is that the cover where loads seems a bit fragile, not without some loads will be completed starting and two in the cable does not bring anything to pick up some excess cable and adjust it to the nape (I made a knot to fijármelo good). Overall for the price they have it is a good buy.</v>
      </c>
    </row>
    <row r="7541">
      <c r="A7541" s="1">
        <v>5.0</v>
      </c>
      <c r="B7541" s="1" t="s">
        <v>7490</v>
      </c>
      <c r="C7541" t="str">
        <f>IFERROR(__xludf.DUMMYFUNCTION("GOOGLETRANSLATE(B7541, ""es"", ""en"")"),"Very Good Very elegant")</f>
        <v>Very Good Very elegant</v>
      </c>
    </row>
    <row r="7542">
      <c r="A7542" s="1">
        <v>5.0</v>
      </c>
      <c r="B7542" s="1" t="s">
        <v>7491</v>
      </c>
      <c r="C7542" t="str">
        <f>IFERROR(__xludf.DUMMYFUNCTION("GOOGLETRANSLATE(B7542, ""es"", ""en"")"),"good grip. good grip.")</f>
        <v>good grip. good grip.</v>
      </c>
    </row>
    <row r="7543">
      <c r="A7543" s="1">
        <v>5.0</v>
      </c>
      <c r="B7543" s="1" t="s">
        <v>7492</v>
      </c>
      <c r="C7543" t="str">
        <f>IFERROR(__xludf.DUMMYFUNCTION("GOOGLETRANSLATE(B7543, ""es"", ""en"")"),"Good article is the second I bought exactly the same. Is fine to carry wallet, sunglasses, keys and some other things. The finish is good. It has a strap to carry on shoulder. For me it's the right size. Inwardly you have some pockets to put things a zipp"&amp;"er.")</f>
        <v>Good article is the second I bought exactly the same. Is fine to carry wallet, sunglasses, keys and some other things. The finish is good. It has a strap to carry on shoulder. For me it's the right size. Inwardly you have some pockets to put things a zipper.</v>
      </c>
    </row>
    <row r="7544">
      <c r="A7544" s="1">
        <v>5.0</v>
      </c>
      <c r="B7544" s="1" t="s">
        <v>7493</v>
      </c>
      <c r="C7544" t="str">
        <f>IFERROR(__xludf.DUMMYFUNCTION("GOOGLETRANSLATE(B7544, ""es"", ""en"")"),"Good buy with good sound, good price and quality relaccion different earpads and bag for storage.")</f>
        <v>Good buy with good sound, good price and quality relaccion different earpads and bag for storage.</v>
      </c>
    </row>
    <row r="7545">
      <c r="A7545" s="1">
        <v>5.0</v>
      </c>
      <c r="B7545" s="1" t="s">
        <v>7494</v>
      </c>
      <c r="C7545" t="str">
        <f>IFERROR(__xludf.DUMMYFUNCTION("GOOGLETRANSLATE(B7545, ""es"", ""en"")"),"It is very good kettle! Very pleased with purchase, very quickly heats water and LED lights will give a touch much cool! Meets all specifications and design is very beautiful, I use it a lot to drink tea or warm water for yatecomo! The bottom has a connec"&amp;"tor which is not covered, it is the only bad thing to note, otherwise it is a complete product")</f>
        <v>It is very good kettle! Very pleased with purchase, very quickly heats water and LED lights will give a touch much cool! Meets all specifications and design is very beautiful, I use it a lot to drink tea or warm water for yatecomo! The bottom has a connector which is not covered, it is the only bad thing to note, otherwise it is a complete product</v>
      </c>
    </row>
    <row r="7546">
      <c r="A7546" s="1">
        <v>5.0</v>
      </c>
      <c r="B7546" s="1" t="s">
        <v>7495</v>
      </c>
      <c r="C7546" t="str">
        <f>IFERROR(__xludf.DUMMYFUNCTION("GOOGLETRANSLATE(B7546, ""es"", ""en"")"),"Good pen Todo perfecto")</f>
        <v>Good pen Todo perfecto</v>
      </c>
    </row>
    <row r="7547">
      <c r="A7547" s="1">
        <v>2.0</v>
      </c>
      <c r="B7547" s="1" t="s">
        <v>7496</v>
      </c>
      <c r="C7547" t="str">
        <f>IFERROR(__xludf.DUMMYFUNCTION("GOOGLETRANSLATE(B7547, ""es"", ""en"")"),"Very good quality / price but I had problems very good sound quality heard very loud volume butt. From the second week I began to trouble the left ear, depending on how you move it stays without sound or hear lower than the right. I for one will miss that"&amp;" I have played bad, I'll ask you replace them with new ones and if problems persist ask the return of money and a bad review.")</f>
        <v>Very good quality / price but I had problems very good sound quality heard very loud volume butt. From the second week I began to trouble the left ear, depending on how you move it stays without sound or hear lower than the right. I for one will miss that I have played bad, I'll ask you replace them with new ones and if problems persist ask the return of money and a bad review.</v>
      </c>
    </row>
    <row r="7548">
      <c r="A7548" s="1">
        <v>3.0</v>
      </c>
      <c r="B7548" s="1" t="s">
        <v>7497</v>
      </c>
      <c r="C7548" t="str">
        <f>IFERROR(__xludf.DUMMYFUNCTION("GOOGLETRANSLATE(B7548, ""es"", ""en"")"),"Acceptable The album is well, all I see is that cardboard inside is very thin for my taste and pasting the picture would look better if it were thicker paper but otherwise is pretty good for the price it has")</f>
        <v>Acceptable The album is well, all I see is that cardboard inside is very thin for my taste and pasting the picture would look better if it were thicker paper but otherwise is pretty good for the price it has</v>
      </c>
    </row>
    <row r="7549">
      <c r="A7549" s="1">
        <v>3.0</v>
      </c>
      <c r="B7549" s="1" t="s">
        <v>7498</v>
      </c>
      <c r="C7549" t="str">
        <f>IFERROR(__xludf.DUMMYFUNCTION("GOOGLETRANSLATE(B7549, ""es"", ""en"")"),"It is a very cool shoes are worth even come a little small.")</f>
        <v>It is a very cool shoes are worth even come a little small.</v>
      </c>
    </row>
    <row r="7550">
      <c r="A7550" s="1">
        <v>1.0</v>
      </c>
      <c r="B7550" s="1" t="s">
        <v>7499</v>
      </c>
      <c r="C7550" t="str">
        <f>IFERROR(__xludf.DUMMYFUNCTION("GOOGLETRANSLATE(B7550, ""es"", ""en"")"),"M not like I bought to clean the sliding windows of the floor and does not enter into all slots. In the q enters not cleaned well")</f>
        <v>M not like I bought to clean the sliding windows of the floor and does not enter into all slots. In the q enters not cleaned well</v>
      </c>
    </row>
    <row r="7551">
      <c r="A7551" s="1">
        <v>1.0</v>
      </c>
      <c r="B7551" s="1" t="s">
        <v>7500</v>
      </c>
      <c r="C7551" t="str">
        <f>IFERROR(__xludf.DUMMYFUNCTION("GOOGLETRANSLATE(B7551, ""es"", ""en"")"),"ARE FALSASS are also false shoddy")</f>
        <v>ARE FALSASS are also false shoddy</v>
      </c>
    </row>
    <row r="7552">
      <c r="A7552" s="1">
        <v>4.0</v>
      </c>
      <c r="B7552" s="1" t="s">
        <v>7501</v>
      </c>
      <c r="C7552" t="str">
        <f>IFERROR(__xludf.DUMMYFUNCTION("GOOGLETRANSLATE(B7552, ""es"", ""en"")"),"Good material. Order 1 or 2 sizes more than what you usually use. Thermal shirt good material. It gives little size. I ordered a L and I'll just, but fine. (1:70, 75Kg) advise ordering one or two sizes larger. One thing I did not like was that you have a "&amp;"very large neck. Too much for my taste. Otherwise. All ok.")</f>
        <v>Good material. Order 1 or 2 sizes more than what you usually use. Thermal shirt good material. It gives little size. I ordered a L and I'll just, but fine. (1:70, 75Kg) advise ordering one or two sizes larger. One thing I did not like was that you have a very large neck. Too much for my taste. Otherwise. All ok.</v>
      </c>
    </row>
    <row r="7553">
      <c r="A7553" s="1">
        <v>4.0</v>
      </c>
      <c r="B7553" s="1" t="s">
        <v>7502</v>
      </c>
      <c r="C7553" t="str">
        <f>IFERROR(__xludf.DUMMYFUNCTION("GOOGLETRANSLATE(B7553, ""es"", ""en"")"),"The great I ordered (size 38) were somewhat big for me, so if you ask them again, choose one size smaller. Solved thanks to the strip is passed through the ankle.")</f>
        <v>The great I ordered (size 38) were somewhat big for me, so if you ask them again, choose one size smaller. Solved thanks to the strip is passed through the ankle.</v>
      </c>
    </row>
    <row r="7554">
      <c r="A7554" s="1">
        <v>4.0</v>
      </c>
      <c r="B7554" s="1" t="s">
        <v>7503</v>
      </c>
      <c r="C7554" t="str">
        <f>IFERROR(__xludf.DUMMYFUNCTION("GOOGLETRANSLATE(B7554, ""es"", ""en"")"),"It is fairly well satisfied. Perhaps one size smaller. But I'ts not bad")</f>
        <v>It is fairly well satisfied. Perhaps one size smaller. But I'ts not bad</v>
      </c>
    </row>
    <row r="7555">
      <c r="A7555" s="1">
        <v>4.0</v>
      </c>
      <c r="B7555" s="1" t="s">
        <v>7504</v>
      </c>
      <c r="C7555" t="str">
        <f>IFERROR(__xludf.DUMMYFUNCTION("GOOGLETRANSLATE(B7555, ""es"", ""en"")"),"Finally Sabor")</f>
        <v>Finally Sabor</v>
      </c>
    </row>
    <row r="7556">
      <c r="A7556" s="1">
        <v>4.0</v>
      </c>
      <c r="B7556" s="1" t="s">
        <v>7505</v>
      </c>
      <c r="C7556" t="str">
        <f>IFERROR(__xludf.DUMMYFUNCTION("GOOGLETRANSLATE(B7556, ""es"", ""en"")"),"It's pretty much like what you see. Like shines a little more than it seems. But it's very cool")</f>
        <v>It's pretty much like what you see. Like shines a little more than it seems. But it's very cool</v>
      </c>
    </row>
    <row r="7557">
      <c r="A7557" s="1">
        <v>5.0</v>
      </c>
      <c r="B7557" s="1" t="s">
        <v>7506</v>
      </c>
      <c r="C7557" t="str">
        <f>IFERROR(__xludf.DUMMYFUNCTION("GOOGLETRANSLATE(B7557, ""es"", ""en"")"),"Haunted! I looked at the comments to see if buying to Vienna and the truth was right. The price, sound quality, comfort and connects easily. I recommend it")</f>
        <v>Haunted! I looked at the comments to see if buying to Vienna and the truth was right. The price, sound quality, comfort and connects easily. I recommend it</v>
      </c>
    </row>
    <row r="7558">
      <c r="A7558" s="1">
        <v>5.0</v>
      </c>
      <c r="B7558" s="1" t="s">
        <v>7507</v>
      </c>
      <c r="C7558" t="str">
        <f>IFERROR(__xludf.DUMMYFUNCTION("GOOGLETRANSLATE(B7558, ""es"", ""en"")"),"Flexible good rule. Very flexible, which is always good. I would buy it.")</f>
        <v>Flexible good rule. Very flexible, which is always good. I would buy it.</v>
      </c>
    </row>
    <row r="7559">
      <c r="A7559" s="1">
        <v>5.0</v>
      </c>
      <c r="B7559" s="1" t="s">
        <v>7508</v>
      </c>
      <c r="C7559" t="str">
        <f>IFERROR(__xludf.DUMMYFUNCTION("GOOGLETRANSLATE(B7559, ""es"", ""en"")"),"They are very comfortable very comfortable. The perfect waist")</f>
        <v>They are very comfortable very comfortable. The perfect waist</v>
      </c>
    </row>
    <row r="7560">
      <c r="A7560" s="1">
        <v>5.0</v>
      </c>
      <c r="B7560" s="1" t="s">
        <v>7509</v>
      </c>
      <c r="C7560" t="str">
        <f>IFERROR(__xludf.DUMMYFUNCTION("GOOGLETRANSLATE(B7560, ""es"", ""en"")"),"Good shoes perfect and functional and more comfortable than I thought, like many of the reviews I've read is advisable to ask for a full size. Depending on the brand, soil wedge or 43 or 44, to run, for example, a use New Balance 1080 Fresh Foam and are 4"&amp;"3, and as I do not trust him everything if they came to me very just ordered a 44 and remain great")</f>
        <v>Good shoes perfect and functional and more comfortable than I thought, like many of the reviews I've read is advisable to ask for a full size. Depending on the brand, soil wedge or 43 or 44, to run, for example, a use New Balance 1080 Fresh Foam and are 43, and as I do not trust him everything if they came to me very just ordered a 44 and remain great</v>
      </c>
    </row>
    <row r="7561">
      <c r="A7561" s="1">
        <v>5.0</v>
      </c>
      <c r="B7561" s="1" t="s">
        <v>7510</v>
      </c>
      <c r="C7561" t="str">
        <f>IFERROR(__xludf.DUMMYFUNCTION("GOOGLETRANSLATE(B7561, ""es"", ""en"")"),"perfect just perfect. this duster if traps dust. It is not hair, but suede style.")</f>
        <v>perfect just perfect. this duster if traps dust. It is not hair, but suede style.</v>
      </c>
    </row>
    <row r="7562">
      <c r="A7562" s="1">
        <v>5.0</v>
      </c>
      <c r="B7562" s="1" t="s">
        <v>7511</v>
      </c>
      <c r="C7562" t="str">
        <f>IFERROR(__xludf.DUMMYFUNCTION("GOOGLETRANSLATE(B7562, ""es"", ""en"")"),"OK &lt;div id = ""video-block-R1E0Y9MP1HQOYO"" class = ""a-section a-spacing-small a-spacing-top mini video-block""&gt; &lt;div tabindex = ""0"" class = ""airy airy-svg vmin-unsupported airy-skin-beacon ""style ="" background-color: rgb (0, 0, 0) position: relativ"&amp;"e; width: 100%; height: 100%; font-size: 0px; overflow: hidden; outline : none; ""&gt; &lt;div class ="" airy-renderer-container ""style ="" position: relative; height: 100%; width: 100%; ""&gt; &lt;video id ="" 7 ""preload ="" auto ""src ="" https://images-eu.ssl-im"&amp;"ages-amazon.com/images/I/818mPEbqrBS.mp4 ""style ="" position: absolute; left: 0px; top: 0px; overflow: hidden; height: 1px; width: 1px ; ""&gt; &lt;/ video&gt; &lt;/ div&gt; &lt;div id ="" airy-slate-preload ""style ="" background-color: rgb (0, 0, 0); background-image: u"&amp;"rl (&amp; quot; https: // images-eu.ssl-images-amazon.com/images/I/91ms7eLo0aS.png&amp;quot;); background-size: Contain; background-position: center center; background-repeat: no-repeat; position: absolute; top: 0px ; left: 0px; visibility: visible; width: 100%; "&amp;"height: 100%; ""&gt; &lt;/ div&gt; &lt;iframe scrolling ="" no ""f rameborder = ""0"" src = ""about: blank"" style = ""display: none;""&gt; &lt;/ iframe&gt; &lt;div tabindex = ""- 1"" class = ""airy-controls-container"" style = ""opacity: 0; visibility: hidden; ""&gt; &lt;div tabindex"&amp;" ="" - 1 ""class ="" airy-screen-size-toggle airy-fullscreen ""&gt; &lt;/ div&gt; &lt;div tabindex ="" - 1 ""class ="" airy-container-bottom "" &gt; &lt;div tabindex = ""- 1"" class = ""airy-track-bar-spacer-left"" style = ""width: 11px;""&gt; &lt;/ div&gt; &lt;div tabindex = ""- 1"" "&amp;"class = ""airy-play- airy toggle-play ""style ="" width: 12px; margin-right: 12px; ""&gt; &lt;/ div&gt; &lt;div tabindex ="" - 1 ""class ="" airy-audio-elements ""style ="" float: right; width: 34px; ""&gt; &lt;div tabindex ="" - 1 ""class ="" airy-audio-toggle airy-on ""&gt;"&amp;" &lt;/ div&gt; &lt;div tabindex ="" - 1 ""class ="" airy-audio-container ""style = ""opacity: 0; visibility: hidden; ""&gt; &lt;div tabindex ="" - 1 ""class ="" airy-audio-track-bar ""style ="" height: 80%; ""&gt; &lt;div tabindex ="" - 1 ""class ="" airy-audio- Scrubber-bar "&amp;"""style ="" height: 85%; ""&gt; &lt;/ div&gt; &lt;div tabindex ="" - 1 ""class ="" airy-audio-scrubber ""style ="" height: 12px; bottom: 85% ""&gt; &lt;/ div&gt; &lt;/ div&gt; &lt;/ div&gt; &lt;/ div&gt; &lt;div tabindex ="" - 1 ""class ="" airy-duration-label ""style ="" float: right; width: 26p"&amp;"x; margin-right: 4px; text-align: center; ""&gt; 0:07 &lt;/ div&gt; &lt;div tabindex ="" - 1 ""class ="" airy-track-bar-spacer-right ""style ="" float: right; width: 11px; ""&gt; &lt;/ div&gt; &lt;div tabindex ="" - 1 ""class ="" airy-track-bar-container ""style ="" margin-left:"&amp;" 35px; margin-right: 75px; ""&gt; &lt;div tabindex ="" - 1 ""class ="" airy-airy-track-bar vertically-centering-table ""&gt; &lt;div tabindex ="" - 1 ""class ="" airy-Vertical-centering- table-cell ""&gt; &lt;div tabindex ="" - 1 ""class ="" airy-track-bar-elements ""&gt; &lt;di"&amp;"v tabindex ="" - 1 ""class ="" airy-progress-bar ""style ="" width: 11.1869%; ""&gt; &lt;/ div&gt; &lt;div tabindex ="" - 1 ""class ="" airy-scrubber-bar ""&gt; &lt;/ div&gt; &lt;div tabindex ="" - 1 ""class ="" airy-scrubber ""&gt; &lt;div tabindex ="" - 1 ""class ="" airy-scrubber-i"&amp;"con ""&gt; &lt;/ div&gt; &lt;div tabindex ="" - 1 ""class ="" airy-adjusted-AUI-tooltip ""style ="" opacity: 0; visibility: hidden; ""&gt; &lt;div tabindex ="" - 1 ""class ="" airy-adjusted-aui-tooltip-inner ""&gt; &lt;div tabindex ="" - 1 ""class ="" airy-current-time-label ""&gt;"&amp;" 0: 00 &lt;/ div&gt; &lt;/ div&gt; &lt;div tabindex = ""- 1"" class = ""airy-adjusted-AUI-arrow-border""&gt; &lt;div tabindex = ""- 1"" class = ""airy-adjusted-AUI-arrow"" &gt; &lt;/ div&gt; &lt;/ div&gt; &lt;/ div&gt; &lt;/ div&gt; &lt;/ div&gt; &lt;/ div&gt; &lt;/ div&gt; &lt;/ div&gt; &lt;/ div&gt; &lt;/ div&gt; &lt;div tabindex = ""- 1"&amp;""" class = ""airy-age-gate airy-stage airy-Vertical-centering-table airy-dialog"" style = ""opacity: 0; visibility: hidden; ""&gt; &lt;div tabindex ="" - 1 ""class ="" airy-age-gate-Vertical-centering-table-cell airy-Vertical-centering-table-cell ""&gt; &lt;div tabin"&amp;"dex ="" - 1 ""class = ""airy-Vertical-centering-wrapper airy-age-gate-elements-wrapper""&gt; &lt;div tabindex = ""- 1"" class = ""airy-age-gate-elements airy-dialog-elements""&gt; &lt;div tabindex = "" -1 ""class ="" airy-age-gate-prompt ""&gt; This video is not Intende"&amp;"d for all audiences What date were you born &lt;/ div&gt; &lt;div tabindex =.?"" - 1 ""class ="" airy-age-gate -inputs airy-dialog-inner-elements ""&gt; &lt;select tabindex ="" - 1 ""class ="" airy-age-gate-month ""&gt; &lt;option value ="" 1 ""&gt; January &lt;/ option&gt; &lt;option va"&amp;"lue ="" 2 ""&gt; February &lt;/ option&gt; &lt;option value ="" 3 ""&gt; March &lt;/ option&gt; &lt;option value ="" 4 ""&gt; April &lt;/ option&gt; &lt;option value ="" 5 ""&gt; May &lt;/ option&gt; &lt;option value = ""6""&gt; June &lt;/ option&gt; &lt;option value = ""7""&gt; July &lt;/ option&gt; &lt;option value = ""8""&gt;"&amp;" August &lt;/ option&gt; &lt;option value = ""9""&gt; September &lt;/ option&gt; &lt;option value = ""10""&gt; October &lt;/ option&gt; &lt;option value = ""11""&gt; November &lt;/ option&gt; &lt;option value = ""12""&gt; December &lt;/ option&gt; &lt;/ select&gt; &lt;select tabindex = ""- 1"" class = ""airy-age-gate"&amp;"-day""&gt; &lt;opti on value = ""1""&gt; 1 &lt;/ option&gt; &lt;option value = ""2""&gt; 2 &lt;/ option&gt; &lt;option value = ""3""&gt; 3 &lt;/ option&gt; &lt;option value = ""4""&gt; 4 &lt;/ option &gt; &lt;option value = ""5""&gt; 5 &lt;/ option&gt; &lt;option value = ""6""&gt; 6 &lt;/ option&gt; &lt;option value = ""7""&gt; 7 &lt;/ o"&amp;"ption&gt; &lt;option value = ""8""&gt; 8 &lt; / option&gt; &lt;option value = ""9""&gt; 9 &lt;/ option&gt; &lt;option value = ""10""&gt; 10 &lt;/ option&gt; &lt;option value = ""11""&gt; 11 &lt;/ option&gt; &lt;option value = ""12""&gt; 12 &lt;/ option&gt; &lt;option value = ""13""&gt; 13 &lt;/ option&gt; &lt;option value = ""14""&gt;"&amp;" 14 &lt;/ option&gt; &lt;option value = ""15""&gt; 15 &lt;/ option&gt; &lt;option value = ""16 ""&gt; 16 &lt;/ option&gt; &lt;option value ="" 17 ""&gt; 17 &lt;/ option&gt; &lt;option value ="" 18 ""&gt; 18 &lt;/ option&gt; &lt;option value ="" 19 ""&gt; 19 &lt;/ option&gt; &lt;option value = ""20""&gt; 20 &lt;/ option&gt; &lt;option "&amp;"value = ""21""&gt; 21 &lt;/ option&gt; &lt;option value = ""22""&gt; 22 &lt;/ option&gt; &lt;option value = ""23""&gt; 23 &lt;/ option&gt; &lt;option value = ""24""&gt; 24 &lt;/ option&gt; &lt;option value = ""25""&gt; 25 &lt;/ option&gt; &lt;option value = ""26""&gt; 26 &lt;/ option&gt; &lt;option value = ""27""&gt; 27 &lt;/ optio"&amp;"n&gt; &lt;option value = ""28""&gt; 28 &lt;/ option&gt; &lt;option value = ""29""&gt; 29 &lt;/ option&gt; &lt;option value = ""30""&gt; 30 &lt;/ option&gt; &lt;option value = ""31""&gt; 31 &lt;/ option&gt; &lt;/ select&gt; &lt;select tabindex = ""- 1"" class = ""airy-age-gate-year""&gt; &lt;option value = ""2019""&gt; 2019"&amp;" &lt;/ option&gt; &lt; option value = ""2018""&gt; 2018 &lt;/ option&gt; &lt;option value = ""2017""&gt; 2017 &lt;/ option&gt; &lt;option value = ""2016""&gt; ​​2016 &lt;/ option&gt; &lt;option value = ""2015""&gt; 2015 &lt;/ option &gt; &lt;option value = ""2014""&gt; 2014 &lt;/ option&gt; &lt;option value = ""2013""&gt; 201"&amp;"3 &lt;/ option&gt; &lt;option value = ""2012""&gt; 2012 &lt;/ option&gt; &lt;option value = ""2011""&gt; 2011 &lt; / option&gt; &lt;option value = ""2010""&gt; 2010 &lt;/ option&gt; &lt;option value = ""2009""&gt; 2009 &lt;/ option&gt; &lt;option value = ""2008""&gt; 2008 &lt;/ option&gt; &lt;option value = ""2007""&gt; 2007 "&amp;"&lt;/ option&gt; &lt;option value = ""2006""&gt; 2006 &lt;/ option&gt; &lt;option value = ""2005""&gt; 2005 &lt;/ option&gt; &lt;option value = ""2004""&gt; 2004 &lt;/ option&gt; &lt;option value = ""2003 ""&gt; 2003 &lt;/ option&gt; &lt;option value ="" 2002 ""&gt; 2002 &lt;/ option&gt; &lt;option value ="" 2001 ""&gt; 2001 "&amp;"&lt;/ option&gt; &lt;option value ="" 2000 ""&gt; 2000 &lt;/ option&gt; &lt;option value = ""1999""&gt; 1999 &lt;/ option&gt; &lt;option value = ""1998""&gt; 1998 &lt;/ option&gt; &lt;option value = ""1997""&gt; 1997 &lt;/ option&gt; &lt;option value = ""1996""&gt; 1996 &lt;/ option&gt; &lt;option value = ""1995""&gt; 1995 &lt;/"&amp;" option&gt; &lt;option value = ""1994""&gt; 1994 &lt;/ option&gt; &lt;option value = ""1993""&gt; 1993 &lt;/ option&gt; &lt;option value = ""1992""&gt; 1992 &lt;/ option&gt; &lt;option value = ""1991""&gt; 1991 &lt;/ option&gt; &lt;option value = ""1990""&gt; 1990 &lt;/ option&gt; &lt;option value = "" 1989 ""&gt; 1989 &lt;/ "&amp;"option&gt; &lt;option value ="" 1988 ""&gt; 1988 &lt;/ option&gt; &lt;option value ="" 1987 ""&gt; 1987 &lt;/ option&gt; &lt;option value ="" 1986 ""&gt; 1986 &lt;/ option&gt; &lt;value option = ""1985""&gt; 1985 &lt;/ option&gt; &lt;option value = ""1984""&gt; 1984 &lt;/ option&gt; &lt;option value = ""1983""&gt; 1983 &lt;/ "&amp;"option&gt; &lt;option value = ""1982""&gt; 1982 &lt;/ option&gt; &lt; option value = ""1981""&gt; 1981 &lt;/ option&gt; &lt;option value = ""1980""&gt; 1980 &lt;/ option&gt; &lt;option value = ""1979""&gt; 1979 &lt;/ option&gt; &lt;option value = ""1978""&gt; 1978 &lt;/ option &gt; &lt;option value = ""1977""&gt; 1977 &lt;/ o"&amp;"ption&gt; &lt;option value = ""1976""&gt; 1976 &lt;/ option&gt; &lt;option value = ""1975""&gt; 1975 &lt;/ option&gt; &lt;option value = ""1974""&gt; 1974 &lt; / option&gt; &lt;option value = ""1973""&gt; 1973 &lt;/ option&gt; &lt;option value = ""1972""&gt; 1972 &lt;/ option&gt; &lt;option value = ""1971""&gt; 1971 &lt;/ opt"&amp;"ion&gt; &lt;option value = ""1970""&gt; 1970 &lt;/ option&gt; &lt;option value = ""1969""&gt; 1969 &lt;/ option&gt; &lt;option value = ""1968""&gt; 1968 &lt;/ option&gt; &lt;option value = ""1967""&gt; 1967 &lt;/ option&gt; &lt;option value = ""1966 ""&gt; 1966 &lt;/ option&gt; &lt;option value ="" 1965 ""&gt; 1965 &lt;/ opti"&amp;"on&gt; &lt;option value ="" 1964 ""&gt; 1964 &lt;/ option&gt; &lt;option value ="" 1963 ""&gt; 1963 &lt;/ option&gt; &lt;option value = ""1962""&gt; 1962 &lt;/ option&gt; &lt;option value = ""1961""&gt; 1961 &lt;/ option&gt; &lt;option value = ""1960""&gt; 1960 &lt;/ op tion&gt; &lt;option value = ""1959""&gt; 1959 &lt;/ opti"&amp;"on&gt; &lt;option value = ""1958""&gt; 1958 &lt;/ option&gt; &lt;option value = ""1957""&gt; 1957 &lt;/ option&gt; &lt;option value = ""1956""&gt; 1956 &lt;/ option&gt; &lt;option value = ""1955""&gt; 1955 &lt;/ option&gt; &lt;option value = ""1954""&gt; 1954 &lt;/ option&gt; &lt;option value = ""1953""&gt; 1953 &lt;/ option&gt;"&amp;" &lt;option value = ""1952"" &gt; 1952 &lt;/ option&gt; &lt;option value = ""1951""&gt; 1951 &lt;/ option&gt; &lt;option value = ""1950""&gt; 1950 &lt;/ option&gt; &lt;option value = ""1949""&gt; 1949 &lt;/ option&gt; &lt;option value = "" 1948 ""&gt; 1948 &lt;/ option&gt; &lt;option value ="" 1947 ""&gt; 1947 &lt;/ option"&amp;"&gt; &lt;option value ="" 1946 ""&gt; 1946 &lt;/ option&gt; &lt;option value ="" 1945 ""&gt; 1945 &lt;/ option&gt; &lt;value option = ""1944""&gt; 1944 &lt;/ option&gt; &lt;option value = ""1943""&gt; 1943 &lt;/ option&gt; &lt;option value = ""1942""&gt; 1942 &lt;/ option&gt; &lt;option value = ""1941""&gt; 1941 &lt;/ option&gt;"&amp;" &lt; option value = ""1940""&gt; 1940 &lt;/ option&gt; &lt;option value = ""1939""&gt; 1939 &lt;/ option&gt; &lt;option value = ""1938""&gt; 1938 &lt;/ option&gt; &lt;option value = ""1937""&gt; 1937 &lt;/ option &gt; &lt;option value = ""1936""&gt; 1936 &lt;/ option&gt; &lt;option value = ""1935""&gt; 1935 &lt;/ option&gt; "&amp;"&lt;option value = ""1934""&gt; 1934 &lt;/ option&gt; &lt;option value = ""1933""&gt; 1933 &lt; / option&gt; &lt;option value = ""1932""&gt; 1932 &lt;/ option&gt; &lt;option value = ""1931""&gt; 1931 &lt;/ option&gt; &lt;option v alue = ""1930""&gt; 1930 &lt;/ option&gt; &lt;option value = ""1929""&gt; 1929 &lt;/ option&gt; &lt;"&amp;"option value = ""1928""&gt; 1928 &lt;/ option&gt; &lt;option value = ""1927""&gt; 1927 &lt;/ option&gt; &lt;option value = ""1926""&gt; 1926 &lt;/ option&gt; &lt;option value = ""1925""&gt; 1925 &lt;/ option&gt; &lt;option value = ""1924""&gt; 1924 &lt;/ option&gt; &lt;option value = ""1923""&gt; 1923 &lt;/ option&gt; &lt;opt"&amp;"ion value = ""1922""&gt; 1922 &lt;/ option&gt; &lt;option value = ""1921""&gt; 1921 &lt;/ option&gt; &lt;option value = ""1920""&gt; 1920 &lt;/ option&gt; &lt;option value = ""1919""&gt; 1919 &lt;/ option&gt; &lt;option value = ""1918""&gt; 1918 &lt;/ option&gt; &lt;option value = ""1917""&gt; 1917 &lt;/ option&gt; &lt;option"&amp;" value = ""1916""&gt; 1916 &lt;/ option&gt; &lt;option value = ""1915"" &gt; 1915 &lt;/ option&gt; &lt;option value = ""1914""&gt; 1914 &lt;/ option&gt; &lt;option value = ""1913""&gt; 1913 &lt;/ option&gt; &lt;option value = ""1912""&gt; 1912 &lt;/ option&gt; &lt;option value = "" 1911 ""&gt; 1911 &lt;/ option&gt; &lt;option"&amp;" value ="" 1910 ""&gt; 1910 &lt;/ option&gt; &lt;option value ="" 1909 ""&gt; 1909 &lt;/ option&gt; &lt;option value ="" 1908 ""&gt; 1908 &lt;/ option&gt; &lt;value option = ""1907""&gt; 1907 &lt;/ option&gt; &lt;option value = ""1906""&gt; 1906 &lt;/ option&gt; &lt;option value = ""1905""&gt; 1905 &lt;/ option&gt; &lt;option"&amp;" value = ""1904""&gt; 1904 &lt;/ option&gt; &lt; option value = ""1903""&gt; 1903 &lt;/ option&gt; &lt;option value = ""1902""&gt; 1902 &lt;/ option&gt; &lt;option value = ""1901""&gt; 19 01 &lt;/ option&gt; &lt;option value = ""1900""&gt; 1900 &lt;/ option&gt; &lt;/ select&gt; &lt;div tabindex = ""- 1"" class = ""airy-"&amp;"age-gate-submit airy-submit-button airy airy-submit- disabled ""&gt; Submit &lt;/ div&gt; &lt;/ div&gt; &lt;/ div&gt; &lt;/ div&gt; &lt;/ div&gt; &lt;/ div&gt; &lt;div tabindex ="" - 1 ""class ="" airy-install-flash-dialog airy-stage airy -vertical-centering-table-dialog airy airy-denied ""style "&amp;"="" opacity: 0; visibility: hidden; ""&gt; &lt;div tabindex ="" - 1 ""class ="" airy-install-flash-Vertical-centering-table-cell airy-Vertical-centering-table-cell ""&gt; &lt;div tabindex ="" - 1 ""class = ""airy-Vertical-centering-wrapper airy-install-flash-elements"&amp;"-wrapper""&gt; &lt;div tabindex = ""- 1"" class = ""airy-install-flash-elements airy-dialog-elements""&gt; &lt;div tabindex = "" -1 ""class ="" airy-install-flash-prompt ""&gt; Adobe Flash Player is required to watch this video &lt;/ div&gt; &lt;div tabindex =."" - 1 ""class ="""&amp;" airy-install-flash-button-wrapper airy -dialog-inner-elements ""&gt; &lt;div tabindex ="" - 1 ""class ="" airy-install-flash-button airy-button ""&gt; install Flash Player &lt;/ div&gt; &lt;/ div&gt; &lt;/ div&gt; &lt;/ div&gt; &lt;/ div&gt; &lt;/ div&gt; &lt;div tabindex = ""- 1"" class = ""airy-vide"&amp;"o-unsupported-dialog airy-stage airy-Vertical-centering-table airy-dialog airy-denied"" style = ""opacity: 0; visibility: hidden; ""&gt; &lt;div tabindex ="" - 1 ""class ="" airy-video-unsupported-Vertical-centering-table-cell airy-Vertical-centering-table-cell"&amp;" ""&gt; &lt;div tabindex ="" - 1 ""class = ""airy-Vertical-centering-wrapper airy-video-unsupported-elements-wrapper""&gt; &lt;div tabindex = ""- 1"" class = ""airy-video-unsupported-elements airy-dialog-elements""&gt; &lt;div tabindex = "" -1 ""class ="" airy-video-unsupp"&amp;"orted-prompt ""&gt; &lt;/ div&gt; &lt;/ div&gt; &lt;/ div&gt; &lt;/ div&gt; &lt;/ div&gt; &lt;div tabindex ="" - 1 ""class ="" airy-loading- spinner-stage airy-stage ""&gt; &lt;div tabindex ="" - 1 ""class ="" airy-loading-spinner-Vertical-centering-table-cell airy-Vertical-centering-table-cell "&amp;"""&gt; &lt;div tabindex ="" - 1 ""class ="" airy-loading-spinner-container airy-scalable-hint-container ""&gt; &lt;div tabindex ="" - 1 ""class ="" airy-loading-spinner-dummy airy-scalable-dummy ""&gt; &lt;/ div&gt; &lt; div tabindex = ""- 1"" class = ""airy-loading-spinner airy"&amp;"-hint"" style = ""visibility: hidden;""&gt; &lt;/ div&gt; &lt;/ div&gt; &lt;/ div&gt; &lt;/ div&gt; &lt;div tabindex = ""- 1 ""class ="" airy-ads-screen-size-toggle airy-screen-size-toggle-fullscreen airy ""style ="" visibility: hidden; ""&gt; &lt;/ div&gt; &lt;div tabindex = ""-1"" class = ""air"&amp;"y-ad-prompt-container"" style = ""visibility: hidden;""&gt; &lt;div tabindex = ""- 1"" class = ""airy-ad-prompt-Vertical-centering-table-vertically airy centering-table ""&gt; &lt;div tabindex ="" - 1 ""class ="" airy-ad-prompt-Vertical-centering-table-cell airy-Vert"&amp;"ical-centering-table-cell ""&gt; &lt;div tabindex ="" - 1 ""class = ""airy-ad-prompt-label""&gt; &lt;/ div&gt; &lt;/ div&gt; &lt;/ div&gt; &lt;/ div&gt; &lt;div tabindex = ""- 1"" class = ""airy-ads-controls-container"" style = ""visibility: hidden; ""&gt; &lt;div tabindex ="" - 1 ""class ="" air"&amp;"y-ads-audio-toggle airy-audio-toggle airy-on ""style ="" visibility: hidden; ""&gt; &lt;/ div&gt; &lt;div tabindex ="" - 1 ""class ="" airy-time-remaining-label-container ""&gt; &lt;div tabindex ="" - 1 ""class ="" airy-time-remaining-Vertical-centering-table airy-Vertical"&amp;"-centering-table ""&gt; &lt;div tabindex = ""- 1"" class = ""airy-time-remaining-Vertical-centering-table-cell airy-Vertical-centering-table-cell""&gt; &lt;div tabindex = ""- 1"" class = ""airy-Vertical-centering-wrapper airy-time-remaining-label-wrapper ""&gt; &lt;div tab"&amp;"index ="" - 1 ""class ="" airy-time-remaining-label ""style ="" visibility: hidden; ""&gt; &lt;/ div&gt; &lt;div tabi ndex = ""- 1"" class = ""airy-ad-skip"" style = ""visibility: hidden;""&gt; &lt;/ div&gt; &lt;div tabindex = ""- 1"" class = ""airy-ad-end"" style = ""visibility"&amp;": hidden ""&gt; &lt;/ div&gt; &lt;/ div&gt; &lt;/ div&gt; &lt;/ div&gt; &lt;/ div&gt; &lt;div tabindex ="" - 1 ""class ="" airy-learn-more ""style ="" visibility: hidden; ""&gt; &lt;/ div&gt; &lt;/ div&gt; &lt;div tabindex = ""- 1"" class = ""airy-play-toggle-hint-stage airy-stage airy-cursor""&gt; &lt;div tabinde"&amp;"x = ""- 1"" class = ""airy-play -toggle-hint-Vertical-centering-table-cell airy-Vertical-centering-table-cell airy-cursor ""&gt; &lt;div tabindex ="" - 1 ""class ="" airy-play-toggle-hint-container airy-scalable- Hint-container ""&gt; &lt;div tabindex ="" - 1 ""class"&amp;" ="" airy-play-toggle-hint-dummy airy-scalable-dummy ""&gt; &lt;/ div&gt; &lt;div tabindex ="" - 1 ""class ="" airy-play -toggle-hint hint airy-airy-play-hint ""style ="" opacity: 1; visibility: visible; ""&gt; &lt;/ div&gt; &lt;/ div&gt; &lt;/ div&gt; &lt;/ div&gt; &lt;div tabindex ="" - 1 ""cla"&amp;"ss ="" airy-replay-hint-stage airy-stage ""style ="" visibility: hidden ; ""&gt; &lt;div tabindex ="" - 1 ""class ="" airy-replay-hint-Vertical-centering-table-cell airy-Vertical-centering-table-cell airy-cursor ""&gt; &lt;div tabindex ="" - 1 ""class = ""airy-replay"&amp;"-hint-container airy-scalable-hint-container""&gt; &lt;div tabindex = ""- 1"" class = ""airy-replay-hint-dummy airy-scalable-dummy""&gt; &lt;/ div&gt; &lt;div tabindex = ""- 1"" class = ""airy-replay-hint airy-hint""&gt; &lt;/ div&gt; &lt;/ div&gt; &lt;/ div&gt; &lt;/ div&gt; &lt;div tabindex = ""- 1"""&amp;" class = ""airy-autoplay-hint -stage airy-stage ""style ="" visibility: hidden; ""&gt; &lt;div tabindex ="" - 1 ""class ="" airy-autoplay-hint-Vertical-centering-table-cell airy-Vertical-centering-table-cell airy- cursor ""&gt; &lt;div tabindex ="" - 1 ""class ="" au"&amp;"toplay airy-airy-hint-container-scalable-hint-container ""&gt; &lt;div tabindex ="" - 1 ""class ="" airy-autoplay-hint-dummy airy- scalable-dummy ""&gt; &lt;/ div&gt; &lt;/ div&gt; &lt;/ div&gt; &lt;/ div&gt; &lt;/ div&gt; &lt;/ div&gt; &lt;input type ="" hidden ""name ="" ""value ="" https: // images-"&amp;"eu .ssl-images-amazon.com / images / I / 818mPEbqrBS.mp4 ""Class ="" video-url ""&gt; &lt;input type ="" hidden ""name ="" ""value ="" https://images-eu.ssl-images-amazon.com/images/I/91ms7eLo0aS.png ""class ="" video-slate-img-url ""&gt; &amp; nbsp; very convenient w"&amp;"ith good quality, very easy to use. HAS 5 Interchangeable HEADS, AND VARIOUS SPEEDS, REMOVING ANY AREA contractures, it helps improve blood circulation, relieves tension MUSCLE AND PRESSURE I love")</f>
        <v>OK &lt;div id = "video-block-R1E0Y9MP1HQOYO"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7 "preload =" auto "src =" https://images-eu.ssl-images-amazon.com/images/I/818mPEbqrBS.mp4 "style =" position: absolute; left: 0px; top: 0px; overflow: hidden; height: 1px; width: 1px ; "&gt; &lt;/ video&gt; &lt;/ div&gt; &lt;div id =" airy-slate-preload "style =" background-color: rgb (0, 0, 0); background-image: url (&amp; quot; https: // images-eu.ssl-images-amazon.com/images/I/91ms7eLo0aS.png&amp;quot;); background-size: Contain; background-position: center center; background-repeat: no-repeat; position: absolute; top: 0px ; left: 0px; visibility: visible; width: 100%; height: 100%; "&gt; &lt;/ div&gt; &lt;iframe scrolling =" no "f 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0:07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11.1869%;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818mPEbqrBS.mp4 "Class =" video-url "&gt; &lt;input type =" hidden "name =" "value =" https://images-eu.ssl-images-amazon.com/images/I/91ms7eLo0aS.png "class =" video-slate-img-url "&gt; &amp; nbsp; very convenient with good quality, very easy to use. HAS 5 Interchangeable HEADS, AND VARIOUS SPEEDS, REMOVING ANY AREA contractures, it helps improve blood circulation, relieves tension MUSCLE AND PRESSURE I love</v>
      </c>
    </row>
    <row r="7563">
      <c r="A7563" s="1">
        <v>5.0</v>
      </c>
      <c r="B7563" s="1" t="s">
        <v>7512</v>
      </c>
      <c r="C7563" t="str">
        <f>IFERROR(__xludf.DUMMYFUNCTION("GOOGLETRANSLATE(B7563, ""es"", ""en"")"),"Perfect Simple, elegant and very soft")</f>
        <v>Perfect Simple, elegant and very soft</v>
      </c>
    </row>
    <row r="7564">
      <c r="A7564" s="1">
        <v>5.0</v>
      </c>
      <c r="B7564" s="1" t="s">
        <v>7513</v>
      </c>
      <c r="C7564" t="str">
        <f>IFERROR(__xludf.DUMMYFUNCTION("GOOGLETRANSLATE(B7564, ""es"", ""en"")"),"Very good very good folders to save all documents needed without damaging them. They are tough and good quality. Their colors will give joy to help differentiate documents and folders. Very useful.")</f>
        <v>Very good very good folders to save all documents needed without damaging them. They are tough and good quality. Their colors will give joy to help differentiate documents and folders. Very useful.</v>
      </c>
    </row>
    <row r="7565">
      <c r="A7565" s="1">
        <v>5.0</v>
      </c>
      <c r="B7565" s="1" t="s">
        <v>7514</v>
      </c>
      <c r="C7565" t="str">
        <f>IFERROR(__xludf.DUMMYFUNCTION("GOOGLETRANSLATE(B7565, ""es"", ""en"")"),"Comfort and quality. Very good quality, great presentation, with travel bag incluida.supercomodas, that if you order a number more than his own, because it has a narrow shape.")</f>
        <v>Comfort and quality. Very good quality, great presentation, with travel bag incluida.supercomodas, that if you order a number more than his own, because it has a narrow shape.</v>
      </c>
    </row>
    <row r="7566">
      <c r="A7566" s="1">
        <v>5.0</v>
      </c>
      <c r="B7566" s="1" t="s">
        <v>7515</v>
      </c>
      <c r="C7566" t="str">
        <f>IFERROR(__xludf.DUMMYFUNCTION("GOOGLETRANSLATE(B7566, ""es"", ""en"")"),"Very good value I bought it for my daughter and she is very happy, came before the due date.")</f>
        <v>Very good value I bought it for my daughter and she is very happy, came before the due date.</v>
      </c>
    </row>
    <row r="7567">
      <c r="A7567" s="1">
        <v>5.0</v>
      </c>
      <c r="B7567" s="1" t="s">
        <v>7516</v>
      </c>
      <c r="C7567" t="str">
        <f>IFERROR(__xludf.DUMMYFUNCTION("GOOGLETRANSLATE(B7567, ""es"", ""en"")"),"Men's Running Shoes Hola.buenos dias.me like all of momento😂.muchas thanks for all")</f>
        <v>Men's Running Shoes Hola.buenos dias.me like all of momento😂.muchas thanks for all</v>
      </c>
    </row>
    <row r="7568">
      <c r="A7568" s="1">
        <v>5.0</v>
      </c>
      <c r="B7568" s="1" t="s">
        <v>7517</v>
      </c>
      <c r="C7568" t="str">
        <f>IFERROR(__xludf.DUMMYFUNCTION("GOOGLETRANSLATE(B7568, ""es"", ""en"")"),"NO FALLS am delighted, and I've had others not fit well in the ear and I constantly fell, but this fits perfectly, and does not fall !!!! Sound, great battery time and I've used an average of 3 hours daily for 3 days and have not had to put a load, so I r"&amp;"ecommend it 100% if you are going to use for continuous calls")</f>
        <v>NO FALLS am delighted, and I've had others not fit well in the ear and I constantly fell, but this fits perfectly, and does not fall !!!! Sound, great battery time and I've used an average of 3 hours daily for 3 days and have not had to put a load, so I recommend it 100% if you are going to use for continuous calls</v>
      </c>
    </row>
    <row r="7569">
      <c r="A7569" s="1">
        <v>5.0</v>
      </c>
      <c r="B7569" s="1" t="s">
        <v>7518</v>
      </c>
      <c r="C7569" t="str">
        <f>IFERROR(__xludf.DUMMYFUNCTION("GOOGLETRANSLATE(B7569, ""es"", ""en"")"),"High quality high quality, use them for Padel and truth are very comfortable and resistant compared to other brands I've tried, perfect breathability, perfect thickness, and very comfortable")</f>
        <v>High quality high quality, use them for Padel and truth are very comfortable and resistant compared to other brands I've tried, perfect breathability, perfect thickness, and very comfortable</v>
      </c>
    </row>
    <row r="7570">
      <c r="A7570" s="1">
        <v>5.0</v>
      </c>
      <c r="B7570" s="1" t="s">
        <v>7519</v>
      </c>
      <c r="C7570" t="str">
        <f>IFERROR(__xludf.DUMMYFUNCTION("GOOGLETRANSLATE(B7570, ""es"", ""en"")"),"Very happy first comment that have given me a Sata cable with the purchase of this SSD, which other prestige brands not deign to do and it gives you more points Kingdian and to continue him is a hard drive rather stiff and quality've tried it and enough s"&amp;"peed going pretty well. I had heard positive things and negative of this hard drive but for now earn positive. (No negative)")</f>
        <v>Very happy first comment that have given me a Sata cable with the purchase of this SSD, which other prestige brands not deign to do and it gives you more points Kingdian and to continue him is a hard drive rather stiff and quality've tried it and enough speed going pretty well. I had heard positive things and negative of this hard drive but for now earn positive. (No negative)</v>
      </c>
    </row>
    <row r="7571">
      <c r="A7571" s="1">
        <v>5.0</v>
      </c>
      <c r="B7571" s="1" t="s">
        <v>7520</v>
      </c>
      <c r="C7571" t="str">
        <f>IFERROR(__xludf.DUMMYFUNCTION("GOOGLETRANSLATE(B7571, ""es"", ""en"")"),"PERFECT comfortable, good finishes, perfect for carrying the sandwich and drink to work with space enough to carry cell size, snuff, charger and other")</f>
        <v>PERFECT comfortable, good finishes, perfect for carrying the sandwich and drink to work with space enough to carry cell size, snuff, charger and other</v>
      </c>
    </row>
    <row r="7572">
      <c r="A7572" s="1">
        <v>5.0</v>
      </c>
      <c r="B7572" s="1" t="s">
        <v>7521</v>
      </c>
      <c r="C7572" t="str">
        <f>IFERROR(__xludf.DUMMYFUNCTION("GOOGLETRANSLATE(B7572, ""es"", ""en"")"),"They are original !! I liked everything are perfect, exactly as pictured. I have come to the carriage road. Thank you!!!")</f>
        <v>They are original !! I liked everything are perfect, exactly as pictured. I have come to the carriage road. Thank you!!!</v>
      </c>
    </row>
    <row r="7573">
      <c r="A7573" s="1">
        <v>5.0</v>
      </c>
      <c r="B7573" s="1" t="s">
        <v>7522</v>
      </c>
      <c r="C7573" t="str">
        <f>IFERROR(__xludf.DUMMYFUNCTION("GOOGLETRANSLATE(B7573, ""es"", ""en"")"),"Very comfortable Perfectas")</f>
        <v>Very comfortable Perfectas</v>
      </c>
    </row>
    <row r="7574">
      <c r="A7574" s="1">
        <v>5.0</v>
      </c>
      <c r="B7574" s="1" t="s">
        <v>7523</v>
      </c>
      <c r="C7574" t="str">
        <f>IFERROR(__xludf.DUMMYFUNCTION("GOOGLETRANSLATE(B7574, ""es"", ""en"")"),"Super Glue-3 I needed to glue the sole of a shoe and perfect. I have decided on this format since I spent time whenever I reach for the super glue that dries. In the mono doses have it is more practical to me.")</f>
        <v>Super Glue-3 I needed to glue the sole of a shoe and perfect. I have decided on this format since I spent time whenever I reach for the super glue that dries. In the mono doses have it is more practical to me.</v>
      </c>
    </row>
    <row r="7575">
      <c r="A7575" s="1">
        <v>2.0</v>
      </c>
      <c r="B7575" s="1" t="s">
        <v>7524</v>
      </c>
      <c r="C7575" t="str">
        <f>IFERROR(__xludf.DUMMYFUNCTION("GOOGLETRANSLATE(B7575, ""es"", ""en"")"),"Wrong size too big for me to 1'65cm and 66k, I fie size of the shirts of the same brand and skate, my fault. Own brand quality, thin but warm and comfortable. I again asked the same but in size ""M""")</f>
        <v>Wrong size too big for me to 1'65cm and 66k, I fie size of the shirts of the same brand and skate, my fault. Own brand quality, thin but warm and comfortable. I again asked the same but in size "M"</v>
      </c>
    </row>
    <row r="7576">
      <c r="A7576" s="1">
        <v>3.0</v>
      </c>
      <c r="B7576" s="1" t="s">
        <v>7525</v>
      </c>
      <c r="C7576" t="str">
        <f>IFERROR(__xludf.DUMMYFUNCTION("GOOGLETRANSLATE(B7576, ""es"", ""en"")"),"CUTTING BASE very useful, in some fabrics you comes in handy for cuadrarlas ....")</f>
        <v>CUTTING BASE very useful, in some fabrics you comes in handy for cuadrarlas ....</v>
      </c>
    </row>
    <row r="7577">
      <c r="A7577" s="1">
        <v>1.0</v>
      </c>
      <c r="B7577" s="1" t="s">
        <v>7526</v>
      </c>
      <c r="C7577" t="str">
        <f>IFERROR(__xludf.DUMMYFUNCTION("GOOGLETRANSLATE(B7577, ""es"", ""en"")"),"Biberon out the bad milk is milk comes out ... no matter as xiwrres are lousy")</f>
        <v>Biberon out the bad milk is milk comes out ... no matter as xiwrres are lousy</v>
      </c>
    </row>
    <row r="7578">
      <c r="A7578" s="1">
        <v>1.0</v>
      </c>
      <c r="B7578" s="1" t="s">
        <v>7527</v>
      </c>
      <c r="C7578" t="str">
        <f>IFERROR(__xludf.DUMMYFUNCTION("GOOGLETRANSLATE(B7578, ""es"", ""en"")"),"Lousy stickers shoot for")</f>
        <v>Lousy stickers shoot for</v>
      </c>
    </row>
    <row r="7579">
      <c r="A7579" s="1">
        <v>4.0</v>
      </c>
      <c r="B7579" s="1" t="s">
        <v>7528</v>
      </c>
      <c r="C7579" t="str">
        <f>IFERROR(__xludf.DUMMYFUNCTION("GOOGLETRANSLATE(B7579, ""es"", ""en"")"),"Marie surprised at how nice it is. They have a perfect finish and look good. Shines a lot and have the ideal size to be elegant and surprised changing colors so cool Very good buy.")</f>
        <v>Marie surprised at how nice it is. They have a perfect finish and look good. Shines a lot and have the ideal size to be elegant and surprised changing colors so cool Very good buy.</v>
      </c>
    </row>
    <row r="7580">
      <c r="A7580" s="1">
        <v>4.0</v>
      </c>
      <c r="B7580" s="1" t="s">
        <v>7529</v>
      </c>
      <c r="C7580" t="str">
        <f>IFERROR(__xludf.DUMMYFUNCTION("GOOGLETRANSLATE(B7580, ""es"", ""en"")"),"Gives firmness and shape your buttocks is relatively comfortable shorts for women with technology muscular electro-stimulation (EMS) to act on the muscles of the buttocks and exercise them. The fabric is quality and looks nice. It has a small pocket on th"&amp;"e top right. The remote control can be connected to the power charger and once fully charged, it is connected to the short. It is an ergonomic control and easy to use. It has 4 toning programs and 99 intensity levels. A command being a rechargeable batter"&amp;"y neceista not, recharged by the included power charger. It is one size, ranging from 34 to 40. This corresponds to a waist 61-81cm hip: 81-97cm. It fits well with the marked sizes. The content of the package is: - Short Bottom Toning S7. - Power Charger "&amp;"with European takes, UK. - A pack of four adhesive electrodes. - User manuals and recommendations in several languages ​​including Spanish. The electrodes must be changed every so often, which uses this short are &amp; nbsp; &lt;a data-hook = ""product-link-link"&amp;"ed"" class = ""a-link-normal"" href = ""/ Slendertone-Bottom-Electrode-de-spare ?-for-Mini-Bottom-Toning-System-4-units / dp / B0015E7L16 / ref = ie = UTF8 cm_cr_getr_d_rvw_txt ""&gt; Slendertone Bottom - Electrodes replacement Mini Bottom Toning System, 4 &lt;"&amp;"/a&gt; units. When you sit wearing it and it's not uncomfortable. A good way to tone your glutes without much effort. The seller promises results in a month. It looks good. What is certain is that it encourages sure that this reassertion of glutes and molded"&amp;" occur.")</f>
        <v>Gives firmness and shape your buttocks is relatively comfortable shorts for women with technology muscular electro-stimulation (EMS) to act on the muscles of the buttocks and exercise them. The fabric is quality and looks nice. It has a small pocket on the top right. The remote control can be connected to the power charger and once fully charged, it is connected to the short. It is an ergonomic control and easy to use. It has 4 toning programs and 99 intensity levels. A command being a rechargeable battery neceista not, recharged by the included power charger. It is one size, ranging from 34 to 40. This corresponds to a waist 61-81cm hip: 81-97cm. It fits well with the marked sizes. The content of the package is: - Short Bottom Toning S7. - Power Charger with European takes, UK. - A pack of four adhesive electrodes. - User manuals and recommendations in several languages ​​including Spanish. The electrodes must be changed every so often, which uses this short are &amp; nbsp; &lt;a data-hook = "product-link-linked" class = "a-link-normal" href = "/ Slendertone-Bottom-Electrode-de-spare ?-for-Mini-Bottom-Toning-System-4-units / dp / B0015E7L16 / ref = ie = UTF8 cm_cr_getr_d_rvw_txt "&gt; Slendertone Bottom - Electrodes replacement Mini Bottom Toning System, 4 &lt;/a&gt; units. When you sit wearing it and it's not uncomfortable. A good way to tone your glutes without much effort. The seller promises results in a month. It looks good. What is certain is that it encourages sure that this reassertion of glutes and molded occur.</v>
      </c>
    </row>
    <row r="7581">
      <c r="A7581" s="1">
        <v>4.0</v>
      </c>
      <c r="B7581" s="1" t="s">
        <v>7530</v>
      </c>
      <c r="C7581" t="str">
        <f>IFERROR(__xludf.DUMMYFUNCTION("GOOGLETRANSLATE(B7581, ""es"", ""en"")"),"Very good in large files, failure in children. The first image is arcanite, and the second of an SSD, both on the same port. Write 64Gb small and large files took 16 '25' '; in reading them, about 20 minutes.")</f>
        <v>Very good in large files, failure in children. The first image is arcanite, and the second of an SSD, both on the same port. Write 64Gb small and large files took 16 '25' '; in reading them, about 20 minutes.</v>
      </c>
    </row>
    <row r="7582">
      <c r="A7582" s="1">
        <v>4.0</v>
      </c>
      <c r="B7582" s="1" t="s">
        <v>7531</v>
      </c>
      <c r="C7582" t="str">
        <f>IFERROR(__xludf.DUMMYFUNCTION("GOOGLETRANSLATE(B7582, ""es"", ""en"")"),"They are fine and lugeras article is the lighter I found, fulfill their function safety boot ridding the foot shock, but you are not as comfortable as it wants. Not to deny that he is comfortable in work boots. Figured. I usually use a 44 Adidas and these"&amp;" 43.")</f>
        <v>They are fine and lugeras article is the lighter I found, fulfill their function safety boot ridding the foot shock, but you are not as comfortable as it wants. Not to deny that he is comfortable in work boots. Figured. I usually use a 44 Adidas and these 43.</v>
      </c>
    </row>
    <row r="7583">
      <c r="A7583" s="1">
        <v>5.0</v>
      </c>
      <c r="B7583" s="1" t="s">
        <v>7532</v>
      </c>
      <c r="C7583" t="str">
        <f>IFERROR(__xludf.DUMMYFUNCTION("GOOGLETRANSLATE(B7583, ""es"", ""en"")"),"Relaxing Actually I'm surprised with the result of this massager, right out of the box gave me the impression I had bought a mat, I was not going to do anything. But the try I realized the quality of the product. Given as a small discharge, which can cont"&amp;"rol both the mode and intensity, is a feeling ""strange"" but really get the muscles of the feet and calf contract and relax with downloads.")</f>
        <v>Relaxing Actually I'm surprised with the result of this massager, right out of the box gave me the impression I had bought a mat, I was not going to do anything. But the try I realized the quality of the product. Given as a small discharge, which can control both the mode and intensity, is a feeling "strange" but really get the muscles of the feet and calf contract and relax with downloads.</v>
      </c>
    </row>
    <row r="7584">
      <c r="A7584" s="1">
        <v>5.0</v>
      </c>
      <c r="B7584" s="1" t="s">
        <v>7533</v>
      </c>
      <c r="C7584" t="str">
        <f>IFERROR(__xludf.DUMMYFUNCTION("GOOGLETRANSLATE(B7584, ""es"", ""en"")"),"It's fine what you see")</f>
        <v>It's fine what you see</v>
      </c>
    </row>
    <row r="7585">
      <c r="A7585" s="1">
        <v>5.0</v>
      </c>
      <c r="B7585" s="1" t="s">
        <v>7534</v>
      </c>
      <c r="C7585" t="str">
        <f>IFERROR(__xludf.DUMMYFUNCTION("GOOGLETRANSLATE(B7585, ""es"", ""en"")"),"Are wonderfully well not have taken me, super comfortable")</f>
        <v>Are wonderfully well not have taken me, super comfortable</v>
      </c>
    </row>
    <row r="7586">
      <c r="A7586" s="1">
        <v>5.0</v>
      </c>
      <c r="B7586" s="1" t="s">
        <v>7535</v>
      </c>
      <c r="C7586" t="str">
        <f>IFERROR(__xludf.DUMMYFUNCTION("GOOGLETRANSLATE(B7586, ""es"", ""en"")"),"Me happy is super good hardback and me. He loved")</f>
        <v>Me happy is super good hardback and me. He loved</v>
      </c>
    </row>
    <row r="7587">
      <c r="A7587" s="1">
        <v>5.0</v>
      </c>
      <c r="B7587" s="1" t="s">
        <v>7536</v>
      </c>
      <c r="C7587" t="str">
        <f>IFERROR(__xludf.DUMMYFUNCTION("GOOGLETRANSLATE(B7587, ""es"", ""en"")"),"Very good buy with these brushes get to any corner and everything is very clean. They are strong and resilient. Kitchen and bathroom are great")</f>
        <v>Very good buy with these brushes get to any corner and everything is very clean. They are strong and resilient. Kitchen and bathroom are great</v>
      </c>
    </row>
    <row r="7588">
      <c r="A7588" s="1">
        <v>5.0</v>
      </c>
      <c r="B7588" s="1" t="s">
        <v>7537</v>
      </c>
      <c r="C7588" t="str">
        <f>IFERROR(__xludf.DUMMYFUNCTION("GOOGLETRANSLATE(B7588, ""es"", ""en"")"),"All very well")</f>
        <v>All very well</v>
      </c>
    </row>
    <row r="7589">
      <c r="A7589" s="1">
        <v>5.0</v>
      </c>
      <c r="B7589" s="1" t="s">
        <v>7538</v>
      </c>
      <c r="C7589" t="str">
        <f>IFERROR(__xludf.DUMMYFUNCTION("GOOGLETRANSLATE(B7589, ""es"", ""en"")"),"Phenomenal very original and very happy")</f>
        <v>Phenomenal very original and very happy</v>
      </c>
    </row>
    <row r="7590">
      <c r="A7590" s="1">
        <v>5.0</v>
      </c>
      <c r="B7590" s="1" t="s">
        <v>7539</v>
      </c>
      <c r="C7590" t="str">
        <f>IFERROR(__xludf.DUMMYFUNCTION("GOOGLETRANSLATE(B7590, ""es"", ""en"")"),"Very good I always used my child really likes this. But after six months I have to change from plastic. For him the bottle is picked up")</f>
        <v>Very good I always used my child really likes this. But after six months I have to change from plastic. For him the bottle is picked up</v>
      </c>
    </row>
    <row r="7591">
      <c r="A7591" s="1">
        <v>5.0</v>
      </c>
      <c r="B7591" s="1" t="s">
        <v>7540</v>
      </c>
      <c r="C7591" t="str">
        <f>IFERROR(__xludf.DUMMYFUNCTION("GOOGLETRANSLATE(B7591, ""es"", ""en"")"),"Very good very good")</f>
        <v>Very good very good</v>
      </c>
    </row>
    <row r="7592">
      <c r="A7592" s="1">
        <v>5.0</v>
      </c>
      <c r="B7592" s="1" t="s">
        <v>7541</v>
      </c>
      <c r="C7592" t="str">
        <f>IFERROR(__xludf.DUMMYFUNCTION("GOOGLETRANSLATE(B7592, ""es"", ""en"")"),"My suits me perfect. In my work I give many formations and meetings with presentations, and the truth is that this is much more comfortable and gives a professional touch. Very happy with my purchase. I do not know much, I guess there are a thousand diffe"&amp;"rent kinds, and even more options, but I plug it in and be able to point to the screen have to spare me.")</f>
        <v>My suits me perfect. In my work I give many formations and meetings with presentations, and the truth is that this is much more comfortable and gives a professional touch. Very happy with my purchase. I do not know much, I guess there are a thousand different kinds, and even more options, but I plug it in and be able to point to the screen have to spare me.</v>
      </c>
    </row>
    <row r="7593">
      <c r="A7593" s="1">
        <v>5.0</v>
      </c>
      <c r="B7593" s="1" t="s">
        <v>7542</v>
      </c>
      <c r="C7593" t="str">
        <f>IFERROR(__xludf.DUMMYFUNCTION("GOOGLETRANSLATE(B7593, ""es"", ""en"")"),"It is very cute as seen in the photo. Precious. It was a gift, and she loved it.")</f>
        <v>It is very cute as seen in the photo. Precious. It was a gift, and she loved it.</v>
      </c>
    </row>
    <row r="7594">
      <c r="A7594" s="1">
        <v>5.0</v>
      </c>
      <c r="B7594" s="1" t="s">
        <v>7543</v>
      </c>
      <c r="C7594" t="str">
        <f>IFERROR(__xludf.DUMMYFUNCTION("GOOGLETRANSLATE(B7594, ""es"", ""en"")"),"Are glass I bought the kit and 3 bibi pacifiers, and if they are glass and that's what I like")</f>
        <v>Are glass I bought the kit and 3 bibi pacifiers, and if they are glass and that's what I like</v>
      </c>
    </row>
    <row r="7595">
      <c r="A7595" s="1">
        <v>5.0</v>
      </c>
      <c r="B7595" s="1" t="s">
        <v>7544</v>
      </c>
      <c r="C7595" t="str">
        <f>IFERROR(__xludf.DUMMYFUNCTION("GOOGLETRANSLATE(B7595, ""es"", ""en"")"),"Recommended Good quality, good size. Useful and functional.")</f>
        <v>Recommended Good quality, good size. Useful and functional.</v>
      </c>
    </row>
    <row r="7596">
      <c r="A7596" s="1">
        <v>5.0</v>
      </c>
      <c r="B7596" s="1" t="s">
        <v>7545</v>
      </c>
      <c r="C7596" t="str">
        <f>IFERROR(__xludf.DUMMYFUNCTION("GOOGLETRANSLATE(B7596, ""es"", ""en"")"),"As described good buy")</f>
        <v>As described good buy</v>
      </c>
    </row>
    <row r="7597">
      <c r="A7597" s="1">
        <v>5.0</v>
      </c>
      <c r="B7597" s="1" t="s">
        <v>7546</v>
      </c>
      <c r="C7597" t="str">
        <f>IFERROR(__xludf.DUMMYFUNCTION("GOOGLETRANSLATE(B7597, ""es"", ""en"")"),"acceptable quality at a good price. Good quality at a good price. Not a high-end cable, but does its function. Flexible. Easy to peel.")</f>
        <v>acceptable quality at a good price. Good quality at a good price. Not a high-end cable, but does its function. Flexible. Easy to peel.</v>
      </c>
    </row>
    <row r="7598">
      <c r="A7598" s="1">
        <v>5.0</v>
      </c>
      <c r="B7598" s="1" t="s">
        <v>7547</v>
      </c>
      <c r="C7598" t="str">
        <f>IFERROR(__xludf.DUMMYFUNCTION("GOOGLETRANSLATE(B7598, ""es"", ""en"")"),"Easy to connect and use. Estupemdo, it is super easy to connect with your computer. I've used it to pass PowerPoint slides and PDF and Word. More comfortable with the first but with others also going well. Laser pointer has volume up and down. Very practi"&amp;"cal. It includes battery.")</f>
        <v>Easy to connect and use. Estupemdo, it is super easy to connect with your computer. I've used it to pass PowerPoint slides and PDF and Word. More comfortable with the first but with others also going well. Laser pointer has volume up and down. Very practical. It includes battery.</v>
      </c>
    </row>
    <row r="7599">
      <c r="A7599" s="1">
        <v>5.0</v>
      </c>
      <c r="B7599" s="1" t="s">
        <v>7548</v>
      </c>
      <c r="C7599" t="str">
        <f>IFERROR(__xludf.DUMMYFUNCTION("GOOGLETRANSLATE(B7599, ""es"", ""en"")"),"Beautiful and arrived quickly I've loved, they are very comfortable and you can move in comfort, are cute and have like a rubber band in the lower leg that gives support. The only downside is that the fabric does not know if it's really tough because in t"&amp;"he crotch area is somewhat worn by rubbing and I have not used more than three or four times")</f>
        <v>Beautiful and arrived quickly I've loved, they are very comfortable and you can move in comfort, are cute and have like a rubber band in the lower leg that gives support. The only downside is that the fabric does not know if it's really tough because in the crotch area is somewhat worn by rubbing and I have not used more than three or four times</v>
      </c>
    </row>
    <row r="7600">
      <c r="A7600" s="1">
        <v>5.0</v>
      </c>
      <c r="B7600" s="1" t="s">
        <v>7549</v>
      </c>
      <c r="C7600" t="str">
        <f>IFERROR(__xludf.DUMMYFUNCTION("GOOGLETRANSLATE(B7600, ""es"", ""en"")"),"muito bom 5 estrelas works")</f>
        <v>muito bom 5 estrelas works</v>
      </c>
    </row>
    <row r="7601">
      <c r="A7601" s="1">
        <v>5.0</v>
      </c>
      <c r="B7601" s="1" t="s">
        <v>7550</v>
      </c>
      <c r="C7601" t="str">
        <f>IFERROR(__xludf.DUMMYFUNCTION("GOOGLETRANSLATE(B7601, ""es"", ""en"")"),"The perfect bag goes well, has a good mouth filling and a good seal, hold enough heat and so far has not presented any problems.")</f>
        <v>The perfect bag goes well, has a good mouth filling and a good seal, hold enough heat and so far has not presented any problems.</v>
      </c>
    </row>
    <row r="7602">
      <c r="A7602" s="1">
        <v>2.0</v>
      </c>
      <c r="B7602" s="1" t="s">
        <v>7551</v>
      </c>
      <c r="C7602" t="str">
        <f>IFERROR(__xludf.DUMMYFUNCTION("GOOGLETRANSLATE(B7602, ""es"", ""en"")"),"The foot is frozen, it is literal freezes your foot. I happen not buy it for now, winter.")</f>
        <v>The foot is frozen, it is literal freezes your foot. I happen not buy it for now, winter.</v>
      </c>
    </row>
    <row r="7603">
      <c r="A7603" s="1">
        <v>3.0</v>
      </c>
      <c r="B7603" s="1" t="s">
        <v>7552</v>
      </c>
      <c r="C7603" t="str">
        <f>IFERROR(__xludf.DUMMYFUNCTION("GOOGLETRANSLATE(B7603, ""es"", ""en"")"),"As I expected practical and beautiful watch for everyday use. I've only been a month with him and have no complaints with his performance.")</f>
        <v>As I expected practical and beautiful watch for everyday use. I've only been a month with him and have no complaints with his performance.</v>
      </c>
    </row>
    <row r="7604">
      <c r="A7604" s="1">
        <v>3.0</v>
      </c>
      <c r="B7604" s="1" t="s">
        <v>7553</v>
      </c>
      <c r="C7604" t="str">
        <f>IFERROR(__xludf.DUMMYFUNCTION("GOOGLETRANSLATE(B7604, ""es"", ""en"")"),"price and beauty certainly a good gift, really liked")</f>
        <v>price and beauty certainly a good gift, really liked</v>
      </c>
    </row>
    <row r="7605">
      <c r="A7605" s="1">
        <v>1.0</v>
      </c>
      <c r="B7605" s="1" t="s">
        <v>7554</v>
      </c>
      <c r="C7605" t="str">
        <f>IFERROR(__xludf.DUMMYFUNCTION("GOOGLETRANSLATE(B7605, ""es"", ""en"")"),"You can not recover. At the end of a year it has stopped working.")</f>
        <v>You can not recover. At the end of a year it has stopped working.</v>
      </c>
    </row>
    <row r="7606">
      <c r="A7606" s="1">
        <v>1.0</v>
      </c>
      <c r="B7606" s="1" t="s">
        <v>7555</v>
      </c>
      <c r="C7606" t="str">
        <f>IFERROR(__xludf.DUMMYFUNCTION("GOOGLETRANSLATE(B7606, ""es"", ""en"")"),"A thymic a thymus. What of colic baby is all business. It does not work. Neither this nor anything. The passage of time makes ripen the immature system of the child. And nothing else helps.")</f>
        <v>A thymic a thymus. What of colic baby is all business. It does not work. Neither this nor anything. The passage of time makes ripen the immature system of the child. And nothing else helps.</v>
      </c>
    </row>
    <row r="7607">
      <c r="A7607" s="1">
        <v>4.0</v>
      </c>
      <c r="B7607" s="1" t="s">
        <v>7556</v>
      </c>
      <c r="C7607" t="str">
        <f>IFERROR(__xludf.DUMMYFUNCTION("GOOGLETRANSLATE(B7607, ""es"", ""en"")"),"Quick. Right size came very quickly. Regarding the size is correct; using M and M pedi. Is a fabric that marks a bit, but is very soft and springy,")</f>
        <v>Quick. Right size came very quickly. Regarding the size is correct; using M and M pedi. Is a fabric that marks a bit, but is very soft and springy,</v>
      </c>
    </row>
    <row r="7608">
      <c r="A7608" s="1">
        <v>4.0</v>
      </c>
      <c r="B7608" s="1" t="s">
        <v>7557</v>
      </c>
      <c r="C7608" t="str">
        <f>IFERROR(__xludf.DUMMYFUNCTION("GOOGLETRANSLATE(B7608, ""es"", ""en"")"),"cool and cheap is nice and cool and very cool cotton, the only q fade a bit in the washer being in black and white, took a month to come and height is recommended lame q one more x if acasoo I caught the Xl and I have the 42")</f>
        <v>cool and cheap is nice and cool and very cool cotton, the only q fade a bit in the washer being in black and white, took a month to come and height is recommended lame q one more x if acasoo I caught the Xl and I have the 42</v>
      </c>
    </row>
    <row r="7609">
      <c r="A7609" s="1">
        <v>4.0</v>
      </c>
      <c r="B7609" s="1" t="s">
        <v>7558</v>
      </c>
      <c r="C7609" t="str">
        <f>IFERROR(__xludf.DUMMYFUNCTION("GOOGLETRANSLATE(B7609, ""es"", ""en"")"),"Very happy, the 3490 is a Encantada pass with the purchase, I took 3 days in 3490 and do not know how I ever lived without it so far. I have 2 cats that shed a lot of hair and 3 carpets with long hair and the brush is all silicone tangle all hair, takes a"&amp;" pass. Also very happy with the choice of scrub, but I recommend first making a plan to suck, and when finished, done after scouring the plan. You can choose to do both at the same time, reducing cleaning time, but the result is much better if the beams s"&amp;"eparately. The only point was difficult to connect the robot with the app / wifi. If this came better explained and / or would have been simpler I would have put 5 stars. After looking at several forums and 2 hours later I got it. Hope you like this guide"&amp;": 1) The robot must be connected to the charging cradle to connect to your WiFi 2) You have to change your router settings / wifi to be compatible with the robot. In my case, it is Vodafone, the steps are as follows: 2.1) Open a browser and enter the IP a"&amp;"ddress of the router (if you have not changed will be &amp; nbsp; http: //192.168.0.1). 2.2) Enter the username and password to access the router and press the button &amp; nbsp; ""OK"". If you have not changed: - The &amp; nbsp; user &amp; nbsp; is &amp; nbsp; vodafone. - T"&amp;"he &amp; nbsp; password indicated &amp; nbsp; label on the back of the router. 2.3) Once you log into the configuration page, go to the tab WiFi: - in section 2.4 GHz, if you have the original password of the router, change it to a shorter (if long can not be lin"&amp;"ked with the robot ). - in section 5G, disable this option (enabled only leaves 2.4ghz, because otherwise the robot mess up and not linked) 3) On your phone / tablet: - Disconnects the current wifi (press forget) and select the 2.4ghz wifi (getting the ne"&amp;"w password) - Enables location - Activate bluetooth 4) Now if you follow the steps come in the instructions: - Download / Install the app - Join the app with email + password - the app use the location when I asked - Click Add robot - Press 3 seconds on t"&amp;"he two buttons (on and home) at the time until flashes - Select the WiFi 2.4 GHz - the bonding process is done automatically - If you have previously done steps 1 through 3, the bonding process should not give any problems - If you do not see the Wifi cal"&amp;"led CongaLaser_xxxxx, review the steps 1 to 3 if you skipped any")</f>
        <v>Very happy, the 3490 is a Encantada pass with the purchase, I took 3 days in 3490 and do not know how I ever lived without it so far. I have 2 cats that shed a lot of hair and 3 carpets with long hair and the brush is all silicone tangle all hair, takes a pass. Also very happy with the choice of scrub, but I recommend first making a plan to suck, and when finished, done after scouring the plan. You can choose to do both at the same time, reducing cleaning time, but the result is much better if the beams separately. The only point was difficult to connect the robot with the app / wifi. If this came better explained and / or would have been simpler I would have put 5 stars. After looking at several forums and 2 hours later I got it. Hope you like this guide: 1) The robot must be connected to the charging cradle to connect to your WiFi 2) You have to change your router settings / wifi to be compatible with the robot. In my case, it is Vodafone, the steps are as follows: 2.1) Open a browser and enter the IP address of the router (if you have not changed will be &amp; nbsp; http: //192.168.0.1). 2.2) Enter the username and password to access the router and press the button &amp; nbsp; "OK". If you have not changed: - The &amp; nbsp; user &amp; nbsp; is &amp; nbsp; vodafone. - The &amp; nbsp; password indicated &amp; nbsp; label on the back of the router. 2.3) Once you log into the configuration page, go to the tab WiFi: - in section 2.4 GHz, if you have the original password of the router, change it to a shorter (if long can not be linked with the robot ). - in section 5G, disable this option (enabled only leaves 2.4ghz, because otherwise the robot mess up and not linked) 3) On your phone / tablet: - Disconnects the current wifi (press forget) and select the 2.4ghz wifi (getting the new password) - Enables location - Activate bluetooth 4) Now if you follow the steps come in the instructions: - Download / Install the app - Join the app with email + password - the app use the location when I asked - Click Add robot - Press 3 seconds on the two buttons (on and home) at the time until flashes - Select the WiFi 2.4 GHz - the bonding process is done automatically - If you have previously done steps 1 through 3, the bonding process should not give any problems - If you do not see the Wifi called CongaLaser_xxxxx, review the steps 1 to 3 if you skipped any</v>
      </c>
    </row>
    <row r="7610">
      <c r="A7610" s="1">
        <v>4.0</v>
      </c>
      <c r="B7610" s="1" t="s">
        <v>7559</v>
      </c>
      <c r="C7610" t="str">
        <f>IFERROR(__xludf.DUMMYFUNCTION("GOOGLETRANSLATE(B7610, ""es"", ""en"")"),"good product at unbeatable price Product is great but the waiting time to receive it has been very long.")</f>
        <v>good product at unbeatable price Product is great but the waiting time to receive it has been very long.</v>
      </c>
    </row>
    <row r="7611">
      <c r="A7611" s="1">
        <v>4.0</v>
      </c>
      <c r="B7611" s="1" t="s">
        <v>7560</v>
      </c>
      <c r="C7611" t="str">
        <f>IFERROR(__xludf.DUMMYFUNCTION("GOOGLETRANSLATE(B7611, ""es"", ""en"")"),"Veronica sound great, I could not say for sure is that they are original because they come without box factory. Anyway, for the price you can not ask for more. Quality price, would buy.")</f>
        <v>Veronica sound great, I could not say for sure is that they are original because they come without box factory. Anyway, for the price you can not ask for more. Quality price, would buy.</v>
      </c>
    </row>
    <row r="7612">
      <c r="A7612" s="1">
        <v>5.0</v>
      </c>
      <c r="B7612" s="1" t="s">
        <v>7561</v>
      </c>
      <c r="C7612" t="str">
        <f>IFERROR(__xludf.DUMMYFUNCTION("GOOGLETRANSLATE(B7612, ""es"", ""en"")"),"casio The same accuracy, manageability and robustness that his cousin fw91 but steel strap gives more formal and elegant touch, a total success")</f>
        <v>casio The same accuracy, manageability and robustness that his cousin fw91 but steel strap gives more formal and elegant touch, a total success</v>
      </c>
    </row>
    <row r="7613">
      <c r="A7613" s="1">
        <v>5.0</v>
      </c>
      <c r="B7613" s="1" t="s">
        <v>7562</v>
      </c>
      <c r="C7613" t="str">
        <f>IFERROR(__xludf.DUMMYFUNCTION("GOOGLETRANSLATE(B7613, ""es"", ""en"")"),"Everything OK ... 517 MB / sg / 499 MB / sec are very new on the market. New storage technologies. Early to tell. But until today, it is going very well. The utility offered by the website ""OCZ SD Utility"" is perfect to monitor, and update firmware. Tim"&amp;"e will tell whether it is reliable or not.")</f>
        <v>Everything OK ... 517 MB / sg / 499 MB / sec are very new on the market. New storage technologies. Early to tell. But until today, it is going very well. The utility offered by the website "OCZ SD Utility" is perfect to monitor, and update firmware. Time will tell whether it is reliable or not.</v>
      </c>
    </row>
    <row r="7614">
      <c r="A7614" s="1">
        <v>5.0</v>
      </c>
      <c r="B7614" s="1" t="s">
        <v>7563</v>
      </c>
      <c r="C7614" t="str">
        <f>IFERROR(__xludf.DUMMYFUNCTION("GOOGLETRANSLATE(B7614, ""es"", ""en"")"),"Luxury My daughter loves it and is very good Material")</f>
        <v>Luxury My daughter loves it and is very good Material</v>
      </c>
    </row>
    <row r="7615">
      <c r="A7615" s="1">
        <v>5.0</v>
      </c>
      <c r="B7615" s="1" t="s">
        <v>7564</v>
      </c>
      <c r="C7615" t="str">
        <f>IFERROR(__xludf.DUMMYFUNCTION("GOOGLETRANSLATE(B7615, ""es"", ""en"")"),"Magnificent clock unbeatable price Good design, elegant and well acabado.Es simple, dual time, stopwatch, alarm and counter led seconds. slightly large but not oversized, it looks good on the wrist. Many people have told me it is a very nice watch.")</f>
        <v>Magnificent clock unbeatable price Good design, elegant and well acabado.Es simple, dual time, stopwatch, alarm and counter led seconds. slightly large but not oversized, it looks good on the wrist. Many people have told me it is a very nice watch.</v>
      </c>
    </row>
    <row r="7616">
      <c r="A7616" s="1">
        <v>5.0</v>
      </c>
      <c r="B7616" s="1" t="s">
        <v>7565</v>
      </c>
      <c r="C7616" t="str">
        <f>IFERROR(__xludf.DUMMYFUNCTION("GOOGLETRANSLATE(B7616, ""es"", ""en"")"),"It will not be the last The watch is amazing, is superbien and do not have to spend a crazy pasta. By the way, I bought the blue, green and yellow and are each more beautiful")</f>
        <v>It will not be the last The watch is amazing, is superbien and do not have to spend a crazy pasta. By the way, I bought the blue, green and yellow and are each more beautiful</v>
      </c>
    </row>
    <row r="7617">
      <c r="A7617" s="1">
        <v>5.0</v>
      </c>
      <c r="B7617" s="1" t="s">
        <v>7566</v>
      </c>
      <c r="C7617" t="str">
        <f>IFERROR(__xludf.DUMMYFUNCTION("GOOGLETRANSLATE(B7617, ""es"", ""en"")"),"I love bought to give them to my partner, and thrilled and say this with them, they are very good and sound are heard very clear and strong perfect.")</f>
        <v>I love bought to give them to my partner, and thrilled and say this with them, they are very good and sound are heard very clear and strong perfect.</v>
      </c>
    </row>
    <row r="7618">
      <c r="A7618" s="1">
        <v>5.0</v>
      </c>
      <c r="B7618" s="1" t="s">
        <v>7567</v>
      </c>
      <c r="C7618" t="str">
        <f>IFERROR(__xludf.DUMMYFUNCTION("GOOGLETRANSLATE(B7618, ""es"", ""en"")"),"Durability Very hard, bad luck fell to salt water a while and then worked perfectly")</f>
        <v>Durability Very hard, bad luck fell to salt water a while and then worked perfectly</v>
      </c>
    </row>
    <row r="7619">
      <c r="A7619" s="1">
        <v>5.0</v>
      </c>
      <c r="B7619" s="1" t="s">
        <v>7568</v>
      </c>
      <c r="C7619" t="str">
        <f>IFERROR(__xludf.DUMMYFUNCTION("GOOGLETRANSLATE(B7619, ""es"", ""en"")"),"Good quality and nice time I've been with this backpack and the truth that has very good materials and is quite pretty, bears multiple pockets to keep everything in an organized way.")</f>
        <v>Good quality and nice time I've been with this backpack and the truth that has very good materials and is quite pretty, bears multiple pockets to keep everything in an organized way.</v>
      </c>
    </row>
    <row r="7620">
      <c r="A7620" s="1">
        <v>5.0</v>
      </c>
      <c r="B7620" s="1" t="s">
        <v>7569</v>
      </c>
      <c r="C7620" t="str">
        <f>IFERROR(__xludf.DUMMYFUNCTION("GOOGLETRANSLATE(B7620, ""es"", ""en"")"),"Good bag and good quality Quality is perfect and the bag is very big so you liked for who had purchased")</f>
        <v>Good bag and good quality Quality is perfect and the bag is very big so you liked for who had purchased</v>
      </c>
    </row>
    <row r="7621">
      <c r="A7621" s="1">
        <v>5.0</v>
      </c>
      <c r="B7621" s="1" t="s">
        <v>7570</v>
      </c>
      <c r="C7621" t="str">
        <f>IFERROR(__xludf.DUMMYFUNCTION("GOOGLETRANSLATE(B7621, ""es"", ""en"")"),"Very good product!!!!! I liked it, has 3 power levels and we only have to put in the second because the first one not long ago and the third really do not need, arrived earlier than expected and I am very happy. 100% advisable")</f>
        <v>Very good product!!!!! I liked it, has 3 power levels and we only have to put in the second because the first one not long ago and the third really do not need, arrived earlier than expected and I am very happy. 100% advisable</v>
      </c>
    </row>
    <row r="7622">
      <c r="A7622" s="1">
        <v>5.0</v>
      </c>
      <c r="B7622" s="1" t="s">
        <v>7571</v>
      </c>
      <c r="C7622" t="str">
        <f>IFERROR(__xludf.DUMMYFUNCTION("GOOGLETRANSLATE(B7622, ""es"", ""en"")"),"Very good product very good product")</f>
        <v>Very good product very good product</v>
      </c>
    </row>
    <row r="7623">
      <c r="A7623" s="1">
        <v>5.0</v>
      </c>
      <c r="B7623" s="1" t="s">
        <v>7572</v>
      </c>
      <c r="C7623" t="str">
        <f>IFERROR(__xludf.DUMMYFUNCTION("GOOGLETRANSLATE(B7623, ""es"", ""en"")"),"The best has a very good bonding strength. I used it to strike some blinds rolled them (aluminum and textiles) and performed flawlessly.")</f>
        <v>The best has a very good bonding strength. I used it to strike some blinds rolled them (aluminum and textiles) and performed flawlessly.</v>
      </c>
    </row>
    <row r="7624">
      <c r="A7624" s="1">
        <v>5.0</v>
      </c>
      <c r="B7624" s="1" t="s">
        <v>7573</v>
      </c>
      <c r="C7624" t="str">
        <f>IFERROR(__xludf.DUMMYFUNCTION("GOOGLETRANSLATE(B7624, ""es"", ""en"")"),"Effectiveness enjoy 2 days I have my Deebot OZMO 93rd, my robot Ecovacs and I love it. Super satisfied with the cleanliness and management through App lets me organize the cleaning of the house without suffering. I do not have to think about whether there"&amp;" will be gone through every corner, because the application tells me yes, and I see when I get home. In App I managed to talk me into Castilian. It's great. Otherwise happy with my robot. I do not enough words to describe how happy I am with Deebot. I eve"&amp;"n asked that I not stand beside that is making the map! I have put to scrub all the amount of water for cleaning, to the maximum and super efficient. Aspira first and scrub behind in minimal time and so saves water! Fascinates me! The vacuum cleaner is am"&amp;"azing. I did not think the floors will accumulate so much fluff and tierrilla. Deebot warns if not enough battery capacity, if any component misplaced or missing, as the container where dust accumulates. All components are easy to clean and replace. App m"&amp;"anagement is very easy. I have selected certain areas to pass and accurate. I can even ask to clean when I'm away from home, or give to the start when I walk into the market. Just needs to learn to climb the stairs ...")</f>
        <v>Effectiveness enjoy 2 days I have my Deebot OZMO 93rd, my robot Ecovacs and I love it. Super satisfied with the cleanliness and management through App lets me organize the cleaning of the house without suffering. I do not have to think about whether there will be gone through every corner, because the application tells me yes, and I see when I get home. In App I managed to talk me into Castilian. It's great. Otherwise happy with my robot. I do not enough words to describe how happy I am with Deebot. I even asked that I not stand beside that is making the map! I have put to scrub all the amount of water for cleaning, to the maximum and super efficient. Aspira first and scrub behind in minimal time and so saves water! Fascinates me! The vacuum cleaner is amazing. I did not think the floors will accumulate so much fluff and tierrilla. Deebot warns if not enough battery capacity, if any component misplaced or missing, as the container where dust accumulates. All components are easy to clean and replace. App management is very easy. I have selected certain areas to pass and accurate. I can even ask to clean when I'm away from home, or give to the start when I walk into the market. Just needs to learn to climb the stairs ...</v>
      </c>
    </row>
    <row r="7625">
      <c r="A7625" s="1">
        <v>5.0</v>
      </c>
      <c r="B7625" s="1" t="s">
        <v>7574</v>
      </c>
      <c r="C7625" t="str">
        <f>IFERROR(__xludf.DUMMYFUNCTION("GOOGLETRANSLATE(B7625, ""es"", ""en"")"),"Very comfortable Adidas Classic model, I stay 38 which is the use in shoes but 37.5 would be best anyway me stay and am delighted with them, Ande lot this summer and not one day my feet hurt . very very comfortable")</f>
        <v>Very comfortable Adidas Classic model, I stay 38 which is the use in shoes but 37.5 would be best anyway me stay and am delighted with them, Ande lot this summer and not one day my feet hurt . very very comfortable</v>
      </c>
    </row>
    <row r="7626">
      <c r="A7626" s="1">
        <v>5.0</v>
      </c>
      <c r="B7626" s="1" t="s">
        <v>7575</v>
      </c>
      <c r="C7626" t="str">
        <f>IFERROR(__xludf.DUMMYFUNCTION("GOOGLETRANSLATE(B7626, ""es"", ""en"")"),"It fits perfect baby bottle for the baby perfects being very comfortable with his touch")</f>
        <v>It fits perfect baby bottle for the baby perfects being very comfortable with his touch</v>
      </c>
    </row>
    <row r="7627">
      <c r="A7627" s="1">
        <v>5.0</v>
      </c>
      <c r="B7627" s="1" t="s">
        <v>7576</v>
      </c>
      <c r="C7627" t="str">
        <f>IFERROR(__xludf.DUMMYFUNCTION("GOOGLETRANSLATE(B7627, ""es"", ""en"")"),"The fine wire has come in perfect condition, and at the set time. It is shown good quality of the material, both the thread and the clear plastic that covers it. I used it for speakers of a home cinema, and I appreciated the improvement over the previous "&amp;"cable was installed.")</f>
        <v>The fine wire has come in perfect condition, and at the set time. It is shown good quality of the material, both the thread and the clear plastic that covers it. I used it for speakers of a home cinema, and I appreciated the improvement over the previous cable was installed.</v>
      </c>
    </row>
    <row r="7628">
      <c r="A7628" s="1">
        <v>5.0</v>
      </c>
      <c r="B7628" s="1" t="s">
        <v>7577</v>
      </c>
      <c r="C7628" t="str">
        <f>IFERROR(__xludf.DUMMYFUNCTION("GOOGLETRANSLATE(B7628, ""es"", ""en"")"),"Spectacular thrilled with headphones headphones !! I can not be happier. Functions have nothing to envy to the original Apple's presentation is at the height of the product. I recommend to 100%")</f>
        <v>Spectacular thrilled with headphones headphones !! I can not be happier. Functions have nothing to envy to the original Apple's presentation is at the height of the product. I recommend to 100%</v>
      </c>
    </row>
    <row r="7629">
      <c r="A7629" s="1">
        <v>5.0</v>
      </c>
      <c r="B7629" s="1" t="s">
        <v>7578</v>
      </c>
      <c r="C7629" t="str">
        <f>IFERROR(__xludf.DUMMYFUNCTION("GOOGLETRANSLATE(B7629, ""es"", ""en"")"),"So comfortable and very practical great while elegant, yes carving are a bit small")</f>
        <v>So comfortable and very practical great while elegant, yes carving are a bit small</v>
      </c>
    </row>
    <row r="7630">
      <c r="A7630" s="1">
        <v>5.0</v>
      </c>
      <c r="B7630" s="1" t="s">
        <v>7579</v>
      </c>
      <c r="C7630" t="str">
        <f>IFERROR(__xludf.DUMMYFUNCTION("GOOGLETRANSLATE(B7630, ""es"", ""en"")"),"PERFECTOS Both the quality and the perfect model, my wife has not been a fair number of contenta..el course purchase is advised indicado.por")</f>
        <v>PERFECTOS Both the quality and the perfect model, my wife has not been a fair number of contenta..el course purchase is advised indicado.por</v>
      </c>
    </row>
    <row r="7631">
      <c r="A7631" s="1">
        <v>2.0</v>
      </c>
      <c r="B7631" s="1" t="s">
        <v>7580</v>
      </c>
      <c r="C7631" t="str">
        <f>IFERROR(__xludf.DUMMYFUNCTION("GOOGLETRANSLATE(B7631, ""es"", ""en"")"),"Poor value for money Meshing is not something cutrecillo. He got a lot of noise, playing a symphony was a connector. Because I live in a somewhat isolated area, safe city that catches the radio. For this price there are better options much")</f>
        <v>Poor value for money Meshing is not something cutrecillo. He got a lot of noise, playing a symphony was a connector. Because I live in a somewhat isolated area, safe city that catches the radio. For this price there are better options much</v>
      </c>
    </row>
    <row r="7632">
      <c r="A7632" s="1">
        <v>3.0</v>
      </c>
      <c r="B7632" s="1" t="s">
        <v>7581</v>
      </c>
      <c r="C7632" t="str">
        <f>IFERROR(__xludf.DUMMYFUNCTION("GOOGLETRANSLATE(B7632, ""es"", ""en"")"),"Illuminated magnifier are good, pretty good, I buy them for making flies for fishing, with my glasses I fell short, targeted and also needed more light to make good knots increasing. I recommend, I like, comfortable, after a long use does not leave marks,"&amp;" but personally I hurt some eyes, is a box with several lenses increases")</f>
        <v>Illuminated magnifier are good, pretty good, I buy them for making flies for fishing, with my glasses I fell short, targeted and also needed more light to make good knots increasing. I recommend, I like, comfortable, after a long use does not leave marks, but personally I hurt some eyes, is a box with several lenses increases</v>
      </c>
    </row>
    <row r="7633">
      <c r="A7633" s="1">
        <v>3.0</v>
      </c>
      <c r="B7633" s="1" t="s">
        <v>7582</v>
      </c>
      <c r="C7633" t="str">
        <f>IFERROR(__xludf.DUMMYFUNCTION("GOOGLETRANSLATE(B7633, ""es"", ""en"")"),"Too long for him q long sought, do not look good length options, I returned")</f>
        <v>Too long for him q long sought, do not look good length options, I returned</v>
      </c>
    </row>
    <row r="7634">
      <c r="A7634" s="1">
        <v>1.0</v>
      </c>
      <c r="B7634" s="1" t="s">
        <v>7583</v>
      </c>
      <c r="C7634" t="str">
        <f>IFERROR(__xludf.DUMMYFUNCTION("GOOGLETRANSLATE(B7634, ""es"", ""en"")"),"For orthopedics? God ugliness, seem orthopedic, I have not seen a more ugly shoes that are, hallucinate seeing that there are people who like, just being Nike, said it horrible to look like you have foot problems, what else ugly sea")</f>
        <v>For orthopedics? God ugliness, seem orthopedic, I have not seen a more ugly shoes that are, hallucinate seeing that there are people who like, just being Nike, said it horrible to look like you have foot problems, what else ugly sea</v>
      </c>
    </row>
    <row r="7635">
      <c r="A7635" s="1">
        <v>1.0</v>
      </c>
      <c r="B7635" s="1" t="s">
        <v>7584</v>
      </c>
      <c r="C7635" t="str">
        <f>IFERROR(__xludf.DUMMYFUNCTION("GOOGLETRANSLATE(B7635, ""es"", ""en"")"),"Terrible sound The price obviously goes hand in hand with quality. The sound is lousy very serious")</f>
        <v>Terrible sound The price obviously goes hand in hand with quality. The sound is lousy very serious</v>
      </c>
    </row>
    <row r="7636">
      <c r="A7636" s="1">
        <v>1.0</v>
      </c>
      <c r="B7636" s="1" t="s">
        <v>7585</v>
      </c>
      <c r="C7636" t="str">
        <f>IFERROR(__xludf.DUMMYFUNCTION("GOOGLETRANSLATE(B7636, ""es"", ""en"")"),"Faulty or false I liked the price, but now I understand why it was cheap. I have a phone ZTE Nubia max Z11, which supports cards up to 256GB mSD, and I had an installed Kingston 64GB without any problem, but I wanted to increase capacity, and I chose this"&amp;" SanDisk 128GB. What is my surprise when I see the pictures obtained with the camera of this phone, and can not be seen, nor can access them via USB to a PC, even removing the card and reading adapters. When was the card on the phone, I saw the photo file"&amp;"s themselves were recorded on the card, although they could not see the images they contained, but then, taking the card and go see the same files on the PC, there were no files, no pictures, nothing. Then, seeing that he had problems with the card, and s"&amp;"eeing that he had lost the photos, I installed an application called SD Card Test Pro (surcharge) and examining the card tells me that may be false, and that this happens a lot with SanDisk, being widely imitated illegally.")</f>
        <v>Faulty or false I liked the price, but now I understand why it was cheap. I have a phone ZTE Nubia max Z11, which supports cards up to 256GB mSD, and I had an installed Kingston 64GB without any problem, but I wanted to increase capacity, and I chose this SanDisk 128GB. What is my surprise when I see the pictures obtained with the camera of this phone, and can not be seen, nor can access them via USB to a PC, even removing the card and reading adapters. When was the card on the phone, I saw the photo files themselves were recorded on the card, although they could not see the images they contained, but then, taking the card and go see the same files on the PC, there were no files, no pictures, nothing. Then, seeing that he had problems with the card, and seeing that he had lost the photos, I installed an application called SD Card Test Pro (surcharge) and examining the card tells me that may be false, and that this happens a lot with SanDisk, being widely imitated illegally.</v>
      </c>
    </row>
    <row r="7637">
      <c r="A7637" s="1">
        <v>4.0</v>
      </c>
      <c r="B7637" s="1" t="s">
        <v>7586</v>
      </c>
      <c r="C7637" t="str">
        <f>IFERROR(__xludf.DUMMYFUNCTION("GOOGLETRANSLATE(B7637, ""es"", ""en"")"),"doing well but ...... noisy going very well in a short time is all very beaten ...... but it makes too much noise")</f>
        <v>doing well but ...... noisy going very well in a short time is all very beaten ...... but it makes too much noise</v>
      </c>
    </row>
    <row r="7638">
      <c r="A7638" s="1">
        <v>4.0</v>
      </c>
      <c r="B7638" s="1" t="s">
        <v>7587</v>
      </c>
      <c r="C7638" t="str">
        <f>IFERROR(__xludf.DUMMYFUNCTION("GOOGLETRANSLATE(B7638, ""es"", ""en"")"),"Good glue from a recognized brand Well, stick well, but small and a little pricey Watch your fingers that you may be stuck in a moment")</f>
        <v>Good glue from a recognized brand Well, stick well, but small and a little pricey Watch your fingers that you may be stuck in a moment</v>
      </c>
    </row>
    <row r="7639">
      <c r="A7639" s="1">
        <v>4.0</v>
      </c>
      <c r="B7639" s="1" t="s">
        <v>7588</v>
      </c>
      <c r="C7639" t="str">
        <f>IFERROR(__xludf.DUMMYFUNCTION("GOOGLETRANSLATE(B7639, ""es"", ""en"")"),"Good shoes for mountain ... Although I still have something big (but that's my fault), they are very flexible comfortable, have even slightly reminded me of the 'cat feet' by the flexibility of the soles. They are elegant and light with good price. chapó")</f>
        <v>Good shoes for mountain ... Although I still have something big (but that's my fault), they are very flexible comfortable, have even slightly reminded me of the 'cat feet' by the flexibility of the soles. They are elegant and light with good price. chapó</v>
      </c>
    </row>
    <row r="7640">
      <c r="A7640" s="1">
        <v>4.0</v>
      </c>
      <c r="B7640" s="1" t="s">
        <v>7589</v>
      </c>
      <c r="C7640" t="str">
        <f>IFERROR(__xludf.DUMMYFUNCTION("GOOGLETRANSLATE(B7640, ""es"", ""en"")"),"Good for the field The truth is that a great strength and comfort for departures through the countryside and mountains are a good product.")</f>
        <v>Good for the field The truth is that a great strength and comfort for departures through the countryside and mountains are a good product.</v>
      </c>
    </row>
    <row r="7641">
      <c r="A7641" s="1">
        <v>4.0</v>
      </c>
      <c r="B7641" s="1" t="s">
        <v>1411</v>
      </c>
      <c r="C7641" t="str">
        <f>IFERROR(__xludf.DUMMYFUNCTION("GOOGLETRANSLATE(B7641, ""es"", ""en"")"),"It does not correspond to the sizes. I ordered a 39, which is my size, but the sizes of Converse are misleading, since a 39 Converse equivalent to 41 European, much as in the flap of the shoe put 39 Euro.")</f>
        <v>It does not correspond to the sizes. I ordered a 39, which is my size, but the sizes of Converse are misleading, since a 39 Converse equivalent to 41 European, much as in the flap of the shoe put 39 Euro.</v>
      </c>
    </row>
    <row r="7642">
      <c r="A7642" s="1">
        <v>5.0</v>
      </c>
      <c r="B7642" s="1" t="s">
        <v>7590</v>
      </c>
      <c r="C7642" t="str">
        <f>IFERROR(__xludf.DUMMYFUNCTION("GOOGLETRANSLATE(B7642, ""es"", ""en"")"),"Genial very comfortable size. I use a 40-42 and M is me very well. Good genre and has little hair inside. I love. Comdisimo.")</f>
        <v>Genial very comfortable size. I use a 40-42 and M is me very well. Good genre and has little hair inside. I love. Comdisimo.</v>
      </c>
    </row>
    <row r="7643">
      <c r="A7643" s="1">
        <v>5.0</v>
      </c>
      <c r="B7643" s="1" t="s">
        <v>7591</v>
      </c>
      <c r="C7643" t="str">
        <f>IFERROR(__xludf.DUMMYFUNCTION("GOOGLETRANSLATE(B7643, ""es"", ""en"")"),"Excellent Perfect, as seen in the photo")</f>
        <v>Excellent Perfect, as seen in the photo</v>
      </c>
    </row>
    <row r="7644">
      <c r="A7644" s="1">
        <v>5.0</v>
      </c>
      <c r="B7644" s="1" t="s">
        <v>7592</v>
      </c>
      <c r="C7644" t="str">
        <f>IFERROR(__xludf.DUMMYFUNCTION("GOOGLETRANSLATE(B7644, ""es"", ""en"")"),"Good quality good quality shirt, perfect size, actually bought another in a different color.")</f>
        <v>Good quality good quality shirt, perfect size, actually bought another in a different color.</v>
      </c>
    </row>
    <row r="7645">
      <c r="A7645" s="1">
        <v>5.0</v>
      </c>
      <c r="B7645" s="1" t="s">
        <v>7593</v>
      </c>
      <c r="C7645" t="str">
        <f>IFERROR(__xludf.DUMMYFUNCTION("GOOGLETRANSLATE(B7645, ""es"", ""en"")"),"Very comfortable very comfortable, I ordered a size more than I use.")</f>
        <v>Very comfortable very comfortable, I ordered a size more than I use.</v>
      </c>
    </row>
    <row r="7646">
      <c r="A7646" s="1">
        <v>5.0</v>
      </c>
      <c r="B7646" s="1" t="s">
        <v>7594</v>
      </c>
      <c r="C7646" t="str">
        <f>IFERROR(__xludf.DUMMYFUNCTION("GOOGLETRANSLATE(B7646, ""es"", ""en"")"),"All very correct all very correct")</f>
        <v>All very correct all very correct</v>
      </c>
    </row>
    <row r="7647">
      <c r="A7647" s="1">
        <v>5.0</v>
      </c>
      <c r="B7647" s="1" t="s">
        <v>7595</v>
      </c>
      <c r="C7647" t="str">
        <f>IFERROR(__xludf.DUMMYFUNCTION("GOOGLETRANSLATE(B7647, ""es"", ""en"")"),"Fantastic! Long ago I was looking for this shoe as previously consumed two pairs of the same characteristics as there was no way to find the shoe shops in Barcelona and thanks to a German neighbor, that she was wearing, he informed me that he had seen on "&amp;"Amazon . I'm super happy. I'll buy other for my husband to give them away for Santo.")</f>
        <v>Fantastic! Long ago I was looking for this shoe as previously consumed two pairs of the same characteristics as there was no way to find the shoe shops in Barcelona and thanks to a German neighbor, that she was wearing, he informed me that he had seen on Amazon . I'm super happy. I'll buy other for my husband to give them away for Santo.</v>
      </c>
    </row>
    <row r="7648">
      <c r="A7648" s="1">
        <v>5.0</v>
      </c>
      <c r="B7648" s="1" t="s">
        <v>7596</v>
      </c>
      <c r="C7648" t="str">
        <f>IFERROR(__xludf.DUMMYFUNCTION("GOOGLETRANSLATE(B7648, ""es"", ""en"")"),"QUALITY walking sandals, comfortable and high quality.")</f>
        <v>QUALITY walking sandals, comfortable and high quality.</v>
      </c>
    </row>
    <row r="7649">
      <c r="A7649" s="1">
        <v>5.0</v>
      </c>
      <c r="B7649" s="1" t="s">
        <v>7597</v>
      </c>
      <c r="C7649" t="str">
        <f>IFERROR(__xludf.DUMMYFUNCTION("GOOGLETRANSLATE(B7649, ""es"", ""en"")"),"Well Buenos bottles")</f>
        <v>Well Buenos bottles</v>
      </c>
    </row>
    <row r="7650">
      <c r="A7650" s="1">
        <v>5.0</v>
      </c>
      <c r="B7650" s="1" t="s">
        <v>7598</v>
      </c>
      <c r="C7650" t="str">
        <f>IFERROR(__xludf.DUMMYFUNCTION("GOOGLETRANSLATE(B7650, ""es"", ""en"")"),"Everything perfect The microphone works well, I like, I have connected to my laptop for the price and the voice quality is good.")</f>
        <v>Everything perfect The microphone works well, I like, I have connected to my laptop for the price and the voice quality is good.</v>
      </c>
    </row>
    <row r="7651">
      <c r="A7651" s="1">
        <v>5.0</v>
      </c>
      <c r="B7651" s="1" t="s">
        <v>7599</v>
      </c>
      <c r="C7651" t="str">
        <f>IFERROR(__xludf.DUMMYFUNCTION("GOOGLETRANSLATE(B7651, ""es"", ""en"")"),"New new disk drive Seagate authentic. Size 3.5 ""To expand a PC or replacing your old disk, is perfect Recommended")</f>
        <v>New new disk drive Seagate authentic. Size 3.5 "To expand a PC or replacing your old disk, is perfect Recommended</v>
      </c>
    </row>
    <row r="7652">
      <c r="A7652" s="1">
        <v>5.0</v>
      </c>
      <c r="B7652" s="1" t="s">
        <v>7600</v>
      </c>
      <c r="C7652" t="str">
        <f>IFERROR(__xludf.DUMMYFUNCTION("GOOGLETRANSLATE(B7652, ""es"", ""en"")"),"Excellent product, professional Arrive on time, good quality and price")</f>
        <v>Excellent product, professional Arrive on time, good quality and price</v>
      </c>
    </row>
    <row r="7653">
      <c r="A7653" s="1">
        <v>5.0</v>
      </c>
      <c r="B7653" s="1" t="s">
        <v>7601</v>
      </c>
      <c r="C7653" t="str">
        <f>IFERROR(__xludf.DUMMYFUNCTION("GOOGLETRANSLATE(B7653, ""es"", ""en"")"),"Are precious have arrived as expected")</f>
        <v>Are precious have arrived as expected</v>
      </c>
    </row>
    <row r="7654">
      <c r="A7654" s="1">
        <v>5.0</v>
      </c>
      <c r="B7654" s="1" t="s">
        <v>7602</v>
      </c>
      <c r="C7654" t="str">
        <f>IFERROR(__xludf.DUMMYFUNCTION("GOOGLETRANSLATE(B7654, ""es"", ""en"")"),"Perfect, no hitches The 2.5, are mm2 section, it does not refer to the diameter. Even if your speakers are not very large, it becomes even fat. If you know what you buy, it is very good choice")</f>
        <v>Perfect, no hitches The 2.5, are mm2 section, it does not refer to the diameter. Even if your speakers are not very large, it becomes even fat. If you know what you buy, it is very good choice</v>
      </c>
    </row>
    <row r="7655">
      <c r="A7655" s="1">
        <v>5.0</v>
      </c>
      <c r="B7655" s="1" t="s">
        <v>7603</v>
      </c>
      <c r="C7655" t="str">
        <f>IFERROR(__xludf.DUMMYFUNCTION("GOOGLETRANSLATE(B7655, ""es"", ""en"")"),"GOOD DESIGN COLORS very cute, good quality and very nice COLORS")</f>
        <v>GOOD DESIGN COLORS very cute, good quality and very nice COLORS</v>
      </c>
    </row>
    <row r="7656">
      <c r="A7656" s="1">
        <v>5.0</v>
      </c>
      <c r="B7656" s="1" t="s">
        <v>7604</v>
      </c>
      <c r="C7656" t="str">
        <f>IFERROR(__xludf.DUMMYFUNCTION("GOOGLETRANSLATE(B7656, ""es"", ""en"")"),"The delivery rapideza me to be happy")</f>
        <v>The delivery rapideza me to be happy</v>
      </c>
    </row>
    <row r="7657">
      <c r="A7657" s="1">
        <v>5.0</v>
      </c>
      <c r="B7657" s="1" t="s">
        <v>7605</v>
      </c>
      <c r="C7657" t="str">
        <f>IFERROR(__xludf.DUMMYFUNCTION("GOOGLETRANSLATE(B7657, ""es"", ""en"")"),"As the photo Very cute as the photo is silver")</f>
        <v>As the photo Very cute as the photo is silver</v>
      </c>
    </row>
    <row r="7658">
      <c r="A7658" s="1">
        <v>5.0</v>
      </c>
      <c r="B7658" s="1" t="s">
        <v>7606</v>
      </c>
      <c r="C7658" t="str">
        <f>IFERROR(__xludf.DUMMYFUNCTION("GOOGLETRANSLATE(B7658, ""es"", ""en"")"),"Everything I liked everything. It provides stay where you put a relaxed atmosphere and a great aroma. It is very easy to use. And your money is perfect.")</f>
        <v>Everything I liked everything. It provides stay where you put a relaxed atmosphere and a great aroma. It is very easy to use. And your money is perfect.</v>
      </c>
    </row>
    <row r="7659">
      <c r="A7659" s="1">
        <v>5.0</v>
      </c>
      <c r="B7659" s="1" t="s">
        <v>7607</v>
      </c>
      <c r="C7659" t="str">
        <f>IFERROR(__xludf.DUMMYFUNCTION("GOOGLETRANSLATE(B7659, ""es"", ""en"")"),"Very good A pouch that shrinks and does not allow the baby to swallow air. And with inclined teat. Very good")</f>
        <v>Very good A pouch that shrinks and does not allow the baby to swallow air. And with inclined teat. Very good</v>
      </c>
    </row>
    <row r="7660">
      <c r="A7660" s="1">
        <v>5.0</v>
      </c>
      <c r="B7660" s="1" t="s">
        <v>7608</v>
      </c>
      <c r="C7660" t="str">
        <f>IFERROR(__xludf.DUMMYFUNCTION("GOOGLETRANSLATE(B7660, ""es"", ""en"")"),"Quality very comfortable and good quality, the most comfortable I've had so far with difference and manufactured in Spain. The would buy")</f>
        <v>Quality very comfortable and good quality, the most comfortable I've had so far with difference and manufactured in Spain. The would buy</v>
      </c>
    </row>
    <row r="7661">
      <c r="A7661" s="1">
        <v>2.0</v>
      </c>
      <c r="B7661" s="1" t="s">
        <v>7609</v>
      </c>
      <c r="C7661" t="str">
        <f>IFERROR(__xludf.DUMMYFUNCTION("GOOGLETRANSLATE(B7661, ""es"", ""en"")"),"Pennies worth, that you get for the price you have more cats you can not use it sometimes pedir.Mis toy, do not put anyone")</f>
        <v>Pennies worth, that you get for the price you have more cats you can not use it sometimes pedir.Mis toy, do not put anyone</v>
      </c>
    </row>
    <row r="7662">
      <c r="A7662" s="1">
        <v>3.0</v>
      </c>
      <c r="B7662" s="1" t="s">
        <v>7610</v>
      </c>
      <c r="C7662" t="str">
        <f>IFERROR(__xludf.DUMMYFUNCTION("GOOGLETRANSLATE(B7662, ""es"", ""en"")"),"Expensive for what it is is quite comfortable, simple and quick to copy photos from the ipone. Very simple and intuitive software that comes preinstalled to make backups of photos. The downside is that you would put he looks very poor quality material. In"&amp;" the photo the pendrive seems metallic and much more robust than it really is. It's all plastic and gives the impression of poor durability.")</f>
        <v>Expensive for what it is is quite comfortable, simple and quick to copy photos from the ipone. Very simple and intuitive software that comes preinstalled to make backups of photos. The downside is that you would put he looks very poor quality material. In the photo the pendrive seems metallic and much more robust than it really is. It's all plastic and gives the impression of poor durability.</v>
      </c>
    </row>
    <row r="7663">
      <c r="A7663" s="1">
        <v>3.0</v>
      </c>
      <c r="B7663" s="1" t="s">
        <v>7611</v>
      </c>
      <c r="C7663" t="str">
        <f>IFERROR(__xludf.DUMMYFUNCTION("GOOGLETRANSLATE(B7663, ""es"", ""en"")"),"A small foot is a foot smaller than another. Buy them because stores were sold out and I fall. I've always used the brand but it has never happened that one foot was smaller")</f>
        <v>A small foot is a foot smaller than another. Buy them because stores were sold out and I fall. I've always used the brand but it has never happened that one foot was smaller</v>
      </c>
    </row>
    <row r="7664">
      <c r="A7664" s="1">
        <v>1.0</v>
      </c>
      <c r="B7664" s="1" t="s">
        <v>7612</v>
      </c>
      <c r="C7664" t="str">
        <f>IFERROR(__xludf.DUMMYFUNCTION("GOOGLETRANSLATE(B7664, ""es"", ""en"")"),"Two pairs defects sometimes purchased and two defects.")</f>
        <v>Two pairs defects sometimes purchased and two defects.</v>
      </c>
    </row>
    <row r="7665">
      <c r="A7665" s="1">
        <v>1.0</v>
      </c>
      <c r="B7665" s="1" t="s">
        <v>7613</v>
      </c>
      <c r="C7665" t="str">
        <f>IFERROR(__xludf.DUMMYFUNCTION("GOOGLETRANSLATE(B7665, ""es"", ""en"")"),"They lasted less than 3 months are comfortable, but lasted less than three months, have broken the top, even though they have only been used for walking and not for sports.")</f>
        <v>They lasted less than 3 months are comfortable, but lasted less than three months, have broken the top, even though they have only been used for walking and not for sports.</v>
      </c>
    </row>
    <row r="7666">
      <c r="A7666" s="1">
        <v>4.0</v>
      </c>
      <c r="B7666" s="1" t="s">
        <v>7614</v>
      </c>
      <c r="C7666" t="str">
        <f>IFERROR(__xludf.DUMMYFUNCTION("GOOGLETRANSLATE(B7666, ""es"", ""en"")"),"Basic clock, good value - price. No alarm or light. Good watch for ""battle"" daily. The sounds seconds ""tic-tac"" as antique clocks.")</f>
        <v>Basic clock, good value - price. No alarm or light. Good watch for "battle" daily. The sounds seconds "tic-tac" as antique clocks.</v>
      </c>
    </row>
    <row r="7667">
      <c r="A7667" s="1">
        <v>4.0</v>
      </c>
      <c r="B7667" s="1" t="s">
        <v>7615</v>
      </c>
      <c r="C7667" t="str">
        <f>IFERROR(__xludf.DUMMYFUNCTION("GOOGLETRANSLATE(B7667, ""es"", ""en"")"),"Does the job. It does the job perfectly. Relaxing areas where massage is applied, which can be cold or heat, as it has two options.")</f>
        <v>Does the job. It does the job perfectly. Relaxing areas where massage is applied, which can be cold or heat, as it has two options.</v>
      </c>
    </row>
    <row r="7668">
      <c r="A7668" s="1">
        <v>4.0</v>
      </c>
      <c r="B7668" s="1" t="s">
        <v>7616</v>
      </c>
      <c r="C7668" t="str">
        <f>IFERROR(__xludf.DUMMYFUNCTION("GOOGLETRANSLATE(B7668, ""es"", ""en"")"),"I use it every morning when I bought it, I thought I would use a while and then would keep it, but a year later I use has proven every day to prepare breakfast. I just removed a star because the lid can not bring me your bag without dripping")</f>
        <v>I use it every morning when I bought it, I thought I would use a while and then would keep it, but a year later I use has proven every day to prepare breakfast. I just removed a star because the lid can not bring me your bag without dripping</v>
      </c>
    </row>
    <row r="7669">
      <c r="A7669" s="1">
        <v>4.0</v>
      </c>
      <c r="B7669" s="1" t="s">
        <v>7617</v>
      </c>
      <c r="C7669" t="str">
        <f>IFERROR(__xludf.DUMMYFUNCTION("GOOGLETRANSLATE(B7669, ""es"", ""en"")"),"Beat ed how good fruits and vegetables")</f>
        <v>Beat ed how good fruits and vegetables</v>
      </c>
    </row>
    <row r="7670">
      <c r="A7670" s="1">
        <v>4.0</v>
      </c>
      <c r="B7670" s="1" t="s">
        <v>7618</v>
      </c>
      <c r="C7670" t="str">
        <f>IFERROR(__xludf.DUMMYFUNCTION("GOOGLETRANSLATE(B7670, ""es"", ""en"")"),"Buenos bottles, we have used with babies from 2.2kg without any problem. Good product. They are good quality. Say something, only they have speed 1.Are wider than the Philips AVENT. After 100 washes fairy remain the same.")</f>
        <v>Buenos bottles, we have used with babies from 2.2kg without any problem. Good product. They are good quality. Say something, only they have speed 1.Are wider than the Philips AVENT. After 100 washes fairy remain the same.</v>
      </c>
    </row>
    <row r="7671">
      <c r="A7671" s="1">
        <v>5.0</v>
      </c>
      <c r="B7671" s="1" t="s">
        <v>7619</v>
      </c>
      <c r="C7671" t="str">
        <f>IFERROR(__xludf.DUMMYFUNCTION("GOOGLETRANSLATE(B7671, ""es"", ""en"")"),"Quality and comfort It is super good, does not crush the chest but rather subject, el.pecho also enhances and is super comfortable, safe q Repetire purchase. To put some paste gives a little heat and sweating is a tad complicated to make, but something ve"&amp;"ry normal in Olympic fasteners.")</f>
        <v>Quality and comfort It is super good, does not crush the chest but rather subject, el.pecho also enhances and is super comfortable, safe q Repetire purchase. To put some paste gives a little heat and sweating is a tad complicated to make, but something very normal in Olympic fasteners.</v>
      </c>
    </row>
    <row r="7672">
      <c r="A7672" s="1">
        <v>5.0</v>
      </c>
      <c r="B7672" s="1" t="s">
        <v>7620</v>
      </c>
      <c r="C7672" t="str">
        <f>IFERROR(__xludf.DUMMYFUNCTION("GOOGLETRANSLATE(B7672, ""es"", ""en"")"),"Jorge f The product has met the requirements I asked was as the ad ce then, everything perfect.")</f>
        <v>Jorge f The product has met the requirements I asked was as the ad ce then, everything perfect.</v>
      </c>
    </row>
    <row r="7673">
      <c r="A7673" s="1">
        <v>5.0</v>
      </c>
      <c r="B7673" s="1" t="s">
        <v>7621</v>
      </c>
      <c r="C7673" t="str">
        <f>IFERROR(__xludf.DUMMYFUNCTION("GOOGLETRANSLATE(B7673, ""es"", ""en"")"),"I expected it performs its function properly")</f>
        <v>I expected it performs its function properly</v>
      </c>
    </row>
    <row r="7674">
      <c r="A7674" s="1">
        <v>5.0</v>
      </c>
      <c r="B7674" s="1" t="s">
        <v>7622</v>
      </c>
      <c r="C7674" t="str">
        <f>IFERROR(__xludf.DUMMYFUNCTION("GOOGLETRANSLATE(B7674, ""es"", ""en"")"),"Perfect works very well. As indicated the description. The battery is kept charged with simple daily use, just to give you some sun. When it not detect clear the screen turns off to save battery. Has timer, alarm timer intervals 2 and up to 10 repetitions"&amp;".")</f>
        <v>Perfect works very well. As indicated the description. The battery is kept charged with simple daily use, just to give you some sun. When it not detect clear the screen turns off to save battery. Has timer, alarm timer intervals 2 and up to 10 repetitions.</v>
      </c>
    </row>
    <row r="7675">
      <c r="A7675" s="1">
        <v>5.0</v>
      </c>
      <c r="B7675" s="1" t="s">
        <v>7623</v>
      </c>
      <c r="C7675" t="str">
        <f>IFERROR(__xludf.DUMMYFUNCTION("GOOGLETRANSLATE(B7675, ""es"", ""en"")"),"They are very comfortable and wearable for all I've loved !! They are really beautiful in the picture")</f>
        <v>They are very comfortable and wearable for all I've loved !! They are really beautiful in the picture</v>
      </c>
    </row>
    <row r="7676">
      <c r="A7676" s="1">
        <v>5.0</v>
      </c>
      <c r="B7676" s="1" t="s">
        <v>7624</v>
      </c>
      <c r="C7676" t="str">
        <f>IFERROR(__xludf.DUMMYFUNCTION("GOOGLETRANSLATE(B7676, ""es"", ""en"")"),"Perfect! Perfect, loved it, very good quality and good price to buy.")</f>
        <v>Perfect! Perfect, loved it, very good quality and good price to buy.</v>
      </c>
    </row>
    <row r="7677">
      <c r="A7677" s="1">
        <v>5.0</v>
      </c>
      <c r="B7677" s="1" t="s">
        <v>7625</v>
      </c>
      <c r="C7677" t="str">
        <f>IFERROR(__xludf.DUMMYFUNCTION("GOOGLETRANSLATE(B7677, ""es"", ""en"")"),"Perfect These headphones work perfectly, you can leave the phone on the table and move around the house and listening to music perfectly, installation is child's play did not cost me more than a minute and then started to enjoy them, truth for the price t"&amp;"hey work very well or for a gift worth.")</f>
        <v>Perfect These headphones work perfectly, you can leave the phone on the table and move around the house and listening to music perfectly, installation is child's play did not cost me more than a minute and then started to enjoy them, truth for the price they work very well or for a gift worth.</v>
      </c>
    </row>
    <row r="7678">
      <c r="A7678" s="1">
        <v>5.0</v>
      </c>
      <c r="B7678" s="1" t="s">
        <v>7626</v>
      </c>
      <c r="C7678" t="str">
        <f>IFERROR(__xludf.DUMMYFUNCTION("GOOGLETRANSLATE(B7678, ""es"", ""en"")"),"GD-350-1BER recommend A watch very comfortable and readable by the size of the digits, despite having the negative dial. It has the main functions I need, especially interesting vibration alarm. In short, aesthetically very successful and good value. Amaz"&amp;"on highly recommended, by the speed and seriousness on shipping")</f>
        <v>GD-350-1BER recommend A watch very comfortable and readable by the size of the digits, despite having the negative dial. It has the main functions I need, especially interesting vibration alarm. In short, aesthetically very successful and good value. Amazon highly recommended, by the speed and seriousness on shipping</v>
      </c>
    </row>
    <row r="7679">
      <c r="A7679" s="1">
        <v>5.0</v>
      </c>
      <c r="B7679" s="1" t="s">
        <v>7627</v>
      </c>
      <c r="C7679" t="str">
        <f>IFERROR(__xludf.DUMMYFUNCTION("GOOGLETRANSLATE(B7679, ""es"", ""en"")"),"I need done for Hernias problems and they recommended heat. It's great.")</f>
        <v>I need done for Hernias problems and they recommended heat. It's great.</v>
      </c>
    </row>
    <row r="7680">
      <c r="A7680" s="1">
        <v>5.0</v>
      </c>
      <c r="B7680" s="1" t="s">
        <v>7628</v>
      </c>
      <c r="C7680" t="str">
        <f>IFERROR(__xludf.DUMMYFUNCTION("GOOGLETRANSLATE(B7680, ""es"", ""en"")"),"Nice and good quality")</f>
        <v>Nice and good quality</v>
      </c>
    </row>
    <row r="7681">
      <c r="A7681" s="1">
        <v>5.0</v>
      </c>
      <c r="B7681" s="1" t="s">
        <v>7629</v>
      </c>
      <c r="C7681" t="str">
        <f>IFERROR(__xludf.DUMMYFUNCTION("GOOGLETRANSLATE(B7681, ""es"", ""en"")"),"Fine, elegant and comfortable it was to me, are very fine and elegant, very comfortable")</f>
        <v>Fine, elegant and comfortable it was to me, are very fine and elegant, very comfortable</v>
      </c>
    </row>
    <row r="7682">
      <c r="A7682" s="1">
        <v>5.0</v>
      </c>
      <c r="B7682" s="1" t="s">
        <v>7630</v>
      </c>
      <c r="C7682" t="str">
        <f>IFERROR(__xludf.DUMMYFUNCTION("GOOGLETRANSLATE(B7682, ""es"", ""en"")"),"No quality problems with speed, even with videos XAVCS format when recording at 100 Mbps or more and UHS Speed ​​Class U3 is required.")</f>
        <v>No quality problems with speed, even with videos XAVCS format when recording at 100 Mbps or more and UHS Speed ​​Class U3 is required.</v>
      </c>
    </row>
    <row r="7683">
      <c r="A7683" s="1">
        <v>5.0</v>
      </c>
      <c r="B7683" s="1" t="s">
        <v>7631</v>
      </c>
      <c r="C7683" t="str">
        <f>IFERROR(__xludf.DUMMYFUNCTION("GOOGLETRANSLATE(B7683, ""es"", ""en"")"),"Price Amazing value! I bought offer and am very happy (not me waiting so good). The sound quality is quite good, weigh little and hard enough and recharged battery in the box, whose battery lasts even longer. They are not just earphones, they also have mi"&amp;"crophone, so it can be used for video conferencing or gaming. As against him would they are not as comfortable as others, and who have very sensitive touch sensor, so as to adjust to the ear may accidentally give the ""play"" / ""pause"" music. Is the sam"&amp;"e sensor that is used to turn on. In any case, excellent.")</f>
        <v>Price Amazing value! I bought offer and am very happy (not me waiting so good). The sound quality is quite good, weigh little and hard enough and recharged battery in the box, whose battery lasts even longer. They are not just earphones, they also have microphone, so it can be used for video conferencing or gaming. As against him would they are not as comfortable as others, and who have very sensitive touch sensor, so as to adjust to the ear may accidentally give the "play" / "pause" music. Is the same sensor that is used to turn on. In any case, excellent.</v>
      </c>
    </row>
    <row r="7684">
      <c r="A7684" s="1">
        <v>5.0</v>
      </c>
      <c r="B7684" s="1" t="s">
        <v>7632</v>
      </c>
      <c r="C7684" t="str">
        <f>IFERROR(__xludf.DUMMYFUNCTION("GOOGLETRANSLATE(B7684, ""es"", ""en"")"),"Good shoes are pretty good I love them, they are a little large, I have found that a size is needed less. They are very good.")</f>
        <v>Good shoes are pretty good I love them, they are a little large, I have found that a size is needed less. They are very good.</v>
      </c>
    </row>
    <row r="7685">
      <c r="A7685" s="1">
        <v>5.0</v>
      </c>
      <c r="B7685" s="1" t="s">
        <v>7633</v>
      </c>
      <c r="C7685" t="str">
        <f>IFERROR(__xludf.DUMMYFUNCTION("GOOGLETRANSLATE(B7685, ""es"", ""en"")"),"Perfect. The perfect gift for a birthday, came fast. Metal color, beautiful on the wrist, with light and light to carry.")</f>
        <v>Perfect. The perfect gift for a birthday, came fast. Metal color, beautiful on the wrist, with light and light to carry.</v>
      </c>
    </row>
    <row r="7686">
      <c r="A7686" s="1">
        <v>5.0</v>
      </c>
      <c r="B7686" s="1" t="s">
        <v>7634</v>
      </c>
      <c r="C7686" t="str">
        <f>IFERROR(__xludf.DUMMYFUNCTION("GOOGLETRANSLATE(B7686, ""es"", ""en"")"),"They come very tightly wrapped Good price and very nice")</f>
        <v>They come very tightly wrapped Good price and very nice</v>
      </c>
    </row>
    <row r="7687">
      <c r="A7687" s="1">
        <v>5.0</v>
      </c>
      <c r="B7687" s="1" t="s">
        <v>7635</v>
      </c>
      <c r="C7687" t="str">
        <f>IFERROR(__xludf.DUMMYFUNCTION("GOOGLETRANSLATE(B7687, ""es"", ""en"")"),"Amazon impressive service is a blender cup, you do neither more nor less than what is expected of it: beat. I do not pretend to chop ice or meat with it, because it's not for that. But this review is to highlight the excellent service Amazon: had purchase"&amp;"d another like this a year ago that burned more, I contacted Amazon and they sent me a new two days! 6 star!")</f>
        <v>Amazon impressive service is a blender cup, you do neither more nor less than what is expected of it: beat. I do not pretend to chop ice or meat with it, because it's not for that. But this review is to highlight the excellent service Amazon: had purchased another like this a year ago that burned more, I contacted Amazon and they sent me a new two days! 6 star!</v>
      </c>
    </row>
    <row r="7688">
      <c r="A7688" s="1">
        <v>5.0</v>
      </c>
      <c r="B7688" s="1" t="s">
        <v>7636</v>
      </c>
      <c r="C7688" t="str">
        <f>IFERROR(__xludf.DUMMYFUNCTION("GOOGLETRANSLATE(B7688, ""es"", ""en"")"),"Perfect great product")</f>
        <v>Perfect great product</v>
      </c>
    </row>
    <row r="7689">
      <c r="A7689" s="1">
        <v>2.0</v>
      </c>
      <c r="B7689" s="1" t="s">
        <v>7637</v>
      </c>
      <c r="C7689" t="str">
        <f>IFERROR(__xludf.DUMMYFUNCTION("GOOGLETRANSLATE(B7689, ""es"", ""en"")"),"Only useful for lightweight disappointing if you expect it to work with some weight. For lightweight, fine.")</f>
        <v>Only useful for lightweight disappointing if you expect it to work with some weight. For lightweight, fine.</v>
      </c>
    </row>
    <row r="7690">
      <c r="A7690" s="1">
        <v>3.0</v>
      </c>
      <c r="B7690" s="1" t="s">
        <v>7638</v>
      </c>
      <c r="C7690" t="str">
        <f>IFERROR(__xludf.DUMMYFUNCTION("GOOGLETRANSLATE(B7690, ""es"", ""en"")"),"Well for music, evil speaking microphone does not record the voice well unless you're screaming, besides introducing an electric mush when both headphones are paired. The times I've used to call the I had to remove, because I did not listen well. Regardin"&amp;"g the sound quality is quite good (8.5 out of 10), and great autonomy. easy and quick pairing. They are comfortable if you are used to in-ear (some not tolerated), and do not fall. I miss knowing the remaining battery box. It has two LEDs (50% full) but o"&amp;"nly switched to the load.")</f>
        <v>Well for music, evil speaking microphone does not record the voice well unless you're screaming, besides introducing an electric mush when both headphones are paired. The times I've used to call the I had to remove, because I did not listen well. Regarding the sound quality is quite good (8.5 out of 10), and great autonomy. easy and quick pairing. They are comfortable if you are used to in-ear (some not tolerated), and do not fall. I miss knowing the remaining battery box. It has two LEDs (50% full) but only switched to the load.</v>
      </c>
    </row>
    <row r="7691">
      <c r="A7691" s="1">
        <v>3.0</v>
      </c>
      <c r="B7691" s="1" t="s">
        <v>7639</v>
      </c>
      <c r="C7691" t="str">
        <f>IFERROR(__xludf.DUMMYFUNCTION("GOOGLETRANSLATE(B7691, ""es"", ""en"")"),"Fits well fits well with the band but costs cojwrle management to put it and remove primarily remove, all q color was not what I expected")</f>
        <v>Fits well fits well with the band but costs cojwrle management to put it and remove primarily remove, all q color was not what I expected</v>
      </c>
    </row>
    <row r="7692">
      <c r="A7692" s="1">
        <v>1.0</v>
      </c>
      <c r="B7692" s="1" t="s">
        <v>7640</v>
      </c>
      <c r="C7692" t="str">
        <f>IFERROR(__xludf.DUMMYFUNCTION("GOOGLETRANSLATE(B7692, ""es"", ""en"")"),"For starters did not work did not work in any way. The gave back period. They took back the money.")</f>
        <v>For starters did not work did not work in any way. The gave back period. They took back the money.</v>
      </c>
    </row>
    <row r="7693">
      <c r="A7693" s="1">
        <v>1.0</v>
      </c>
      <c r="B7693" s="1" t="s">
        <v>7641</v>
      </c>
      <c r="C7693" t="str">
        <f>IFERROR(__xludf.DUMMYFUNCTION("GOOGLETRANSLATE(B7693, ""es"", ""en"")"),"I do not like lousy. The sound is fatal as uneven, disconnects one of the headphone sound and need to be moving his head to find the sound. A bad buy fully")</f>
        <v>I do not like lousy. The sound is fatal as uneven, disconnects one of the headphone sound and need to be moving his head to find the sound. A bad buy fully</v>
      </c>
    </row>
    <row r="7694">
      <c r="A7694" s="1">
        <v>4.0</v>
      </c>
      <c r="B7694" s="1" t="s">
        <v>7642</v>
      </c>
      <c r="C7694" t="str">
        <f>IFERROR(__xludf.DUMMYFUNCTION("GOOGLETRANSLATE(B7694, ""es"", ""en"")"),"Very good but lack voice in Spanish (Spain) to the Assistant There are many people who have commented how good are these headphones, and agree and so I give it a 4. But commenting that the voice assistant included, indicated provided that supports Spanish"&amp;", but Spanish in Mexico. I have not found any information on whether they are working on the Spanish version of Spain. If we use our mobile and Google Assistant can do many actions, emphasizing the call to your contacts by voice. Now it is also compatible"&amp;" with Alexa, but we have the possibility to call, only through Alexa, which limits their usefulness.")</f>
        <v>Very good but lack voice in Spanish (Spain) to the Assistant There are many people who have commented how good are these headphones, and agree and so I give it a 4. But commenting that the voice assistant included, indicated provided that supports Spanish, but Spanish in Mexico. I have not found any information on whether they are working on the Spanish version of Spain. If we use our mobile and Google Assistant can do many actions, emphasizing the call to your contacts by voice. Now it is also compatible with Alexa, but we have the possibility to call, only through Alexa, which limits their usefulness.</v>
      </c>
    </row>
    <row r="7695">
      <c r="A7695" s="1">
        <v>4.0</v>
      </c>
      <c r="B7695" s="1" t="s">
        <v>7643</v>
      </c>
      <c r="C7695" t="str">
        <f>IFERROR(__xludf.DUMMYFUNCTION("GOOGLETRANSLATE(B7695, ""es"", ""en"")"),"Shortly average headset bluetooth range. A separate, carrying over the phone, stutters")</f>
        <v>Shortly average headset bluetooth range. A separate, carrying over the phone, stutters</v>
      </c>
    </row>
    <row r="7696">
      <c r="A7696" s="1">
        <v>4.0</v>
      </c>
      <c r="B7696" s="1" t="s">
        <v>7644</v>
      </c>
      <c r="C7696" t="str">
        <f>IFERROR(__xludf.DUMMYFUNCTION("GOOGLETRANSLATE(B7696, ""es"", ""en"")"),"Ok for the price it is very good is the first time I use it and I'm comfortable working")</f>
        <v>Ok for the price it is very good is the first time I use it and I'm comfortable working</v>
      </c>
    </row>
    <row r="7697">
      <c r="A7697" s="1">
        <v>4.0</v>
      </c>
      <c r="B7697" s="1" t="s">
        <v>7645</v>
      </c>
      <c r="C7697" t="str">
        <f>IFERROR(__xludf.DUMMYFUNCTION("GOOGLETRANSLATE(B7697, ""es"", ""en"")"),"The fabric is very good but a little squeeze Despite buying my size, squeeze a little.")</f>
        <v>The fabric is very good but a little squeeze Despite buying my size, squeeze a little.</v>
      </c>
    </row>
    <row r="7698">
      <c r="A7698" s="1">
        <v>5.0</v>
      </c>
      <c r="B7698" s="1" t="s">
        <v>7646</v>
      </c>
      <c r="C7698" t="str">
        <f>IFERROR(__xludf.DUMMYFUNCTION("GOOGLETRANSLATE(B7698, ""es"", ""en"")"),"Feel well and comfortable I've loved are very comfortable but in the ass shows through a bit I carry with long shirt")</f>
        <v>Feel well and comfortable I've loved are very comfortable but in the ass shows through a bit I carry with long shirt</v>
      </c>
    </row>
    <row r="7699">
      <c r="A7699" s="1">
        <v>5.0</v>
      </c>
      <c r="B7699" s="1" t="s">
        <v>7647</v>
      </c>
      <c r="C7699" t="str">
        <f>IFERROR(__xludf.DUMMYFUNCTION("GOOGLETRANSLATE(B7699, ""es"", ""en"")"),"Utility &lt;div id = ""video-block-RE16V3LPPNRIV"" class = ""a-section a-spacing-small to-spacing-top mini-video block""&gt; &lt;div tabindex = ""0"" class = ""airy airy-svg vmin -supported airy-skin-beacon ""style ="" background-color: rgb (0, 0, 0) position: rel"&amp;"ative; width: 100%; height: 100%; font-size: 0px; overflow: hidden; outline: none; ""&gt; &lt;div class ="" airy-renderer-container ""style ="" position: relative; height: 100%; width: 100%; ""&gt; &lt;video id ="" 109 ""preload ="" auto ""src ="" https : //images-eu"&amp;".ssl-images-amazon.com/images/I/B1MQPCFHedS.mp4 ""style ="" position: absolute; left: 0px; top: 0px; overflow: hidden; height: 1px; width: 1px; ""&gt; &lt;/ video&gt; &lt;/ div&gt; &lt;div id ="" airy-slate-preload ""style ="" background-color: rgb (0, 0, 0); background-im"&amp;"age: url (&amp; quot; https: // images -eu.ssl-images-amazon.com/images/I/91efTh6LDzS.png&amp;quot;); background-size: Contain; background-position: center center; background-repeat: no-repeat; position: absolute; top: 0px; left: 0px; visibility: visible; width: "&amp;"100%; height: 100%; ""&gt; &lt;/ div&gt; &lt;iframe scrolling ="" no ""fr ameborder = ""0"" src = ""about: blank"" style = ""display: none;""&gt; &lt;/ iframe&gt; &lt;div tabindex = ""- 1"" class = ""airy-controls-container"" style = ""opacity: 0; visibility: hidden; ""&gt; &lt;div ta"&amp;"bindex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airy-"&amp;"on ""&gt; &lt;/ div&gt; &lt;div tabindex ="" - 1 ""class ="" airy-audio-container ""style = ""opacity: 0; visibility: hidden; ""&gt; &lt;div tabindex ="" - 1 ""class ="" airy-audio-track-bar ""style ="" height: 80%; ""&gt; &lt;div tabindex ="" - 1 ""class ="" airy-audio- Scrubbe"&amp;"r-bar ""style ="" height: 85%; ""&gt; &lt;/ div&gt; &lt;div tabindex ="" - 1 ""class ="" airy-audio-scrubber ""style ="" height: 12px; bottom: 85% ""&gt; &lt;/ div&gt; &lt;/ div&gt; &lt;/ div&gt; &lt;/ div&gt; &lt;div tabindex ="" - 1 ""class ="" airy-duration-label ""style ="" float: right; widt"&amp;"h: 26px; margin-right: 4px; text-align: center; ""&gt; 0:00 &lt;/ div&gt; &lt;div tabindex ="" - 1 ""class ="" airy-track-bar-spacer-right ""style ="" float: right; width: 11px; ""&gt; &lt;/ div&gt; &lt;div tabindex ="" - 1 ""class ="" airy-track-bar-container ""style ="" margin"&amp;"-left: 35px; margin-right: 75px; ""&gt; &lt;div tabindex ="" - 1 ""class ="" airy-airy-track-bar vertically-centering-table ""&gt; &lt;div tabindex ="" - 1 ""class ="" airy-Vertical-centering- table-cell ""&gt; &lt;div tabindex ="" - 1 ""class ="" airy-track-bar-elements "&amp;"""&gt; &lt;div tabindex ="" - 1 ""class ="" airy-progress-bar ""&gt; &lt;/ div&gt; &lt;div tabindex = ""- 1"" class = ""airy-scrubber-bar""&gt; &lt;/ div&gt; &lt;div tabindex = ""- 1"" class = ""airy-scrubber""&gt; &lt;div tabindex = ""- 1"" class = ""airy-scrubber- icon ""&gt; &lt;/ div&gt; &lt;div ta"&amp;"bindex ="" - 1 ""class ="" airy-adjusted-AUI-tooltip ""style ="" opacity: 0; visibility: hidden; ""&gt; &lt;div tabindex ="" - 1 ""class ="" airy-adjusted-aui-tooltip-inner ""&gt; &lt;div tabindex ="" - 1 ""class ="" airy-current-time-label ""&gt; 0: 00 &lt;/ div&gt; &lt;/ div&gt; "&amp;"&lt;div tabindex = ""- 1"" class = ""airy-adjusted-AUI-arrow-border""&gt; &lt;div tabindex = ""- 1"" class = ""airy-adjusted-AUI-arrow"" &gt; &lt;/ div&gt; &lt;/ div&gt; &lt;/ div&gt; &lt;/ div&gt; &lt;/ div&gt; &lt;/ div&gt; &lt;/ div&gt; &lt;/ div&gt; &lt;/ div&gt; &lt;/ div&gt; &lt;div tabindex = ""- 1"" class = ""airy-age-ga"&amp;"te airy-stage airy-Vertical-centering-table airy-dialog"" style = ""opacity: 0; visibility: hidden; ""&gt; &lt;div tabindex ="" - 1 ""class ="" airy-age-gate-Vertical-centering-table-cell airy-Vertical-centering-table-cell ""&gt; &lt;div tabindex ="" - 1 ""class = """&amp;"airy-Vertical-centering-wrapper airy-age-gate-elements-wrapper""&gt; &lt;div tabindex = ""- 1"" class = ""airy-age-gate-elements airy-dialog-elements""&gt; &lt;div tabindex = "" -1 ""class ="" airy-age-gate-prompt ""&gt; This video is not Intended for all audiences What"&amp;" date were you born &lt;/ div&gt; &lt;div tabindex =.?"" - 1 ""class ="" airy-age-gate -inputs airy-dialog-inner-elements ""&gt; &lt;select tabindex ="" - 1 ""class ="" airy-age-gate-month ""&gt; &lt;option value ="" 1 ""&gt; January &lt;/ option&gt; &lt;option value ="" 2 ""&gt; February &lt;"&amp;"/ option&gt; &lt;option value ="" 3 ""&gt; March &lt;/ option&gt; &lt;option value ="" 4 ""&gt; April &lt;/ option&gt; &lt;option value ="" 5 ""&gt; May &lt;/ option&gt; &lt;option value = ""6""&gt; June &lt;/ option&gt; &lt;option value = ""7""&gt; July &lt;/ option&gt; &lt;option value = ""8""&gt; August &lt;/ option&gt; &lt;opti"&amp;"on value = ""9""&gt; September &lt;/ option&gt; &lt;option value = ""10""&gt; October &lt;/ option&gt; &lt;option value = ""11""&gt; November &lt;/ option&gt; &lt;option value = ""12""&gt; December &lt;/ option&gt; &lt;/ select&gt; &lt;select tabindex = ""- 1"" class = ""airy-age-gate-day""&gt; &lt;opti on value ="&amp;" ""1""&gt; 1 &lt;/ option&gt; &lt;option value = ""2""&gt; 2 &lt;/ option&gt; &lt;option value = ""3""&gt; 3 &lt;/ option&gt; &lt;option value = ""4""&gt; 4 &lt;/ option &gt; &lt;option value = ""5""&gt; 5 &lt;/ option&gt; &lt;option value = ""6""&gt; 6 &lt;/ option&gt; &lt;option value = ""7""&gt; 7 &lt;/ option&gt; &lt;option value = "&amp;"""8""&gt; 8 &lt; / option&gt; &lt;option value = ""9""&gt; 9 &lt;/ option&gt; &lt;option value = ""10""&gt; 10 &lt;/ option&gt; &lt;option value = ""11""&gt; 11 &lt;/ option&gt; &lt;option value = ""12""&gt; 12 &lt;/ option&gt; &lt;option value = ""13""&gt; 13 &lt;/ option&gt; &lt;option value = ""14""&gt; 14 &lt;/ option&gt; &lt;option "&amp;"value = ""15""&gt; 15 &lt;/ option&gt; &lt;option value = ""16 ""&gt; 16 &lt;/ option&gt; &lt;option value ="" 17 ""&gt; 17 &lt;/ option&gt; &lt;option value ="" 18 ""&gt; 18 &lt;/ option&gt; &lt;option value ="" 19 ""&gt; 19 &lt;/ option&gt; &lt;option value = ""20""&gt; 20 &lt;/ option&gt; &lt;option value = ""21""&gt; 21 &lt;/ o"&amp;"ption&gt; &lt;option value = ""22""&gt; 22 &lt;/ option&gt; &lt;option value = ""23""&gt; 23 &lt;/ option&gt; &lt;option value = ""24""&gt; 24 &lt;/ option&gt; &lt;option value = ""25""&gt; 25 &lt;/ option&gt; &lt;option value = ""26""&gt; 26 &lt;/ option&gt; &lt;option value = ""27""&gt; 27 &lt;/ option&gt; &lt;option value = ""28"&amp;"""&gt; 28 &lt;/ option&gt; &lt;option value = ""29""&gt; 29 &lt;/ option&gt; &lt;option value = ""30""&gt; 30 &lt;/ option&gt; &lt;option value = ""31""&gt; 31 &lt;/ option&gt; &lt;/ select&gt; &lt;select tabindex = ""- 1"" class = ""airy-age-gate-year""&gt; &lt;option value = ""2019""&gt; 2019 &lt;/ option&gt; &lt; option va"&amp;"lue = ""2018""&gt; 2018 &lt;/ option&gt; &lt;option value = ""2017""&gt; 2017 &lt;/ option&gt; &lt;option value = ""2016""&gt; ​​2016 &lt;/ option&gt; &lt;option value = ""2015""&gt; 2015 &lt;/ option &gt; &lt;option value = ""2014""&gt; 2014 &lt;/ option&gt; &lt;option value = ""2013""&gt; 2013 &lt;/ option&gt; &lt;option va"&amp;"lue = ""2012""&gt; 2012 &lt;/ option&gt; &lt;option value = ""2011""&gt; 2011 &lt; / option&gt; &lt;option value = ""2010""&gt; 2010 &lt;/ option&gt; &lt;option value = ""2009""&gt; 2009 &lt;/ option&gt; &lt;option value = ""2008""&gt; 2008 &lt;/ option&gt; &lt;option value = ""2007""&gt; 2007 &lt;/ option&gt; &lt;option valu"&amp;"e = ""2006""&gt; 2006 &lt;/ option&gt; &lt;option value = ""2005""&gt; 2005 &lt;/ option&gt; &lt;option value = ""2004""&gt; 2004 &lt;/ option&gt; &lt;option value = ""2003 ""&gt; 2003 &lt;/ option&gt; &lt;option value ="" 2002 ""&gt; 2002 &lt;/ option&gt; &lt;option value ="" 2001 ""&gt; 2001 &lt;/ option&gt; &lt;option valu"&amp;"e ="" 2000 ""&gt; 2000 &lt;/ option&gt; &lt;option value = ""1999""&gt; 1999 &lt;/ option&gt; &lt;option value = ""1998""&gt; 1998 &lt;/ option&gt; &lt;option value = ""1997""&gt; 1997 &lt;/ option&gt; &lt;option value = ""1996""&gt; 1996 &lt;/ option&gt; &lt;option value = ""1995""&gt; 1995 &lt;/ option&gt; &lt;option value "&amp;"= ""1994""&gt;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="&amp;" ""1982""&gt;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&lt;value option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&lt;value option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visib"&amp;"ility: hidden; ""&gt; &lt;div tabindex ="" - 1 ""class ="" airy-install-flash-Vertical-centering-table-cell airy-Vertical-centering-table-cell ""&gt; &lt;div tabindex ="" - 1 ""class = ""airy-Vertical-centering-wrapper airy-install-flash-elements-wrapper""&gt; &lt;div tabi"&amp;"ndex = ""- 1"" class = ""airy-install-flash-elements airy-dialog-elements""&gt; &lt;div tabindex = "" -1 ""class ="" airy-install-flash-prompt ""&gt; Adobe Flash Player is required to watch this video &lt;/ div&gt; &lt;div tabindex =."" - 1 ""class ="" airy-install-flash-b"&amp;"utton-wrapper airy -dialog-inner-elements ""&gt; &lt;div tabindex ="" - 1 ""class ="" airy-install-flash-button airy-button ""&gt; install Flash Player &lt;/ div&gt; &lt;/ div&gt; &lt;/ div&gt; &lt;/ div&gt; &lt;/ div&gt; &lt;/ div&gt; &lt;div tabindex = ""- 1"" class = ""airy-video-unsupported-dialog "&amp;"airy-stage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B1MQPCFHedS.mp4 ""Class ="" video-url ""&gt; &lt;input type ="" hidden ""name ="" ""value ="" https://images-eu.ssl-images-amazon.com/images/I/91efTh6LDzS.png ""class ="" video-slate-img-url ""&gt; blanket of very good quality is very soft, od"&amp;"orless, very manageable and light and easy to use, dark blue command you can regulate the heat has several temperature and time of exposure to the heat carrying a resilient band with Velcro helps you hold in large areas such as the back so it will not fal"&amp;"l")</f>
        <v>Utility &lt;div id = "video-block-RE16V3LPPNRIV" class = "a-section a-spacing-small to-spacing-top mini-video block"&gt; &lt;div tabindex = "0" class = "airy airy-svg vmin -supported airy-skin-beacon "style =" background-color: rgb (0, 0, 0) position: relative; width: 100%; height: 100%; font-size: 0px; overflow: hidden; outline: none; "&gt; &lt;div class =" airy-renderer-container "style =" position: relative; height: 100%; width: 100%; "&gt; &lt;video id =" 109 "preload =" auto "src =" https : //images-eu.ssl-images-amazon.com/images/I/B1MQPCFHedS.mp4 "style =" position: absolute; left: 0px; top: 0px; overflow: hidden; height: 1px; width: 1px; "&gt; &lt;/ video&gt; &lt;/ div&gt; &lt;div id =" airy-slate-preload "style =" background-color: rgb (0, 0, 0); background-image: url (&amp; quot; https: // images -eu.ssl-images-amazon.com/images/I/91efTh6LDzS.png&amp;quot;); background-size: Contain; background-position: center center; background-repeat: no-repeat; position: absolute; top: 0px; left: 0px; visibility: visible; width: 100%; height: 100%; "&gt; &lt;/ div&gt; &lt;iframe scrolling =" no "fr 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B1MQPCFHedS.mp4 "Class =" video-url "&gt; &lt;input type =" hidden "name =" "value =" https://images-eu.ssl-images-amazon.com/images/I/91efTh6LDzS.png "class =" video-slate-img-url "&gt; blanket of very good quality is very soft, odorless, very manageable and light and easy to use, dark blue command you can regulate the heat has several temperature and time of exposure to the heat carrying a resilient band with Velcro helps you hold in large areas such as the back so it will not fall</v>
      </c>
    </row>
    <row r="7700">
      <c r="A7700" s="1">
        <v>5.0</v>
      </c>
      <c r="B7700" s="1" t="s">
        <v>7648</v>
      </c>
      <c r="C7700" t="str">
        <f>IFERROR(__xludf.DUMMYFUNCTION("GOOGLETRANSLATE(B7700, ""es"", ""en"")"),"Good quality. I bought it because I thought the bus that brought them had not asked, but it was coming. I had to return, although I have is the same model and is perfect for micro Neewer.")</f>
        <v>Good quality. I bought it because I thought the bus that brought them had not asked, but it was coming. I had to return, although I have is the same model and is perfect for micro Neewer.</v>
      </c>
    </row>
    <row r="7701">
      <c r="A7701" s="1">
        <v>5.0</v>
      </c>
      <c r="B7701" s="1" t="s">
        <v>7649</v>
      </c>
      <c r="C7701" t="str">
        <f>IFERROR(__xludf.DUMMYFUNCTION("GOOGLETRANSLATE(B7701, ""es"", ""en"")"),"Watch Classic and sturdy gift I bought and liked it a lot, watch classic all life compared to others is durable and it works very well, I would buy.")</f>
        <v>Watch Classic and sturdy gift I bought and liked it a lot, watch classic all life compared to others is durable and it works very well, I would buy.</v>
      </c>
    </row>
    <row r="7702">
      <c r="A7702" s="1">
        <v>5.0</v>
      </c>
      <c r="B7702" s="1" t="s">
        <v>7650</v>
      </c>
      <c r="C7702" t="str">
        <f>IFERROR(__xludf.DUMMYFUNCTION("GOOGLETRANSLATE(B7702, ""es"", ""en"")"),"Perfect size is calentito I bought it for my partner and it is perfect, guide me to the table and grabbed a Size M (which uses it) is perfect Olgado waist and legs as he likes. I will buy.")</f>
        <v>Perfect size is calentito I bought it for my partner and it is perfect, guide me to the table and grabbed a Size M (which uses it) is perfect Olgado waist and legs as he likes. I will buy.</v>
      </c>
    </row>
    <row r="7703">
      <c r="A7703" s="1">
        <v>5.0</v>
      </c>
      <c r="B7703" s="1" t="s">
        <v>7651</v>
      </c>
      <c r="C7703" t="str">
        <f>IFERROR(__xludf.DUMMYFUNCTION("GOOGLETRANSLATE(B7703, ""es"", ""en"")"),"Headphones Samsung Very good value. The sound is pretty good and adapting to the ear is perfect. The only negative is that the after a few months often have a problem of micro or audio.")</f>
        <v>Headphones Samsung Very good value. The sound is pretty good and adapting to the ear is perfect. The only negative is that the after a few months often have a problem of micro or audio.</v>
      </c>
    </row>
    <row r="7704">
      <c r="A7704" s="1">
        <v>5.0</v>
      </c>
      <c r="B7704" s="1" t="s">
        <v>7652</v>
      </c>
      <c r="C7704" t="str">
        <f>IFERROR(__xludf.DUMMYFUNCTION("GOOGLETRANSLATE(B7704, ""es"", ""en"")"),"Great nice and cheap. You can not tell at a glance that is so cheap. The only drawback that makes enough noise to the passing seconds. Everything else perfect.")</f>
        <v>Great nice and cheap. You can not tell at a glance that is so cheap. The only drawback that makes enough noise to the passing seconds. Everything else perfect.</v>
      </c>
    </row>
    <row r="7705">
      <c r="A7705" s="1">
        <v>5.0</v>
      </c>
      <c r="B7705" s="1" t="s">
        <v>7653</v>
      </c>
      <c r="C7705" t="str">
        <f>IFERROR(__xludf.DUMMYFUNCTION("GOOGLETRANSLATE(B7705, ""es"", ""en"")"),"Spectacular excellent buy, very comfortable, excellent quality despite its price, I bought 3 pairs, worth, incomparable, beautiful design.")</f>
        <v>Spectacular excellent buy, very comfortable, excellent quality despite its price, I bought 3 pairs, worth, incomparable, beautiful design.</v>
      </c>
    </row>
    <row r="7706">
      <c r="A7706" s="1">
        <v>5.0</v>
      </c>
      <c r="B7706" s="1" t="s">
        <v>7654</v>
      </c>
      <c r="C7706" t="str">
        <f>IFERROR(__xludf.DUMMYFUNCTION("GOOGLETRANSLATE(B7706, ""es"", ""en"")"),"Practical Very happy with this product, easy to use and very practical, it makes great milkshakes and has plenty of power for small it is")</f>
        <v>Practical Very happy with this product, easy to use and very practical, it makes great milkshakes and has plenty of power for small it is</v>
      </c>
    </row>
    <row r="7707">
      <c r="A7707" s="1">
        <v>5.0</v>
      </c>
      <c r="B7707" s="1" t="s">
        <v>7655</v>
      </c>
      <c r="C7707" t="str">
        <f>IFERROR(__xludf.DUMMYFUNCTION("GOOGLETRANSLATE(B7707, ""es"", ""en"")"),"Elegant and pretty good quality.")</f>
        <v>Elegant and pretty good quality.</v>
      </c>
    </row>
    <row r="7708">
      <c r="A7708" s="1">
        <v>5.0</v>
      </c>
      <c r="B7708" s="1" t="s">
        <v>7656</v>
      </c>
      <c r="C7708" t="str">
        <f>IFERROR(__xludf.DUMMYFUNCTION("GOOGLETRANSLATE(B7708, ""es"", ""en"")"),"With protection plug. Fundamental. Excellent buy. The temperature lasts many hours without burning. Most importantly, it has a socket for plug and connector on the bag has a guide pin inbetween, fundamental to avoid breakage. He had bought another electri"&amp;"c bag without these protections and I lasted a month. plug burned. This took three weeks and looks phenomenal. I hope it last's. I value with maximum points.")</f>
        <v>With protection plug. Fundamental. Excellent buy. The temperature lasts many hours without burning. Most importantly, it has a socket for plug and connector on the bag has a guide pin inbetween, fundamental to avoid breakage. He had bought another electric bag without these protections and I lasted a month. plug burned. This took three weeks and looks phenomenal. I hope it last's. I value with maximum points.</v>
      </c>
    </row>
    <row r="7709">
      <c r="A7709" s="1">
        <v>5.0</v>
      </c>
      <c r="B7709" s="1" t="s">
        <v>7657</v>
      </c>
      <c r="C7709" t="str">
        <f>IFERROR(__xludf.DUMMYFUNCTION("GOOGLETRANSLATE(B7709, ""es"", ""en"")"),"Bluetooth everything perfect and sounds very good.")</f>
        <v>Bluetooth everything perfect and sounds very good.</v>
      </c>
    </row>
    <row r="7710">
      <c r="A7710" s="1">
        <v>5.0</v>
      </c>
      <c r="B7710" s="1" t="s">
        <v>7658</v>
      </c>
      <c r="C7710" t="str">
        <f>IFERROR(__xludf.DUMMYFUNCTION("GOOGLETRANSLATE(B7710, ""es"", ""en"")"),"Seller extraordinary watch little to say since buying it already knows what they will buy, and G-SHOCK For that, it is the best. What I want to discuss is the seller and dealer, I placed the order on Sunday and Monday morning I had it on the wrist. Or 24 "&amp;"hours, past due.")</f>
        <v>Seller extraordinary watch little to say since buying it already knows what they will buy, and G-SHOCK For that, it is the best. What I want to discuss is the seller and dealer, I placed the order on Sunday and Monday morning I had it on the wrist. Or 24 hours, past due.</v>
      </c>
    </row>
    <row r="7711">
      <c r="A7711" s="1">
        <v>5.0</v>
      </c>
      <c r="B7711" s="1" t="s">
        <v>7659</v>
      </c>
      <c r="C7711" t="str">
        <f>IFERROR(__xludf.DUMMYFUNCTION("GOOGLETRANSLATE(B7711, ""es"", ""en"")"),"Ideal for gift good gift. Very good material and durable. In contrast to others, it does not weigh on the wrist and is not very large.")</f>
        <v>Ideal for gift good gift. Very good material and durable. In contrast to others, it does not weigh on the wrist and is not very large.</v>
      </c>
    </row>
    <row r="7712">
      <c r="A7712" s="1">
        <v>5.0</v>
      </c>
      <c r="B7712" s="1" t="s">
        <v>7660</v>
      </c>
      <c r="C7712" t="str">
        <f>IFERROR(__xludf.DUMMYFUNCTION("GOOGLETRANSLATE(B7712, ""es"", ""en"")"),"Very warm good quality My size is L and I look good. Perhaps a bit long pants but I go upstairs and perfect")</f>
        <v>Very warm good quality My size is L and I look good. Perhaps a bit long pants but I go upstairs and perfect</v>
      </c>
    </row>
    <row r="7713">
      <c r="A7713" s="1">
        <v>5.0</v>
      </c>
      <c r="B7713" s="1" t="s">
        <v>7661</v>
      </c>
      <c r="C7713" t="str">
        <f>IFERROR(__xludf.DUMMYFUNCTION("GOOGLETRANSLATE(B7713, ""es"", ""en"")"),"As expected Very comfortable, perfect to have a safe and cool in summer foot! All perfect!")</f>
        <v>As expected Very comfortable, perfect to have a safe and cool in summer foot! All perfect!</v>
      </c>
    </row>
    <row r="7714">
      <c r="A7714" s="1">
        <v>5.0</v>
      </c>
      <c r="B7714" s="1" t="s">
        <v>7662</v>
      </c>
      <c r="C7714" t="str">
        <f>IFERROR(__xludf.DUMMYFUNCTION("GOOGLETRANSLATE(B7714, ""es"", ""en"")"),"Very nice - 1 Number biggest nice and good quality. But we had to return. They were too large. 1 numero above. My husband usually wear size 45 and 45 he was 46. But as a super nice color. In fact, we did not find the same in back store and Amazon was in n"&amp;"umber and in this color used. Eye, is a heavy boot and you better try it before in the shop (with thick socks!) To try it from the weight (just in case) and if your foot is made for this type of boot. I have friends whose comb standing does not support th"&amp;"is type of boot, or has a very delicate foot, but it usually is usually a kind of very very comfortable boot.")</f>
        <v>Very nice - 1 Number biggest nice and good quality. But we had to return. They were too large. 1 numero above. My husband usually wear size 45 and 45 he was 46. But as a super nice color. In fact, we did not find the same in back store and Amazon was in number and in this color used. Eye, is a heavy boot and you better try it before in the shop (with thick socks!) To try it from the weight (just in case) and if your foot is made for this type of boot. I have friends whose comb standing does not support this type of boot, or has a very delicate foot, but it usually is usually a kind of very very comfortable boot.</v>
      </c>
    </row>
    <row r="7715">
      <c r="A7715" s="1">
        <v>5.0</v>
      </c>
      <c r="B7715" s="1" t="s">
        <v>7663</v>
      </c>
      <c r="C7715" t="str">
        <f>IFERROR(__xludf.DUMMYFUNCTION("GOOGLETRANSLATE(B7715, ""es"", ""en"")"),"Mama I like how nice it is, fine and shiny, I bought it for a gift and my wife loved. Pretty stones. And he uses it for everyday and shines like the first day.")</f>
        <v>Mama I like how nice it is, fine and shiny, I bought it for a gift and my wife loved. Pretty stones. And he uses it for everyday and shines like the first day.</v>
      </c>
    </row>
    <row r="7716">
      <c r="A7716" s="1">
        <v>5.0</v>
      </c>
      <c r="B7716" s="1" t="s">
        <v>7664</v>
      </c>
      <c r="C7716" t="str">
        <f>IFERROR(__xludf.DUMMYFUNCTION("GOOGLETRANSLATE(B7716, ""es"", ""en"")"),"Very happy modern and very cool article. Fast and perfect for teas and infusions. The only thing you notice a little lime in the glass container, but very happy with the quality and price.")</f>
        <v>Very happy modern and very cool article. Fast and perfect for teas and infusions. The only thing you notice a little lime in the glass container, but very happy with the quality and price.</v>
      </c>
    </row>
    <row r="7717">
      <c r="A7717" s="1">
        <v>2.0</v>
      </c>
      <c r="B7717" s="1" t="s">
        <v>7665</v>
      </c>
      <c r="C7717" t="str">
        <f>IFERROR(__xludf.DUMMYFUNCTION("GOOGLETRANSLATE(B7717, ""es"", ""en"")"),"disappointing The product looks good and the sound is average, nothing to do with the products that are in the sector. The noise canceling hardly noticeable. The reason for return is that the battery in my case is completely discharged in four or five day"&amp;"s is off.")</f>
        <v>disappointing The product looks good and the sound is average, nothing to do with the products that are in the sector. The noise canceling hardly noticeable. The reason for return is that the battery in my case is completely discharged in four or five days is off.</v>
      </c>
    </row>
    <row r="7718">
      <c r="A7718" s="1">
        <v>3.0</v>
      </c>
      <c r="B7718" s="1" t="s">
        <v>7666</v>
      </c>
      <c r="C7718" t="str">
        <f>IFERROR(__xludf.DUMMYFUNCTION("GOOGLETRANSLATE(B7718, ""es"", ""en"")"),"For the price and the quality is not bad Not bad product, but for children the cable should be more resistant, is quite weak, should be something more strengthened, but overall not bad the product even if it is true that the child complains to the after a"&amp;" while that bother you possibly be normal not to be used, and the seller without any problems.")</f>
        <v>For the price and the quality is not bad Not bad product, but for children the cable should be more resistant, is quite weak, should be something more strengthened, but overall not bad the product even if it is true that the child complains to the after a while that bother you possibly be normal not to be used, and the seller without any problems.</v>
      </c>
    </row>
    <row r="7719">
      <c r="A7719" s="1">
        <v>1.0</v>
      </c>
      <c r="B7719" s="1" t="s">
        <v>7667</v>
      </c>
      <c r="C7719" t="str">
        <f>IFERROR(__xludf.DUMMYFUNCTION("GOOGLETRANSLATE(B7719, ""es"", ""en"")"),". It has very poor quality")</f>
        <v>. It has very poor quality</v>
      </c>
    </row>
    <row r="7720">
      <c r="A7720" s="1">
        <v>1.0</v>
      </c>
      <c r="B7720" s="1" t="s">
        <v>7668</v>
      </c>
      <c r="C7720" t="str">
        <f>IFERROR(__xludf.DUMMYFUNCTION("GOOGLETRANSLATE(B7720, ""es"", ""en"")"),"Durísimo the closure of the glass on the basis is very difficult to adjust and release the glass of the base. It is possible but very hard and technical. In fact 5 people adults who are at home three were not able to release the glass of the base. I saw o"&amp;"n the views that I am not alone. It's a shame because it makes less noise than other juicers. I am returning and seeing if I buy another brand")</f>
        <v>Durísimo the closure of the glass on the basis is very difficult to adjust and release the glass of the base. It is possible but very hard and technical. In fact 5 people adults who are at home three were not able to release the glass of the base. I saw on the views that I am not alone. It's a shame because it makes less noise than other juicers. I am returning and seeing if I buy another brand</v>
      </c>
    </row>
    <row r="7721">
      <c r="A7721" s="1">
        <v>4.0</v>
      </c>
      <c r="B7721" s="1" t="s">
        <v>7669</v>
      </c>
      <c r="C7721" t="str">
        <f>IFERROR(__xludf.DUMMYFUNCTION("GOOGLETRANSLATE(B7721, ""es"", ""en"")"),"OK (but keep in mind that the summer version AERO) perfect, but note that AERO is the summer version without gorotex. Otherwise everything perfect and correct shipping.")</f>
        <v>OK (but keep in mind that the summer version AERO) perfect, but note that AERO is the summer version without gorotex. Otherwise everything perfect and correct shipping.</v>
      </c>
    </row>
    <row r="7722">
      <c r="A7722" s="1">
        <v>4.0</v>
      </c>
      <c r="B7722" s="1" t="s">
        <v>7670</v>
      </c>
      <c r="C7722" t="str">
        <f>IFERROR(__xludf.DUMMYFUNCTION("GOOGLETRANSLATE(B7722, ""es"", ""en"")"),"Nike. Ask the real number! So far it has llegafo well and looks good product. The number corresponds to the original, I ordered one for fear maa in the comments and me is a little big good but ... at the moment I'm happy with the purchase and the material"&amp;" looks good.")</f>
        <v>Nike. Ask the real number! So far it has llegafo well and looks good product. The number corresponds to the original, I ordered one for fear maa in the comments and me is a little big good but ... at the moment I'm happy with the purchase and the material looks good.</v>
      </c>
    </row>
    <row r="7723">
      <c r="A7723" s="1">
        <v>4.0</v>
      </c>
      <c r="B7723" s="1" t="s">
        <v>7671</v>
      </c>
      <c r="C7723" t="str">
        <f>IFERROR(__xludf.DUMMYFUNCTION("GOOGLETRANSLATE(B7723, ""es"", ""en"")"),"GOOD BUY. A HARD DISK NEEDED FOR MY PERSONAL PHOTOS AND VIDEOS AND HARD THIS IS PERFECT. IN THE ENVELOPE SAYS DISK is 320 G, NO IS CORRECT, BUT HAS 300 G. TINY AND ME has earned. I HOPE IT LAST'S......")</f>
        <v>GOOD BUY. A HARD DISK NEEDED FOR MY PERSONAL PHOTOS AND VIDEOS AND HARD THIS IS PERFECT. IN THE ENVELOPE SAYS DISK is 320 G, NO IS CORRECT, BUT HAS 300 G. TINY AND ME has earned. I HOPE IT LAST'S......</v>
      </c>
    </row>
    <row r="7724">
      <c r="A7724" s="1">
        <v>4.0</v>
      </c>
      <c r="B7724" s="1" t="s">
        <v>7672</v>
      </c>
      <c r="C7724" t="str">
        <f>IFERROR(__xludf.DUMMYFUNCTION("GOOGLETRANSLATE(B7724, ""es"", ""en"")"),"Very nice is very nice and I like the fabric but rather thin and small size, and I ordered an xl is fair when you normally use the m-l. so that you orient themselves and used a 95b xl I am just me.")</f>
        <v>Very nice is very nice and I like the fabric but rather thin and small size, and I ordered an xl is fair when you normally use the m-l. so that you orient themselves and used a 95b xl I am just me.</v>
      </c>
    </row>
    <row r="7725">
      <c r="A7725" s="1">
        <v>4.0</v>
      </c>
      <c r="B7725" s="1" t="s">
        <v>7673</v>
      </c>
      <c r="C7725" t="str">
        <f>IFERROR(__xludf.DUMMYFUNCTION("GOOGLETRANSLATE(B7725, ""es"", ""en"")"),"Very comfortable comfortable but expected better")</f>
        <v>Very comfortable comfortable but expected better</v>
      </c>
    </row>
    <row r="7726">
      <c r="A7726" s="1">
        <v>5.0</v>
      </c>
      <c r="B7726" s="1" t="s">
        <v>7674</v>
      </c>
      <c r="C7726" t="str">
        <f>IFERROR(__xludf.DUMMYFUNCTION("GOOGLETRANSLATE(B7726, ""es"", ""en"")"),"He liked was for my daughter and I really liked")</f>
        <v>He liked was for my daughter and I really liked</v>
      </c>
    </row>
    <row r="7727">
      <c r="A7727" s="1">
        <v>5.0</v>
      </c>
      <c r="B7727" s="1" t="s">
        <v>7675</v>
      </c>
      <c r="C7727" t="str">
        <f>IFERROR(__xludf.DUMMYFUNCTION("GOOGLETRANSLATE(B7727, ""es"", ""en"")"),"Fa un any perfect the fem Anar to botiga nostra i mai no ens has Fallat. Perfect. The measure i els perfectes compartiments.")</f>
        <v>Fa un any perfect the fem Anar to botiga nostra i mai no ens has Fallat. Perfect. The measure i els perfectes compartiments.</v>
      </c>
    </row>
    <row r="7728">
      <c r="A7728" s="1">
        <v>5.0</v>
      </c>
      <c r="B7728" s="1" t="s">
        <v>7676</v>
      </c>
      <c r="C7728" t="str">
        <f>IFERROR(__xludf.DUMMYFUNCTION("GOOGLETRANSLATE(B7728, ""es"", ""en"")"),"I repeat purchase and broom and mop, and like the house is on two floors, instead of walking up and down machines rather have one on each floor and have charged batteries .... a great invention. I recommend it")</f>
        <v>I repeat purchase and broom and mop, and like the house is on two floors, instead of walking up and down machines rather have one on each floor and have charged batteries .... a great invention. I recommend it</v>
      </c>
    </row>
    <row r="7729">
      <c r="A7729" s="1">
        <v>5.0</v>
      </c>
      <c r="B7729" s="1" t="s">
        <v>7677</v>
      </c>
      <c r="C7729" t="str">
        <f>IFERROR(__xludf.DUMMYFUNCTION("GOOGLETRANSLATE(B7729, ""es"", ""en"")"),"Adidas Good quality of the product. The size fits what pedi .Perfecto.")</f>
        <v>Adidas Good quality of the product. The size fits what pedi .Perfecto.</v>
      </c>
    </row>
    <row r="7730">
      <c r="A7730" s="1">
        <v>5.0</v>
      </c>
      <c r="B7730" s="1" t="s">
        <v>7678</v>
      </c>
      <c r="C7730" t="str">
        <f>IFERROR(__xludf.DUMMYFUNCTION("GOOGLETRANSLATE(B7730, ""es"", ""en"")"),"Super comfy comfortable and easy to use")</f>
        <v>Super comfy comfortable and easy to use</v>
      </c>
    </row>
    <row r="7731">
      <c r="A7731" s="1">
        <v>5.0</v>
      </c>
      <c r="B7731" s="1" t="s">
        <v>7679</v>
      </c>
      <c r="C7731" t="str">
        <f>IFERROR(__xludf.DUMMYFUNCTION("GOOGLETRANSLATE(B7731, ""es"", ""en"")"),"Oils are fantastic! They are presented in a box 6 oils. Each is a distinct smell and what better. I love that comes the dispenser drop by drop because when you go to take the oil does not drop a jet if you can not take the right dose for the humidifier")</f>
        <v>Oils are fantastic! They are presented in a box 6 oils. Each is a distinct smell and what better. I love that comes the dispenser drop by drop because when you go to take the oil does not drop a jet if you can not take the right dose for the humidifier</v>
      </c>
    </row>
    <row r="7732">
      <c r="A7732" s="1">
        <v>5.0</v>
      </c>
      <c r="B7732" s="1" t="s">
        <v>7680</v>
      </c>
      <c r="C7732" t="str">
        <f>IFERROR(__xludf.DUMMYFUNCTION("GOOGLETRANSLATE(B7732, ""es"", ""en"")"),"Versatile very useful, I do not know why I have not bought me before. It is essential for the MacBook Pro 2016 is very small, but consistent. I would have liked it to be second generation USB 3.1, but you can not have everything.")</f>
        <v>Versatile very useful, I do not know why I have not bought me before. It is essential for the MacBook Pro 2016 is very small, but consistent. I would have liked it to be second generation USB 3.1, but you can not have everything.</v>
      </c>
    </row>
    <row r="7733">
      <c r="A7733" s="1">
        <v>5.0</v>
      </c>
      <c r="B7733" s="1" t="s">
        <v>7681</v>
      </c>
      <c r="C7733" t="str">
        <f>IFERROR(__xludf.DUMMYFUNCTION("GOOGLETRANSLATE(B7733, ""es"", ""en"")"),"Comfortable and calentitas gift Olentzero has liked. I had to change and take another number, but very fast. They are calentitas! Happy with purchase.")</f>
        <v>Comfortable and calentitas gift Olentzero has liked. I had to change and take another number, but very fast. They are calentitas! Happy with purchase.</v>
      </c>
    </row>
    <row r="7734">
      <c r="A7734" s="1">
        <v>5.0</v>
      </c>
      <c r="B7734" s="1" t="s">
        <v>7682</v>
      </c>
      <c r="C7734" t="str">
        <f>IFERROR(__xludf.DUMMYFUNCTION("GOOGLETRANSLATE(B7734, ""es"", ""en"")"),"essential accessory for people who hate the wires had a tangle of wires in the lounge, in the area where the TV is, computer and satellite equipment, fiber, etc. With this box has been super clean. There are other options, I chose this because I needed to"&amp;" fit 2 strips of 5 shots")</f>
        <v>essential accessory for people who hate the wires had a tangle of wires in the lounge, in the area where the TV is, computer and satellite equipment, fiber, etc. With this box has been super clean. There are other options, I chose this because I needed to fit 2 strips of 5 shots</v>
      </c>
    </row>
    <row r="7735">
      <c r="A7735" s="1">
        <v>5.0</v>
      </c>
      <c r="B7735" s="1" t="s">
        <v>7683</v>
      </c>
      <c r="C7735" t="str">
        <f>IFERROR(__xludf.DUMMYFUNCTION("GOOGLETRANSLATE(B7735, ""es"", ""en"")"),"It's super full practice with several pockets and wide. It is adjustable, is of good quality and strong. Maybe I see this riñonera is that you can bring a bottle with water.")</f>
        <v>It's super full practice with several pockets and wide. It is adjustable, is of good quality and strong. Maybe I see this riñonera is that you can bring a bottle with water.</v>
      </c>
    </row>
    <row r="7736">
      <c r="A7736" s="1">
        <v>5.0</v>
      </c>
      <c r="B7736" s="1" t="s">
        <v>7684</v>
      </c>
      <c r="C7736" t="str">
        <f>IFERROR(__xludf.DUMMYFUNCTION("GOOGLETRANSLATE(B7736, ""es"", ""en"")"),"I fucking great. Like asparagus. Once you set it, you can forget about the clock. It costs a little to the first attempt. Advise to download instructions CASIO website. I cojonudo")</f>
        <v>I fucking great. Like asparagus. Once you set it, you can forget about the clock. It costs a little to the first attempt. Advise to download instructions CASIO website. I cojonudo</v>
      </c>
    </row>
    <row r="7737">
      <c r="A7737" s="1">
        <v>5.0</v>
      </c>
      <c r="B7737" s="1" t="s">
        <v>7685</v>
      </c>
      <c r="C7737" t="str">
        <f>IFERROR(__xludf.DUMMYFUNCTION("GOOGLETRANSLATE(B7737, ""es"", ""en"")"),"All right Slipper very comfortable and durable. A being rusticated throughout its internal structure, it can be used without problem up no more, at least in my case, in comfort. Good price and fast shipping. Recommendable.")</f>
        <v>All right Slipper very comfortable and durable. A being rusticated throughout its internal structure, it can be used without problem up no more, at least in my case, in comfort. Good price and fast shipping. Recommendable.</v>
      </c>
    </row>
    <row r="7738">
      <c r="A7738" s="1">
        <v>5.0</v>
      </c>
      <c r="B7738" s="1" t="s">
        <v>7686</v>
      </c>
      <c r="C7738" t="str">
        <f>IFERROR(__xludf.DUMMYFUNCTION("GOOGLETRANSLATE(B7738, ""es"", ""en"")"),"MAM great brand, as always, is fantastic. Bottles, perfect. I did not bring the photo, which was even nicer came so no complaints. I leave the picture if someone is interested.")</f>
        <v>MAM great brand, as always, is fantastic. Bottles, perfect. I did not bring the photo, which was even nicer came so no complaints. I leave the picture if someone is interested.</v>
      </c>
    </row>
    <row r="7739">
      <c r="A7739" s="1">
        <v>5.0</v>
      </c>
      <c r="B7739" s="1" t="s">
        <v>7687</v>
      </c>
      <c r="C7739" t="str">
        <f>IFERROR(__xludf.DUMMYFUNCTION("GOOGLETRANSLATE(B7739, ""es"", ""en"")"),"Ultra Fast The best pen I've ever had. I use both DJing music as storage!")</f>
        <v>Ultra Fast The best pen I've ever had. I use both DJing music as storage!</v>
      </c>
    </row>
    <row r="7740">
      <c r="A7740" s="1">
        <v>5.0</v>
      </c>
      <c r="B7740" s="1" t="s">
        <v>7688</v>
      </c>
      <c r="C7740" t="str">
        <f>IFERROR(__xludf.DUMMYFUNCTION("GOOGLETRANSLATE(B7740, ""es"", ""en"")"),"Very nice skin. Advise asking normal size shooting a less land use and ordered a 38.5 39 comments I read, but when I received it I saw two fingers left over me at least. I ordered the 38 and normal cotton sock me are perfect, even spare me a tad, just eno"&amp;"ugh to not hurt. They are beautiful!")</f>
        <v>Very nice skin. Advise asking normal size shooting a less land use and ordered a 38.5 39 comments I read, but when I received it I saw two fingers left over me at least. I ordered the 38 and normal cotton sock me are perfect, even spare me a tad, just enough to not hurt. They are beautiful!</v>
      </c>
    </row>
    <row r="7741">
      <c r="A7741" s="1">
        <v>5.0</v>
      </c>
      <c r="B7741" s="1" t="s">
        <v>7689</v>
      </c>
      <c r="C7741" t="str">
        <f>IFERROR(__xludf.DUMMYFUNCTION("GOOGLETRANSLATE(B7741, ""es"", ""en"")"),"Good quality !!!! I arrive early and use good quality")</f>
        <v>Good quality !!!! I arrive early and use good quality</v>
      </c>
    </row>
    <row r="7742">
      <c r="A7742" s="1">
        <v>5.0</v>
      </c>
      <c r="B7742" s="1" t="s">
        <v>7690</v>
      </c>
      <c r="C7742" t="str">
        <f>IFERROR(__xludf.DUMMYFUNCTION("GOOGLETRANSLATE(B7742, ""es"", ""en"")"),"Perfect. As the photo. Doing their job")</f>
        <v>Perfect. As the photo. Doing their job</v>
      </c>
    </row>
    <row r="7743">
      <c r="A7743" s="1">
        <v>5.0</v>
      </c>
      <c r="B7743" s="1" t="s">
        <v>7691</v>
      </c>
      <c r="C7743" t="str">
        <f>IFERROR(__xludf.DUMMYFUNCTION("GOOGLETRANSLATE(B7743, ""es"", ""en"")"),"I bought it for pet hair on the dog. In that role is fantastic, they look perfectly flush with the floor thanks to the LED light that goes into the brush. It is clean, easy and the battery gives me to give the floor twice. Minuses: suction is average, not"&amp;"hing to do with a conventional one. And the filter is like car, paper, better to have two and blow the dirty, is pretty good. Overall very happy with the purchase.")</f>
        <v>I bought it for pet hair on the dog. In that role is fantastic, they look perfectly flush with the floor thanks to the LED light that goes into the brush. It is clean, easy and the battery gives me to give the floor twice. Minuses: suction is average, nothing to do with a conventional one. And the filter is like car, paper, better to have two and blow the dirty, is pretty good. Overall very happy with the purchase.</v>
      </c>
    </row>
    <row r="7744">
      <c r="A7744" s="1">
        <v>5.0</v>
      </c>
      <c r="B7744" s="1" t="s">
        <v>7692</v>
      </c>
      <c r="C7744" t="str">
        <f>IFERROR(__xludf.DUMMYFUNCTION("GOOGLETRANSLATE(B7744, ""es"", ""en"")"),"Very nice and beautiful came super fast")</f>
        <v>Very nice and beautiful came super fast</v>
      </c>
    </row>
    <row r="7745">
      <c r="A7745" s="1">
        <v>2.0</v>
      </c>
      <c r="B7745" s="1" t="s">
        <v>7693</v>
      </c>
      <c r="C7745" t="str">
        <f>IFERROR(__xludf.DUMMYFUNCTION("GOOGLETRANSLATE(B7745, ""es"", ""en"")"),"Does not meet expectations is much better a conventional mat. Part of the cervical does not take well. Not worth it. Not hot enough, it gives warmth but not as conventional mat.")</f>
        <v>Does not meet expectations is much better a conventional mat. Part of the cervical does not take well. Not worth it. Not hot enough, it gives warmth but not as conventional mat.</v>
      </c>
    </row>
    <row r="7746">
      <c r="A7746" s="1">
        <v>3.0</v>
      </c>
      <c r="B7746" s="1" t="s">
        <v>7694</v>
      </c>
      <c r="C7746" t="str">
        <f>IFERROR(__xludf.DUMMYFUNCTION("GOOGLETRANSLATE(B7746, ""es"", ""en"")"),"Petite Size: ask one more sizes are fair and in addition to the washing shrinks")</f>
        <v>Petite Size: ask one more sizes are fair and in addition to the washing shrinks</v>
      </c>
    </row>
    <row r="7747">
      <c r="A7747" s="1">
        <v>3.0</v>
      </c>
      <c r="B7747" s="1" t="s">
        <v>7695</v>
      </c>
      <c r="C7747" t="str">
        <f>IFERROR(__xludf.DUMMYFUNCTION("GOOGLETRANSLATE(B7747, ""es"", ""en"")"),"very very small cuckoos")</f>
        <v>very very small cuckoos</v>
      </c>
    </row>
    <row r="7748">
      <c r="A7748" s="1">
        <v>1.0</v>
      </c>
      <c r="B7748" s="1" t="s">
        <v>7696</v>
      </c>
      <c r="C7748" t="str">
        <f>IFERROR(__xludf.DUMMYFUNCTION("GOOGLETRANSLATE(B7748, ""es"", ""en"")"),"disappointment are very small, and does not appear in the picture what is actually qeu then")</f>
        <v>disappointment are very small, and does not appear in the picture what is actually qeu then</v>
      </c>
    </row>
    <row r="7749">
      <c r="A7749" s="1">
        <v>1.0</v>
      </c>
      <c r="B7749" s="1" t="s">
        <v>7697</v>
      </c>
      <c r="C7749" t="str">
        <f>IFERROR(__xludf.DUMMYFUNCTION("GOOGLETRANSLATE(B7749, ""es"", ""en"")"),"The product is FALSE !!! The product is FALSE !!! The box is smaller than the original, the role of the emboltorio of its interior is the symbol of the very weak brand and finally shoes note that they are not really, stained green by the ankle ... sell th"&amp;"em as original but they are false.")</f>
        <v>The product is FALSE !!! The product is FALSE !!! The box is smaller than the original, the role of the emboltorio of its interior is the symbol of the very weak brand and finally shoes note that they are not really, stained green by the ankle ... sell them as original but they are false.</v>
      </c>
    </row>
    <row r="7750">
      <c r="A7750" s="1">
        <v>1.0</v>
      </c>
      <c r="B7750" s="1" t="s">
        <v>7698</v>
      </c>
      <c r="C7750" t="str">
        <f>IFERROR(__xludf.DUMMYFUNCTION("GOOGLETRANSLATE(B7750, ""es"", ""en"")"),"Only two months of use and broken is not normal that no two months of use and I have broken. I had three years a Columbia and perfect until the last day. In my opinion very expensive out if after two months break. Very bad experience, would not buy. I do "&amp;"not know if that's possible return.")</f>
        <v>Only two months of use and broken is not normal that no two months of use and I have broken. I had three years a Columbia and perfect until the last day. In my opinion very expensive out if after two months break. Very bad experience, would not buy. I do not know if that's possible return.</v>
      </c>
    </row>
    <row r="7751">
      <c r="A7751" s="1">
        <v>4.0</v>
      </c>
      <c r="B7751" s="1" t="s">
        <v>7699</v>
      </c>
      <c r="C7751" t="str">
        <f>IFERROR(__xludf.DUMMYFUNCTION("GOOGLETRANSLATE(B7751, ""es"", ""en"")"),"Functional Nice and comfortable, very warm")</f>
        <v>Functional Nice and comfortable, very warm</v>
      </c>
    </row>
    <row r="7752">
      <c r="A7752" s="1">
        <v>4.0</v>
      </c>
      <c r="B7752" s="1" t="s">
        <v>7700</v>
      </c>
      <c r="C7752" t="str">
        <f>IFERROR(__xludf.DUMMYFUNCTION("GOOGLETRANSLATE(B7752, ""es"", ""en"")"),"Very good watch Super watch casio. It is very nice, weight is ideal and the functions are adequate, temperature, altimeter, etc ...")</f>
        <v>Very good watch Super watch casio. It is very nice, weight is ideal and the functions are adequate, temperature, altimeter, etc ...</v>
      </c>
    </row>
    <row r="7753">
      <c r="A7753" s="1">
        <v>4.0</v>
      </c>
      <c r="B7753" s="1" t="s">
        <v>7701</v>
      </c>
      <c r="C7753" t="str">
        <f>IFERROR(__xludf.DUMMYFUNCTION("GOOGLETRANSLATE(B7753, ""es"", ""en"")"),"Material light and comfortable shoe fits perfect and comfortable. At the beginning follows more closely the ankle rl forms with use of a perfect week. It is convenient and comfortable for one person 84 years likes to walk him. Its material is lightweight.")</f>
        <v>Material light and comfortable shoe fits perfect and comfortable. At the beginning follows more closely the ankle rl forms with use of a perfect week. It is convenient and comfortable for one person 84 years likes to walk him. Its material is lightweight.</v>
      </c>
    </row>
    <row r="7754">
      <c r="A7754" s="1">
        <v>4.0</v>
      </c>
      <c r="B7754" s="1" t="s">
        <v>7702</v>
      </c>
      <c r="C7754" t="str">
        <f>IFERROR(__xludf.DUMMYFUNCTION("GOOGLETRANSLATE(B7754, ""es"", ""en"")"),"Asymmetrical and nice A great wee bit and not very cushioned tread. At the beginning they found them very basic but home day that passes I like more. Good buy. They are asymmetrical, a detail that has cost me I like, but that makes them different.")</f>
        <v>Asymmetrical and nice A great wee bit and not very cushioned tread. At the beginning they found them very basic but home day that passes I like more. Good buy. They are asymmetrical, a detail that has cost me I like, but that makes them different.</v>
      </c>
    </row>
    <row r="7755">
      <c r="A7755" s="1">
        <v>4.0</v>
      </c>
      <c r="B7755" s="1" t="s">
        <v>7703</v>
      </c>
      <c r="C7755" t="str">
        <f>IFERROR(__xludf.DUMMYFUNCTION("GOOGLETRANSLATE(B7755, ""es"", ""en"")"),"Well Actually we thought it was a coat but the design and others is. Just like that photo. My mother loved the same but it's like a sobrechaqueta or jacket winter fat")</f>
        <v>Well Actually we thought it was a coat but the design and others is. Just like that photo. My mother loved the same but it's like a sobrechaqueta or jacket winter fat</v>
      </c>
    </row>
    <row r="7756">
      <c r="A7756" s="1">
        <v>5.0</v>
      </c>
      <c r="B7756" s="1" t="s">
        <v>7704</v>
      </c>
      <c r="C7756" t="str">
        <f>IFERROR(__xludf.DUMMYFUNCTION("GOOGLETRANSLATE(B7756, ""es"", ""en"")"),"Chulisima chain and fine for what it is, very resistant")</f>
        <v>Chulisima chain and fine for what it is, very resistant</v>
      </c>
    </row>
    <row r="7757">
      <c r="A7757" s="1">
        <v>5.0</v>
      </c>
      <c r="B7757" s="1" t="s">
        <v>7705</v>
      </c>
      <c r="C7757" t="str">
        <f>IFERROR(__xludf.DUMMYFUNCTION("GOOGLETRANSLATE(B7757, ""es"", ""en"")"),"Transfer speed, capacity and SSD transfer speed, capacity and SSD. Fundamental to back-up photography in remote areas.")</f>
        <v>Transfer speed, capacity and SSD transfer speed, capacity and SSD. Fundamental to back-up photography in remote areas.</v>
      </c>
    </row>
    <row r="7758">
      <c r="A7758" s="1">
        <v>5.0</v>
      </c>
      <c r="B7758" s="1" t="s">
        <v>7706</v>
      </c>
      <c r="C7758" t="str">
        <f>IFERROR(__xludf.DUMMYFUNCTION("GOOGLETRANSLATE(B7758, ""es"", ""en"")"),"Delivery Quick delivery, works well, good value.")</f>
        <v>Delivery Quick delivery, works well, good value.</v>
      </c>
    </row>
    <row r="7759">
      <c r="A7759" s="1">
        <v>5.0</v>
      </c>
      <c r="B7759" s="1" t="s">
        <v>7707</v>
      </c>
      <c r="C7759" t="str">
        <f>IFERROR(__xludf.DUMMYFUNCTION("GOOGLETRANSLATE(B7759, ""es"", ""en"")"),"Pleasant smell is needed about four drops in the diffuser scents to be felt in a room. It smells good red fruit, as indicated.")</f>
        <v>Pleasant smell is needed about four drops in the diffuser scents to be felt in a room. It smells good red fruit, as indicated.</v>
      </c>
    </row>
    <row r="7760">
      <c r="A7760" s="1">
        <v>5.0</v>
      </c>
      <c r="B7760" s="1" t="s">
        <v>7708</v>
      </c>
      <c r="C7760" t="str">
        <f>IFERROR(__xludf.DUMMYFUNCTION("GOOGLETRANSLATE(B7760, ""es"", ""en"")"),"Good price / performance running without any problem RAID 5 are noticed very fast, obviously not as an SSD but with the advantage of space.")</f>
        <v>Good price / performance running without any problem RAID 5 are noticed very fast, obviously not as an SSD but with the advantage of space.</v>
      </c>
    </row>
    <row r="7761">
      <c r="A7761" s="1">
        <v>5.0</v>
      </c>
      <c r="B7761" s="1" t="s">
        <v>7709</v>
      </c>
      <c r="C7761" t="str">
        <f>IFERROR(__xludf.DUMMYFUNCTION("GOOGLETRANSLATE(B7761, ""es"", ""en"")"),"All right Guay")</f>
        <v>All right Guay</v>
      </c>
    </row>
    <row r="7762">
      <c r="A7762" s="1">
        <v>5.0</v>
      </c>
      <c r="B7762" s="1" t="s">
        <v>7710</v>
      </c>
      <c r="C7762" t="str">
        <f>IFERROR(__xludf.DUMMYFUNCTION("GOOGLETRANSLATE(B7762, ""es"", ""en"")"),"It's like the original I bought as a replacement, although I have not used, but the original works perfectly, collects water that can drain more or less depending on your tastes thanks to the mechanism on the stick")</f>
        <v>It's like the original I bought as a replacement, although I have not used, but the original works perfectly, collects water that can drain more or less depending on your tastes thanks to the mechanism on the stick</v>
      </c>
    </row>
    <row r="7763">
      <c r="A7763" s="1">
        <v>5.0</v>
      </c>
      <c r="B7763" s="1" t="s">
        <v>7711</v>
      </c>
      <c r="C7763" t="str">
        <f>IFERROR(__xludf.DUMMYFUNCTION("GOOGLETRANSLATE(B7763, ""es"", ""en"")"),"It turned out to be really happy offering, meets the quality, texture outside is very smooth and well finished seams. That if the texture of the fabric inside is slightly rougher. I bought the L size since this firm size slightly smaller than normal")</f>
        <v>It turned out to be really happy offering, meets the quality, texture outside is very smooth and well finished seams. That if the texture of the fabric inside is slightly rougher. I bought the L size since this firm size slightly smaller than normal</v>
      </c>
    </row>
    <row r="7764">
      <c r="A7764" s="1">
        <v>5.0</v>
      </c>
      <c r="B7764" s="1" t="s">
        <v>7712</v>
      </c>
      <c r="C7764" t="str">
        <f>IFERROR(__xludf.DUMMYFUNCTION("GOOGLETRANSLATE(B7764, ""es"", ""en"")"),"Comfort Very comfortable")</f>
        <v>Comfort Very comfortable</v>
      </c>
    </row>
    <row r="7765">
      <c r="A7765" s="1">
        <v>5.0</v>
      </c>
      <c r="B7765" s="1" t="s">
        <v>7713</v>
      </c>
      <c r="C7765" t="str">
        <f>IFERROR(__xludf.DUMMYFUNCTION("GOOGLETRANSLATE(B7765, ""es"", ""en"")"),"Very comfortable very comfortable. I bought them for a very sensitive person feet and is delighted. A being of cloth and white are not so easy to clean but well worth it")</f>
        <v>Very comfortable very comfortable. I bought them for a very sensitive person feet and is delighted. A being of cloth and white are not so easy to clean but well worth it</v>
      </c>
    </row>
    <row r="7766">
      <c r="A7766" s="1">
        <v>5.0</v>
      </c>
      <c r="B7766" s="1" t="s">
        <v>7714</v>
      </c>
      <c r="C7766" t="str">
        <f>IFERROR(__xludf.DUMMYFUNCTION("GOOGLETRANSLATE(B7766, ""es"", ""en"")"),"Second life computer If you want to give a second life to your computer, do not hesitate to inflame few seconds.")</f>
        <v>Second life computer If you want to give a second life to your computer, do not hesitate to inflame few seconds.</v>
      </c>
    </row>
    <row r="7767">
      <c r="A7767" s="1">
        <v>5.0</v>
      </c>
      <c r="B7767" s="1" t="s">
        <v>7715</v>
      </c>
      <c r="C7767" t="str">
        <f>IFERROR(__xludf.DUMMYFUNCTION("GOOGLETRANSLATE(B7767, ""es"", ""en"")"),"Very good deal price was extraordinary (if I had not bought another ssd I liked a bit more). It works well and install it on the laptop has been no brainer. Yes, for those who want to put on a laptop, you need a SATA-USB cable. No cloning software brings,"&amp;" you have to download one. Web SanDisk pretty bad.")</f>
        <v>Very good deal price was extraordinary (if I had not bought another ssd I liked a bit more). It works well and install it on the laptop has been no brainer. Yes, for those who want to put on a laptop, you need a SATA-USB cable. No cloning software brings, you have to download one. Web SanDisk pretty bad.</v>
      </c>
    </row>
    <row r="7768">
      <c r="A7768" s="1">
        <v>5.0</v>
      </c>
      <c r="B7768" s="1" t="s">
        <v>7716</v>
      </c>
      <c r="C7768" t="str">
        <f>IFERROR(__xludf.DUMMYFUNCTION("GOOGLETRANSLATE(B7768, ""es"", ""en"")"),"I love I wear them all day and comfortable Bonitas very happy with the purchase, I'm thinking about buying other white")</f>
        <v>I love I wear them all day and comfortable Bonitas very happy with the purchase, I'm thinking about buying other white</v>
      </c>
    </row>
    <row r="7769">
      <c r="A7769" s="1">
        <v>5.0</v>
      </c>
      <c r="B7769" s="1" t="s">
        <v>7717</v>
      </c>
      <c r="C7769" t="str">
        <f>IFERROR(__xludf.DUMMYFUNCTION("GOOGLETRANSLATE(B7769, ""es"", ""en"")"),"Ideal Fantastic")</f>
        <v>Ideal Fantastic</v>
      </c>
    </row>
    <row r="7770">
      <c r="A7770" s="1">
        <v>5.0</v>
      </c>
      <c r="B7770" s="1" t="s">
        <v>7718</v>
      </c>
      <c r="C7770" t="str">
        <f>IFERROR(__xludf.DUMMYFUNCTION("GOOGLETRANSLATE(B7770, ""es"", ""en"")"),"Compraza authentic. Compraza. On the first day, 100 6TB euros, unmatched. The disc is normal, makes some noise during writing, but no more than any other album like this. I am delighted. I've only been using it since July 18, 2019, in case of failure woul"&amp;"d publish the opinion.")</f>
        <v>Compraza authentic. Compraza. On the first day, 100 6TB euros, unmatched. The disc is normal, makes some noise during writing, but no more than any other album like this. I am delighted. I've only been using it since July 18, 2019, in case of failure would publish the opinion.</v>
      </c>
    </row>
    <row r="7771">
      <c r="A7771" s="1">
        <v>5.0</v>
      </c>
      <c r="B7771" s="1" t="s">
        <v>7719</v>
      </c>
      <c r="C7771" t="str">
        <f>IFERROR(__xludf.DUMMYFUNCTION("GOOGLETRANSLATE(B7771, ""es"", ""en"")"),"Great for art school is what esperavanos")</f>
        <v>Great for art school is what esperavanos</v>
      </c>
    </row>
    <row r="7772">
      <c r="A7772" s="1">
        <v>5.0</v>
      </c>
      <c r="B7772" s="1" t="s">
        <v>7720</v>
      </c>
      <c r="C7772" t="str">
        <f>IFERROR(__xludf.DUMMYFUNCTION("GOOGLETRANSLATE(B7772, ""es"", ""en"")"),"Really cute ... I loved. Very original and beautiful. I do not know is how long the brightness, but hey, I liked it and liked it, and is very original. I recommend it to one hundred percent.")</f>
        <v>Really cute ... I loved. Very original and beautiful. I do not know is how long the brightness, but hey, I liked it and liked it, and is very original. I recommend it to one hundred percent.</v>
      </c>
    </row>
    <row r="7773">
      <c r="A7773" s="1">
        <v>5.0</v>
      </c>
      <c r="B7773" s="1" t="s">
        <v>7721</v>
      </c>
      <c r="C7773" t="str">
        <f>IFERROR(__xludf.DUMMYFUNCTION("GOOGLETRANSLATE(B7773, ""es"", ""en"")"),"PROPER LE LAY 5 STARS BECAUSE value is more than correct, are quite large and they look good, unpretentious ARE LO VE QUESE.")</f>
        <v>PROPER LE LAY 5 STARS BECAUSE value is more than correct, are quite large and they look good, unpretentious ARE LO VE QUESE.</v>
      </c>
    </row>
    <row r="7774">
      <c r="A7774" s="1">
        <v>2.0</v>
      </c>
      <c r="B7774" s="1" t="s">
        <v>7722</v>
      </c>
      <c r="C7774" t="str">
        <f>IFERROR(__xludf.DUMMYFUNCTION("GOOGLETRANSLATE(B7774, ""es"", ""en"")"),"Bluetooth headset The one on the other side says you hear more ambient noise that the voice of the wearer, is not recommended, it matches well with the other and with the phone but what is the sound pretty bad")</f>
        <v>Bluetooth headset The one on the other side says you hear more ambient noise that the voice of the wearer, is not recommended, it matches well with the other and with the phone but what is the sound pretty bad</v>
      </c>
    </row>
    <row r="7775">
      <c r="A7775" s="1">
        <v>3.0</v>
      </c>
      <c r="B7775" s="1" t="s">
        <v>7723</v>
      </c>
      <c r="C7775" t="str">
        <f>IFERROR(__xludf.DUMMYFUNCTION("GOOGLETRANSLATE(B7775, ""es"", ""en"")"),"Currently there meh goes wrong.")</f>
        <v>Currently there meh goes wrong.</v>
      </c>
    </row>
    <row r="7776">
      <c r="A7776" s="1">
        <v>3.0</v>
      </c>
      <c r="B7776" s="1" t="s">
        <v>7724</v>
      </c>
      <c r="C7776" t="str">
        <f>IFERROR(__xludf.DUMMYFUNCTION("GOOGLETRANSLATE(B7776, ""es"", ""en"")"),"Electric toothbrush does not get to fully convince. My enteneder missing among other things several accessory. Bag to collect Biruta of brushing. Guide to set band brushing. Should you need to acquire another brush. Would not this.")</f>
        <v>Electric toothbrush does not get to fully convince. My enteneder missing among other things several accessory. Bag to collect Biruta of brushing. Guide to set band brushing. Should you need to acquire another brush. Would not this.</v>
      </c>
    </row>
    <row r="7777">
      <c r="A7777" s="1">
        <v>1.0</v>
      </c>
      <c r="B7777" s="1" t="s">
        <v>7725</v>
      </c>
      <c r="C7777" t="str">
        <f>IFERROR(__xludf.DUMMYFUNCTION("GOOGLETRANSLATE(B7777, ""es"", ""en"")"),"I not thought it was 3.0 3.0 is only 2.0 but the price is right.")</f>
        <v>I not thought it was 3.0 3.0 is only 2.0 but the price is right.</v>
      </c>
    </row>
    <row r="7778">
      <c r="A7778" s="1">
        <v>1.0</v>
      </c>
      <c r="B7778" s="1" t="s">
        <v>7726</v>
      </c>
      <c r="C7778" t="str">
        <f>IFERROR(__xludf.DUMMYFUNCTION("GOOGLETRANSLATE(B7778, ""es"", ""en"")"),"That will not be broken and I")</f>
        <v>That will not be broken and I</v>
      </c>
    </row>
    <row r="7779">
      <c r="A7779" s="1">
        <v>4.0</v>
      </c>
      <c r="B7779" s="1" t="s">
        <v>7727</v>
      </c>
      <c r="C7779" t="str">
        <f>IFERROR(__xludf.DUMMYFUNCTION("GOOGLETRANSLATE(B7779, ""es"", ""en"")"),"They are well are good are very nice although the quality normalucha. I asked for my number and are sueltecillas.")</f>
        <v>They are well are good are very nice although the quality normalucha. I asked for my number and are sueltecillas.</v>
      </c>
    </row>
    <row r="7780">
      <c r="A7780" s="1">
        <v>4.0</v>
      </c>
      <c r="B7780" s="1" t="s">
        <v>7728</v>
      </c>
      <c r="C7780" t="str">
        <f>IFERROR(__xludf.DUMMYFUNCTION("GOOGLETRANSLATE(B7780, ""es"", ""en"")"),"Good product good product, makes its function")</f>
        <v>Good product good product, makes its function</v>
      </c>
    </row>
    <row r="7781">
      <c r="A7781" s="1">
        <v>4.0</v>
      </c>
      <c r="B7781" s="1" t="s">
        <v>7729</v>
      </c>
      <c r="C7781" t="str">
        <f>IFERROR(__xludf.DUMMYFUNCTION("GOOGLETRANSLATE(B7781, ""es"", ""en"")"),"The great white shoe meets expectations but is a bit big, about the same number in other Nike")</f>
        <v>The great white shoe meets expectations but is a bit big, about the same number in other Nike</v>
      </c>
    </row>
    <row r="7782">
      <c r="A7782" s="1">
        <v>4.0</v>
      </c>
      <c r="B7782" s="1" t="s">
        <v>7730</v>
      </c>
      <c r="C7782" t="str">
        <f>IFERROR(__xludf.DUMMYFUNCTION("GOOGLETRANSLATE(B7782, ""es"", ""en"")"),"Very good product and shipping very well. It would be nice to include a brief description of the software park")</f>
        <v>Very good product and shipping very well. It would be nice to include a brief description of the software park</v>
      </c>
    </row>
    <row r="7783">
      <c r="A7783" s="1">
        <v>5.0</v>
      </c>
      <c r="B7783" s="1" t="s">
        <v>7731</v>
      </c>
      <c r="C7783" t="str">
        <f>IFERROR(__xludf.DUMMYFUNCTION("GOOGLETRANSLATE(B7783, ""es"", ""en"")"),"Super installed it on my old Vaio 2007 that had an HDD (mechanical drive) of 5400 rpm and installed Windows 10. The change has been amazing. I've gone from never wanting to use it and throw it to buy a new laptop to work with him daily to browse, read mai"&amp;"l etc, at the rate that would give me one today. It improves the speed of loading the operating system and the programs load greatly. RECOMMENDED!")</f>
        <v>Super installed it on my old Vaio 2007 that had an HDD (mechanical drive) of 5400 rpm and installed Windows 10. The change has been amazing. I've gone from never wanting to use it and throw it to buy a new laptop to work with him daily to browse, read mail etc, at the rate that would give me one today. It improves the speed of loading the operating system and the programs load greatly. RECOMMENDED!</v>
      </c>
    </row>
    <row r="7784">
      <c r="A7784" s="1">
        <v>5.0</v>
      </c>
      <c r="B7784" s="1" t="s">
        <v>7732</v>
      </c>
      <c r="C7784" t="str">
        <f>IFERROR(__xludf.DUMMYFUNCTION("GOOGLETRANSLATE(B7784, ""es"", ""en"")"),"Very useful practical, useful and good quality / price ratio. It works perfectly, I've tried the phone and reads very smoothly")</f>
        <v>Very useful practical, useful and good quality / price ratio. It works perfectly, I've tried the phone and reads very smoothly</v>
      </c>
    </row>
    <row r="7785">
      <c r="A7785" s="1">
        <v>5.0</v>
      </c>
      <c r="B7785" s="1" t="s">
        <v>7733</v>
      </c>
      <c r="C7785" t="str">
        <f>IFERROR(__xludf.DUMMYFUNCTION("GOOGLETRANSLATE(B7785, ""es"", ""en"")"),"Perfect Fits perfectly to the body. unbeatable price. It is seen to be of very good quality. Transpires perfectly. Very comfortable.")</f>
        <v>Perfect Fits perfectly to the body. unbeatable price. It is seen to be of very good quality. Transpires perfectly. Very comfortable.</v>
      </c>
    </row>
    <row r="7786">
      <c r="A7786" s="1">
        <v>5.0</v>
      </c>
      <c r="B7786" s="1" t="s">
        <v>7734</v>
      </c>
      <c r="C7786" t="str">
        <f>IFERROR(__xludf.DUMMYFUNCTION("GOOGLETRANSLATE(B7786, ""es"", ""en"")"),"It is very good buy just what I wanted")</f>
        <v>It is very good buy just what I wanted</v>
      </c>
    </row>
    <row r="7787">
      <c r="A7787" s="1">
        <v>5.0</v>
      </c>
      <c r="B7787" s="1" t="s">
        <v>7735</v>
      </c>
      <c r="C7787" t="str">
        <f>IFERROR(__xludf.DUMMYFUNCTION("GOOGLETRANSLATE(B7787, ""es"", ""en"")"),"Lovely design and quality materials. The design is beautiful, it is very light and comfortable to wear. It has several compartments that make it very practical and brings headphone output. The material is resistant and zippers are quality.")</f>
        <v>Lovely design and quality materials. The design is beautiful, it is very light and comfortable to wear. It has several compartments that make it very practical and brings headphone output. The material is resistant and zippers are quality.</v>
      </c>
    </row>
    <row r="7788">
      <c r="A7788" s="1">
        <v>5.0</v>
      </c>
      <c r="B7788" s="1" t="s">
        <v>7736</v>
      </c>
      <c r="C7788" t="str">
        <f>IFERROR(__xludf.DUMMYFUNCTION("GOOGLETRANSLATE(B7788, ""es"", ""en"")"),"Almoadilla very comfortable Very simple and convenient to use, is perfect for cervical and fits perfectly to the neck and shoulders, has three speeds and heats up very fast, for me it is very important to the safety shutdown at 90 min to avoid any risks i"&amp;"t is very smooth.")</f>
        <v>Almoadilla very comfortable Very simple and convenient to use, is perfect for cervical and fits perfectly to the neck and shoulders, has three speeds and heats up very fast, for me it is very important to the safety shutdown at 90 min to avoid any risks it is very smooth.</v>
      </c>
    </row>
    <row r="7789">
      <c r="A7789" s="1">
        <v>5.0</v>
      </c>
      <c r="B7789" s="1" t="s">
        <v>7737</v>
      </c>
      <c r="C7789" t="str">
        <f>IFERROR(__xludf.DUMMYFUNCTION("GOOGLETRANSLATE(B7789, ""es"", ""en"")"),"Can be washed, the cable can be unplugged pad My wife and I are delighted. It's comfortable, you forget you're wearing it, which is a good sign because it means doing your function correctly soothe the pain of neck and shoulders. It has three levels of he"&amp;"at, and the 3rd is able to pass several layers of clothing. Furthermore, the raised portion causes heat to sit on top of the neck. The cable can be unplugged from the pad and this can put the washing machine according puts in the instructions, but with th"&amp;"e removed cable. The cable is quite long, I have not missed more length. It quenches only half an hour and three positions and has to adjust the engagement of the neck. Value think it's the best you can find.")</f>
        <v>Can be washed, the cable can be unplugged pad My wife and I are delighted. It's comfortable, you forget you're wearing it, which is a good sign because it means doing your function correctly soothe the pain of neck and shoulders. It has three levels of heat, and the 3rd is able to pass several layers of clothing. Furthermore, the raised portion causes heat to sit on top of the neck. The cable can be unplugged from the pad and this can put the washing machine according puts in the instructions, but with the removed cable. The cable is quite long, I have not missed more length. It quenches only half an hour and three positions and has to adjust the engagement of the neck. Value think it's the best you can find.</v>
      </c>
    </row>
    <row r="7790">
      <c r="A7790" s="1">
        <v>5.0</v>
      </c>
      <c r="B7790" s="1" t="s">
        <v>7738</v>
      </c>
      <c r="C7790" t="str">
        <f>IFERROR(__xludf.DUMMYFUNCTION("GOOGLETRANSLATE(B7790, ""es"", ""en"")"),"Good price for now is perfect in canon 5d mark iv. I can not ensure that it meets the speed of 170MB q announced.")</f>
        <v>Good price for now is perfect in canon 5d mark iv. I can not ensure that it meets the speed of 170MB q announced.</v>
      </c>
    </row>
    <row r="7791">
      <c r="A7791" s="1">
        <v>5.0</v>
      </c>
      <c r="B7791" s="1" t="s">
        <v>7739</v>
      </c>
      <c r="C7791" t="str">
        <f>IFERROR(__xludf.DUMMYFUNCTION("GOOGLETRANSLATE(B7791, ""es"", ""en"")"),"It has exceeded our expectations Several friends we had spoken well of such devices, but did not imagine that I could remove as much dust / lint. Plug it in when not at home and takes care of everything. Curious when he returns to the charging station aft"&amp;"er his ""workday"" hehe")</f>
        <v>It has exceeded our expectations Several friends we had spoken well of such devices, but did not imagine that I could remove as much dust / lint. Plug it in when not at home and takes care of everything. Curious when he returns to the charging station after his "workday" hehe</v>
      </c>
    </row>
    <row r="7792">
      <c r="A7792" s="1">
        <v>5.0</v>
      </c>
      <c r="B7792" s="1" t="s">
        <v>7740</v>
      </c>
      <c r="C7792" t="str">
        <f>IFERROR(__xludf.DUMMYFUNCTION("GOOGLETRANSLATE(B7792, ""es"", ""en"")"),"What I was looking headphones perfectly fit my ears as I continually out some. The sound quality is very good. I use to go out with the bike and fits perfectly what he was looking for, and that having the headphones connected to the cable and to secure it"&amp;" with the clip to your clothes are not lost.")</f>
        <v>What I was looking headphones perfectly fit my ears as I continually out some. The sound quality is very good. I use to go out with the bike and fits perfectly what he was looking for, and that having the headphones connected to the cable and to secure it with the clip to your clothes are not lost.</v>
      </c>
    </row>
    <row r="7793">
      <c r="A7793" s="1">
        <v>5.0</v>
      </c>
      <c r="B7793" s="1" t="s">
        <v>7741</v>
      </c>
      <c r="C7793" t="str">
        <f>IFERROR(__xludf.DUMMYFUNCTION("GOOGLETRANSLATE(B7793, ""es"", ""en"")"),"The aesthetic meet expectations is unimportant, memories work well, I have not noticed that warm and the team seems to respond well. I spent 4 GB with very low latencies these 16GB with latencies somewhat higher but not'll use to play the truth.")</f>
        <v>The aesthetic meet expectations is unimportant, memories work well, I have not noticed that warm and the team seems to respond well. I spent 4 GB with very low latencies these 16GB with latencies somewhat higher but not'll use to play the truth.</v>
      </c>
    </row>
    <row r="7794">
      <c r="A7794" s="1">
        <v>5.0</v>
      </c>
      <c r="B7794" s="1" t="s">
        <v>7742</v>
      </c>
      <c r="C7794" t="str">
        <f>IFERROR(__xludf.DUMMYFUNCTION("GOOGLETRANSLATE(B7794, ""es"", ""en"")"),"Precious very good buy and they do not show through.")</f>
        <v>Precious very good buy and they do not show through.</v>
      </c>
    </row>
    <row r="7795">
      <c r="A7795" s="1">
        <v>5.0</v>
      </c>
      <c r="B7795" s="1" t="s">
        <v>7743</v>
      </c>
      <c r="C7795" t="str">
        <f>IFERROR(__xludf.DUMMYFUNCTION("GOOGLETRANSLATE(B7795, ""es"", ""en"")"),"Kettle high value is a very nice kettle and looks good in my office. As for its function, fairly quiet and very fast. It is lightweight, removable filter and is also comfortable. After a few days of use can leave traces on the glass minerals with a little"&amp;" vinegar removes easily.")</f>
        <v>Kettle high value is a very nice kettle and looks good in my office. As for its function, fairly quiet and very fast. It is lightweight, removable filter and is also comfortable. After a few days of use can leave traces on the glass minerals with a little vinegar removes easily.</v>
      </c>
    </row>
    <row r="7796">
      <c r="A7796" s="1">
        <v>5.0</v>
      </c>
      <c r="B7796" s="1" t="s">
        <v>7744</v>
      </c>
      <c r="C7796" t="str">
        <f>IFERROR(__xludf.DUMMYFUNCTION("GOOGLETRANSLATE(B7796, ""es"", ""en"")"),"Value for money")</f>
        <v>Value for money</v>
      </c>
    </row>
    <row r="7797">
      <c r="A7797" s="1">
        <v>5.0</v>
      </c>
      <c r="B7797" s="1" t="s">
        <v>7745</v>
      </c>
      <c r="C7797" t="str">
        <f>IFERROR(__xludf.DUMMYFUNCTION("GOOGLETRANSLATE(B7797, ""es"", ""en"")"),"USB smart very good memory and fast USB 3.0 Memory elegant, robust, high quality and reliability. With the hole you can put a keychain or ornament to keep the memory. Non incordiar reduced size. Perfect for use in the car ...")</f>
        <v>USB smart very good memory and fast USB 3.0 Memory elegant, robust, high quality and reliability. With the hole you can put a keychain or ornament to keep the memory. Non incordiar reduced size. Perfect for use in the car ...</v>
      </c>
    </row>
    <row r="7798">
      <c r="A7798" s="1">
        <v>5.0</v>
      </c>
      <c r="B7798" s="1" t="s">
        <v>7746</v>
      </c>
      <c r="C7798" t="str">
        <f>IFERROR(__xludf.DUMMYFUNCTION("GOOGLETRANSLATE(B7798, ""es"", ""en"")"),"Espe Very good quality exterior and interior The size is the expected I am very satisfied with the purchase Greetings Thanks")</f>
        <v>Espe Very good quality exterior and interior The size is the expected I am very satisfied with the purchase Greetings Thanks</v>
      </c>
    </row>
    <row r="7799">
      <c r="A7799" s="1">
        <v>5.0</v>
      </c>
      <c r="B7799" s="1" t="s">
        <v>7747</v>
      </c>
      <c r="C7799" t="str">
        <f>IFERROR(__xludf.DUMMYFUNCTION("GOOGLETRANSLATE(B7799, ""es"", ""en"")"),"The cheapest and easiest way to expand disk I have long wanted to expand the memory of my laptop Mac Book Pro 2016, which came with 512GB SSD hard drive. Very quick and efficient but certainly small. Buy another Mac with 1TB or 2TB SSD is very expensive a"&amp;"nd small disks look like this Samsung. 1Tb version is light and robust and at this price so affordable I decided to try. The writing speed exceeds 560MB / sec and actual reading the 600Mb / s sealmente very fast and heated only slightly, not as other SSDs"&amp;" almost burned. This remains warm and performs very well. The practical part is that being so small I could put it on my laptop in a craft way with a simple double-sided Velcro, which supports me no problem and removal disk for storage. This does not both"&amp;"er formed by the table and I can tranajar now with 1.5 Tb smoothly. Highly recommended !!")</f>
        <v>The cheapest and easiest way to expand disk I have long wanted to expand the memory of my laptop Mac Book Pro 2016, which came with 512GB SSD hard drive. Very quick and efficient but certainly small. Buy another Mac with 1TB or 2TB SSD is very expensive and small disks look like this Samsung. 1Tb version is light and robust and at this price so affordable I decided to try. The writing speed exceeds 560MB / sec and actual reading the 600Mb / s sealmente very fast and heated only slightly, not as other SSDs almost burned. This remains warm and performs very well. The practical part is that being so small I could put it on my laptop in a craft way with a simple double-sided Velcro, which supports me no problem and removal disk for storage. This does not bother formed by the table and I can tranajar now with 1.5 Tb smoothly. Highly recommended !!</v>
      </c>
    </row>
    <row r="7800">
      <c r="A7800" s="1">
        <v>5.0</v>
      </c>
      <c r="B7800" s="1" t="s">
        <v>7748</v>
      </c>
      <c r="C7800" t="str">
        <f>IFERROR(__xludf.DUMMYFUNCTION("GOOGLETRANSLATE(B7800, ""es"", ""en"")"),"Very nice quality and looking and looking very nice quality. Ideal for a gift to a woman. Very good price.")</f>
        <v>Very nice quality and looking and looking very nice quality. Ideal for a gift to a woman. Very good price.</v>
      </c>
    </row>
    <row r="7801">
      <c r="A7801" s="1">
        <v>5.0</v>
      </c>
      <c r="B7801" s="1" t="s">
        <v>7749</v>
      </c>
      <c r="C7801" t="str">
        <f>IFERROR(__xludf.DUMMYFUNCTION("GOOGLETRANSLATE(B7801, ""es"", ""en"")"),"Very good buy Las bought for some hiking trail in the mountains, but also take on the day. They are very comfortable and maintain the foot completely dry on rainy days.")</f>
        <v>Very good buy Las bought for some hiking trail in the mountains, but also take on the day. They are very comfortable and maintain the foot completely dry on rainy days.</v>
      </c>
    </row>
    <row r="7802">
      <c r="A7802" s="1">
        <v>2.0</v>
      </c>
      <c r="B7802" s="1" t="s">
        <v>7750</v>
      </c>
      <c r="C7802" t="str">
        <f>IFERROR(__xludf.DUMMYFUNCTION("GOOGLETRANSLATE(B7802, ""es"", ""en"")"),"Devolution is too large because they are mean average caña.Queria test compression stockings also said to be the result comprarlas.Han wrong because I paid for two .I have supplied two packages with two half but in each half-round. I mean I'm not going to"&amp;" use either try when I see the error will echo the orden.Considero that sometimes the wrong make haste to forgive and not hold interesados.Yo represalias.Atentamente Juan Carreto")</f>
        <v>Devolution is too large because they are mean average caña.Queria test compression stockings also said to be the result comprarlas.Han wrong because I paid for two .I have supplied two packages with two half but in each half-round. I mean I'm not going to use either try when I see the error will echo the orden.Considero that sometimes the wrong make haste to forgive and not hold interesados.Yo represalias.Atentamente Juan Carreto</v>
      </c>
    </row>
    <row r="7803">
      <c r="A7803" s="1">
        <v>3.0</v>
      </c>
      <c r="B7803" s="1" t="s">
        <v>7751</v>
      </c>
      <c r="C7803" t="str">
        <f>IFERROR(__xludf.DUMMYFUNCTION("GOOGLETRANSLATE(B7803, ""es"", ""en"")"),"Underpowered underpowered, I was waiting for better")</f>
        <v>Underpowered underpowered, I was waiting for better</v>
      </c>
    </row>
    <row r="7804">
      <c r="A7804" s="1">
        <v>3.0</v>
      </c>
      <c r="B7804" s="1" t="s">
        <v>7752</v>
      </c>
      <c r="C7804" t="str">
        <f>IFERROR(__xludf.DUMMYFUNCTION("GOOGLETRANSLATE(B7804, ""es"", ""en"")"),"it fulfills its function and quality is acceptable (neither very good nor bad) a recommendable product out of step.")</f>
        <v>it fulfills its function and quality is acceptable (neither very good nor bad) a recommendable product out of step.</v>
      </c>
    </row>
    <row r="7805">
      <c r="A7805" s="1">
        <v>1.0</v>
      </c>
      <c r="B7805" s="1" t="s">
        <v>7753</v>
      </c>
      <c r="C7805" t="str">
        <f>IFERROR(__xludf.DUMMYFUNCTION("GOOGLETRANSLATE(B7805, ""es"", ""en"")"),"Broken Wine broken")</f>
        <v>Broken Wine broken</v>
      </c>
    </row>
    <row r="7806">
      <c r="A7806" s="1">
        <v>1.0</v>
      </c>
      <c r="B7806" s="1" t="s">
        <v>7754</v>
      </c>
      <c r="C7806" t="str">
        <f>IFERROR(__xludf.DUMMYFUNCTION("GOOGLETRANSLATE(B7806, ""es"", ""en"")"),"Poor Quality shoes row passado 3 Mezes will be broken by side.")</f>
        <v>Poor Quality shoes row passado 3 Mezes will be broken by side.</v>
      </c>
    </row>
    <row r="7807">
      <c r="A7807" s="1">
        <v>4.0</v>
      </c>
      <c r="B7807" s="1" t="s">
        <v>7755</v>
      </c>
      <c r="C7807" t="str">
        <f>IFERROR(__xludf.DUMMYFUNCTION("GOOGLETRANSLATE(B7807, ""es"", ""en"")"),"Comfortable is very comfortable to put and not wearing zippers buttons I have a 40 or M and I had to ask for a Xl and I look good in blue is nice but not as photo")</f>
        <v>Comfortable is very comfortable to put and not wearing zippers buttons I have a 40 or M and I had to ask for a Xl and I look good in blue is nice but not as photo</v>
      </c>
    </row>
    <row r="7808">
      <c r="A7808" s="1">
        <v>4.0</v>
      </c>
      <c r="B7808" s="1" t="s">
        <v>7756</v>
      </c>
      <c r="C7808" t="str">
        <f>IFERROR(__xludf.DUMMYFUNCTION("GOOGLETRANSLATE(B7808, ""es"", ""en"")"),"effective is quite easy to handle, non-staining on clothing and is effective to reduce pain")</f>
        <v>effective is quite easy to handle, non-staining on clothing and is effective to reduce pain</v>
      </c>
    </row>
    <row r="7809">
      <c r="A7809" s="1">
        <v>4.0</v>
      </c>
      <c r="B7809" s="1" t="s">
        <v>7757</v>
      </c>
      <c r="C7809" t="str">
        <f>IFERROR(__xludf.DUMMYFUNCTION("GOOGLETRANSLATE(B7809, ""es"", ""en"")"),"Unbeatable value. Use I give these headphones it is primarily to connect to the laptop, tablet or mobile and play series and movies. The quality of the sound it offers is more than acceptable for the price tiene.Son placed in the ear comfortable, soft tou"&amp;"ch imitating the skin and does not pass as other headphones when you take a lot with them they hurt the ears or sweat.")</f>
        <v>Unbeatable value. Use I give these headphones it is primarily to connect to the laptop, tablet or mobile and play series and movies. The quality of the sound it offers is more than acceptable for the price tiene.Son placed in the ear comfortable, soft touch imitating the skin and does not pass as other headphones when you take a lot with them they hurt the ears or sweat.</v>
      </c>
    </row>
    <row r="7810">
      <c r="A7810" s="1">
        <v>4.0</v>
      </c>
      <c r="B7810" s="1" t="s">
        <v>7758</v>
      </c>
      <c r="C7810" t="str">
        <f>IFERROR(__xludf.DUMMYFUNCTION("GOOGLETRANSLATE(B7810, ""es"", ""en"")"),"Happy with the purchase but no yellow laces. The boots arrived in the specified time. Size is correct. They came well packaged and in its original box, all that was not the characteristic yellow pair of shoelaces :( I'm happy with the purchase because I l"&amp;"eft at half price of what usually cost.")</f>
        <v>Happy with the purchase but no yellow laces. The boots arrived in the specified time. Size is correct. They came well packaged and in its original box, all that was not the characteristic yellow pair of shoelaces :( I'm happy with the purchase because I left at half price of what usually cost.</v>
      </c>
    </row>
    <row r="7811">
      <c r="A7811" s="1">
        <v>4.0</v>
      </c>
      <c r="B7811" s="1" t="s">
        <v>7759</v>
      </c>
      <c r="C7811" t="str">
        <f>IFERROR(__xludf.DUMMYFUNCTION("GOOGLETRANSLATE(B7811, ""es"", ""en"")"),"The same as stationery are the same as those we buy at the stationery only cheaper")</f>
        <v>The same as stationery are the same as those we buy at the stationery only cheaper</v>
      </c>
    </row>
    <row r="7812">
      <c r="A7812" s="1">
        <v>5.0</v>
      </c>
      <c r="B7812" s="1" t="s">
        <v>7760</v>
      </c>
      <c r="C7812" t="str">
        <f>IFERROR(__xludf.DUMMYFUNCTION("GOOGLETRANSLATE(B7812, ""es"", ""en"")"),"Wonder Works great. He had one of the Chinese and was an ordeal to work with. This is the opposite, it works very smooth and cut the tape first.")</f>
        <v>Wonder Works great. He had one of the Chinese and was an ordeal to work with. This is the opposite, it works very smooth and cut the tape first.</v>
      </c>
    </row>
    <row r="7813">
      <c r="A7813" s="1">
        <v>5.0</v>
      </c>
      <c r="B7813" s="1" t="s">
        <v>7761</v>
      </c>
      <c r="C7813" t="str">
        <f>IFERROR(__xludf.DUMMYFUNCTION("GOOGLETRANSLATE(B7813, ""es"", ""en"")"),"Very good very good and nice, but the first day the teacher threw it away because I told him that was not reusable ... 😅")</f>
        <v>Very good very good and nice, but the first day the teacher threw it away because I told him that was not reusable ... 😅</v>
      </c>
    </row>
    <row r="7814">
      <c r="A7814" s="1">
        <v>5.0</v>
      </c>
      <c r="B7814" s="1" t="s">
        <v>7762</v>
      </c>
      <c r="C7814" t="str">
        <f>IFERROR(__xludf.DUMMYFUNCTION("GOOGLETRANSLATE(B7814, ""es"", ""en"")"),"Blessed ... 😊 invention is beautiful and not as big as I thought. Operation is simple, when you get the hang of reeds throw you out perfect. You have to wet the glass, tilt 45 degrees and pull the lever towards you decisively. In glass becomes less foam "&amp;"in glass elongated. It is essential to have an kegs cold refrigerator, so that the change is instantaneous. I found that if you are not very very cold out more foam than usual. Also if you do not use it in a couple of days the first rod runs quite foam .."&amp;".. There is nothing perfect. What about the noise: when you use it or change barrel, the compressor works for a few seconds. Then it does not make any noise. At the least to me. We will see in summer heat ... Pros: You have several brands of beer availabl"&amp;"e on its website (thesub). It is appreciated because my Heineken does not make me very funny indeed. They have an Austrian IPA is amazing. And the Afliggem is very good too. Sending barrels (Torp) by the brand is very fast. They usually have deals. Someti"&amp;"mes we do not have stock but restock almost every day. Cons: Each Torp gives you for about 8 ten rods .... always one cooling the frigo, warned / as you are .... you have a danger ..... you fill the glass without stopping ..... Hahaha! EDIT: They just add"&amp;" Amstel and Cruzcampo, I guess for the summer .... 😊")</f>
        <v>Blessed ... 😊 invention is beautiful and not as big as I thought. Operation is simple, when you get the hang of reeds throw you out perfect. You have to wet the glass, tilt 45 degrees and pull the lever towards you decisively. In glass becomes less foam in glass elongated. It is essential to have an kegs cold refrigerator, so that the change is instantaneous. I found that if you are not very very cold out more foam than usual. Also if you do not use it in a couple of days the first rod runs quite foam .... There is nothing perfect. What about the noise: when you use it or change barrel, the compressor works for a few seconds. Then it does not make any noise. At the least to me. We will see in summer heat ... Pros: You have several brands of beer available on its website (thesub). It is appreciated because my Heineken does not make me very funny indeed. They have an Austrian IPA is amazing. And the Afliggem is very good too. Sending barrels (Torp) by the brand is very fast. They usually have deals. Sometimes we do not have stock but restock almost every day. Cons: Each Torp gives you for about 8 ten rods .... always one cooling the frigo, warned / as you are .... you have a danger ..... you fill the glass without stopping ..... Hahaha! EDIT: They just add Amstel and Cruzcampo, I guess for the summer .... 😊</v>
      </c>
    </row>
    <row r="7815">
      <c r="A7815" s="1">
        <v>5.0</v>
      </c>
      <c r="B7815" s="1" t="s">
        <v>7763</v>
      </c>
      <c r="C7815" t="str">
        <f>IFERROR(__xludf.DUMMYFUNCTION("GOOGLETRANSLATE(B7815, ""es"", ""en"")"),"IDEAL used it to take long walks with my dogs through fields and mountain, protected from the cool and do sweat a lot, poara what I wanted it perfect,")</f>
        <v>IDEAL used it to take long walks with my dogs through fields and mountain, protected from the cool and do sweat a lot, poara what I wanted it perfect,</v>
      </c>
    </row>
    <row r="7816">
      <c r="A7816" s="1">
        <v>5.0</v>
      </c>
      <c r="B7816" s="1" t="s">
        <v>7764</v>
      </c>
      <c r="C7816" t="str">
        <f>IFERROR(__xludf.DUMMYFUNCTION("GOOGLETRANSLATE(B7816, ""es"", ""en"")"),"Perfect. All luxury. Comfortable and are spectacular. I recommend, better than the boots of this brand. And easily washable !!!! .")</f>
        <v>Perfect. All luxury. Comfortable and are spectacular. I recommend, better than the boots of this brand. And easily washable !!!! .</v>
      </c>
    </row>
    <row r="7817">
      <c r="A7817" s="1">
        <v>5.0</v>
      </c>
      <c r="B7817" s="1" t="s">
        <v>7765</v>
      </c>
      <c r="C7817" t="str">
        <f>IFERROR(__xludf.DUMMYFUNCTION("GOOGLETRANSLATE(B7817, ""es"", ""en"")"),"Perfect arrived on time and as expected")</f>
        <v>Perfect arrived on time and as expected</v>
      </c>
    </row>
    <row r="7818">
      <c r="A7818" s="1">
        <v>5.0</v>
      </c>
      <c r="B7818" s="1" t="s">
        <v>7766</v>
      </c>
      <c r="C7818" t="str">
        <f>IFERROR(__xludf.DUMMYFUNCTION("GOOGLETRANSLATE(B7818, ""es"", ""en"")"),"Everything perfect everything perfect. Looks great. You can put almost any clear clothes. And after three stranded remains the same. Best impossible. Good price. Thank you.")</f>
        <v>Everything perfect everything perfect. Looks great. You can put almost any clear clothes. And after three stranded remains the same. Best impossible. Good price. Thank you.</v>
      </c>
    </row>
    <row r="7819">
      <c r="A7819" s="1">
        <v>5.0</v>
      </c>
      <c r="B7819" s="1" t="s">
        <v>7767</v>
      </c>
      <c r="C7819" t="str">
        <f>IFERROR(__xludf.DUMMYFUNCTION("GOOGLETRANSLATE(B7819, ""es"", ""en"")"),"Very cool very cool and comfortable, warm")</f>
        <v>Very cool very cool and comfortable, warm</v>
      </c>
    </row>
    <row r="7820">
      <c r="A7820" s="1">
        <v>5.0</v>
      </c>
      <c r="B7820" s="1" t="s">
        <v>7768</v>
      </c>
      <c r="C7820" t="str">
        <f>IFERROR(__xludf.DUMMYFUNCTION("GOOGLETRANSLATE(B7820, ""es"", ""en"")"),"I love. Very happy to have bought it. In my experience the ones I like blenders are moulinex, many years broke me I had, I gave one another well-known brand but immediately gave me problems. And now that it has broken me, I bought it and is great both to "&amp;"beat as the arm emulsify sauces. And the taste .... and leaves everything very fine grinding and in seconds.")</f>
        <v>I love. Very happy to have bought it. In my experience the ones I like blenders are moulinex, many years broke me I had, I gave one another well-known brand but immediately gave me problems. And now that it has broken me, I bought it and is great both to beat as the arm emulsify sauces. And the taste .... and leaves everything very fine grinding and in seconds.</v>
      </c>
    </row>
    <row r="7821">
      <c r="A7821" s="1">
        <v>5.0</v>
      </c>
      <c r="B7821" s="1" t="s">
        <v>7769</v>
      </c>
      <c r="C7821" t="str">
        <f>IFERROR(__xludf.DUMMYFUNCTION("GOOGLETRANSLATE(B7821, ""es"", ""en"")"),"In fact, it is a version of AirPods at low prices. Headphones are good, the shape is very similar to Airpod, the quality of the sound of the battery is still good, ie, the top of the cargo is non-magnetic, the battery life of the headset can be considered"&amp;" correct the cargo warehouse can provide about two or three days electricity.")</f>
        <v>In fact, it is a version of AirPods at low prices. Headphones are good, the shape is very similar to Airpod, the quality of the sound of the battery is still good, ie, the top of the cargo is non-magnetic, the battery life of the headset can be considered correct the cargo warehouse can provide about two or three days electricity.</v>
      </c>
    </row>
    <row r="7822">
      <c r="A7822" s="1">
        <v>5.0</v>
      </c>
      <c r="B7822" s="1" t="s">
        <v>7770</v>
      </c>
      <c r="C7822" t="str">
        <f>IFERROR(__xludf.DUMMYFUNCTION("GOOGLETRANSLATE(B7822, ""es"", ""en"")"),"10/10 The quality of the product is very good, and I think a very wise choice if, as in my case would wear an elegant watch without spending much money. Buy great, totally recommended.")</f>
        <v>10/10 The quality of the product is very good, and I think a very wise choice if, as in my case would wear an elegant watch without spending much money. Buy great, totally recommended.</v>
      </c>
    </row>
    <row r="7823">
      <c r="A7823" s="1">
        <v>5.0</v>
      </c>
      <c r="B7823" s="1" t="s">
        <v>7771</v>
      </c>
      <c r="C7823" t="str">
        <f>IFERROR(__xludf.DUMMYFUNCTION("GOOGLETRANSLATE(B7823, ""es"", ""en"")"),"Well well!!")</f>
        <v>Well well!!</v>
      </c>
    </row>
    <row r="7824">
      <c r="A7824" s="1">
        <v>5.0</v>
      </c>
      <c r="B7824" s="1" t="s">
        <v>7772</v>
      </c>
      <c r="C7824" t="str">
        <f>IFERROR(__xludf.DUMMYFUNCTION("GOOGLETRANSLATE(B7824, ""es"", ""en"")"),"Socks comfortable and very adjustable. Hello, these socks are comfortable rubber bearing on the top to hold it does not bother nor too tight. They have enough rubber on the ground of the sock to hold and do not escurres with them, that's something I like "&amp;"so much. As the quality of the thread with which they are made is good and socks are not too fat. As for the size mean that serves both for a number 34 as has my daughter, for as has my wife 37 or 41 as I have are very adjustable. A greeting.")</f>
        <v>Socks comfortable and very adjustable. Hello, these socks are comfortable rubber bearing on the top to hold it does not bother nor too tight. They have enough rubber on the ground of the sock to hold and do not escurres with them, that's something I like so much. As the quality of the thread with which they are made is good and socks are not too fat. As for the size mean that serves both for a number 34 as has my daughter, for as has my wife 37 or 41 as I have are very adjustable. A greeting.</v>
      </c>
    </row>
    <row r="7825">
      <c r="A7825" s="1">
        <v>5.0</v>
      </c>
      <c r="B7825" s="1" t="s">
        <v>7773</v>
      </c>
      <c r="C7825" t="str">
        <f>IFERROR(__xludf.DUMMYFUNCTION("GOOGLETRANSLATE(B7825, ""es"", ""en"")"),"A fast and efficient high speed SSD with read / write, very fast and a trusted brand as Sandisk. Although no cloning software brings data once you download the program management SSD can download a free version of Acronis free to make copies or clone the "&amp;"primary hard drive of your computer or laptop.")</f>
        <v>A fast and efficient high speed SSD with read / write, very fast and a trusted brand as Sandisk. Although no cloning software brings data once you download the program management SSD can download a free version of Acronis free to make copies or clone the primary hard drive of your computer or laptop.</v>
      </c>
    </row>
    <row r="7826">
      <c r="A7826" s="1">
        <v>5.0</v>
      </c>
      <c r="B7826" s="1" t="s">
        <v>7774</v>
      </c>
      <c r="C7826" t="str">
        <f>IFERROR(__xludf.DUMMYFUNCTION("GOOGLETRANSLATE(B7826, ""es"", ""en"")"),"Comfort are good shoes, wear them to work every day and my feet do not suffer being standing all day")</f>
        <v>Comfort are good shoes, wear them to work every day and my feet do not suffer being standing all day</v>
      </c>
    </row>
    <row r="7827">
      <c r="A7827" s="1">
        <v>5.0</v>
      </c>
      <c r="B7827" s="1" t="s">
        <v>7775</v>
      </c>
      <c r="C7827" t="str">
        <f>IFERROR(__xludf.DUMMYFUNCTION("GOOGLETRANSLATE(B7827, ""es"", ""en"")"),"Almost perfect!! Very good helmets, perfectly fit and sound spectacular. By putting some sticks, you can not switch songs or stop when connected with 3,5mm jack cable, or the least I could not! Headphones normally if you allow that. Otherwise, a great buy"&amp;"!")</f>
        <v>Almost perfect!! Very good helmets, perfectly fit and sound spectacular. By putting some sticks, you can not switch songs or stop when connected with 3,5mm jack cable, or the least I could not! Headphones normally if you allow that. Otherwise, a great buy!</v>
      </c>
    </row>
    <row r="7828">
      <c r="A7828" s="1">
        <v>5.0</v>
      </c>
      <c r="B7828" s="1" t="s">
        <v>7776</v>
      </c>
      <c r="C7828" t="str">
        <f>IFERROR(__xludf.DUMMYFUNCTION("GOOGLETRANSLATE(B7828, ""es"", ""en"")"),"Perfect always had rolls of foil, film and paper unstored kitchen. I was very angry because the kitchen looked untidy. I saw this and it is the most practical thing I bought in a long time, and there is nothing wrong in the kitchen (there always seemed ta"&amp;"cky when she saw somewhere, lol).")</f>
        <v>Perfect always had rolls of foil, film and paper unstored kitchen. I was very angry because the kitchen looked untidy. I saw this and it is the most practical thing I bought in a long time, and there is nothing wrong in the kitchen (there always seemed tacky when she saw somewhere, lol).</v>
      </c>
    </row>
    <row r="7829">
      <c r="A7829" s="1">
        <v>5.0</v>
      </c>
      <c r="B7829" s="1" t="s">
        <v>7777</v>
      </c>
      <c r="C7829" t="str">
        <f>IFERROR(__xludf.DUMMYFUNCTION("GOOGLETRANSLATE(B7829, ""es"", ""en"")"),"Fantastico size and excellent quality, much better than I expected. I needed the right size .. Very well compartments.")</f>
        <v>Fantastico size and excellent quality, much better than I expected. I needed the right size .. Very well compartments.</v>
      </c>
    </row>
    <row r="7830">
      <c r="A7830" s="1">
        <v>5.0</v>
      </c>
      <c r="B7830" s="1" t="s">
        <v>7778</v>
      </c>
      <c r="C7830" t="str">
        <f>IFERROR(__xludf.DUMMYFUNCTION("GOOGLETRANSLATE(B7830, ""es"", ""en"")"),"Great for athletes and enemies of the in-ear headphones I have several, maybe even too many already, but I always have the problem that I do not end up convincing the-ear in headphones. Normally I try to bring all the pads, but nothing, I can hardly wear "&amp;"them with small movements fall me. It seems that I have the channel very narrow ear. For those who pass the same, you will find that these headphones are ideal. They are fastened to the top of the ear and therefore does not have the same problems as typic"&amp;"al in-ear. Some might think that the sound quality will suffer. To me, it does have a great ear for music, it seems to provide a sound quality much like any other. If it is true that isolate a little less, because although cover your whole ear, are not """&amp;"blocking"" the ear. Finally, I also think it is worth recommending for athletes, being subject to physical ear, in my case not move anything, no matter the moves you make. In addition, as shown in specifications, it has a port for microSD cards, allowing "&amp;"jogging, going to the beach, etc. and enjoy your music, but do not take mobile. Have to FM radio, I do not know what else can you ask for them!")</f>
        <v>Great for athletes and enemies of the in-ear headphones I have several, maybe even too many already, but I always have the problem that I do not end up convincing the-ear in headphones. Normally I try to bring all the pads, but nothing, I can hardly wear them with small movements fall me. It seems that I have the channel very narrow ear. For those who pass the same, you will find that these headphones are ideal. They are fastened to the top of the ear and therefore does not have the same problems as typical in-ear. Some might think that the sound quality will suffer. To me, it does have a great ear for music, it seems to provide a sound quality much like any other. If it is true that isolate a little less, because although cover your whole ear, are not "blocking" the ear. Finally, I also think it is worth recommending for athletes, being subject to physical ear, in my case not move anything, no matter the moves you make. In addition, as shown in specifications, it has a port for microSD cards, allowing jogging, going to the beach, etc. and enjoy your music, but do not take mobile. Have to FM radio, I do not know what else can you ask for them!</v>
      </c>
    </row>
    <row r="7831">
      <c r="A7831" s="1">
        <v>2.0</v>
      </c>
      <c r="B7831" s="1" t="s">
        <v>7779</v>
      </c>
      <c r="C7831" t="str">
        <f>IFERROR(__xludf.DUMMYFUNCTION("GOOGLETRANSLATE(B7831, ""es"", ""en"")"),"USB Slow No I liked it, took a while for me to use it and taste is a little slow, even on USB 3.0 ports, would not recommend.")</f>
        <v>USB Slow No I liked it, took a while for me to use it and taste is a little slow, even on USB 3.0 ports, would not recommend.</v>
      </c>
    </row>
    <row r="7832">
      <c r="A7832" s="1">
        <v>3.0</v>
      </c>
      <c r="B7832" s="1" t="s">
        <v>7780</v>
      </c>
      <c r="C7832" t="str">
        <f>IFERROR(__xludf.DUMMYFUNCTION("GOOGLETRANSLATE(B7832, ""es"", ""en"")"),"good but too small shoes The shoe itself is cute and good quality, much like the original Converse. At first glance I think it will be at the least as durable as the original Converse, because everything seems to be done the same, the same material, finis"&amp;"h, etc. The problem is that they are too small! My wife usually fits 40 but buying 41 to make sure it looks good shoes, especially on one foot which swells quite walking. However, these, being 41 does not come to him for anything, as if they were 39. The "&amp;"shoe clearly says 41 inside, so that or it was a mistake that marked a 39 and 41 or is the standard error of Chinese clothing (not sure if this fits into that category) that are pokey and sizes must always buy the least 2 or even 3 sizes above. (And this "&amp;"even though it clearly states that have European size ... but do not think it is, actually.)")</f>
        <v>good but too small shoes The shoe itself is cute and good quality, much like the original Converse. At first glance I think it will be at the least as durable as the original Converse, because everything seems to be done the same, the same material, finish, etc. The problem is that they are too small! My wife usually fits 40 but buying 41 to make sure it looks good shoes, especially on one foot which swells quite walking. However, these, being 41 does not come to him for anything, as if they were 39. The shoe clearly says 41 inside, so that or it was a mistake that marked a 39 and 41 or is the standard error of Chinese clothing (not sure if this fits into that category) that are pokey and sizes must always buy the least 2 or even 3 sizes above. (And this even though it clearly states that have European size ... but do not think it is, actually.)</v>
      </c>
    </row>
    <row r="7833">
      <c r="A7833" s="1">
        <v>3.0</v>
      </c>
      <c r="B7833" s="1" t="s">
        <v>7781</v>
      </c>
      <c r="C7833" t="str">
        <f>IFERROR(__xludf.DUMMYFUNCTION("GOOGLETRANSLATE(B7833, ""es"", ""en"")"),"Weigh very little they have arrived on time ... with a very cool design ... are super comfortable and weigh nothing ... Quality, price highly recommended beginning ... very happy moment ... Rectified, I have given that each is a number 43 and has undergon"&amp;"e 42..Me prove only one ... I'm going to return ....")</f>
        <v>Weigh very little they have arrived on time ... with a very cool design ... are super comfortable and weigh nothing ... Quality, price highly recommended beginning ... very happy moment ... Rectified, I have given that each is a number 43 and has undergone 42..Me prove only one ... I'm going to return ....</v>
      </c>
    </row>
    <row r="7834">
      <c r="A7834" s="1">
        <v>1.0</v>
      </c>
      <c r="B7834" s="1" t="s">
        <v>7782</v>
      </c>
      <c r="C7834" t="str">
        <f>IFERROR(__xludf.DUMMYFUNCTION("GOOGLETRANSLATE(B7834, ""es"", ""en"")"),"Terrible Very poor quality, the fourth use brown piece I broke when I pushed the white button to come out the water, and does not fit, no longer serves me and I have the original packaging to return ...")</f>
        <v>Terrible Very poor quality, the fourth use brown piece I broke when I pushed the white button to come out the water, and does not fit, no longer serves me and I have the original packaging to return ...</v>
      </c>
    </row>
    <row r="7835">
      <c r="A7835" s="1">
        <v>1.0</v>
      </c>
      <c r="B7835" s="1" t="s">
        <v>7783</v>
      </c>
      <c r="C7835" t="str">
        <f>IFERROR(__xludf.DUMMYFUNCTION("GOOGLETRANSLATE(B7835, ""es"", ""en"")"),"M underpowered not worked well puts q is very strong but the third time q what use is unemployed and no longer works")</f>
        <v>M underpowered not worked well puts q is very strong but the third time q what use is unemployed and no longer works</v>
      </c>
    </row>
    <row r="7836">
      <c r="A7836" s="1">
        <v>4.0</v>
      </c>
      <c r="B7836" s="1" t="s">
        <v>7784</v>
      </c>
      <c r="C7836" t="str">
        <f>IFERROR(__xludf.DUMMYFUNCTION("GOOGLETRANSLATE(B7836, ""es"", ""en"")"),"I expected more I give it four stars instead of five because I expected a little more for the price it has. A more telling me mean more support and more functions. The laser pointer is also to be extremely potent")</f>
        <v>I expected more I give it four stars instead of five because I expected a little more for the price it has. A more telling me mean more support and more functions. The laser pointer is also to be extremely potent</v>
      </c>
    </row>
    <row r="7837">
      <c r="A7837" s="1">
        <v>4.0</v>
      </c>
      <c r="B7837" s="1" t="s">
        <v>7785</v>
      </c>
      <c r="C7837" t="str">
        <f>IFERROR(__xludf.DUMMYFUNCTION("GOOGLETRANSLATE(B7837, ""es"", ""en"")"),"Good, nice, cheap and multifunctional! Then we analyze the product PUMA St Runner V2 PUMA recognized. +++ very comfortable, the sole is a joy and materials are of better quality than many competitors. + The value for money is fantastic. By ~ 30 € is unmat"&amp;"ched. PUMA is Xiaomi version clothing and footwear! ~ After a month of constant and heavy use (dancing with them) still they maintain the kind but somewhat detached from the tip. That's all, I hope you have been able to help! Greetings and thanks!")</f>
        <v>Good, nice, cheap and multifunctional! Then we analyze the product PUMA St Runner V2 PUMA recognized. +++ very comfortable, the sole is a joy and materials are of better quality than many competitors. + The value for money is fantastic. By ~ 30 € is unmatched. PUMA is Xiaomi version clothing and footwear! ~ After a month of constant and heavy use (dancing with them) still they maintain the kind but somewhat detached from the tip. That's all, I hope you have been able to help! Greetings and thanks!</v>
      </c>
    </row>
    <row r="7838">
      <c r="A7838" s="1">
        <v>4.0</v>
      </c>
      <c r="B7838" s="1" t="s">
        <v>7786</v>
      </c>
      <c r="C7838" t="str">
        <f>IFERROR(__xludf.DUMMYFUNCTION("GOOGLETRANSLATE(B7838, ""es"", ""en"")"),"Comfortable and non slip slip, ideal for restoration work.")</f>
        <v>Comfortable and non slip slip, ideal for restoration work.</v>
      </c>
    </row>
    <row r="7839">
      <c r="A7839" s="1">
        <v>4.0</v>
      </c>
      <c r="B7839" s="1" t="s">
        <v>7787</v>
      </c>
      <c r="C7839" t="str">
        <f>IFERROR(__xludf.DUMMYFUNCTION("GOOGLETRANSLATE(B7839, ""es"", ""en"")"),"Very practical very practical. Buy it for the summer, because the other backpacks give more heat. It's comfortable and fits everything you need to spend a day on the street")</f>
        <v>Very practical very practical. Buy it for the summer, because the other backpacks give more heat. It's comfortable and fits everything you need to spend a day on the street</v>
      </c>
    </row>
    <row r="7840">
      <c r="A7840" s="1">
        <v>4.0</v>
      </c>
      <c r="B7840" s="1" t="s">
        <v>7788</v>
      </c>
      <c r="C7840" t="str">
        <f>IFERROR(__xludf.DUMMYFUNCTION("GOOGLETRANSLATE(B7840, ""es"", ""en"")"),"The comfort is very comfortable, size is expected and suits me very well. I bought it for me security work is perfect")</f>
        <v>The comfort is very comfortable, size is expected and suits me very well. I bought it for me security work is perfect</v>
      </c>
    </row>
    <row r="7841">
      <c r="A7841" s="1">
        <v>5.0</v>
      </c>
      <c r="B7841" s="1" t="s">
        <v>7789</v>
      </c>
      <c r="C7841" t="str">
        <f>IFERROR(__xludf.DUMMYFUNCTION("GOOGLETRANSLATE(B7841, ""es"", ""en"")"),"Perfect is the second buy, the other has lasted me more than 2 years. In short, for the price it is good buy.")</f>
        <v>Perfect is the second buy, the other has lasted me more than 2 years. In short, for the price it is good buy.</v>
      </c>
    </row>
    <row r="7842">
      <c r="A7842" s="1">
        <v>5.0</v>
      </c>
      <c r="B7842" s="1" t="s">
        <v>7790</v>
      </c>
      <c r="C7842" t="str">
        <f>IFERROR(__xludf.DUMMYFUNCTION("GOOGLETRANSLATE(B7842, ""es"", ""en"")"),"Lovely and good value. It arrived in perfect condition Very satisfied with the product and its status. I highly advise. It's nice, small, good finish. Very delicate.")</f>
        <v>Lovely and good value. It arrived in perfect condition Very satisfied with the product and its status. I highly advise. It's nice, small, good finish. Very delicate.</v>
      </c>
    </row>
    <row r="7843">
      <c r="A7843" s="1">
        <v>5.0</v>
      </c>
      <c r="B7843" s="1" t="s">
        <v>7791</v>
      </c>
      <c r="C7843" t="str">
        <f>IFERROR(__xludf.DUMMYFUNCTION("GOOGLETRANSLATE(B7843, ""es"", ""en"")"),"Convenient and easy to use is practical and comes with instructions in several languages. It is easily configured.")</f>
        <v>Convenient and easy to use is practical and comes with instructions in several languages. It is easily configured.</v>
      </c>
    </row>
    <row r="7844">
      <c r="A7844" s="1">
        <v>5.0</v>
      </c>
      <c r="B7844" s="1" t="s">
        <v>7792</v>
      </c>
      <c r="C7844" t="str">
        <f>IFERROR(__xludf.DUMMYFUNCTION("GOOGLETRANSLATE(B7844, ""es"", ""en"")"),"For a hoya 4TB WD Elements: Within encoraremos WD Blue Desktop, at a price much lower than if you would buy the unit without USB box. Buy two, one disassemble and got into my pc as an internal hard drive (and being on sata connection with improved perform"&amp;"ance), the other I left it outside for backup. Capacity ratio unbeatable price.")</f>
        <v>For a hoya 4TB WD Elements: Within encoraremos WD Blue Desktop, at a price much lower than if you would buy the unit without USB box. Buy two, one disassemble and got into my pc as an internal hard drive (and being on sata connection with improved performance), the other I left it outside for backup. Capacity ratio unbeatable price.</v>
      </c>
    </row>
    <row r="7845">
      <c r="A7845" s="1">
        <v>5.0</v>
      </c>
      <c r="B7845" s="1" t="s">
        <v>7793</v>
      </c>
      <c r="C7845" t="str">
        <f>IFERROR(__xludf.DUMMYFUNCTION("GOOGLETRANSLATE(B7845, ""es"", ""en"")"),"Very good very good")</f>
        <v>Very good very good</v>
      </c>
    </row>
    <row r="7846">
      <c r="A7846" s="1">
        <v>5.0</v>
      </c>
      <c r="B7846" s="1" t="s">
        <v>7794</v>
      </c>
      <c r="C7846" t="str">
        <f>IFERROR(__xludf.DUMMYFUNCTION("GOOGLETRANSLATE(B7846, ""es"", ""en"")"),"Good pruning work boots or mechanical. Boots fulfill their mission, they are strong and protect the foot and ankle. I ignored the recommendations of asking for a number less and I are perfect, I use a 42 and ordered a 41.")</f>
        <v>Good pruning work boots or mechanical. Boots fulfill their mission, they are strong and protect the foot and ankle. I ignored the recommendations of asking for a number less and I are perfect, I use a 42 and ordered a 41.</v>
      </c>
    </row>
    <row r="7847">
      <c r="A7847" s="1">
        <v>5.0</v>
      </c>
      <c r="B7847" s="1" t="s">
        <v>7795</v>
      </c>
      <c r="C7847" t="str">
        <f>IFERROR(__xludf.DUMMYFUNCTION("GOOGLETRANSLATE(B7847, ""es"", ""en"")"),"Recommendable!!!! I am delighted with my roll, I did not know this contraption was recommended by a friend who is a beautician, I have it in the fridge I pass it all chilly nights for the face gives a sensation of coolness and relaxation, I recommend watc"&amp;"hing videos on YouTube do the massage well, it is beautifully presented with its box and everything great gift.")</f>
        <v>Recommendable!!!! I am delighted with my roll, I did not know this contraption was recommended by a friend who is a beautician, I have it in the fridge I pass it all chilly nights for the face gives a sensation of coolness and relaxation, I recommend watching videos on YouTube do the massage well, it is beautifully presented with its box and everything great gift.</v>
      </c>
    </row>
    <row r="7848">
      <c r="A7848" s="1">
        <v>5.0</v>
      </c>
      <c r="B7848" s="1" t="s">
        <v>7796</v>
      </c>
      <c r="C7848" t="str">
        <f>IFERROR(__xludf.DUMMYFUNCTION("GOOGLETRANSLATE(B7848, ""es"", ""en"")"),"Indispensable maintains the temperature and especially protects the glass from a wafer of those ufff you say that luck haha.")</f>
        <v>Indispensable maintains the temperature and especially protects the glass from a wafer of those ufff you say that luck haha.</v>
      </c>
    </row>
    <row r="7849">
      <c r="A7849" s="1">
        <v>5.0</v>
      </c>
      <c r="B7849" s="1" t="s">
        <v>7797</v>
      </c>
      <c r="C7849" t="str">
        <f>IFERROR(__xludf.DUMMYFUNCTION("GOOGLETRANSLATE(B7849, ""es"", ""en"")"),"Proven are typical eye masks that correct imperfections, dark circles ... have used them during the last two weeks and work really well. They are not going to solve life, but if you improve you!")</f>
        <v>Proven are typical eye masks that correct imperfections, dark circles ... have used them during the last two weeks and work really well. They are not going to solve life, but if you improve you!</v>
      </c>
    </row>
    <row r="7850">
      <c r="A7850" s="1">
        <v>5.0</v>
      </c>
      <c r="B7850" s="1" t="s">
        <v>7798</v>
      </c>
      <c r="C7850" t="str">
        <f>IFERROR(__xludf.DUMMYFUNCTION("GOOGLETRANSLATE(B7850, ""es"", ""en"")"),"the best model IS AS EXPECTED merrell is knowing you have to order two more numbers than you normally use. I have different colors of this model and is what I use daily for everything. They are comfortable, robust, secure (in every sense), dressed almost "&amp;"like a shoe, then I can only say that for me are perfect. the only thing I hope is that never descataloguen")</f>
        <v>the best model IS AS EXPECTED merrell is knowing you have to order two more numbers than you normally use. I have different colors of this model and is what I use daily for everything. They are comfortable, robust, secure (in every sense), dressed almost like a shoe, then I can only say that for me are perfect. the only thing I hope is that never descataloguen</v>
      </c>
    </row>
    <row r="7851">
      <c r="A7851" s="1">
        <v>5.0</v>
      </c>
      <c r="B7851" s="1" t="s">
        <v>7799</v>
      </c>
      <c r="C7851" t="str">
        <f>IFERROR(__xludf.DUMMYFUNCTION("GOOGLETRANSLATE(B7851, ""es"", ""en"")"),"Good value for money nothing to write very good value for money.")</f>
        <v>Good value for money nothing to write very good value for money.</v>
      </c>
    </row>
    <row r="7852">
      <c r="A7852" s="1">
        <v>5.0</v>
      </c>
      <c r="B7852" s="1" t="s">
        <v>7800</v>
      </c>
      <c r="C7852" t="str">
        <f>IFERROR(__xludf.DUMMYFUNCTION("GOOGLETRANSLATE(B7852, ""es"", ""en"")"),"Very useful and practical. Bottle very comfortable, useful and easy to use to clean.")</f>
        <v>Very useful and practical. Bottle very comfortable, useful and easy to use to clean.</v>
      </c>
    </row>
    <row r="7853">
      <c r="A7853" s="1">
        <v>5.0</v>
      </c>
      <c r="B7853" s="1" t="s">
        <v>7801</v>
      </c>
      <c r="C7853" t="str">
        <f>IFERROR(__xludf.DUMMYFUNCTION("GOOGLETRANSLATE(B7853, ""es"", ""en"")"),"Skin and comfortable are the second to buy. They are for my daughter, who will flamenco classes. Last year I bought these and were very good, so this year I bought them. Are leather, they are comfortable and most importantly, do not rub against him.")</f>
        <v>Skin and comfortable are the second to buy. They are for my daughter, who will flamenco classes. Last year I bought these and were very good, so this year I bought them. Are leather, they are comfortable and most importantly, do not rub against him.</v>
      </c>
    </row>
    <row r="7854">
      <c r="A7854" s="1">
        <v>5.0</v>
      </c>
      <c r="B7854" s="1" t="s">
        <v>7802</v>
      </c>
      <c r="C7854" t="str">
        <f>IFERROR(__xludf.DUMMYFUNCTION("GOOGLETRANSLATE(B7854, ""es"", ""en"")"),"We comfy. Positives: comfortable, stylish and durable. Negative: Do not stop in skin. They are even waterproof.")</f>
        <v>We comfy. Positives: comfortable, stylish and durable. Negative: Do not stop in skin. They are even waterproof.</v>
      </c>
    </row>
    <row r="7855">
      <c r="A7855" s="1">
        <v>5.0</v>
      </c>
      <c r="B7855" s="1" t="s">
        <v>7803</v>
      </c>
      <c r="C7855" t="str">
        <f>IFERROR(__xludf.DUMMYFUNCTION("GOOGLETRANSLATE(B7855, ""es"", ""en"")"),"Value For the price you have, you can not ask for more and more being branded. The size is perfect, choose the number soles used to be you well")</f>
        <v>Value For the price you have, you can not ask for more and more being branded. The size is perfect, choose the number soles used to be you well</v>
      </c>
    </row>
    <row r="7856">
      <c r="A7856" s="1">
        <v>5.0</v>
      </c>
      <c r="B7856" s="1" t="s">
        <v>7804</v>
      </c>
      <c r="C7856" t="str">
        <f>IFERROR(__xludf.DUMMYFUNCTION("GOOGLETRANSLATE(B7856, ""es"", ""en"")"),"So comfortable I like them, are nice and a good price. When will you use a little comment since I have arrived today and did not have time to use them (August 15) Edito (1 November). So comfortable'm looking to make me the purchase because a lot of use.")</f>
        <v>So comfortable I like them, are nice and a good price. When will you use a little comment since I have arrived today and did not have time to use them (August 15) Edito (1 November). So comfortable'm looking to make me the purchase because a lot of use.</v>
      </c>
    </row>
    <row r="7857">
      <c r="A7857" s="1">
        <v>5.0</v>
      </c>
      <c r="B7857" s="1" t="s">
        <v>7805</v>
      </c>
      <c r="C7857" t="str">
        <f>IFERROR(__xludf.DUMMYFUNCTION("GOOGLETRANSLATE(B7857, ""es"", ""en"")"),"Easy to clean and comfortable &lt;div id = ""video-block-R1TUQJW4E9SS1Y"" class = ""a-section a-spacing-small a-spacing-top mini video-block""&gt; &lt;/ div&gt; &lt;input type = ""hidden"" name = """" value = ""https://images-eu.ssl-images-amazon.com/images/I/A1itPkCrEi"&amp;"S.mp4"" class = ""video-url""&gt; &lt;input type = ""hidden"" name = """" value = ""https://images-eu.ssl-images-amazon.com/images/I/81nCku6MCCS.png"" class = ""video-slate-img-url""&gt; &amp; nbsp; This mixer is great. It's super easy to use (you put the glass, squee"&amp;"ze and ready) and best, easy to clean. They have space on the blade or it is impossible not clean it well, because in the Thermomix for example, is extremely difficult. The convenience of being able to change the head to take it as it is great. It has the"&amp;" perfect size and occupies very little. 10 purchase.")</f>
        <v>Easy to clean and comfortable &lt;div id = "video-block-R1TUQJW4E9SS1Y" class = "a-section a-spacing-small a-spacing-top mini video-block"&gt; &lt;/ div&gt; &lt;input type = "hidden" name = "" value = "https://images-eu.ssl-images-amazon.com/images/I/A1itPkCrEiS.mp4" class = "video-url"&gt; &lt;input type = "hidden" name = "" value = "https://images-eu.ssl-images-amazon.com/images/I/81nCku6MCCS.png" class = "video-slate-img-url"&gt; &amp; nbsp; This mixer is great. It's super easy to use (you put the glass, squeeze and ready) and best, easy to clean. They have space on the blade or it is impossible not clean it well, because in the Thermomix for example, is extremely difficult. The convenience of being able to change the head to take it as it is great. It has the perfect size and occupies very little. 10 purchase.</v>
      </c>
    </row>
    <row r="7858">
      <c r="A7858" s="1">
        <v>5.0</v>
      </c>
      <c r="B7858" s="1" t="s">
        <v>7806</v>
      </c>
      <c r="C7858" t="str">
        <f>IFERROR(__xludf.DUMMYFUNCTION("GOOGLETRANSLATE(B7858, ""es"", ""en"")"),"I bought something small number 38, but I had to change by more number. Otherwise, perfect! The change was made very quickly.")</f>
        <v>I bought something small number 38, but I had to change by more number. Otherwise, perfect! The change was made very quickly.</v>
      </c>
    </row>
    <row r="7859">
      <c r="A7859" s="1">
        <v>2.0</v>
      </c>
      <c r="B7859" s="1" t="s">
        <v>7807</v>
      </c>
      <c r="C7859" t="str">
        <f>IFERROR(__xludf.DUMMYFUNCTION("GOOGLETRANSLATE(B7859, ""es"", ""en"")"),"The toy looks just shoot. is not good quality, and increasingly clean it costs more. I do not recommend it.")</f>
        <v>The toy looks just shoot. is not good quality, and increasingly clean it costs more. I do not recommend it.</v>
      </c>
    </row>
    <row r="7860">
      <c r="A7860" s="1">
        <v>3.0</v>
      </c>
      <c r="B7860" s="1" t="s">
        <v>7808</v>
      </c>
      <c r="C7860" t="str">
        <f>IFERROR(__xludf.DUMMYFUNCTION("GOOGLETRANSLATE(B7860, ""es"", ""en"")"),"Sound good, but ... According to many criticisms about the product dicidí me to buy it but I found the following points that I do not convince: Although they are open, the sound space (or soundstage) is not declaring some experts, I kept hearing the music"&amp;" in his head, not in front. Connected directly to a CD player brand Harman Kardon, sometimes tends to empastar serious (it could also be because of the recording, one of his qualities, according to experts, is to reproduce such quality that also heard the"&amp;" faults that have been committed in the recordings. the coiled cable is a ""roll"" if you do not have the player in the perfect position this will strip headphones and is quite uncomfortable (my Sennheiser straight wire this does not happen) . For the all"&amp;" very good")</f>
        <v>Sound good, but ... According to many criticisms about the product dicidí me to buy it but I found the following points that I do not convince: Although they are open, the sound space (or soundstage) is not declaring some experts, I kept hearing the music in his head, not in front. Connected directly to a CD player brand Harman Kardon, sometimes tends to empastar serious (it could also be because of the recording, one of his qualities, according to experts, is to reproduce such quality that also heard the faults that have been committed in the recordings. the coiled cable is a "roll" if you do not have the player in the perfect position this will strip headphones and is quite uncomfortable (my Sennheiser straight wire this does not happen) . For the all very good</v>
      </c>
    </row>
    <row r="7861">
      <c r="A7861" s="1">
        <v>1.0</v>
      </c>
      <c r="B7861" s="1" t="s">
        <v>7809</v>
      </c>
      <c r="C7861" t="str">
        <f>IFERROR(__xludf.DUMMYFUNCTION("GOOGLETRANSLATE(B7861, ""es"", ""en"")"),"Unstable time to time I have to go by reducing the partition at the beginning because it will very quickly spoiling rewrites. Not suitable for important data, you can easily lose")</f>
        <v>Unstable time to time I have to go by reducing the partition at the beginning because it will very quickly spoiling rewrites. Not suitable for important data, you can easily lose</v>
      </c>
    </row>
    <row r="7862">
      <c r="A7862" s="1">
        <v>1.0</v>
      </c>
      <c r="B7862" s="1" t="s">
        <v>7810</v>
      </c>
      <c r="C7862" t="str">
        <f>IFERROR(__xludf.DUMMYFUNCTION("GOOGLETRANSLATE(B7862, ""es"", ""en"")"),"Not what I expected The clock will falling behind every other day must be put in time")</f>
        <v>Not what I expected The clock will falling behind every other day must be put in time</v>
      </c>
    </row>
    <row r="7863">
      <c r="A7863" s="1">
        <v>1.0</v>
      </c>
      <c r="B7863" s="1" t="s">
        <v>7811</v>
      </c>
      <c r="C7863" t="str">
        <f>IFERROR(__xludf.DUMMYFUNCTION("GOOGLETRANSLATE(B7863, ""es"", ""en"")"),"I got ROTA. WHY I VALUE 1 star. I got ROTA, ALTHOUGH THE EASILY CAN BE ARRANGED WITH A SMALL FEE. Otherwise it is quite nice.")</f>
        <v>I got ROTA. WHY I VALUE 1 star. I got ROTA, ALTHOUGH THE EASILY CAN BE ARRANGED WITH A SMALL FEE. Otherwise it is quite nice.</v>
      </c>
    </row>
    <row r="7864">
      <c r="A7864" s="1">
        <v>4.0</v>
      </c>
      <c r="B7864" s="1" t="s">
        <v>7812</v>
      </c>
      <c r="C7864" t="str">
        <f>IFERROR(__xludf.DUMMYFUNCTION("GOOGLETRANSLATE(B7864, ""es"", ""en"")"),"Good Value Very Good")</f>
        <v>Good Value Very Good</v>
      </c>
    </row>
    <row r="7865">
      <c r="A7865" s="1">
        <v>4.0</v>
      </c>
      <c r="B7865" s="1" t="s">
        <v>7813</v>
      </c>
      <c r="C7865" t="str">
        <f>IFERROR(__xludf.DUMMYFUNCTION("GOOGLETRANSLATE(B7865, ""es"", ""en"")"),"But although I have one day and it seems that is not bad .. tomorrow I'll check that is waterproof and has no problem comes unsealed warranty, which I do not know if I will if I had any problems, I have not received invoice. And finally I thought the box "&amp;"would watch an oxygen bottle as I have seen. Thank you")</f>
        <v>But although I have one day and it seems that is not bad .. tomorrow I'll check that is waterproof and has no problem comes unsealed warranty, which I do not know if I will if I had any problems, I have not received invoice. And finally I thought the box would watch an oxygen bottle as I have seen. Thank you</v>
      </c>
    </row>
    <row r="7866">
      <c r="A7866" s="1">
        <v>4.0</v>
      </c>
      <c r="B7866" s="1" t="s">
        <v>7814</v>
      </c>
      <c r="C7866" t="str">
        <f>IFERROR(__xludf.DUMMYFUNCTION("GOOGLETRANSLATE(B7866, ""es"", ""en"")"),"This right is well")</f>
        <v>This right is well</v>
      </c>
    </row>
    <row r="7867">
      <c r="A7867" s="1">
        <v>4.0</v>
      </c>
      <c r="B7867" s="1" t="s">
        <v>7815</v>
      </c>
      <c r="C7867" t="str">
        <f>IFERROR(__xludf.DUMMYFUNCTION("GOOGLETRANSLATE(B7867, ""es"", ""en"")"),"short cable I use to heat a swimming pool and in a couple of hours and warmer noticeable, the bad is that it has very short cable and to the use an extension cord that I have been burned by being plugged in 2 hours ...")</f>
        <v>short cable I use to heat a swimming pool and in a couple of hours and warmer noticeable, the bad is that it has very short cable and to the use an extension cord that I have been burned by being plugged in 2 hours ...</v>
      </c>
    </row>
    <row r="7868">
      <c r="A7868" s="1">
        <v>5.0</v>
      </c>
      <c r="B7868" s="1" t="s">
        <v>7816</v>
      </c>
      <c r="C7868" t="str">
        <f>IFERROR(__xludf.DUMMYFUNCTION("GOOGLETRANSLATE(B7868, ""es"", ""en"")"),"Very good product I bought for the brand and the truth is that never disappoints. Very resistant glass is noisy and not cleaned very well. It has dedicated buttons for ice chop or smoothies and good design. It's a bit more expensive than the rest but I re"&amp;"commend it.")</f>
        <v>Very good product I bought for the brand and the truth is that never disappoints. Very resistant glass is noisy and not cleaned very well. It has dedicated buttons for ice chop or smoothies and good design. It's a bit more expensive than the rest but I recommend it.</v>
      </c>
    </row>
    <row r="7869">
      <c r="A7869" s="1">
        <v>5.0</v>
      </c>
      <c r="B7869" s="1" t="s">
        <v>7817</v>
      </c>
      <c r="C7869" t="str">
        <f>IFERROR(__xludf.DUMMYFUNCTION("GOOGLETRANSLATE(B7869, ""es"", ""en"")"),"Fantastic'm very happy with this purchase, I look very good headphones. They are very simple to synchronize with the phone or tablet, are very light and sound is very good both the music and the voice of the people when they call you by phone. Box to char"&amp;"ge the headset is also very cool, the only downside is that you can put that brings no light charger. Just bring you the box to charge the headset and USB cable, very good rest product.")</f>
        <v>Fantastic'm very happy with this purchase, I look very good headphones. They are very simple to synchronize with the phone or tablet, are very light and sound is very good both the music and the voice of the people when they call you by phone. Box to charge the headset is also very cool, the only downside is that you can put that brings no light charger. Just bring you the box to charge the headset and USB cable, very good rest product.</v>
      </c>
    </row>
    <row r="7870">
      <c r="A7870" s="1">
        <v>5.0</v>
      </c>
      <c r="B7870" s="1" t="s">
        <v>7818</v>
      </c>
      <c r="C7870" t="str">
        <f>IFERROR(__xludf.DUMMYFUNCTION("GOOGLETRANSLATE(B7870, ""es"", ""en"")"),"Startled After a first attempt I retested a bigger size and have to say that a very good result !!")</f>
        <v>Startled After a first attempt I retested a bigger size and have to say that a very good result !!</v>
      </c>
    </row>
    <row r="7871">
      <c r="A7871" s="1">
        <v>5.0</v>
      </c>
      <c r="B7871" s="1" t="s">
        <v>7819</v>
      </c>
      <c r="C7871" t="str">
        <f>IFERROR(__xludf.DUMMYFUNCTION("GOOGLETRANSLATE(B7871, ""es"", ""en"")"),"The world comfortable footwear is very particular. I've already been disappointments with sizes that do not fit in my small case. If there is a mark that allows me to buy blinds is this. In my case fit like a glove, and although they may seem cumbersome a"&amp;"re well comfortable.")</f>
        <v>The world comfortable footwear is very particular. I've already been disappointments with sizes that do not fit in my small case. If there is a mark that allows me to buy blinds is this. In my case fit like a glove, and although they may seem cumbersome are well comfortable.</v>
      </c>
    </row>
    <row r="7872">
      <c r="A7872" s="1">
        <v>5.0</v>
      </c>
      <c r="B7872" s="1" t="s">
        <v>7820</v>
      </c>
      <c r="C7872" t="str">
        <f>IFERROR(__xludf.DUMMYFUNCTION("GOOGLETRANSLATE(B7872, ""es"", ""en"")"),"So comfortable comfort the")</f>
        <v>So comfortable comfort the</v>
      </c>
    </row>
    <row r="7873">
      <c r="A7873" s="1">
        <v>5.0</v>
      </c>
      <c r="B7873" s="1" t="s">
        <v>7821</v>
      </c>
      <c r="C7873" t="str">
        <f>IFERROR(__xludf.DUMMYFUNCTION("GOOGLETRANSLATE(B7873, ""es"", ""en"")"),"Highly recommended very comfortable, very comfortable for day to day sports. A very good buy. All perfect")</f>
        <v>Highly recommended very comfortable, very comfortable for day to day sports. A very good buy. All perfect</v>
      </c>
    </row>
    <row r="7874">
      <c r="A7874" s="1">
        <v>5.0</v>
      </c>
      <c r="B7874" s="1" t="s">
        <v>7822</v>
      </c>
      <c r="C7874" t="str">
        <f>IFERROR(__xludf.DUMMYFUNCTION("GOOGLETRANSLATE(B7874, ""es"", ""en"")"),"Chandal Very satisfied to it full tracksuit, is set and the fit is very good, the side lines are very good with black color, makes a good combination, carving fine, the right, the pants fit well in the waist and ankles, cuffs are fine.")</f>
        <v>Chandal Very satisfied to it full tracksuit, is set and the fit is very good, the side lines are very good with black color, makes a good combination, carving fine, the right, the pants fit well in the waist and ankles, cuffs are fine.</v>
      </c>
    </row>
    <row r="7875">
      <c r="A7875" s="1">
        <v>5.0</v>
      </c>
      <c r="B7875" s="1" t="s">
        <v>7823</v>
      </c>
      <c r="C7875" t="str">
        <f>IFERROR(__xludf.DUMMYFUNCTION("GOOGLETRANSLATE(B7875, ""es"", ""en"")"),"Excellent Perfect! It was for a gift and are happy also the color blue is very nice.")</f>
        <v>Excellent Perfect! It was for a gift and are happy also the color blue is very nice.</v>
      </c>
    </row>
    <row r="7876">
      <c r="A7876" s="1">
        <v>5.0</v>
      </c>
      <c r="B7876" s="1" t="s">
        <v>7824</v>
      </c>
      <c r="C7876" t="str">
        <f>IFERROR(__xludf.DUMMYFUNCTION("GOOGLETRANSLATE(B7876, ""es"", ""en"")"),"High quality backpack. Backpack high quality robusta (for what it is) with many pockets / departments to store things. Very practical even for day to day: mobile, portable battery, charger, keys, glasses, ....")</f>
        <v>High quality backpack. Backpack high quality robusta (for what it is) with many pockets / departments to store things. Very practical even for day to day: mobile, portable battery, charger, keys, glasses, ....</v>
      </c>
    </row>
    <row r="7877">
      <c r="A7877" s="1">
        <v>5.0</v>
      </c>
      <c r="B7877" s="1" t="s">
        <v>7825</v>
      </c>
      <c r="C7877" t="str">
        <f>IFERROR(__xludf.DUMMYFUNCTION("GOOGLETRANSLATE(B7877, ""es"", ""en"")"),"Blender and more I have given my son and is delighted. I said that is great, and beautifully designed.")</f>
        <v>Blender and more I have given my son and is delighted. I said that is great, and beautifully designed.</v>
      </c>
    </row>
    <row r="7878">
      <c r="A7878" s="1">
        <v>5.0</v>
      </c>
      <c r="B7878" s="1" t="s">
        <v>7826</v>
      </c>
      <c r="C7878" t="str">
        <f>IFERROR(__xludf.DUMMYFUNCTION("GOOGLETRANSLATE(B7878, ""es"", ""en"")"),"Comodos I bought for conferences and sound to the truth very well. Yesterday I was wearing them both at the same time go to the same recipient and the same output and can be used at the same time with individual volume control for each. They also have adj"&amp;"ustable echo effect. The microphones are fairly lightweight and stylish battery will last long.")</f>
        <v>Comodos I bought for conferences and sound to the truth very well. Yesterday I was wearing them both at the same time go to the same recipient and the same output and can be used at the same time with individual volume control for each. They also have adjustable echo effect. The microphones are fairly lightweight and stylish battery will last long.</v>
      </c>
    </row>
    <row r="7879">
      <c r="A7879" s="1">
        <v>5.0</v>
      </c>
      <c r="B7879" s="1" t="s">
        <v>461</v>
      </c>
      <c r="C7879" t="str">
        <f>IFERROR(__xludf.DUMMYFUNCTION("GOOGLETRANSLATE(B7879, ""es"", ""en"")"),"excellent excellent")</f>
        <v>excellent excellent</v>
      </c>
    </row>
    <row r="7880">
      <c r="A7880" s="1">
        <v>5.0</v>
      </c>
      <c r="B7880" s="1" t="s">
        <v>7827</v>
      </c>
      <c r="C7880" t="str">
        <f>IFERROR(__xludf.DUMMYFUNCTION("GOOGLETRANSLATE(B7880, ""es"", ""en"")"),"Good sound, comfortable and with good battery This karaoke microphone is great for both children and adults, can be used directly as micro or add music via bluetooth to use as karaoke. It is very intuitive and easy to use. It can be charged via USB with a"&amp;" long lasting battery that holds a birthday party without any problem. The sound is very good in both music and voice. It's fun and easy to use.")</f>
        <v>Good sound, comfortable and with good battery This karaoke microphone is great for both children and adults, can be used directly as micro or add music via bluetooth to use as karaoke. It is very intuitive and easy to use. It can be charged via USB with a long lasting battery that holds a birthday party without any problem. The sound is very good in both music and voice. It's fun and easy to use.</v>
      </c>
    </row>
    <row r="7881">
      <c r="A7881" s="1">
        <v>5.0</v>
      </c>
      <c r="B7881" s="1" t="s">
        <v>7828</v>
      </c>
      <c r="C7881" t="str">
        <f>IFERROR(__xludf.DUMMYFUNCTION("GOOGLETRANSLATE(B7881, ""es"", ""en"")"),"Carlos Exelente watch a performance you great color is super handsome I'm very glad I made this purchase through Amazon I recommend")</f>
        <v>Carlos Exelente watch a performance you great color is super handsome I'm very glad I made this purchase through Amazon I recommend</v>
      </c>
    </row>
    <row r="7882">
      <c r="A7882" s="1">
        <v>5.0</v>
      </c>
      <c r="B7882" s="1" t="s">
        <v>7829</v>
      </c>
      <c r="C7882" t="str">
        <f>IFERROR(__xludf.DUMMYFUNCTION("GOOGLETRANSLATE(B7882, ""es"", ""en"")"),"Raquel Very good, very powerful. Pica quite well and does not leave cachitos that smoothies are angry find. I was looking")</f>
        <v>Raquel Very good, very powerful. Pica quite well and does not leave cachitos that smoothies are angry find. I was looking</v>
      </c>
    </row>
    <row r="7883">
      <c r="A7883" s="1">
        <v>5.0</v>
      </c>
      <c r="B7883" s="1" t="s">
        <v>7830</v>
      </c>
      <c r="C7883" t="str">
        <f>IFERROR(__xludf.DUMMYFUNCTION("GOOGLETRANSLATE(B7883, ""es"", ""en"")"),"Precious Best Buy made of boots can do, spending 42, pedi number as ring finger. the high quality of the boots note, are very nice, they adapt in a few days to foot. And the price indisputably good !!")</f>
        <v>Precious Best Buy made of boots can do, spending 42, pedi number as ring finger. the high quality of the boots note, are very nice, they adapt in a few days to foot. And the price indisputably good !!</v>
      </c>
    </row>
    <row r="7884">
      <c r="A7884" s="1">
        <v>5.0</v>
      </c>
      <c r="B7884" s="1" t="s">
        <v>7831</v>
      </c>
      <c r="C7884" t="str">
        <f>IFERROR(__xludf.DUMMYFUNCTION("GOOGLETRANSLATE(B7884, ""es"", ""en"")"),"Hold good! the truth is that subject well and on any surface")</f>
        <v>Hold good! the truth is that subject well and on any surface</v>
      </c>
    </row>
    <row r="7885">
      <c r="A7885" s="1">
        <v>5.0</v>
      </c>
      <c r="B7885" s="1" t="s">
        <v>7832</v>
      </c>
      <c r="C7885" t="str">
        <f>IFERROR(__xludf.DUMMYFUNCTION("GOOGLETRANSLATE(B7885, ""es"", ""en"")"),"Unsurpassable already had bought some time. The use at work and at concerts (I am a musician, and use them as a ""monitor"" to hear me). Definition sound and, for the price they have is excellent. Until I lost, and I bought cheaper ones, I did not realize"&amp;" how good it was. I could not stand even 10 minutes with others at work, everyone in the office talking could be heard, and heard music without any definition, and I turned to them to buy. Now I take them at all times, at home, in the office and in the su"&amp;"bway.")</f>
        <v>Unsurpassable already had bought some time. The use at work and at concerts (I am a musician, and use them as a "monitor" to hear me). Definition sound and, for the price they have is excellent. Until I lost, and I bought cheaper ones, I did not realize how good it was. I could not stand even 10 minutes with others at work, everyone in the office talking could be heard, and heard music without any definition, and I turned to them to buy. Now I take them at all times, at home, in the office and in the subway.</v>
      </c>
    </row>
    <row r="7886">
      <c r="A7886" s="1">
        <v>5.0</v>
      </c>
      <c r="B7886" s="1" t="s">
        <v>7833</v>
      </c>
      <c r="C7886" t="str">
        <f>IFERROR(__xludf.DUMMYFUNCTION("GOOGLETRANSLATE(B7886, ""es"", ""en"")"),"Fast shipping, happy father bought it as a gift for my father, and he is delighted with it. I can not comment on because neither the first person I saw.")</f>
        <v>Fast shipping, happy father bought it as a gift for my father, and he is delighted with it. I can not comment on because neither the first person I saw.</v>
      </c>
    </row>
    <row r="7887">
      <c r="A7887" s="1">
        <v>2.0</v>
      </c>
      <c r="B7887" s="1" t="s">
        <v>7834</v>
      </c>
      <c r="C7887" t="str">
        <f>IFERROR(__xludf.DUMMYFUNCTION("GOOGLETRANSLATE(B7887, ""es"", ""en"")"),"to the open trying to put the day, got stuck with the needle of the time and did not change")</f>
        <v>to the open trying to put the day, got stuck with the needle of the time and did not change</v>
      </c>
    </row>
    <row r="7888">
      <c r="A7888" s="1">
        <v>3.0</v>
      </c>
      <c r="B7888" s="1" t="s">
        <v>7835</v>
      </c>
      <c r="C7888" t="str">
        <f>IFERROR(__xludf.DUMMYFUNCTION("GOOGLETRANSLATE(B7888, ""es"", ""en"")"),"I returned were very fair")</f>
        <v>I returned were very fair</v>
      </c>
    </row>
    <row r="7889">
      <c r="A7889" s="1">
        <v>3.0</v>
      </c>
      <c r="B7889" s="1" t="s">
        <v>7836</v>
      </c>
      <c r="C7889" t="str">
        <f>IFERROR(__xludf.DUMMYFUNCTION("GOOGLETRANSLATE(B7889, ""es"", ""en"")"),"Leave something makes shiny plastic surfaces, but it is difficult to remove deep scratches something. The amount is small, but the price is not high.")</f>
        <v>Leave something makes shiny plastic surfaces, but it is difficult to remove deep scratches something. The amount is small, but the price is not high.</v>
      </c>
    </row>
    <row r="7890">
      <c r="A7890" s="1">
        <v>3.0</v>
      </c>
      <c r="B7890" s="1" t="s">
        <v>7837</v>
      </c>
      <c r="C7890" t="str">
        <f>IFERROR(__xludf.DUMMYFUNCTION("GOOGLETRANSLATE(B7890, ""es"", ""en"")"),"Carve bad is very nice but the sizing is small. You have to buy a number more")</f>
        <v>Carve bad is very nice but the sizing is small. You have to buy a number more</v>
      </c>
    </row>
    <row r="7891">
      <c r="A7891" s="1">
        <v>1.0</v>
      </c>
      <c r="B7891" s="1" t="s">
        <v>7838</v>
      </c>
      <c r="C7891" t="str">
        <f>IFERROR(__xludf.DUMMYFUNCTION("GOOGLETRANSLATE(B7891, ""es"", ""en"")"),"Imitation is not the original, do not understand how they can sell imitations. Evidently I returned today.")</f>
        <v>Imitation is not the original, do not understand how they can sell imitations. Evidently I returned today.</v>
      </c>
    </row>
    <row r="7892">
      <c r="A7892" s="1">
        <v>4.0</v>
      </c>
      <c r="B7892" s="1" t="s">
        <v>7839</v>
      </c>
      <c r="C7892" t="str">
        <f>IFERROR(__xludf.DUMMYFUNCTION("GOOGLETRANSLATE(B7892, ""es"", ""en"")"),"Good backpack Backpack made with quality materials. Very good zippers and enough space. I do not give it 5 stars because when I put it back me uncomfortable. It may be a production fault. But overall I'm satisfied.")</f>
        <v>Good backpack Backpack made with quality materials. Very good zippers and enough space. I do not give it 5 stars because when I put it back me uncomfortable. It may be a production fault. But overall I'm satisfied.</v>
      </c>
    </row>
    <row r="7893">
      <c r="A7893" s="1">
        <v>4.0</v>
      </c>
      <c r="B7893" s="1" t="s">
        <v>7840</v>
      </c>
      <c r="C7893" t="str">
        <f>IFERROR(__xludf.DUMMYFUNCTION("GOOGLETRANSLATE(B7893, ""es"", ""en"")"),"good headphones and economic hear really well and the color is gorgeous. you can take anywhere because they do not take up hardly any space, the cable is strong and is not broken or has been listening to a speaker as has happened to me before. very good b"&amp;"uy")</f>
        <v>good headphones and economic hear really well and the color is gorgeous. you can take anywhere because they do not take up hardly any space, the cable is strong and is not broken or has been listening to a speaker as has happened to me before. very good buy</v>
      </c>
    </row>
    <row r="7894">
      <c r="A7894" s="1">
        <v>4.0</v>
      </c>
      <c r="B7894" s="1" t="s">
        <v>7841</v>
      </c>
      <c r="C7894" t="str">
        <f>IFERROR(__xludf.DUMMYFUNCTION("GOOGLETRANSLATE(B7894, ""es"", ""en"")"),"Material correcte xinxetes are not hi ha gaire thing to explain. The measure és correcte per l'ús that donate i li volem the varietat of perfecte és colors.")</f>
        <v>Material correcte xinxetes are not hi ha gaire thing to explain. The measure és correcte per l'ús that donate i li volem the varietat of perfecte és colors.</v>
      </c>
    </row>
    <row r="7895">
      <c r="A7895" s="1">
        <v>4.0</v>
      </c>
      <c r="B7895" s="1" t="s">
        <v>7842</v>
      </c>
      <c r="C7895" t="str">
        <f>IFERROR(__xludf.DUMMYFUNCTION("GOOGLETRANSLATE(B7895, ""es"", ""en"")"),"For everyday wear this necklace I've caught my daughter (teenager), is the excuse, so use. I think a good complement to highlight the neckline, with casual clothes. Silver has bath, so not to put perfume when we have it already. It is striking, and bigger"&amp;" than I thought. And the glass leading to the side of the pen gives a different touch and makes it more elegant. The closure seems sturdy and opens and closes easily.")</f>
        <v>For everyday wear this necklace I've caught my daughter (teenager), is the excuse, so use. I think a good complement to highlight the neckline, with casual clothes. Silver has bath, so not to put perfume when we have it already. It is striking, and bigger than I thought. And the glass leading to the side of the pen gives a different touch and makes it more elegant. The closure seems sturdy and opens and closes easily.</v>
      </c>
    </row>
    <row r="7896">
      <c r="A7896" s="1">
        <v>4.0</v>
      </c>
      <c r="B7896" s="1" t="s">
        <v>7843</v>
      </c>
      <c r="C7896" t="str">
        <f>IFERROR(__xludf.DUMMYFUNCTION("GOOGLETRANSLATE(B7896, ""es"", ""en"")"),"For its price can not ask for more")</f>
        <v>For its price can not ask for more</v>
      </c>
    </row>
    <row r="7897">
      <c r="A7897" s="1">
        <v>5.0</v>
      </c>
      <c r="B7897" s="1" t="s">
        <v>7844</v>
      </c>
      <c r="C7897" t="str">
        <f>IFERROR(__xludf.DUMMYFUNCTION("GOOGLETRANSLATE(B7897, ""es"", ""en"")"),"Good Value I liked, good quality price")</f>
        <v>Good Value I liked, good quality price</v>
      </c>
    </row>
    <row r="7898">
      <c r="A7898" s="1">
        <v>5.0</v>
      </c>
      <c r="B7898" s="1" t="s">
        <v>7845</v>
      </c>
      <c r="C7898" t="str">
        <f>IFERROR(__xludf.DUMMYFUNCTION("GOOGLETRANSLATE(B7898, ""es"", ""en"")"),"Retro point and white. The Russell Hobbs Bubble is a toaster with a retro design that does not go unnoticed and all thanks to its design and its power to make some toast excellent. While commenting that white is a color that takes a lot this season, Russe"&amp;"ll Hobbs has a family of this product design, and all of the same color. Very well finished, with gorgeous details, it looks nice, but at the same time is a good toaster, that is the end product. With this toaster you can do many slices bread very quickly"&amp;", thanks to its power. Russell has a power regulator toast, plus defrosted and function mode 'reheat' in case you get cold when spreadable butter, with this button no longer need to fight with butter to smear. Modules to insert bread are not independent, "&amp;"so that the slices down both resistors will turn on, so you do not save energy energy also has a button for toasting only one side. I has three buttons on the side of the regulator also power the functions of the buttons are thawed and reheated cancellati"&amp;"on, also it has a remaining time indicator. One thing to keep in mind is that we can superimpose the grid over the toaster for heating bread, that I liked. It has a removable tray collects crumbs. This toaster two slots long enough to make two slices at t"&amp;"he same time, has a power of 1300W. I was curious to know what temperature could reach toaster inside, for that reason I made the test with a meter laser to meet these terms, and measurement surprised me, it's more've done measurement on several occasions"&amp;" as it seemed to me a lot of heat, reaching 528º, measurements can see in the pictures, being outside temperature of 26 °. Manufacturing materials and stainless steel exterior casing seem good, and finishing is quality, with the retro look that I mentione"&amp;"d earlier. The toaster has suitable dimensions and weight in all, a good toaster, which is fast, but missing some details, but I must say it performs its function perfectly.")</f>
        <v>Retro point and white. The Russell Hobbs Bubble is a toaster with a retro design that does not go unnoticed and all thanks to its design and its power to make some toast excellent. While commenting that white is a color that takes a lot this season, Russell Hobbs has a family of this product design, and all of the same color. Very well finished, with gorgeous details, it looks nice, but at the same time is a good toaster, that is the end product. With this toaster you can do many slices bread very quickly, thanks to its power. Russell has a power regulator toast, plus defrosted and function mode 'reheat' in case you get cold when spreadable butter, with this button no longer need to fight with butter to smear. Modules to insert bread are not independent, so that the slices down both resistors will turn on, so you do not save energy energy also has a button for toasting only one side. I has three buttons on the side of the regulator also power the functions of the buttons are thawed and reheated cancellation, also it has a remaining time indicator. One thing to keep in mind is that we can superimpose the grid over the toaster for heating bread, that I liked. It has a removable tray collects crumbs. This toaster two slots long enough to make two slices at the same time, has a power of 1300W. I was curious to know what temperature could reach toaster inside, for that reason I made the test with a meter laser to meet these terms, and measurement surprised me, it's more've done measurement on several occasions as it seemed to me a lot of heat, reaching 528º, measurements can see in the pictures, being outside temperature of 26 °. Manufacturing materials and stainless steel exterior casing seem good, and finishing is quality, with the retro look that I mentioned earlier. The toaster has suitable dimensions and weight in all, a good toaster, which is fast, but missing some details, but I must say it performs its function perfectly.</v>
      </c>
    </row>
    <row r="7899">
      <c r="A7899" s="1">
        <v>5.0</v>
      </c>
      <c r="B7899" s="1" t="s">
        <v>7846</v>
      </c>
      <c r="C7899" t="str">
        <f>IFERROR(__xludf.DUMMYFUNCTION("GOOGLETRANSLATE(B7899, ""es"", ""en"")"),"Ideal for MP3 of the car I came ideal for mp3 stereo of the car. right size. For example, if half grandote before sitting on the passenger side of the borderline and could break the connector. Now that problem anymore. dirt-cheap")</f>
        <v>Ideal for MP3 of the car I came ideal for mp3 stereo of the car. right size. For example, if half grandote before sitting on the passenger side of the borderline and could break the connector. Now that problem anymore. dirt-cheap</v>
      </c>
    </row>
    <row r="7900">
      <c r="A7900" s="1">
        <v>5.0</v>
      </c>
      <c r="B7900" s="1" t="s">
        <v>7847</v>
      </c>
      <c r="C7900" t="str">
        <f>IFERROR(__xludf.DUMMYFUNCTION("GOOGLETRANSLATE(B7900, ""es"", ""en"")"),"Good quality materials products")</f>
        <v>Good quality materials products</v>
      </c>
    </row>
    <row r="7901">
      <c r="A7901" s="1">
        <v>5.0</v>
      </c>
      <c r="B7901" s="1" t="s">
        <v>7848</v>
      </c>
      <c r="C7901" t="str">
        <f>IFERROR(__xludf.DUMMYFUNCTION("GOOGLETRANSLATE(B7901, ""es"", ""en"")"),"He was very happy oara give, and this miy happy, friends also love, also bought one, very satifecho, nice and califad, spectacular design")</f>
        <v>He was very happy oara give, and this miy happy, friends also love, also bought one, very satifecho, nice and califad, spectacular design</v>
      </c>
    </row>
    <row r="7902">
      <c r="A7902" s="1">
        <v>5.0</v>
      </c>
      <c r="B7902" s="1" t="s">
        <v>7849</v>
      </c>
      <c r="C7902" t="str">
        <f>IFERROR(__xludf.DUMMYFUNCTION("GOOGLETRANSLATE(B7902, ""es"", ""en"")"),"well, good power soft but powerful works !!! Now to see if hard ... !! Very good")</f>
        <v>well, good power soft but powerful works !!! Now to see if hard ... !! Very good</v>
      </c>
    </row>
    <row r="7903">
      <c r="A7903" s="1">
        <v>5.0</v>
      </c>
      <c r="B7903" s="1" t="s">
        <v>7850</v>
      </c>
      <c r="C7903" t="str">
        <f>IFERROR(__xludf.DUMMYFUNCTION("GOOGLETRANSLATE(B7903, ""es"", ""en"")"),"Very fast and safe Kettle Boils water fast. In addition when pouring water into the cup you burn no steam at all, nor drained. Highly recommended.")</f>
        <v>Very fast and safe Kettle Boils water fast. In addition when pouring water into the cup you burn no steam at all, nor drained. Highly recommended.</v>
      </c>
    </row>
    <row r="7904">
      <c r="A7904" s="1">
        <v>5.0</v>
      </c>
      <c r="B7904" s="1" t="s">
        <v>7851</v>
      </c>
      <c r="C7904" t="str">
        <f>IFERROR(__xludf.DUMMYFUNCTION("GOOGLETRANSLATE(B7904, ""es"", ""en"")"),"Excellent quality at an affordable price bracelet high quality. The heart is silver and garnet stones. It comes with a bag of fabric perfect gift, I bought it for that and the person was delighted not take it off! And it's like the first day.")</f>
        <v>Excellent quality at an affordable price bracelet high quality. The heart is silver and garnet stones. It comes with a bag of fabric perfect gift, I bought it for that and the person was delighted not take it off! And it's like the first day.</v>
      </c>
    </row>
    <row r="7905">
      <c r="A7905" s="1">
        <v>5.0</v>
      </c>
      <c r="B7905" s="1" t="s">
        <v>7852</v>
      </c>
      <c r="C7905" t="str">
        <f>IFERROR(__xludf.DUMMYFUNCTION("GOOGLETRANSLATE(B7905, ""es"", ""en"")"),"Very happy very happy with this lavalier. It has a very clean and good sound for the price. You can use the mobile app through Rode or pouch connected to a recorder or if you use with the Rode SC3 adapter. I would buy.")</f>
        <v>Very happy very happy with this lavalier. It has a very clean and good sound for the price. You can use the mobile app through Rode or pouch connected to a recorder or if you use with the Rode SC3 adapter. I would buy.</v>
      </c>
    </row>
    <row r="7906">
      <c r="A7906" s="1">
        <v>5.0</v>
      </c>
      <c r="B7906" s="1" t="s">
        <v>7853</v>
      </c>
      <c r="C7906" t="str">
        <f>IFERROR(__xludf.DUMMYFUNCTION("GOOGLETRANSLATE(B7906, ""es"", ""en"")"),"very good quality had read here, that if the sound and the sound aki over there .... for the price it works scandal ... clearly do not expect a Hollywood sound, but neither get with either 60-70 and stores ... and I tell you first hand that gives me the b"&amp;"est result that one of those prices and top with batteries ....")</f>
        <v>very good quality had read here, that if the sound and the sound aki over there .... for the price it works scandal ... clearly do not expect a Hollywood sound, but neither get with either 60-70 and stores ... and I tell you first hand that gives me the best result that one of those prices and top with batteries ....</v>
      </c>
    </row>
    <row r="7907">
      <c r="A7907" s="1">
        <v>5.0</v>
      </c>
      <c r="B7907" s="1" t="s">
        <v>7854</v>
      </c>
      <c r="C7907" t="str">
        <f>IFERROR(__xludf.DUMMYFUNCTION("GOOGLETRANSLATE(B7907, ""es"", ""en"")"),"Very good very good value for money.")</f>
        <v>Very good very good value for money.</v>
      </c>
    </row>
    <row r="7908">
      <c r="A7908" s="1">
        <v>5.0</v>
      </c>
      <c r="B7908" s="1" t="s">
        <v>7855</v>
      </c>
      <c r="C7908" t="str">
        <f>IFERROR(__xludf.DUMMYFUNCTION("GOOGLETRANSLATE(B7908, ""es"", ""en"")"),"Highly recommended, good product is great! It has a lot of power, crushed ice and strong. Has a self-cleaning program that goes well ... highly recommended!")</f>
        <v>Highly recommended, good product is great! It has a lot of power, crushed ice and strong. Has a self-cleaning program that goes well ... highly recommended!</v>
      </c>
    </row>
    <row r="7909">
      <c r="A7909" s="1">
        <v>5.0</v>
      </c>
      <c r="B7909" s="1" t="s">
        <v>7856</v>
      </c>
      <c r="C7909" t="str">
        <f>IFERROR(__xludf.DUMMYFUNCTION("GOOGLETRANSLATE(B7909, ""es"", ""en"")"),"They adapt perfectly to the ear I liked, sought headphones wireless that adapt well to the ear and when I go out to play sports no I will fall all the time as others I've had, I think with this I have found, I am very happy with them. Easy connection and "&amp;"listen well although the mobile is not very close.")</f>
        <v>They adapt perfectly to the ear I liked, sought headphones wireless that adapt well to the ear and when I go out to play sports no I will fall all the time as others I've had, I think with this I have found, I am very happy with them. Easy connection and listen well although the mobile is not very close.</v>
      </c>
    </row>
    <row r="7910">
      <c r="A7910" s="1">
        <v>5.0</v>
      </c>
      <c r="B7910" s="1" t="s">
        <v>7857</v>
      </c>
      <c r="C7910" t="str">
        <f>IFERROR(__xludf.DUMMYFUNCTION("GOOGLETRANSLATE(B7910, ""es"", ""en"")"),"Very good quality've tried and going great, I had was 600W and being the 1000w is quite noticeable difference, we have made baby food to the child and has been all very fine, the sting also goes great with double-height blades, is aesthetically beautiful "&amp;"and looks quite robust. The would buy")</f>
        <v>Very good quality've tried and going great, I had was 600W and being the 1000w is quite noticeable difference, we have made baby food to the child and has been all very fine, the sting also goes great with double-height blades, is aesthetically beautiful and looks quite robust. The would buy</v>
      </c>
    </row>
    <row r="7911">
      <c r="A7911" s="1">
        <v>5.0</v>
      </c>
      <c r="B7911" s="1" t="s">
        <v>7858</v>
      </c>
      <c r="C7911" t="str">
        <f>IFERROR(__xludf.DUMMYFUNCTION("GOOGLETRANSLATE(B7911, ""es"", ""en"")"),"Good quality and comfortable comfortable")</f>
        <v>Good quality and comfortable comfortable</v>
      </c>
    </row>
    <row r="7912">
      <c r="A7912" s="1">
        <v>5.0</v>
      </c>
      <c r="B7912" s="1" t="s">
        <v>7859</v>
      </c>
      <c r="C7912" t="str">
        <f>IFERROR(__xludf.DUMMYFUNCTION("GOOGLETRANSLATE(B7912, ""es"", ""en"")"),"Would buy them. Original Puma product. For half the price of other brands you have a shoe with the same quality. Exterior leather, textile lined interior and very sticky soles. Size as planned. They are very comfortable. They come in cardboard box, protec"&amp;"ted and with laces that matter. It's them out and colocártelas. Only I have a few days so I can not evaluate the durability of the product but the impression is good given the quality of materials. Time will tell.")</f>
        <v>Would buy them. Original Puma product. For half the price of other brands you have a shoe with the same quality. Exterior leather, textile lined interior and very sticky soles. Size as planned. They are very comfortable. They come in cardboard box, protected and with laces that matter. It's them out and colocártelas. Only I have a few days so I can not evaluate the durability of the product but the impression is good given the quality of materials. Time will tell.</v>
      </c>
    </row>
    <row r="7913">
      <c r="A7913" s="1">
        <v>5.0</v>
      </c>
      <c r="B7913" s="1" t="s">
        <v>7860</v>
      </c>
      <c r="C7913" t="str">
        <f>IFERROR(__xludf.DUMMYFUNCTION("GOOGLETRANSLATE(B7913, ""es"", ""en"")"),"I love the hook silicone Tab silicone bearing is great to not fall. Quality normal / good audio are linked smoothly")</f>
        <v>I love the hook silicone Tab silicone bearing is great to not fall. Quality normal / good audio are linked smoothly</v>
      </c>
    </row>
    <row r="7914">
      <c r="A7914" s="1">
        <v>5.0</v>
      </c>
      <c r="B7914" s="1" t="s">
        <v>7861</v>
      </c>
      <c r="C7914" t="str">
        <f>IFERROR(__xludf.DUMMYFUNCTION("GOOGLETRANSLATE(B7914, ""es"", ""en"")"),"Great microphone I was surprised when I bought it and used it for several videos. It has a very good medium to high quality. You do not have to envy other high-end microphones. A recommended purchase.")</f>
        <v>Great microphone I was surprised when I bought it and used it for several videos. It has a very good medium to high quality. You do not have to envy other high-end microphones. A recommended purchase.</v>
      </c>
    </row>
    <row r="7915">
      <c r="A7915" s="1">
        <v>5.0</v>
      </c>
      <c r="B7915" s="1" t="s">
        <v>7862</v>
      </c>
      <c r="C7915" t="str">
        <f>IFERROR(__xludf.DUMMYFUNCTION("GOOGLETRANSLATE(B7915, ""es"", ""en"")"),"Nice, comfortable and a good price My husband had some when they left and after many years remains true to this model. The've bought for give them away. Hit insurance.")</f>
        <v>Nice, comfortable and a good price My husband had some when they left and after many years remains true to this model. The've bought for give them away. Hit insurance.</v>
      </c>
    </row>
    <row r="7916">
      <c r="A7916" s="1">
        <v>2.0</v>
      </c>
      <c r="B7916" s="1" t="s">
        <v>7863</v>
      </c>
      <c r="C7916" t="str">
        <f>IFERROR(__xludf.DUMMYFUNCTION("GOOGLETRANSLATE(B7916, ""es"", ""en"")"),"NORMALITO I used only the small and unique advantage over using a toothbrush is that is ergonomic. The bristles are not as harsh as expected.")</f>
        <v>NORMALITO I used only the small and unique advantage over using a toothbrush is that is ergonomic. The bristles are not as harsh as expected.</v>
      </c>
    </row>
    <row r="7917">
      <c r="A7917" s="1">
        <v>3.0</v>
      </c>
      <c r="B7917" s="1" t="s">
        <v>7864</v>
      </c>
      <c r="C7917" t="str">
        <f>IFERROR(__xludf.DUMMYFUNCTION("GOOGLETRANSLATE(B7917, ""es"", ""en"")"),"Plastic plastic weak very weak, he broke the first day removing a card from your hollow, although the case is practical and can fit many cards, you have to be careful on them or remove them. I guess you can not ask for much more for the price.")</f>
        <v>Plastic plastic weak very weak, he broke the first day removing a card from your hollow, although the case is practical and can fit many cards, you have to be careful on them or remove them. I guess you can not ask for much more for the price.</v>
      </c>
    </row>
    <row r="7918">
      <c r="A7918" s="1">
        <v>1.0</v>
      </c>
      <c r="B7918" s="1" t="s">
        <v>7865</v>
      </c>
      <c r="C7918" t="str">
        <f>IFERROR(__xludf.DUMMYFUNCTION("GOOGLETRANSLATE(B7918, ""es"", ""en"")"),"Disappointing it arrived broken")</f>
        <v>Disappointing it arrived broken</v>
      </c>
    </row>
    <row r="7919">
      <c r="A7919" s="1">
        <v>1.0</v>
      </c>
      <c r="B7919" s="1" t="s">
        <v>7866</v>
      </c>
      <c r="C7919" t="str">
        <f>IFERROR(__xludf.DUMMYFUNCTION("GOOGLETRANSLATE(B7919, ""es"", ""en"")"),"A trinket a trinket")</f>
        <v>A trinket a trinket</v>
      </c>
    </row>
    <row r="7920">
      <c r="A7920" s="1">
        <v>1.0</v>
      </c>
      <c r="B7920" s="1" t="s">
        <v>7867</v>
      </c>
      <c r="C7920" t="str">
        <f>IFERROR(__xludf.DUMMYFUNCTION("GOOGLETRANSLATE(B7920, ""es"", ""en"")"),"defective came to the opening and did not give me good impression, because something moved within the housing and PC did not recognize. So I returned it. I hope not to have problems with repayment, ordered another just another brand.")</f>
        <v>defective came to the opening and did not give me good impression, because something moved within the housing and PC did not recognize. So I returned it. I hope not to have problems with repayment, ordered another just another brand.</v>
      </c>
    </row>
    <row r="7921">
      <c r="A7921" s="1">
        <v>4.0</v>
      </c>
      <c r="B7921" s="1" t="s">
        <v>7868</v>
      </c>
      <c r="C7921" t="str">
        <f>IFERROR(__xludf.DUMMYFUNCTION("GOOGLETRANSLATE(B7921, ""es"", ""en"")"),"Good quality but too paid A halftone, good quality, is quite fast both reading and writing, perfect for videos 4k, the only downside is the price, I think the v30 or higher is inflating them too much money. But from start to burn these videos non-stop con"&amp;"ditions. P.S. After one year of use, it goes perfectly but of 170Mbps at a better price. This is already outdated and is more expensive than the new model.")</f>
        <v>Good quality but too paid A halftone, good quality, is quite fast both reading and writing, perfect for videos 4k, the only downside is the price, I think the v30 or higher is inflating them too much money. But from start to burn these videos non-stop conditions. P.S. After one year of use, it goes perfectly but of 170Mbps at a better price. This is already outdated and is more expensive than the new model.</v>
      </c>
    </row>
    <row r="7922">
      <c r="A7922" s="1">
        <v>4.0</v>
      </c>
      <c r="B7922" s="1" t="s">
        <v>7869</v>
      </c>
      <c r="C7922" t="str">
        <f>IFERROR(__xludf.DUMMYFUNCTION("GOOGLETRANSLATE(B7922, ""es"", ""en"")"),"Recommendable. It sounds good and looks good material. The mobile connector is unplugged inadvertently move to the sometimes suppose to the straight and angled be. The price / quality ratio is very good.")</f>
        <v>Recommendable. It sounds good and looks good material. The mobile connector is unplugged inadvertently move to the sometimes suppose to the straight and angled be. The price / quality ratio is very good.</v>
      </c>
    </row>
    <row r="7923">
      <c r="A7923" s="1">
        <v>4.0</v>
      </c>
      <c r="B7923" s="1" t="s">
        <v>7870</v>
      </c>
      <c r="C7923" t="str">
        <f>IFERROR(__xludf.DUMMYFUNCTION("GOOGLETRANSLATE(B7923, ""es"", ""en"")"),"Great everything perfect")</f>
        <v>Great everything perfect</v>
      </c>
    </row>
    <row r="7924">
      <c r="A7924" s="1">
        <v>4.0</v>
      </c>
      <c r="B7924" s="1" t="s">
        <v>7871</v>
      </c>
      <c r="C7924" t="str">
        <f>IFERROR(__xludf.DUMMYFUNCTION("GOOGLETRANSLATE(B7924, ""es"", ""en"")"),"Perfect design, good feel and design")</f>
        <v>Perfect design, good feel and design</v>
      </c>
    </row>
    <row r="7925">
      <c r="A7925" s="1">
        <v>4.0</v>
      </c>
      <c r="B7925" s="1" t="s">
        <v>7872</v>
      </c>
      <c r="C7925" t="str">
        <f>IFERROR(__xludf.DUMMYFUNCTION("GOOGLETRANSLATE(B7925, ""es"", ""en"")"),"Good Fair There is a bit of everything ... hardly smell the orange and lemon A wonder the mint I still have to try some")</f>
        <v>Good Fair There is a bit of everything ... hardly smell the orange and lemon A wonder the mint I still have to try some</v>
      </c>
    </row>
    <row r="7926">
      <c r="A7926" s="1">
        <v>5.0</v>
      </c>
      <c r="B7926" s="1" t="s">
        <v>7873</v>
      </c>
      <c r="C7926" t="str">
        <f>IFERROR(__xludf.DUMMYFUNCTION("GOOGLETRANSLATE(B7926, ""es"", ""en"")"),"Quality good price My sister are great")</f>
        <v>Quality good price My sister are great</v>
      </c>
    </row>
    <row r="7927">
      <c r="A7927" s="1">
        <v>5.0</v>
      </c>
      <c r="B7927" s="1" t="s">
        <v>7874</v>
      </c>
      <c r="C7927" t="str">
        <f>IFERROR(__xludf.DUMMYFUNCTION("GOOGLETRANSLATE(B7927, ""es"", ""en"")"),"The best I've found is certainly the best I've tasted. Fast and effective. Easy to clean. He had tried the disposable strips, which are a bummer because they are very expensive. He had also tested a roller is removed and lava, but with two passes, one mus"&amp;"t wash it and just give you for a pledge. In addition to not be as effective. This brush instead is very convenient to use, catches everything and leaves clothes very well. I've been using a couple of months and I'm happy with the purchase.")</f>
        <v>The best I've found is certainly the best I've tasted. Fast and effective. Easy to clean. He had tried the disposable strips, which are a bummer because they are very expensive. He had also tested a roller is removed and lava, but with two passes, one must wash it and just give you for a pledge. In addition to not be as effective. This brush instead is very convenient to use, catches everything and leaves clothes very well. I've been using a couple of months and I'm happy with the purchase.</v>
      </c>
    </row>
    <row r="7928">
      <c r="A7928" s="1">
        <v>5.0</v>
      </c>
      <c r="B7928" s="1" t="s">
        <v>7875</v>
      </c>
      <c r="C7928" t="str">
        <f>IFERROR(__xludf.DUMMYFUNCTION("GOOGLETRANSLATE(B7928, ""es"", ""en"")"),"Highly recommended price is absurd, I have acquired by 100EUR and 100EUR even remember when I gave you for 1TB HHD. Very easy to install but can give problems depending on your motherboard, nothing which is not settled by searching google a bit. It is sol"&amp;"id and not very hot. Highly recommended.")</f>
        <v>Highly recommended price is absurd, I have acquired by 100EUR and 100EUR even remember when I gave you for 1TB HHD. Very easy to install but can give problems depending on your motherboard, nothing which is not settled by searching google a bit. It is solid and not very hot. Highly recommended.</v>
      </c>
    </row>
    <row r="7929">
      <c r="A7929" s="1">
        <v>5.0</v>
      </c>
      <c r="B7929" s="1" t="s">
        <v>7876</v>
      </c>
      <c r="C7929" t="str">
        <f>IFERROR(__xludf.DUMMYFUNCTION("GOOGLETRANSLATE(B7929, ""es"", ""en"")"),"Comfort The use every day to Curran and are super comfortable and lightweight wonder")</f>
        <v>Comfort The use every day to Curran and are super comfortable and lightweight wonder</v>
      </c>
    </row>
    <row r="7930">
      <c r="A7930" s="1">
        <v>5.0</v>
      </c>
      <c r="B7930" s="1" t="s">
        <v>7877</v>
      </c>
      <c r="C7930" t="str">
        <f>IFERROR(__xludf.DUMMYFUNCTION("GOOGLETRANSLATE(B7930, ""es"", ""en"")"),"Well above the competition &lt;div id = ""video-block-RU55J1T1Z66F0"" class = ""a-section a-spacing-small a-spacing-top mini video-block""&gt; &lt;/ div&gt; &lt;input type = ""hidden ""name ="" ""value ="" https://images-eu.ssl-images-amazon.com/images/I/A1uvry17RMS.mp4"&amp;" ""class ="" video-url ""&gt; &lt;input type ="" hidden ""name ="" ""value ="" https://images-eu.ssl-images-amazon.com/images/I/71NH7OYaf3S.png ""class ="" video-slate-img-url ""&gt; &amp; nbsp; He had been a while wanting to change my headphones bluetooth cable for c"&amp;"ordless model and since it seems that these months these devices are popping up like mushrooms, I thought it was time and I decided due to the high punctuation. And the truth is that after a few days with them, I have fallen in love. A unpacking, you find"&amp;" a fully premium presentation. Box with sealing, warranty card, instructions in Castilian, cable microUSB (who does not have 10 of these already at home ...), 2 pairs extra pillows small and large size, but the medium torque is placed on the headphones . "&amp;"And finally, the coquettish case-powerbank including headphones and preloaded to use them immediately upon receipt. When using them, what stands out is its ease of handling as much as pairing. The case has a microUSB port for charging its battery of 500 m"&amp;"A, and this in turn has two charging ports magnetic headphones. By size, you can load about 5 times before emptying completely. It also has a blue LED blinks while charging the headphones and a white LED with the same function. If the lights are on, the b"&amp;"attery is at the maximum. Say in this regard that the first load in my case stand about 4 hours of continuous sound volume to 50%, so if you bring the box out, some will have 20 total hours of battery. At the headphones out of the box, they turn on and pu"&amp;"t into pairing mode. My first test was with the phone and the connection was instant, without pin. Search E18 in the Bluetooth section and from there, every time they enter and leave the box again connect to the last paired device without performing any a"&amp;"dditional steps. I found that the left ear is the main and can operate independently if it is the right battery just for example, not being so at the reverse. The law is like a secondary speaker that allows going on stereo music. I was interested also use"&amp;" the PC so I auditioned pairing well with them. It was just as simple, go to the Bluetooth menu of Windows 10, search and E18 were there. Plug and play. As for performance, allow typical of these wireless models. Each has a single button that is responsib"&amp;"le for performing different functions. A short press on any of them paused and continuous music. A short press on the left allows you to answer calls and long calls to the assistant apple.Una google or long press on the right lets move forward song. Here "&amp;"if you are missing to control the volume, but it seems that this is common in all these headphones. The volume is controlled only from the mobile or PC. In a matter of ergonomia I have not had any problems. Are lightweight and perfectly fit the ear and wi"&amp;"thin two minutes you forget that you're wearing. I use the medium pads and neither move nor bother me after take more than 3 hours which is saying something. Call option uses the left earpiece for voice and I think that either serves as a microphone, as b"&amp;"oth have a small hole. If this bothers you, the headphones are reversible, so you can be changed smoothly ear. Call quality is perfectly clear and they tell me, my voice also sounds smoothly and without cuts, so a ten on this. And we come to the most secl"&amp;"uded resort. Evaluate the sound, which is what that end we will use these toys. Unfortunately I have a corsair USB headset 150 Euros and 7.1. Obviously the quality can not be compared, however for being such small, lightweight headphones, listen to music "&amp;"it is clear that without sounding metal slipstream in most Chinese pots. In addition the sound is homogeneous both as 10% to 90%, and 50% is more than enough to block out outside. Reproduction occurs without any kind of delay between left and right, but I"&amp;" have found that if there is a delay between picture and sound, for example the videos on Youtube. Is not even 200ms but if they are to be used to watch movies, is something that becomes annoying. To avoid this, you need to be compatible with codecs APTX "&amp;"or the like. In this case it seems that it is not. As a final comment on that for me definitely more useful compared to a headset headband, is the possibility of deleting one if someone is talking to you (or if you can hear ghosts at 2 in the morning whil"&amp;"e you use to play the evil resident xD ), and the convenience of being able to use them without getting hurt ears headband-glasses by combination (in my case, one is having an age and eyes fail ....) this Christmas gift indeed.")</f>
        <v>Well above the competition &lt;div id = "video-block-RU55J1T1Z66F0" class = "a-section a-spacing-small a-spacing-top mini video-block"&gt; &lt;/ div&gt; &lt;input type = "hidden "name =" "value =" https://images-eu.ssl-images-amazon.com/images/I/A1uvry17RMS.mp4 "class =" video-url "&gt; &lt;input type =" hidden "name =" "value =" https://images-eu.ssl-images-amazon.com/images/I/71NH7OYaf3S.png "class =" video-slate-img-url "&gt; &amp; nbsp; He had been a while wanting to change my headphones bluetooth cable for cordless model and since it seems that these months these devices are popping up like mushrooms, I thought it was time and I decided due to the high punctuation. And the truth is that after a few days with them, I have fallen in love. A unpacking, you find a fully premium presentation. Box with sealing, warranty card, instructions in Castilian, cable microUSB (who does not have 10 of these already at home ...), 2 pairs extra pillows small and large size, but the medium torque is placed on the headphones . And finally, the coquettish case-powerbank including headphones and preloaded to use them immediately upon receipt. When using them, what stands out is its ease of handling as much as pairing. The case has a microUSB port for charging its battery of 500 mA, and this in turn has two charging ports magnetic headphones. By size, you can load about 5 times before emptying completely. It also has a blue LED blinks while charging the headphones and a white LED with the same function. If the lights are on, the battery is at the maximum. Say in this regard that the first load in my case stand about 4 hours of continuous sound volume to 50%, so if you bring the box out, some will have 20 total hours of battery. At the headphones out of the box, they turn on and put into pairing mode. My first test was with the phone and the connection was instant, without pin. Search E18 in the Bluetooth section and from there, every time they enter and leave the box again connect to the last paired device without performing any additional steps. I found that the left ear is the main and can operate independently if it is the right battery just for example, not being so at the reverse. The law is like a secondary speaker that allows going on stereo music. I was interested also use the PC so I auditioned pairing well with them. It was just as simple, go to the Bluetooth menu of Windows 10, search and E18 were there. Plug and play. As for performance, allow typical of these wireless models. Each has a single button that is responsible for performing different functions. A short press on any of them paused and continuous music. A short press on the left allows you to answer calls and long calls to the assistant apple.Una google or long press on the right lets move forward song. Here if you are missing to control the volume, but it seems that this is common in all these headphones. The volume is controlled only from the mobile or PC. In a matter of ergonomia I have not had any problems. Are lightweight and perfectly fit the ear and within two minutes you forget that you're wearing. I use the medium pads and neither move nor bother me after take more than 3 hours which is saying something. Call option uses the left earpiece for voice and I think that either serves as a microphone, as both have a small hole. If this bothers you, the headphones are reversible, so you can be changed smoothly ear. Call quality is perfectly clear and they tell me, my voice also sounds smoothly and without cuts, so a ten on this. And we come to the most secluded resort. Evaluate the sound, which is what that end we will use these toys. Unfortunately I have a corsair USB headset 150 Euros and 7.1. Obviously the quality can not be compared, however for being such small, lightweight headphones, listen to music it is clear that without sounding metal slipstream in most Chinese pots. In addition the sound is homogeneous both as 10% to 90%, and 50% is more than enough to block out outside. Reproduction occurs without any kind of delay between left and right, but I have found that if there is a delay between picture and sound, for example the videos on Youtube. Is not even 200ms but if they are to be used to watch movies, is something that becomes annoying. To avoid this, you need to be compatible with codecs APTX or the like. In this case it seems that it is not. As a final comment on that for me definitely more useful compared to a headset headband, is the possibility of deleting one if someone is talking to you (or if you can hear ghosts at 2 in the morning while you use to play the evil resident xD ), and the convenience of being able to use them without getting hurt ears headband-glasses by combination (in my case, one is having an age and eyes fail ....) this Christmas gift indeed.</v>
      </c>
    </row>
    <row r="7931">
      <c r="A7931" s="1">
        <v>5.0</v>
      </c>
      <c r="B7931" s="1" t="s">
        <v>7878</v>
      </c>
      <c r="C7931" t="str">
        <f>IFERROR(__xludf.DUMMYFUNCTION("GOOGLETRANSLATE(B7931, ""es"", ""en"")"),"I love my charm is such that as shown in the ad. The colors are beautiful and the fabric is soft. I arrive on time.")</f>
        <v>I love my charm is such that as shown in the ad. The colors are beautiful and the fabric is soft. I arrive on time.</v>
      </c>
    </row>
    <row r="7932">
      <c r="A7932" s="1">
        <v>5.0</v>
      </c>
      <c r="B7932" s="1" t="s">
        <v>7879</v>
      </c>
      <c r="C7932" t="str">
        <f>IFERROR(__xludf.DUMMYFUNCTION("GOOGLETRANSLATE(B7932, ""es"", ""en"")"),"I love a good powerful and handy device ...")</f>
        <v>I love a good powerful and handy device ...</v>
      </c>
    </row>
    <row r="7933">
      <c r="A7933" s="1">
        <v>5.0</v>
      </c>
      <c r="B7933" s="1" t="s">
        <v>7880</v>
      </c>
      <c r="C7933" t="str">
        <f>IFERROR(__xludf.DUMMYFUNCTION("GOOGLETRANSLATE(B7933, ""es"", ""en"")"),"Patricia Arévalo are normal Medela bottles. They are those who have used our children with all the comfort of being those that come with the Medela breast pumps. The only downside I would put it is that being wide mouth, when replacing teats have to use t"&amp;"he Medela of or wide mouth of Dr Brown. In a pharmacy or supermarket it is much easier to find narrow mouth. Not a major drawback because right here you can find teats.")</f>
        <v>Patricia Arévalo are normal Medela bottles. They are those who have used our children with all the comfort of being those that come with the Medela breast pumps. The only downside I would put it is that being wide mouth, when replacing teats have to use the Medela of or wide mouth of Dr Brown. In a pharmacy or supermarket it is much easier to find narrow mouth. Not a major drawback because right here you can find teats.</v>
      </c>
    </row>
    <row r="7934">
      <c r="A7934" s="1">
        <v>5.0</v>
      </c>
      <c r="B7934" s="1" t="s">
        <v>7881</v>
      </c>
      <c r="C7934" t="str">
        <f>IFERROR(__xludf.DUMMYFUNCTION("GOOGLETRANSLATE(B7934, ""es"", ""en"")"),"A Perfect success to dance! Very comfortable and the perfect heel.")</f>
        <v>A Perfect success to dance! Very comfortable and the perfect heel.</v>
      </c>
    </row>
    <row r="7935">
      <c r="A7935" s="1">
        <v>5.0</v>
      </c>
      <c r="B7935" s="1" t="s">
        <v>7882</v>
      </c>
      <c r="C7935" t="str">
        <f>IFERROR(__xludf.DUMMYFUNCTION("GOOGLETRANSLATE(B7935, ""es"", ""en"")"),"All good For the price, it's fine")</f>
        <v>All good For the price, it's fine</v>
      </c>
    </row>
    <row r="7936">
      <c r="A7936" s="1">
        <v>5.0</v>
      </c>
      <c r="B7936" s="1" t="s">
        <v>7883</v>
      </c>
      <c r="C7936" t="str">
        <f>IFERROR(__xludf.DUMMYFUNCTION("GOOGLETRANSLATE(B7936, ""es"", ""en"")"),"Comfortable and convenient I carry in my work is practical")</f>
        <v>Comfortable and convenient I carry in my work is practical</v>
      </c>
    </row>
    <row r="7937">
      <c r="A7937" s="1">
        <v>5.0</v>
      </c>
      <c r="B7937" s="1" t="s">
        <v>7884</v>
      </c>
      <c r="C7937" t="str">
        <f>IFERROR(__xludf.DUMMYFUNCTION("GOOGLETRANSLATE(B7937, ""es"", ""en"")"),"Recommended I really like and are good buoys, as always. The price was also very good and fast shipping. Thank you. A greeting.")</f>
        <v>Recommended I really like and are good buoys, as always. The price was also very good and fast shipping. Thank you. A greeting.</v>
      </c>
    </row>
    <row r="7938">
      <c r="A7938" s="1">
        <v>5.0</v>
      </c>
      <c r="B7938" s="1" t="s">
        <v>7885</v>
      </c>
      <c r="C7938" t="str">
        <f>IFERROR(__xludf.DUMMYFUNCTION("GOOGLETRANSLATE(B7938, ""es"", ""en"")"),"Vans Originals")</f>
        <v>Vans Originals</v>
      </c>
    </row>
    <row r="7939">
      <c r="A7939" s="1">
        <v>5.0</v>
      </c>
      <c r="B7939" s="1" t="s">
        <v>7886</v>
      </c>
      <c r="C7939" t="str">
        <f>IFERROR(__xludf.DUMMYFUNCTION("GOOGLETRANSLATE(B7939, ""es"", ""en"")"),"Very useful Very cute design simple, fulfills its mission without lo.notes .... very useful.")</f>
        <v>Very useful Very cute design simple, fulfills its mission without lo.notes .... very useful.</v>
      </c>
    </row>
    <row r="7940">
      <c r="A7940" s="1">
        <v>5.0</v>
      </c>
      <c r="B7940" s="1" t="s">
        <v>7887</v>
      </c>
      <c r="C7940" t="str">
        <f>IFERROR(__xludf.DUMMYFUNCTION("GOOGLETRANSLATE(B7940, ""es"", ""en"")"),"Small but práctico.Nos have liked. It's smaller than I thought but very convenient and well kept in the cajón.Y extends what you need. It was for a gift and liked. The order arrived well packaged and rápido.Gracias")</f>
        <v>Small but práctico.Nos have liked. It's smaller than I thought but very convenient and well kept in the cajón.Y extends what you need. It was for a gift and liked. The order arrived well packaged and rápido.Gracias</v>
      </c>
    </row>
    <row r="7941">
      <c r="A7941" s="1">
        <v>5.0</v>
      </c>
      <c r="B7941" s="1" t="s">
        <v>7888</v>
      </c>
      <c r="C7941" t="str">
        <f>IFERROR(__xludf.DUMMYFUNCTION("GOOGLETRANSLATE(B7941, ""es"", ""en"")"),"Fulfills its function Va great! It is very easy to use and everything is organized in a very short time, it is flexible and easy to handle.")</f>
        <v>Fulfills its function Va great! It is very easy to use and everything is organized in a very short time, it is flexible and easy to handle.</v>
      </c>
    </row>
    <row r="7942">
      <c r="A7942" s="1">
        <v>5.0</v>
      </c>
      <c r="B7942" s="1" t="s">
        <v>7889</v>
      </c>
      <c r="C7942" t="str">
        <f>IFERROR(__xludf.DUMMYFUNCTION("GOOGLETRANSLATE(B7942, ""es"", ""en"")"),"OK Good quality product at a great price")</f>
        <v>OK Good quality product at a great price</v>
      </c>
    </row>
    <row r="7943">
      <c r="A7943" s="1">
        <v>5.0</v>
      </c>
      <c r="B7943" s="1" t="s">
        <v>7890</v>
      </c>
      <c r="C7943" t="str">
        <f>IFERROR(__xludf.DUMMYFUNCTION("GOOGLETRANSLATE(B7943, ""es"", ""en"")"),"Nothing to do with the Chinese buy one roll of Chinese and five minutes to paste it into cardboard boxes, are taking off everywhere. This paste perfectly and effortlessly. A stuck time, not moving, you have to cut it. It also has good resistance. To break"&amp;" it, you have to cut it. In short, it's worth spending a little more and have a quality product.")</f>
        <v>Nothing to do with the Chinese buy one roll of Chinese and five minutes to paste it into cardboard boxes, are taking off everywhere. This paste perfectly and effortlessly. A stuck time, not moving, you have to cut it. It also has good resistance. To break it, you have to cut it. In short, it's worth spending a little more and have a quality product.</v>
      </c>
    </row>
    <row r="7944">
      <c r="A7944" s="1">
        <v>2.0</v>
      </c>
      <c r="B7944" s="1" t="s">
        <v>7891</v>
      </c>
      <c r="C7944" t="str">
        <f>IFERROR(__xludf.DUMMYFUNCTION("GOOGLETRANSLATE(B7944, ""es"", ""en"")"),"ALL OK BUT VA fairly regular CONNECTOR IS NOT SPEND QUALITY AND USB to microUSB not doing very well TRANSFER AND NEITHER SHOULD MAKE ME GO AS PEAKS 43")</f>
        <v>ALL OK BUT VA fairly regular CONNECTOR IS NOT SPEND QUALITY AND USB to microUSB not doing very well TRANSFER AND NEITHER SHOULD MAKE ME GO AS PEAKS 43</v>
      </c>
    </row>
    <row r="7945">
      <c r="A7945" s="1">
        <v>3.0</v>
      </c>
      <c r="B7945" s="1" t="s">
        <v>7892</v>
      </c>
      <c r="C7945" t="str">
        <f>IFERROR(__xludf.DUMMYFUNCTION("GOOGLETRANSLATE(B7945, ""es"", ""en"")"),"Heated enough, though the box says it consumes 60W and not what the seller described. normal quality. Well received by Amazon. The price is competitive and quality average. First impression was bad, since I put the blanket on the couch and turned on after"&amp;" a while I did not feel that warm practically nothing. After my wife made a second test on the bed and hence the opinion changed for the better, even taking heat in its maximum position (my wife is very whopping). Therefore, giving two or three first uses"&amp;" to pick up pace and using it in bed (with blanket and comforter), I can say that perfectly fulfills its function. Points to note: - price, very cheap. - touch, very soft and not notice anything that is set when you lie on it. - Low power consumption, yes"&amp;", they are 60W, the description is not correct. - You can disconnect and wash. - According puts the description, it lasts until 9 am in continuous operation, others only last 2-3h. Negatives: - not heated evenly 100% whole blanket, no corners and upper an"&amp;"d lower portions are heated not equal, since these areas just passed by resistors. - The connector is located on a corner of the blanket, and this is a little big and annoying (you have to put toward the feet). - The material of the blanket ""stripping"" "&amp;"and linting.")</f>
        <v>Heated enough, though the box says it consumes 60W and not what the seller described. normal quality. Well received by Amazon. The price is competitive and quality average. First impression was bad, since I put the blanket on the couch and turned on after a while I did not feel that warm practically nothing. After my wife made a second test on the bed and hence the opinion changed for the better, even taking heat in its maximum position (my wife is very whopping). Therefore, giving two or three first uses to pick up pace and using it in bed (with blanket and comforter), I can say that perfectly fulfills its function. Points to note: - price, very cheap. - touch, very soft and not notice anything that is set when you lie on it. - Low power consumption, yes, they are 60W, the description is not correct. - You can disconnect and wash. - According puts the description, it lasts until 9 am in continuous operation, others only last 2-3h. Negatives: - not heated evenly 100% whole blanket, no corners and upper and lower portions are heated not equal, since these areas just passed by resistors. - The connector is located on a corner of the blanket, and this is a little big and annoying (you have to put toward the feet). - The material of the blanket "stripping" and linting.</v>
      </c>
    </row>
    <row r="7946">
      <c r="A7946" s="1">
        <v>3.0</v>
      </c>
      <c r="B7946" s="1" t="s">
        <v>7893</v>
      </c>
      <c r="C7946" t="str">
        <f>IFERROR(__xludf.DUMMYFUNCTION("GOOGLETRANSLATE(B7946, ""es"", ""en"")"),"Use one every two days could further adjust the price or more parts. Sprai also use mopa lasts a little longer. Use one every two days.")</f>
        <v>Use one every two days could further adjust the price or more parts. Sprai also use mopa lasts a little longer. Use one every two days.</v>
      </c>
    </row>
    <row r="7947">
      <c r="A7947" s="1">
        <v>1.0</v>
      </c>
      <c r="B7947" s="1" t="s">
        <v>7894</v>
      </c>
      <c r="C7947" t="str">
        <f>IFERROR(__xludf.DUMMYFUNCTION("GOOGLETRANSLATE(B7947, ""es"", ""en"")"),"Just paste on paper. I wanted to fabrics (cushions, crafts, nothing complicated) and not hit anything. It is constantly off fabrics. It is only good on paper. And for things with some weight, it's useless. I do not return because I missed the deadline bef"&amp;"ore use.")</f>
        <v>Just paste on paper. I wanted to fabrics (cushions, crafts, nothing complicated) and not hit anything. It is constantly off fabrics. It is only good on paper. And for things with some weight, it's useless. I do not return because I missed the deadline before use.</v>
      </c>
    </row>
    <row r="7948">
      <c r="A7948" s="1">
        <v>1.0</v>
      </c>
      <c r="B7948" s="1" t="s">
        <v>7895</v>
      </c>
      <c r="C7948" t="str">
        <f>IFERROR(__xludf.DUMMYFUNCTION("GOOGLETRANSLATE(B7948, ""es"", ""en"")"),"Very bad quality. For its material fits well and is comfortable wrist. But ... 1. the long belt is loose because the buckle is not good, is released all the time with the discomfort it produces. 2nd and more importantly, the screws in just a few months ha"&amp;"ve rusted to the point that withdrawing one of them is broken lace on the clock.")</f>
        <v>Very bad quality. For its material fits well and is comfortable wrist. But ... 1. the long belt is loose because the buckle is not good, is released all the time with the discomfort it produces. 2nd and more importantly, the screws in just a few months have rusted to the point that withdrawing one of them is broken lace on the clock.</v>
      </c>
    </row>
    <row r="7949">
      <c r="A7949" s="1">
        <v>4.0</v>
      </c>
      <c r="B7949" s="1" t="s">
        <v>7896</v>
      </c>
      <c r="C7949" t="str">
        <f>IFERROR(__xludf.DUMMYFUNCTION("GOOGLETRANSLATE(B7949, ""es"", ""en"")"),"Good enough not disappoint ... without complaint")</f>
        <v>Good enough not disappoint ... without complaint</v>
      </c>
    </row>
    <row r="7950">
      <c r="A7950" s="1">
        <v>4.0</v>
      </c>
      <c r="B7950" s="1" t="s">
        <v>7897</v>
      </c>
      <c r="C7950" t="str">
        <f>IFERROR(__xludf.DUMMYFUNCTION("GOOGLETRANSLATE(B7950, ""es"", ""en"")"),"pretty well right")</f>
        <v>pretty well right</v>
      </c>
    </row>
    <row r="7951">
      <c r="A7951" s="1">
        <v>4.0</v>
      </c>
      <c r="B7951" s="1" t="s">
        <v>7898</v>
      </c>
      <c r="C7951" t="str">
        <f>IFERROR(__xludf.DUMMYFUNCTION("GOOGLETRANSLATE(B7951, ""es"", ""en"")"),"Good value good value for money, that if .. if I take the phone in the holster to run on the opposite side of the receiver headphones (the R) is heard staccato, to the changing arm without problem .. Ahoa well .. the cause is the Bluetooth of the phone? t"&amp;"he sheath to run? or headphones ... I think a little of everything but the price is already good to me ...")</f>
        <v>Good value good value for money, that if .. if I take the phone in the holster to run on the opposite side of the receiver headphones (the R) is heard staccato, to the changing arm without problem .. Ahoa well .. the cause is the Bluetooth of the phone? the sheath to run? or headphones ... I think a little of everything but the price is already good to me ...</v>
      </c>
    </row>
    <row r="7952">
      <c r="A7952" s="1">
        <v>4.0</v>
      </c>
      <c r="B7952" s="1" t="s">
        <v>7899</v>
      </c>
      <c r="C7952" t="str">
        <f>IFERROR(__xludf.DUMMYFUNCTION("GOOGLETRANSLATE(B7952, ""es"", ""en"")"),"Very comfortable already knew the brand. Besides comfortable, shoes are very resistant. All you have to be careful with the likes given in my case, height in this brand and type of shoe does not correspond with the number of standing to use in other brand"&amp;"s. However, if you choose the right one for you, they are comfy. I put four stars because for me are nothing aesthetically beautiful but this is something already very personal. But I insist that I give you a comfort 10.")</f>
        <v>Very comfortable already knew the brand. Besides comfortable, shoes are very resistant. All you have to be careful with the likes given in my case, height in this brand and type of shoe does not correspond with the number of standing to use in other brands. However, if you choose the right one for you, they are comfy. I put four stars because for me are nothing aesthetically beautiful but this is something already very personal. But I insist that I give you a comfort 10.</v>
      </c>
    </row>
    <row r="7953">
      <c r="A7953" s="1">
        <v>4.0</v>
      </c>
      <c r="B7953" s="1" t="s">
        <v>7900</v>
      </c>
      <c r="C7953" t="str">
        <f>IFERROR(__xludf.DUMMYFUNCTION("GOOGLETRANSLATE(B7953, ""es"", ""en"")"),"Very comfortable very comfortable")</f>
        <v>Very comfortable very comfortable</v>
      </c>
    </row>
    <row r="7954">
      <c r="A7954" s="1">
        <v>5.0</v>
      </c>
      <c r="B7954" s="1" t="s">
        <v>7901</v>
      </c>
      <c r="C7954" t="str">
        <f>IFERROR(__xludf.DUMMYFUNCTION("GOOGLETRANSLATE(B7954, ""es"", ""en"")"),"Very good buy. Great headphones for sports ... I love them very comfortable to wear and duration of the battery pretty good, I love them.")</f>
        <v>Very good buy. Great headphones for sports ... I love them very comfortable to wear and duration of the battery pretty good, I love them.</v>
      </c>
    </row>
    <row r="7955">
      <c r="A7955" s="1">
        <v>5.0</v>
      </c>
      <c r="B7955" s="1" t="s">
        <v>7902</v>
      </c>
      <c r="C7955" t="str">
        <f>IFERROR(__xludf.DUMMYFUNCTION("GOOGLETRANSLATE(B7955, ""es"", ""en"")"),"He sought mat a mat of this kind without it being at a very high price. This I liked a lot of opinions and recommendations. I love that comes together and pack a bag. It is medium and has certainly been a descubrimienro for those days you need to relax an"&amp;"d release tension.")</f>
        <v>He sought mat a mat of this kind without it being at a very high price. This I liked a lot of opinions and recommendations. I love that comes together and pack a bag. It is medium and has certainly been a descubrimienro for those days you need to relax and release tension.</v>
      </c>
    </row>
    <row r="7956">
      <c r="A7956" s="1">
        <v>5.0</v>
      </c>
      <c r="B7956" s="1" t="s">
        <v>7903</v>
      </c>
      <c r="C7956" t="str">
        <f>IFERROR(__xludf.DUMMYFUNCTION("GOOGLETRANSLATE(B7956, ""es"", ""en"")"),"Good quality good quality, arrived early.")</f>
        <v>Good quality good quality, arrived early.</v>
      </c>
    </row>
    <row r="7957">
      <c r="A7957" s="1">
        <v>5.0</v>
      </c>
      <c r="B7957" s="1" t="s">
        <v>7904</v>
      </c>
      <c r="C7957" t="str">
        <f>IFERROR(__xludf.DUMMYFUNCTION("GOOGLETRANSLATE(B7957, ""es"", ""en"")"),"They arrived in time k they said. K are perfect are looking !!!")</f>
        <v>They arrived in time k they said. K are perfect are looking !!!</v>
      </c>
    </row>
    <row r="7958">
      <c r="A7958" s="1">
        <v>5.0</v>
      </c>
      <c r="B7958" s="1" t="s">
        <v>7905</v>
      </c>
      <c r="C7958" t="str">
        <f>IFERROR(__xludf.DUMMYFUNCTION("GOOGLETRANSLATE(B7958, ""es"", ""en"")"),"I hope keep beautiful color")</f>
        <v>I hope keep beautiful color</v>
      </c>
    </row>
    <row r="7959">
      <c r="A7959" s="1">
        <v>5.0</v>
      </c>
      <c r="B7959" s="1" t="s">
        <v>7906</v>
      </c>
      <c r="C7959" t="str">
        <f>IFERROR(__xludf.DUMMYFUNCTION("GOOGLETRANSLATE(B7959, ""es"", ""en"")"),"Bonitos Bonitos and detail")</f>
        <v>Bonitos Bonitos and detail</v>
      </c>
    </row>
    <row r="7960">
      <c r="A7960" s="1">
        <v>5.0</v>
      </c>
      <c r="B7960" s="1" t="s">
        <v>7907</v>
      </c>
      <c r="C7960" t="str">
        <f>IFERROR(__xludf.DUMMYFUNCTION("GOOGLETRANSLATE(B7960, ""es"", ""en"")"),"Ok Perfectas")</f>
        <v>Ok Perfectas</v>
      </c>
    </row>
    <row r="7961">
      <c r="A7961" s="1">
        <v>5.0</v>
      </c>
      <c r="B7961" s="1" t="s">
        <v>7908</v>
      </c>
      <c r="C7961" t="str">
        <f>IFERROR(__xludf.DUMMYFUNCTION("GOOGLETRANSLATE(B7961, ""es"", ""en"")"),"Xiomi metal band strap for 3 The product is quite curious and looks nice, but the presentation of the packaging of the product itself leaves much to be desired, it comes presented in a simple bag")</f>
        <v>Xiomi metal band strap for 3 The product is quite curious and looks nice, but the presentation of the packaging of the product itself leaves much to be desired, it comes presented in a simple bag</v>
      </c>
    </row>
    <row r="7962">
      <c r="A7962" s="1">
        <v>5.0</v>
      </c>
      <c r="B7962" s="1" t="s">
        <v>7909</v>
      </c>
      <c r="C7962" t="str">
        <f>IFERROR(__xludf.DUMMYFUNCTION("GOOGLETRANSLATE(B7962, ""es"", ""en"")"),"Monísimas precious and precious. I have delighted and are very comfortable.")</f>
        <v>Monísimas precious and precious. I have delighted and are very comfortable.</v>
      </c>
    </row>
    <row r="7963">
      <c r="A7963" s="1">
        <v>5.0</v>
      </c>
      <c r="B7963" s="1" t="s">
        <v>7910</v>
      </c>
      <c r="C7963" t="str">
        <f>IFERROR(__xludf.DUMMYFUNCTION("GOOGLETRANSLATE(B7963, ""es"", ""en"")"),"Perfect already bought one and so I decided to buy another 2 and truth that are very good are phenomenal listening almost better than those that come with mobile plus shipping was fast and perfect")</f>
        <v>Perfect already bought one and so I decided to buy another 2 and truth that are very good are phenomenal listening almost better than those that come with mobile plus shipping was fast and perfect</v>
      </c>
    </row>
    <row r="7964">
      <c r="A7964" s="1">
        <v>5.0</v>
      </c>
      <c r="B7964" s="1" t="s">
        <v>7911</v>
      </c>
      <c r="C7964" t="str">
        <f>IFERROR(__xludf.DUMMYFUNCTION("GOOGLETRANSLATE(B7964, ""es"", ""en"")"),"Buy great good buy and good quality / price and very nice colors, without hesitation buying more to take home booking")</f>
        <v>Buy great good buy and good quality / price and very nice colors, without hesitation buying more to take home booking</v>
      </c>
    </row>
    <row r="7965">
      <c r="A7965" s="1">
        <v>5.0</v>
      </c>
      <c r="B7965" s="1" t="s">
        <v>7912</v>
      </c>
      <c r="C7965" t="str">
        <f>IFERROR(__xludf.DUMMYFUNCTION("GOOGLETRANSLATE(B7965, ""es"", ""en"")"),"Comfortable comfortable and warm. As Picture")</f>
        <v>Comfortable comfortable and warm. As Picture</v>
      </c>
    </row>
    <row r="7966">
      <c r="A7966" s="1">
        <v>5.0</v>
      </c>
      <c r="B7966" s="1" t="s">
        <v>7913</v>
      </c>
      <c r="C7966" t="str">
        <f>IFERROR(__xludf.DUMMYFUNCTION("GOOGLETRANSLATE(B7966, ""es"", ""en"")"),"The most comfortable in True Wireless I've tried already had proven brand headphones Soundpeats and always soprenden for good quality in materials and sound. As these seem to be of a new brand series (because they carry the new logo) and because they seem"&amp;"ed very comfortable to wear, I decided to try (because, as always, the price is quite affordable). The headphones come in a nice tiny little box with some information from the headphones on the outside. Inside the box, you find the box load with headphone"&amp;"s inside her, a charging cable (micro USB yet, Soundpeats? Why?), A bag with two more pairs of silicones for adjustment in the ear and a lot of papers (including manual). The first impression of the cargo box is that it is sooo light. It's all made in pla"&amp;"stic, but almost think you can not have a battery in it, pq is too light. Perhaps the idea was to add portability of these headphones, because besides light is very small. Headset itself also is constructed entirely of plastic, but its design is very nice"&amp;" and not at all like bad copies of the q airpods out there. They have more personality and it shows in his hand. The first connection to the mobile was very easy to do. Without making strange connections between the right and left side. Simply out of the "&amp;"box loading and in connection mode. From there, it is simply look for bluetooth mobile and from the first connection, just out of the box and you are connected. The connection is stable and virtually no latency to the videos. This is surely ""fault"" of v"&amp;"ersion 5.0 of the Bluetooth (which is appreciated and much, since I have not experienced any break in the connection). Sound, as always in Soundpeats, impresses with the price paid. A sound with a stunning body and, honestly, I have not missed or media or"&amp;" treble. Surely a failure audiophile who would say some frequency, but a normal user should not take any frequency missing. Bass, as I said, have very good body and punch, voices and strings (media) front sound enough not to have to pull equalizers and tr"&amp;"eble are clear but not sharp or annoying. Honestly, headphone that price, the most balanced I've tried, but it shows clearly that they are made for people who listen to music with serious (because that's where they look more). Pop music is so, so they hav"&amp;"e a commercial sound, but not displeasing in other musical styles. Another thing that I liked it and it is worth mentioning is that they are the most comfortable headphones I've tried True Wireless. I had to be looking for the most convenient and safest t"&amp;"o avoid falling position. Is put and stay super-tight, but hardly notice you're wearing. And because they are very light, they are very comfortable to wear. I think I could also go jogging with them and would stay tight (have not gotten to try working out"&amp;"). Again, Soundpeats surprised me with an excellent product for its price. I recommend it for anyone looking for a true wireless headphones with good sound and comfortable to wear. I am very happy with the purchase.")</f>
        <v>The most comfortable in True Wireless I've tried already had proven brand headphones Soundpeats and always soprenden for good quality in materials and sound. As these seem to be of a new brand series (because they carry the new logo) and because they seemed very comfortable to wear, I decided to try (because, as always, the price is quite affordable). The headphones come in a nice tiny little box with some information from the headphones on the outside. Inside the box, you find the box load with headphones inside her, a charging cable (micro USB yet, Soundpeats? Why?), A bag with two more pairs of silicones for adjustment in the ear and a lot of papers (including manual). The first impression of the cargo box is that it is sooo light. It's all made in plastic, but almost think you can not have a battery in it, pq is too light. Perhaps the idea was to add portability of these headphones, because besides light is very small. Headset itself also is constructed entirely of plastic, but its design is very nice and not at all like bad copies of the q airpods out there. They have more personality and it shows in his hand. The first connection to the mobile was very easy to do. Without making strange connections between the right and left side. Simply out of the box loading and in connection mode. From there, it is simply look for bluetooth mobile and from the first connection, just out of the box and you are connected. The connection is stable and virtually no latency to the videos. This is surely "fault" of version 5.0 of the Bluetooth (which is appreciated and much, since I have not experienced any break in the connection). Sound, as always in Soundpeats, impresses with the price paid. A sound with a stunning body and, honestly, I have not missed or media or treble. Surely a failure audiophile who would say some frequency, but a normal user should not take any frequency missing. Bass, as I said, have very good body and punch, voices and strings (media) front sound enough not to have to pull equalizers and treble are clear but not sharp or annoying. Honestly, headphone that price, the most balanced I've tried, but it shows clearly that they are made for people who listen to music with serious (because that's where they look more). Pop music is so, so they have a commercial sound, but not displeasing in other musical styles. Another thing that I liked it and it is worth mentioning is that they are the most comfortable headphones I've tried True Wireless. I had to be looking for the most convenient and safest to avoid falling position. Is put and stay super-tight, but hardly notice you're wearing. And because they are very light, they are very comfortable to wear. I think I could also go jogging with them and would stay tight (have not gotten to try working out). Again, Soundpeats surprised me with an excellent product for its price. I recommend it for anyone looking for a true wireless headphones with good sound and comfortable to wear. I am very happy with the purchase.</v>
      </c>
    </row>
    <row r="7967">
      <c r="A7967" s="1">
        <v>5.0</v>
      </c>
      <c r="B7967" s="1" t="s">
        <v>7914</v>
      </c>
      <c r="C7967" t="str">
        <f>IFERROR(__xludf.DUMMYFUNCTION("GOOGLETRANSLATE(B7967, ""es"", ""en"")"),"MOULINEX QUALITY: POWERFUL LIGHT, GOOD PRICE IS VERY GOOD MARK MOULINEX IN SMALL AND MEDIUM appliance, QUALITY ASSURANCE. I buy a MINI MIXER excellent. ONE THING IS VERY PRACTICAL assembly. WHICH I BOUGHT another brand CLICK FOR BEING FAILED IN LIEU OF TH"&amp;"READ AS THIS CASE. VISIBLE IS SMALL BUT VERY POWERFUL TO COUPLE lightweight, easy to handle. You can buy more or fewer accessories. VERY GOOD VALUE FOR PURCHASE, quality, performance, and power. HAVE WARRANTY, AND YOU CAN BUY IF YOU WANT AN EXTENSION OF I"&amp;"T. I'm very happy with the PRODUCT, USE AND GIVE MUCH, is supplying to the blender to stop working. THIS little space.")</f>
        <v>MOULINEX QUALITY: POWERFUL LIGHT, GOOD PRICE IS VERY GOOD MARK MOULINEX IN SMALL AND MEDIUM appliance, QUALITY ASSURANCE. I buy a MINI MIXER excellent. ONE THING IS VERY PRACTICAL assembly. WHICH I BOUGHT another brand CLICK FOR BEING FAILED IN LIEU OF THREAD AS THIS CASE. VISIBLE IS SMALL BUT VERY POWERFUL TO COUPLE lightweight, easy to handle. You can buy more or fewer accessories. VERY GOOD VALUE FOR PURCHASE, quality, performance, and power. HAVE WARRANTY, AND YOU CAN BUY IF YOU WANT AN EXTENSION OF IT. I'm very happy with the PRODUCT, USE AND GIVE MUCH, is supplying to the blender to stop working. THIS little space.</v>
      </c>
    </row>
    <row r="7968">
      <c r="A7968" s="1">
        <v>5.0</v>
      </c>
      <c r="B7968" s="1" t="s">
        <v>7915</v>
      </c>
      <c r="C7968" t="str">
        <f>IFERROR(__xludf.DUMMYFUNCTION("GOOGLETRANSLATE(B7968, ""es"", ""en"")"),"Attention 10")</f>
        <v>Attention 10</v>
      </c>
    </row>
    <row r="7969">
      <c r="A7969" s="1">
        <v>5.0</v>
      </c>
      <c r="B7969" s="1" t="s">
        <v>7916</v>
      </c>
      <c r="C7969" t="str">
        <f>IFERROR(__xludf.DUMMYFUNCTION("GOOGLETRANSLATE(B7969, ""es"", ""en"")"),"The comfort I had a broken heel and super comfortable these shoes will")</f>
        <v>The comfort I had a broken heel and super comfortable these shoes will</v>
      </c>
    </row>
    <row r="7970">
      <c r="A7970" s="1">
        <v>5.0</v>
      </c>
      <c r="B7970" s="1" t="s">
        <v>7917</v>
      </c>
      <c r="C7970" t="str">
        <f>IFERROR(__xludf.DUMMYFUNCTION("GOOGLETRANSLATE(B7970, ""es"", ""en"")"),"Quality product. 100% recommended! It's convenient and easy to use.")</f>
        <v>Quality product. 100% recommended! It's convenient and easy to use.</v>
      </c>
    </row>
    <row r="7971">
      <c r="A7971" s="1">
        <v>5.0</v>
      </c>
      <c r="B7971" s="1" t="s">
        <v>3335</v>
      </c>
      <c r="C7971" t="str">
        <f>IFERROR(__xludf.DUMMYFUNCTION("GOOGLETRANSLATE(B7971, ""es"", ""en"")"),"Perfect Very good")</f>
        <v>Perfect Very good</v>
      </c>
    </row>
    <row r="7972">
      <c r="A7972" s="1">
        <v>5.0</v>
      </c>
      <c r="B7972" s="1" t="s">
        <v>7918</v>
      </c>
      <c r="C7972" t="str">
        <f>IFERROR(__xludf.DUMMYFUNCTION("GOOGLETRANSLATE(B7972, ""es"", ""en"")"),"Very good very good, powerful, very aesthetic.")</f>
        <v>Very good very good, powerful, very aesthetic.</v>
      </c>
    </row>
    <row r="7973">
      <c r="A7973" s="1">
        <v>2.0</v>
      </c>
      <c r="B7973" s="1" t="s">
        <v>7919</v>
      </c>
      <c r="C7973" t="str">
        <f>IFERROR(__xludf.DUMMYFUNCTION("GOOGLETRANSLATE(B7973, ""es"", ""en"")"),"Low quality. Difficult to clean The design is nice. But it looks puny. There is no hand to wash if required. A first use already oxidized.")</f>
        <v>Low quality. Difficult to clean The design is nice. But it looks puny. There is no hand to wash if required. A first use already oxidized.</v>
      </c>
    </row>
    <row r="7974">
      <c r="A7974" s="1">
        <v>3.0</v>
      </c>
      <c r="B7974" s="1" t="s">
        <v>7920</v>
      </c>
      <c r="C7974" t="str">
        <f>IFERROR(__xludf.DUMMYFUNCTION("GOOGLETRANSLATE(B7974, ""es"", ""en"")"),"Regular. Not bad, and good is q fleet if you use it in large glass, but some tea leaves escaping from the holes ....")</f>
        <v>Regular. Not bad, and good is q fleet if you use it in large glass, but some tea leaves escaping from the holes ....</v>
      </c>
    </row>
    <row r="7975">
      <c r="A7975" s="1">
        <v>3.0</v>
      </c>
      <c r="B7975" s="1" t="s">
        <v>7921</v>
      </c>
      <c r="C7975" t="str">
        <f>IFERROR(__xludf.DUMMYFUNCTION("GOOGLETRANSLATE(B7975, ""es"", ""en"")"),"I do not recommend Product is not bad but looking for a more comfortable alarm ... I like the way dawn (though I have not gotten to try) but I do not like several things: 'You can set the alarm Monday through Friday, if not every Friday have to disable an"&amp;"d re-enable on Sunday. -The button to see the time at night is not comfortable ... almost not found and over when off and give it, miss out on the maximum intensity. I do not like the color of the numbers. 'The lights are too ""festive"", rather than an a"&amp;"larm clock.")</f>
        <v>I do not recommend Product is not bad but looking for a more comfortable alarm ... I like the way dawn (though I have not gotten to try) but I do not like several things: 'You can set the alarm Monday through Friday, if not every Friday have to disable and re-enable on Sunday. -The button to see the time at night is not comfortable ... almost not found and over when off and give it, miss out on the maximum intensity. I do not like the color of the numbers. 'The lights are too "festive", rather than an alarm clock.</v>
      </c>
    </row>
    <row r="7976">
      <c r="A7976" s="1">
        <v>1.0</v>
      </c>
      <c r="B7976" s="1" t="s">
        <v>7922</v>
      </c>
      <c r="C7976" t="str">
        <f>IFERROR(__xludf.DUMMYFUNCTION("GOOGLETRANSLATE(B7976, ""es"", ""en"")"),"Marta's photo and description me a kettle expected much better quality and much heavier .... wanted to have on view in the kitchen but I'll have to keep using the old!")</f>
        <v>Marta's photo and description me a kettle expected much better quality and much heavier .... wanted to have on view in the kitchen but I'll have to keep using the old!</v>
      </c>
    </row>
    <row r="7977">
      <c r="A7977" s="1">
        <v>1.0</v>
      </c>
      <c r="B7977" s="1" t="s">
        <v>7923</v>
      </c>
      <c r="C7977" t="str">
        <f>IFERROR(__xludf.DUMMYFUNCTION("GOOGLETRANSLATE(B7977, ""es"", ""en"")"),"Doubt that is true. It comes in a plastic bag that makes doubt its authenticity. The closure inside think gives it away but still have to compare it to a real.")</f>
        <v>Doubt that is true. It comes in a plastic bag that makes doubt its authenticity. The closure inside think gives it away but still have to compare it to a real.</v>
      </c>
    </row>
    <row r="7978">
      <c r="A7978" s="1">
        <v>1.0</v>
      </c>
      <c r="B7978" s="1" t="s">
        <v>7924</v>
      </c>
      <c r="C7978" t="str">
        <f>IFERROR(__xludf.DUMMYFUNCTION("GOOGLETRANSLATE(B7978, ""es"", ""en"")"),"Eye is a fake! The shirt is falsisima !!!! Seriagrafia poor quality and label levis nothing appears. For that I buy in Aliexpres which is much cheaper")</f>
        <v>Eye is a fake! The shirt is falsisima !!!! Seriagrafia poor quality and label levis nothing appears. For that I buy in Aliexpres which is much cheaper</v>
      </c>
    </row>
    <row r="7979">
      <c r="A7979" s="1">
        <v>4.0</v>
      </c>
      <c r="B7979" s="1" t="s">
        <v>7925</v>
      </c>
      <c r="C7979" t="str">
        <f>IFERROR(__xludf.DUMMYFUNCTION("GOOGLETRANSLATE(B7979, ""es"", ""en"")"),"For the price they have, great use them to the gym and are very good for the price they have, of course. , Normal quality, expected a headset button less than 10 euros hear well. The quality looks very good, the cable is flexible enough to being rubberize"&amp;"d. They do not distort much listening to loud music. They are quite ergonomic. The'll buy when they break.")</f>
        <v>For the price they have, great use them to the gym and are very good for the price they have, of course. , Normal quality, expected a headset button less than 10 euros hear well. The quality looks very good, the cable is flexible enough to being rubberized. They do not distort much listening to loud music. They are quite ergonomic. The'll buy when they break.</v>
      </c>
    </row>
    <row r="7980">
      <c r="A7980" s="1">
        <v>4.0</v>
      </c>
      <c r="B7980" s="1" t="s">
        <v>7926</v>
      </c>
      <c r="C7980" t="str">
        <f>IFERROR(__xludf.DUMMYFUNCTION("GOOGLETRANSLATE(B7980, ""es"", ""en"")"),"they serve for what we've asked They adapt very well and comply perfectly with what he wanted, warm and comfortable")</f>
        <v>they serve for what we've asked They adapt very well and comply perfectly with what he wanted, warm and comfortable</v>
      </c>
    </row>
    <row r="7981">
      <c r="A7981" s="1">
        <v>4.0</v>
      </c>
      <c r="B7981" s="1" t="s">
        <v>7927</v>
      </c>
      <c r="C7981" t="str">
        <f>IFERROR(__xludf.DUMMYFUNCTION("GOOGLETRANSLATE(B7981, ""es"", ""en"")"),"Well I do 4 star for a day olio smoke but no perfect powerful and grinds very rapodo")</f>
        <v>Well I do 4 star for a day olio smoke but no perfect powerful and grinds very rapodo</v>
      </c>
    </row>
    <row r="7982">
      <c r="A7982" s="1">
        <v>4.0</v>
      </c>
      <c r="B7982" s="1" t="s">
        <v>7928</v>
      </c>
      <c r="C7982" t="str">
        <f>IFERROR(__xludf.DUMMYFUNCTION("GOOGLETRANSLATE(B7982, ""es"", ""en"")"),"Proving it works correctly now, I have used other brands and have given me problems, especially when recording in 4K is what is used. I do not know if it will eventually come out errors and corrupt files, but over time I have used it meets.")</f>
        <v>Proving it works correctly now, I have used other brands and have given me problems, especially when recording in 4K is what is used. I do not know if it will eventually come out errors and corrupt files, but over time I have used it meets.</v>
      </c>
    </row>
    <row r="7983">
      <c r="A7983" s="1">
        <v>5.0</v>
      </c>
      <c r="B7983" s="1" t="s">
        <v>7929</v>
      </c>
      <c r="C7983" t="str">
        <f>IFERROR(__xludf.DUMMYFUNCTION("GOOGLETRANSLATE(B7983, ""es"", ""en"")"),"Very good value for money unis There are 10 different models in each in each batch. I ordered two lots and patterns were different in each. Use it to gift to children in the class of my kids and they loved. We use them at home and have not broken any. The"&amp;"y are resistant.")</f>
        <v>Very good value for money unis There are 10 different models in each in each batch. I ordered two lots and patterns were different in each. Use it to gift to children in the class of my kids and they loved. We use them at home and have not broken any. They are resistant.</v>
      </c>
    </row>
    <row r="7984">
      <c r="A7984" s="1">
        <v>5.0</v>
      </c>
      <c r="B7984" s="1" t="s">
        <v>7930</v>
      </c>
      <c r="C7984" t="str">
        <f>IFERROR(__xludf.DUMMYFUNCTION("GOOGLETRANSLATE(B7984, ""es"", ""en"")"),"👌🏽 A toaster Bmw")</f>
        <v>👌🏽 A toaster Bmw</v>
      </c>
    </row>
    <row r="7985">
      <c r="A7985" s="1">
        <v>5.0</v>
      </c>
      <c r="B7985" s="1" t="s">
        <v>7931</v>
      </c>
      <c r="C7985" t="str">
        <f>IFERROR(__xludf.DUMMYFUNCTION("GOOGLETRANSLATE(B7985, ""es"", ""en"")"),"Well comfortable and beautiful")</f>
        <v>Well comfortable and beautiful</v>
      </c>
    </row>
    <row r="7986">
      <c r="A7986" s="1">
        <v>5.0</v>
      </c>
      <c r="B7986" s="1" t="s">
        <v>7932</v>
      </c>
      <c r="C7986" t="str">
        <f>IFERROR(__xludf.DUMMYFUNCTION("GOOGLETRANSLATE(B7986, ""es"", ""en"")"),"Excellent memory USB computer is as simple as any other memory stick; for mobile uses an intuitive interface. The file transfer is very fast. It has much ability to free up memory on my phone Samsung s9. It also allows transfer other common types of files"&amp;" between your computer and phone. A purchase very useful and a very good price.")</f>
        <v>Excellent memory USB computer is as simple as any other memory stick; for mobile uses an intuitive interface. The file transfer is very fast. It has much ability to free up memory on my phone Samsung s9. It also allows transfer other common types of files between your computer and phone. A purchase very useful and a very good price.</v>
      </c>
    </row>
    <row r="7987">
      <c r="A7987" s="1">
        <v>5.0</v>
      </c>
      <c r="B7987" s="1" t="s">
        <v>7933</v>
      </c>
      <c r="C7987" t="str">
        <f>IFERROR(__xludf.DUMMYFUNCTION("GOOGLETRANSLATE(B7987, ""es"", ""en"")"),"Caliada quality.")</f>
        <v>Caliada quality.</v>
      </c>
    </row>
    <row r="7988">
      <c r="A7988" s="1">
        <v>5.0</v>
      </c>
      <c r="B7988" s="1" t="s">
        <v>7934</v>
      </c>
      <c r="C7988" t="str">
        <f>IFERROR(__xludf.DUMMYFUNCTION("GOOGLETRANSLATE(B7988, ""es"", ""en"")"),"Great! 10 Genial! For l @ s that you have cold feet at night and that they will leave no sleep, great product! Put it to the microwave within minutes and at 10 min following and have warm feet! Would definitely buy! 😊")</f>
        <v>Great! 10 Genial! For l @ s that you have cold feet at night and that they will leave no sleep, great product! Put it to the microwave within minutes and at 10 min following and have warm feet! Would definitely buy! 😊</v>
      </c>
    </row>
    <row r="7989">
      <c r="A7989" s="1">
        <v>5.0</v>
      </c>
      <c r="B7989" s="1" t="s">
        <v>7935</v>
      </c>
      <c r="C7989" t="str">
        <f>IFERROR(__xludf.DUMMYFUNCTION("GOOGLETRANSLATE(B7989, ""es"", ""en"")"),"Effective use it to paste the screen of the Apple Watch and has not given me any problems")</f>
        <v>Effective use it to paste the screen of the Apple Watch and has not given me any problems</v>
      </c>
    </row>
    <row r="7990">
      <c r="A7990" s="1">
        <v>5.0</v>
      </c>
      <c r="B7990" s="1" t="s">
        <v>7936</v>
      </c>
      <c r="C7990" t="str">
        <f>IFERROR(__xludf.DUMMYFUNCTION("GOOGLETRANSLATE(B7990, ""es"", ""en"")"),"Skechers type reebok are comfortable and sturdy.")</f>
        <v>Skechers type reebok are comfortable and sturdy.</v>
      </c>
    </row>
    <row r="7991">
      <c r="A7991" s="1">
        <v>5.0</v>
      </c>
      <c r="B7991" s="1" t="s">
        <v>7937</v>
      </c>
      <c r="C7991" t="str">
        <f>IFERROR(__xludf.DUMMYFUNCTION("GOOGLETRANSLATE(B7991, ""es"", ""en"")"),"Fantastic winter water already had similar, though more reddish (these are rather chocolate), so if I repeat it because I was very satisfied. Despite being the same size, they are slightly wider me, but it might also have to be adjusted slightly. They rea"&amp;"ched me in perfect condition.")</f>
        <v>Fantastic winter water already had similar, though more reddish (these are rather chocolate), so if I repeat it because I was very satisfied. Despite being the same size, they are slightly wider me, but it might also have to be adjusted slightly. They reached me in perfect condition.</v>
      </c>
    </row>
    <row r="7992">
      <c r="A7992" s="1">
        <v>5.0</v>
      </c>
      <c r="B7992" s="1" t="s">
        <v>7938</v>
      </c>
      <c r="C7992" t="str">
        <f>IFERROR(__xludf.DUMMYFUNCTION("GOOGLETRANSLATE(B7992, ""es"", ""en"")"),"All right quickly")</f>
        <v>All right quickly</v>
      </c>
    </row>
    <row r="7993">
      <c r="A7993" s="1">
        <v>5.0</v>
      </c>
      <c r="B7993" s="1" t="s">
        <v>7939</v>
      </c>
      <c r="C7993" t="str">
        <f>IFERROR(__xludf.DUMMYFUNCTION("GOOGLETRANSLATE(B7993, ""es"", ""en"")"),"Pretty good but little size. Precious are very light and comfortable but small size need to order a number more ... I use 37.5 and 37 asked Justito. If you do not wear socks too chubby you can put them right. I've been months with them I use daily and I a"&amp;"m delighted.")</f>
        <v>Pretty good but little size. Precious are very light and comfortable but small size need to order a number more ... I use 37.5 and 37 asked Justito. If you do not wear socks too chubby you can put them right. I've been months with them I use daily and I am delighted.</v>
      </c>
    </row>
    <row r="7994">
      <c r="A7994" s="1">
        <v>5.0</v>
      </c>
      <c r="B7994" s="1" t="s">
        <v>7940</v>
      </c>
      <c r="C7994" t="str">
        <f>IFERROR(__xludf.DUMMYFUNCTION("GOOGLETRANSLATE(B7994, ""es"", ""en"")"),"Valid for Great pandora to give another twist to the bracelet")</f>
        <v>Valid for Great pandora to give another twist to the bracelet</v>
      </c>
    </row>
    <row r="7995">
      <c r="A7995" s="1">
        <v>5.0</v>
      </c>
      <c r="B7995" s="1" t="s">
        <v>7941</v>
      </c>
      <c r="C7995" t="str">
        <f>IFERROR(__xludf.DUMMYFUNCTION("GOOGLETRANSLATE(B7995, ""es"", ""en"")"),"This very nice which see in the pictures of the product")</f>
        <v>This very nice which see in the pictures of the product</v>
      </c>
    </row>
    <row r="7996">
      <c r="A7996" s="1">
        <v>5.0</v>
      </c>
      <c r="B7996" s="1" t="s">
        <v>680</v>
      </c>
      <c r="C7996" t="str">
        <f>IFERROR(__xludf.DUMMYFUNCTION("GOOGLETRANSLATE(B7996, ""es"", ""en"")"),"Good good")</f>
        <v>Good good</v>
      </c>
    </row>
    <row r="7997">
      <c r="A7997" s="1">
        <v>5.0</v>
      </c>
      <c r="B7997" s="1" t="s">
        <v>7942</v>
      </c>
      <c r="C7997" t="str">
        <f>IFERROR(__xludf.DUMMYFUNCTION("GOOGLETRANSLATE(B7997, ""es"", ""en"")"),"Perfect for work is very, very comfortable and with modern design. It adapts very well to the foot and is not loose. The numbering is a bit small, I'll remember that for next time.")</f>
        <v>Perfect for work is very, very comfortable and with modern design. It adapts very well to the foot and is not loose. The numbering is a bit small, I'll remember that for next time.</v>
      </c>
    </row>
    <row r="7998">
      <c r="A7998" s="1">
        <v>5.0</v>
      </c>
      <c r="B7998" s="1" t="s">
        <v>7943</v>
      </c>
      <c r="C7998" t="str">
        <f>IFERROR(__xludf.DUMMYFUNCTION("GOOGLETRANSLATE(B7998, ""es"", ""en"")"),"Very nice jacket cool and looks good start, good quality and workmanship, I think so cheap for how good it feels, attracts attention. The seller with a 10, I had to contact him for color and although it is by mail, fast answer. I recommend both the jacket"&amp;" and seller, in addition to this has things very cool and a good price-")</f>
        <v>Very nice jacket cool and looks good start, good quality and workmanship, I think so cheap for how good it feels, attracts attention. The seller with a 10, I had to contact him for color and although it is by mail, fast answer. I recommend both the jacket and seller, in addition to this has things very cool and a good price-</v>
      </c>
    </row>
    <row r="7999">
      <c r="A7999" s="1">
        <v>5.0</v>
      </c>
      <c r="B7999" s="1" t="s">
        <v>4166</v>
      </c>
      <c r="C7999" t="str">
        <f>IFERROR(__xludf.DUMMYFUNCTION("GOOGLETRANSLATE(B7999, ""es"", ""en"")"),"Good product good product")</f>
        <v>Good product good product</v>
      </c>
    </row>
    <row r="8000">
      <c r="A8000" s="1">
        <v>5.0</v>
      </c>
      <c r="B8000" s="1" t="s">
        <v>7944</v>
      </c>
      <c r="C8000" t="str">
        <f>IFERROR(__xludf.DUMMYFUNCTION("GOOGLETRANSLATE(B8000, ""es"", ""en"")"),"Send in a day recommended, super fast and super good massager. They have 3 interchangeable heads and heat. It is very easy to handle. Weighs a little but I feel good quality. It is effective for relieving muscle pain in back and pierna.Se is a recommendab"&amp;"le device with a suitable price.")</f>
        <v>Send in a day recommended, super fast and super good massager. They have 3 interchangeable heads and heat. It is very easy to handle. Weighs a little but I feel good quality. It is effective for relieving muscle pain in back and pierna.Se is a recommendable device with a suitable price.</v>
      </c>
    </row>
    <row r="8001">
      <c r="A8001" s="1">
        <v>5.0</v>
      </c>
      <c r="B8001" s="1" t="s">
        <v>7945</v>
      </c>
      <c r="C8001" t="str">
        <f>IFERROR(__xludf.DUMMYFUNCTION("GOOGLETRANSLATE(B8001, ""es"", ""en"")"),"Ka good value for money Ideal")</f>
        <v>Ka good value for money Ideal</v>
      </c>
    </row>
    <row r="8002">
      <c r="A8002" s="1">
        <v>2.0</v>
      </c>
      <c r="B8002" s="1" t="s">
        <v>7946</v>
      </c>
      <c r="C8002" t="str">
        <f>IFERROR(__xludf.DUMMYFUNCTION("GOOGLETRANSLATE(B8002, ""es"", ""en"")"),"Compared with disappointment Neewer 700 nw much worse it sounds, the microphone has poor quality, the rest is all good.")</f>
        <v>Compared with disappointment Neewer 700 nw much worse it sounds, the microphone has poor quality, the rest is all good.</v>
      </c>
    </row>
    <row r="8003">
      <c r="A8003" s="1">
        <v>3.0</v>
      </c>
      <c r="B8003" s="1" t="s">
        <v>7947</v>
      </c>
      <c r="C8003" t="str">
        <f>IFERROR(__xludf.DUMMYFUNCTION("GOOGLETRANSLATE(B8003, ""es"", ""en"")"),"It is original. What I do not like is to have 29 GB instead of 32 GB advertising, otherwise I'm satisfied.")</f>
        <v>It is original. What I do not like is to have 29 GB instead of 32 GB advertising, otherwise I'm satisfied.</v>
      </c>
    </row>
    <row r="8004">
      <c r="A8004" s="1">
        <v>3.0</v>
      </c>
      <c r="B8004" s="1" t="s">
        <v>7948</v>
      </c>
      <c r="C8004" t="str">
        <f>IFERROR(__xludf.DUMMYFUNCTION("GOOGLETRANSLATE(B8004, ""es"", ""en"")"),"Well no more in the first place the backpack looks good, has the water-repellent material but is not resistant to rain. Capacity is correct, to bring a few things and very flat, for example, mobile portfolio, some bar cocoa and not much else, goggles are "&amp;"not come unless the goals under pressure and stay like a balloon . What I do not like is the shape of the shoulder itself, it's a little uncomfortable to wear because it is very rigid and being ambidextrous is not good for either side. Buckle hurts my rib"&amp;"s. Handles zippers are very useful and zippers work very well. Bringing pocket on the strap is useless.")</f>
        <v>Well no more in the first place the backpack looks good, has the water-repellent material but is not resistant to rain. Capacity is correct, to bring a few things and very flat, for example, mobile portfolio, some bar cocoa and not much else, goggles are not come unless the goals under pressure and stay like a balloon . What I do not like is the shape of the shoulder itself, it's a little uncomfortable to wear because it is very rigid and being ambidextrous is not good for either side. Buckle hurts my ribs. Handles zippers are very useful and zippers work very well. Bringing pocket on the strap is useless.</v>
      </c>
    </row>
    <row r="8005">
      <c r="A8005" s="1">
        <v>1.0</v>
      </c>
      <c r="B8005" s="1" t="s">
        <v>7949</v>
      </c>
      <c r="C8005" t="str">
        <f>IFERROR(__xludf.DUMMYFUNCTION("GOOGLETRANSLATE(B8005, ""es"", ""en"")"),"Continuous traffic jams and missed two weeks of Purchase got excited but did not meet our expectations. A not having mapping system, do not follow any pattern in the aspirate making happens often in the same place, to come out and get into a continuously "&amp;"room without going to the rest of the house ... For us it was the ""silly family ""If you stuck somewhere, to scooping it continually insisted on returning to the same site. We found it very awkward Add that makes enough noise Two weeks started playing re"&amp;"ally bad and brush corner stopped working. A Roomba being expected more effectiveness and quality, but has let us down. Must buy another model or brand that has mapping system.")</f>
        <v>Continuous traffic jams and missed two weeks of Purchase got excited but did not meet our expectations. A not having mapping system, do not follow any pattern in the aspirate making happens often in the same place, to come out and get into a continuously room without going to the rest of the house ... For us it was the "silly family "If you stuck somewhere, to scooping it continually insisted on returning to the same site. We found it very awkward Add that makes enough noise Two weeks started playing really bad and brush corner stopped working. A Roomba being expected more effectiveness and quality, but has let us down. Must buy another model or brand that has mapping system.</v>
      </c>
    </row>
    <row r="8006">
      <c r="A8006" s="1">
        <v>4.0</v>
      </c>
      <c r="B8006" s="1" t="s">
        <v>7950</v>
      </c>
      <c r="C8006" t="str">
        <f>IFERROR(__xludf.DUMMYFUNCTION("GOOGLETRANSLATE(B8006, ""es"", ""en"")"),"Good stylish Casio presence alone has some problems in barometer")</f>
        <v>Good stylish Casio presence alone has some problems in barometer</v>
      </c>
    </row>
    <row r="8007">
      <c r="A8007" s="1">
        <v>4.0</v>
      </c>
      <c r="B8007" s="1" t="s">
        <v>7951</v>
      </c>
      <c r="C8007" t="str">
        <f>IFERROR(__xludf.DUMMYFUNCTION("GOOGLETRANSLATE(B8007, ""es"", ""en"")"),"Ideal Beautiful design and good size, faulted, would have tried to give a more rounded shape lake because being traversed by the hole to enter the bracelet is not symmetrical in sight. Otherwise great, like almost everything brand.")</f>
        <v>Ideal Beautiful design and good size, faulted, would have tried to give a more rounded shape lake because being traversed by the hole to enter the bracelet is not symmetrical in sight. Otherwise great, like almost everything brand.</v>
      </c>
    </row>
    <row r="8008">
      <c r="A8008" s="1">
        <v>4.0</v>
      </c>
      <c r="B8008" s="1" t="s">
        <v>7952</v>
      </c>
      <c r="C8008" t="str">
        <f>IFERROR(__xludf.DUMMYFUNCTION("GOOGLETRANSLATE(B8008, ""es"", ""en"")"),"Value very good At the beginning I could not connect the bluetooth to my mobile in the instructions they were spent explaining q the first time q you connect headphones should be turned off and I tried them on and I turned off until q tried being turned o"&amp;"ff and he immediately connected otherwise good buys recommend")</f>
        <v>Value very good At the beginning I could not connect the bluetooth to my mobile in the instructions they were spent explaining q the first time q you connect headphones should be turned off and I tried them on and I turned off until q tried being turned off and he immediately connected otherwise good buys recommend</v>
      </c>
    </row>
    <row r="8009">
      <c r="A8009" s="1">
        <v>4.0</v>
      </c>
      <c r="B8009" s="1" t="s">
        <v>7953</v>
      </c>
      <c r="C8009" t="str">
        <f>IFERROR(__xludf.DUMMYFUNCTION("GOOGLETRANSLATE(B8009, ""es"", ""en"")"),"It will not be perfect like faces but I'm delighted. The use every day about 40 minutes")</f>
        <v>It will not be perfect like faces but I'm delighted. The use every day about 40 minutes</v>
      </c>
    </row>
    <row r="8010">
      <c r="A8010" s="1">
        <v>4.0</v>
      </c>
      <c r="B8010" s="1" t="s">
        <v>7954</v>
      </c>
      <c r="C8010" t="str">
        <f>IFERROR(__xludf.DUMMYFUNCTION("GOOGLETRANSLATE(B8010, ""es"", ""en"")"),"As I expected Suda much foot")</f>
        <v>As I expected Suda much foot</v>
      </c>
    </row>
    <row r="8011">
      <c r="A8011" s="1">
        <v>5.0</v>
      </c>
      <c r="B8011" s="1" t="s">
        <v>7955</v>
      </c>
      <c r="C8011" t="str">
        <f>IFERROR(__xludf.DUMMYFUNCTION("GOOGLETRANSLATE(B8011, ""es"", ""en"")"),"Warm, comfortable. They have been a success by heat foot and give comfort to the them. Still not engage in the all right on my heel, but I do not care because the rest can say perfect.")</f>
        <v>Warm, comfortable. They have been a success by heat foot and give comfort to the them. Still not engage in the all right on my heel, but I do not care because the rest can say perfect.</v>
      </c>
    </row>
    <row r="8012">
      <c r="A8012" s="1">
        <v>5.0</v>
      </c>
      <c r="B8012" s="1" t="s">
        <v>7956</v>
      </c>
      <c r="C8012" t="str">
        <f>IFERROR(__xludf.DUMMYFUNCTION("GOOGLETRANSLATE(B8012, ""es"", ""en"")"),"Everything perfect arrived in a very short time, are as described, I am pleased with purchase !!")</f>
        <v>Everything perfect arrived in a very short time, are as described, I am pleased with purchase !!</v>
      </c>
    </row>
    <row r="8013">
      <c r="A8013" s="1">
        <v>5.0</v>
      </c>
      <c r="B8013" s="1" t="s">
        <v>7957</v>
      </c>
      <c r="C8013" t="str">
        <f>IFERROR(__xludf.DUMMYFUNCTION("GOOGLETRANSLATE(B8013, ""es"", ""en"")"),"Value, great watch The Casio lifetime but with metal strap. Does not include many functions (alarm, stopwatch, countdown ... the basics), but the design and functionality makes it a watch ten. I recommend buying")</f>
        <v>Value, great watch The Casio lifetime but with metal strap. Does not include many functions (alarm, stopwatch, countdown ... the basics), but the design and functionality makes it a watch ten. I recommend buying</v>
      </c>
    </row>
    <row r="8014">
      <c r="A8014" s="1">
        <v>5.0</v>
      </c>
      <c r="B8014" s="1" t="s">
        <v>7958</v>
      </c>
      <c r="C8014" t="str">
        <f>IFERROR(__xludf.DUMMYFUNCTION("GOOGLETRANSLATE(B8014, ""es"", ""en"")"),"A good compromise between speed and I have used to ""clone"" my installation of Linux 18.04, and change is clearly evident. It's not as fast as an SSD, clro is, but the difference with respect to a normal HDD and much noticeable.")</f>
        <v>A good compromise between speed and I have used to "clone" my installation of Linux 18.04, and change is clearly evident. It's not as fast as an SSD, clro is, but the difference with respect to a normal HDD and much noticeable.</v>
      </c>
    </row>
    <row r="8015">
      <c r="A8015" s="1">
        <v>5.0</v>
      </c>
      <c r="B8015" s="1" t="s">
        <v>238</v>
      </c>
      <c r="C8015" t="str">
        <f>IFERROR(__xludf.DUMMYFUNCTION("GOOGLETRANSLATE(B8015, ""es"", ""en"")"),"perfect perfect")</f>
        <v>perfect perfect</v>
      </c>
    </row>
    <row r="8016">
      <c r="A8016" s="1">
        <v>5.0</v>
      </c>
      <c r="B8016" s="1" t="s">
        <v>7959</v>
      </c>
      <c r="C8016" t="str">
        <f>IFERROR(__xludf.DUMMYFUNCTION("GOOGLETRANSLATE(B8016, ""es"", ""en"")"),"ideal for buy fun microphone for fun family weekends with the kids and family, the truth that we're using enough, my kids loved, it is very easy to use, has two speakers which have good sound , you need to houses and even for activities outdoors, connects"&amp;" to mobile and Bluetooth, it also has the button echo sounds good, I recommend for kids or for family gatherings, this a good price, He was sent quickly and well envalado")</f>
        <v>ideal for buy fun microphone for fun family weekends with the kids and family, the truth that we're using enough, my kids loved, it is very easy to use, has two speakers which have good sound , you need to houses and even for activities outdoors, connects to mobile and Bluetooth, it also has the button echo sounds good, I recommend for kids or for family gatherings, this a good price, He was sent quickly and well envalado</v>
      </c>
    </row>
    <row r="8017">
      <c r="A8017" s="1">
        <v>5.0</v>
      </c>
      <c r="B8017" s="1" t="s">
        <v>7960</v>
      </c>
      <c r="C8017" t="str">
        <f>IFERROR(__xludf.DUMMYFUNCTION("GOOGLETRANSLATE(B8017, ""es"", ""en"")"),"Patches I bought them for back pain, I used only one time and has relieved me pretty well hooked and it shows the heat effect, since I've had for about 8 hours without problem")</f>
        <v>Patches I bought them for back pain, I used only one time and has relieved me pretty well hooked and it shows the heat effect, since I've had for about 8 hours without problem</v>
      </c>
    </row>
    <row r="8018">
      <c r="A8018" s="1">
        <v>5.0</v>
      </c>
      <c r="B8018" s="1" t="s">
        <v>42</v>
      </c>
      <c r="C8018" t="str">
        <f>IFERROR(__xludf.DUMMYFUNCTION("GOOGLETRANSLATE(B8018, ""es"", ""en"")"),"Well well")</f>
        <v>Well well</v>
      </c>
    </row>
    <row r="8019">
      <c r="A8019" s="1">
        <v>5.0</v>
      </c>
      <c r="B8019" s="1" t="s">
        <v>7961</v>
      </c>
      <c r="C8019" t="str">
        <f>IFERROR(__xludf.DUMMYFUNCTION("GOOGLETRANSLATE(B8019, ""es"", ""en"")"),"Happy moment is very nice. I see strong, but I can not assure you one last, my daughter has begun her high school and very happy, I thought I would have a lot of cardboard. But no...")</f>
        <v>Happy moment is very nice. I see strong, but I can not assure you one last, my daughter has begun her high school and very happy, I thought I would have a lot of cardboard. But no...</v>
      </c>
    </row>
    <row r="8020">
      <c r="A8020" s="1">
        <v>5.0</v>
      </c>
      <c r="B8020" s="1" t="s">
        <v>7962</v>
      </c>
      <c r="C8020" t="str">
        <f>IFERROR(__xludf.DUMMYFUNCTION("GOOGLETRANSLATE(B8020, ""es"", ""en"")"),"ALL CORRECT Plastic is not very hard, which was used to buy much more, but the price difference is forgiven. Very good value. fully recommended")</f>
        <v>ALL CORRECT Plastic is not very hard, which was used to buy much more, but the price difference is forgiven. Very good value. fully recommended</v>
      </c>
    </row>
    <row r="8021">
      <c r="A8021" s="1">
        <v>5.0</v>
      </c>
      <c r="B8021" s="1" t="s">
        <v>7963</v>
      </c>
      <c r="C8021" t="str">
        <f>IFERROR(__xludf.DUMMYFUNCTION("GOOGLETRANSLATE(B8021, ""es"", ""en"")"),"Smooth operation works well and is comfortable")</f>
        <v>Smooth operation works well and is comfortable</v>
      </c>
    </row>
    <row r="8022">
      <c r="A8022" s="1">
        <v>5.0</v>
      </c>
      <c r="B8022" s="1" t="s">
        <v>7964</v>
      </c>
      <c r="C8022" t="str">
        <f>IFERROR(__xludf.DUMMYFUNCTION("GOOGLETRANSLATE(B8022, ""es"", ""en"")"),"SPECTACULAR &lt;div id = ""video-block-RMWOVX0P00XUT"" class = ""a-section a-spacing-small a-spacing-top mini video-block""&gt; &lt;/ div&gt; &lt;input type = ""hidden"" name = """" value = ""https://images-eu.ssl-images-amazon.com/images/I/81SSixN3yYS.mp4"" class = ""v"&amp;"ideo-url""&gt; &lt;input type = ""hidden"" name = """" value = ""https : //images-eu.ssl-images-amazon.com/images/I/91ADrDUwcpS.png ""class ="" video-slate-img-url ""&gt; &amp; nbsp; Never tried a home unit and when I saw the price he dared to buy it and the truth I c"&amp;"an not be happier !! It's spectacular, it works super super good")</f>
        <v>SPECTACULAR &lt;div id = "video-block-RMWOVX0P00XUT" class = "a-section a-spacing-small a-spacing-top mini video-block"&gt; &lt;/ div&gt; &lt;input type = "hidden" name = "" value = "https://images-eu.ssl-images-amazon.com/images/I/81SSixN3yYS.mp4" class = "video-url"&gt; &lt;input type = "hidden" name = "" value = "https : //images-eu.ssl-images-amazon.com/images/I/91ADrDUwcpS.png "class =" video-slate-img-url "&gt; &amp; nbsp; Never tried a home unit and when I saw the price he dared to buy it and the truth I can not be happier !! It's spectacular, it works super super good</v>
      </c>
    </row>
    <row r="8023">
      <c r="A8023" s="1">
        <v>5.0</v>
      </c>
      <c r="B8023" s="1" t="s">
        <v>7965</v>
      </c>
      <c r="C8023" t="str">
        <f>IFERROR(__xludf.DUMMYFUNCTION("GOOGLETRANSLATE(B8023, ""es"", ""en"")"),"Sweatshirt Fruit Of The Loom 62-216-0, hooded sweatshirt Good, very comfortable and very average quality range in size you use.")</f>
        <v>Sweatshirt Fruit Of The Loom 62-216-0, hooded sweatshirt Good, very comfortable and very average quality range in size you use.</v>
      </c>
    </row>
    <row r="8024">
      <c r="A8024" s="1">
        <v>5.0</v>
      </c>
      <c r="B8024" s="1" t="s">
        <v>7966</v>
      </c>
      <c r="C8024" t="str">
        <f>IFERROR(__xludf.DUMMYFUNCTION("GOOGLETRANSLATE(B8024, ""es"", ""en"")"),"Practiva good and looks good quality. Aesthetically beautiful and very practical.")</f>
        <v>Practiva good and looks good quality. Aesthetically beautiful and very practical.</v>
      </c>
    </row>
    <row r="8025">
      <c r="A8025" s="1">
        <v>5.0</v>
      </c>
      <c r="B8025" s="1" t="s">
        <v>7967</v>
      </c>
      <c r="C8025" t="str">
        <f>IFERROR(__xludf.DUMMYFUNCTION("GOOGLETRANSLATE(B8025, ""es"", ""en"")"),"Very comfortable are fine. good size")</f>
        <v>Very comfortable are fine. good size</v>
      </c>
    </row>
    <row r="8026">
      <c r="A8026" s="1">
        <v>5.0</v>
      </c>
      <c r="B8026" s="1" t="s">
        <v>7968</v>
      </c>
      <c r="C8026" t="str">
        <f>IFERROR(__xludf.DUMMYFUNCTION("GOOGLETRANSLATE(B8026, ""es"", ""en"")"),"Perfect shoes very comfortable and calentitas is true that in summer the heat can be excessive. Otherwise they are very good and comfortable. And I will tell durability.")</f>
        <v>Perfect shoes very comfortable and calentitas is true that in summer the heat can be excessive. Otherwise they are very good and comfortable. And I will tell durability.</v>
      </c>
    </row>
    <row r="8027">
      <c r="A8027" s="1">
        <v>5.0</v>
      </c>
      <c r="B8027" s="1" t="s">
        <v>7969</v>
      </c>
      <c r="C8027" t="str">
        <f>IFERROR(__xludf.DUMMYFUNCTION("GOOGLETRANSLATE(B8027, ""es"", ""en"")"),"It had different and better quality basic sold in pack. But my husband insisted on these .... good remembered when he studied and well being. Good quality")</f>
        <v>It had different and better quality basic sold in pack. But my husband insisted on these .... good remembered when he studied and well being. Good quality</v>
      </c>
    </row>
    <row r="8028">
      <c r="A8028" s="1">
        <v>5.0</v>
      </c>
      <c r="B8028" s="1" t="s">
        <v>7970</v>
      </c>
      <c r="C8028" t="str">
        <f>IFERROR(__xludf.DUMMYFUNCTION("GOOGLETRANSLATE(B8028, ""es"", ""en"")"),"Excellent product. Fully waterproof guaranteed, very good grip, are nothing heavy for reprsenta quality and very comfortable from the first moment.")</f>
        <v>Excellent product. Fully waterproof guaranteed, very good grip, are nothing heavy for reprsenta quality and very comfortable from the first moment.</v>
      </c>
    </row>
    <row r="8029">
      <c r="A8029" s="1">
        <v>2.0</v>
      </c>
      <c r="B8029" s="1" t="s">
        <v>7971</v>
      </c>
      <c r="C8029" t="str">
        <f>IFERROR(__xludf.DUMMYFUNCTION("GOOGLETRANSLATE(B8029, ""es"", ""en"")"),"Although odd size had bought a pair of black sneakers of the same brand, for some reason the white were smaller than the black that left me perfect")</f>
        <v>Although odd size had bought a pair of black sneakers of the same brand, for some reason the white were smaller than the black that left me perfect</v>
      </c>
    </row>
    <row r="8030">
      <c r="A8030" s="1">
        <v>3.0</v>
      </c>
      <c r="B8030" s="1" t="s">
        <v>7972</v>
      </c>
      <c r="C8030" t="str">
        <f>IFERROR(__xludf.DUMMYFUNCTION("GOOGLETRANSLATE(B8030, ""es"", ""en"")"),"No comfort")</f>
        <v>No comfort</v>
      </c>
    </row>
    <row r="8031">
      <c r="A8031" s="1">
        <v>1.0</v>
      </c>
      <c r="B8031" s="1" t="s">
        <v>7973</v>
      </c>
      <c r="C8031" t="str">
        <f>IFERROR(__xludf.DUMMYFUNCTION("GOOGLETRANSLATE(B8031, ""es"", ""en"")"),"Does not charge the battery with the load run he had, to put it in the charging several hours, 2 minutes advertised ""low battery"" Total disappointment.")</f>
        <v>Does not charge the battery with the load run he had, to put it in the charging several hours, 2 minutes advertised "low battery" Total disappointment.</v>
      </c>
    </row>
    <row r="8032">
      <c r="A8032" s="1">
        <v>1.0</v>
      </c>
      <c r="B8032" s="1" t="s">
        <v>7974</v>
      </c>
      <c r="C8032" t="str">
        <f>IFERROR(__xludf.DUMMYFUNCTION("GOOGLETRANSLATE(B8032, ""es"", ""en"")"),"good looks but poor quality. It is the second buy. For now the two are perfect. For the price I paid recommend and the perfect packaging. At the end of two years it began to malfunction and stop. I would not recommend to anyone. Also consumes a lot of bat"&amp;"tery. It has disappointed me.")</f>
        <v>good looks but poor quality. It is the second buy. For now the two are perfect. For the price I paid recommend and the perfect packaging. At the end of two years it began to malfunction and stop. I would not recommend to anyone. Also consumes a lot of battery. It has disappointed me.</v>
      </c>
    </row>
    <row r="8033">
      <c r="A8033" s="1">
        <v>1.0</v>
      </c>
      <c r="B8033" s="1" t="s">
        <v>7975</v>
      </c>
      <c r="C8033" t="str">
        <f>IFERROR(__xludf.DUMMYFUNCTION("GOOGLETRANSLATE(B8033, ""es"", ""en"")"),"Touches the wire i fa soroll A cop CONNECTED guitar at l'ampli if touches the wire fa força soroll, i fa d'ntena, which indicates that is not ben aillat. Lathe d'immediat.")</f>
        <v>Touches the wire i fa soroll A cop CONNECTED guitar at l'ampli if touches the wire fa força soroll, i fa d'ntena, which indicates that is not ben aillat. Lathe d'immediat.</v>
      </c>
    </row>
    <row r="8034">
      <c r="A8034" s="1">
        <v>4.0</v>
      </c>
      <c r="B8034" s="1" t="s">
        <v>7976</v>
      </c>
      <c r="C8034" t="str">
        <f>IFERROR(__xludf.DUMMYFUNCTION("GOOGLETRANSLATE(B8034, ""es"", ""en"")"),"Size is what I expected. right size so that it can carry or have it saved without problems. I enough capacity for my needs")</f>
        <v>Size is what I expected. right size so that it can carry or have it saved without problems. I enough capacity for my needs</v>
      </c>
    </row>
    <row r="8035">
      <c r="A8035" s="1">
        <v>4.0</v>
      </c>
      <c r="B8035" s="1" t="s">
        <v>7977</v>
      </c>
      <c r="C8035" t="str">
        <f>IFERROR(__xludf.DUMMYFUNCTION("GOOGLETRANSLATE(B8035, ""es"", ""en"")"),"If you care you hard if you're not gross. It has very good power good power, noise than usual, comes with kneading rods (not usually come this price x) and assemble, effective. The only bad thing, the glass of accessory grinding and normal glass are plast"&amp;"ic maluchi which breaks the first time you drop. Mixing, beating other great masses and to mount overheats.")</f>
        <v>If you care you hard if you're not gross. It has very good power good power, noise than usual, comes with kneading rods (not usually come this price x) and assemble, effective. The only bad thing, the glass of accessory grinding and normal glass are plastic maluchi which breaks the first time you drop. Mixing, beating other great masses and to mount overheats.</v>
      </c>
    </row>
    <row r="8036">
      <c r="A8036" s="1">
        <v>4.0</v>
      </c>
      <c r="B8036" s="1" t="s">
        <v>7978</v>
      </c>
      <c r="C8036" t="str">
        <f>IFERROR(__xludf.DUMMYFUNCTION("GOOGLETRANSLATE(B8036, ""es"", ""en"")"),"The Good comfort shoes durable and comfortable")</f>
        <v>The Good comfort shoes durable and comfortable</v>
      </c>
    </row>
    <row r="8037">
      <c r="A8037" s="1">
        <v>4.0</v>
      </c>
      <c r="B8037" s="1" t="s">
        <v>7979</v>
      </c>
      <c r="C8037" t="str">
        <f>IFERROR(__xludf.DUMMYFUNCTION("GOOGLETRANSLATE(B8037, ""es"", ""en"")"),"Functional and value complies perfectly with the functions for which I have bought. The price is good, but of course you can not expect great things. It is functional, but the materials are unsatisfactory, is not robust, when you manipulate it seems that "&amp;"can break easily. You have to be sensitive to the use and open / close to open cassette, the cover of the battery compartment looking super delicate ... the buttons do not give you a feeling of knowing that you will last for years ... but I guess that tha"&amp;"t price can not ask for more, so I scored well ... if you last a year, for another 20 € you buy another and ready.")</f>
        <v>Functional and value complies perfectly with the functions for which I have bought. The price is good, but of course you can not expect great things. It is functional, but the materials are unsatisfactory, is not robust, when you manipulate it seems that can break easily. You have to be sensitive to the use and open / close to open cassette, the cover of the battery compartment looking super delicate ... the buttons do not give you a feeling of knowing that you will last for years ... but I guess that that price can not ask for more, so I scored well ... if you last a year, for another 20 € you buy another and ready.</v>
      </c>
    </row>
    <row r="8038">
      <c r="A8038" s="1">
        <v>4.0</v>
      </c>
      <c r="B8038" s="1" t="s">
        <v>7980</v>
      </c>
      <c r="C8038" t="str">
        <f>IFERROR(__xludf.DUMMYFUNCTION("GOOGLETRANSLATE(B8038, ""es"", ""en"")"),"Talla well. The color is very light gray, size M, for my height 1.70 Complexion bien.La thin fabric quality is not very good but underwhelming.")</f>
        <v>Talla well. The color is very light gray, size M, for my height 1.70 Complexion bien.La thin fabric quality is not very good but underwhelming.</v>
      </c>
    </row>
    <row r="8039">
      <c r="A8039" s="1">
        <v>5.0</v>
      </c>
      <c r="B8039" s="1" t="s">
        <v>7981</v>
      </c>
      <c r="C8039" t="str">
        <f>IFERROR(__xludf.DUMMYFUNCTION("GOOGLETRANSLATE(B8039, ""es"", ""en"")"),"I wanted money very hard to beat 100% recommended Very good")</f>
        <v>I wanted money very hard to beat 100% recommended Very good</v>
      </c>
    </row>
    <row r="8040">
      <c r="A8040" s="1">
        <v>5.0</v>
      </c>
      <c r="B8040" s="1" t="s">
        <v>7982</v>
      </c>
      <c r="C8040" t="str">
        <f>IFERROR(__xludf.DUMMYFUNCTION("GOOGLETRANSLATE(B8040, ""es"", ""en"")"),"Beautiful Very beautiful, I loved. They arrived before the scheduled date. Super cheap price.")</f>
        <v>Beautiful Very beautiful, I loved. They arrived before the scheduled date. Super cheap price.</v>
      </c>
    </row>
    <row r="8041">
      <c r="A8041" s="1">
        <v>5.0</v>
      </c>
      <c r="B8041" s="1" t="s">
        <v>7983</v>
      </c>
      <c r="C8041" t="str">
        <f>IFERROR(__xludf.DUMMYFUNCTION("GOOGLETRANSLATE(B8041, ""es"", ""en"")"),"Beautiful but ... It's a beautiful kettle stainless Aceto, but do not understand how it is that Russell Hobbs sometimes puts a marker grades and not others, when it is very useful to know which has degrees. Otherwise it goes well, in less than one minute "&amp;"have the boiling water, but if you want more obviously takes longer temperature. Comes out better than done for example in the induction takes longer and spends more light.")</f>
        <v>Beautiful but ... It's a beautiful kettle stainless Aceto, but do not understand how it is that Russell Hobbs sometimes puts a marker grades and not others, when it is very useful to know which has degrees. Otherwise it goes well, in less than one minute have the boiling water, but if you want more obviously takes longer temperature. Comes out better than done for example in the induction takes longer and spends more light.</v>
      </c>
    </row>
    <row r="8042">
      <c r="A8042" s="1">
        <v>5.0</v>
      </c>
      <c r="B8042" s="1" t="s">
        <v>7984</v>
      </c>
      <c r="C8042" t="str">
        <f>IFERROR(__xludf.DUMMYFUNCTION("GOOGLETRANSLATE(B8042, ""es"", ""en"")"),"Very pretty great, they are perfect")</f>
        <v>Very pretty great, they are perfect</v>
      </c>
    </row>
    <row r="8043">
      <c r="A8043" s="1">
        <v>5.0</v>
      </c>
      <c r="B8043" s="1" t="s">
        <v>7985</v>
      </c>
      <c r="C8043" t="str">
        <f>IFERROR(__xludf.DUMMYFUNCTION("GOOGLETRANSLATE(B8043, ""es"", ""en"")"),"Great for the price they are amazing. I decided to buy them because besides being wireless have jack cable to use in case you run out of battery (a great success). Radio also has (very rare) and also can receive calls. They come with a great chulo.Están c"&amp;"ase the recommended ra do 100%")</f>
        <v>Great for the price they are amazing. I decided to buy them because besides being wireless have jack cable to use in case you run out of battery (a great success). Radio also has (very rare) and also can receive calls. They come with a great chulo.Están case the recommended ra do 100%</v>
      </c>
    </row>
    <row r="8044">
      <c r="A8044" s="1">
        <v>5.0</v>
      </c>
      <c r="B8044" s="1" t="s">
        <v>7986</v>
      </c>
      <c r="C8044" t="str">
        <f>IFERROR(__xludf.DUMMYFUNCTION("GOOGLETRANSLATE(B8044, ""es"", ""en"")"),"The speed and how good they are perfect, as described by")</f>
        <v>The speed and how good they are perfect, as described by</v>
      </c>
    </row>
    <row r="8045">
      <c r="A8045" s="1">
        <v>5.0</v>
      </c>
      <c r="B8045" s="1" t="s">
        <v>7987</v>
      </c>
      <c r="C8045" t="str">
        <f>IFERROR(__xludf.DUMMYFUNCTION("GOOGLETRANSLATE(B8045, ""es"", ""en"")"),"Martinera was what I wanted, very comfortable and not have to take it off to change the target, thanks to the side zip can take whatever you need, I can get the camera and two lenses, moreover, small lenses and more accessories. I recommend for amateurs a"&amp;"nd beginners.")</f>
        <v>Martinera was what I wanted, very comfortable and not have to take it off to change the target, thanks to the side zip can take whatever you need, I can get the camera and two lenses, moreover, small lenses and more accessories. I recommend for amateurs and beginners.</v>
      </c>
    </row>
    <row r="8046">
      <c r="A8046" s="1">
        <v>5.0</v>
      </c>
      <c r="B8046" s="1" t="s">
        <v>7988</v>
      </c>
      <c r="C8046" t="str">
        <f>IFERROR(__xludf.DUMMYFUNCTION("GOOGLETRANSLATE(B8046, ""es"", ""en"")"),"Find plus size shoes comfortable, and right tallades")</f>
        <v>Find plus size shoes comfortable, and right tallades</v>
      </c>
    </row>
    <row r="8047">
      <c r="A8047" s="1">
        <v>5.0</v>
      </c>
      <c r="B8047" s="1" t="s">
        <v>7989</v>
      </c>
      <c r="C8047" t="str">
        <f>IFERROR(__xludf.DUMMYFUNCTION("GOOGLETRANSLATE(B8047, ""es"", ""en"")"),"Hear very well after use enough these days, I can say that I find good headphones. Come they packaged as seen in the photos, with a cable to load the cargo box headphones and ear pads several different sized parts. The box has a cover, but come helmets an"&amp;"d adjusted by a magnet, because if you do not withdraw will not go there. The first match I was rather expensive, since only be heard on a headset, it reset by a small YouTube video (QCY reset) without problems already. No audio delays regarding videos, s"&amp;"ound quality is very good and the battery life is long. For now, I'm happy with the purchase.")</f>
        <v>Hear very well after use enough these days, I can say that I find good headphones. Come they packaged as seen in the photos, with a cable to load the cargo box headphones and ear pads several different sized parts. The box has a cover, but come helmets and adjusted by a magnet, because if you do not withdraw will not go there. The first match I was rather expensive, since only be heard on a headset, it reset by a small YouTube video (QCY reset) without problems already. No audio delays regarding videos, sound quality is very good and the battery life is long. For now, I'm happy with the purchase.</v>
      </c>
    </row>
    <row r="8048">
      <c r="A8048" s="1">
        <v>5.0</v>
      </c>
      <c r="B8048" s="1" t="s">
        <v>7990</v>
      </c>
      <c r="C8048" t="str">
        <f>IFERROR(__xludf.DUMMYFUNCTION("GOOGLETRANSLATE(B8048, ""es"", ""en"")"),"Functional and elegant I am delighted, easy to use and clean. You prepare a shake in minutes and does not occupy any space. Highly recommended.")</f>
        <v>Functional and elegant I am delighted, easy to use and clean. You prepare a shake in minutes and does not occupy any space. Highly recommended.</v>
      </c>
    </row>
    <row r="8049">
      <c r="A8049" s="1">
        <v>5.0</v>
      </c>
      <c r="B8049" s="1" t="s">
        <v>7991</v>
      </c>
      <c r="C8049" t="str">
        <f>IFERROR(__xludf.DUMMYFUNCTION("GOOGLETRANSLATE(B8049, ""es"", ""en"")"),"I love cheap addition to works category. I bought it for purees and advise. Be washed carefully Barilla because it is not removable but that's not important. I advise buying.")</f>
        <v>I love cheap addition to works category. I bought it for purees and advise. Be washed carefully Barilla because it is not removable but that's not important. I advise buying.</v>
      </c>
    </row>
    <row r="8050">
      <c r="A8050" s="1">
        <v>5.0</v>
      </c>
      <c r="B8050" s="1" t="s">
        <v>7992</v>
      </c>
      <c r="C8050" t="str">
        <f>IFERROR(__xludf.DUMMYFUNCTION("GOOGLETRANSLATE(B8050, ""es"", ""en"")"),"Good natural facial Knowing the properties of minerals, I was not sure whether to buy a jade roller or rose quartz. The choice of roller jade found very successful. Not long ago I got it so I'm not ready to discuss the long-term results, but the feeling i"&amp;"t leaves on the skin after use is very nice. Feels smooth and fresh as when you just apply a face mask. Gua Sha scraper free of impurities and has a hole for hanging, so it is possible to carry it everywhere without thinking whether or not has gotten in t"&amp;"he toiletry bag. It may not be your goal, but I have found that cooler, placed on a mosquito bite, it relieves itching enough.")</f>
        <v>Good natural facial Knowing the properties of minerals, I was not sure whether to buy a jade roller or rose quartz. The choice of roller jade found very successful. Not long ago I got it so I'm not ready to discuss the long-term results, but the feeling it leaves on the skin after use is very nice. Feels smooth and fresh as when you just apply a face mask. Gua Sha scraper free of impurities and has a hole for hanging, so it is possible to carry it everywhere without thinking whether or not has gotten in the toiletry bag. It may not be your goal, but I have found that cooler, placed on a mosquito bite, it relieves itching enough.</v>
      </c>
    </row>
    <row r="8051">
      <c r="A8051" s="1">
        <v>5.0</v>
      </c>
      <c r="B8051" s="1" t="s">
        <v>7993</v>
      </c>
      <c r="C8051" t="str">
        <f>IFERROR(__xludf.DUMMYFUNCTION("GOOGLETRANSLATE(B8051, ""es"", ""en"")"),"Good buy surely Their design you enters the eye! Compared with other headphones the same type certainly is a plus to your competitors! Sound good value and good connection no problem through bluetooth. Case load as usual. It has an LCD screen that display"&amp;"s the percentage of battery individually. Good buy.")</f>
        <v>Good buy surely Their design you enters the eye! Compared with other headphones the same type certainly is a plus to your competitors! Sound good value and good connection no problem through bluetooth. Case load as usual. It has an LCD screen that displays the percentage of battery individually. Good buy.</v>
      </c>
    </row>
    <row r="8052">
      <c r="A8052" s="1">
        <v>5.0</v>
      </c>
      <c r="B8052" s="1" t="s">
        <v>7994</v>
      </c>
      <c r="C8052" t="str">
        <f>IFERROR(__xludf.DUMMYFUNCTION("GOOGLETRANSLATE(B8052, ""es"", ""en"")"),"It helps to have less colic If not close tightly spilled milk. But be careful and all is well placed. Since the use practically no gas had more cramps, with the other bottles had daily.")</f>
        <v>It helps to have less colic If not close tightly spilled milk. But be careful and all is well placed. Since the use practically no gas had more cramps, with the other bottles had daily.</v>
      </c>
    </row>
    <row r="8053">
      <c r="A8053" s="1">
        <v>5.0</v>
      </c>
      <c r="B8053" s="1" t="s">
        <v>7995</v>
      </c>
      <c r="C8053" t="str">
        <f>IFERROR(__xludf.DUMMYFUNCTION("GOOGLETRANSLATE(B8053, ""es"", ""en"")"),"The excellent quality / price is more than excellent. Wonderful presentation and soft and good quality socks. 100% Recommended")</f>
        <v>The excellent quality / price is more than excellent. Wonderful presentation and soft and good quality socks. 100% Recommended</v>
      </c>
    </row>
    <row r="8054">
      <c r="A8054" s="1">
        <v>5.0</v>
      </c>
      <c r="B8054" s="1" t="s">
        <v>7996</v>
      </c>
      <c r="C8054" t="str">
        <f>IFERROR(__xludf.DUMMYFUNCTION("GOOGLETRANSLATE(B8054, ""es"", ""en"")"),"I like comfortable. It works perfectly from the start (though not easy). The daily works well in all its facets. Maybe I would espresso stronger, but I still have margin to improve evidence. Grinding fineness can set d, intensity of aroma, amount of water"&amp;" for coffee ... Everything OK, somewhat noisier than I like, but being of the cheapest in its class, you can not ask for everything.")</f>
        <v>I like comfortable. It works perfectly from the start (though not easy). The daily works well in all its facets. Maybe I would espresso stronger, but I still have margin to improve evidence. Grinding fineness can set d, intensity of aroma, amount of water for coffee ... Everything OK, somewhat noisier than I like, but being of the cheapest in its class, you can not ask for everything.</v>
      </c>
    </row>
    <row r="8055">
      <c r="A8055" s="1">
        <v>5.0</v>
      </c>
      <c r="B8055" s="1" t="s">
        <v>7997</v>
      </c>
      <c r="C8055" t="str">
        <f>IFERROR(__xludf.DUMMYFUNCTION("GOOGLETRANSLATE(B8055, ""es"", ""en"")"),"Value is the best I've loved, has a lot of sound power. We use it to a rock at parties, and we had connected nearly all day with lots of volume, and gave no problem.")</f>
        <v>Value is the best I've loved, has a lot of sound power. We use it to a rock at parties, and we had connected nearly all day with lots of volume, and gave no problem.</v>
      </c>
    </row>
    <row r="8056">
      <c r="A8056" s="1">
        <v>5.0</v>
      </c>
      <c r="B8056" s="1" t="s">
        <v>7998</v>
      </c>
      <c r="C8056" t="str">
        <f>IFERROR(__xludf.DUMMYFUNCTION("GOOGLETRANSLATE(B8056, ""es"", ""en"")"),"We create good atmosphere liked it, does not take up much room, meets promised, sounds very little ... And for the perfect Aromatherapy")</f>
        <v>We create good atmosphere liked it, does not take up much room, meets promised, sounds very little ... And for the perfect Aromatherapy</v>
      </c>
    </row>
    <row r="8057">
      <c r="A8057" s="1">
        <v>5.0</v>
      </c>
      <c r="B8057" s="1" t="s">
        <v>7999</v>
      </c>
      <c r="C8057" t="str">
        <f>IFERROR(__xludf.DUMMYFUNCTION("GOOGLETRANSLATE(B8057, ""es"", ""en"")"),"Good quality, just for two cups. I love my travel kettle. Taxes fit into trouble, hardly it takes place and fits my suitcase cabin. It's great if you're traveling and do not have breakfast. Heated superfast.")</f>
        <v>Good quality, just for two cups. I love my travel kettle. Taxes fit into trouble, hardly it takes place and fits my suitcase cabin. It's great if you're traveling and do not have breakfast. Heated superfast.</v>
      </c>
    </row>
    <row r="8058">
      <c r="A8058" s="1">
        <v>2.0</v>
      </c>
      <c r="B8058" s="1" t="s">
        <v>8000</v>
      </c>
      <c r="C8058" t="str">
        <f>IFERROR(__xludf.DUMMYFUNCTION("GOOGLETRANSLATE(B8058, ""es"", ""en"")"),"The wine without Velcro bag that of the micro was as very touched and the box a little dented, also come without the velcro, it's a shame because it helped wrap the cord")</f>
        <v>The wine without Velcro bag that of the micro was as very touched and the box a little dented, also come without the velcro, it's a shame because it helped wrap the cord</v>
      </c>
    </row>
    <row r="8059">
      <c r="A8059" s="1">
        <v>3.0</v>
      </c>
      <c r="B8059" s="1" t="s">
        <v>8001</v>
      </c>
      <c r="C8059" t="str">
        <f>IFERROR(__xludf.DUMMYFUNCTION("GOOGLETRANSLATE(B8059, ""es"", ""en"")"),"Some things have to improve my son liked it a lot but some things have improved")</f>
        <v>Some things have to improve my son liked it a lot but some things have improved</v>
      </c>
    </row>
    <row r="8060">
      <c r="A8060" s="1">
        <v>3.0</v>
      </c>
      <c r="B8060" s="1" t="s">
        <v>8002</v>
      </c>
      <c r="C8060" t="str">
        <f>IFERROR(__xludf.DUMMYFUNCTION("GOOGLETRANSLATE(B8060, ""es"", ""en"")"),"Boils quickly heats up fast, but it makes enough noise. Be alert / a of water covers the minimum level. A cover having resistance, easy cleaning.")</f>
        <v>Boils quickly heats up fast, but it makes enough noise. Be alert / a of water covers the minimum level. A cover having resistance, easy cleaning.</v>
      </c>
    </row>
    <row r="8061">
      <c r="A8061" s="1">
        <v>1.0</v>
      </c>
      <c r="B8061" s="1" t="s">
        <v>8003</v>
      </c>
      <c r="C8061" t="str">
        <f>IFERROR(__xludf.DUMMYFUNCTION("GOOGLETRANSLATE(B8061, ""es"", ""en"")"),"Good correct speed reading and writing, good price (not to throw rockets) and is resistant. I use it in my daily life and I'm more than happy. Recommendable. Edito: After a year has stopped working properly.")</f>
        <v>Good correct speed reading and writing, good price (not to throw rockets) and is resistant. I use it in my daily life and I'm more than happy. Recommendable. Edito: After a year has stopped working properly.</v>
      </c>
    </row>
    <row r="8062">
      <c r="A8062" s="1">
        <v>1.0</v>
      </c>
      <c r="B8062" s="1" t="s">
        <v>8004</v>
      </c>
      <c r="C8062" t="str">
        <f>IFERROR(__xludf.DUMMYFUNCTION("GOOGLETRANSLATE(B8062, ""es"", ""en"")"),"Deceitfulness've waited a lot for today I have come one estropajo !!! a hoax")</f>
        <v>Deceitfulness've waited a lot for today I have come one estropajo !!! a hoax</v>
      </c>
    </row>
    <row r="8063">
      <c r="A8063" s="1">
        <v>4.0</v>
      </c>
      <c r="B8063" s="1" t="s">
        <v>8005</v>
      </c>
      <c r="C8063" t="str">
        <f>IFERROR(__xludf.DUMMYFUNCTION("GOOGLETRANSLATE(B8063, ""es"", ""en"")"),"Top notch for that price to cost 8 € I have surprised pretty solid, good material and the sound is crisp. No serious too but a very good equalization. They are certainly a good buy and better option than any handset price in a store to use. They also come"&amp;" with a box of the most cool and tweezers that have been pleasantly surprised. The biggest downside I see is that after long use time I noticed a slight discomfort, but it is something that often happens to me often with headphones, and of course, every e"&amp;"ar is different. I give it 4 stars for that, it would be five!")</f>
        <v>Top notch for that price to cost 8 € I have surprised pretty solid, good material and the sound is crisp. No serious too but a very good equalization. They are certainly a good buy and better option than any handset price in a store to use. They also come with a box of the most cool and tweezers that have been pleasantly surprised. The biggest downside I see is that after long use time I noticed a slight discomfort, but it is something that often happens to me often with headphones, and of course, every ear is different. I give it 4 stars for that, it would be five!</v>
      </c>
    </row>
    <row r="8064">
      <c r="A8064" s="1">
        <v>4.0</v>
      </c>
      <c r="B8064" s="1" t="s">
        <v>8006</v>
      </c>
      <c r="C8064" t="str">
        <f>IFERROR(__xludf.DUMMYFUNCTION("GOOGLETRANSLATE(B8064, ""es"", ""en"")"),"Very practical. It is precisely what he wanted for casual use: the hours with large numbers, seconds and calendar.")</f>
        <v>Very practical. It is precisely what he wanted for casual use: the hours with large numbers, seconds and calendar.</v>
      </c>
    </row>
    <row r="8065">
      <c r="A8065" s="1">
        <v>4.0</v>
      </c>
      <c r="B8065" s="1" t="s">
        <v>8007</v>
      </c>
      <c r="C8065" t="str">
        <f>IFERROR(__xludf.DUMMYFUNCTION("GOOGLETRANSLATE(B8065, ""es"", ""en"")"),"Easy and comfortable I like the ease of use and power you have. Fruit for my child is great because it makes it past me. What I like least is the narrowness of the glass. It might be slightly wider and shorter, but value is great.")</f>
        <v>Easy and comfortable I like the ease of use and power you have. Fruit for my child is great because it makes it past me. What I like least is the narrowness of the glass. It might be slightly wider and shorter, but value is great.</v>
      </c>
    </row>
    <row r="8066">
      <c r="A8066" s="1">
        <v>4.0</v>
      </c>
      <c r="B8066" s="1" t="s">
        <v>8008</v>
      </c>
      <c r="C8066" t="str">
        <f>IFERROR(__xludf.DUMMYFUNCTION("GOOGLETRANSLATE(B8066, ""es"", ""en"")"),"nice watch, good and cheap The truth is I'm very happy with it watch works pretty well and is a trusted brand, although white being the belt must be cleaned occasionally.")</f>
        <v>nice watch, good and cheap The truth is I'm very happy with it watch works pretty well and is a trusted brand, although white being the belt must be cleaned occasionally.</v>
      </c>
    </row>
    <row r="8067">
      <c r="A8067" s="1">
        <v>5.0</v>
      </c>
      <c r="B8067" s="1" t="s">
        <v>8009</v>
      </c>
      <c r="C8067" t="str">
        <f>IFERROR(__xludf.DUMMYFUNCTION("GOOGLETRANSLATE(B8067, ""es"", ""en"")"),"Comfortable Love is water and has very good quality.")</f>
        <v>Comfortable Love is water and has very good quality.</v>
      </c>
    </row>
    <row r="8068">
      <c r="A8068" s="1">
        <v>5.0</v>
      </c>
      <c r="B8068" s="1" t="s">
        <v>125</v>
      </c>
      <c r="C8068" t="str">
        <f>IFERROR(__xludf.DUMMYFUNCTION("GOOGLETRANSLATE(B8068, ""es"", ""en"")"),"Ok Ok")</f>
        <v>Ok Ok</v>
      </c>
    </row>
    <row r="8069">
      <c r="A8069" s="1">
        <v>5.0</v>
      </c>
      <c r="B8069" s="1" t="s">
        <v>8010</v>
      </c>
      <c r="C8069" t="str">
        <f>IFERROR(__xludf.DUMMYFUNCTION("GOOGLETRANSLATE(B8069, ""es"", ""en"")"),"Amazon shopper hard and tough but nicer. It was a gift and the truth is that the honoree really liked")</f>
        <v>Amazon shopper hard and tough but nicer. It was a gift and the truth is that the honoree really liked</v>
      </c>
    </row>
    <row r="8070">
      <c r="A8070" s="1">
        <v>5.0</v>
      </c>
      <c r="B8070" s="1" t="s">
        <v>8011</v>
      </c>
      <c r="C8070" t="str">
        <f>IFERROR(__xludf.DUMMYFUNCTION("GOOGLETRANSLATE(B8070, ""es"", ""en"")"),"It is very good buy as the description comes very fast, well protected and works great. I also recommend good price for a product that usually lasts half 5-10 years")</f>
        <v>It is very good buy as the description comes very fast, well protected and works great. I also recommend good price for a product that usually lasts half 5-10 years</v>
      </c>
    </row>
    <row r="8071">
      <c r="A8071" s="1">
        <v>5.0</v>
      </c>
      <c r="B8071" s="1" t="s">
        <v>8012</v>
      </c>
      <c r="C8071" t="str">
        <f>IFERROR(__xludf.DUMMYFUNCTION("GOOGLETRANSLATE(B8071, ""es"", ""en"")"),"very good quality! I bought many kettles but none with this quality / price ratio is perfect because it takes up very little over the top.")</f>
        <v>very good quality! I bought many kettles but none with this quality / price ratio is perfect because it takes up very little over the top.</v>
      </c>
    </row>
    <row r="8072">
      <c r="A8072" s="1">
        <v>5.0</v>
      </c>
      <c r="B8072" s="1" t="s">
        <v>8013</v>
      </c>
      <c r="C8072" t="str">
        <f>IFERROR(__xludf.DUMMYFUNCTION("GOOGLETRANSLATE(B8072, ""es"", ""en"")"),"Good quality / price makes its function very well")</f>
        <v>Good quality / price makes its function very well</v>
      </c>
    </row>
    <row r="8073">
      <c r="A8073" s="1">
        <v>5.0</v>
      </c>
      <c r="B8073" s="1" t="s">
        <v>8014</v>
      </c>
      <c r="C8073" t="str">
        <f>IFERROR(__xludf.DUMMYFUNCTION("GOOGLETRANSLATE(B8073, ""es"", ""en"")"),"Well they well")</f>
        <v>Well they well</v>
      </c>
    </row>
    <row r="8074">
      <c r="A8074" s="1">
        <v>5.0</v>
      </c>
      <c r="B8074" s="1" t="s">
        <v>8015</v>
      </c>
      <c r="C8074" t="str">
        <f>IFERROR(__xludf.DUMMYFUNCTION("GOOGLETRANSLATE(B8074, ""es"", ""en"")"),"Perfect perfect sports sports. They are great and are very comfortable.")</f>
        <v>Perfect perfect sports sports. They are great and are very comfortable.</v>
      </c>
    </row>
    <row r="8075">
      <c r="A8075" s="1">
        <v>5.0</v>
      </c>
      <c r="B8075" s="1" t="s">
        <v>8016</v>
      </c>
      <c r="C8075" t="str">
        <f>IFERROR(__xludf.DUMMYFUNCTION("GOOGLETRANSLATE(B8075, ""es"", ""en"")"),"Very comfortable and I like a lot as I left, so they have become one of the most use.")</f>
        <v>Very comfortable and I like a lot as I left, so they have become one of the most use.</v>
      </c>
    </row>
    <row r="8076">
      <c r="A8076" s="1">
        <v>5.0</v>
      </c>
      <c r="B8076" s="1" t="s">
        <v>8017</v>
      </c>
      <c r="C8076" t="str">
        <f>IFERROR(__xludf.DUMMYFUNCTION("GOOGLETRANSLATE(B8076, ""es"", ""en"")"),"I bought the blender Professional blender with the idea of ​​using it mainly for purees and has greatly surprised me the functionality of it. It comprises a vessel having a capacity of approximately 2 liters. It has different speeds to suit different food"&amp;"s and hardness thereof. The finishes are better than the picture. It is very easy to use and clean. It can also be put in the dishwasher. She looks robust and very resistant. Purees are very fine food being imperceptible. It is very comparable to professi"&amp;"onal called.")</f>
        <v>I bought the blender Professional blender with the idea of ​​using it mainly for purees and has greatly surprised me the functionality of it. It comprises a vessel having a capacity of approximately 2 liters. It has different speeds to suit different foods and hardness thereof. The finishes are better than the picture. It is very easy to use and clean. It can also be put in the dishwasher. She looks robust and very resistant. Purees are very fine food being imperceptible. It is very comparable to professional called.</v>
      </c>
    </row>
    <row r="8077">
      <c r="A8077" s="1">
        <v>5.0</v>
      </c>
      <c r="B8077" s="1" t="s">
        <v>8018</v>
      </c>
      <c r="C8077" t="str">
        <f>IFERROR(__xludf.DUMMYFUNCTION("GOOGLETRANSLATE(B8077, ""es"", ""en"")"),"Very comfortable Very comfortable to wear him hard enough battery both the handset and the base, are very terse and listen very well, I use them for sports and watching TV at night from the bed and not wake anyone can watch movies at full volume without w"&amp;"aking or my partner or the baby, it has been a success.")</f>
        <v>Very comfortable Very comfortable to wear him hard enough battery both the handset and the base, are very terse and listen very well, I use them for sports and watching TV at night from the bed and not wake anyone can watch movies at full volume without waking or my partner or the baby, it has been a success.</v>
      </c>
    </row>
    <row r="8078">
      <c r="A8078" s="1">
        <v>5.0</v>
      </c>
      <c r="B8078" s="1" t="s">
        <v>8019</v>
      </c>
      <c r="C8078" t="str">
        <f>IFERROR(__xludf.DUMMYFUNCTION("GOOGLETRANSLATE(B8078, ""es"", ""en"")"),"Vicente Exactly what I wanted and expected. Seiko already had five years and was not disappointed. Very good.")</f>
        <v>Vicente Exactly what I wanted and expected. Seiko already had five years and was not disappointed. Very good.</v>
      </c>
    </row>
    <row r="8079">
      <c r="A8079" s="1">
        <v>5.0</v>
      </c>
      <c r="B8079" s="1" t="s">
        <v>8020</v>
      </c>
      <c r="C8079" t="str">
        <f>IFERROR(__xludf.DUMMYFUNCTION("GOOGLETRANSLATE(B8079, ""es"", ""en"")"),"Perfect I thought it was a good product. I've been using about 1 month and to this day, I have not had any problems")</f>
        <v>Perfect I thought it was a good product. I've been using about 1 month and to this day, I have not had any problems</v>
      </c>
    </row>
    <row r="8080">
      <c r="A8080" s="1">
        <v>5.0</v>
      </c>
      <c r="B8080" s="1" t="s">
        <v>8021</v>
      </c>
      <c r="C8080" t="str">
        <f>IFERROR(__xludf.DUMMYFUNCTION("GOOGLETRANSLATE(B8080, ""es"", ""en"")"),"Excellent Value! Very fast to heat and aesthetically very nice. The detail of blue LED light simulating flames of a fire is very flame-tivo;). Simple to use and easy to clean. And for only 15.99 euros, this is a bargain! It is highly recommended not to tr"&amp;"avel because of its size and the risk of hitting the glass.")</f>
        <v>Excellent Value! Very fast to heat and aesthetically very nice. The detail of blue LED light simulating flames of a fire is very flame-tivo;). Simple to use and easy to clean. And for only 15.99 euros, this is a bargain! It is highly recommended not to travel because of its size and the risk of hitting the glass.</v>
      </c>
    </row>
    <row r="8081">
      <c r="A8081" s="1">
        <v>5.0</v>
      </c>
      <c r="B8081" s="1" t="s">
        <v>8022</v>
      </c>
      <c r="C8081" t="str">
        <f>IFERROR(__xludf.DUMMYFUNCTION("GOOGLETRANSLATE(B8081, ""es"", ""en"")"),"I like still not released but I was surprised how little they weigh and how comfortable they are to take shape")</f>
        <v>I like still not released but I was surprised how little they weigh and how comfortable they are to take shape</v>
      </c>
    </row>
    <row r="8082">
      <c r="A8082" s="1">
        <v>5.0</v>
      </c>
      <c r="B8082" s="1" t="s">
        <v>8023</v>
      </c>
      <c r="C8082" t="str">
        <f>IFERROR(__xludf.DUMMYFUNCTION("GOOGLETRANSLATE(B8082, ""es"", ""en"")"),"They have a very good quality very good, thick sole that insulates the floor very well. They are very warm and comfortable, perfect for winter. Incredible quality / price ratio.")</f>
        <v>They have a very good quality very good, thick sole that insulates the floor very well. They are very warm and comfortable, perfect for winter. Incredible quality / price ratio.</v>
      </c>
    </row>
    <row r="8083">
      <c r="A8083" s="1">
        <v>5.0</v>
      </c>
      <c r="B8083" s="1" t="s">
        <v>8024</v>
      </c>
      <c r="C8083" t="str">
        <f>IFERROR(__xludf.DUMMYFUNCTION("GOOGLETRANSLATE(B8083, ""es"", ""en"")"),"warm were a gift and fell into great and says they are very nice and warm.")</f>
        <v>warm were a gift and fell into great and says they are very nice and warm.</v>
      </c>
    </row>
    <row r="8084">
      <c r="A8084" s="1">
        <v>5.0</v>
      </c>
      <c r="B8084" s="1" t="s">
        <v>8025</v>
      </c>
      <c r="C8084" t="str">
        <f>IFERROR(__xludf.DUMMYFUNCTION("GOOGLETRANSLATE(B8084, ""es"", ""en"")"),"Pretty nice but something big")</f>
        <v>Pretty nice but something big</v>
      </c>
    </row>
    <row r="8085">
      <c r="A8085" s="1">
        <v>5.0</v>
      </c>
      <c r="B8085" s="1" t="s">
        <v>8026</v>
      </c>
      <c r="C8085" t="str">
        <f>IFERROR(__xludf.DUMMYFUNCTION("GOOGLETRANSLATE(B8085, ""es"", ""en"")"),"They sound good and have good autonomy were a gift for my wife. Go to work by bus and has half an hour to listen to music. I gave these headphones, which hears music discreetly without cable problems and possible falls mobile. They do not bother anything "&amp;"and hear perfectly. They have a good autonomy, since despite the use daily spend weeks without recharging.")</f>
        <v>They sound good and have good autonomy were a gift for my wife. Go to work by bus and has half an hour to listen to music. I gave these headphones, which hears music discreetly without cable problems and possible falls mobile. They do not bother anything and hear perfectly. They have a good autonomy, since despite the use daily spend weeks without recharging.</v>
      </c>
    </row>
    <row r="8086">
      <c r="A8086" s="1">
        <v>2.0</v>
      </c>
      <c r="B8086" s="1" t="s">
        <v>8027</v>
      </c>
      <c r="C8086" t="str">
        <f>IFERROR(__xludf.DUMMYFUNCTION("GOOGLETRANSLATE(B8086, ""es"", ""en"")"),"Untrustworthy. He believed that the product was new and I got second-hand ...")</f>
        <v>Untrustworthy. He believed that the product was new and I got second-hand ...</v>
      </c>
    </row>
    <row r="8087">
      <c r="A8087" s="1">
        <v>3.0</v>
      </c>
      <c r="B8087" s="1" t="s">
        <v>8028</v>
      </c>
      <c r="C8087" t="str">
        <f>IFERROR(__xludf.DUMMYFUNCTION("GOOGLETRANSLATE(B8087, ""es"", ""en"")"),"Nice but small size. The shoes are very nice but always use the 40 and be me stay very small, I had to return them.")</f>
        <v>Nice but small size. The shoes are very nice but always use the 40 and be me stay very small, I had to return them.</v>
      </c>
    </row>
    <row r="8088">
      <c r="A8088" s="1">
        <v>3.0</v>
      </c>
      <c r="B8088" s="1" t="s">
        <v>8029</v>
      </c>
      <c r="C8088" t="str">
        <f>IFERROR(__xludf.DUMMYFUNCTION("GOOGLETRANSLATE(B8088, ""es"", ""en"")"),"A stronger grip would not hurt them lack a bit of grip as strips because some cable is just taking off and it's a shame because the system is good to have well-organized cables")</f>
        <v>A stronger grip would not hurt them lack a bit of grip as strips because some cable is just taking off and it's a shame because the system is good to have well-organized cables</v>
      </c>
    </row>
    <row r="8089">
      <c r="A8089" s="1">
        <v>1.0</v>
      </c>
      <c r="B8089" s="1" t="s">
        <v>8030</v>
      </c>
      <c r="C8089" t="str">
        <f>IFERROR(__xludf.DUMMYFUNCTION("GOOGLETRANSLATE(B8089, ""es"", ""en"")"),"Product Fiasco very bad to install, lacked part and I had to return. I do not recommend to anyone, there are much better.")</f>
        <v>Product Fiasco very bad to install, lacked part and I had to return. I do not recommend to anyone, there are much better.</v>
      </c>
    </row>
    <row r="8090">
      <c r="A8090" s="1">
        <v>1.0</v>
      </c>
      <c r="B8090" s="1" t="s">
        <v>8031</v>
      </c>
      <c r="C8090" t="str">
        <f>IFERROR(__xludf.DUMMYFUNCTION("GOOGLETRANSLATE(B8090, ""es"", ""en"")"),"Jefferson did not'm satisfied xke 2 orders one was entrgado and the other not and I handled a call and diego ke sr has no human pokito list and is a habusibo")</f>
        <v>Jefferson did not'm satisfied xke 2 orders one was entrgado and the other not and I handled a call and diego ke sr has no human pokito list and is a habusibo</v>
      </c>
    </row>
    <row r="8091">
      <c r="A8091" s="1">
        <v>4.0</v>
      </c>
      <c r="B8091" s="1" t="s">
        <v>8032</v>
      </c>
      <c r="C8091" t="str">
        <f>IFERROR(__xludf.DUMMYFUNCTION("GOOGLETRANSLATE(B8091, ""es"", ""en"")"),"It works well and good quality grinder is perfect. I read several reviews that said hurts and vibrates with lonque a little time just based plastics, in my case, this has not happened. Bring the mixer, a glass, a chopper, a cutter for chopping ice in the "&amp;"mincer and useful to beat.")</f>
        <v>It works well and good quality grinder is perfect. I read several reviews that said hurts and vibrates with lonque a little time just based plastics, in my case, this has not happened. Bring the mixer, a glass, a chopper, a cutter for chopping ice in the mincer and useful to beat.</v>
      </c>
    </row>
    <row r="8092">
      <c r="A8092" s="1">
        <v>4.0</v>
      </c>
      <c r="B8092" s="1" t="s">
        <v>8033</v>
      </c>
      <c r="C8092" t="str">
        <f>IFERROR(__xludf.DUMMYFUNCTION("GOOGLETRANSLATE(B8092, ""es"", ""en"")"),"A electroestimulador relieves pain very effective for small, practical, powerful, with different currents and power goes very well to relieve pain cervical contractures")</f>
        <v>A electroestimulador relieves pain very effective for small, practical, powerful, with different currents and power goes very well to relieve pain cervical contractures</v>
      </c>
    </row>
    <row r="8093">
      <c r="A8093" s="1">
        <v>4.0</v>
      </c>
      <c r="B8093" s="1" t="s">
        <v>8034</v>
      </c>
      <c r="C8093" t="str">
        <f>IFERROR(__xludf.DUMMYFUNCTION("GOOGLETRANSLATE(B8093, ""es"", ""en"")"),"Very nice very nice trinket, serves perfectly for my bracelet .... over a year and as the first day")</f>
        <v>Very nice very nice trinket, serves perfectly for my bracelet .... over a year and as the first day</v>
      </c>
    </row>
    <row r="8094">
      <c r="A8094" s="1">
        <v>4.0</v>
      </c>
      <c r="B8094" s="1" t="s">
        <v>8035</v>
      </c>
      <c r="C8094" t="str">
        <f>IFERROR(__xludf.DUMMYFUNCTION("GOOGLETRANSLATE(B8094, ""es"", ""en"")"),"I love GOOD VARIETY, add a few drops BUT MORE THAN smell very good.")</f>
        <v>I love GOOD VARIETY, add a few drops BUT MORE THAN smell very good.</v>
      </c>
    </row>
    <row r="8095">
      <c r="A8095" s="1">
        <v>4.0</v>
      </c>
      <c r="B8095" s="1" t="s">
        <v>8036</v>
      </c>
      <c r="C8095" t="str">
        <f>IFERROR(__xludf.DUMMYFUNCTION("GOOGLETRANSLATE(B8095, ""es"", ""en"")"),"Good ones. Good value for money. I use to connect my active monitors to a Boss pedal and makes no noise with the biggest gain. Recommended.")</f>
        <v>Good ones. Good value for money. I use to connect my active monitors to a Boss pedal and makes no noise with the biggest gain. Recommended.</v>
      </c>
    </row>
    <row r="8096">
      <c r="A8096" s="1">
        <v>5.0</v>
      </c>
      <c r="B8096" s="1" t="s">
        <v>8037</v>
      </c>
      <c r="C8096" t="str">
        <f>IFERROR(__xludf.DUMMYFUNCTION("GOOGLETRANSLATE(B8096, ""es"", ""en"")"),"Very comfortable sweatpants sports leggings fit the body and the high waist be feel very well, ideal for sports, no show through anything. The perfect size. Good quality fabric is highly recommended to buy them again.")</f>
        <v>Very comfortable sweatpants sports leggings fit the body and the high waist be feel very well, ideal for sports, no show through anything. The perfect size. Good quality fabric is highly recommended to buy them again.</v>
      </c>
    </row>
    <row r="8097">
      <c r="A8097" s="1">
        <v>5.0</v>
      </c>
      <c r="B8097" s="1" t="s">
        <v>8038</v>
      </c>
      <c r="C8097" t="str">
        <f>IFERROR(__xludf.DUMMYFUNCTION("GOOGLETRANSLATE(B8097, ""es"", ""en"")"),"Perfect Very comfortable, just what you see in the pictures and what I needed")</f>
        <v>Perfect Very comfortable, just what you see in the pictures and what I needed</v>
      </c>
    </row>
    <row r="8098">
      <c r="A8098" s="1">
        <v>5.0</v>
      </c>
      <c r="B8098" s="1" t="s">
        <v>8039</v>
      </c>
      <c r="C8098" t="str">
        <f>IFERROR(__xludf.DUMMYFUNCTION("GOOGLETRANSLATE(B8098, ""es"", ""en"")"),"It was a perfect Christmas present and does the job, everything perfect, the bad, the neighbors below hehehe otherwise enchanted girl")</f>
        <v>It was a perfect Christmas present and does the job, everything perfect, the bad, the neighbors below hehehe otherwise enchanted girl</v>
      </c>
    </row>
    <row r="8099">
      <c r="A8099" s="1">
        <v>5.0</v>
      </c>
      <c r="B8099" s="1" t="s">
        <v>8040</v>
      </c>
      <c r="C8099" t="str">
        <f>IFERROR(__xludf.DUMMYFUNCTION("GOOGLETRANSLATE(B8099, ""es"", ""en"")"),"Very nice and perfect size'm in love with the star-shaped earrings and when I saw these loved. I had my doubts on asking for comments about their small size. I highlight q liked very much and also surprised me because they have not seemed so small. I've p"&amp;"osted a picture to q can see how posts are. I seem fine earrings potty design very wearable and perfect for summer evenings. They price very tight. I recommend it.")</f>
        <v>Very nice and perfect size'm in love with the star-shaped earrings and when I saw these loved. I had my doubts on asking for comments about their small size. I highlight q liked very much and also surprised me because they have not seemed so small. I've posted a picture to q can see how posts are. I seem fine earrings potty design very wearable and perfect for summer evenings. They price very tight. I recommend it.</v>
      </c>
    </row>
    <row r="8100">
      <c r="A8100" s="1">
        <v>5.0</v>
      </c>
      <c r="B8100" s="1" t="s">
        <v>8041</v>
      </c>
      <c r="C8100" t="str">
        <f>IFERROR(__xludf.DUMMYFUNCTION("GOOGLETRANSLATE(B8100, ""es"", ""en"")"),"Super mixer blender with enough power to smoothies, salmorejos, crushing ice or bread. High capacity and variety in modes of use. Have suction cups on the base to prevent movement, also it includes a ""cup"" type Thermomix to remove large lid and add ingr"&amp;"edients on the fly. Very good choice quality / price.")</f>
        <v>Super mixer blender with enough power to smoothies, salmorejos, crushing ice or bread. High capacity and variety in modes of use. Have suction cups on the base to prevent movement, also it includes a "cup" type Thermomix to remove large lid and add ingredients on the fly. Very good choice quality / price.</v>
      </c>
    </row>
    <row r="8101">
      <c r="A8101" s="1">
        <v>5.0</v>
      </c>
      <c r="B8101" s="1" t="s">
        <v>8042</v>
      </c>
      <c r="C8101" t="str">
        <f>IFERROR(__xludf.DUMMYFUNCTION("GOOGLETRANSLATE(B8101, ""es"", ""en"")"),"Purchased good gift to give to my partner anniversary. He has enchanted him is fine, simple and elegant.")</f>
        <v>Purchased good gift to give to my partner anniversary. He has enchanted him is fine, simple and elegant.</v>
      </c>
    </row>
    <row r="8102">
      <c r="A8102" s="1">
        <v>5.0</v>
      </c>
      <c r="B8102" s="1" t="s">
        <v>8043</v>
      </c>
      <c r="C8102" t="str">
        <f>IFERROR(__xludf.DUMMYFUNCTION("GOOGLETRANSLATE(B8102, ""es"", ""en"")"),"All right has come to me quickly, no harm, works well.")</f>
        <v>All right has come to me quickly, no harm, works well.</v>
      </c>
    </row>
    <row r="8103">
      <c r="A8103" s="1">
        <v>5.0</v>
      </c>
      <c r="B8103" s="1" t="s">
        <v>8044</v>
      </c>
      <c r="C8103" t="str">
        <f>IFERROR(__xludf.DUMMYFUNCTION("GOOGLETRANSLATE(B8103, ""es"", ""en"")"),"Great quality at a good price is a high quality product also comes in a glass container with a dropper to administer and better use of doses of the product. I use it for hair I have very dry and frizzy and the effect is amazing with a few drops. He had us"&amp;"ed other oils argan, but none of this quality, I guess its purity. In addition, the order arrived quickly. In short, I am very satisfied with the purchase.")</f>
        <v>Great quality at a good price is a high quality product also comes in a glass container with a dropper to administer and better use of doses of the product. I use it for hair I have very dry and frizzy and the effect is amazing with a few drops. He had used other oils argan, but none of this quality, I guess its purity. In addition, the order arrived quickly. In short, I am very satisfied with the purchase.</v>
      </c>
    </row>
    <row r="8104">
      <c r="A8104" s="1">
        <v>5.0</v>
      </c>
      <c r="B8104" s="1" t="s">
        <v>8045</v>
      </c>
      <c r="C8104" t="str">
        <f>IFERROR(__xludf.DUMMYFUNCTION("GOOGLETRANSLATE(B8104, ""es"", ""en"")"),"Good buy Delivery punctual as always great and very comfortable and lightweight shoe I wear only one day with the truth but good buy")</f>
        <v>Good buy Delivery punctual as always great and very comfortable and lightweight shoe I wear only one day with the truth but good buy</v>
      </c>
    </row>
    <row r="8105">
      <c r="A8105" s="1">
        <v>5.0</v>
      </c>
      <c r="B8105" s="1" t="s">
        <v>8046</v>
      </c>
      <c r="C8105" t="str">
        <f>IFERROR(__xludf.DUMMYFUNCTION("GOOGLETRANSLATE(B8105, ""es"", ""en"")"),"It works perfect pure bliss does not make excessive noise (the logic of boiling water) has great so great for a home or an office with few employees. After six months of use, functions as the first day and I have not seen a single point of rust. I give it"&amp;" 5 stars justificadisimas.")</f>
        <v>It works perfect pure bliss does not make excessive noise (the logic of boiling water) has great so great for a home or an office with few employees. After six months of use, functions as the first day and I have not seen a single point of rust. I give it 5 stars justificadisimas.</v>
      </c>
    </row>
    <row r="8106">
      <c r="A8106" s="1">
        <v>5.0</v>
      </c>
      <c r="B8106" s="1" t="s">
        <v>8047</v>
      </c>
      <c r="C8106" t="str">
        <f>IFERROR(__xludf.DUMMYFUNCTION("GOOGLETRANSLATE(B8106, ""es"", ""en"")"),"It's very nice I liked it, is fine for the price it has")</f>
        <v>It's very nice I liked it, is fine for the price it has</v>
      </c>
    </row>
    <row r="8107">
      <c r="A8107" s="1">
        <v>5.0</v>
      </c>
      <c r="B8107" s="1" t="s">
        <v>8048</v>
      </c>
      <c r="C8107" t="str">
        <f>IFERROR(__xludf.DUMMYFUNCTION("GOOGLETRANSLATE(B8107, ""es"", ""en"")"),"The would buy again excellent headphones, both for sport and for work daily, the battery is long lasting, it also serves as a hands-free, also has a expecional comfort, also for the price with quality sound is great, I did not think they had much performa"&amp;"nce for the price they have, no doubt, buy them again.")</f>
        <v>The would buy again excellent headphones, both for sport and for work daily, the battery is long lasting, it also serves as a hands-free, also has a expecional comfort, also for the price with quality sound is great, I did not think they had much performance for the price they have, no doubt, buy them again.</v>
      </c>
    </row>
    <row r="8108">
      <c r="A8108" s="1">
        <v>5.0</v>
      </c>
      <c r="B8108" s="1" t="s">
        <v>8049</v>
      </c>
      <c r="C8108" t="str">
        <f>IFERROR(__xludf.DUMMYFUNCTION("GOOGLETRANSLATE(B8108, ""es"", ""en"")"),"Comfortable and good quality finishes. Very comfortable, it looks good quality material and pleasant to the touch. Furthermore finishes are also very good. Spacious three main departments and inside pockets")</f>
        <v>Comfortable and good quality finishes. Very comfortable, it looks good quality material and pleasant to the touch. Furthermore finishes are also very good. Spacious three main departments and inside pockets</v>
      </c>
    </row>
    <row r="8109">
      <c r="A8109" s="1">
        <v>5.0</v>
      </c>
      <c r="B8109" s="1" t="s">
        <v>8050</v>
      </c>
      <c r="C8109" t="str">
        <f>IFERROR(__xludf.DUMMYFUNCTION("GOOGLETRANSLATE(B8109, ""es"", ""en"")"),"Better than I expected for 15 euros less than in other stores, I was expecting something weird. When I arrived I compared with another model Converse bought in physical store and there is no difference. They are a lifelong Converse, no surprises. Yes, by "&amp;"the sizes of Converse, you have to order one size smaller than normal.")</f>
        <v>Better than I expected for 15 euros less than in other stores, I was expecting something weird. When I arrived I compared with another model Converse bought in physical store and there is no difference. They are a lifelong Converse, no surprises. Yes, by the sizes of Converse, you have to order one size smaller than normal.</v>
      </c>
    </row>
    <row r="8110">
      <c r="A8110" s="1">
        <v>5.0</v>
      </c>
      <c r="B8110" s="1" t="s">
        <v>8051</v>
      </c>
      <c r="C8110" t="str">
        <f>IFERROR(__xludf.DUMMYFUNCTION("GOOGLETRANSLATE(B8110, ""es"", ""en"")"),"Effective and simple &lt;div id = ""video-block-R2TADJVGRH3F5N"" class = ""section a-a-a-spacing-small spacing-top-video mini-block""&gt; &lt;div tabindex = ""0"" class = ""airy airy- svg vmin-supported airy-skin-beacon ""style ="" background-color: rgb (0, 0, 0) "&amp;"position: relative; width: 100%; height: 100%; font-size: 0px; overflow: hidden; outline: none; ""&gt; &lt;div class ="" airy-renderer-container ""style ="" position: relative; height: 100%; width: 100%; ""&gt; &lt;video id ="" 103 ""preload ="" auto ""src = ""https:"&amp;"//images-eu.ssl-images-amazon.com/images/I/B16UraaRoSS.mp4"" style = ""position: absolute; left: 0px; top: 0px; overflow: hidden; height: 1px; width: 1px; ""&gt; &lt;/ video&gt; &lt;/ div&gt; &lt;div id ="" airy-slate-preload ""style ="" background-color: rgb (0, 0, 0); ba"&amp;"ckground-image: url (&amp; quot; https: / /images-eu.ssl-images-amazon.com/images/I/B13Y82IUwlS.png&amp;quot;); background-size: Contain; background-position: center center; background-repeat: no-repeat; position: absolute; top: 0px; left: 0px; visibility: visibl"&amp;"e; width: 100%; height: 100%; ""&gt; &lt;/ div&gt; &lt;iframe scrolli ng = ""no"" frameborder = ""0"" src = ""about: blank"" style = ""display: none;""&gt; &lt;/ iframe&gt; &lt;div tabindex = ""- 1"" class = ""airy-controls-container"" style = "" opacity: 0; visibility: hidden; "&amp;"""&gt; &lt;div tabindex ="" - 1 ""class ="" airy-screen-size-toggle airy-fullscreen ""&gt; &lt;/ div&gt; &lt;div tabindex ="" - 1 ""class ="" airy-container-bottom "" &gt; &lt;div tabindex = ""- 1"" class = ""airy-track-bar-spacer-left"" style = ""width: 11px;""&gt; &lt;/ div&gt; &lt;div ta"&amp;"bindex = ""- 1"" class = ""airy-play- airy toggle-play ""style ="" width: 12px; margin-right: 12px; ""&gt; &lt;/ div&gt; &lt;div tabindex ="" - 1 ""class ="" airy-audio-elements ""style ="" float: right; width: 34px; ""&gt; &lt;div tabindex ="" - 1 ""class ="" airy-audio-t"&amp;"oggle airy-on ""&gt; &lt;/ div&gt; &lt;div tabindex ="" - 1 ""class ="" airy-audio-container ""style = ""opacity: 0; visibility: hidden; ""&gt; &lt;div tabindex ="" - 1 ""class ="" airy-audio-track-bar ""style ="" height: 80%; ""&gt; &lt;div tabindex ="" - 1 ""class ="" airy-aud"&amp;"io- Scrubber-bar ""style ="" height: 85%; ""&gt; &lt;/ div&gt; &lt;div tabindex ="" - 1 ""class ="" airy-audio-scrubber ""style ="" height: 12px; bottom: 85% ""&gt; &lt;/ div&gt; &lt;/ div&gt; &lt;/ div&gt; &lt;/ div&gt; &lt;div tabindex ="" - 1 ""class ="" airy-duration-label ""style ="" float: "&amp;"right; width: 26px; margin-right: 4px; text-align: center; ""&gt; 0:00 &lt;/ div&gt; &lt;div tabindex ="" - 1 ""class ="" airy-track-bar-spacer-right ""style ="" float: right; width: 11px; ""&gt; &lt;/ div&gt; &lt;div tabindex ="" - 1 ""class ="" airy-track-bar-container ""style"&amp;" ="" margin-left: 35px; margin-right: 75px; ""&gt; &lt;div tabindex ="" - 1 ""class ="" airy-airy-track-bar vertically-centering-table ""&gt; &lt;div tabindex ="" - 1 ""class ="" airy-Vertical-centering- table-cell ""&gt; &lt;div tabindex ="" - 1 ""class ="" airy-track-bar"&amp;"-elements ""&gt; &lt;div tabindex ="" - 1 ""class ="" airy-progress-bar ""&gt; &lt;/ div&gt; &lt;div tabindex = ""- 1"" class = ""airy-scrubber-bar""&gt; &lt;/ div&gt; &lt;div tabindex = ""- 1"" class = ""airy-scrubber""&gt; &lt;div tabindex = ""- 1"" class = ""airy-scrubber- icon ""&gt; &lt;/ di"&amp;"v&gt; &lt;div tabindex ="" - 1 ""class ="" airy-adjusted-AUI-tooltip ""style ="" opacity: 0; visibility: hidden; ""&gt; &lt;div tabindex ="" - 1 ""class ="" airy-adjusted-aui-tooltip-inner ""&gt; &lt;div tabindex ="" - 1 ""class ="" airy-current-time-label ""&gt; 0: 00 &lt;/ div"&amp;"&gt; &lt;/ div&gt; &lt;div tabindex = ""- 1"" class = ""airy-adjusted-AUI-arrow-border""&gt; &lt;div tabindex = ""- 1"" class = ""airy-adjusted-AUI-arrow"" &gt; &lt;/ div&gt; &lt;/ div&gt; &lt;/ div&gt; &lt;/ div&gt; &lt;/ div&gt; &lt;/ div&gt; &lt;/ div&gt; &lt;/ div&gt; &lt;/ div&gt; &lt;/ div&gt; &lt;div tabindex = ""- 1"" class = ""a"&amp;"iry-age-gate airy-stage airy-Vertical-centering-table airy-dialog"" style = ""opacity: 0; visibility: hidden; ""&gt; &lt;div tabindex ="" - 1 ""class ="" airy-age-gate-Vertical-centering-table-cell airy-Vertical-centering-table-cell ""&gt; &lt;div tabindex ="" - 1 """&amp;"class = ""airy-Vertical-centering-wrapper airy-age-gate-elements-wrapper""&gt; &lt;div tabindex = ""- 1"" class = ""airy-age-gate-elements airy-dialog-elements""&gt; &lt;div tabindex = "" -1 ""class ="" airy-age-gate-prompt ""&gt; This video is not Intended for all audi"&amp;"ences What date were you born &lt;/ div&gt; &lt;div tabindex =.?"" - 1 ""class ="" airy-age-gate -inputs airy-dialog-inner-elements ""&gt; &lt;select tabindex ="" - 1 ""class ="" airy-age-gate-month ""&gt; &lt;option value ="" 1 ""&gt; January &lt;/ option&gt; &lt;option value ="" 2 ""&gt; "&amp;"February &lt;/ option&gt; &lt;option value ="" 3 ""&gt; March &lt;/ option&gt; &lt;option value ="" 4 ""&gt; April &lt;/ option&gt; &lt;option value ="" 5 ""&gt; May &lt;/ option&gt; &lt;option value = ""6""&gt; June &lt;/ option&gt; &lt;option value = ""7""&gt; July &lt;/ option&gt; &lt;option value = ""8""&gt; August &lt;/ opt"&amp;"ion&gt; &lt;option value = ""9""&gt; September &lt;/ option&gt; &lt;option value = ""10""&gt; October &lt;/ option&gt; &lt;option value = ""11""&gt; November &lt;/ option&gt; &lt;option value = ""12""&gt; December &lt;/ option&gt; &lt;/ select&gt; &lt;select tabindex = ""- 1"" class = ""airy-age-gate-day""&gt; &lt;opti "&amp;"on value = ""1""&gt; 1 &lt;/ option&gt; &lt;option value = ""2""&gt; 2 &lt;/ option&gt; &lt;option value = ""3""&gt; 3 &lt;/ option&gt; &lt;option value = ""4""&gt; 4 &lt;/ option &gt; &lt;option value = ""5""&gt; 5 &lt;/ option&gt; &lt;option value = ""6""&gt; 6 &lt;/ option&gt; &lt;option value = ""7""&gt; 7 &lt;/ option&gt; &lt;option"&amp;" value = ""8""&gt; 8 &lt; / option&gt; &lt;option value = ""9""&gt; 9 &lt;/ option&gt; &lt;option value = ""10""&gt; 10 &lt;/ option&gt; &lt;option value = ""11""&gt; 11 &lt;/ option&gt; &lt;option value = ""12""&gt; 12 &lt;/ option&gt; &lt;option value = ""13""&gt; 13 &lt;/ option&gt; &lt;option value = ""14""&gt; 14 &lt;/ option&gt;"&amp;" &lt;option value = ""15""&gt; 15 &lt;/ option&gt; &lt;option value = ""16 ""&gt; 16 &lt;/ option&gt; &lt;option value ="" 17 ""&gt; 17 &lt;/ option&gt; &lt;option value ="" 18 ""&gt; 18 &lt;/ option&gt; &lt;option value ="" 19 ""&gt; 19 &lt;/ option&gt; &lt;option value = ""20""&gt; 20 &lt;/ option&gt; &lt;option value = ""21"""&amp;"&gt; 21 &lt;/ option&gt; &lt;option value = ""22""&gt; 22 &lt;/ option&gt; &lt;option value = ""23""&gt; 23 &lt;/ option&gt; &lt;option value = ""24""&gt; 24 &lt;/ option&gt; &lt;option value = ""25""&gt; 25 &lt;/ option&gt; &lt;option value = ""26""&gt; 26 &lt;/ option&gt; &lt;option value = ""27""&gt; 27 &lt;/ option&gt; &lt;option val"&amp;"ue = ""28""&gt; 28 &lt;/ option&gt; &lt;option value = ""29""&gt; 29 &lt;/ option&gt; &lt;option value = ""30""&gt; 30 &lt;/ option&gt; &lt;option value = ""31""&gt; 31 &lt;/ option&gt; &lt;/ select&gt; &lt;select tabindex = ""- 1"" class = ""airy-age-gate-year""&gt; &lt;option value = ""2019""&gt; 2019 &lt;/ option&gt; &lt; "&amp;"option value = ""2018""&gt; 2018 &lt;/ option&gt; &lt;option value = ""2017""&gt; 2017 &lt;/ option&gt; &lt;option value = ""2016""&gt; ​​2016 &lt;/ option&gt; &lt;option value = ""2015""&gt; 2015 &lt;/ option &gt; &lt;option value = ""2014""&gt; 2014 &lt;/ option&gt; &lt;option value = ""2013""&gt; 2013 &lt;/ option&gt; &lt;"&amp;"option value = ""2012""&gt; 2012 &lt;/ option&gt; &lt;option value = ""2011""&gt; 2011 &lt; / option&gt; &lt;option value = ""2010""&gt; 2010 &lt;/ option&gt; &lt;option value = ""2009""&gt; 2009 &lt;/ option&gt; &lt;option value = ""2008""&gt; 2008 &lt;/ option&gt; &lt;option value = ""2007""&gt; 2007 &lt;/ option&gt; &lt;op"&amp;"tion value = ""2006""&gt; 2006 &lt;/ option&gt; &lt;option value = ""2005""&gt; 2005 &lt;/ option&gt; &lt;option value = ""2004""&gt; 2004 &lt;/ option&gt; &lt;option value = ""2003 ""&gt; 2003 &lt;/ option&gt; &lt;option value ="" 2002 ""&gt; 2002 &lt;/ option&gt; &lt;option value ="" 2001 ""&gt; 2001 &lt;/ option&gt; &lt;op"&amp;"tion value ="" 2000 ""&gt; 2000 &lt;/ option&gt; &lt;option value = ""1999""&gt; 1999 &lt;/ option&gt; &lt;option value = ""1998""&gt; 1998 &lt;/ option&gt; &lt;option value = ""1997""&gt; 1997 &lt;/ option&gt; &lt;option value = ""1996""&gt; 1996 &lt;/ option&gt; &lt;option value = ""1995""&gt; 1995 &lt;/ option&gt; &lt;opti"&amp;"on value = ""1994""&gt; 1994 &lt;/ option&gt; &lt;option value = ""1993""&gt; 1993 &lt;/ option&gt; &lt;option value = ""1992""&gt; 1992 &lt;/ option&gt; &lt;option value = ""1991""&gt; 1991 &lt;/ option&gt; &lt;option value = ""1990""&gt; 1990 &lt;/ option&gt; &lt;option value = "" 1989 ""&gt; 1989 &lt;/ option&gt; &lt;optio"&amp;"n value ="" 1988 ""&gt; 1988 &lt;/ option&gt; &lt;option value ="" 1987 ""&gt; 1987 &lt;/ option&gt; &lt;option value ="" 1986 ""&gt; 1986 &lt;/ option&gt; &lt;value option = ""1985""&gt; 1985 &lt;/ option&gt; &lt;option value = ""1984""&gt; 1984 &lt;/ option&gt; &lt;option value = ""1983""&gt; 1983 &lt;/ option&gt; &lt;optio"&amp;"n value = ""1982""&gt; 1982 &lt;/ option&gt; &lt; option value = ""1981""&gt; 1981 &lt;/ option&gt; &lt;option value = ""1980""&gt; 1980 &lt;/ option&gt; &lt;option value = ""1979""&gt; 1979 &lt;/ option&gt; &lt;option value = ""1978""&gt; 1978 &lt;/ option &gt; &lt;option value = ""1977""&gt; 1977 &lt;/ option&gt; &lt;option"&amp;" value = ""1976""&gt; 1976 &lt;/ option&gt; &lt;option value = ""1975""&gt; 1975 &lt;/ option&gt; &lt;option value = ""1974""&gt; 1974 &lt; / option&gt; &lt;option value = ""1973""&gt; 1973 &lt;/ option&gt; &lt;option value = ""1972""&gt; 1972 &lt;/ option&gt; &lt;option value = ""1971""&gt; 1971 &lt;/ option&gt; &lt;option v"&amp;"alue = ""1970""&gt; 1970 &lt;/ option&gt; &lt;option value = ""1969""&gt; 1969 &lt;/ option&gt; &lt;option value = ""1968""&gt; 1968 &lt;/ option&gt; &lt;option value = ""1967""&gt; 1967 &lt;/ option&gt; &lt;option value = ""1966 ""&gt; 1966 &lt;/ option&gt; &lt;option value ="" 1965 ""&gt; 1965 &lt;/ option&gt; &lt;option va"&amp;"lue ="" 1964 ""&gt; 1964 &lt;/ option&gt; &lt;option value ="" 1963 ""&gt; 1963 &lt;/ option&gt; &lt;option value = ""1962""&gt; 1962 &lt;/ option&gt; &lt;option value = ""1961""&gt; 1961 &lt;/ option&gt; &lt;option value = ""1960""&gt; 1960 &lt;/ op tion&gt; &lt;option value = ""1959""&gt; 1959 &lt;/ option&gt; &lt;option va"&amp;"lue = ""1958""&gt; 1958 &lt;/ option&gt; &lt;option value = ""1957""&gt; 1957 &lt;/ option&gt; &lt;option value = ""1956""&gt; 1956 &lt;/ option&gt; &lt;option value = ""1955""&gt; 1955 &lt;/ option&gt; &lt;option value = ""1954""&gt; 1954 &lt;/ option&gt; &lt;option value = ""1953""&gt; 1953 &lt;/ option&gt; &lt;option value"&amp;" = ""1952"" &gt; 1952 &lt;/ option&gt; &lt;option value = ""1951""&gt; 1951 &lt;/ option&gt; &lt;option value = ""1950""&gt; 1950 &lt;/ option&gt; &lt;option value = ""1949""&gt; 1949 &lt;/ option&gt; &lt;option value = "" 1948 ""&gt; 1948 &lt;/ option&gt; &lt;option value ="" 1947 ""&gt; 1947 &lt;/ option&gt; &lt;option valu"&amp;"e ="" 1946 ""&gt; 1946 &lt;/ option&gt; &lt;option value ="" 1945 ""&gt; 1945 &lt;/ option&gt; &lt;value option = ""1944""&gt; 1944 &lt;/ option&gt; &lt;option value = ""1943""&gt; 1943 &lt;/ option&gt; &lt;option value = ""1942""&gt; 1942 &lt;/ option&gt; &lt;option value = ""1941""&gt; 1941 &lt;/ option&gt; &lt; option valu"&amp;"e = ""1940""&gt; 1940 &lt;/ option&gt; &lt;option value = ""1939""&gt; 1939 &lt;/ option&gt; &lt;option value = ""1938""&gt; 1938 &lt;/ option&gt; &lt;option value = ""1937""&gt; 1937 &lt;/ option &gt; &lt;option value = ""1936""&gt; 1936 &lt;/ option&gt; &lt;option value = ""1935""&gt; 1935 &lt;/ option&gt; &lt;option value "&amp;"= ""1934""&gt; 1934 &lt;/ option&gt; &lt;option value = ""1933""&gt; 1933 &lt; / option&gt; &lt;option value = ""1932""&gt; 1932 &lt;/ option&gt; &lt;option value = ""1931""&gt; 1931 &lt;/ option&gt; &lt;option v alue = ""1930""&gt; 1930 &lt;/ option&gt; &lt;option value = ""1929""&gt; 1929 &lt;/ option&gt; &lt;option value ="&amp;" ""1928""&gt; 1928 &lt;/ option&gt; &lt;option value = ""1927""&gt; 1927 &lt;/ option&gt; &lt;option value = ""1926""&gt; 1926 &lt;/ option&gt; &lt;option value = ""1925""&gt; 1925 &lt;/ option&gt; &lt;option value = ""1924""&gt; 1924 &lt;/ option&gt; &lt;option value = ""1923""&gt; 1923 &lt;/ option&gt; &lt;option value = """&amp;"1922""&gt; 1922 &lt;/ option&gt; &lt;option value = ""1921""&gt; 1921 &lt;/ option&gt; &lt;option value = ""1920""&gt; 1920 &lt;/ option&gt; &lt;option value = ""1919""&gt; 1919 &lt;/ option&gt; &lt;option value = ""1918""&gt; 1918 &lt;/ option&gt; &lt;option value = ""1917""&gt; 1917 &lt;/ option&gt; &lt;option value = ""191"&amp;"6""&gt; 1916 &lt;/ option&gt; &lt;option value = ""1915"" &gt; 1915 &lt;/ option&gt; &lt;option value = ""1914""&gt; 1914 &lt;/ option&gt; &lt;option value = ""1913""&gt; 1913 &lt;/ option&gt; &lt;option value = ""1912""&gt; 1912 &lt;/ option&gt; &lt;option value = "" 1911 ""&gt; 1911 &lt;/ option&gt; &lt;option value ="" 191"&amp;"0 ""&gt; 1910 &lt;/ option&gt; &lt;option value ="" 1909 ""&gt; 1909 &lt;/ option&gt; &lt;option value ="" 1908 ""&gt; 1908 &lt;/ option&gt; &lt;value option = ""1907""&gt; 1907 &lt;/ option&gt; &lt;option value = ""1906""&gt; 1906 &lt;/ option&gt; &lt;option value = ""1905""&gt; 1905 &lt;/ option&gt; &lt;option value = ""190"&amp;"4""&gt; 1904 &lt;/ option&gt; &lt; option value = ""1903""&gt; 1903 &lt;/ option&gt; &lt;option value = ""1902""&gt; 1902 &lt;/ option&gt; &lt;option value = ""1901""&gt; 19 01 &lt;/ option&gt; &lt;option value = ""1900""&gt; 1900 &lt;/ option&gt; &lt;/ select&gt; &lt;div tabindex = ""- 1"" class = ""airy-age-gate-submi"&amp;"t airy-submit-button airy airy-submit- disabled ""&gt; Submit &lt;/ div&gt; &lt;/ div&gt; &lt;/ div&gt; &lt;/ div&gt; &lt;/ div&gt; &lt;/ div&gt; &lt;div tabindex ="" - 1 ""class ="" airy-install-flash-dialog airy-stage airy -vertical-centering-table-dialog airy airy-denied ""style ="" opacity: 0"&amp;"; visibility: hidden; ""&gt; &lt;div tabindex ="" - 1 ""class ="" airy-install-flash-Vertical-centering-table-cell airy-Vertical-centering-table-cell ""&gt; &lt;div tabindex ="" - 1 ""class = ""airy-Vertical-centering-wrapper airy-install-flash-elements-wrapper""&gt; &lt;d"&amp;"iv tabindex = ""- 1"" class = ""airy-install-flash-elements airy-dialog-elements""&gt; &lt;div tabindex = "" -1 ""class ="" airy-install-flash-prompt ""&gt; Adobe Flash Player is required to watch this video &lt;/ div&gt; &lt;div tabindex =."" - 1 ""class ="" airy-install-"&amp;"flash-button-wrapper airy -dialog-inner-elements ""&gt; &lt;div tabindex ="" - 1 ""class ="" airy-install-flash-button airy-button ""&gt; install Flash Player &lt;/ div&gt; &lt;/ div&gt; &lt;/ div&gt; &lt;/ div&gt; &lt;/ div&gt; &lt;/ div&gt; &lt;div tabindex = ""- 1"" class = ""airy-video-unsupported-"&amp;"dialog airy-stage airy-Vertical-centering-table airy-dialog airy-denied"" style = ""opacity: 0; visibility: hidden; ""&gt; &lt;div tabindex ="" - 1 ""class ="" airy-video-unsupported-Vertical-centering-table-cell airy-Vertical-centering-table-cell ""&gt; &lt;div tabi"&amp;"ndex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tabin"&amp;"dex ="" - 1 ""class ="" airy-loading-spinner-container airy-scalable-hint-container ""&gt; &lt;div tabindex ="" - 1 ""class ="" airy-loading-spinner-dummy airy-scalable-dummy ""&gt; &lt;/ div&gt; &lt; div tabindex = ""- 1"" class = ""airy-loading-spinner airy-hint"" style "&amp;"= ""visibility: hidden;""&gt; &lt;/ div&gt; &lt;/ div&gt; &lt;/ div&gt; &lt;/ div&gt; &lt;div tabindex = ""- 1 ""class ="" airy-ads-screen-size-toggle airy-screen-size-toggle-fullscreen airy ""style ="" visibility: hidden; ""&gt; &lt;/ div&gt; &lt;div tabindex = ""-1"" class = ""airy-ad-prompt-co"&amp;"ntainer"" style = ""visibility: hidden;""&gt; &lt;div tabindex = ""- 1"" class = ""airy-ad-prompt-Vertical-centering-table-vertically airy centering-table ""&gt; &lt;div tabindex ="" - 1 ""class ="" airy-ad-prompt-Vertical-centering-table-cell airy-Vertical-centering"&amp;"-table-cell ""&gt; &lt;div tabindex ="" - 1 ""class = ""airy-ad-prompt-label""&gt; &lt;/ div&gt; &lt;/ div&gt; &lt;/ div&gt; &lt;/ div&gt; &lt;div tabindex = ""- 1"" class = ""airy-ads-controls-container"" style = ""visibility: hidden; ""&gt; &lt;div tabindex ="" - 1 ""class ="" airy-ads-audio-to"&amp;"ggle airy-audio-toggle airy-on ""style ="" visibility: hidden; ""&gt; &lt;/ div&gt; &lt;div tabindex ="" - 1 ""class ="" airy-time-remaining-label-container ""&gt; &lt;div tabindex ="" - 1 ""class ="" airy-time-remaining-Vertical-centering-table airy-Vertical-centering-tab"&amp;"le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&lt;"&amp;"/ div&gt; &lt;/ div&gt; &lt;/ div&gt; &lt;/ div&gt; &lt;/ div&gt; &lt;div tabindex ="" - 1 ""class ="" airy-learn-more ""style ="" visibility: hidden; ""&gt; &lt;/ div&gt; &lt;/ div&gt; &lt;div tabindex = ""- 1"" class = ""airy-play-toggle-hint-stage airy-stage airy-cursor""&gt; &lt;div tabindex = ""- 1"" cl"&amp;"ass = ""airy-play -toggle-hint-Vertical-centering-table-cell airy-Vertical-centering-table-cell airy-cursor ""&gt; &lt;div tabindex ="" - 1 ""class ="" airy-play-toggle-hint-container airy-scalable- Hint-container ""&gt; &lt;div tabindex ="" - 1 ""class ="" airy-play"&amp;"-toggle-hint-dummy airy-scalable-dummy ""&gt; &lt;/ div&gt; &lt;div tabindex ="" - 1 ""class ="" airy-play -toggle-hint hint airy-airy-play-hint ""style ="" opacity: 1; visibility: visible; ""&gt; &lt;/ div&gt; &lt;/ div&gt; &lt;/ div&gt; &lt;/ div&gt; &lt;div tabindex ="" - 1 ""class ="" airy-re"&amp;"play-hint-stage airy-stage ""style ="" visibility: hidden ; ""&gt; &lt;div tabindex ="" - 1 ""class ="" airy-replay-hint-Vertical-centering-table-cell airy-Vertical-centering-table-cell airy-cursor ""&gt; &lt;div tabindex ="" - 1 ""class = ""airy-replay-hint-containe"&amp;"r airy-scalable-hint-container""&gt; &lt;div tabindex = ""- 1"" class = ""airy-replay-hint-dummy airy-scalable-dummy""&gt; &lt;/ div&gt; &lt;div tabindex = ""- 1"" class = ""airy-replay-hint airy-hint""&gt; &lt;/ div&gt; &lt;/ div&gt; &lt;/ div&gt; &lt;/ div&gt; &lt;div tabindex = ""- 1"" class = ""air"&amp;"y-autoplay-hint -stage airy-stage ""style ="" visibility: hidden; ""&gt; &lt;div tabindex ="" - 1 ""class ="" airy-autoplay-hint-Vertical-centering-table-cell airy-Vertical-centering-table-cell airy- cursor ""&gt; &lt;div tabindex ="" - 1 ""class ="" autoplay airy-ai"&amp;"ry-hint-container-scalable-hint-container ""&gt; &lt;div tabindex ="" - 1 ""class ="" airy-autoplay-hint-dummy airy- scalable-dummy ""&gt; &lt;/ div&gt; &lt;/ div&gt; &lt;/ div&gt; &lt;/ div&gt; &lt;/ div&gt; &lt;/ div&gt; &lt;input type ="" hidden ""name ="" ""value ="" https: // images-eu .ssl-images"&amp;"-amazon.com / images / I / B16UraaRoSS.mp4 ""Class ="" video-url ""&gt; &lt;input type ="" hidden ""name ="" ""value ="" https://images-eu.ssl-images-amazon.com/images/I/B13Y82IUwlS.png ""class ="" video-slate-img-url ""&gt; &amp; nbsp; very happy with .vino el.difuso"&amp;"r very well packaged and in perfect estado..funciona very well with his command and has different positions humidify. .In addition to its chromatherapy")</f>
        <v>Effective and simple &lt;div id = "video-block-R2TADJVGRH3F5N" class = "section a-a-a-spacing-small spacing-top-video mini-block"&gt; &lt;div tabindex = "0" class = "airy airy- svg vmin-supported airy-skin-beacon "style =" background-color: rgb (0, 0, 0) position: relative; width: 100%; height: 100%; font-size: 0px; overflow: hidden; outline: none; "&gt; &lt;div class =" airy-renderer-container "style =" position: relative; height: 100%; width: 100%; "&gt; &lt;video id =" 103 "preload =" auto "src = "https://images-eu.ssl-images-amazon.com/images/I/B16UraaRoSS.mp4" style = "position: absolute; left: 0px; top: 0px; overflow: hidden; height: 1px; width: 1px; "&gt; &lt;/ video&gt; &lt;/ div&gt; &lt;div id =" airy-slate-preload "style =" background-color: rgb (0, 0, 0); background-image: url (&amp; quot; https: / /images-eu.ssl-images-amazon.com/images/I/B13Y82IUwlS.png&amp;quot;); background-size: Contain; background-position: center center; background-repeat: no-repeat; position: absolute; top: 0px; left: 0px; visibility: visible; width: 100%; height: 100%; "&gt; &lt;/ div&gt; &lt;iframe scrolli 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B16UraaRoSS.mp4 "Class =" video-url "&gt; &lt;input type =" hidden "name =" "value =" https://images-eu.ssl-images-amazon.com/images/I/B13Y82IUwlS.png "class =" video-slate-img-url "&gt; &amp; nbsp; very happy with .vino el.difusor very well packaged and in perfect estado..funciona very well with his command and has different positions humidify. .In addition to its chromatherapy</v>
      </c>
    </row>
    <row r="8111">
      <c r="A8111" s="1">
        <v>5.0</v>
      </c>
      <c r="B8111" s="1" t="s">
        <v>8052</v>
      </c>
      <c r="C8111" t="str">
        <f>IFERROR(__xludf.DUMMYFUNCTION("GOOGLETRANSLATE(B8111, ""es"", ""en"")"),"Comprehensive is perfect for learning songs. I would say from 4 years to 9 can be fun. You are 12 scores and if you mess partituta into the slot can hear how it sounds giving the play, so they know how is rhythm. If you put the score in the slot and touch"&amp;" a wrong key sounds a sound like croaking frog so you know you got confused. If you do not record but then corrects the errors they notice be heard who did well. My 4 year old daughter learned the first song in two days. I love.")</f>
        <v>Comprehensive is perfect for learning songs. I would say from 4 years to 9 can be fun. You are 12 scores and if you mess partituta into the slot can hear how it sounds giving the play, so they know how is rhythm. If you put the score in the slot and touch a wrong key sounds a sound like croaking frog so you know you got confused. If you do not record but then corrects the errors they notice be heard who did well. My 4 year old daughter learned the first song in two days. I love.</v>
      </c>
    </row>
    <row r="8112">
      <c r="A8112" s="1">
        <v>5.0</v>
      </c>
      <c r="B8112" s="1" t="s">
        <v>8053</v>
      </c>
      <c r="C8112" t="str">
        <f>IFERROR(__xludf.DUMMYFUNCTION("GOOGLETRANSLATE(B8112, ""es"", ""en"")"),"Magnifico is a product ""fine"" of which must be taken when you go to expose suit a job at a fancy place. Usually one just there, of course, but just in case it should be their own.")</f>
        <v>Magnifico is a product "fine" of which must be taken when you go to expose suit a job at a fancy place. Usually one just there, of course, but just in case it should be their own.</v>
      </c>
    </row>
    <row r="8113">
      <c r="A8113" s="1">
        <v>5.0</v>
      </c>
      <c r="B8113" s="1" t="s">
        <v>8054</v>
      </c>
      <c r="C8113" t="str">
        <f>IFERROR(__xludf.DUMMYFUNCTION("GOOGLETRANSLATE(B8113, ""es"", ""en"")"),"Quite spacious with good pockets and would have only bad to come up with a mold that comes a little crushed")</f>
        <v>Quite spacious with good pockets and would have only bad to come up with a mold that comes a little crushed</v>
      </c>
    </row>
    <row r="8114">
      <c r="A8114" s="1">
        <v>2.0</v>
      </c>
      <c r="B8114" s="1" t="s">
        <v>8055</v>
      </c>
      <c r="C8114" t="str">
        <f>IFERROR(__xludf.DUMMYFUNCTION("GOOGLETRANSLATE(B8114, ""es"", ""en"")"),"Great, believes people you lame a size more than you spend, but it is not true because large size, I will play it back. As for the order itself is fine, it is like the picture, good quality and fast shipping.")</f>
        <v>Great, believes people you lame a size more than you spend, but it is not true because large size, I will play it back. As for the order itself is fine, it is like the picture, good quality and fast shipping.</v>
      </c>
    </row>
    <row r="8115">
      <c r="A8115" s="1">
        <v>3.0</v>
      </c>
      <c r="B8115" s="1" t="s">
        <v>8056</v>
      </c>
      <c r="C8115" t="str">
        <f>IFERROR(__xludf.DUMMYFUNCTION("GOOGLETRANSLATE(B8115, ""es"", ""en"")"),"excellent lining a bit seedy, but if you want better there the same model best pad lined but not worth worth spending that money, however little and skill you would do at home")</f>
        <v>excellent lining a bit seedy, but if you want better there the same model best pad lined but not worth worth spending that money, however little and skill you would do at home</v>
      </c>
    </row>
    <row r="8116">
      <c r="A8116" s="1">
        <v>3.0</v>
      </c>
      <c r="B8116" s="1" t="s">
        <v>8057</v>
      </c>
      <c r="C8116" t="str">
        <f>IFERROR(__xludf.DUMMYFUNCTION("GOOGLETRANSLATE(B8116, ""es"", ""en"")"),"Aseso for easy cleaning it is very strong and the portion of the brush is too small")</f>
        <v>Aseso for easy cleaning it is very strong and the portion of the brush is too small</v>
      </c>
    </row>
    <row r="8117">
      <c r="A8117" s="1">
        <v>1.0</v>
      </c>
      <c r="B8117" s="1" t="s">
        <v>8058</v>
      </c>
      <c r="C8117" t="str">
        <f>IFERROR(__xludf.DUMMYFUNCTION("GOOGLETRANSLATE(B8117, ""es"", ""en"")"),"An interesting element so that everything is properly cleaned")</f>
        <v>An interesting element so that everything is properly cleaned</v>
      </c>
    </row>
    <row r="8118">
      <c r="A8118" s="1">
        <v>1.0</v>
      </c>
      <c r="B8118" s="1" t="s">
        <v>8059</v>
      </c>
      <c r="C8118" t="str">
        <f>IFERROR(__xludf.DUMMYFUNCTION("GOOGLETRANSLATE(B8118, ""es"", ""en"")"),"SCAM is the second time that I buy and both times I failed the handset right around connecting, connecting the volume control on the headset is botched and certainly the originals are not nearly throwing money.")</f>
        <v>SCAM is the second time that I buy and both times I failed the handset right around connecting, connecting the volume control on the headset is botched and certainly the originals are not nearly throwing money.</v>
      </c>
    </row>
    <row r="8119">
      <c r="A8119" s="1">
        <v>4.0</v>
      </c>
      <c r="B8119" s="1" t="s">
        <v>8060</v>
      </c>
      <c r="C8119" t="str">
        <f>IFERROR(__xludf.DUMMYFUNCTION("GOOGLETRANSLATE(B8119, ""es"", ""en"")"),"Good sound, comfortable to wear headphones blueetooth These are really interesting. They come in a small metal box that fits in your pocket. This has two functions: storing / transport, and load. The pairing is done without problems (pocophone f1 and iPho"&amp;"ne 7). They weigh very little and hardly notice you're wearing. Bring other gums if not adapt well the source. The sound is good, missing an app for ppoder equalize to your liking. From the same headphones can skip tracks, rewind, subit / volume down and "&amp;"answer calls. Box Contents: - Cargo Box - transport. - charging cable. - Gums parts of different sizes. - manual and manual quick. ● What I like: ✅ Ease of use. ✅ ease. ● I do not like: Lack ❌ to equalize to your liking. CONCLUSION: I would have liked, so"&amp;"und good, they are comfortable and can answer calls. I recommend it.")</f>
        <v>Good sound, comfortable to wear headphones blueetooth These are really interesting. They come in a small metal box that fits in your pocket. This has two functions: storing / transport, and load. The pairing is done without problems (pocophone f1 and iPhone 7). They weigh very little and hardly notice you're wearing. Bring other gums if not adapt well the source. The sound is good, missing an app for ppoder equalize to your liking. From the same headphones can skip tracks, rewind, subit / volume down and answer calls. Box Contents: - Cargo Box - transport. - charging cable. - Gums parts of different sizes. - manual and manual quick. ● What I like: ✅ Ease of use. ✅ ease. ● I do not like: Lack ❌ to equalize to your liking. CONCLUSION: I would have liked, sound good, they are comfortable and can answer calls. I recommend it.</v>
      </c>
    </row>
    <row r="8120">
      <c r="A8120" s="1">
        <v>4.0</v>
      </c>
      <c r="B8120" s="1" t="s">
        <v>8061</v>
      </c>
      <c r="C8120" t="str">
        <f>IFERROR(__xludf.DUMMYFUNCTION("GOOGLETRANSLATE(B8120, ""es"", ""en"")"),"Surprising After reading very positive feedback on all kinds of sites and forums, I decided to buy these helmets to check for myself because my previous helmets were living their last moments of life. To the contrary of what I read in some opinions, at le"&amp;"ast in my case, they provide a normal volume, not spectacular nor scarce as some said. As for sound quality, in the early hours of use hissing sounded very sharp, a little upset, but then the quality is frankly excellent, I appreciate nuances that escaped"&amp;" me before. The negative point and I did not give 5 stars was comfort, and is that all that has been invested in providing quality sound has been cut in comfort. The top is comfortable but too tight pavilions head and continue after a week of use. Design "&amp;"I personally attracted. They are simple with some retro feel, but it's a matter of taste, if you like RGB LED are not your helmets. In short hooves they are versatile enough to listen to music and gaming, which also have good soundstage, so can be used on"&amp;" tactical FPS if you're not picky about comfort. In my case I have met with a table microphone 6 € I bought years ago and use for both gaming to music.")</f>
        <v>Surprising After reading very positive feedback on all kinds of sites and forums, I decided to buy these helmets to check for myself because my previous helmets were living their last moments of life. To the contrary of what I read in some opinions, at least in my case, they provide a normal volume, not spectacular nor scarce as some said. As for sound quality, in the early hours of use hissing sounded very sharp, a little upset, but then the quality is frankly excellent, I appreciate nuances that escaped me before. The negative point and I did not give 5 stars was comfort, and is that all that has been invested in providing quality sound has been cut in comfort. The top is comfortable but too tight pavilions head and continue after a week of use. Design I personally attracted. They are simple with some retro feel, but it's a matter of taste, if you like RGB LED are not your helmets. In short hooves they are versatile enough to listen to music and gaming, which also have good soundstage, so can be used on tactical FPS if you're not picky about comfort. In my case I have met with a table microphone 6 € I bought years ago and use for both gaming to music.</v>
      </c>
    </row>
    <row r="8121">
      <c r="A8121" s="1">
        <v>4.0</v>
      </c>
      <c r="B8121" s="1" t="s">
        <v>8062</v>
      </c>
      <c r="C8121" t="str">
        <f>IFERROR(__xludf.DUMMYFUNCTION("GOOGLETRANSLATE(B8121, ""es"", ""en"")"),"Teresa Javier Leon of Practical and good value. Recommended for amateur athletes. They try not shoddy products. Good buy. I recommend.")</f>
        <v>Teresa Javier Leon of Practical and good value. Recommended for amateur athletes. They try not shoddy products. Good buy. I recommend.</v>
      </c>
    </row>
    <row r="8122">
      <c r="A8122" s="1">
        <v>4.0</v>
      </c>
      <c r="B8122" s="1" t="s">
        <v>8063</v>
      </c>
      <c r="C8122" t="str">
        <f>IFERROR(__xludf.DUMMYFUNCTION("GOOGLETRANSLATE(B8122, ""es"", ""en"")"),"A good buy value for money is very good. You get exactly what is expected and what is more than enough. It is still early to judge because I have just given use but at first glance looks like a good, durable and quality product. I am satisfied with the pu"&amp;"rchase and may buy more product.")</f>
        <v>A good buy value for money is very good. You get exactly what is expected and what is more than enough. It is still early to judge because I have just given use but at first glance looks like a good, durable and quality product. I am satisfied with the purchase and may buy more product.</v>
      </c>
    </row>
    <row r="8123">
      <c r="A8123" s="1">
        <v>4.0</v>
      </c>
      <c r="B8123" s="1" t="s">
        <v>8064</v>
      </c>
      <c r="C8123" t="str">
        <f>IFERROR(__xludf.DUMMYFUNCTION("GOOGLETRANSLATE(B8123, ""es"", ""en"")"),"Value insuperable For that price you will not find a printer with higher print quality. To install it you have to download a program hp (to set up wifi), but if not connecting to the computer by USB cable (not included) drivers are installed directly on t"&amp;"he computer. Bring cartridges are mini size, but you can buy cheap XL cartridges online looking and last much longer. For the rest fast and clean impression")</f>
        <v>Value insuperable For that price you will not find a printer with higher print quality. To install it you have to download a program hp (to set up wifi), but if not connecting to the computer by USB cable (not included) drivers are installed directly on the computer. Bring cartridges are mini size, but you can buy cheap XL cartridges online looking and last much longer. For the rest fast and clean impression</v>
      </c>
    </row>
    <row r="8124">
      <c r="A8124" s="1">
        <v>5.0</v>
      </c>
      <c r="B8124" s="1" t="s">
        <v>8065</v>
      </c>
      <c r="C8124" t="str">
        <f>IFERROR(__xludf.DUMMYFUNCTION("GOOGLETRANSLATE(B8124, ""es"", ""en"")"),"Phenomenal perfect. As it described. Of good quality. Large capacity and comfortable to wear. 100% recommendable. Eshow discreet label.")</f>
        <v>Phenomenal perfect. As it described. Of good quality. Large capacity and comfortable to wear. 100% recommendable. Eshow discreet label.</v>
      </c>
    </row>
    <row r="8125">
      <c r="A8125" s="1">
        <v>5.0</v>
      </c>
      <c r="B8125" s="1" t="s">
        <v>8066</v>
      </c>
      <c r="C8125" t="str">
        <f>IFERROR(__xludf.DUMMYFUNCTION("GOOGLETRANSLATE(B8125, ""es"", ""en"")"),"Fernando magnificent clock, I totally recommend it within the range g.shok is the humblest but still a watch gral .tuve a little problem in sending Amazon, I would quickly solved a 10.gracias")</f>
        <v>Fernando magnificent clock, I totally recommend it within the range g.shok is the humblest but still a watch gral .tuve a little problem in sending Amazon, I would quickly solved a 10.gracias</v>
      </c>
    </row>
    <row r="8126">
      <c r="A8126" s="1">
        <v>5.0</v>
      </c>
      <c r="B8126" s="1" t="s">
        <v>8067</v>
      </c>
      <c r="C8126" t="str">
        <f>IFERROR(__xludf.DUMMYFUNCTION("GOOGLETRANSLATE(B8126, ""es"", ""en"")"),"Works perfectly was a gift for my father and by the time it works perfectly and what you like is the visibility of the sphere. It seems a good buy")</f>
        <v>Works perfectly was a gift for my father and by the time it works perfectly and what you like is the visibility of the sphere. It seems a good buy</v>
      </c>
    </row>
    <row r="8127">
      <c r="A8127" s="1">
        <v>5.0</v>
      </c>
      <c r="B8127" s="1" t="s">
        <v>8068</v>
      </c>
      <c r="C8127" t="str">
        <f>IFERROR(__xludf.DUMMYFUNCTION("GOOGLETRANSLATE(B8127, ""es"", ""en"")"),"Powerful, robust, quality is great, and I received it and I used to test it. It is very powerful, compact, modern, I hope I last long")</f>
        <v>Powerful, robust, quality is great, and I received it and I used to test it. It is very powerful, compact, modern, I hope I last long</v>
      </c>
    </row>
    <row r="8128">
      <c r="A8128" s="1">
        <v>5.0</v>
      </c>
      <c r="B8128" s="1" t="s">
        <v>8069</v>
      </c>
      <c r="C8128" t="str">
        <f>IFERROR(__xludf.DUMMYFUNCTION("GOOGLETRANSLATE(B8128, ""es"", ""en"")"),"Plasticized plasticized very well I have several folios 115 and weighing everything very well. I recommend it.")</f>
        <v>Plasticized plasticized very well I have several folios 115 and weighing everything very well. I recommend it.</v>
      </c>
    </row>
    <row r="8129">
      <c r="A8129" s="1">
        <v>5.0</v>
      </c>
      <c r="B8129" s="1" t="s">
        <v>8070</v>
      </c>
      <c r="C8129" t="str">
        <f>IFERROR(__xludf.DUMMYFUNCTION("GOOGLETRANSLATE(B8129, ""es"", ""en"")"),"Good base load and extension Very good product works perfectly, does not slip by rubber covers. USB ports work well and are very quick to charge mobile and tablets. Recommended.")</f>
        <v>Good base load and extension Very good product works perfectly, does not slip by rubber covers. USB ports work well and are very quick to charge mobile and tablets. Recommended.</v>
      </c>
    </row>
    <row r="8130">
      <c r="A8130" s="1">
        <v>5.0</v>
      </c>
      <c r="B8130" s="1" t="s">
        <v>8071</v>
      </c>
      <c r="C8130" t="str">
        <f>IFERROR(__xludf.DUMMYFUNCTION("GOOGLETRANSLATE(B8130, ""es"", ""en"")"),"Quality - definitive purchase good price and good quality fully acceptable price. I have tried without much flow in the river and can take the velcro it brings, the sole has not slipped me, I have not put the limit. I usually wear a 41 and I have taken a "&amp;"42 and I'm doing great. The would buy.")</f>
        <v>Quality - definitive purchase good price and good quality fully acceptable price. I have tried without much flow in the river and can take the velcro it brings, the sole has not slipped me, I have not put the limit. I usually wear a 41 and I have taken a 42 and I'm doing great. The would buy.</v>
      </c>
    </row>
    <row r="8131">
      <c r="A8131" s="1">
        <v>5.0</v>
      </c>
      <c r="B8131" s="1" t="s">
        <v>8072</v>
      </c>
      <c r="C8131" t="str">
        <f>IFERROR(__xludf.DUMMYFUNCTION("GOOGLETRANSLATE(B8131, ""es"", ""en"")"),"Plunger is fine. According to the order")</f>
        <v>Plunger is fine. According to the order</v>
      </c>
    </row>
    <row r="8132">
      <c r="A8132" s="1">
        <v>5.0</v>
      </c>
      <c r="B8132" s="1" t="s">
        <v>8073</v>
      </c>
      <c r="C8132" t="str">
        <f>IFERROR(__xludf.DUMMYFUNCTION("GOOGLETRANSLATE(B8132, ""es"", ""en"")"),"Very good quality Value exceeds the quality for the price")</f>
        <v>Very good quality Value exceeds the quality for the price</v>
      </c>
    </row>
    <row r="8133">
      <c r="A8133" s="1">
        <v>5.0</v>
      </c>
      <c r="B8133" s="1" t="s">
        <v>8074</v>
      </c>
      <c r="C8133" t="str">
        <f>IFERROR(__xludf.DUMMYFUNCTION("GOOGLETRANSLATE(B8133, ""es"", ""en"")"),"good good tone")</f>
        <v>good good tone</v>
      </c>
    </row>
    <row r="8134">
      <c r="A8134" s="1">
        <v>5.0</v>
      </c>
      <c r="B8134" s="1" t="s">
        <v>8075</v>
      </c>
      <c r="C8134" t="str">
        <f>IFERROR(__xludf.DUMMYFUNCTION("GOOGLETRANSLATE(B8134, ""es"", ""en"")"),"As expected, comfortable and pretty comfortable.")</f>
        <v>As expected, comfortable and pretty comfortable.</v>
      </c>
    </row>
    <row r="8135">
      <c r="A8135" s="1">
        <v>5.0</v>
      </c>
      <c r="B8135" s="1" t="s">
        <v>8076</v>
      </c>
      <c r="C8135" t="str">
        <f>IFERROR(__xludf.DUMMYFUNCTION("GOOGLETRANSLATE(B8135, ""es"", ""en"")"),"Brilliant original boots, of course, and are extremely comfortable. Typical winter shoes you wear every day.")</f>
        <v>Brilliant original boots, of course, and are extremely comfortable. Typical winter shoes you wear every day.</v>
      </c>
    </row>
    <row r="8136">
      <c r="A8136" s="1">
        <v>5.0</v>
      </c>
      <c r="B8136" s="1" t="s">
        <v>8077</v>
      </c>
      <c r="C8136" t="str">
        <f>IFERROR(__xludf.DUMMYFUNCTION("GOOGLETRANSLATE(B8136, ""es"", ""en"")"),"Very good. Correct transaction without problem. Thank you.")</f>
        <v>Very good. Correct transaction without problem. Thank you.</v>
      </c>
    </row>
    <row r="8137">
      <c r="A8137" s="1">
        <v>5.0</v>
      </c>
      <c r="B8137" s="1" t="s">
        <v>8078</v>
      </c>
      <c r="C8137" t="str">
        <f>IFERROR(__xludf.DUMMYFUNCTION("GOOGLETRANSLATE(B8137, ""es"", ""en"")"),"Very good original and authentic comodasimas.")</f>
        <v>Very good original and authentic comodasimas.</v>
      </c>
    </row>
    <row r="8138">
      <c r="A8138" s="1">
        <v>5.0</v>
      </c>
      <c r="B8138" s="1" t="s">
        <v>8079</v>
      </c>
      <c r="C8138" t="str">
        <f>IFERROR(__xludf.DUMMYFUNCTION("GOOGLETRANSLATE(B8138, ""es"", ""en"")"),"Headphones for sports headset comfortable and ideal for sports. They work very well and the battery lasts enough. Q one thing differentiates them from others is the strip that comes, which is ideal for sports with them and q you will not fall")</f>
        <v>Headphones for sports headset comfortable and ideal for sports. They work very well and the battery lasts enough. Q one thing differentiates them from others is the strip that comes, which is ideal for sports with them and q you will not fall</v>
      </c>
    </row>
    <row r="8139">
      <c r="A8139" s="1">
        <v>5.0</v>
      </c>
      <c r="B8139" s="1" t="s">
        <v>8080</v>
      </c>
      <c r="C8139" t="str">
        <f>IFERROR(__xludf.DUMMYFUNCTION("GOOGLETRANSLATE(B8139, ""es"", ""en"")"),"I love!! The shirt is nicer than it looks in the picture, the fabric is very soft and looks good. Perfect!!")</f>
        <v>I love!! The shirt is nicer than it looks in the picture, the fabric is very soft and looks good. Perfect!!</v>
      </c>
    </row>
    <row r="8140">
      <c r="A8140" s="1">
        <v>5.0</v>
      </c>
      <c r="B8140" s="1" t="s">
        <v>8081</v>
      </c>
      <c r="C8140" t="str">
        <f>IFERROR(__xludf.DUMMYFUNCTION("GOOGLETRANSLATE(B8140, ""es"", ""en"")"),"Good sound, comfort and battery The best of these headphones is sound. Had already heard the audio of the products of this brand is quality but these headphones for the price they have is impressive. Both low and treble perform very well even with high vo"&amp;"lume. In addition, they isolated from external noises. Either in comfort short stay, perfectly they fit the ear and not fall or in the gym. The touch control is quite accomplished. As for the battery, the first charge lasted me 3 days with moderate use, w"&amp;"hich is more than acceptable. The box that comes to save and load is very handy to protect them and you can not miss when away from home or use yourself you run out of battery. The case fits in your pocket and transported well. Overall I'm pretty satisfie"&amp;"d with the product, highly recommended.")</f>
        <v>Good sound, comfort and battery The best of these headphones is sound. Had already heard the audio of the products of this brand is quality but these headphones for the price they have is impressive. Both low and treble perform very well even with high volume. In addition, they isolated from external noises. Either in comfort short stay, perfectly they fit the ear and not fall or in the gym. The touch control is quite accomplished. As for the battery, the first charge lasted me 3 days with moderate use, which is more than acceptable. The box that comes to save and load is very handy to protect them and you can not miss when away from home or use yourself you run out of battery. The case fits in your pocket and transported well. Overall I'm pretty satisfied with the product, highly recommended.</v>
      </c>
    </row>
    <row r="8141">
      <c r="A8141" s="1">
        <v>5.0</v>
      </c>
      <c r="B8141" s="1" t="s">
        <v>8082</v>
      </c>
      <c r="C8141" t="str">
        <f>IFERROR(__xludf.DUMMYFUNCTION("GOOGLETRANSLATE(B8141, ""es"", ""en"")"),"Power is very powerful and easy to use'm very happy with the purchase. I recommend it.")</f>
        <v>Power is very powerful and easy to use'm very happy with the purchase. I recommend it.</v>
      </c>
    </row>
    <row r="8142">
      <c r="A8142" s="1">
        <v>5.0</v>
      </c>
      <c r="B8142" s="1" t="s">
        <v>8083</v>
      </c>
      <c r="C8142" t="str">
        <f>IFERROR(__xludf.DUMMYFUNCTION("GOOGLETRANSLATE(B8142, ""es"", ""en"")"),"Highly Recommended listening true that great but the only bad thing is what holds it is released quite often but I think that I touched by that I tried worked perfectly above all highly recommended the truth")</f>
        <v>Highly Recommended listening true that great but the only bad thing is what holds it is released quite often but I think that I touched by that I tried worked perfectly above all highly recommended the truth</v>
      </c>
    </row>
    <row r="8143">
      <c r="A8143" s="1">
        <v>2.0</v>
      </c>
      <c r="B8143" s="1" t="s">
        <v>8084</v>
      </c>
      <c r="C8143" t="str">
        <f>IFERROR(__xludf.DUMMYFUNCTION("GOOGLETRANSLATE(B8143, ""es"", ""en"")"),"Very nice but are easily damaged are very cool and very comfortable. I had to return a few because the edges are lifted off very quickly and they feel the same. I have them in white and over, because it will turn yellow glue out I guess. Not repeat in thi"&amp;"s color. Attached a picture with them freshly laundered. Now they have almost 3 months.")</f>
        <v>Very nice but are easily damaged are very cool and very comfortable. I had to return a few because the edges are lifted off very quickly and they feel the same. I have them in white and over, because it will turn yellow glue out I guess. Not repeat in this color. Attached a picture with them freshly laundered. Now they have almost 3 months.</v>
      </c>
    </row>
    <row r="8144">
      <c r="A8144" s="1">
        <v>3.0</v>
      </c>
      <c r="B8144" s="1" t="s">
        <v>8085</v>
      </c>
      <c r="C8144" t="str">
        <f>IFERROR(__xludf.DUMMYFUNCTION("GOOGLETRANSLATE(B8144, ""es"", ""en"")"),"Gusben within expectations")</f>
        <v>Gusben within expectations</v>
      </c>
    </row>
    <row r="8145">
      <c r="A8145" s="1">
        <v>1.0</v>
      </c>
      <c r="B8145" s="1" t="s">
        <v>8086</v>
      </c>
      <c r="C8145" t="str">
        <f>IFERROR(__xludf.DUMMYFUNCTION("GOOGLETRANSLATE(B8145, ""es"", ""en"")"),"2 of 10 are damaged can not record anything in 2 of them, and the truth is worth money as to fail Oct. 2.")</f>
        <v>2 of 10 are damaged can not record anything in 2 of them, and the truth is worth money as to fail Oct. 2.</v>
      </c>
    </row>
    <row r="8146">
      <c r="A8146" s="1">
        <v>1.0</v>
      </c>
      <c r="B8146" s="1" t="s">
        <v>8087</v>
      </c>
      <c r="C8146" t="str">
        <f>IFERROR(__xludf.DUMMYFUNCTION("GOOGLETRANSLATE(B8146, ""es"", ""en"")"),"It serves no good is too slow or low and does not serve for a fourth cuadranos 2 meters and is too loud for the little or nothing q serves a mistake buying")</f>
        <v>It serves no good is too slow or low and does not serve for a fourth cuadranos 2 meters and is too loud for the little or nothing q serves a mistake buying</v>
      </c>
    </row>
    <row r="8147">
      <c r="A8147" s="1">
        <v>1.0</v>
      </c>
      <c r="B8147" s="1" t="s">
        <v>8088</v>
      </c>
      <c r="C8147" t="str">
        <f>IFERROR(__xludf.DUMMYFUNCTION("GOOGLETRANSLATE(B8147, ""es"", ""en"")"),"Horrible bottle is best take my daughter, but it's horrible because it leaves the milk is maddening thread and pass it on. I will return and buy another for if I have this flawed, but for now do not recommend it.")</f>
        <v>Horrible bottle is best take my daughter, but it's horrible because it leaves the milk is maddening thread and pass it on. I will return and buy another for if I have this flawed, but for now do not recommend it.</v>
      </c>
    </row>
    <row r="8148">
      <c r="A8148" s="1">
        <v>4.0</v>
      </c>
      <c r="B8148" s="1" t="s">
        <v>8089</v>
      </c>
      <c r="C8148" t="str">
        <f>IFERROR(__xludf.DUMMYFUNCTION("GOOGLETRANSLATE(B8148, ""es"", ""en"")"),"Very good buy. We purchased the product a week ago, to being summer and have the windows open we have not yet seen it work at full capacity. It is very easy to use, we have added essential oils and smell great. Our girl has a very light sleeper and so the"&amp;" humidifier does not even bother.")</f>
        <v>Very good buy. We purchased the product a week ago, to being summer and have the windows open we have not yet seen it work at full capacity. It is very easy to use, we have added essential oils and smell great. Our girl has a very light sleeper and so the humidifier does not even bother.</v>
      </c>
    </row>
    <row r="8149">
      <c r="A8149" s="1">
        <v>4.0</v>
      </c>
      <c r="B8149" s="1" t="s">
        <v>8090</v>
      </c>
      <c r="C8149" t="str">
        <f>IFERROR(__xludf.DUMMYFUNCTION("GOOGLETRANSLATE(B8149, ""es"", ""en"")"),"Very practical and compact adequate size, which I like, is the subject that, with a simple Gito from the back, have on hand to take your camera.")</f>
        <v>Very practical and compact adequate size, which I like, is the subject that, with a simple Gito from the back, have on hand to take your camera.</v>
      </c>
    </row>
    <row r="8150">
      <c r="A8150" s="1">
        <v>4.0</v>
      </c>
      <c r="B8150" s="1" t="s">
        <v>8091</v>
      </c>
      <c r="C8150" t="str">
        <f>IFERROR(__xludf.DUMMYFUNCTION("GOOGLETRANSLATE(B8150, ""es"", ""en"")"),"Its good product capacity and small size occupies very pocorspacio can be on your keychain")</f>
        <v>Its good product capacity and small size occupies very pocorspacio can be on your keychain</v>
      </c>
    </row>
    <row r="8151">
      <c r="A8151" s="1">
        <v>4.0</v>
      </c>
      <c r="B8151" s="1" t="s">
        <v>5503</v>
      </c>
      <c r="C8151" t="str">
        <f>IFERROR(__xludf.DUMMYFUNCTION("GOOGLETRANSLATE(B8151, ""es"", ""en"")"),"perfect Good")</f>
        <v>perfect Good</v>
      </c>
    </row>
    <row r="8152">
      <c r="A8152" s="1">
        <v>4.0</v>
      </c>
      <c r="B8152" s="1" t="s">
        <v>8092</v>
      </c>
      <c r="C8152" t="str">
        <f>IFERROR(__xludf.DUMMYFUNCTION("GOOGLETRANSLATE(B8152, ""es"", ""en"")"),"Bambas platform veaniegas though carved Very fair")</f>
        <v>Bambas platform veaniegas though carved Very fair</v>
      </c>
    </row>
    <row r="8153">
      <c r="A8153" s="1">
        <v>5.0</v>
      </c>
      <c r="B8153" s="1" t="s">
        <v>8093</v>
      </c>
      <c r="C8153" t="str">
        <f>IFERROR(__xludf.DUMMYFUNCTION("GOOGLETRANSLATE(B8153, ""es"", ""en"")"),"Good quality / price Perfect, all right")</f>
        <v>Good quality / price Perfect, all right</v>
      </c>
    </row>
    <row r="8154">
      <c r="A8154" s="1">
        <v>5.0</v>
      </c>
      <c r="B8154" s="1" t="s">
        <v>8094</v>
      </c>
      <c r="C8154" t="str">
        <f>IFERROR(__xludf.DUMMYFUNCTION("GOOGLETRANSLATE(B8154, ""es"", ""en"")"),"Value relationship are very well priced and good quality seem")</f>
        <v>Value relationship are very well priced and good quality seem</v>
      </c>
    </row>
    <row r="8155">
      <c r="A8155" s="1">
        <v>5.0</v>
      </c>
      <c r="B8155" s="1" t="s">
        <v>8095</v>
      </c>
      <c r="C8155" t="str">
        <f>IFERROR(__xludf.DUMMYFUNCTION("GOOGLETRANSLATE(B8155, ""es"", ""en"")"),"Capacity and price is a practical, small enough capacity and product")</f>
        <v>Capacity and price is a practical, small enough capacity and product</v>
      </c>
    </row>
    <row r="8156">
      <c r="A8156" s="1">
        <v>5.0</v>
      </c>
      <c r="B8156" s="1" t="s">
        <v>8096</v>
      </c>
      <c r="C8156" t="str">
        <f>IFERROR(__xludf.DUMMYFUNCTION("GOOGLETRANSLATE(B8156, ""es"", ""en"")"),"Very nice design and very comfortable with different measures inside for 1,2 and 3 cups. lovely design")</f>
        <v>Very nice design and very comfortable with different measures inside for 1,2 and 3 cups. lovely design</v>
      </c>
    </row>
    <row r="8157">
      <c r="A8157" s="1">
        <v>5.0</v>
      </c>
      <c r="B8157" s="1" t="s">
        <v>8097</v>
      </c>
      <c r="C8157" t="str">
        <f>IFERROR(__xludf.DUMMYFUNCTION("GOOGLETRANSLATE(B8157, ""es"", ""en"")"),"Very Comfortable shoes very comfortable design to put on and wear. Pleasant sensation in the feet.")</f>
        <v>Very Comfortable shoes very comfortable design to put on and wear. Pleasant sensation in the feet.</v>
      </c>
    </row>
    <row r="8158">
      <c r="A8158" s="1">
        <v>5.0</v>
      </c>
      <c r="B8158" s="1" t="s">
        <v>8098</v>
      </c>
      <c r="C8158" t="str">
        <f>IFERROR(__xludf.DUMMYFUNCTION("GOOGLETRANSLATE(B8158, ""es"", ""en"")"),"I'm happy if I liked is as expected")</f>
        <v>I'm happy if I liked is as expected</v>
      </c>
    </row>
    <row r="8159">
      <c r="A8159" s="1">
        <v>5.0</v>
      </c>
      <c r="B8159" s="1" t="s">
        <v>8099</v>
      </c>
      <c r="C8159" t="str">
        <f>IFERROR(__xludf.DUMMYFUNCTION("GOOGLETRANSLATE(B8159, ""es"", ""en"")"),"Perfect great that, 100% recommended")</f>
        <v>Perfect great that, 100% recommended</v>
      </c>
    </row>
    <row r="8160">
      <c r="A8160" s="1">
        <v>5.0</v>
      </c>
      <c r="B8160" s="1" t="s">
        <v>8100</v>
      </c>
      <c r="C8160" t="str">
        <f>IFERROR(__xludf.DUMMYFUNCTION("GOOGLETRANSLATE(B8160, ""es"", ""en"")"),"Unbeatable for short trips and / or daily to gym, pool, etc. If you organize well it is a bag more than enough to travel 3 or 4 days. Excellent quality / price.")</f>
        <v>Unbeatable for short trips and / or daily to gym, pool, etc. If you organize well it is a bag more than enough to travel 3 or 4 days. Excellent quality / price.</v>
      </c>
    </row>
    <row r="8161">
      <c r="A8161" s="1">
        <v>5.0</v>
      </c>
      <c r="B8161" s="1" t="s">
        <v>8101</v>
      </c>
      <c r="C8161" t="str">
        <f>IFERROR(__xludf.DUMMYFUNCTION("GOOGLETRANSLATE(B8161, ""es"", ""en"")"),"Belt running / hiking. Good materials and comfortable with this belt have no problem running lengthen routes, always bringing me a bottle of fresh water. It is true that the weighing bottle and must be used to take when it trots. In my case I usually tip "&amp;"the belt so that the bottle is at the back and going well. The pockets are very practical, the great for mobile and small coin stick. Recommended.")</f>
        <v>Belt running / hiking. Good materials and comfortable with this belt have no problem running lengthen routes, always bringing me a bottle of fresh water. It is true that the weighing bottle and must be used to take when it trots. In my case I usually tip the belt so that the bottle is at the back and going well. The pockets are very practical, the great for mobile and small coin stick. Recommended.</v>
      </c>
    </row>
    <row r="8162">
      <c r="A8162" s="1">
        <v>5.0</v>
      </c>
      <c r="B8162" s="1" t="s">
        <v>8102</v>
      </c>
      <c r="C8162" t="str">
        <f>IFERROR(__xludf.DUMMYFUNCTION("GOOGLETRANSLATE(B8162, ""es"", ""en"")"),"It is very nice is a good gift at a good price")</f>
        <v>It is very nice is a good gift at a good price</v>
      </c>
    </row>
    <row r="8163">
      <c r="A8163" s="1">
        <v>5.0</v>
      </c>
      <c r="B8163" s="1" t="s">
        <v>8103</v>
      </c>
      <c r="C8163" t="str">
        <f>IFERROR(__xludf.DUMMYFUNCTION("GOOGLETRANSLATE(B8163, ""es"", ""en"")"),"It smells clean and smells limipio pretty smell lingers")</f>
        <v>It smells clean and smells limipio pretty smell lingers</v>
      </c>
    </row>
    <row r="8164">
      <c r="A8164" s="1">
        <v>5.0</v>
      </c>
      <c r="B8164" s="1" t="s">
        <v>8104</v>
      </c>
      <c r="C8164" t="str">
        <f>IFERROR(__xludf.DUMMYFUNCTION("GOOGLETRANSLATE(B8164, ""es"", ""en"")"),"Very comfortable and beautiful very comfortable and nice, the would buy")</f>
        <v>Very comfortable and beautiful very comfortable and nice, the would buy</v>
      </c>
    </row>
    <row r="8165">
      <c r="A8165" s="1">
        <v>5.0</v>
      </c>
      <c r="B8165" s="1" t="s">
        <v>8105</v>
      </c>
      <c r="C8165" t="str">
        <f>IFERROR(__xludf.DUMMYFUNCTION("GOOGLETRANSLATE(B8165, ""es"", ""en"")"),"Ochentero truly excellent watch. I bought led by nostalgia and I met again with a true classic, the closest ancestor of the legendary f91-w, but with better resistance to water. It is incredibly lightweight and comfortable, you can easily forget that you "&amp;"take, and holds up well water and light blows of everyday use. Something small for today's tastes, but compensates with its comfort and its retro air.")</f>
        <v>Ochentero truly excellent watch. I bought led by nostalgia and I met again with a true classic, the closest ancestor of the legendary f91-w, but with better resistance to water. It is incredibly lightweight and comfortable, you can easily forget that you take, and holds up well water and light blows of everyday use. Something small for today's tastes, but compensates with its comfort and its retro air.</v>
      </c>
    </row>
    <row r="8166">
      <c r="A8166" s="1">
        <v>5.0</v>
      </c>
      <c r="B8166" s="1" t="s">
        <v>8106</v>
      </c>
      <c r="C8166" t="str">
        <f>IFERROR(__xludf.DUMMYFUNCTION("GOOGLETRANSLATE(B8166, ""es"", ""en"")"),"Very cool Perfectas")</f>
        <v>Very cool Perfectas</v>
      </c>
    </row>
    <row r="8167">
      <c r="A8167" s="1">
        <v>5.0</v>
      </c>
      <c r="B8167" s="1" t="s">
        <v>8107</v>
      </c>
      <c r="C8167" t="str">
        <f>IFERROR(__xludf.DUMMYFUNCTION("GOOGLETRANSLATE(B8167, ""es"", ""en"")"),"Very good product Good product, good quality. I am very happy with this purchase worthwhile. The size fits perfectly, I bought a 43 and did not notice the difference at all with my other shoes.")</f>
        <v>Very good product Good product, good quality. I am very happy with this purchase worthwhile. The size fits perfectly, I bought a 43 and did not notice the difference at all with my other shoes.</v>
      </c>
    </row>
    <row r="8168">
      <c r="A8168" s="1">
        <v>5.0</v>
      </c>
      <c r="B8168" s="1" t="s">
        <v>8108</v>
      </c>
      <c r="C8168" t="str">
        <f>IFERROR(__xludf.DUMMYFUNCTION("GOOGLETRANSLATE(B8168, ""es"", ""en"")"),"Stupendous Fantasticas")</f>
        <v>Stupendous Fantasticas</v>
      </c>
    </row>
    <row r="8169">
      <c r="A8169" s="1">
        <v>5.0</v>
      </c>
      <c r="B8169" s="1" t="s">
        <v>8109</v>
      </c>
      <c r="C8169" t="str">
        <f>IFERROR(__xludf.DUMMYFUNCTION("GOOGLETRANSLATE(B8169, ""es"", ""en"")"),"Barsto Best buy of my life in the running q to refer")</f>
        <v>Barsto Best buy of my life in the running q to refer</v>
      </c>
    </row>
    <row r="8170">
      <c r="A8170" s="1">
        <v>5.0</v>
      </c>
      <c r="B8170" s="1" t="s">
        <v>8110</v>
      </c>
      <c r="C8170" t="str">
        <f>IFERROR(__xludf.DUMMYFUNCTION("GOOGLETRANSLATE(B8170, ""es"", ""en"")"),"excellent seller I were a little larger than expected, but the seller was very helpful.")</f>
        <v>excellent seller I were a little larger than expected, but the seller was very helpful.</v>
      </c>
    </row>
    <row r="8171">
      <c r="A8171" s="1">
        <v>5.0</v>
      </c>
      <c r="B8171" s="1" t="s">
        <v>8111</v>
      </c>
      <c r="C8171" t="str">
        <f>IFERROR(__xludf.DUMMYFUNCTION("GOOGLETRANSLATE(B8171, ""es"", ""en"")"),"Great price comfortable use.")</f>
        <v>Great price comfortable use.</v>
      </c>
    </row>
    <row r="8172">
      <c r="A8172" s="1">
        <v>2.0</v>
      </c>
      <c r="B8172" s="1" t="s">
        <v>8112</v>
      </c>
      <c r="C8172" t="str">
        <f>IFERROR(__xludf.DUMMYFUNCTION("GOOGLETRANSLATE(B8172, ""es"", ""en"")"),"Not satisfactory. I needed to see data collectible stamps. It is not very precise and does not cover my wishes. In addition came the open packaging.")</f>
        <v>Not satisfactory. I needed to see data collectible stamps. It is not very precise and does not cover my wishes. In addition came the open packaging.</v>
      </c>
    </row>
    <row r="8173">
      <c r="A8173" s="1">
        <v>3.0</v>
      </c>
      <c r="B8173" s="1" t="s">
        <v>8113</v>
      </c>
      <c r="C8173" t="str">
        <f>IFERROR(__xludf.DUMMYFUNCTION("GOOGLETRANSLATE(B8173, ""es"", ""en"")"),"Not nice not you liked and we had to return without problem ...")</f>
        <v>Not nice not you liked and we had to return without problem ...</v>
      </c>
    </row>
    <row r="8174">
      <c r="A8174" s="1">
        <v>3.0</v>
      </c>
      <c r="B8174" s="1" t="s">
        <v>8114</v>
      </c>
      <c r="C8174" t="str">
        <f>IFERROR(__xludf.DUMMYFUNCTION("GOOGLETRANSLATE(B8174, ""es"", ""en"")"),"The best I bought this leather is hard not to end my love me and fits the wallet and not much truth")</f>
        <v>The best I bought this leather is hard not to end my love me and fits the wallet and not much truth</v>
      </c>
    </row>
    <row r="8175">
      <c r="A8175" s="1">
        <v>3.0</v>
      </c>
      <c r="B8175" s="1" t="s">
        <v>8115</v>
      </c>
      <c r="C8175" t="str">
        <f>IFERROR(__xludf.DUMMYFUNCTION("GOOGLETRANSLATE(B8175, ""es"", ""en"")"),"Ni fu, ni fa After a year of intense research, analysis, reading of opinions, reviews and other articles related to the topic headphones, I decided to try my luck with Beyerdynamic. I had read that they were superb and the best choice if you are looking f"&amp;"or work in a studio and dispense monitors. After gobbling all the information in my head these headphones would be materialized perfection. And I must say that I take a disappointment. I do not know if the headphones are ill, or have some kind of failure "&amp;"but do not sound exceptionally good, acceptable and sound and have a certain spacing between sounds but honestly has not excited me. Usually they do some sizzle when the cable moves and I think the bass are fairly saturated in general. My idea was to buy "&amp;"them and use them for mixing and production and thus not to use both monitors and disturbing the neighbors, and I must say that in this respect have not won anything. 3-star lead because they are super comfortable and within what fits, because once paid n"&amp;"o choice but to use them.")</f>
        <v>Ni fu, ni fa After a year of intense research, analysis, reading of opinions, reviews and other articles related to the topic headphones, I decided to try my luck with Beyerdynamic. I had read that they were superb and the best choice if you are looking for work in a studio and dispense monitors. After gobbling all the information in my head these headphones would be materialized perfection. And I must say that I take a disappointment. I do not know if the headphones are ill, or have some kind of failure but do not sound exceptionally good, acceptable and sound and have a certain spacing between sounds but honestly has not excited me. Usually they do some sizzle when the cable moves and I think the bass are fairly saturated in general. My idea was to buy them and use them for mixing and production and thus not to use both monitors and disturbing the neighbors, and I must say that in this respect have not won anything. 3-star lead because they are super comfortable and within what fits, because once paid no choice but to use them.</v>
      </c>
    </row>
    <row r="8176">
      <c r="A8176" s="1">
        <v>1.0</v>
      </c>
      <c r="B8176" s="1" t="s">
        <v>8116</v>
      </c>
      <c r="C8176" t="str">
        <f>IFERROR(__xludf.DUMMYFUNCTION("GOOGLETRANSLATE(B8176, ""es"", ""en"")"),"¿False? The missing strands and templates platilla is cut in half, (not comfortable platillas classic sport). Do not bring the two sets of laces, black and yellow, single comes with blacks. NO are marked on the side as true.")</f>
        <v>¿False? The missing strands and templates platilla is cut in half, (not comfortable platillas classic sport). Do not bring the two sets of laces, black and yellow, single comes with blacks. NO are marked on the side as true.</v>
      </c>
    </row>
    <row r="8177">
      <c r="A8177" s="1">
        <v>1.0</v>
      </c>
      <c r="B8177" s="1" t="s">
        <v>8117</v>
      </c>
      <c r="C8177" t="str">
        <f>IFERROR(__xludf.DUMMYFUNCTION("GOOGLETRANSLATE(B8177, ""es"", ""en"")"),"Moisure A few days after I entered it to have moisture and stopped working")</f>
        <v>Moisure A few days after I entered it to have moisture and stopped working</v>
      </c>
    </row>
    <row r="8178">
      <c r="A8178" s="1">
        <v>4.0</v>
      </c>
      <c r="B8178" s="1" t="s">
        <v>8118</v>
      </c>
      <c r="C8178" t="str">
        <f>IFERROR(__xludf.DUMMYFUNCTION("GOOGLETRANSLATE(B8178, ""es"", ""en"")"),"Meet the shoe meets all putting, sole, toe, the finish is good, to emphasize the interior is very comfortable from the start, wide size is fine, long is a little more than used it to size and are not heavy. By get any hits, the presentation is bad (come i"&amp;"n a bag) and perhaps could be a little more breathable, sacrificing some strength in the tissue is very tough, yet tested in heat wave and smooth foot dry to the end of the day.")</f>
        <v>Meet the shoe meets all putting, sole, toe, the finish is good, to emphasize the interior is very comfortable from the start, wide size is fine, long is a little more than used it to size and are not heavy. By get any hits, the presentation is bad (come in a bag) and perhaps could be a little more breathable, sacrificing some strength in the tissue is very tough, yet tested in heat wave and smooth foot dry to the end of the day.</v>
      </c>
    </row>
    <row r="8179">
      <c r="A8179" s="1">
        <v>4.0</v>
      </c>
      <c r="B8179" s="1" t="s">
        <v>8119</v>
      </c>
      <c r="C8179" t="str">
        <f>IFERROR(__xludf.DUMMYFUNCTION("GOOGLETRANSLATE(B8179, ""es"", ""en"")"),"Good memory flash. I use a second and a third, ... wait for price drop.")</f>
        <v>Good memory flash. I use a second and a third, ... wait for price drop.</v>
      </c>
    </row>
    <row r="8180">
      <c r="A8180" s="1">
        <v>4.0</v>
      </c>
      <c r="B8180" s="1" t="s">
        <v>8120</v>
      </c>
      <c r="C8180" t="str">
        <f>IFERROR(__xludf.DUMMYFUNCTION("GOOGLETRANSLATE(B8180, ""es"", ""en"")"),"Right (more or less) all right as the description says removing that came without two of the gums support as seen in the photos, and both it brings are so small that touches metal table, giving the feeling of being able to scratch .")</f>
        <v>Right (more or less) all right as the description says removing that came without two of the gums support as seen in the photos, and both it brings are so small that touches metal table, giving the feeling of being able to scratch .</v>
      </c>
    </row>
    <row r="8181">
      <c r="A8181" s="1">
        <v>4.0</v>
      </c>
      <c r="B8181" s="1" t="s">
        <v>8121</v>
      </c>
      <c r="C8181" t="str">
        <f>IFERROR(__xludf.DUMMYFUNCTION("GOOGLETRANSLATE(B8181, ""es"", ""en"")"),"Meets expectations Reasonable value. Simple and elegant. For those who do not need watches with too many features, huge, apparent or overly complicated.")</f>
        <v>Meets expectations Reasonable value. Simple and elegant. For those who do not need watches with too many features, huge, apparent or overly complicated.</v>
      </c>
    </row>
    <row r="8182">
      <c r="A8182" s="1">
        <v>5.0</v>
      </c>
      <c r="B8182" s="1" t="s">
        <v>8122</v>
      </c>
      <c r="C8182" t="str">
        <f>IFERROR(__xludf.DUMMYFUNCTION("GOOGLETRANSLATE(B8182, ""es"", ""en"")"),"Perfect beautiful and comfortable shoes. In my case I bought to work 8 hours a day standing in cleaning sector. I am very happy with the purchase. Very fast shipping.")</f>
        <v>Perfect beautiful and comfortable shoes. In my case I bought to work 8 hours a day standing in cleaning sector. I am very happy with the purchase. Very fast shipping.</v>
      </c>
    </row>
    <row r="8183">
      <c r="A8183" s="1">
        <v>5.0</v>
      </c>
      <c r="B8183" s="1" t="s">
        <v>8123</v>
      </c>
      <c r="C8183" t="str">
        <f>IFERROR(__xludf.DUMMYFUNCTION("GOOGLETRANSLATE(B8183, ""es"", ""en"")"),"Quality pays &lt;div id = ""video-block-R1B306Y9TNYUVM"" class = ""a-section a-spacing-small a-spacing-top mini video-block""&gt; &lt;/ div&gt; &lt;input type = ""hidden"" name = """" value = ""https://images-eu.ssl-images-amazon.com/images/I/B14M-R39MXS.mp4"" class = "&amp;"""video-url""&gt; &lt;input type = ""hidden"" name = "" ""value ="" https://images-eu.ssl-images-amazon.com/images/I/712hd1LuM5S.png ""class ="" video-slate-img-url ""&gt; &amp; nbsp; Tired of imitations I buy every year I decided this time for this model. Valen twice"&amp;" which I usually buy but the fact that only remove them from the bag and I realized that they are better. A touch are soft, the rubber is not weak, the toe somewhat thicker and in my case with wide ventilation slits, the inner sole with dots (comfort and "&amp;"grip), I think the band heel grips properly because I like only feel when bending the foot. I'm wide instep and I are fine. Perfect size. They look at the last few years old less. He came in one day and just kept in a bag. I hope this information was help"&amp;"ful")</f>
        <v>Quality pays &lt;div id = "video-block-R1B306Y9TNYUVM" class = "a-section a-spacing-small a-spacing-top mini video-block"&gt; &lt;/ div&gt; &lt;input type = "hidden" name = "" value = "https://images-eu.ssl-images-amazon.com/images/I/B14M-R39MXS.mp4" class = "video-url"&gt; &lt;input type = "hidden" name = " "value =" https://images-eu.ssl-images-amazon.com/images/I/712hd1LuM5S.png "class =" video-slate-img-url "&gt; &amp; nbsp; Tired of imitations I buy every year I decided this time for this model. Valen twice which I usually buy but the fact that only remove them from the bag and I realized that they are better. A touch are soft, the rubber is not weak, the toe somewhat thicker and in my case with wide ventilation slits, the inner sole with dots (comfort and grip), I think the band heel grips properly because I like only feel when bending the foot. I'm wide instep and I are fine. Perfect size. They look at the last few years old less. He came in one day and just kept in a bag. I hope this information was helpful</v>
      </c>
    </row>
    <row r="8184">
      <c r="A8184" s="1">
        <v>5.0</v>
      </c>
      <c r="B8184" s="1" t="s">
        <v>8124</v>
      </c>
      <c r="C8184" t="str">
        <f>IFERROR(__xludf.DUMMYFUNCTION("GOOGLETRANSLATE(B8184, ""es"", ""en"")"),"Capacity, easy installation, speed and security that Samsung brand. This Solid State Drive 1000GB is super-fast, easy to install and features give us the security that will not fail in the short term. Fully recommended.")</f>
        <v>Capacity, easy installation, speed and security that Samsung brand. This Solid State Drive 1000GB is super-fast, easy to install and features give us the security that will not fail in the short term. Fully recommended.</v>
      </c>
    </row>
    <row r="8185">
      <c r="A8185" s="1">
        <v>5.0</v>
      </c>
      <c r="B8185" s="1" t="s">
        <v>8125</v>
      </c>
      <c r="C8185" t="str">
        <f>IFERROR(__xludf.DUMMYFUNCTION("GOOGLETRANSLATE(B8185, ""es"", ""en"")"),"Well, but hello, because the bucket is good and so very recogidito but a large fault it is that which gets and drain the Mocho is quite small and the meter mop remains barred if verifications a little more in diameter the wringer would be perfect.")</f>
        <v>Well, but hello, because the bucket is good and so very recogidito but a large fault it is that which gets and drain the Mocho is quite small and the meter mop remains barred if verifications a little more in diameter the wringer would be perfect.</v>
      </c>
    </row>
    <row r="8186">
      <c r="A8186" s="1">
        <v>5.0</v>
      </c>
      <c r="B8186" s="1" t="s">
        <v>8126</v>
      </c>
      <c r="C8186" t="str">
        <f>IFERROR(__xludf.DUMMYFUNCTION("GOOGLETRANSLATE(B8186, ""es"", ""en"")"),"Magnificas Good shoes, good value. They carve a little long, but narrow turn. Num I recommend half less.")</f>
        <v>Magnificas Good shoes, good value. They carve a little long, but narrow turn. Num I recommend half less.</v>
      </c>
    </row>
    <row r="8187">
      <c r="A8187" s="1">
        <v>5.0</v>
      </c>
      <c r="B8187" s="1" t="s">
        <v>8127</v>
      </c>
      <c r="C8187" t="str">
        <f>IFERROR(__xludf.DUMMYFUNCTION("GOOGLETRANSLATE(B8187, ""es"", ""en"")"),"Calorcito &lt;div id = ""video-block-R2JX6R4QLGWE3S"" class = ""a-section a-spacing-small a-spacing-top mini video-block""&gt; &lt;div tabindex = ""0"" class = ""airy airy-svg vmin -supported airy-skin-beacon ""style ="" background-color: rgb (0, 0, 0) position: r"&amp;"elative; width: 100%; height: 100%; font-size: 0px; overflow: hidden; outline: none; ""&gt; &lt;div class ="" airy-renderer-container ""style ="" position: relative; height: 100%; width: 100%; ""&gt; &lt;video id ="" 7 ""preload ="" auto ""src ="" https : //images-eu"&amp;".ssl-images-amazon.com/images/I/B16ct+gwnmS.mp4 ""style ="" position: absolute; left: 0px; top: 0px; overflow: hidden; height: 1px; width: 1px; ""&gt; &lt;/ video&gt; &lt;/ div&gt; &lt;div id ="" airy-slate-preload ""style ="" background-color: rgb (0, 0, 0); background-im"&amp;"age: url (&amp; quot; https: / /images-eu.ssl-images-amazon.com/images/I/91O7Vw4dRvS.png&amp;quot;); background-size: Contain; background-position: center center; background-repeat: no-repeat; position: absolute; top: 0px; left: 0px; visibility: visible; width: 1"&amp;"00%; height: 100%; ""&gt; &lt;/ div&gt; &lt;iframe scrolling ="" no ""fr ameborder = ""0"" src = ""about: blank"" style = ""display: none;""&gt; &lt;/ iframe&gt; &lt;div tabindex = ""- 1"" class = ""airy-controls-container"" style = ""opacity: 0; visibility: hidden; ""&gt; &lt;div tab"&amp;"index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airy-o"&amp;"n ""&gt; &lt;/ div&gt; &lt;div tabindex ="" - 1 ""class ="" airy-audio-container ""style = ""opacity: 0; visibility: hidden; ""&gt; &lt;div tabindex ="" - 1 ""class ="" airy-audio-track-bar ""style ="" height: 80%; ""&gt; &lt;div tabindex ="" - 1 ""class ="" airy-audio- Scrubber"&amp;"-bar ""style ="" height: 85%; ""&gt; &lt;/ div&gt; &lt;div tabindex ="" - 1 ""class ="" airy-audio-scrubber ""style ="" height: 12px; bottom: 85% ""&gt; &lt;/ div&gt; &lt;/ div&gt; &lt;/ div&gt; &lt;/ div&gt; &lt;div tabindex ="" - 1 ""class ="" airy-duration-label ""style ="" float: right; width"&amp;": 26px; margin-right: 4px; text-align: center; ""&gt; 0:00 &lt;/ div&gt; &lt;div tabindex ="" - 1 ""class ="" airy-track-bar-spacer-right ""style ="" float: right; width: 11px; ""&gt; &lt;/ div&gt; &lt;div tabindex ="" - 1 ""class ="" airy-track-bar-container ""style ="" margin-"&amp;"left: 35px; margin-right: 75px; ""&gt; &lt;div tabindex ="" - 1 ""class ="" airy-airy-track-bar vertically-centering-table ""&gt; &lt;div tabindex ="" - 1 ""class ="" airy-Vertical-centering- table-cell ""&gt; &lt;div tabindex ="" - 1 ""class ="" airy-track-bar-elements """&amp;"&gt; &lt;div tabindex ="" - 1 ""class ="" airy-progress-bar ""&gt; &lt;/ div&gt; &lt;div tabindex = ""- 1"" class = ""airy-scrubber-bar""&gt; &lt;/ div&gt; &lt;div tabindex = ""- 1"" class = ""airy-scrubber""&gt; &lt;div tabindex = ""- 1"" class = ""airy-scrubber- icon ""&gt; &lt;/ div&gt; &lt;div tabi"&amp;"ndex ="" - 1 ""class ="" airy-adjusted-AUI-tooltip ""style ="" opacity: 0; visibility: hidden; ""&gt; &lt;div tabindex ="" - 1 ""class ="" airy-adjusted-aui-tooltip-inner ""&gt; &lt;div tabindex ="" - 1 ""class ="" airy-current-time-label ""&gt; 0: 00 &lt;/ div&gt; &lt;/ div&gt; &lt;d"&amp;"iv tabindex = ""- 1"" class = ""airy-adjusted-AUI-arrow-border""&gt; &lt;div tabindex = ""- 1"" class = ""airy-adjusted-AUI-arrow"" &gt; &lt;/ div&gt; &lt;/ div&gt; &lt;/ div&gt; &lt;/ div&gt; &lt;/ div&gt; &lt;/ div&gt; &lt;/ div&gt; &lt;/ div&gt; &lt;/ div&gt; &lt;/ div&gt; &lt;div tabindex = ""- 1"" class = ""airy-age-gate"&amp;" airy-stage airy-Vertical-centering-table airy-dialog"" style = ""opacity: 0; visibility: hidden; ""&gt; &lt;div tabindex ="" - 1 ""class ="" airy-age-gate-Vertical-centering-table-cell airy-Vertical-centering-table-cell ""&gt; &lt;div tabindex ="" - 1 ""class = ""ai"&amp;"ry-Vertical-centering-wrapper airy-age-gate-elements-wrapper""&gt; &lt;div tabindex = ""- 1"" class = ""airy-age-gate-elements airy-dialog-elements""&gt; &lt;div tabindex = "" -1 ""class ="" airy-age-gate-prompt ""&gt; This video is not Intended for all audiences What d"&amp;"ate were you born &lt;/ div&gt; &lt;div tabindex =.?"" - 1 ""class ="" airy-age-gate -inputs airy-dialog-inner-elements ""&gt; &lt;select tabindex ="" - 1 ""class ="" airy-age-gate-month ""&gt; &lt;option value ="" 1 ""&gt; January &lt;/ option&gt; &lt;option value ="" 2 ""&gt; February &lt;/ "&amp;"option&gt; &lt;option value ="" 3 ""&gt; March &lt;/ option&gt; &lt;option value ="" 4 ""&gt; April &lt;/ option&gt; &lt;option value ="" 5 ""&gt; May &lt;/ option&gt; &lt;option value = ""6""&gt; June &lt;/ option&gt; &lt;option value = ""7""&gt; July &lt;/ option&gt; &lt;option value = ""8""&gt; August &lt;/ option&gt; &lt;option"&amp;" value = ""9""&gt; September &lt;/ option&gt; &lt;option value = ""10""&gt; October &lt;/ option&gt; &lt;option value = ""11""&gt; November &lt;/ option&gt; &lt;option value = ""12""&gt; December &lt;/ option&gt; &lt;/ select&gt; &lt;select tabindex = ""- 1"" class = ""airy-age-gate-day""&gt; &lt;opti on value = "&amp;"""1""&gt; 1 &lt;/ option&gt; &lt;option value = ""2""&gt; 2 &lt;/ option&gt; &lt;option value = ""3""&gt; 3 &lt;/ option&gt; &lt;option value = ""4""&gt; 4 &lt;/ option &gt; &lt;option value = ""5""&gt; 5 &lt;/ option&gt; &lt;option value = ""6""&gt; 6 &lt;/ option&gt; &lt;option value = ""7""&gt; 7 &lt;/ option&gt; &lt;option value = """&amp;"8""&gt; 8 &lt; / option&gt; &lt;option value = ""9""&gt; 9 &lt;/ option&gt; &lt;option value = ""10""&gt; 10 &lt;/ option&gt; &lt;option value = ""11""&gt; 11 &lt;/ option&gt; &lt;option value = ""12""&gt; 12 &lt;/ option&gt; &lt;option value = ""13""&gt; 13 &lt;/ option&gt; &lt;option value = ""14""&gt; 14 &lt;/ option&gt; &lt;option va"&amp;"lue = ""15""&gt; 15 &lt;/ option&gt; &lt;option value = ""16 ""&gt; 16 &lt;/ option&gt; &lt;option value ="" 17 ""&gt; 17 &lt;/ option&gt; &lt;option value ="" 18 ""&gt; 18 &lt;/ option&gt; &lt;option value ="" 19 ""&gt; 19 &lt;/ option&gt; &lt;option value = ""20""&gt; 20 &lt;/ option&gt; &lt;option value = ""21""&gt; 21 &lt;/ opt"&amp;"ion&gt; &lt;option value = ""22""&gt; 22 &lt;/ option&gt; &lt;option value = ""23""&gt; 23 &lt;/ option&gt; &lt;option value = ""24""&gt; 24 &lt;/ option&gt; &lt;option value = ""25""&gt; 25 &lt;/ option&gt; &lt;option value = ""26""&gt; 26 &lt;/ option&gt; &lt;option value = ""27""&gt; 27 &lt;/ option&gt; &lt;option value = ""28"""&amp;"&gt; 28 &lt;/ option&gt; &lt;option value = ""29""&gt; 29 &lt;/ option&gt; &lt;option value = ""30""&gt; 30 &lt;/ option&gt; &lt;option value = ""31""&gt; 31 &lt;/ option&gt; &lt;/ select&gt; &lt;select tabindex = ""- 1"" class = ""airy-age-gate-year""&gt; &lt;option value = ""2019""&gt; 2019 &lt;/ option&gt; &lt; option valu"&amp;"e = ""2018""&gt; 2018 &lt;/ option&gt; &lt;option value = ""2017""&gt; 2017 &lt;/ option&gt; &lt;option value = ""2016""&gt; ​​2016 &lt;/ option&gt; &lt;option value = ""2015""&gt; 2015 &lt;/ option &gt; &lt;option value = ""2014""&gt; 2014 &lt;/ option&gt; &lt;option value = ""2013""&gt; 2013 &lt;/ option&gt; &lt;option valu"&amp;"e = ""2012""&gt; 2012 &lt;/ option&gt; &lt;option value = ""2011""&gt; 2011 &lt; / option&gt; &lt;option value = ""2010""&gt; 2010 &lt;/ option&gt; &lt;option value = ""2009""&gt; 2009 &lt;/ option&gt; &lt;option value = ""2008""&gt; 2008 &lt;/ option&gt; &lt;option value = ""2007""&gt; 2007 &lt;/ option&gt; &lt;option value "&amp;"= ""2006""&gt; 2006 &lt;/ option&gt; &lt;option value = ""2005""&gt; 2005 &lt;/ option&gt; &lt;option value = ""2004""&gt; 2004 &lt;/ option&gt; &lt;option value = ""2003 ""&gt; 2003 &lt;/ option&gt; &lt;option value ="" 2002 ""&gt; 2002 &lt;/ option&gt; &lt;option value ="" 2001 ""&gt; 2001 &lt;/ option&gt; &lt;option value "&amp;"="" 2000 ""&gt; 2000 &lt;/ option&gt; &lt;option value = ""1999""&gt; 1999 &lt;/ option&gt; &lt;option value = ""1998""&gt; 1998 &lt;/ option&gt; &lt;option value = ""1997""&gt; 1997 &lt;/ option&gt; &lt;option value = ""1996""&gt; 1996 &lt;/ option&gt; &lt;option value = ""1995""&gt; 1995 &lt;/ option&gt; &lt;option value = "&amp;"""1994""&gt;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 "&amp;"""1982""&gt;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&lt;value option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&lt;value option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visib"&amp;"ility: hidden; ""&gt; &lt;div tabindex ="" - 1 ""class ="" airy-install-flash-Vertical-centering-table-cell airy-Vertical-centering-table-cell ""&gt; &lt;div tabindex ="" - 1 ""class = ""airy-Vertical-centering-wrapper airy-install-flash-elements-wrapper""&gt; &lt;div tabi"&amp;"ndex = ""- 1"" class = ""airy-install-flash-elements airy-dialog-elements""&gt; &lt;div tabindex = "" -1 ""class ="" airy-install-flash-prompt ""&gt; Adobe Flash Player is required to watch this video &lt;/ div&gt; &lt;div tabindex =."" - 1 ""class ="" airy-install-flash-b"&amp;"utton-wrapper airy -dialog-inner-elements ""&gt; &lt;div tabindex ="" - 1 ""class ="" airy-install-flash-button airy-button ""&gt; install Flash Player &lt;/ div&gt; &lt;/ div&gt; &lt;/ div&gt; &lt;/ div&gt; &lt;/ div&gt; &lt;/ div&gt; &lt;div tabindex = ""- 1"" class = ""airy-video-unsupported-dialog "&amp;"airy-stage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B16ct + gwnmS.mp4 ""Class ="" video-url ""&gt; &lt;input type ="" hidden ""name ="" ""value ="" https://images-eu.ssl-images-amazon.com/images/I/91O7Vw4dRvS.png ""class ="" video-slate-img-url ""&gt; &amp; nbsp; No notes that this set. I mean when"&amp;" off. Then when you turn it takes a while to warm up but the heat is constant and comfortable. It has 3 levels of heating power. Very large great for the whole bed.")</f>
        <v>Calorcito &lt;div id = "video-block-R2JX6R4QLGWE3S" class = "a-section a-spacing-small a-spacing-top mini video-block"&gt; &lt;div tabindex = "0" class = "airy airy-svg vmin -supported airy-skin-beacon "style =" background-color: rgb (0, 0, 0) position: relative; width: 100%; height: 100%; font-size: 0px; overflow: hidden; outline: none; "&gt; &lt;div class =" airy-renderer-container "style =" position: relative; height: 100%; width: 100%; "&gt; &lt;video id =" 7 "preload =" auto "src =" https : //images-eu.ssl-images-amazon.com/images/I/B16ct+gwnmS.mp4 "style =" position: absolute; left: 0px; top: 0px; overflow: hidden; height: 1px; width: 1px; "&gt; &lt;/ video&gt; &lt;/ div&gt; &lt;div id =" airy-slate-preload "style =" background-color: rgb (0, 0, 0); background-image: url (&amp; quot; https: / /images-eu.ssl-images-amazon.com/images/I/91O7Vw4dRvS.png&amp;quot;); background-size: Contain; background-position: center center; background-repeat: no-repeat; position: absolute; top: 0px; left: 0px; visibility: visible; width: 100%; height: 100%; "&gt; &lt;/ div&gt; &lt;iframe scrolling =" no "fr 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B16ct + gwnmS.mp4 "Class =" video-url "&gt; &lt;input type =" hidden "name =" "value =" https://images-eu.ssl-images-amazon.com/images/I/91O7Vw4dRvS.png "class =" video-slate-img-url "&gt; &amp; nbsp; No notes that this set. I mean when off. Then when you turn it takes a while to warm up but the heat is constant and comfortable. It has 3 levels of heating power. Very large great for the whole bed.</v>
      </c>
    </row>
    <row r="8188">
      <c r="A8188" s="1">
        <v>5.0</v>
      </c>
      <c r="B8188" s="1" t="s">
        <v>8128</v>
      </c>
      <c r="C8188" t="str">
        <f>IFERROR(__xludf.DUMMYFUNCTION("GOOGLETRANSLATE(B8188, ""es"", ""en"")"),"I bought this nice watch elegant watch to have something a little more elegant and less sporty for special occasions and I really successful with the purchase. Sphere midnight blue with gold and white needles, markers times are not numbers are golden squa"&amp;"re (double at three, six, nine and twelve) with bright in the center. The metal belt is shiny black, to the box as the clock. Everything together makes the watch look really good and gives us an elegant touch and distinguished. The dial has the day of the"&amp;" month, plus another 3 fully functional areas, which are activated when we start the chronograph. In the instructions, in English, explains perfectly all the functions of the clock and change the date (crown has two positions for this) and activate and re"&amp;"set the chronograph. It includes, in addition to the instructions, a screwdriver and a diptych with images and instructions to adjust the strap to the optimum size for your wrist.")</f>
        <v>I bought this nice watch elegant watch to have something a little more elegant and less sporty for special occasions and I really successful with the purchase. Sphere midnight blue with gold and white needles, markers times are not numbers are golden square (double at three, six, nine and twelve) with bright in the center. The metal belt is shiny black, to the box as the clock. Everything together makes the watch look really good and gives us an elegant touch and distinguished. The dial has the day of the month, plus another 3 fully functional areas, which are activated when we start the chronograph. In the instructions, in English, explains perfectly all the functions of the clock and change the date (crown has two positions for this) and activate and reset the chronograph. It includes, in addition to the instructions, a screwdriver and a diptych with images and instructions to adjust the strap to the optimum size for your wrist.</v>
      </c>
    </row>
    <row r="8189">
      <c r="A8189" s="1">
        <v>5.0</v>
      </c>
      <c r="B8189" s="1" t="s">
        <v>8129</v>
      </c>
      <c r="C8189" t="str">
        <f>IFERROR(__xludf.DUMMYFUNCTION("GOOGLETRANSLATE(B8189, ""es"", ""en"")"),"Best for the sport. To me, they're the best there is to run, fit perfectly and are very easy to connect. The battery lasts a lot, and when you are exhausted alerts you before shutting down, which is a nice touch if you use to talk on the phone. The calls "&amp;"are monitored very well. And aesthetically they are like the photos. It is an essential product if you like listening to music while doing sport.")</f>
        <v>Best for the sport. To me, they're the best there is to run, fit perfectly and are very easy to connect. The battery lasts a lot, and when you are exhausted alerts you before shutting down, which is a nice touch if you use to talk on the phone. The calls are monitored very well. And aesthetically they are like the photos. It is an essential product if you like listening to music while doing sport.</v>
      </c>
    </row>
    <row r="8190">
      <c r="A8190" s="1">
        <v>5.0</v>
      </c>
      <c r="B8190" s="1" t="s">
        <v>8130</v>
      </c>
      <c r="C8190" t="str">
        <f>IFERROR(__xludf.DUMMYFUNCTION("GOOGLETRANSLATE(B8190, ""es"", ""en"")"),"Take everything necessary; pens, highlighters, a scissors, a paper knife, rubber bands, paper clips, pens, post-its, whatever, plus it is nice and professional. At the beginning it looks great but then it's perfect and very helpful. Mandatory for any stud"&amp;"ent or person working at a desk.")</f>
        <v>Take everything necessary; pens, highlighters, a scissors, a paper knife, rubber bands, paper clips, pens, post-its, whatever, plus it is nice and professional. At the beginning it looks great but then it's perfect and very helpful. Mandatory for any student or person working at a desk.</v>
      </c>
    </row>
    <row r="8191">
      <c r="A8191" s="1">
        <v>5.0</v>
      </c>
      <c r="B8191" s="1" t="s">
        <v>8131</v>
      </c>
      <c r="C8191" t="str">
        <f>IFERROR(__xludf.DUMMYFUNCTION("GOOGLETRANSLATE(B8191, ""es"", ""en"")"),"Quality boots at a great price is the first time buying shoes online and was somewhat skeptical but have not disappointed me. They are beautifully finished, with the same color that looked on the internet and much better price for any store. For those who"&amp;" have the wide instep, it costs a few days subsides skin, but when it does noticeable like a glove. The sole is great, I came from a PIKOLINOS that every time it rained was playing my life walking down the street with this type of sole, smooth")</f>
        <v>Quality boots at a great price is the first time buying shoes online and was somewhat skeptical but have not disappointed me. They are beautifully finished, with the same color that looked on the internet and much better price for any store. For those who have the wide instep, it costs a few days subsides skin, but when it does noticeable like a glove. The sole is great, I came from a PIKOLINOS that every time it rained was playing my life walking down the street with this type of sole, smooth</v>
      </c>
    </row>
    <row r="8192">
      <c r="A8192" s="1">
        <v>5.0</v>
      </c>
      <c r="B8192" s="1" t="s">
        <v>8132</v>
      </c>
      <c r="C8192" t="str">
        <f>IFERROR(__xludf.DUMMYFUNCTION("GOOGLETRANSLATE(B8192, ""es"", ""en"")"),"Excellent purchase I recently purchased the watch, and I think it's great for what it cost me, perhaps the only downside that I can put the watch is not carrying light, but recomedable hundred percent. Excellent also the purchase, delivery, delivery.")</f>
        <v>Excellent purchase I recently purchased the watch, and I think it's great for what it cost me, perhaps the only downside that I can put the watch is not carrying light, but recomedable hundred percent. Excellent also the purchase, delivery, delivery.</v>
      </c>
    </row>
    <row r="8193">
      <c r="A8193" s="1">
        <v>5.0</v>
      </c>
      <c r="B8193" s="1" t="s">
        <v>8133</v>
      </c>
      <c r="C8193" t="str">
        <f>IFERROR(__xludf.DUMMYFUNCTION("GOOGLETRANSLATE(B8193, ""es"", ""en"")"),"screecherts very good product and very comfortable")</f>
        <v>screecherts very good product and very comfortable</v>
      </c>
    </row>
    <row r="8194">
      <c r="A8194" s="1">
        <v>5.0</v>
      </c>
      <c r="B8194" s="1" t="s">
        <v>8134</v>
      </c>
      <c r="C8194" t="str">
        <f>IFERROR(__xludf.DUMMYFUNCTION("GOOGLETRANSLATE(B8194, ""es"", ""en"")"),"Very good, very good money. PRACTICAL Super comfortable and friendly, super sound clear, very good materials, autonomy also very good, super happy with the product.")</f>
        <v>Very good, very good money. PRACTICAL Super comfortable and friendly, super sound clear, very good materials, autonomy also very good, super happy with the product.</v>
      </c>
    </row>
    <row r="8195">
      <c r="A8195" s="1">
        <v>5.0</v>
      </c>
      <c r="B8195" s="1" t="s">
        <v>8135</v>
      </c>
      <c r="C8195" t="str">
        <f>IFERROR(__xludf.DUMMYFUNCTION("GOOGLETRANSLATE(B8195, ""es"", ""en"")"),"Very effective! I arrived within stated and well protected. At the beginning it scared me a bit, but after using it for a while every day I holding more and noticing an increasing pain relief. My sister and I have a lot of back pain and after we use consi"&amp;"derably less. It's very good product, I recommend it.")</f>
        <v>Very effective! I arrived within stated and well protected. At the beginning it scared me a bit, but after using it for a while every day I holding more and noticing an increasing pain relief. My sister and I have a lot of back pain and after we use considerably less. It's very good product, I recommend it.</v>
      </c>
    </row>
    <row r="8196">
      <c r="A8196" s="1">
        <v>5.0</v>
      </c>
      <c r="B8196" s="1" t="s">
        <v>8136</v>
      </c>
      <c r="C8196" t="str">
        <f>IFERROR(__xludf.DUMMYFUNCTION("GOOGLETRANSLATE(B8196, ""es"", ""en"")"),"Good for price it's pretty good, considering the price. I perfectly cut paper, cardboard and plastic paper. I must say that I do not like abuse and just short of twos but still go faster than with scissors (and more accurately). The only but I find is you"&amp;" would like to tell some sort of brand to know where exactly will happen blade or ruler at the height of cutting power to better control accuracy.")</f>
        <v>Good for price it's pretty good, considering the price. I perfectly cut paper, cardboard and plastic paper. I must say that I do not like abuse and just short of twos but still go faster than with scissors (and more accurately). The only but I find is you would like to tell some sort of brand to know where exactly will happen blade or ruler at the height of cutting power to better control accuracy.</v>
      </c>
    </row>
    <row r="8197">
      <c r="A8197" s="1">
        <v>5.0</v>
      </c>
      <c r="B8197" s="1" t="s">
        <v>8137</v>
      </c>
      <c r="C8197" t="str">
        <f>IFERROR(__xludf.DUMMYFUNCTION("GOOGLETRANSLATE(B8197, ""es"", ""en"")"),"A number less comfort")</f>
        <v>A number less comfort</v>
      </c>
    </row>
    <row r="8198">
      <c r="A8198" s="1">
        <v>5.0</v>
      </c>
      <c r="B8198" s="1" t="s">
        <v>8138</v>
      </c>
      <c r="C8198" t="str">
        <f>IFERROR(__xludf.DUMMYFUNCTION("GOOGLETRANSLATE(B8198, ""es"", ""en"")"),"You can put them to dress or jeans, the best I've bought very comfortable, the perfect size")</f>
        <v>You can put them to dress or jeans, the best I've bought very comfortable, the perfect size</v>
      </c>
    </row>
    <row r="8199">
      <c r="A8199" s="1">
        <v>5.0</v>
      </c>
      <c r="B8199" s="1" t="s">
        <v>8139</v>
      </c>
      <c r="C8199" t="str">
        <f>IFERROR(__xludf.DUMMYFUNCTION("GOOGLETRANSLATE(B8199, ""es"", ""en"")"),"The organization bought to see the study table of my unemployed son, which took effect now it seems bigger.")</f>
        <v>The organization bought to see the study table of my unemployed son, which took effect now it seems bigger.</v>
      </c>
    </row>
    <row r="8200">
      <c r="A8200" s="1">
        <v>2.0</v>
      </c>
      <c r="B8200" s="1" t="s">
        <v>8140</v>
      </c>
      <c r="C8200" t="str">
        <f>IFERROR(__xludf.DUMMYFUNCTION("GOOGLETRANSLATE(B8200, ""es"", ""en"")"),"L. Gonzalo second request I make of this product and the problem you have is that you usually lie about when the order arrives. They give it one month but delayed weeks and rarely warn, so not worth waiting for headphones 3 euros both. Otherwise the produ"&amp;"ct is perfect quality.")</f>
        <v>L. Gonzalo second request I make of this product and the problem you have is that you usually lie about when the order arrives. They give it one month but delayed weeks and rarely warn, so not worth waiting for headphones 3 euros both. Otherwise the product is perfect quality.</v>
      </c>
    </row>
    <row r="8201">
      <c r="A8201" s="1">
        <v>3.0</v>
      </c>
      <c r="B8201" s="1" t="s">
        <v>8141</v>
      </c>
      <c r="C8201" t="str">
        <f>IFERROR(__xludf.DUMMYFUNCTION("GOOGLETRANSLATE(B8201, ""es"", ""en"")"),"Only glad happy with the clock because it has no case or box and not indicated in the description. The watch itself is very nice and very good price.")</f>
        <v>Only glad happy with the clock because it has no case or box and not indicated in the description. The watch itself is very nice and very good price.</v>
      </c>
    </row>
    <row r="8202">
      <c r="A8202" s="1">
        <v>1.0</v>
      </c>
      <c r="B8202" s="1" t="s">
        <v>8142</v>
      </c>
      <c r="C8202" t="str">
        <f>IFERROR(__xludf.DUMMYFUNCTION("GOOGLETRANSLATE(B8202, ""es"", ""en"")"),"EARTHQUAKE NO NOTHING I liked. WINE ROTO.")</f>
        <v>EARTHQUAKE NO NOTHING I liked. WINE ROTO.</v>
      </c>
    </row>
    <row r="8203">
      <c r="A8203" s="1">
        <v>1.0</v>
      </c>
      <c r="B8203" s="1" t="s">
        <v>8143</v>
      </c>
      <c r="C8203" t="str">
        <f>IFERROR(__xludf.DUMMYFUNCTION("GOOGLETRANSLATE(B8203, ""es"", ""en"")"),"Bad buy shoes with unbearable smell ... very malos.el .muchísimo feet are sweating ... seem plastic")</f>
        <v>Bad buy shoes with unbearable smell ... very malos.el .muchísimo feet are sweating ... seem plastic</v>
      </c>
    </row>
    <row r="8204">
      <c r="A8204" s="1">
        <v>4.0</v>
      </c>
      <c r="B8204" s="1" t="s">
        <v>8144</v>
      </c>
      <c r="C8204" t="str">
        <f>IFERROR(__xludf.DUMMYFUNCTION("GOOGLETRANSLATE(B8204, ""es"", ""en"")"),"Good product The bottles so soft and good for the price")</f>
        <v>Good product The bottles so soft and good for the price</v>
      </c>
    </row>
    <row r="8205">
      <c r="A8205" s="1">
        <v>4.0</v>
      </c>
      <c r="B8205" s="1" t="s">
        <v>8145</v>
      </c>
      <c r="C8205" t="str">
        <f>IFERROR(__xludf.DUMMYFUNCTION("GOOGLETRANSLATE(B8205, ""es"", ""en"")"),"Casio Casio average. Everything works well. The only thing I did not like is that nothing at all it came running which is not so far had and how much battery you have left. It should come stopped.")</f>
        <v>Casio Casio average. Everything works well. The only thing I did not like is that nothing at all it came running which is not so far had and how much battery you have left. It should come stopped.</v>
      </c>
    </row>
    <row r="8206">
      <c r="A8206" s="1">
        <v>4.0</v>
      </c>
      <c r="B8206" s="1" t="s">
        <v>8146</v>
      </c>
      <c r="C8206" t="str">
        <f>IFERROR(__xludf.DUMMYFUNCTION("GOOGLETRANSLATE(B8206, ""es"", ""en"")"),"They are the best in the market but with expiration date There is nothing better or more comfortable for sports without connections, the problem esque break down and have ke go shopping I think is the third and 60 € in 2 years worth ? I believe that if co"&amp;"mpetition unless the batteries put the best comfort, I think sometimes that I lost and searched everywhere to the end I realize that brought them haha ​​posts")</f>
        <v>They are the best in the market but with expiration date There is nothing better or more comfortable for sports without connections, the problem esque break down and have ke go shopping I think is the third and 60 € in 2 years worth ? I believe that if competition unless the batteries put the best comfort, I think sometimes that I lost and searched everywhere to the end I realize that brought them haha ​​posts</v>
      </c>
    </row>
    <row r="8207">
      <c r="A8207" s="1">
        <v>4.0</v>
      </c>
      <c r="B8207" s="1" t="s">
        <v>8147</v>
      </c>
      <c r="C8207" t="str">
        <f>IFERROR(__xludf.DUMMYFUNCTION("GOOGLETRANSLATE(B8207, ""es"", ""en"")"),"Simple but very practical material Practical but simple. Small variety of colors to match the tones not wool, however, are useful and widely used. I repurchased to give to my friends.")</f>
        <v>Simple but very practical material Practical but simple. Small variety of colors to match the tones not wool, however, are useful and widely used. I repurchased to give to my friends.</v>
      </c>
    </row>
    <row r="8208">
      <c r="A8208" s="1">
        <v>4.0</v>
      </c>
      <c r="B8208" s="1" t="s">
        <v>8148</v>
      </c>
      <c r="C8208" t="str">
        <f>IFERROR(__xludf.DUMMYFUNCTION("GOOGLETRANSLATE(B8208, ""es"", ""en"")"),"Q very happy five months and so far I have works perfectly ago. It is comodisima the automatic duplex printing. Being able to print from mobile and email. Sometimes wifi signal and will take her costs. Take a little time to install because it cost a littl"&amp;"e catch the wifi signal .. but no problem. Very happy with the purchase!")</f>
        <v>Q very happy five months and so far I have works perfectly ago. It is comodisima the automatic duplex printing. Being able to print from mobile and email. Sometimes wifi signal and will take her costs. Take a little time to install because it cost a little catch the wifi signal .. but no problem. Very happy with the purchase!</v>
      </c>
    </row>
    <row r="8209">
      <c r="A8209" s="1">
        <v>5.0</v>
      </c>
      <c r="B8209" s="1" t="s">
        <v>8149</v>
      </c>
      <c r="C8209" t="str">
        <f>IFERROR(__xludf.DUMMYFUNCTION("GOOGLETRANSLATE(B8209, ""es"", ""en"")"),"Buenos details i l'asta carries sand in a glass Mui detailed")</f>
        <v>Buenos details i l'asta carries sand in a glass Mui detailed</v>
      </c>
    </row>
    <row r="8210">
      <c r="A8210" s="1">
        <v>5.0</v>
      </c>
      <c r="B8210" s="1" t="s">
        <v>8150</v>
      </c>
      <c r="C8210" t="str">
        <f>IFERROR(__xludf.DUMMYFUNCTION("GOOGLETRANSLATE(B8210, ""es"", ""en"")"),"Yellow box company in which it has purchased for that comes with the yellow box the bottle ?? And does what he bought for 128 euros will cost ?? Thank you.")</f>
        <v>Yellow box company in which it has purchased for that comes with the yellow box the bottle ?? And does what he bought for 128 euros will cost ?? Thank you.</v>
      </c>
    </row>
    <row r="8211">
      <c r="A8211" s="1">
        <v>5.0</v>
      </c>
      <c r="B8211" s="1" t="s">
        <v>8151</v>
      </c>
      <c r="C8211" t="str">
        <f>IFERROR(__xludf.DUMMYFUNCTION("GOOGLETRANSLATE(B8211, ""es"", ""en"")"),"Good product used to throw me minoxidil on the scalp. It is soft and pleasant touch. I recommend it.")</f>
        <v>Good product used to throw me minoxidil on the scalp. It is soft and pleasant touch. I recommend it.</v>
      </c>
    </row>
    <row r="8212">
      <c r="A8212" s="1">
        <v>5.0</v>
      </c>
      <c r="B8212" s="1" t="s">
        <v>8152</v>
      </c>
      <c r="C8212" t="str">
        <f>IFERROR(__xludf.DUMMYFUNCTION("GOOGLETRANSLATE(B8212, ""es"", ""en"")"),"Perfect to transmit photos from cameras without WIFI. High capacity and speed. Upload photos in JPEG- -preferably a Nikon D800 mobile via WIFI.")</f>
        <v>Perfect to transmit photos from cameras without WIFI. High capacity and speed. Upload photos in JPEG- -preferably a Nikon D800 mobile via WIFI.</v>
      </c>
    </row>
    <row r="8213">
      <c r="A8213" s="1">
        <v>5.0</v>
      </c>
      <c r="B8213" s="1" t="s">
        <v>8153</v>
      </c>
      <c r="C8213" t="str">
        <f>IFERROR(__xludf.DUMMYFUNCTION("GOOGLETRANSLATE(B8213, ""es"", ""en"")"),"adidas Falcon W, sneakers Women Comfortable, weigh little and good quality.")</f>
        <v>adidas Falcon W, sneakers Women Comfortable, weigh little and good quality.</v>
      </c>
    </row>
    <row r="8214">
      <c r="A8214" s="1">
        <v>5.0</v>
      </c>
      <c r="B8214" s="1" t="s">
        <v>8154</v>
      </c>
      <c r="C8214" t="str">
        <f>IFERROR(__xludf.DUMMYFUNCTION("GOOGLETRANSLATE(B8214, ""es"", ""en"")"),"I am very pleased High quality, very modern and beautiful model, already came with the battery .... Very well priced. A lovely gift for my nephew.")</f>
        <v>I am very pleased High quality, very modern and beautiful model, already came with the battery .... Very well priced. A lovely gift for my nephew.</v>
      </c>
    </row>
    <row r="8215">
      <c r="A8215" s="1">
        <v>5.0</v>
      </c>
      <c r="B8215" s="1" t="s">
        <v>8155</v>
      </c>
      <c r="C8215" t="str">
        <f>IFERROR(__xludf.DUMMYFUNCTION("GOOGLETRANSLATE(B8215, ""es"", ""en"")"),"Mobility and fast charge wireless headphones allow full mobility while listening to music or TV. You hear perfectly and the charging system is very fast. They adapt perfectly to the ear")</f>
        <v>Mobility and fast charge wireless headphones allow full mobility while listening to music or TV. You hear perfectly and the charging system is very fast. They adapt perfectly to the ear</v>
      </c>
    </row>
    <row r="8216">
      <c r="A8216" s="1">
        <v>5.0</v>
      </c>
      <c r="B8216" s="1" t="s">
        <v>8156</v>
      </c>
      <c r="C8216" t="str">
        <f>IFERROR(__xludf.DUMMYFUNCTION("GOOGLETRANSLATE(B8216, ""es"", ""en"")"),"!!! ONE LAST !!! VERY NICE LITTLE MORE THAN ONE LITER IDEAL FOR HEAT HALF LITER sparingly with VAST AND GO AS A SHOT AND A LIGHT BLUE ELECTRIC LIGHT very cool and the best qualities and very good price.")</f>
        <v>!!! ONE LAST !!! VERY NICE LITTLE MORE THAN ONE LITER IDEAL FOR HEAT HALF LITER sparingly with VAST AND GO AS A SHOT AND A LIGHT BLUE ELECTRIC LIGHT very cool and the best qualities and very good price.</v>
      </c>
    </row>
    <row r="8217">
      <c r="A8217" s="1">
        <v>5.0</v>
      </c>
      <c r="B8217" s="1" t="s">
        <v>8157</v>
      </c>
      <c r="C8217" t="str">
        <f>IFERROR(__xludf.DUMMYFUNCTION("GOOGLETRANSLATE(B8217, ""es"", ""en"")"),"Big box recorder. In the photo I found smaller, but it is actually quite large and with many compartments. It's very good.")</f>
        <v>Big box recorder. In the photo I found smaller, but it is actually quite large and with many compartments. It's very good.</v>
      </c>
    </row>
    <row r="8218">
      <c r="A8218" s="1">
        <v>5.0</v>
      </c>
      <c r="B8218" s="1" t="s">
        <v>8158</v>
      </c>
      <c r="C8218" t="str">
        <f>IFERROR(__xludf.DUMMYFUNCTION("GOOGLETRANSLATE(B8218, ""es"", ""en"")"),"GOOD PRODUCT Warms a bucket of hot water all, very good value for money, highly recommended if you're looking for something to heat a small amount of water at the time")</f>
        <v>GOOD PRODUCT Warms a bucket of hot water all, very good value for money, highly recommended if you're looking for something to heat a small amount of water at the time</v>
      </c>
    </row>
    <row r="8219">
      <c r="A8219" s="1">
        <v>5.0</v>
      </c>
      <c r="B8219" s="1" t="s">
        <v>8159</v>
      </c>
      <c r="C8219" t="str">
        <f>IFERROR(__xludf.DUMMYFUNCTION("GOOGLETRANSLATE(B8219, ""es"", ""en"")"),"Resistant glass and high power &lt;div id = ""video-block-R3MH7378R3O4M4"" class = ""a-section a-spacing-small a-spacing-top mini video-block""&gt; &lt;div tabindex = ""0"" class = ""airy airy-svg vmin-supported airy-skin-beacon ""style ="" background-color: rgb ("&amp;"0, 0, 0) position: relative; width: 100%; height: 100%; font-size: 0px; overflow: hidden; outline: none; ""&gt; &lt;div class ="" airy-renderer-container ""style ="" position: relative; height: 100%; width: 100%; ""&gt; &lt;video id ="" 39 ""preload ="" auto "" src ="&amp;" ""https://images-eu.ssl-images-amazon.com/images/I/C1TytaEAjWS.mp4"" style = ""position: absolute; left: 0px; top: 0px; overflow: hidden; height: 1px; width: 1px; ""&gt; &lt;/ video&gt; &lt;/ div&gt; &lt;div id ="" airy-slate-preload ""style ="" background-color: rgb (0, "&amp;"0, 0); background-image: url (&amp; quot; https : //images-eu.ssl-images-amazon.com/images/I/811WMl-VlbS.png&amp;quot;); background-size: Contain; background-position: center center; background-repeat: no-repeat; position: absolute; top: 0px; left: 0px; visibilit"&amp;"y: visible; width: 100%; height: 100%; ""&gt; &lt;/ div &gt; &lt;Iframe scrolling = ""no"" frameborder = ""0"" src = ""about: blank"" style = ""display: none;""&gt; &lt;/ iframe&gt; &lt;div tabindex = ""- 1"" class = ""airy-controls-container"" style = ""opacity: 0; visibility: "&amp;"hidden; ""&gt; &lt;div tabindex ="" - 1 ""class ="" airy-screen-size-toggle airy-fullscreen ""&gt; &lt;/ div&gt; &lt;div tabindex ="" - 1 ""class ="" airy-container-bottom "" &gt; &lt;div tabindex = ""- 1"" class = ""airy-track-bar-spacer-left"" style = ""width: 11px;""&gt; &lt;/ div&gt;"&amp;" &lt;div tabindex = ""- 1"" class = ""airy-play- airy toggle-play ""style ="" width: 12px; margin-right: 12px; ""&gt; &lt;/ div&gt; &lt;div tabindex ="" - 1 ""class ="" airy-audio-elements ""style ="" float: right; width: 34px; ""&gt; &lt;div tabindex ="" - 1 ""class ="" airy"&amp;"-audio-toggle airy-on ""&gt; &lt;/ div&gt; &lt;div tabindex ="" - 1 ""class ="" airy-audio-container ""style = ""opacity: 0; visibility: hidden; ""&gt; &lt;div tabindex ="" - 1 ""class ="" airy-audio-track-bar ""style ="" height: 80%; ""&gt; &lt;div tabindex ="" - 1 ""class ="" "&amp;"airy-audio- Scrubber-bar ""style ="" height: 85%; ""&gt; &lt;/ div&gt; &lt;div tabindex ="" - 1 ""class ="" airy-audio-scrubber ""style ="" height: 12px; bottom: 85% ""&gt; &lt;/ div&gt; &lt;/ div&gt; &lt;/ div&gt; &lt;/ div&gt; &lt;div tabindex ="" - 1 ""class ="" airy-duration-label ""style ="""&amp;" float: right; width: 26px; margin-right: 4px; text-align: center; ""&gt; 1:55 &lt;/ div&gt; &lt;div tabindex ="" - 1 ""class ="" airy-track-bar-spacer-right ""style ="" float: right; width: 11px; ""&gt; &lt;/ div&gt; &lt;div tabindex ="" - 1 ""class ="" airy-track-bar-container"&amp;" ""style ="" margin-left: 35px; margin-right: 75px; ""&gt; &lt;div tabindex ="" - 1 ""class ="" airy-airy-track-bar vertically-centering-table ""&gt; &lt;div tabindex ="" - 1 ""class ="" airy-Vertical-centering- table-cell ""&gt; &lt;div tabindex ="" - 1 ""class ="" airy-t"&amp;"rack-bar-elements ""&gt; &lt;div tabindex ="" - 1 ""class ="" airy-progress-bar ""style ="" width: 42.5766%; ""&gt; &lt;/ div&gt; &lt;div tabindex ="" - 1 ""class ="" airy-scrubber-bar ""&gt; &lt;/ div&gt; &lt;div tabindex ="" - 1 ""class ="" airy-scrubber ""&gt; &lt;div tabindex ="" - 1 """&amp;"class ="" airy-scrubber-icon ""&gt; &lt;/ div&gt; &lt;div tabindex ="" - 1 ""class ="" airy-adjusted-AUI-tooltip ""style ="" opacity: 0; visibility: hidden; ""&gt; &lt;div tabindex ="" - 1 ""class ="" airy-adjusted-aui-tooltip-inner ""&gt; &lt;div tabindex ="" - 1 ""class ="" ai"&amp;"ry-current-time-label ""&gt; 0: 00 &lt;/ div&gt; &lt;/ div&gt; &lt;div tabindex = ""- 1"" class = ""airy-adjusted-AUI-arrow-border""&gt; &lt;div tabindex = ""- 1"" class = ""airy-adjusted-AUI-arrow"" &gt; &lt;/ div&gt; &lt;/ div&gt; &lt;/ div&gt; &lt;/ div&gt; &lt;/ div&gt; &lt;/ div&gt; &lt;/ div&gt; &lt;/ div&gt; &lt;/ div&gt; &lt;/ di"&amp;"v&gt; &lt;div tabindex = ""- 1"" class = ""airy-age-gate airy-stage airy-Vertical-centering-table airy-dialog"" style = ""opacity: 0; visibility: hidden; ""&gt; &lt;div tabindex ="" - 1 ""class ="" airy-age-gate-Vertical-centering-table-cell airy-Vertical-centering-t"&amp;"able-cell ""&gt; &lt;div tabindex ="" - 1 ""class = ""airy-Vertical-centering-wrapper airy-age-gate-elements-wrapper""&gt; &lt;div tabindex = ""- 1"" class = ""airy-age-gate-elements airy-dialog-elements""&gt; &lt;div tabindex = "" -1 ""class ="" airy-age-gate-prompt ""&gt; T"&amp;"his video is not Intended for all audiences What date were you born &lt;/ div&gt; &lt;div tabindex =.?"" - 1 ""class ="" airy-age-gate -inputs airy-dialog-inner-elements ""&gt; &lt;select tabindex ="" - 1 ""class ="" airy-age-gate-month ""&gt; &lt;option value ="" 1 ""&gt; Janua"&amp;"ry &lt;/ option&gt; &lt;option value ="" 2 ""&gt; February &lt;/ option&gt; &lt;option value ="" 3 ""&gt; March &lt;/ option&gt; &lt;option value ="" 4 ""&gt; April &lt;/ option&gt; &lt;option value ="" 5 ""&gt; May &lt;/ option&gt; &lt;option value = ""6""&gt; June &lt;/ option&gt; &lt;option value = ""7""&gt; July &lt;/ option"&amp;"&gt; &lt;option value = ""8""&gt; August &lt;/ option&gt; &lt;option value = ""9""&gt; September &lt;/ option&gt; &lt;option value = ""10""&gt; October &lt;/ option&gt; &lt;option value = ""11""&gt; November &lt;/ option&gt; &lt;option value = ""12""&gt; December &lt;/ option&gt; &lt;/ select&gt; &lt;select tabindex = ""- 1"""&amp;" class = ""airy-age-gate-day""&gt; &lt;opti on value = ""1""&gt; 1 &lt;/ option&gt; &lt;option value = ""2""&gt; 2 &lt;/ option&gt; &lt;option value = ""3""&gt; 3 &lt;/ option&gt; &lt;option value = ""4""&gt; 4 &lt;/ option &gt; &lt;option value = ""5""&gt; 5 &lt;/ option&gt; &lt;option value = ""6""&gt; 6 &lt;/ option&gt; &lt;opti"&amp;"on value = ""7""&gt; 7 &lt;/ option&gt; &lt;option value = ""8""&gt; 8 &lt; / option&gt; &lt;option value = ""9""&gt; 9 &lt;/ option&gt; &lt;option value = ""10""&gt; 10 &lt;/ option&gt; &lt;option value = ""11""&gt; 11 &lt;/ option&gt; &lt;option value = ""12""&gt; 12 &lt;/ option&gt; &lt;option value = ""13""&gt; 13 &lt;/ option&gt;"&amp;" &lt;option value = ""14""&gt; 14 &lt;/ option&gt; &lt;option value = ""15""&gt; 15 &lt;/ option&gt; &lt;option value = ""16 ""&gt; 16 &lt;/ option&gt; &lt;option value ="" 17 ""&gt; 17 &lt;/ option&gt; &lt;option value ="" 18 ""&gt; 18 &lt;/ option&gt; &lt;option value ="" 19 ""&gt; 19 &lt;/ option&gt; &lt;option value = ""20"""&amp;"&gt; 20 &lt;/ option&gt; &lt;option value = ""21""&gt; 21 &lt;/ option&gt; &lt;option value = ""22""&gt; 22 &lt;/ option&gt; &lt;option value = ""23""&gt; 23 &lt;/ option&gt; &lt;option value = ""24""&gt; 24 &lt;/ option&gt; &lt;option value = ""25""&gt; 25 &lt;/ option&gt; &lt;option value = ""26""&gt; 26 &lt;/ option&gt; &lt;option val"&amp;"ue = ""27""&gt; 27 &lt;/ option&gt; &lt;option value = ""28""&gt; 28 &lt;/ option&gt; &lt;option value = ""29""&gt; 29 &lt;/ option&gt; &lt;option value = ""30""&gt; 30 &lt;/ option&gt; &lt;option value = ""31""&gt; 31 &lt;/ option&gt; &lt;/ select&gt; &lt;select tabindex = ""- 1"" class = ""airy-age-gate-year""&gt; &lt;optio"&amp;"n value = ""2019""&gt; 2019 &lt;/ option&gt; &lt; option value = ""2018""&gt; 2018 &lt;/ option&gt; &lt;option value = ""2017""&gt; 2017 &lt;/ option&gt; &lt;option value = ""2016""&gt; ​​2016 &lt;/ option&gt; &lt;option value = ""2015""&gt; 2015 &lt;/ option &gt; &lt;option value = ""2014""&gt; 2014 &lt;/ option&gt; &lt;opti"&amp;"on value = ""2013""&gt; 2013 &lt;/ option&gt; &lt;option value = ""2012""&gt; 2012 &lt;/ option&gt; &lt;option value = ""2011""&gt; 2011 &lt; / option&gt; &lt;option value = ""2010""&gt; 2010 &lt;/ option&gt; &lt;option value = ""2009""&gt; 2009 &lt;/ option&gt; &lt;option value = ""2008""&gt; 2008 &lt;/ option&gt; &lt;option"&amp;" value = ""2007""&gt; 2007 &lt;/ option&gt; &lt;option value = ""2006""&gt; 2006 &lt;/ option&gt; &lt;option value = ""2005""&gt; 2005 &lt;/ option&gt; &lt;option value = ""2004""&gt; 2004 &lt;/ option&gt; &lt;option value = ""2003 ""&gt; 2003 &lt;/ option&gt; &lt;option value ="" 2002 ""&gt; 2002 &lt;/ option&gt; &lt;option "&amp;"value ="" 2001 ""&gt; 2001 &lt;/ option&gt; &lt;option value ="" 2000 ""&gt; 2000 &lt;/ option&gt; &lt;option value = ""1999""&gt; 1999 &lt;/ option&gt; &lt;option value = ""1998""&gt; 1998 &lt;/ option&gt; &lt;option value = ""1997""&gt; 1997 &lt;/ option&gt; &lt;option value = ""1996""&gt; 1996 &lt;/ option&gt; &lt;option v"&amp;"alue = ""1995""&gt; 1995 &lt;/ option&gt; &lt;option value = ""1994""&gt; 1994 &lt;/ option&gt; &lt;option value = ""1993""&gt; 1993 &lt;/ option&gt; &lt;option value = ""1992""&gt; 1992 &lt;/ option&gt; &lt;option value = ""1991""&gt; 1991 &lt;/ option&gt; &lt;option value = ""1990""&gt; 1990 &lt;/ option&gt; &lt;option valu"&amp;"e = "" 1989 ""&gt; 1989 &lt;/ option&gt; &lt;option value ="" 1988 ""&gt; 1988 &lt;/ option&gt; &lt;option value ="" 1987 ""&gt; 1987 &lt;/ option&gt; &lt;option value ="" 1986 ""&gt; 1986 &lt;/ option&gt; &lt;value option = ""1985""&gt; 1985 &lt;/ option&gt; &lt;option value = ""1984""&gt; 1984 &lt;/ option&gt; &lt;option va"&amp;"lue = ""1983""&gt; 1983 &lt;/ option&gt; &lt;option value = ""1982""&gt; 1982 &lt;/ option&gt; &lt; option value = ""1981""&gt; 1981 &lt;/ option&gt; &lt;option value = ""1980""&gt; 1980 &lt;/ option&gt; &lt;option value = ""1979""&gt; 1979 &lt;/ option&gt; &lt;option value = ""1978""&gt; 1978 &lt;/ option &gt; &lt;option val"&amp;"ue = ""1977""&gt; 1977 &lt;/ option&gt; &lt;option value = ""1976""&gt; 1976 &lt;/ option&gt; &lt;option value = ""1975""&gt; 1975 &lt;/ option&gt; &lt;option value = ""1974""&gt; 1974 &lt; / option&gt; &lt;option value = ""1973""&gt; 1973 &lt;/ option&gt; &lt;option value = ""1972""&gt; 1972 &lt;/ option&gt; &lt;option value"&amp;" = ""1971""&gt; 1971 &lt;/ option&gt; &lt;option value = ""1970""&gt; 1970 &lt;/ option&gt; &lt;option value = ""1969""&gt; 1969 &lt;/ option&gt; &lt;option value = ""1968""&gt; 1968 &lt;/ option&gt; &lt;option value = ""1967""&gt; 1967 &lt;/ option&gt; &lt;option value = ""1966 ""&gt; 1966 &lt;/ option&gt; &lt;option value ="&amp;""" 1965 ""&gt; 1965 &lt;/ option&gt; &lt;option value ="" 1964 ""&gt; 1964 &lt;/ option&gt; &lt;option value ="" 1963 ""&gt; 1963 &lt;/ option&gt; &lt;option value = ""1962""&gt; 1962 &lt;/ option&gt; &lt;option value = ""1961""&gt; 1961 &lt;/ option&gt; &lt;option value = ""1960""&gt; 1960 &lt;/ op tion&gt; &lt;option value "&amp;"= ""1959""&gt; 1959 &lt;/ option&gt; &lt;option value = ""1958""&gt; 1958 &lt;/ option&gt; &lt;option value = ""1957""&gt; 1957 &lt;/ option&gt; &lt;option value = ""1956""&gt; 1956 &lt;/ option&gt; &lt;option value = ""1955""&gt; 1955 &lt;/ option&gt; &lt;option value = ""1954""&gt; 1954 &lt;/ option&gt; &lt;option value = "&amp;"""1953""&gt; 1953 &lt;/ option&gt; &lt;option value = ""1952"" &gt; 1952 &lt;/ option&gt; &lt;option value = ""1951""&gt; 1951 &lt;/ option&gt; &lt;option value = ""1950""&gt; 1950 &lt;/ option&gt; &lt;option value = ""1949""&gt; 1949 &lt;/ option&gt; &lt;option value = "" 1948 ""&gt; 1948 &lt;/ option&gt; &lt;option value ="&amp;""" 1947 ""&gt; 1947 &lt;/ option&gt; &lt;option value ="" 1946 ""&gt; 1946 &lt;/ option&gt; &lt;option value ="" 1945 ""&gt; 1945 &lt;/ option&gt; &lt;value option = ""1944""&gt; 1944 &lt;/ option&gt; &lt;option value = ""1943""&gt; 1943 &lt;/ option&gt; &lt;option value = ""1942""&gt; 1942 &lt;/ option&gt; &lt;option value ="&amp;" ""1941""&gt; 1941 &lt;/ option&gt; &lt; option value = ""1940""&gt; 1940 &lt;/ option&gt; &lt;option value = ""1939""&gt; 1939 &lt;/ option&gt; &lt;option value = ""1938""&gt; 1938 &lt;/ option&gt; &lt;option value = ""1937""&gt; 1937 &lt;/ option &gt; &lt;option value = ""1936""&gt; 1936 &lt;/ option&gt; &lt;option value = "&amp;"""1935""&gt; 1935 &lt;/ option&gt; &lt;option value = ""1934""&gt; 1934 &lt;/ option&gt; &lt;option value = ""1933""&gt; 1933 &lt; / option&gt; &lt;option value = ""1932""&gt; 1932 &lt;/ option&gt; &lt;option value = ""1931""&gt; 1931 &lt;/ option&gt; &lt;option v alue = ""1930""&gt; 1930 &lt;/ option&gt; &lt;option value = "&amp;"""1929""&gt; 1929 &lt;/ option&gt; &lt;option value = ""1928""&gt; 1928 &lt;/ option&gt; &lt;option value = ""1927""&gt; 1927 &lt;/ option&gt; &lt;option value = ""1926""&gt; 1926 &lt;/ option&gt; &lt;option value = ""1925""&gt; 1925 &lt;/ option&gt; &lt;option value = ""1924""&gt; 1924 &lt;/ option&gt; &lt;option value = ""1"&amp;"923""&gt; 1923 &lt;/ option&gt; &lt;option value = ""1922""&gt; 1922 &lt;/ option&gt; &lt;option value = ""1921""&gt; 1921 &lt;/ option&gt; &lt;option value = ""1920""&gt; 1920 &lt;/ option&gt; &lt;option value = ""1919""&gt; 1919 &lt;/ option&gt; &lt;option value = ""1918""&gt; 1918 &lt;/ option&gt; &lt;option value = ""1917"&amp;"""&gt; 1917 &lt;/ option&gt; &lt;option value = ""1916""&gt; 1916 &lt;/ option&gt; &lt;option value = ""1915"" &gt; 1915 &lt;/ option&gt; &lt;option value = ""1914""&gt; 1914 &lt;/ option&gt; &lt;option value = ""1913""&gt; 1913 &lt;/ option&gt; &lt;option value = ""1912""&gt; 1912 &lt;/ option&gt; &lt;option value = "" 1911 "&amp;"""&gt; 1911 &lt;/ option&gt; &lt;option value ="" 1910 ""&gt; 1910 &lt;/ option&gt; &lt;option value ="" 1909 ""&gt; 1909 &lt;/ option&gt; &lt;option value ="" 1908 ""&gt; 1908 &lt;/ option&gt; &lt;value option = ""1907""&gt; 1907 &lt;/ option&gt; &lt;option value = ""1906""&gt; 1906 &lt;/ option&gt; &lt;option value = ""1905"&amp;"""&gt; 1905 &lt;/ option&gt; &lt;option value = ""1904""&gt; 1904 &lt;/ option&gt; &lt; option value = ""1903""&gt; 1903 &lt;/ option&gt; &lt;option value = ""1902""&gt; 1902 &lt;/ option&gt; &lt;option value = ""1901""&gt; 19 01 &lt;/ option&gt; &lt;option value = ""1900""&gt; 1900 &lt;/ option&gt; &lt;/ select&gt; &lt;div tabinde"&amp;"x = ""- 1"" class = ""airy-age-gate-submit airy-submit-button airy airy-submit- disabled ""&gt; Submit &lt;/ div&gt; &lt;/ div&gt; &lt;/ div&gt; &lt;/ div&gt; &lt;/ div&gt; &lt;/ div&gt; &lt;div tabindex ="" - 1 ""class ="" airy-install-flash-dialog airy-stage airy -vertical-centering-table-dialo"&amp;"g airy airy-denied ""style ="" opacity: 0; visibility: hidden; ""&gt; &lt;div tabindex ="" - 1 ""class ="" airy-install-flash-Vertical-centering-table-cell airy-Vertical-centering-table-cell ""&gt; &lt;div tabindex ="" - 1 ""class = ""airy-Vertical-centering-wrapper "&amp;"airy-install-flash-elements-wrapper""&gt; &lt;div tabindex = ""- 1"" class = ""airy-install-flash-elements airy-dialog-elements""&gt; &lt;div tabindex = "" -1 ""class ="" airy-install-flash-prompt ""&gt; Adobe Flash Player is required to watch this video &lt;/ div&gt; &lt;div ta"&amp;"bindex =."" - 1 ""class ="" airy-install-flash-button-wrapper airy -dialog-inner-elements ""&gt; &lt;div tabindex ="" - 1 ""class ="" airy-install-flash-button airy-button ""&gt; install Flash Player &lt;/ div&gt; &lt;/ div&gt; &lt;/ div&gt; &lt;/ div&gt; &lt;/ div&gt; &lt;/ div&gt; &lt;div tabindex = "&amp;"""- 1"" class = ""airy-video-unsupported-dialog airy-stage airy-Vertical-centering-table airy-dialog airy-denied"" style = ""opacity: 0; visibility: hidden; ""&gt; &lt;div tabindex ="" - 1 ""class ="" airy-video-unsupported-Vertical-centering-table-cell airy-Ve"&amp;"rtical-centering-table-cell ""&gt; &lt;div tabindex ="" - 1 ""class = ""airy-Vertical-centering-wrapper airy-video-unsupported-elements-wrapper""&gt; &lt;div tabindex = ""- 1"" class = ""airy-video-unsupported-elements airy-dialog-elements""&gt; &lt;div tabindex = "" -1 """&amp;"class ="" airy-video-unsupported-prompt ""&gt; &lt;/ div&gt; &lt;/ div&gt; &lt;/ div&gt; &lt;/ div&gt; &lt;/ div&gt; &lt;div tabindex ="" - 1 ""class ="" airy-loading- spinner-stage airy-stage ""&gt; &lt;div tabindex ="" - 1 ""class ="" airy-loading-spinner-Vertical-centering-table-cell airy-Vert"&amp;"ical-centering-table-cell ""&gt; &lt;div tabindex ="" - 1 ""class ="" airy-loading-spinner-container airy-scalable-hint-container ""&gt; &lt;div tabindex ="" - 1 ""class ="" airy-loading-spinner-dummy airy-scalable-dummy ""&gt; &lt;/ div&gt; &lt; div tabindex = ""- 1"" class = "&amp;"""airy-loading-spinner airy-hint"" style = ""visibility: hidden;""&gt; &lt;/ div&gt; &lt;/ div&gt; &lt;/ div&gt; &lt;/ div&gt; &lt;div tabindex = ""- 1 ""class ="" airy-ads-screen-size-toggle airy-screen-size-toggle-fullscreen airy ""style ="" visibility: hidden; ""&gt; &lt;/ div&gt; &lt;div tabi"&amp;"ndex = ""-1"" class = ""airy-ad-prompt-container"" style = ""visibility: hidden;""&gt; &lt;div tabindex = ""- 1"" class = ""airy-ad-prompt-Vertical-centering-table-vertically airy centering-table ""&gt; &lt;div tabindex ="" - 1 ""class ="" airy-ad-prompt-Vertical-cen"&amp;"tering-table-cell airy-Vertical-centering-table-cell ""&gt; &lt;div tabindex ="" - 1 ""class = ""airy-ad-prompt-label""&gt; &lt;/ div&gt; &lt;/ div&gt; &lt;/ div&gt; &lt;/ div&gt; &lt;div tabindex = ""- 1"" class = ""airy-ads-controls-container"" style = ""visibility: hidden; ""&gt; &lt;div tabin"&amp;"dex ="" - 1 ""class ="" airy-ads-audio-toggle airy-audio-toggle airy-on ""style ="" visibility: hidden; ""&gt; &lt;/ div&gt; &lt;div tabindex ="" - 1 ""class ="" airy-time-remaining-label-container ""&gt; &lt;div tabindex ="" - 1 ""class ="" airy-time-remaining-Vertical-ce"&amp;"ntering-table airy-Vertical-centering-table ""&gt; &lt;div tabindex = ""- 1"" class = ""airy-time-remaining-Vertical-centering-table-cell airy-Vertical-centering-table-cell""&gt; &lt;div tabindex = ""- 1"" class = ""airy-Vertical-centering-wrapper airy-time-remaining"&amp;"-label-wrapper ""&gt; &lt;div tabindex ="" - 1 ""class ="" airy-time-remaining-label ""style ="" visibility: hidden; ""&gt; &lt;/ div&gt; &lt;div tabi ndex = ""- 1"" class = ""airy-ad-skip"" style = ""visibility: hidden;""&gt; &lt;/ div&gt; &lt;div tabindex = ""- 1"" class = ""airy-ad"&amp;"-end"" style = ""visibility: hidden ""&gt; &lt;/ div&gt; &lt;/ div&gt; &lt;/ div&gt; &lt;/ div&gt; &lt;/ div&gt; &lt;div tabindex ="" - 1 ""class ="" airy-learn-more ""style ="" visibility: hidden; ""&gt; &lt;/ div&gt; &lt;/ div&gt; &lt;div tabindex = ""- 1"" class = ""airy-play-toggle-hint-stage airy-stage "&amp;"airy-cursor""&gt; &lt;div tabindex = ""- 1"" class = ""airy-play -toggle-hint-Vertical-centering-table-cell airy-Vertical-centering-table-cell airy-cursor ""&gt; &lt;div tabindex ="" - 1 ""class ="" airy-play-toggle-hint-container airy-scalable- Hint-container ""&gt; &lt;d"&amp;"iv tabindex ="" - 1 ""class ="" airy-play-toggle-hint-dummy airy-scalable-dummy ""&gt; &lt;/ div&gt; &lt;div tabindex ="" - 1 ""class ="" airy-play -toggle-hint hint airy-airy-play-hint ""style ="" opacity: 1; visibility: visible; ""&gt; &lt;/ div&gt; &lt;/ div&gt; &lt;/ div&gt; &lt;/ div&gt; "&amp;"&lt;div tabindex ="" - 1 ""class ="" airy-replay-hint-stage airy-stage ""style ="" visibility: hidden ; ""&gt; &lt;div tabindex ="" - 1 ""class ="" airy-replay-hint-Vertical-centering-table-cell airy-Vertical-centering-table-cell airy-cursor ""&gt; &lt;div tabindex ="" "&amp;"- 1 ""class = ""airy-replay-hint-container airy-scalable-hint-container""&gt; &lt;div tabindex = ""- 1"" class = ""airy-replay-hint-dummy airy-scalable-dummy""&gt; &lt;/ div&gt; &lt;div tabindex = ""- 1"" class = ""airy-replay-hint airy-hint""&gt; &lt;/ div&gt; &lt;/ div&gt; &lt;/ div&gt; &lt;/ d"&amp;"iv&gt; &lt;div tabindex = ""- 1"" class = ""airy-autoplay-hint -stage airy-stage ""style ="" visibility: hidden; ""&gt; &lt;div tabindex ="" - 1 ""class ="" airy-autoplay-hint-Vertical-centering-table-cell airy-Vertical-centering-table-cell airy- cursor ""&gt; &lt;div tabi"&amp;"ndex ="" - 1 ""class ="" autoplay airy-airy-hint-container-scalable-hint-container ""&gt; &lt;div tabindex ="" - 1 ""class ="" airy-autoplay-hint-dummy airy- scalable-dummy ""&gt; &lt;/ div&gt; &lt;/ div&gt; &lt;/ div&gt; &lt;/ div&gt; &lt;/ div&gt; &lt;/ div&gt; &lt;input type ="" hidden ""name ="" """&amp;"value ="" https: // images-eu .ssl-images-amazon.com / images / I / C1TytaEAjWS.mp4 ""Class ="" video-url ""&gt; &lt;input type ="" hidden ""name ="" ""value ="" https://images-eu.ssl-images-amazon.com/images/I/811WMl-VlbS.png ""class = ""video-slate-img-url""&gt;"&amp;" &amp; nbsp; The pitcher is thick glass and comes with two smaller to liquefy or cutting. 2 speeds and back to. Resistant blades and powerful. They can pour liquid and serves to make smoothies.")</f>
        <v>Resistant glass and high power &lt;div id = "video-block-R3MH7378R3O4M4" class = "a-section a-spacing-small a-spacing-top mini video-block"&gt; &lt;div tabindex = "0" class = "airy airy-svg vmin-supported airy-skin-beacon "style =" background-color: rgb (0, 0, 0) position: relative; width: 100%; height: 100%; font-size: 0px; overflow: hidden; outline: none; "&gt; &lt;div class =" airy-renderer-container "style =" position: relative; height: 100%; width: 100%; "&gt; &lt;video id =" 39 "preload =" auto " src = "https://images-eu.ssl-images-amazon.com/images/I/C1TytaEAjWS.mp4" style = "position: absolute; left: 0px; top: 0px; overflow: hidden; height: 1px; width: 1px; "&gt; &lt;/ video&gt; &lt;/ div&gt; &lt;div id =" airy-slate-preload "style =" background-color: rgb (0, 0, 0); background-image: url (&amp; quot; https : //images-eu.ssl-images-amazon.com/images/I/811WMl-VlbS.png&amp;quot;); background-size: Contain; background-position: center center; background-repeat: no-repeat; position: absolute; top: 0px; left: 0px; visibility: visible; width: 100%; height: 100%; "&gt; &lt;/ div &gt;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1:55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42.5766%;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C1TytaEAjWS.mp4 "Class =" video-url "&gt; &lt;input type =" hidden "name =" "value =" https://images-eu.ssl-images-amazon.com/images/I/811WMl-VlbS.png "class = "video-slate-img-url"&gt; &amp; nbsp; The pitcher is thick glass and comes with two smaller to liquefy or cutting. 2 speeds and back to. Resistant blades and powerful. They can pour liquid and serves to make smoothies.</v>
      </c>
    </row>
    <row r="8220">
      <c r="A8220" s="1">
        <v>5.0</v>
      </c>
      <c r="B8220" s="1" t="s">
        <v>8160</v>
      </c>
      <c r="C8220" t="str">
        <f>IFERROR(__xludf.DUMMYFUNCTION("GOOGLETRANSLATE(B8220, ""es"", ""en"")"),"Perfect / Value is the best I use it to talk while the PC game and of course I do not hear me but everyone tells me that I hear clearly without background noise worth this micro;)")</f>
        <v>Perfect / Value is the best I use it to talk while the PC game and of course I do not hear me but everyone tells me that I hear clearly without background noise worth this micro;)</v>
      </c>
    </row>
    <row r="8221">
      <c r="A8221" s="1">
        <v>5.0</v>
      </c>
      <c r="B8221" s="1" t="s">
        <v>8161</v>
      </c>
      <c r="C8221" t="str">
        <f>IFERROR(__xludf.DUMMYFUNCTION("GOOGLETRANSLATE(B8221, ""es"", ""en"")"),"Good design and I like its design capacity, something that had previously only appreciated in Samsung. In addition to capacity it has proved to be smaller than my toshiba 1Gb. Another advantage that I see is the cable that connects to the computer, it see"&amp;"ms more reinforced than other media. If I had to put some hits would be the jack, I prefer to be one universal.")</f>
        <v>Good design and I like its design capacity, something that had previously only appreciated in Samsung. In addition to capacity it has proved to be smaller than my toshiba 1Gb. Another advantage that I see is the cable that connects to the computer, it seems more reinforced than other media. If I had to put some hits would be the jack, I prefer to be one universal.</v>
      </c>
    </row>
    <row r="8222">
      <c r="A8222" s="1">
        <v>5.0</v>
      </c>
      <c r="B8222" s="1" t="s">
        <v>8162</v>
      </c>
      <c r="C8222" t="str">
        <f>IFERROR(__xludf.DUMMYFUNCTION("GOOGLETRANSLATE(B8222, ""es"", ""en"")"),"José Antonio I purchased 2 watches of this model one for me and one for my father, after a year of use I can say I am happy with the purchase. Price strength and have no competition")</f>
        <v>José Antonio I purchased 2 watches of this model one for me and one for my father, after a year of use I can say I am happy with the purchase. Price strength and have no competition</v>
      </c>
    </row>
    <row r="8223">
      <c r="A8223" s="1">
        <v>5.0</v>
      </c>
      <c r="B8223" s="1" t="s">
        <v>8163</v>
      </c>
      <c r="C8223" t="str">
        <f>IFERROR(__xludf.DUMMYFUNCTION("GOOGLETRANSLATE(B8223, ""es"", ""en"")"),"Just as perfect.")</f>
        <v>Just as perfect.</v>
      </c>
    </row>
    <row r="8224">
      <c r="A8224" s="1">
        <v>5.0</v>
      </c>
      <c r="B8224" s="1" t="s">
        <v>8164</v>
      </c>
      <c r="C8224" t="str">
        <f>IFERROR(__xludf.DUMMYFUNCTION("GOOGLETRANSLATE(B8224, ""es"", ""en"")"),"Very good quality for the price and how fast it came is a great product. I recommend it")</f>
        <v>Very good quality for the price and how fast it came is a great product. I recommend it</v>
      </c>
    </row>
    <row r="8225">
      <c r="A8225" s="1">
        <v>5.0</v>
      </c>
      <c r="B8225" s="1" t="s">
        <v>8165</v>
      </c>
      <c r="C8225" t="str">
        <f>IFERROR(__xludf.DUMMYFUNCTION("GOOGLETRANSLATE(B8225, ""es"", ""en"")"),"Value Bonito and as such the description.")</f>
        <v>Value Bonito and as such the description.</v>
      </c>
    </row>
    <row r="8226">
      <c r="A8226" s="1">
        <v>5.0</v>
      </c>
      <c r="B8226" s="1" t="s">
        <v>8166</v>
      </c>
      <c r="C8226" t="str">
        <f>IFERROR(__xludf.DUMMYFUNCTION("GOOGLETRANSLATE(B8226, ""es"", ""en"")"),"you get what you buy everything right")</f>
        <v>you get what you buy everything right</v>
      </c>
    </row>
    <row r="8227">
      <c r="A8227" s="1">
        <v>5.0</v>
      </c>
      <c r="B8227" s="1" t="s">
        <v>8167</v>
      </c>
      <c r="C8227" t="str">
        <f>IFERROR(__xludf.DUMMYFUNCTION("GOOGLETRANSLATE(B8227, ""es"", ""en"")"),"Good quality and nice recommended")</f>
        <v>Good quality and nice recommended</v>
      </c>
    </row>
    <row r="8228">
      <c r="A8228" s="1">
        <v>2.0</v>
      </c>
      <c r="B8228" s="1" t="s">
        <v>8168</v>
      </c>
      <c r="C8228" t="str">
        <f>IFERROR(__xludf.DUMMYFUNCTION("GOOGLETRANSLATE(B8228, ""es"", ""en"")"),"very small size is very small for gentleman is out of date will be good quality and all casio, but an actual clock is not seen")</f>
        <v>very small size is very small for gentleman is out of date will be good quality and all casio, but an actual clock is not seen</v>
      </c>
    </row>
    <row r="8229">
      <c r="A8229" s="1">
        <v>3.0</v>
      </c>
      <c r="B8229" s="1" t="s">
        <v>8169</v>
      </c>
      <c r="C8229" t="str">
        <f>IFERROR(__xludf.DUMMYFUNCTION("GOOGLETRANSLATE(B8229, ""es"", ""en"")"),"Comfortable and light are very comfortable and lightweight but lasted little sole")</f>
        <v>Comfortable and light are very comfortable and lightweight but lasted little sole</v>
      </c>
    </row>
    <row r="8230">
      <c r="A8230" s="1">
        <v>3.0</v>
      </c>
      <c r="B8230" s="1" t="s">
        <v>42</v>
      </c>
      <c r="C8230" t="str">
        <f>IFERROR(__xludf.DUMMYFUNCTION("GOOGLETRANSLATE(B8230, ""es"", ""en"")"),"Well well")</f>
        <v>Well well</v>
      </c>
    </row>
    <row r="8231">
      <c r="A8231" s="1">
        <v>1.0</v>
      </c>
      <c r="B8231" s="1" t="s">
        <v>8170</v>
      </c>
      <c r="C8231" t="str">
        <f>IFERROR(__xludf.DUMMYFUNCTION("GOOGLETRANSLATE(B8231, ""es"", ""en"")"),"Very slow process I liked q 2 anklets seem to be one but I did not like the model to try")</f>
        <v>Very slow process I liked q 2 anklets seem to be one but I did not like the model to try</v>
      </c>
    </row>
    <row r="8232">
      <c r="A8232" s="1">
        <v>1.0</v>
      </c>
      <c r="B8232" s="1" t="s">
        <v>8171</v>
      </c>
      <c r="C8232" t="str">
        <f>IFERROR(__xludf.DUMMYFUNCTION("GOOGLETRANSLATE(B8232, ""es"", ""en"")"),"Sounds much the compressor lasted one month !!! Fatal! To see what happens with warranty service but the compressor does an infernal noise from the first day and not now at any time for")</f>
        <v>Sounds much the compressor lasted one month !!! Fatal! To see what happens with warranty service but the compressor does an infernal noise from the first day and not now at any time for</v>
      </c>
    </row>
    <row r="8233">
      <c r="A8233" s="1">
        <v>4.0</v>
      </c>
      <c r="B8233" s="1" t="s">
        <v>8172</v>
      </c>
      <c r="C8233" t="str">
        <f>IFERROR(__xludf.DUMMYFUNCTION("GOOGLETRANSLATE(B8233, ""es"", ""en"")"),"The compass is fine compass is very good value for money. The transport box is a little loose and maybe a little difficult to open for the kids until you catch the trick. I mention that because vo people give enough importance to the transport box.")</f>
        <v>The compass is fine compass is very good value for money. The transport box is a little loose and maybe a little difficult to open for the kids until you catch the trick. I mention that because vo people give enough importance to the transport box.</v>
      </c>
    </row>
    <row r="8234">
      <c r="A8234" s="1">
        <v>4.0</v>
      </c>
      <c r="B8234" s="1" t="s">
        <v>8173</v>
      </c>
      <c r="C8234" t="str">
        <f>IFERROR(__xludf.DUMMYFUNCTION("GOOGLETRANSLATE(B8234, ""es"", ""en"")"),"Very satisfied in black esthetically is fantastic. As for functionality, the method of filtering the juice I like because it facilitates cleaning even if you do not like the pulp, you might not finish like even having the ability to calibrate it.")</f>
        <v>Very satisfied in black esthetically is fantastic. As for functionality, the method of filtering the juice I like because it facilitates cleaning even if you do not like the pulp, you might not finish like even having the ability to calibrate it.</v>
      </c>
    </row>
    <row r="8235">
      <c r="A8235" s="1">
        <v>4.0</v>
      </c>
      <c r="B8235" s="1" t="s">
        <v>8174</v>
      </c>
      <c r="C8235" t="str">
        <f>IFERROR(__xludf.DUMMYFUNCTION("GOOGLETRANSLATE(B8235, ""es"", ""en"")"),"Versatile ...... Well what I'm looking for ........ mixer for live and home studio ......... preamplifier is quality but with very little power enough to ........... recording interfaces with the USB cable, is recorded very well and fits very simple compu"&amp;"ter. for direct or testing adapt a power amplifier and speakers solved .......... ............ The table is very complete and quality, so far no problem. .....")</f>
        <v>Versatile ...... Well what I'm looking for ........ mixer for live and home studio ......... preamplifier is quality but with very little power enough to ........... recording interfaces with the USB cable, is recorded very well and fits very simple computer. for direct or testing adapt a power amplifier and speakers solved .......... ............ The table is very complete and quality, so far no problem. .....</v>
      </c>
    </row>
    <row r="8236">
      <c r="A8236" s="1">
        <v>4.0</v>
      </c>
      <c r="B8236" s="1" t="s">
        <v>8175</v>
      </c>
      <c r="C8236" t="str">
        <f>IFERROR(__xludf.DUMMYFUNCTION("GOOGLETRANSLATE(B8236, ""es"", ""en"")"),"Very useful is a simple, easy clock view, no superfluous utilities, more than useful for everyday use and uncomplicated sport.")</f>
        <v>Very useful is a simple, easy clock view, no superfluous utilities, more than useful for everyday use and uncomplicated sport.</v>
      </c>
    </row>
    <row r="8237">
      <c r="A8237" s="1">
        <v>4.0</v>
      </c>
      <c r="B8237" s="1" t="s">
        <v>8176</v>
      </c>
      <c r="C8237" t="str">
        <f>IFERROR(__xludf.DUMMYFUNCTION("GOOGLETRANSLATE(B8237, ""es"", ""en"")"),"Good mixer. and a few weeks ago that I have and the truth is that it works very well. At the beginning I thought I would have more power, but as I've been using I noticed that less power button can be adjusted to obtain a good power and a party has the tu"&amp;"rbo button. Finally .. I think money is pretty good. Mincing've also used and is expected. I encouraged her to choose this model for the quality of the material, especially aluminum arm.")</f>
        <v>Good mixer. and a few weeks ago that I have and the truth is that it works very well. At the beginning I thought I would have more power, but as I've been using I noticed that less power button can be adjusted to obtain a good power and a party has the turbo button. Finally .. I think money is pretty good. Mincing've also used and is expected. I encouraged her to choose this model for the quality of the material, especially aluminum arm.</v>
      </c>
    </row>
    <row r="8238">
      <c r="A8238" s="1">
        <v>5.0</v>
      </c>
      <c r="B8238" s="1" t="s">
        <v>8177</v>
      </c>
      <c r="C8238" t="str">
        <f>IFERROR(__xludf.DUMMYFUNCTION("GOOGLETRANSLATE(B8238, ""es"", ""en"")"),"Super happy with the microphone SICK sound quality of this micro, I love, had a micro sound card and this is heard x5 times better, I love")</f>
        <v>Super happy with the microphone SICK sound quality of this micro, I love, had a micro sound card and this is heard x5 times better, I love</v>
      </c>
    </row>
    <row r="8239">
      <c r="A8239" s="1">
        <v>5.0</v>
      </c>
      <c r="B8239" s="1" t="s">
        <v>8178</v>
      </c>
      <c r="C8239" t="str">
        <f>IFERROR(__xludf.DUMMYFUNCTION("GOOGLETRANSLATE(B8239, ""es"", ""en"")"),"Versatility and safety The truth that great read speed data transmission, the tranquility of resistance, as an external disk to carry is the best I have in a while.")</f>
        <v>Versatility and safety The truth that great read speed data transmission, the tranquility of resistance, as an external disk to carry is the best I have in a while.</v>
      </c>
    </row>
    <row r="8240">
      <c r="A8240" s="1">
        <v>5.0</v>
      </c>
      <c r="B8240" s="1" t="s">
        <v>8179</v>
      </c>
      <c r="C8240" t="str">
        <f>IFERROR(__xludf.DUMMYFUNCTION("GOOGLETRANSLATE(B8240, ""es"", ""en"")"),"Comfort and space on his feet. Feel every footstep. I have more minimalist comfortable and with whom I feel protected whatever you do. Feeling good foot support every step and very good space for fingers. I love the Barefoot2 form of Merrell. I had to cat"&amp;"ch and usually use 46.5 46. Use the meter Size of zami.es and the truth that great. The would buy another color because they are great.")</f>
        <v>Comfort and space on his feet. Feel every footstep. I have more minimalist comfortable and with whom I feel protected whatever you do. Feeling good foot support every step and very good space for fingers. I love the Barefoot2 form of Merrell. I had to catch and usually use 46.5 46. Use the meter Size of zami.es and the truth that great. The would buy another color because they are great.</v>
      </c>
    </row>
    <row r="8241">
      <c r="A8241" s="1">
        <v>5.0</v>
      </c>
      <c r="B8241" s="1" t="s">
        <v>8180</v>
      </c>
      <c r="C8241" t="str">
        <f>IFERROR(__xludf.DUMMYFUNCTION("GOOGLETRANSLATE(B8241, ""es"", ""en"")"),"Very happy. Great for the back. It arrived today and I've already tried. Buy the 30x60.La model bought to relax your back and works very well, has several levels of heat and can control the weather ... is very nice touch and very easy to use mechanism. Ve"&amp;"ry happy.")</f>
        <v>Very happy. Great for the back. It arrived today and I've already tried. Buy the 30x60.La model bought to relax your back and works very well, has several levels of heat and can control the weather ... is very nice touch and very easy to use mechanism. Very happy.</v>
      </c>
    </row>
    <row r="8242">
      <c r="A8242" s="1">
        <v>5.0</v>
      </c>
      <c r="B8242" s="1" t="s">
        <v>8181</v>
      </c>
      <c r="C8242" t="str">
        <f>IFERROR(__xludf.DUMMYFUNCTION("GOOGLETRANSLATE(B8242, ""es"", ""en"")"),"Recomendables I quite like the durability of the battery, I forget to recharge it, the sound quality is not bad, but not be asked pears to the elm, the materials are normal not high quality, but overall the product is comfortable and for a normal user are"&amp;" excellent decision to purchase, recommend")</f>
        <v>Recomendables I quite like the durability of the battery, I forget to recharge it, the sound quality is not bad, but not be asked pears to the elm, the materials are normal not high quality, but overall the product is comfortable and for a normal user are excellent decision to purchase, recommend</v>
      </c>
    </row>
    <row r="8243">
      <c r="A8243" s="1">
        <v>5.0</v>
      </c>
      <c r="B8243" s="1" t="s">
        <v>8182</v>
      </c>
      <c r="C8243" t="str">
        <f>IFERROR(__xludf.DUMMYFUNCTION("GOOGLETRANSLATE(B8243, ""es"", ""en"")"),"I arrive in perfect condition Very happy")</f>
        <v>I arrive in perfect condition Very happy</v>
      </c>
    </row>
    <row r="8244">
      <c r="A8244" s="1">
        <v>5.0</v>
      </c>
      <c r="B8244" s="1" t="s">
        <v>8183</v>
      </c>
      <c r="C8244" t="str">
        <f>IFERROR(__xludf.DUMMYFUNCTION("GOOGLETRANSLATE(B8244, ""es"", ""en"")"),"Vir Love! Although I had to return them and change them to another number and that the flexible being, to have full mobility must buy a number greater than the one you use normally.")</f>
        <v>Vir Love! Although I had to return them and change them to another number and that the flexible being, to have full mobility must buy a number greater than the one you use normally.</v>
      </c>
    </row>
    <row r="8245">
      <c r="A8245" s="1">
        <v>5.0</v>
      </c>
      <c r="B8245" s="1" t="s">
        <v>8184</v>
      </c>
      <c r="C8245" t="str">
        <f>IFERROR(__xludf.DUMMYFUNCTION("GOOGLETRANSLATE(B8245, ""es"", ""en"")"),"Very good. Well conditioned (sold and shipped by Amazon). I miss a chkdsk / r / f and has no defective sector. Seagate have a bad reputation but hard drives are lucky or not. I bought a Western Digital and have found a lot of bad sectors. But I tiengo Sea"&amp;"gate and have never given me problems. If I find a problem upgrade my opinion. PS4 use it in pro.")</f>
        <v>Very good. Well conditioned (sold and shipped by Amazon). I miss a chkdsk / r / f and has no defective sector. Seagate have a bad reputation but hard drives are lucky or not. I bought a Western Digital and have found a lot of bad sectors. But I tiengo Seagate and have never given me problems. If I find a problem upgrade my opinion. PS4 use it in pro.</v>
      </c>
    </row>
    <row r="8246">
      <c r="A8246" s="1">
        <v>5.0</v>
      </c>
      <c r="B8246" s="1" t="s">
        <v>8185</v>
      </c>
      <c r="C8246" t="str">
        <f>IFERROR(__xludf.DUMMYFUNCTION("GOOGLETRANSLATE(B8246, ""es"", ""en"")"),"I find it very comfortable very comfortable, because I need to teach with computer presentations, and you never know if you will have HDMI or VGA. A carrying the two connections is no longer any problem.")</f>
        <v>I find it very comfortable very comfortable, because I need to teach with computer presentations, and you never know if you will have HDMI or VGA. A carrying the two connections is no longer any problem.</v>
      </c>
    </row>
    <row r="8247">
      <c r="A8247" s="1">
        <v>5.0</v>
      </c>
      <c r="B8247" s="1" t="s">
        <v>8186</v>
      </c>
      <c r="C8247" t="str">
        <f>IFERROR(__xludf.DUMMYFUNCTION("GOOGLETRANSLATE(B8247, ""es"", ""en"")"),"Surround sound and convenience asked me yesterday and today has come so quickly on shipping as always excellent Amazon Prime .. I've had one like this and I sincerely look best headphones I've tried so far. The sound quality is bestial (especially me you "&amp;"love me feel low in songs) fit and comfort in the excellent ear. Only've used for a while but I plan to go to spoil soon, the past would last me two years and ended up failing by cable (but I think for misuse because the loose kept by the bag and the end "&amp;"of both friction I guess they would break).")</f>
        <v>Surround sound and convenience asked me yesterday and today has come so quickly on shipping as always excellent Amazon Prime .. I've had one like this and I sincerely look best headphones I've tried so far. The sound quality is bestial (especially me you love me feel low in songs) fit and comfort in the excellent ear. Only've used for a while but I plan to go to spoil soon, the past would last me two years and ended up failing by cable (but I think for misuse because the loose kept by the bag and the end of both friction I guess they would break).</v>
      </c>
    </row>
    <row r="8248">
      <c r="A8248" s="1">
        <v>5.0</v>
      </c>
      <c r="B8248" s="1" t="s">
        <v>8187</v>
      </c>
      <c r="C8248" t="str">
        <f>IFERROR(__xludf.DUMMYFUNCTION("GOOGLETRANSLATE(B8248, ""es"", ""en"")"),"A pleasant surprise unknown brand in Spain with a great value. It has a transfer rate of reading and writing very close to the top products like the Corsair MP 510, of which have a unit, and I admit that lags behind. Highly recommended")</f>
        <v>A pleasant surprise unknown brand in Spain with a great value. It has a transfer rate of reading and writing very close to the top products like the Corsair MP 510, of which have a unit, and I admit that lags behind. Highly recommended</v>
      </c>
    </row>
    <row r="8249">
      <c r="A8249" s="1">
        <v>5.0</v>
      </c>
      <c r="B8249" s="1" t="s">
        <v>8188</v>
      </c>
      <c r="C8249" t="str">
        <f>IFERROR(__xludf.DUMMYFUNCTION("GOOGLETRANSLATE(B8249, ""es"", ""en"")"),"Comfort and quality at a good price Prefect comfortable and light")</f>
        <v>Comfort and quality at a good price Prefect comfortable and light</v>
      </c>
    </row>
    <row r="8250">
      <c r="A8250" s="1">
        <v>5.0</v>
      </c>
      <c r="B8250" s="1" t="s">
        <v>8189</v>
      </c>
      <c r="C8250" t="str">
        <f>IFERROR(__xludf.DUMMYFUNCTION("GOOGLETRANSLATE(B8250, ""es"", ""en"")"),"Amazon perfect service in the shipping fantastic, as always. Regarding the shoes, they came perfectly and fit me like a glove. It is the second pair I have this model and I love them, are super comfortable.")</f>
        <v>Amazon perfect service in the shipping fantastic, as always. Regarding the shoes, they came perfectly and fit me like a glove. It is the second pair I have this model and I love them, are super comfortable.</v>
      </c>
    </row>
    <row r="8251">
      <c r="A8251" s="1">
        <v>5.0</v>
      </c>
      <c r="B8251" s="1" t="s">
        <v>8190</v>
      </c>
      <c r="C8251" t="str">
        <f>IFERROR(__xludf.DUMMYFUNCTION("GOOGLETRANSLATE(B8251, ""es"", ""en"")"),"Good bag bag is a gift made and is very happy looks very good quality perfect If you want a handy little bag")</f>
        <v>Good bag bag is a gift made and is very happy looks very good quality perfect If you want a handy little bag</v>
      </c>
    </row>
    <row r="8252">
      <c r="A8252" s="1">
        <v>5.0</v>
      </c>
      <c r="B8252" s="1" t="s">
        <v>7571</v>
      </c>
      <c r="C8252" t="str">
        <f>IFERROR(__xludf.DUMMYFUNCTION("GOOGLETRANSLATE(B8252, ""es"", ""en"")"),"Very good product very good product")</f>
        <v>Very good product very good product</v>
      </c>
    </row>
    <row r="8253">
      <c r="A8253" s="1">
        <v>5.0</v>
      </c>
      <c r="B8253" s="1" t="s">
        <v>8191</v>
      </c>
      <c r="C8253" t="str">
        <f>IFERROR(__xludf.DUMMYFUNCTION("GOOGLETRANSLATE(B8253, ""es"", ""en"")"),"Microphone Good Value")</f>
        <v>Microphone Good Value</v>
      </c>
    </row>
    <row r="8254">
      <c r="A8254" s="1">
        <v>5.0</v>
      </c>
      <c r="B8254" s="1" t="s">
        <v>8192</v>
      </c>
      <c r="C8254" t="str">
        <f>IFERROR(__xludf.DUMMYFUNCTION("GOOGLETRANSLATE(B8254, ""es"", ""en"")"),"Excellent Not noticed difference between breast and nipple bearing. We've had two months of use and its state is like the first day.")</f>
        <v>Excellent Not noticed difference between breast and nipple bearing. We've had two months of use and its state is like the first day.</v>
      </c>
    </row>
    <row r="8255">
      <c r="A8255" s="1">
        <v>5.0</v>
      </c>
      <c r="B8255" s="1" t="s">
        <v>8193</v>
      </c>
      <c r="C8255" t="str">
        <f>IFERROR(__xludf.DUMMYFUNCTION("GOOGLETRANSLATE(B8255, ""es"", ""en"")"),"Beautiful earrings easily combined for both daily and wearable for a special occasion. Very bright and suitable size")</f>
        <v>Beautiful earrings easily combined for both daily and wearable for a special occasion. Very bright and suitable size</v>
      </c>
    </row>
    <row r="8256">
      <c r="A8256" s="1">
        <v>5.0</v>
      </c>
      <c r="B8256" s="1" t="s">
        <v>8194</v>
      </c>
      <c r="C8256" t="str">
        <f>IFERROR(__xludf.DUMMYFUNCTION("GOOGLETRANSLATE(B8256, ""es"", ""en"")"),"Easy to use, practical and makes good coffee We are facing a great coffee machine, which can not be spared praise. To begin, we must say that in the box, nicely packaged and presented, we find the coffee itself, the glass jug and an instruction book in se"&amp;"veral languages, including Castilian (actually, for handling such a simple coffee we will not need instructions, although it never hurts to have a look to the issue of first use, cleaning and so on). The coffee is beautifully designed retro enthused nothi"&amp;"ng we have it in sight. For ours, it combines black with red (there is another model that is totally black) and silver metallic or plastic parts. The jar is clear glass and has a black plastic cover and a handle, also black plastic, adorned with a sheet p"&amp;"lated with symbol RH mark (Russell Hobbs) at the top, making it very elegant shows . On the front of the coffee we find a pointing of the status of the coffee, the progress of this in the coffee and the remaining time of hot coffee on maintenance. This in"&amp;"dicator, clock type, is what gives personality to the design and showing us something different machine as usual on the market. This and small details, as is the case of the switch, also retro, shaped pin which stands (off) or lower (on), and metallic sil"&amp;"ver. Naturally, the coffee opens at its top. Under the cover we find the filter holder, which can be easily removed for washing by practical folding handle. I must say that this machine uses filter number 4, very easy to find at any supermarket or shop us"&amp;"e. Just behind the filter holder is the water tank, which shows the filling level on both sides of the machine. On the left side there is also a dipper to measure coffee will deposit on the filter: it is black and if you do not notice even seen, so it doe"&amp;"s not break the line design coffee, despite being hooked on it. For its part, the basis on which rests the carafe keeps coffee hot, according to the instructions, even forty minutes limit, as also tells us, that coffee is in optimum flavor and aroma, thou"&amp;"gh, as we know, this is in taste, and there whom the coffee just like I did, but also those who do not stop liking though and take a few hours in the coffee. Using the machine is simple as could be. We use the jar to measure the amount of water let's take"&amp;" the pour into the tank, place a filter in the filter holder and the dipper fill it with the amount of coffee according to the amount of water and also to our liking, more or less loaded of coffee. Maximum, according to the scale of the jar, is ten to fif"&amp;"teen cups on as, let's say, standard. As with any machine with which we try to make our life more enjoyable, what we care about this coffee is the result, ie the quality of the coffee that comes out of it. For our part I have to say it tastes like coffee "&amp;"lifetime. Now, in my opinion, it is improved coffee making machine with the amount. That is, I think make one or two cups of coffee is not very advisable, because maybe the measure we stay a little short and coffee left us a little watered down (again, th"&amp;"is is also on taste), and I think when the potential of better quality that gives us noticeable is using it to high-capacity, if not completely full, yes mediated or something else. So I think the coffee is even better. In short, it is a machine with a ni"&amp;"ce design, reminiscent of those of the past, but work as befits a small appliance of the XXI century. It is very easy to use, very practical, makes good coffee and its price is moderate, so there is little to add except to recommend it to anyone with doub"&amp;"ts.")</f>
        <v>Easy to use, practical and makes good coffee We are facing a great coffee machine, which can not be spared praise. To begin, we must say that in the box, nicely packaged and presented, we find the coffee itself, the glass jug and an instruction book in several languages, including Castilian (actually, for handling such a simple coffee we will not need instructions, although it never hurts to have a look to the issue of first use, cleaning and so on). The coffee is beautifully designed retro enthused nothing we have it in sight. For ours, it combines black with red (there is another model that is totally black) and silver metallic or plastic parts. The jar is clear glass and has a black plastic cover and a handle, also black plastic, adorned with a sheet plated with symbol RH mark (Russell Hobbs) at the top, making it very elegant shows . On the front of the coffee we find a pointing of the status of the coffee, the progress of this in the coffee and the remaining time of hot coffee on maintenance. This indicator, clock type, is what gives personality to the design and showing us something different machine as usual on the market. This and small details, as is the case of the switch, also retro, shaped pin which stands (off) or lower (on), and metallic silver. Naturally, the coffee opens at its top. Under the cover we find the filter holder, which can be easily removed for washing by practical folding handle. I must say that this machine uses filter number 4, very easy to find at any supermarket or shop use. Just behind the filter holder is the water tank, which shows the filling level on both sides of the machine. On the left side there is also a dipper to measure coffee will deposit on the filter: it is black and if you do not notice even seen, so it does not break the line design coffee, despite being hooked on it. For its part, the basis on which rests the carafe keeps coffee hot, according to the instructions, even forty minutes limit, as also tells us, that coffee is in optimum flavor and aroma, though, as we know, this is in taste, and there whom the coffee just like I did, but also those who do not stop liking though and take a few hours in the coffee. Using the machine is simple as could be. We use the jar to measure the amount of water let's take the pour into the tank, place a filter in the filter holder and the dipper fill it with the amount of coffee according to the amount of water and also to our liking, more or less loaded of coffee. Maximum, according to the scale of the jar, is ten to fifteen cups on as, let's say, standard. As with any machine with which we try to make our life more enjoyable, what we care about this coffee is the result, ie the quality of the coffee that comes out of it. For our part I have to say it tastes like coffee lifetime. Now, in my opinion, it is improved coffee making machine with the amount. That is, I think make one or two cups of coffee is not very advisable, because maybe the measure we stay a little short and coffee left us a little watered down (again, this is also on taste), and I think when the potential of better quality that gives us noticeable is using it to high-capacity, if not completely full, yes mediated or something else. So I think the coffee is even better. In short, it is a machine with a nice design, reminiscent of those of the past, but work as befits a small appliance of the XXI century. It is very easy to use, very practical, makes good coffee and its price is moderate, so there is little to add except to recommend it to anyone with doubts.</v>
      </c>
    </row>
    <row r="8257">
      <c r="A8257" s="1">
        <v>2.0</v>
      </c>
      <c r="B8257" s="1" t="s">
        <v>8195</v>
      </c>
      <c r="C8257" t="str">
        <f>IFERROR(__xludf.DUMMYFUNCTION("GOOGLETRANSLATE(B8257, ""es"", ""en"")"),"After hard use shoe for months say that I have become increasingly harder shoe and it hurts every time it hurts more ,, ,, not worth the foam template moment and sinking two months and not foam, or anything, or wobbly heel or anything. I should have retur"&amp;"ned if any when I arrived because they did not give me the impression very comfortable.")</f>
        <v>After hard use shoe for months say that I have become increasingly harder shoe and it hurts every time it hurts more ,, ,, not worth the foam template moment and sinking two months and not foam, or anything, or wobbly heel or anything. I should have returned if any when I arrived because they did not give me the impression very comfortable.</v>
      </c>
    </row>
    <row r="8258">
      <c r="A8258" s="1">
        <v>3.0</v>
      </c>
      <c r="B8258" s="1" t="s">
        <v>8196</v>
      </c>
      <c r="C8258" t="str">
        <f>IFERROR(__xludf.DUMMYFUNCTION("GOOGLETRANSLATE(B8258, ""es"", ""en"")"),"It is very narrow toe for having the closed toe")</f>
        <v>It is very narrow toe for having the closed toe</v>
      </c>
    </row>
    <row r="8259">
      <c r="A8259" s="1">
        <v>3.0</v>
      </c>
      <c r="B8259" s="1" t="s">
        <v>8197</v>
      </c>
      <c r="C8259" t="str">
        <f>IFERROR(__xludf.DUMMYFUNCTION("GOOGLETRANSLATE(B8259, ""es"", ""en"")"),"Would buy it again I ordered a 40 and is a little big, the displayed image does not correspond to the shipment, the tongue and the back where it says the brand is different and looks much better in the picture, good quality and good price")</f>
        <v>Would buy it again I ordered a 40 and is a little big, the displayed image does not correspond to the shipment, the tongue and the back where it says the brand is different and looks much better in the picture, good quality and good price</v>
      </c>
    </row>
    <row r="8260">
      <c r="A8260" s="1">
        <v>1.0</v>
      </c>
      <c r="B8260" s="1" t="s">
        <v>8198</v>
      </c>
      <c r="C8260" t="str">
        <f>IFERROR(__xludf.DUMMYFUNCTION("GOOGLETRANSLATE(B8260, ""es"", ""en"")"),"Very bad do not buy the product is broken almost without using it.")</f>
        <v>Very bad do not buy the product is broken almost without using it.</v>
      </c>
    </row>
    <row r="8261">
      <c r="A8261" s="1">
        <v>1.0</v>
      </c>
      <c r="B8261" s="1" t="s">
        <v>8199</v>
      </c>
      <c r="C8261" t="str">
        <f>IFERROR(__xludf.DUMMYFUNCTION("GOOGLETRANSLATE(B8261, ""es"", ""en"")"),"No punches were stuck well des first use too simple and poor quality")</f>
        <v>No punches were stuck well des first use too simple and poor quality</v>
      </c>
    </row>
    <row r="8262">
      <c r="A8262" s="1">
        <v>1.0</v>
      </c>
      <c r="B8262" s="1" t="s">
        <v>8200</v>
      </c>
      <c r="C8262" t="str">
        <f>IFERROR(__xludf.DUMMYFUNCTION("GOOGLETRANSLATE(B8262, ""es"", ""en"")"),"No good I bought this BATIDORA that actually works as a mixing uma not bat at all. Until a banana (Not frozen) is not capable of batteries, out banana pieces in the batter. it is simply useless. The return will have on time. No srive me or for the simples"&amp;"t tasks. Fatal")</f>
        <v>No good I bought this BATIDORA that actually works as a mixing uma not bat at all. Until a banana (Not frozen) is not capable of batteries, out banana pieces in the batter. it is simply useless. The return will have on time. No srive me or for the simplest tasks. Fatal</v>
      </c>
    </row>
    <row r="8263">
      <c r="A8263" s="1">
        <v>4.0</v>
      </c>
      <c r="B8263" s="1" t="s">
        <v>8201</v>
      </c>
      <c r="C8263" t="str">
        <f>IFERROR(__xludf.DUMMYFUNCTION("GOOGLETRANSLATE(B8263, ""es"", ""en"")"),"Puma shoes for entretiempo The fabric is a little velvety, good quality although little transpires. The design is very well")</f>
        <v>Puma shoes for entretiempo The fabric is a little velvety, good quality although little transpires. The design is very well</v>
      </c>
    </row>
    <row r="8264">
      <c r="A8264" s="1">
        <v>4.0</v>
      </c>
      <c r="B8264" s="1" t="s">
        <v>8202</v>
      </c>
      <c r="C8264" t="str">
        <f>IFERROR(__xludf.DUMMYFUNCTION("GOOGLETRANSLATE(B8264, ""es"", ""en"")"),"Comfortable and adjusted By the way l price is 17 € worth")</f>
        <v>Comfortable and adjusted By the way l price is 17 € worth</v>
      </c>
    </row>
    <row r="8265">
      <c r="A8265" s="1">
        <v>4.0</v>
      </c>
      <c r="B8265" s="1" t="s">
        <v>8203</v>
      </c>
      <c r="C8265" t="str">
        <f>IFERROR(__xludf.DUMMYFUNCTION("GOOGLETRANSLATE(B8265, ""es"", ""en"")"),"Very good is fine. Good massage and heat.")</f>
        <v>Very good is fine. Good massage and heat.</v>
      </c>
    </row>
    <row r="8266">
      <c r="A8266" s="1">
        <v>4.0</v>
      </c>
      <c r="B8266" s="1" t="s">
        <v>8204</v>
      </c>
      <c r="C8266" t="str">
        <f>IFERROR(__xludf.DUMMYFUNCTION("GOOGLETRANSLATE(B8266, ""es"", ""en"")"),"Value Card optimum ratio So it fulfills its mission properly. It is class 10 so it works very well to work with latest mobile phones that shoot and record video in high quality and high resolutions.")</f>
        <v>Value Card optimum ratio So it fulfills its mission properly. It is class 10 so it works very well to work with latest mobile phones that shoot and record video in high quality and high resolutions.</v>
      </c>
    </row>
    <row r="8267">
      <c r="A8267" s="1">
        <v>5.0</v>
      </c>
      <c r="B8267" s="1" t="s">
        <v>8205</v>
      </c>
      <c r="C8267" t="str">
        <f>IFERROR(__xludf.DUMMYFUNCTION("GOOGLETRANSLATE(B8267, ""es"", ""en"")"),"The rings are very happy strong and resilient and rubber outside is not a good idea to fold documents")</f>
        <v>The rings are very happy strong and resilient and rubber outside is not a good idea to fold documents</v>
      </c>
    </row>
    <row r="8268">
      <c r="A8268" s="1">
        <v>5.0</v>
      </c>
      <c r="B8268" s="1" t="s">
        <v>8206</v>
      </c>
      <c r="C8268" t="str">
        <f>IFERROR(__xludf.DUMMYFUNCTION("GOOGLETRANSLATE(B8268, ""es"", ""en"")"),"Good choice They are very good, are very comfortable and the perfect size are very handsome and fit perfectly with the tab system")</f>
        <v>Good choice They are very good, are very comfortable and the perfect size are very handsome and fit perfectly with the tab system</v>
      </c>
    </row>
    <row r="8269">
      <c r="A8269" s="1">
        <v>5.0</v>
      </c>
      <c r="B8269" s="1" t="s">
        <v>8207</v>
      </c>
      <c r="C8269" t="str">
        <f>IFERROR(__xludf.DUMMYFUNCTION("GOOGLETRANSLATE(B8269, ""es"", ""en"")"),"I really like is small, practical, hard enough and turns itself off if it runs out of water. I use it in the afternoon so you can wet the room before bedtime. I put a few drops of lavender and smells divine. The lights change color and create a relaxed at"&amp;"mosphere.")</f>
        <v>I really like is small, practical, hard enough and turns itself off if it runs out of water. I use it in the afternoon so you can wet the room before bedtime. I put a few drops of lavender and smells divine. The lights change color and create a relaxed atmosphere.</v>
      </c>
    </row>
    <row r="8270">
      <c r="A8270" s="1">
        <v>5.0</v>
      </c>
      <c r="B8270" s="1" t="s">
        <v>8208</v>
      </c>
      <c r="C8270" t="str">
        <f>IFERROR(__xludf.DUMMYFUNCTION("GOOGLETRANSLATE(B8270, ""es"", ""en"")"),"Perfect. All perfect thanks. Fast delivery and product an 10. Boots of very good quality. They are not the first that I have, I'll keep buying this brand.")</f>
        <v>Perfect. All perfect thanks. Fast delivery and product an 10. Boots of very good quality. They are not the first that I have, I'll keep buying this brand.</v>
      </c>
    </row>
    <row r="8271">
      <c r="A8271" s="1">
        <v>5.0</v>
      </c>
      <c r="B8271" s="1" t="s">
        <v>8209</v>
      </c>
      <c r="C8271" t="str">
        <f>IFERROR(__xludf.DUMMYFUNCTION("GOOGLETRANSLATE(B8271, ""es"", ""en"")"),"Comfortable and functional Mea liked the ease mounting its various lenses i the location of the batteries for your lights. Led Lausus for electronic reading andthe Y to thumbnails")</f>
        <v>Comfortable and functional Mea liked the ease mounting its various lenses i the location of the batteries for your lights. Led Lausus for electronic reading andthe Y to thumbnails</v>
      </c>
    </row>
    <row r="8272">
      <c r="A8272" s="1">
        <v>5.0</v>
      </c>
      <c r="B8272" s="1" t="s">
        <v>8210</v>
      </c>
      <c r="C8272" t="str">
        <f>IFERROR(__xludf.DUMMYFUNCTION("GOOGLETRANSLATE(B8272, ""es"", ""en"")"),"Very handsome Va luxury")</f>
        <v>Very handsome Va luxury</v>
      </c>
    </row>
    <row r="8273">
      <c r="A8273" s="1">
        <v>5.0</v>
      </c>
      <c r="B8273" s="1" t="s">
        <v>8211</v>
      </c>
      <c r="C8273" t="str">
        <f>IFERROR(__xludf.DUMMYFUNCTION("GOOGLETRANSLATE(B8273, ""es"", ""en"")"),"Convenience is a good buy, a bit pricey but you forget vacuuming, comfy programs and forget is loud but do not think there vacuum that no noise does Recommended without a doubt, in the time that I have, about a month")</f>
        <v>Convenience is a good buy, a bit pricey but you forget vacuuming, comfy programs and forget is loud but do not think there vacuum that no noise does Recommended without a doubt, in the time that I have, about a month</v>
      </c>
    </row>
    <row r="8274">
      <c r="A8274" s="1">
        <v>5.0</v>
      </c>
      <c r="B8274" s="1" t="s">
        <v>8212</v>
      </c>
      <c r="C8274" t="str">
        <f>IFERROR(__xludf.DUMMYFUNCTION("GOOGLETRANSLATE(B8274, ""es"", ""en"")"),"High quality, stylized figure are of high quality, had a baby and belly area has great restraint, do not mark anything underneath, stylized figure or I found them very good price and very good quality")</f>
        <v>High quality, stylized figure are of high quality, had a baby and belly area has great restraint, do not mark anything underneath, stylized figure or I found them very good price and very good quality</v>
      </c>
    </row>
    <row r="8275">
      <c r="A8275" s="1">
        <v>5.0</v>
      </c>
      <c r="B8275" s="1" t="s">
        <v>8213</v>
      </c>
      <c r="C8275" t="str">
        <f>IFERROR(__xludf.DUMMYFUNCTION("GOOGLETRANSLATE(B8275, ""es"", ""en"")"),"Fly my PC has rejuvenated a team and years. Happy")</f>
        <v>Fly my PC has rejuvenated a team and years. Happy</v>
      </c>
    </row>
    <row r="8276">
      <c r="A8276" s="1">
        <v>5.0</v>
      </c>
      <c r="B8276" s="1" t="s">
        <v>8214</v>
      </c>
      <c r="C8276" t="str">
        <f>IFERROR(__xludf.DUMMYFUNCTION("GOOGLETRANSLATE(B8276, ""es"", ""en"")"),"Excellent Very satisfied with the purchase. Nothing else wear it, the feeling of robustness and quality makes you look at me again and again of pure satisfaction. The only negative is that having big fingers, the buttons do not work at first and you have "&amp;"to use nails ... But never mind me: I have a big shock.")</f>
        <v>Excellent Very satisfied with the purchase. Nothing else wear it, the feeling of robustness and quality makes you look at me again and again of pure satisfaction. The only negative is that having big fingers, the buttons do not work at first and you have to use nails ... But never mind me: I have a big shock.</v>
      </c>
    </row>
    <row r="8277">
      <c r="A8277" s="1">
        <v>5.0</v>
      </c>
      <c r="B8277" s="1" t="s">
        <v>8215</v>
      </c>
      <c r="C8277" t="str">
        <f>IFERROR(__xludf.DUMMYFUNCTION("GOOGLETRANSLATE(B8277, ""es"", ""en"")"),"Perfect highly recommended. They do not move the heel, are suitable thickness (neither too thin nor too thick), we comfy and leave no bad smell or you sweat more feet (I bought some of Primark that were matadors ... which sweated my feet with He smells th"&amp;"em and they left me no ... what had happened in life. I had to throw them all).")</f>
        <v>Perfect highly recommended. They do not move the heel, are suitable thickness (neither too thin nor too thick), we comfy and leave no bad smell or you sweat more feet (I bought some of Primark that were matadors ... which sweated my feet with He smells them and they left me no ... what had happened in life. I had to throw them all).</v>
      </c>
    </row>
    <row r="8278">
      <c r="A8278" s="1">
        <v>5.0</v>
      </c>
      <c r="B8278" s="1" t="s">
        <v>8216</v>
      </c>
      <c r="C8278" t="str">
        <f>IFERROR(__xludf.DUMMYFUNCTION("GOOGLETRANSLATE(B8278, ""es"", ""en"")"),"The wireless carrier comfortable headphones have been testing a couple of days and I find them very comfortable and lightweight. They bring different gummies to adjust the handset to the ear of each user. The presentation of the product is very good. I ha"&amp;"ve paired with Android and Iphone and went to the first. I can not quibble, pretty good.")</f>
        <v>The wireless carrier comfortable headphones have been testing a couple of days and I find them very comfortable and lightweight. They bring different gummies to adjust the handset to the ear of each user. The presentation of the product is very good. I have paired with Android and Iphone and went to the first. I can not quibble, pretty good.</v>
      </c>
    </row>
    <row r="8279">
      <c r="A8279" s="1">
        <v>5.0</v>
      </c>
      <c r="B8279" s="1" t="s">
        <v>8217</v>
      </c>
      <c r="C8279" t="str">
        <f>IFERROR(__xludf.DUMMYFUNCTION("GOOGLETRANSLATE(B8279, ""es"", ""en"")"),"Very good sound come with a carrying case and various parts plugs, which is fine for your care. They are very comfortable and lightweight, once you are wearing, you forget you're wearing. As for calls, you hear very well and with whom I have spoken hear m"&amp;"e perfectly, without cuts. The quality / price ratio is superior.")</f>
        <v>Very good sound come with a carrying case and various parts plugs, which is fine for your care. They are very comfortable and lightweight, once you are wearing, you forget you're wearing. As for calls, you hear very well and with whom I have spoken hear me perfectly, without cuts. The quality / price ratio is superior.</v>
      </c>
    </row>
    <row r="8280">
      <c r="A8280" s="1">
        <v>5.0</v>
      </c>
      <c r="B8280" s="1" t="s">
        <v>8218</v>
      </c>
      <c r="C8280" t="str">
        <f>IFERROR(__xludf.DUMMYFUNCTION("GOOGLETRANSLATE(B8280, ""es"", ""en"")"),"Good choice perfect shopping choice to speed up your computer and put the little money agile team. Highly recommended.")</f>
        <v>Good choice perfect shopping choice to speed up your computer and put the little money agile team. Highly recommended.</v>
      </c>
    </row>
    <row r="8281">
      <c r="A8281" s="1">
        <v>5.0</v>
      </c>
      <c r="B8281" s="1" t="s">
        <v>8219</v>
      </c>
      <c r="C8281" t="str">
        <f>IFERROR(__xludf.DUMMYFUNCTION("GOOGLETRANSLATE(B8281, ""es"", ""en"")"),"Excellent Good product, as the ad says")</f>
        <v>Excellent Good product, as the ad says</v>
      </c>
    </row>
    <row r="8282">
      <c r="A8282" s="1">
        <v>5.0</v>
      </c>
      <c r="B8282" s="1" t="s">
        <v>8220</v>
      </c>
      <c r="C8282" t="str">
        <f>IFERROR(__xludf.DUMMYFUNCTION("GOOGLETRANSLATE(B8282, ""es"", ""en"")"),"Easy to use work any mui perfectly happy with the purchase makes some noise but it does not bother much")</f>
        <v>Easy to use work any mui perfectly happy with the purchase makes some noise but it does not bother much</v>
      </c>
    </row>
    <row r="8283">
      <c r="A8283" s="1">
        <v>5.0</v>
      </c>
      <c r="B8283" s="1" t="s">
        <v>8221</v>
      </c>
      <c r="C8283" t="str">
        <f>IFERROR(__xludf.DUMMYFUNCTION("GOOGLETRANSLATE(B8283, ""es"", ""en"")"),"Quality headphones headphones work great, the sound is clear and high, pair very fast. Bienen pad with two different sizes and are perfect ear and they are tactile. Very good buy and everything within the allotted time.")</f>
        <v>Quality headphones headphones work great, the sound is clear and high, pair very fast. Bienen pad with two different sizes and are perfect ear and they are tactile. Very good buy and everything within the allotted time.</v>
      </c>
    </row>
    <row r="8284">
      <c r="A8284" s="1">
        <v>5.0</v>
      </c>
      <c r="B8284" s="1" t="s">
        <v>8222</v>
      </c>
      <c r="C8284" t="str">
        <f>IFERROR(__xludf.DUMMYFUNCTION("GOOGLETRANSLATE(B8284, ""es"", ""en"")"),"Okay Anda've very well, tasted ice, smoothies, and hard vegetables and fine grinds everything. The first day did some funny smell the engine but then nothing, will start. It washes easily and fit easily complements to the engine. And the biggest supplemen"&amp;"t seems small but is quite spacious and does not slide down, I loved that. The power to regulate the speed and strength are very good too. The beater is what most q have forced the engine because I use a cake mix p and felt a little weak on pallets, but w"&amp;"as well beaten. So far (3 weeks) it's going great.")</f>
        <v>Okay Anda've very well, tasted ice, smoothies, and hard vegetables and fine grinds everything. The first day did some funny smell the engine but then nothing, will start. It washes easily and fit easily complements to the engine. And the biggest supplement seems small but is quite spacious and does not slide down, I loved that. The power to regulate the speed and strength are very good too. The beater is what most q have forced the engine because I use a cake mix p and felt a little weak on pallets, but was well beaten. So far (3 weeks) it's going great.</v>
      </c>
    </row>
    <row r="8285">
      <c r="A8285" s="1">
        <v>2.0</v>
      </c>
      <c r="B8285" s="1" t="s">
        <v>8223</v>
      </c>
      <c r="C8285" t="str">
        <f>IFERROR(__xludf.DUMMYFUNCTION("GOOGLETRANSLATE(B8285, ""es"", ""en"")"),"It is not maintained. You put two stars because the function of removing popeos / sibilance makes it perfectly But if you want to put the bottom up is not maintained, and have to walk juggling it locks in place. I try a little, but surely it back.")</f>
        <v>It is not maintained. You put two stars because the function of removing popeos / sibilance makes it perfectly But if you want to put the bottom up is not maintained, and have to walk juggling it locks in place. I try a little, but surely it back.</v>
      </c>
    </row>
    <row r="8286">
      <c r="A8286" s="1">
        <v>3.0</v>
      </c>
      <c r="B8286" s="1" t="s">
        <v>8224</v>
      </c>
      <c r="C8286" t="str">
        <f>IFERROR(__xludf.DUMMYFUNCTION("GOOGLETRANSLATE(B8286, ""es"", ""en"")"),"Lorena does not have to hang from the neck pocket only. Nice but I wanted the necklace. A greeting. Short hanging")</f>
        <v>Lorena does not have to hang from the neck pocket only. Nice but I wanted the necklace. A greeting. Short hanging</v>
      </c>
    </row>
    <row r="8287">
      <c r="A8287" s="1">
        <v>3.0</v>
      </c>
      <c r="B8287" s="1" t="s">
        <v>8225</v>
      </c>
      <c r="C8287" t="str">
        <f>IFERROR(__xludf.DUMMYFUNCTION("GOOGLETRANSLATE(B8287, ""es"", ""en"")"),"Plus or minus one foot is not much right")</f>
        <v>Plus or minus one foot is not much right</v>
      </c>
    </row>
    <row r="8288">
      <c r="A8288" s="1">
        <v>1.0</v>
      </c>
      <c r="B8288" s="1" t="s">
        <v>8226</v>
      </c>
      <c r="C8288" t="str">
        <f>IFERROR(__xludf.DUMMYFUNCTION("GOOGLETRANSLATE(B8288, ""es"", ""en"")"),"Sponges are only 3 Eye with this product since only three sponges are 3 packages as it was at the time. The price is a robbery.")</f>
        <v>Sponges are only 3 Eye with this product since only three sponges are 3 packages as it was at the time. The price is a robbery.</v>
      </c>
    </row>
    <row r="8289">
      <c r="A8289" s="1">
        <v>1.0</v>
      </c>
      <c r="B8289" s="1" t="s">
        <v>8227</v>
      </c>
      <c r="C8289" t="str">
        <f>IFERROR(__xludf.DUMMYFUNCTION("GOOGLETRANSLATE(B8289, ""es"", ""en"")"),"I sent an ekectrica pad a lower blanket that and bought and urgently need heating pad due to travel")</f>
        <v>I sent an ekectrica pad a lower blanket that and bought and urgently need heating pad due to travel</v>
      </c>
    </row>
    <row r="8290">
      <c r="A8290" s="1">
        <v>4.0</v>
      </c>
      <c r="B8290" s="1" t="s">
        <v>8228</v>
      </c>
      <c r="C8290" t="str">
        <f>IFERROR(__xludf.DUMMYFUNCTION("GOOGLETRANSLATE(B8290, ""es"", ""en"")"),"Plastic lenses Good price, but the lenses are plastic")</f>
        <v>Plastic lenses Good price, but the lenses are plastic</v>
      </c>
    </row>
    <row r="8291">
      <c r="A8291" s="1">
        <v>4.0</v>
      </c>
      <c r="B8291" s="1" t="s">
        <v>8229</v>
      </c>
      <c r="C8291" t="str">
        <f>IFERROR(__xludf.DUMMYFUNCTION("GOOGLETRANSLATE(B8291, ""es"", ""en"")"),"Top great and strong top holding strong and resistant to impacts and jumping sport, it is correct to use these activities, endures because I use large size bra because in normal use the top 110 and this holds me very well.")</f>
        <v>Top great and strong top holding strong and resistant to impacts and jumping sport, it is correct to use these activities, endures because I use large size bra because in normal use the top 110 and this holds me very well.</v>
      </c>
    </row>
    <row r="8292">
      <c r="A8292" s="1">
        <v>4.0</v>
      </c>
      <c r="B8292" s="1" t="s">
        <v>8230</v>
      </c>
      <c r="C8292" t="str">
        <f>IFERROR(__xludf.DUMMYFUNCTION("GOOGLETRANSLATE(B8292, ""es"", ""en"")"),"Good backpack Very good backpack. Maybe a little big but perfect for carrying everything you need. The material is first.")</f>
        <v>Good backpack Very good backpack. Maybe a little big but perfect for carrying everything you need. The material is first.</v>
      </c>
    </row>
    <row r="8293">
      <c r="A8293" s="1">
        <v>4.0</v>
      </c>
      <c r="B8293" s="1" t="s">
        <v>8231</v>
      </c>
      <c r="C8293" t="str">
        <f>IFERROR(__xludf.DUMMYFUNCTION("GOOGLETRANSLATE(B8293, ""es"", ""en"")"),"larger size of marking Bigger than expected")</f>
        <v>larger size of marking Bigger than expected</v>
      </c>
    </row>
    <row r="8294">
      <c r="A8294" s="1">
        <v>4.0</v>
      </c>
      <c r="B8294" s="1" t="s">
        <v>8232</v>
      </c>
      <c r="C8294" t="str">
        <f>IFERROR(__xludf.DUMMYFUNCTION("GOOGLETRANSLATE(B8294, ""es"", ""en"")"),"Expected for this brand The classic services!")</f>
        <v>Expected for this brand The classic services!</v>
      </c>
    </row>
    <row r="8295">
      <c r="A8295" s="1">
        <v>5.0</v>
      </c>
      <c r="B8295" s="1" t="s">
        <v>8233</v>
      </c>
      <c r="C8295" t="str">
        <f>IFERROR(__xludf.DUMMYFUNCTION("GOOGLETRANSLATE(B8295, ""es"", ""en"")"),"Wonderful comfort perfect, my wife uses them almost daily and is pleased with them. Good model of a great brand, comfortable, flexible, warm and give a good ride even on long rides")</f>
        <v>Wonderful comfort perfect, my wife uses them almost daily and is pleased with them. Good model of a great brand, comfortable, flexible, warm and give a good ride even on long rides</v>
      </c>
    </row>
    <row r="8296">
      <c r="A8296" s="1">
        <v>5.0</v>
      </c>
      <c r="B8296" s="1" t="s">
        <v>8234</v>
      </c>
      <c r="C8296" t="str">
        <f>IFERROR(__xludf.DUMMYFUNCTION("GOOGLETRANSLATE(B8296, ""es"", ""en"")"),"Talking Clock is very nice. It works very well, it sounds good too. It comes in a presentation box.")</f>
        <v>Talking Clock is very nice. It works very well, it sounds good too. It comes in a presentation box.</v>
      </c>
    </row>
    <row r="8297">
      <c r="A8297" s="1">
        <v>5.0</v>
      </c>
      <c r="B8297" s="1" t="s">
        <v>8235</v>
      </c>
      <c r="C8297" t="str">
        <f>IFERROR(__xludf.DUMMYFUNCTION("GOOGLETRANSLATE(B8297, ""es"", ""en"")"),"A watch Carles be exceptional for sun and have everything you could necesitar..se broke me watch this same model that I paid 52 € and now the same for 34 € in great Amazon..Funciona.")</f>
        <v>A watch Carles be exceptional for sun and have everything you could necesitar..se broke me watch this same model that I paid 52 € and now the same for 34 € in great Amazon..Funciona.</v>
      </c>
    </row>
    <row r="8298">
      <c r="A8298" s="1">
        <v>5.0</v>
      </c>
      <c r="B8298" s="1" t="s">
        <v>8236</v>
      </c>
      <c r="C8298" t="str">
        <f>IFERROR(__xludf.DUMMYFUNCTION("GOOGLETRANSLATE(B8298, ""es"", ""en"")"),"buenisimo I loved cordless massager is very good and I ask another to give away and look good because isa good right masajeador.todo arrived when expected")</f>
        <v>buenisimo I loved cordless massager is very good and I ask another to give away and look good because isa good right masajeador.todo arrived when expected</v>
      </c>
    </row>
    <row r="8299">
      <c r="A8299" s="1">
        <v>5.0</v>
      </c>
      <c r="B8299" s="1" t="s">
        <v>8237</v>
      </c>
      <c r="C8299" t="str">
        <f>IFERROR(__xludf.DUMMYFUNCTION("GOOGLETRANSLATE(B8299, ""es"", ""en"")"),"I caught a very comfortable size L, something big for me, but the elastic be fit me perfect. Very fine and pleasant, I have some time and are in good condition. Definitely buy them again.")</f>
        <v>I caught a very comfortable size L, something big for me, but the elastic be fit me perfect. Very fine and pleasant, I have some time and are in good condition. Definitely buy them again.</v>
      </c>
    </row>
    <row r="8300">
      <c r="A8300" s="1">
        <v>5.0</v>
      </c>
      <c r="B8300" s="1" t="s">
        <v>8238</v>
      </c>
      <c r="C8300" t="str">
        <f>IFERROR(__xludf.DUMMYFUNCTION("GOOGLETRANSLATE(B8300, ""es"", ""en"")"),"The best value Va amedida of the apparatus of vileda and value for money is excellent. So it is a recommended purchase fully,")</f>
        <v>The best value Va amedida of the apparatus of vileda and value for money is excellent. So it is a recommended purchase fully,</v>
      </c>
    </row>
    <row r="8301">
      <c r="A8301" s="1">
        <v>5.0</v>
      </c>
      <c r="B8301" s="1" t="s">
        <v>8239</v>
      </c>
      <c r="C8301" t="str">
        <f>IFERROR(__xludf.DUMMYFUNCTION("GOOGLETRANSLATE(B8301, ""es"", ""en"")"),"I love. They fit, carve well and are well cut and sewn. Good price.")</f>
        <v>I love. They fit, carve well and are well cut and sewn. Good price.</v>
      </c>
    </row>
    <row r="8302">
      <c r="A8302" s="1">
        <v>5.0</v>
      </c>
      <c r="B8302" s="1" t="s">
        <v>8240</v>
      </c>
      <c r="C8302" t="str">
        <f>IFERROR(__xludf.DUMMYFUNCTION("GOOGLETRANSLATE(B8302, ""es"", ""en"")"),"perfect price quality I recommend this watch to all lovers of sports, it is hard and perfect for your practice. To me it has given me an excellent result.")</f>
        <v>perfect price quality I recommend this watch to all lovers of sports, it is hard and perfect for your practice. To me it has given me an excellent result.</v>
      </c>
    </row>
    <row r="8303">
      <c r="A8303" s="1">
        <v>5.0</v>
      </c>
      <c r="B8303" s="1" t="s">
        <v>8241</v>
      </c>
      <c r="C8303" t="str">
        <f>IFERROR(__xludf.DUMMYFUNCTION("GOOGLETRANSLATE(B8303, ""es"", ""en"")"),"smooth I love the design. Not the typical blender because it is much more manageable and easy to transportar.Pequeña, lightweight and portable, Bate fine fresh fruit and comes to clean a sponge but I have not used, because with the same blender and little"&amp;" detergent can be done without problems.")</f>
        <v>smooth I love the design. Not the typical blender because it is much more manageable and easy to transportar.Pequeña, lightweight and portable, Bate fine fresh fruit and comes to clean a sponge but I have not used, because with the same blender and little detergent can be done without problems.</v>
      </c>
    </row>
    <row r="8304">
      <c r="A8304" s="1">
        <v>5.0</v>
      </c>
      <c r="B8304" s="1" t="s">
        <v>8242</v>
      </c>
      <c r="C8304" t="str">
        <f>IFERROR(__xludf.DUMMYFUNCTION("GOOGLETRANSLATE(B8304, ""es"", ""en"")"),"All right all right, perfect works.")</f>
        <v>All right all right, perfect works.</v>
      </c>
    </row>
    <row r="8305">
      <c r="A8305" s="1">
        <v>5.0</v>
      </c>
      <c r="B8305" s="1" t="s">
        <v>8243</v>
      </c>
      <c r="C8305" t="str">
        <f>IFERROR(__xludf.DUMMYFUNCTION("GOOGLETRANSLATE(B8305, ""es"", ""en"")"),"Perfect. The problem that the milk comes out is how agilar the bottle to mix. NEVER be done vertically from top to bottom, but with palms on both sides making circular motions on the same axis.")</f>
        <v>Perfect. The problem that the milk comes out is how agilar the bottle to mix. NEVER be done vertically from top to bottom, but with palms on both sides making circular motions on the same axis.</v>
      </c>
    </row>
    <row r="8306">
      <c r="A8306" s="1">
        <v>5.0</v>
      </c>
      <c r="B8306" s="1" t="s">
        <v>8244</v>
      </c>
      <c r="C8306" t="str">
        <f>IFERROR(__xludf.DUMMYFUNCTION("GOOGLETRANSLATE(B8306, ""es"", ""en"")"),"Fast GET ARE PRECIOUS")</f>
        <v>Fast GET ARE PRECIOUS</v>
      </c>
    </row>
    <row r="8307">
      <c r="A8307" s="1">
        <v>5.0</v>
      </c>
      <c r="B8307" s="1" t="s">
        <v>8245</v>
      </c>
      <c r="C8307" t="str">
        <f>IFERROR(__xludf.DUMMYFUNCTION("GOOGLETRANSLATE(B8307, ""es"", ""en"")"),"Much better than it did 90 €, as lima here !! I said a past, a little uncomfortable but he changed muffs for a more comfortable and ready.")</f>
        <v>Much better than it did 90 €, as lima here !! I said a past, a little uncomfortable but he changed muffs for a more comfortable and ready.</v>
      </c>
    </row>
    <row r="8308">
      <c r="A8308" s="1">
        <v>5.0</v>
      </c>
      <c r="B8308" s="1" t="s">
        <v>8246</v>
      </c>
      <c r="C8308" t="str">
        <f>IFERROR(__xludf.DUMMYFUNCTION("GOOGLETRANSLATE(B8308, ""es"", ""en"")"),"very, very happy Functions are ok the only thing missing is the level of charger and radio but the rest is perfect")</f>
        <v>very, very happy Functions are ok the only thing missing is the level of charger and radio but the rest is perfect</v>
      </c>
    </row>
    <row r="8309">
      <c r="A8309" s="1">
        <v>5.0</v>
      </c>
      <c r="B8309" s="1" t="s">
        <v>8247</v>
      </c>
      <c r="C8309" t="str">
        <f>IFERROR(__xludf.DUMMYFUNCTION("GOOGLETRANSLATE(B8309, ""es"", ""en"")"),"Very good product memory card designed to record in 4K Gopro offers excellent performance and no snitching videos. 100% recommended. I put the negative note not to bring a USB adapter that is always more versatile than the SD card. Otherwise very happy wi"&amp;"th the card, quality unbeatable price.")</f>
        <v>Very good product memory card designed to record in 4K Gopro offers excellent performance and no snitching videos. 100% recommended. I put the negative note not to bring a USB adapter that is always more versatile than the SD card. Otherwise very happy with the card, quality unbeatable price.</v>
      </c>
    </row>
    <row r="8310">
      <c r="A8310" s="1">
        <v>5.0</v>
      </c>
      <c r="B8310" s="1" t="s">
        <v>8248</v>
      </c>
      <c r="C8310" t="str">
        <f>IFERROR(__xludf.DUMMYFUNCTION("GOOGLETRANSLATE(B8310, ""es"", ""en"")"),"Spanish shoes excellent quality looks at first glance that is good genre. Bring bag and put them box where solid and reusable cardboard. Worth buying domestic product in exchange for quality. 1 NUMBER OF ORDER MORE tengais which, as a general rule in all "&amp;"shoe (these sneakers pull to be somewhat narrow and fair, asking a number of more to me are perfect). Worth paying a little more and support the national industry, offering excellent products).")</f>
        <v>Spanish shoes excellent quality looks at first glance that is good genre. Bring bag and put them box where solid and reusable cardboard. Worth buying domestic product in exchange for quality. 1 NUMBER OF ORDER MORE tengais which, as a general rule in all shoe (these sneakers pull to be somewhat narrow and fair, asking a number of more to me are perfect). Worth paying a little more and support the national industry, offering excellent products).</v>
      </c>
    </row>
    <row r="8311">
      <c r="A8311" s="1">
        <v>5.0</v>
      </c>
      <c r="B8311" s="1" t="s">
        <v>8249</v>
      </c>
      <c r="C8311" t="str">
        <f>IFERROR(__xludf.DUMMYFUNCTION("GOOGLETRANSLATE(B8311, ""es"", ""en"")"),"Divine sound for its price. I've tried similar sounding more expensive and worse. All these models ""button"" and case, this is the most spartan. No indicator in the case of battery level. Nor you have cover. And of course the buttons are not touch headph"&amp;"ones (they are membrane button). In addition only it has ipx4 IPX7 rather than as newer models. But they are important. Bluetooth 5 and the best balance of bass and treble all models of that style I've heard. If we add that is the cheapest and best soundi"&amp;"ng ... because we can overlook that your battery is only 380mAh (other models have 600 / 700mAh) and does not have the follies of the battery indicator and cap (they do not fall, the magnetic is very powerful). In summary. Price / quality are the best for"&amp;" sound quality and price but did have some ""extras"" and not have the best battery in the case.")</f>
        <v>Divine sound for its price. I've tried similar sounding more expensive and worse. All these models "button" and case, this is the most spartan. No indicator in the case of battery level. Nor you have cover. And of course the buttons are not touch headphones (they are membrane button). In addition only it has ipx4 IPX7 rather than as newer models. But they are important. Bluetooth 5 and the best balance of bass and treble all models of that style I've heard. If we add that is the cheapest and best sounding ... because we can overlook that your battery is only 380mAh (other models have 600 / 700mAh) and does not have the follies of the battery indicator and cap (they do not fall, the magnetic is very powerful). In summary. Price / quality are the best for sound quality and price but did have some "extras" and not have the best battery in the case.</v>
      </c>
    </row>
    <row r="8312">
      <c r="A8312" s="1">
        <v>5.0</v>
      </c>
      <c r="B8312" s="1" t="s">
        <v>7907</v>
      </c>
      <c r="C8312" t="str">
        <f>IFERROR(__xludf.DUMMYFUNCTION("GOOGLETRANSLATE(B8312, ""es"", ""en"")"),"Ok Perfectas")</f>
        <v>Ok Perfectas</v>
      </c>
    </row>
    <row r="8313">
      <c r="A8313" s="1">
        <v>5.0</v>
      </c>
      <c r="B8313" s="1" t="s">
        <v>369</v>
      </c>
      <c r="C8313" t="str">
        <f>IFERROR(__xludf.DUMMYFUNCTION("GOOGLETRANSLATE(B8313, ""es"", ""en"")"),"It works perfectly perfect")</f>
        <v>It works perfectly perfect</v>
      </c>
    </row>
    <row r="8314">
      <c r="A8314" s="1">
        <v>2.0</v>
      </c>
      <c r="B8314" s="1" t="s">
        <v>8250</v>
      </c>
      <c r="C8314" t="str">
        <f>IFERROR(__xludf.DUMMYFUNCTION("GOOGLETRANSLATE(B8314, ""es"", ""en"")"),"Bad product is a product of poor quality, these products have to see them, touch them and try them before comprarlos.Por that price you'd think inlcuso cheap but for that price you could expect something better.")</f>
        <v>Bad product is a product of poor quality, these products have to see them, touch them and try them before comprarlos.Por that price you'd think inlcuso cheap but for that price you could expect something better.</v>
      </c>
    </row>
    <row r="8315">
      <c r="A8315" s="1">
        <v>3.0</v>
      </c>
      <c r="B8315" s="1" t="s">
        <v>8251</v>
      </c>
      <c r="C8315" t="str">
        <f>IFERROR(__xludf.DUMMYFUNCTION("GOOGLETRANSLATE(B8315, ""es"", ""en"")"),"Worn stack is good for swimming but I bought less than a year and ran out of battery")</f>
        <v>Worn stack is good for swimming but I bought less than a year and ran out of battery</v>
      </c>
    </row>
    <row r="8316">
      <c r="A8316" s="1">
        <v>3.0</v>
      </c>
      <c r="B8316" s="1" t="s">
        <v>8252</v>
      </c>
      <c r="C8316" t="str">
        <f>IFERROR(__xludf.DUMMYFUNCTION("GOOGLETRANSLATE(B8316, ""es"", ""en"")"),"Good quality Quality is very good and comfortable and calentitas are, but too small, you have to ask 2 or 3 numbers plus at least ...")</f>
        <v>Good quality Quality is very good and comfortable and calentitas are, but too small, you have to ask 2 or 3 numbers plus at least ...</v>
      </c>
    </row>
    <row r="8317">
      <c r="A8317" s="1">
        <v>1.0</v>
      </c>
      <c r="B8317" s="1" t="s">
        <v>8253</v>
      </c>
      <c r="C8317" t="str">
        <f>IFERROR(__xludf.DUMMYFUNCTION("GOOGLETRANSLATE(B8317, ""es"", ""en"")"),"Mete pops and clicks to Cape time the noise gets very thin and delicate cable. Probare to buy another of higher quality. a greeting")</f>
        <v>Mete pops and clicks to Cape time the noise gets very thin and delicate cable. Probare to buy another of higher quality. a greeting</v>
      </c>
    </row>
    <row r="8318">
      <c r="A8318" s="1">
        <v>1.0</v>
      </c>
      <c r="B8318" s="1" t="s">
        <v>8254</v>
      </c>
      <c r="C8318" t="str">
        <f>IFERROR(__xludf.DUMMYFUNCTION("GOOGLETRANSLATE(B8318, ""es"", ""en"")"),"No you buy some not to like anything, are cardboard, or even that, very soft, single use and were folded and arrived in poor condition, not recommend")</f>
        <v>No you buy some not to like anything, are cardboard, or even that, very soft, single use and were folded and arrived in poor condition, not recommend</v>
      </c>
    </row>
    <row r="8319">
      <c r="A8319" s="1">
        <v>4.0</v>
      </c>
      <c r="B8319" s="1" t="s">
        <v>8255</v>
      </c>
      <c r="C8319" t="str">
        <f>IFERROR(__xludf.DUMMYFUNCTION("GOOGLETRANSLATE(B8319, ""es"", ""en"")"),"They are huge, but .... ... nobody seems to notice: Under the photo of the product itself, where the foot with orange sock has the heel in place, and foot with purple sock has the heel height of the ankle, which is how we have both me having a 43-46 size "&amp;"46 feet, as my wife having 36-38 38 standing. Ie having two foot maximum range, so they are enormous. So if more than 90% indicates that size will remain as expected, I understand that can not be putting the heel in place, something that the fine be not '"&amp;"bother' and hardly perceived, so some say that the heel it is not reinforced, and if it is, the fabric is slightly thicker, the problem is that reinforcement is left on the final stretch of the Achilles tendon ... Because the bottom of the heel should be "&amp;"on the starting plant where just the stripes of the sole. Solution: We wash (30 ° C) and dryer (delicately), and first washed the heel is near enough to your site. I do not know if they continue shrinking in the same washes or it will be necessary to get "&amp;"hotter ... The've bought to walk, and I personally do not see fit to for more demanding activities, because it is the heel in place or not, are fine, and apart from thinking about breaking the sock we think about the health of our feet. Otherwise good ran"&amp;"ge of colors and price.")</f>
        <v>They are huge, but .... ... nobody seems to notice: Under the photo of the product itself, where the foot with orange sock has the heel in place, and foot with purple sock has the heel height of the ankle, which is how we have both me having a 43-46 size 46 feet, as my wife having 36-38 38 standing. Ie having two foot maximum range, so they are enormous. So if more than 90% indicates that size will remain as expected, I understand that can not be putting the heel in place, something that the fine be not 'bother' and hardly perceived, so some say that the heel it is not reinforced, and if it is, the fabric is slightly thicker, the problem is that reinforcement is left on the final stretch of the Achilles tendon ... Because the bottom of the heel should be on the starting plant where just the stripes of the sole. Solution: We wash (30 ° C) and dryer (delicately), and first washed the heel is near enough to your site. I do not know if they continue shrinking in the same washes or it will be necessary to get hotter ... The've bought to walk, and I personally do not see fit to for more demanding activities, because it is the heel in place or not, are fine, and apart from thinking about breaking the sock we think about the health of our feet. Otherwise good range of colors and price.</v>
      </c>
    </row>
    <row r="8320">
      <c r="A8320" s="1">
        <v>4.0</v>
      </c>
      <c r="B8320" s="1" t="s">
        <v>8256</v>
      </c>
      <c r="C8320" t="str">
        <f>IFERROR(__xludf.DUMMYFUNCTION("GOOGLETRANSLATE(B8320, ""es"", ""en"")"),"Very nice Toaster nice retro look, the most striking is the timer that is on the front along with the top rack, has a feature that I love, it is to get up and see, used to view slice without to stop the toaster and having to turn it back on. Supports heat"&amp;"ing rolls while making toast. Has buttons to cancel the toaster, keep hot toast and defrost in addition to the lever we power to operate the toaster. It gives a different touch to my kitchen by design")</f>
        <v>Very nice Toaster nice retro look, the most striking is the timer that is on the front along with the top rack, has a feature that I love, it is to get up and see, used to view slice without to stop the toaster and having to turn it back on. Supports heating rolls while making toast. Has buttons to cancel the toaster, keep hot toast and defrost in addition to the lever we power to operate the toaster. It gives a different touch to my kitchen by design</v>
      </c>
    </row>
    <row r="8321">
      <c r="A8321" s="1">
        <v>4.0</v>
      </c>
      <c r="B8321" s="1" t="s">
        <v>8257</v>
      </c>
      <c r="C8321" t="str">
        <f>IFERROR(__xludf.DUMMYFUNCTION("GOOGLETRANSLATE(B8321, ""es"", ""en"")"),"Ease of use works but somewhat slow")</f>
        <v>Ease of use works but somewhat slow</v>
      </c>
    </row>
    <row r="8322">
      <c r="A8322" s="1">
        <v>4.0</v>
      </c>
      <c r="B8322" s="1" t="s">
        <v>8258</v>
      </c>
      <c r="C8322" t="str">
        <f>IFERROR(__xludf.DUMMYFUNCTION("GOOGLETRANSLATE(B8322, ""es"", ""en"")"),"Bluetooth headphones I personally do fall, nor do I apply to what I bought, it was to run. Battery can not speak have not served because as I have not given much use, I will give them to a friend. Regarding the seller, say the best I've seen. After evalua"&amp;"ting the product, I wrote to tell me they were sending me other headphones if they were defective. I tell them I do not want to send me because I think others like that are not defective, some headphones fit well for some and not others simply can shape t"&amp;"he ear. Then they answer me and tell me that I have to send a different model. The truth very happy.")</f>
        <v>Bluetooth headphones I personally do fall, nor do I apply to what I bought, it was to run. Battery can not speak have not served because as I have not given much use, I will give them to a friend. Regarding the seller, say the best I've seen. After evaluating the product, I wrote to tell me they were sending me other headphones if they were defective. I tell them I do not want to send me because I think others like that are not defective, some headphones fit well for some and not others simply can shape the ear. Then they answer me and tell me that I have to send a different model. The truth very happy.</v>
      </c>
    </row>
    <row r="8323">
      <c r="A8323" s="1">
        <v>4.0</v>
      </c>
      <c r="B8323" s="1" t="s">
        <v>8259</v>
      </c>
      <c r="C8323" t="str">
        <f>IFERROR(__xludf.DUMMYFUNCTION("GOOGLETRANSLATE(B8323, ""es"", ""en"")"),"Very strong magnets Magnets have loads of force. The problem is that I thought were larger and somewhat thicker, as shown in the photo. He needed to make drawings with fridge magnets and for my taste are too small.")</f>
        <v>Very strong magnets Magnets have loads of force. The problem is that I thought were larger and somewhat thicker, as shown in the photo. He needed to make drawings with fridge magnets and for my taste are too small.</v>
      </c>
    </row>
    <row r="8324">
      <c r="A8324" s="1">
        <v>5.0</v>
      </c>
      <c r="B8324" s="1" t="s">
        <v>8260</v>
      </c>
      <c r="C8324" t="str">
        <f>IFERROR(__xludf.DUMMYFUNCTION("GOOGLETRANSLATE(B8324, ""es"", ""en"")"),"Caesar Stephen Martin Ollero Exceptional sports shoes, highly desirable premiered rain and demonstrated impermeability, very suitable for people over 80 kilos")</f>
        <v>Caesar Stephen Martin Ollero Exceptional sports shoes, highly desirable premiered rain and demonstrated impermeability, very suitable for people over 80 kilos</v>
      </c>
    </row>
    <row r="8325">
      <c r="A8325" s="1">
        <v>5.0</v>
      </c>
      <c r="B8325" s="1" t="s">
        <v>8261</v>
      </c>
      <c r="C8325" t="str">
        <f>IFERROR(__xludf.DUMMYFUNCTION("GOOGLETRANSLATE(B8325, ""es"", ""en"")"),"Ideal has been a great gift. He liked it.")</f>
        <v>Ideal has been a great gift. He liked it.</v>
      </c>
    </row>
    <row r="8326">
      <c r="A8326" s="1">
        <v>5.0</v>
      </c>
      <c r="B8326" s="1" t="s">
        <v>8262</v>
      </c>
      <c r="C8326" t="str">
        <f>IFERROR(__xludf.DUMMYFUNCTION("GOOGLETRANSLATE(B8326, ""es"", ""en"")"),"It meets filer good function and is tough. It has a good quality and plenty of space and also has a very good price / quality ratio")</f>
        <v>It meets filer good function and is tough. It has a good quality and plenty of space and also has a very good price / quality ratio</v>
      </c>
    </row>
    <row r="8327">
      <c r="A8327" s="1">
        <v>5.0</v>
      </c>
      <c r="B8327" s="1" t="s">
        <v>8263</v>
      </c>
      <c r="C8327" t="str">
        <f>IFERROR(__xludf.DUMMYFUNCTION("GOOGLETRANSLATE(B8327, ""es"", ""en"")"),"North Face quality With no fault tee highest quality and perfect sizing")</f>
        <v>North Face quality With no fault tee highest quality and perfect sizing</v>
      </c>
    </row>
    <row r="8328">
      <c r="A8328" s="1">
        <v>5.0</v>
      </c>
      <c r="B8328" s="1" t="s">
        <v>8264</v>
      </c>
      <c r="C8328" t="str">
        <f>IFERROR(__xludf.DUMMYFUNCTION("GOOGLETRANSLATE(B8328, ""es"", ""en"")"),"Treble and bass acceptable ... The only downside is you put the length of the cable, compared to other short-something, is one meter. Treble and bass sounds acceptable for the price you ... Small footprint when ""collected"".")</f>
        <v>Treble and bass acceptable ... The only downside is you put the length of the cable, compared to other short-something, is one meter. Treble and bass sounds acceptable for the price you ... Small footprint when "collected".</v>
      </c>
    </row>
    <row r="8329">
      <c r="A8329" s="1">
        <v>5.0</v>
      </c>
      <c r="B8329" s="1" t="s">
        <v>8265</v>
      </c>
      <c r="C8329" t="str">
        <f>IFERROR(__xludf.DUMMYFUNCTION("GOOGLETRANSLATE(B8329, ""es"", ""en"")"),"Very funny!! Very fun and very easy to use, great gift.")</f>
        <v>Very funny!! Very fun and very easy to use, great gift.</v>
      </c>
    </row>
    <row r="8330">
      <c r="A8330" s="1">
        <v>5.0</v>
      </c>
      <c r="B8330" s="1" t="s">
        <v>8266</v>
      </c>
      <c r="C8330" t="str">
        <f>IFERROR(__xludf.DUMMYFUNCTION("GOOGLETRANSLATE(B8330, ""es"", ""en"")"),"Soft and comfortable, it looks like wool buy a heating pad when I'm cold, it's Size Large and width: 50 * 80cm, each when cold of my feet was like frozen, this me is perfect and comfortable with very soft furry, it can be used also for the back, shoulders"&amp;", and he remained as the blanket, heat up to 4 levels, also whistle when pain my father's waist. Very nice bottle green")</f>
        <v>Soft and comfortable, it looks like wool buy a heating pad when I'm cold, it's Size Large and width: 50 * 80cm, each when cold of my feet was like frozen, this me is perfect and comfortable with very soft furry, it can be used also for the back, shoulders, and he remained as the blanket, heat up to 4 levels, also whistle when pain my father's waist. Very nice bottle green</v>
      </c>
    </row>
    <row r="8331">
      <c r="A8331" s="1">
        <v>5.0</v>
      </c>
      <c r="B8331" s="1" t="s">
        <v>8267</v>
      </c>
      <c r="C8331" t="str">
        <f>IFERROR(__xludf.DUMMYFUNCTION("GOOGLETRANSLATE(B8331, ""es"", ""en"")"),"Beautiful and comfortable I really like the color as is. I wear either alone or under dressed as the rosita I wear. It's very comfortable. I ordered a size larger and I was lucky that I use.")</f>
        <v>Beautiful and comfortable I really like the color as is. I wear either alone or under dressed as the rosita I wear. It's very comfortable. I ordered a size larger and I was lucky that I use.</v>
      </c>
    </row>
    <row r="8332">
      <c r="A8332" s="1">
        <v>5.0</v>
      </c>
      <c r="B8332" s="1" t="s">
        <v>8268</v>
      </c>
      <c r="C8332" t="str">
        <f>IFERROR(__xludf.DUMMYFUNCTION("GOOGLETRANSLATE(B8332, ""es"", ""en"")"),"Fast and versatile This time I bought the microSD card 200 GBs. It comes with an SD adapter to connect it to your computer using a card reader or other adapter. I tried to copy some videos of several GBs, to test the transfer rate and is quite fast. I sco"&amp;"red about 40 MB / s on your computer (because the reader is old) and moving up to about 65 MB / s. I currently have a 32 GBs on mobile and there is not much difference in speed (for the reader guess), but it is great 200 GBs card because I do a lot of pho"&amp;"tos and videos and full once you have now. Also puts the carton there is an app for mobile to manage photos and videos (among others) easily. The truth is that it is very useful because you grouped into multimedia file types, makes backup and something mo"&amp;"re")</f>
        <v>Fast and versatile This time I bought the microSD card 200 GBs. It comes with an SD adapter to connect it to your computer using a card reader or other adapter. I tried to copy some videos of several GBs, to test the transfer rate and is quite fast. I scored about 40 MB / s on your computer (because the reader is old) and moving up to about 65 MB / s. I currently have a 32 GBs on mobile and there is not much difference in speed (for the reader guess), but it is great 200 GBs card because I do a lot of photos and videos and full once you have now. Also puts the carton there is an app for mobile to manage photos and videos (among others) easily. The truth is that it is very useful because you grouped into multimedia file types, makes backup and something more</v>
      </c>
    </row>
    <row r="8333">
      <c r="A8333" s="1">
        <v>5.0</v>
      </c>
      <c r="B8333" s="1" t="s">
        <v>8269</v>
      </c>
      <c r="C8333" t="str">
        <f>IFERROR(__xludf.DUMMYFUNCTION("GOOGLETRANSLATE(B8333, ""es"", ""en"")"),"It shows that are precious quality. The first day I had the bad luck that it rained, and I could not avoid wetting them. The dry well for a couple of days and have not been damaged. Very happy.")</f>
        <v>It shows that are precious quality. The first day I had the bad luck that it rained, and I could not avoid wetting them. The dry well for a couple of days and have not been damaged. Very happy.</v>
      </c>
    </row>
    <row r="8334">
      <c r="A8334" s="1">
        <v>5.0</v>
      </c>
      <c r="B8334" s="1" t="s">
        <v>8270</v>
      </c>
      <c r="C8334" t="str">
        <f>IFERROR(__xludf.DUMMYFUNCTION("GOOGLETRANSLATE(B8334, ""es"", ""en"")"),"nice I liked it, do not know how long it will stay bright, but for the price it seems a good buy")</f>
        <v>nice I liked it, do not know how long it will stay bright, but for the price it seems a good buy</v>
      </c>
    </row>
    <row r="8335">
      <c r="A8335" s="1">
        <v>5.0</v>
      </c>
      <c r="B8335" s="1" t="s">
        <v>8271</v>
      </c>
      <c r="C8335" t="str">
        <f>IFERROR(__xludf.DUMMYFUNCTION("GOOGLETRANSLATE(B8335, ""es"", ""en"")"),"Great My wife is delighted, I do it")</f>
        <v>Great My wife is delighted, I do it</v>
      </c>
    </row>
    <row r="8336">
      <c r="A8336" s="1">
        <v>5.0</v>
      </c>
      <c r="B8336" s="1" t="s">
        <v>8272</v>
      </c>
      <c r="C8336" t="str">
        <f>IFERROR(__xludf.DUMMYFUNCTION("GOOGLETRANSLATE(B8336, ""es"", ""en"")"),"SHORT WONDER ALUMINUM AND FILM is the second buy, know the model and what I like is that short where I want and saving and not to pull aluminum so it will not crack down the middle and film should not stretch to reach the final splitting and shrinking. I'"&amp;"m happy with the purchase and would buy without hesitation. There is nothing I do not like.")</f>
        <v>SHORT WONDER ALUMINUM AND FILM is the second buy, know the model and what I like is that short where I want and saving and not to pull aluminum so it will not crack down the middle and film should not stretch to reach the final splitting and shrinking. I'm happy with the purchase and would buy without hesitation. There is nothing I do not like.</v>
      </c>
    </row>
    <row r="8337">
      <c r="A8337" s="1">
        <v>5.0</v>
      </c>
      <c r="B8337" s="1" t="s">
        <v>8273</v>
      </c>
      <c r="C8337" t="str">
        <f>IFERROR(__xludf.DUMMYFUNCTION("GOOGLETRANSLATE(B8337, ""es"", ""en"")"),"I buy works great for PS3 and going great, until today I have not had any problems with")</f>
        <v>I buy works great for PS3 and going great, until today I have not had any problems with</v>
      </c>
    </row>
    <row r="8338">
      <c r="A8338" s="1">
        <v>5.0</v>
      </c>
      <c r="B8338" s="1" t="s">
        <v>8274</v>
      </c>
      <c r="C8338" t="str">
        <f>IFERROR(__xludf.DUMMYFUNCTION("GOOGLETRANSLATE(B8338, ""es"", ""en"")"),"Very good sound quality and today I received the headphones. I bought them because I saw only positive comments. The preparation is well presented, the headphones have their semi-rigid sleeve zip (very nice), the charging cable and some spare parts. Has b"&amp;"een super easy emarejarlo my mobile and my Mp4. What surprised me at all was the sound: For some auricolares this price .... has a great sound (and my ears are accustomed to Bose). Overall, it was a very good buy. The advise!")</f>
        <v>Very good sound quality and today I received the headphones. I bought them because I saw only positive comments. The preparation is well presented, the headphones have their semi-rigid sleeve zip (very nice), the charging cable and some spare parts. Has been super easy emarejarlo my mobile and my Mp4. What surprised me at all was the sound: For some auricolares this price .... has a great sound (and my ears are accustomed to Bose). Overall, it was a very good buy. The advise!</v>
      </c>
    </row>
    <row r="8339">
      <c r="A8339" s="1">
        <v>5.0</v>
      </c>
      <c r="B8339" s="1" t="s">
        <v>8275</v>
      </c>
      <c r="C8339" t="str">
        <f>IFERROR(__xludf.DUMMYFUNCTION("GOOGLETRANSLATE(B8339, ""es"", ""en"")"),"Interesting alternative to typical lycra directed very curious Under Armor this pant. Before you buy, I read some reviews that highlighted the fact that it is a ""hybrid sweatpants polyester and tights lycra"" but, once I have already tried in the gym, I "&amp;"would say they have more in common with lycra tights with a traditional pants. This is because, unless you have ""Quills"" for legs, these pants are you going to be adjusted to them, at least between the knee and ankle. In that part of the leg, these pant"&amp;"s behave like lycra tights. Always. And then, above the knee to the waist, they are more loose and not tightened as much as leggings. In addition, the fabric is thick and comfortable shelters for the winter. Ie nothing to do with the Decathlon mesh barate"&amp;"ras Kalenji. Yet to try me in a running output, but clearly not going to go cold. As for size: Carve large. Ie in doubt (M or L), Go for Mido L. 1,82m and weight 83 kg and M I do well. FINAL 2 COMMENTS: 1) on left leg, halfway up, have logo ""UA"" brand. "&amp;"It would have been great to go REFLECTANTE, but it is not. 2) have zippers at the ankles, although I have not found it necessary to use them to metérmelas.")</f>
        <v>Interesting alternative to typical lycra directed very curious Under Armor this pant. Before you buy, I read some reviews that highlighted the fact that it is a "hybrid sweatpants polyester and tights lycra" but, once I have already tried in the gym, I would say they have more in common with lycra tights with a traditional pants. This is because, unless you have "Quills" for legs, these pants are you going to be adjusted to them, at least between the knee and ankle. In that part of the leg, these pants behave like lycra tights. Always. And then, above the knee to the waist, they are more loose and not tightened as much as leggings. In addition, the fabric is thick and comfortable shelters for the winter. Ie nothing to do with the Decathlon mesh barateras Kalenji. Yet to try me in a running output, but clearly not going to go cold. As for size: Carve large. Ie in doubt (M or L), Go for Mido L. 1,82m and weight 83 kg and M I do well. FINAL 2 COMMENTS: 1) on left leg, halfway up, have logo "UA" brand. It would have been great to go REFLECTANTE, but it is not. 2) have zippers at the ankles, although I have not found it necessary to use them to metérmelas.</v>
      </c>
    </row>
    <row r="8340">
      <c r="A8340" s="1">
        <v>5.0</v>
      </c>
      <c r="B8340" s="1" t="s">
        <v>8276</v>
      </c>
      <c r="C8340" t="str">
        <f>IFERROR(__xludf.DUMMYFUNCTION("GOOGLETRANSLATE(B8340, ""es"", ""en"")"),"Finishes very top &lt;div id = ""video-block-RYWPHY0A5SUVC"" class = ""section a-a-a-spacing-small spacing-top-video mini-block""&gt; &lt;div tabindex = ""0"" class = ""airy airy- svg vmin-unsupported airy-skin-beacon ""style ="" background-color: rgb (0, 0, 0) po"&amp;"sition: relative; width: 100%; height: 100%; font-size: 0px; overflow: hidden; outline: none; ""&gt; &lt;div class ="" airy-renderer-container ""style ="" position: relative; height: 100%; width: 100%; ""&gt; &lt;video id ="" 69 ""preload ="" auto ""src = ""https://i"&amp;"mages-eu.ssl-images-amazon.com/images/I/B1--DgyUgdS.mp4"" style = ""position: absolute; left: 0px; top: 0px; overflow: hidden; height: 1px ; width: 1px; ""&gt; &lt;/ video&gt; &lt;/ div&gt; &lt;div id ="" airy-slate-preload ""style ="" background-color: rgb (0, 0, 0); back"&amp;"ground-image: url (&amp; quot; https://images-eu.ssl-images-amazon.com/images/I/A1qkymuSqUS.png&amp;quot;); background-size: Contain; background-position: center center; background-repeat: no-repeat; position: absolute ; top: 0px; left: 0px; visibility: visible; "&amp;"width: 100%; height: 100%; ""&gt; &lt;/ div&gt; &lt;iframe scrollin g = ""no"" frameborder = ""0"" src = ""about: blank"" style = ""display: none;""&gt; &lt;/ iframe&gt; &lt;div tabindex = ""- 1"" class = ""airy-controls-container"" style = "" opacity: 0; visibility: hidden; ""&gt;"&amp;" &lt;div tabindex ="" - 1 ""class ="" airy-screen-size-toggle airy-fullscreen ""&gt; &lt;/ div&gt; &lt;div tabindex ="" - 1 ""class ="" airy-container-bottom "" &gt; &lt;div tabindex = ""- 1"" class = ""airy-track-bar-spacer-left"" style = ""width: 11px;""&gt; &lt;/ div&gt; &lt;div tabin"&amp;"dex = ""- 1"" class = ""airy-play- airy toggle-play ""style ="" width: 12px; margin-right: 12px; ""&gt; &lt;/ div&gt; &lt;div tabindex ="" - 1 ""class ="" airy-audio-elements ""style ="" float: right; width: 34px; ""&gt; &lt;div tabindex ="" - 1 ""class ="" airy-audio-togg"&amp;"le airy-on ""&gt; &lt;/ div&gt; &lt;div tabindex ="" - 1 ""class ="" airy-audio-container ""style = ""opacity: 0; visibility: hidden; ""&gt; &lt;div tabindex ="" - 1 ""class ="" airy-audio-track-bar ""style ="" height: 80%; ""&gt; &lt;div tabindex ="" - 1 ""class ="" airy-audio-"&amp;" Scrubber-bar ""style ="" height: 85%; ""&gt; &lt;/ div&gt; &lt;div tabindex ="" - 1 ""class ="" airy-audio-scrubber ""style ="" height: 12px; bottom: 85% ""&gt; &lt;/ div&gt; &lt;/ div&gt; &lt;/ div&gt; &lt;/ div&gt; &lt;div tabindex ="" - 1 ""class ="" airy-duration-label ""style ="" float: rig"&amp;"ht; width: 26px; margin-right: 4px; text-align: center; ""&gt; 0:00 &lt;/ div&gt; &lt;div tabindex ="" - 1 ""class ="" airy-track-bar-spacer-right ""style ="" float: right; width: 11px; ""&gt; &lt;/ div&gt; &lt;div tabindex ="" - 1 ""class ="" airy-track-bar-container ""style ="&amp;""" margin-left: 35px; margin-right: 75px; ""&gt; &lt;div tabindex ="" - 1 ""class ="" airy-airy-track-bar vertically-centering-table ""&gt; &lt;div tabindex ="" - 1 ""class ="" airy-Vertical-centering- table-cell ""&gt; &lt;div tabindex ="" - 1 ""class ="" airy-track-bar-e"&amp;"lements ""&gt; &lt;div tabindex ="" - 1 ""class ="" airy-progress-bar ""&gt; &lt;/ div&gt; &lt;div tabindex = ""- 1"" class = ""airy-scrubber-bar""&gt; &lt;/ div&gt; &lt;div tabindex = ""- 1"" class = ""airy-scrubber""&gt; &lt;div tabindex = ""- 1"" class = ""airy-scrubber- icon ""&gt; &lt;/ div&gt;"&amp;" &lt;div tabindex ="" - 1 ""class ="" airy-adjusted-AUI-tooltip ""style ="" opacity: 0; visibility: hidden; ""&gt; &lt;div tabindex ="" - 1 ""class ="" airy-adjusted-aui-tooltip-inner ""&gt; &lt;div tabindex ="" - 1 ""class ="" airy-current-time-label ""&gt; 0: 00 &lt;/ div&gt; "&amp;"&lt;/ div&gt; &lt;div tabindex = ""- 1"" class = ""airy-adjusted-AUI-arrow-border""&gt; &lt;div tabindex = ""- 1"" class = ""airy-adjusted-AUI-arrow"" &gt; &lt;/ div&gt; &lt;/ div&gt; &lt;/ div&gt; &lt;/ div&gt; &lt;/ div&gt; &lt;/ div&gt; &lt;/ div&gt; &lt;/ div&gt; &lt;/ div&gt; &lt;/ div&gt; &lt;div tabindex = ""- 1"" class = ""air"&amp;"y-age-gate airy-stage airy-Vertical-centering-table airy-dialog"" style = ""opacity: 0; visibility: hidden; ""&gt; &lt;div tabindex ="" - 1 ""class ="" airy-age-gate-Vertical-centering-table-cell airy-Vertical-centering-table-cell ""&gt; &lt;div tabindex ="" - 1 ""cl"&amp;"ass = ""airy-Vertical-centering-wrapper airy-age-gate-elements-wrapper""&gt; &lt;div tabindex = ""- 1"" class = ""airy-age-gate-elements airy-dialog-elements""&gt; &lt;div tabindex = "" -1 ""class ="" airy-age-gate-prompt ""&gt; This video is not Intended for all audien"&amp;"ces What date were you born &lt;/ div&gt; &lt;div tabindex =.?"" - 1 ""class ="" airy-age-gate -inputs airy-dialog-inner-elements ""&gt; &lt;select tabindex ="" - 1 ""class ="" airy-age-gate-month ""&gt; &lt;option value ="" 1 ""&gt; January &lt;/ option&gt; &lt;option value ="" 2 ""&gt; Fe"&amp;"bruary &lt;/ option&gt; &lt;option value ="" 3 ""&gt; March &lt;/ option&gt; &lt;option value ="" 4 ""&gt; April &lt;/ option&gt; &lt;option value ="" 5 ""&gt; May &lt;/ option&gt; &lt;option value = ""6""&gt; June &lt;/ option&gt; &lt;option value = ""7""&gt; July &lt;/ option&gt; &lt;option value = ""8""&gt; August &lt;/ optio"&amp;"n&gt; &lt;option value = ""9""&gt; September &lt;/ option&gt; &lt;option value = ""10""&gt; October &lt;/ option&gt; &lt;option value = ""11""&gt; November &lt;/ option&gt; &lt;option value = ""12""&gt; December &lt;/ option&gt; &lt;/ select&gt; &lt;select tabindex = ""- 1"" class = ""airy-age-gate-day""&gt; &lt;opti on"&amp;" value = ""1""&gt; 1 &lt;/ option&gt; &lt;option value = ""2""&gt; 2 &lt;/ option&gt; &lt;option value = ""3""&gt; 3 &lt;/ option&gt; &lt;option value = ""4""&gt; 4 &lt;/ option &gt; &lt;option value = ""5""&gt; 5 &lt;/ option&gt; &lt;option value = ""6""&gt; 6 &lt;/ option&gt; &lt;option value = ""7""&gt; 7 &lt;/ option&gt; &lt;option v"&amp;"alue = ""8""&gt; 8 &lt; / option&gt; &lt;option value = ""9""&gt; 9 &lt;/ option&gt; &lt;option value = ""10""&gt; 10 &lt;/ option&gt; &lt;option value = ""11""&gt; 11 &lt;/ option&gt; &lt;option value = ""12""&gt; 12 &lt;/ option&gt; &lt;option value = ""13""&gt; 13 &lt;/ option&gt; &lt;option value = ""14""&gt; 14 &lt;/ option&gt; &lt;"&amp;"option value = ""15""&gt; 15 &lt;/ option&gt; &lt;option value = ""16 ""&gt; 16 &lt;/ option&gt; &lt;option value ="" 17 ""&gt; 17 &lt;/ option&gt; &lt;option value ="" 18 ""&gt; 18 &lt;/ option&gt; &lt;option value ="" 19 ""&gt; 19 &lt;/ option&gt; &lt;option value = ""20""&gt; 20 &lt;/ option&gt; &lt;option value = ""21""&gt; "&amp;"21 &lt;/ option&gt; &lt;option value = ""22""&gt; 22 &lt;/ option&gt; &lt;option value = ""23""&gt; 23 &lt;/ option&gt; &lt;option value = ""24""&gt; 24 &lt;/ option&gt; &lt;option value = ""25""&gt; 25 &lt;/ option&gt; &lt;option value = ""26""&gt; 26 &lt;/ option&gt; &lt;option value = ""27""&gt; 27 &lt;/ option&gt; &lt;option value"&amp;" = ""28""&gt; 28 &lt;/ option&gt; &lt;option value = ""29""&gt; 29 &lt;/ option&gt; &lt;option value = ""30""&gt; 30 &lt;/ option&gt; &lt;option value = ""31""&gt; 31 &lt;/ option&gt; &lt;/ select&gt; &lt;select tabindex = ""- 1"" class = ""airy-age-gate-year""&gt; &lt;option value = ""2019""&gt; 2019 &lt;/ option&gt; &lt; op"&amp;"tion value = ""2018""&gt; 2018 &lt;/ option&gt; &lt;option value = ""2017""&gt; 2017 &lt;/ option&gt; &lt;option value = ""2016""&gt; ​​2016 &lt;/ option&gt; &lt;option value = ""2015""&gt; 2015 &lt;/ option &gt; &lt;option value = ""2014""&gt; 2014 &lt;/ option&gt; &lt;option value = ""2013""&gt; 2013 &lt;/ option&gt; &lt;op"&amp;"tion value = ""2012""&gt; 2012 &lt;/ option&gt; &lt;option value = ""2011""&gt; 2011 &lt; / option&gt; &lt;option value = ""2010""&gt; 2010 &lt;/ option&gt; &lt;option value = ""2009""&gt; 2009 &lt;/ option&gt; &lt;option value = ""2008""&gt; 2008 &lt;/ option&gt; &lt;option value = ""2007""&gt; 2007 &lt;/ option&gt; &lt;opti"&amp;"on value = ""2006""&gt; 2006 &lt;/ option&gt; &lt;option value = ""2005""&gt; 2005 &lt;/ option&gt; &lt;option value = ""2004""&gt; 2004 &lt;/ option&gt; &lt;option value = ""2003 ""&gt; 2003 &lt;/ option&gt; &lt;option value ="" 2002 ""&gt; 2002 &lt;/ option&gt; &lt;option value ="" 2001 ""&gt; 2001 &lt;/ option&gt; &lt;opti"&amp;"on value ="" 2000 ""&gt; 2000 &lt;/ option&gt; &lt;option value = ""1999""&gt; 1999 &lt;/ option&gt; &lt;option value = ""1998""&gt; 1998 &lt;/ option&gt; &lt;option value = ""1997""&gt; 1997 &lt;/ option&gt; &lt;option value = ""1996""&gt; 1996 &lt;/ option&gt; &lt;option value = ""1995""&gt; 1995 &lt;/ option&gt; &lt;option"&amp;" value = ""1994""&gt; 1994 &lt;/ option&gt; &lt;option value = ""1993""&gt; 1993 &lt;/ option&gt; &lt;option value = ""1992""&gt; 1992 &lt;/ option&gt; &lt;option value = ""1991""&gt; 1991 &lt;/ option&gt; &lt;option value = ""1990""&gt; 1990 &lt;/ option&gt; &lt;option value = "" 1989 ""&gt; 1989 &lt;/ option&gt; &lt;option "&amp;"value ="" 1988 ""&gt; 1988 &lt;/ option&gt; &lt;option value ="" 1987 ""&gt; 1987 &lt;/ option&gt; &lt;option value ="" 1986 ""&gt; 1986 &lt;/ option&gt; &lt;value option = ""1985""&gt; 1985 &lt;/ option&gt; &lt;option value = ""1984""&gt; 1984 &lt;/ option&gt; &lt;option value = ""1983""&gt; 1983 &lt;/ option&gt; &lt;option "&amp;"value = ""1982""&gt; 1982 &lt;/ option&gt; &lt; option value = ""1981""&gt; 1981 &lt;/ option&gt; &lt;option value = ""1980""&gt; 1980 &lt;/ option&gt; &lt;option value = ""1979""&gt; 1979 &lt;/ option&gt; &lt;option value = ""1978""&gt; 1978 &lt;/ option &gt; &lt;option value = ""1977""&gt; 1977 &lt;/ option&gt; &lt;option v"&amp;"alue = ""1976""&gt; 1976 &lt;/ option&gt; &lt;option value = ""1975""&gt; 1975 &lt;/ option&gt; &lt;option value = ""1974""&gt; 1974 &lt; / option&gt; &lt;option value = ""1973""&gt; 1973 &lt;/ option&gt; &lt;option value = ""1972""&gt; 1972 &lt;/ option&gt; &lt;option value = ""1971""&gt; 1971 &lt;/ option&gt; &lt;option val"&amp;"ue = ""1970""&gt; 1970 &lt;/ option&gt; &lt;option value = ""1969""&gt; 1969 &lt;/ option&gt; &lt;option value = ""1968""&gt; 1968 &lt;/ option&gt; &lt;option value = ""1967""&gt; 1967 &lt;/ option&gt; &lt;option value = ""1966 ""&gt; 1966 &lt;/ option&gt; &lt;option value ="" 1965 ""&gt; 1965 &lt;/ option&gt; &lt;option valu"&amp;"e ="" 1964 ""&gt; 1964 &lt;/ option&gt; &lt;option value ="" 1963 ""&gt; 1963 &lt;/ option&gt; &lt;option value = ""1962""&gt; 1962 &lt;/ option&gt; &lt;option value = ""1961""&gt; 1961 &lt;/ option&gt; &lt;option value = ""1960""&gt; 1960 &lt;/ op tion&gt; &lt;option value = ""1959""&gt; 1959 &lt;/ option&gt; &lt;option valu"&amp;"e = ""1958""&gt; 1958 &lt;/ option&gt; &lt;option value = ""1957""&gt; 1957 &lt;/ option&gt; &lt;option value = ""1956""&gt; 1956 &lt;/ option&gt; &lt;option value = ""1955""&gt; 1955 &lt;/ option&gt; &lt;option value = ""1954""&gt; 1954 &lt;/ option&gt; &lt;option value = ""1953""&gt; 1953 &lt;/ option&gt; &lt;option value ="&amp;" ""1952""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"&amp;"= ""1940""&gt;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&lt;value option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airy-stage airy -vertical-centering-table-dialog airy airy-denied ""style ="" opacity: 0;"&amp;" visibility: hidden; ""&gt; &lt;div tabindex ="" - 1 ""class ="" airy-install-flash-Vertical-centering-table-cell airy-Vertical-centering-table-cell ""&gt; &lt;div tabindex ="" - 1 ""class = ""airy-Vertical-centering-wrapper airy-install-flash-elements-wrapper""&gt; &lt;di"&amp;"v tabindex = ""- 1"" class = ""airy-install-flash-elements airy-dialog-elements""&gt; &lt;div tabindex = "" -1 ""class ="" airy-install-flash-prompt ""&gt; Adobe Flash Player is required to watch this video &lt;/ div&gt; &lt;div tabindex =."" - 1 ""class ="" airy-install-f"&amp;"lash-button-wrapper airy -dialog-inner-elements ""&gt; &lt;div tabindex ="" - 1 ""class ="" airy-install-flash-button airy-button ""&gt; install Flash Player &lt;/ div&gt; &lt;/ div&gt; &lt;/ div&gt; &lt;/ div&gt; &lt;/ div&gt; &lt;/ div&gt; &lt;div tabindex = ""- 1"" class = ""airy-video-unsupported-d"&amp;"ialog airy-stage airy-Vertical-centering-table airy-dialog airy-denied"" style = ""opacity: 0; visibility: hidden; ""&gt; &lt;div tabindex ="" - 1 ""class ="" airy-video-unsupported-Vertical-centering-table-cell airy-Vertical-centering-table-cell ""&gt; &lt;div tabin"&amp;"dex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tabinde"&amp;"x ="" - 1 ""class ="" airy-loading-spinner-container airy-scalable-hint-container ""&gt; &lt;div tabindex ="" - 1 ""class ="" airy-loading-spinner-dummy airy-scalable-dummy ""&gt; &lt;/ div&gt; &lt; div tabindex = ""- 1"" class = ""airy-loading-spinner airy-hint"" style = "&amp;"""visibility: hidden;""&gt; &lt;/ div&gt; &lt;/ div&gt; &lt;/ div&gt; &lt;/ div&gt; &lt;div tabindex = ""- 1 ""class ="" airy-ads-screen-size-toggle airy-screen-size-toggle-fullscreen airy ""style ="" visibility: hidden; ""&gt; &lt;/ div&gt; &lt;div tabindex = ""-1"" class = ""airy-ad-prompt-cont"&amp;"ainer"" style = ""visibility: hidden;""&gt; &lt;div tabindex = ""- 1"" class = ""airy-ad-prompt-Vertical-centering-table-vertically airy centering-table ""&gt; &lt;div tabindex ="" - 1 ""class ="" airy-ad-prompt-Vertical-centering-table-cell airy-Vertical-centering-t"&amp;"able-cell ""&gt; &lt;div tabindex ="" - 1 ""class = ""airy-ad-prompt-label""&gt; &lt;/ div&gt; &lt;/ div&gt; &lt;/ div&gt; &lt;/ div&gt; &lt;div tabindex = ""- 1"" class = ""airy-ads-controls-container"" style = ""visibility: hidden; ""&gt; &lt;div tabindex ="" - 1 ""class ="" airy-ads-audio-togg"&amp;"le airy-audio-toggle airy-on ""style ="" visibility: hidden; ""&gt; &lt;/ div&gt; &lt;div tabindex ="" - 1 ""class ="" airy-time-remaining-label-container ""&gt; &lt;div tabindex ="" - 1 ""class ="" airy-time-remaining-Vertical-centering-table airy-Vertical-centering-table"&amp;"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&lt;/ "&amp;"div&gt; &lt;/ div&gt; &lt;/ div&gt; &lt;/ div&gt; &lt;/ div&gt; &lt;div tabindex ="" - 1 ""class ="" airy-learn-more ""style ="" visibility: hidden; ""&gt; &lt;/ div&gt; &lt;/ div&gt; &lt;div tabindex = ""- 1"" class = ""airy-play-toggle-hint-stage airy-stage airy-cursor""&gt; &lt;div tabindex = ""- 1"" clas"&amp;"s = ""airy-play -toggle-hint-Vertical-centering-table-cell airy-Vertical-centering-table-cell airy-cursor ""&gt; &lt;div tabindex ="" - 1 ""class ="" airy-play-toggle-hint-container airy-scalable- Hint-container ""&gt; &lt;div tabindex ="" - 1 ""class ="" airy-play-t"&amp;"oggle-hint-dummy airy-scalable-dummy ""&gt; &lt;/ div&gt; &lt;div tabindex ="" - 1 ""class ="" airy-play -toggle-hint hint airy-airy-play-hint ""style ="" opacity: 1; visibility: visible; ""&gt; &lt;/ div&gt; &lt;/ div&gt; &lt;/ div&gt; &lt;/ div&gt; &lt;div tabindex ="" - 1 ""class ="" airy-repl"&amp;"ay-hint-stage airy-stage ""style ="" visibility: hidden ; ""&gt; &lt;div tabindex ="" - 1 ""class ="" airy-replay-hint-Vertical-centering-table-cell airy-Vertical-centering-table-cell airy-cursor ""&gt; &lt;div tabindex ="" - 1 ""class = ""airy-replay-hint-container "&amp;"airy-scalable-hint-container""&gt; &lt;div tabindex = ""- 1"" class = ""airy-replay-hint-dummy airy-scalable-dummy""&gt; &lt;/ div&gt; &lt;div tabindex = ""- 1"" class = ""airy-replay-hint airy-hint""&gt; &lt;/ div&gt; &lt;/ div&gt; &lt;/ div&gt; &lt;/ div&gt; &lt;div tabindex = ""- 1"" class = ""airy-"&amp;"autoplay-hint -stage airy-stage ""style ="" visibility: hidden; ""&gt; &lt;div tabindex ="" - 1 ""class ="" airy-autoplay-hint-Vertical-centering-table-cell airy-Vertical-centering-table-cell airy- cursor ""&gt; &lt;div tabindex ="" - 1 ""class ="" autoplay airy-airy"&amp;"-hint-container-scalable-hint-container ""&gt; &lt;div tabindex ="" - 1 ""class ="" airy-autoplay-hint-dummy airy- scalable-dummy ""&gt; &lt;/ div&gt; &lt;/ div&gt; &lt;/ div&gt; &lt;/ div&gt; &lt;/ div&gt; &lt;/ div&gt; &lt;input type ="" hidden ""name ="" ""value ="" https: // images-eu .ssl-images-a"&amp;"mazon.com / images / I / B1 - DgyUgdS.mp4 ""Class ="" video-url ""&gt; &lt;input type ="" hidden ""name ="" ""value ="" https://images-eu.ssl-images-amazon.com/images/I/A1qkymuSqUS.png ""class ="" video-slate-img-url ""&gt; &amp; nbsp; I have asked to use it in my Poc"&amp;"ophone having connector type C. the presentation of the product is very good, with quality finishes. USB adapter and are of good materials and the resistive touch feel. For me it is very helpful since I always carry in your wallet a mini-USB to transport "&amp;"and download files anywhere and now I can pass it on to the phone without a computer.")</f>
        <v>Finishes very top &lt;div id = "video-block-RYWPHY0A5SUVC" class = "section a-a-a-spacing-small spacing-top-video mini-block"&gt; &lt;div tabindex = "0" class = "airy airy- svg vmin-unsupported airy-skin-beacon "style =" background-color: rgb (0, 0, 0) position: relative; width: 100%; height: 100%; font-size: 0px; overflow: hidden; outline: none; "&gt; &lt;div class =" airy-renderer-container "style =" position: relative; height: 100%; width: 100%; "&gt; &lt;video id =" 69 "preload =" auto "src = "https://images-eu.ssl-images-amazon.com/images/I/B1--DgyUgdS.mp4" style = "position: absolute; left: 0px; top: 0px; overflow: hidden; height: 1px ; width: 1px; "&gt; &lt;/ video&gt; &lt;/ div&gt; &lt;div id =" airy-slate-preload "style =" background-color: rgb (0, 0, 0); background-image: url (&amp; quot; https://images-eu.ssl-images-amazon.com/images/I/A1qkymuSqUS.png&amp;quot;); background-size: Contain; background-position: center center; background-repeat: no-repeat; position: absolute ; top: 0px; left: 0px; visibility: visible; width: 100%; height: 100%; "&gt; &lt;/ div&gt; &lt;iframe scrollin 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B1 - DgyUgdS.mp4 "Class =" video-url "&gt; &lt;input type =" hidden "name =" "value =" https://images-eu.ssl-images-amazon.com/images/I/A1qkymuSqUS.png "class =" video-slate-img-url "&gt; &amp; nbsp; I have asked to use it in my Pocophone having connector type C. the presentation of the product is very good, with quality finishes. USB adapter and are of good materials and the resistive touch feel. For me it is very helpful since I always carry in your wallet a mini-USB to transport and download files anywhere and now I can pass it on to the phone without a computer.</v>
      </c>
    </row>
    <row r="8341">
      <c r="A8341" s="1">
        <v>5.0</v>
      </c>
      <c r="B8341" s="1" t="s">
        <v>8277</v>
      </c>
      <c r="C8341" t="str">
        <f>IFERROR(__xludf.DUMMYFUNCTION("GOOGLETRANSLATE(B8341, ""es"", ""en"")"),"Comodos are very comfortable and my daughter loved him.")</f>
        <v>Comodos are very comfortable and my daughter loved him.</v>
      </c>
    </row>
    <row r="8342">
      <c r="A8342" s="1">
        <v>5.0</v>
      </c>
      <c r="B8342" s="1" t="s">
        <v>8278</v>
      </c>
      <c r="C8342" t="str">
        <f>IFERROR(__xludf.DUMMYFUNCTION("GOOGLETRANSLATE(B8342, ""es"", ""en"")"),"Good keyboard! Great value for money. My son loved him!")</f>
        <v>Good keyboard! Great value for money. My son loved him!</v>
      </c>
    </row>
    <row r="8343">
      <c r="A8343" s="1">
        <v>2.0</v>
      </c>
      <c r="B8343" s="1" t="s">
        <v>8279</v>
      </c>
      <c r="C8343" t="str">
        <f>IFERROR(__xludf.DUMMYFUNCTION("GOOGLETRANSLATE(B8343, ""es"", ""en"")"),"Wear a big size 36, I ordered an S and left me wide. Mido 1.70 and I look good long")</f>
        <v>Wear a big size 36, I ordered an S and left me wide. Mido 1.70 and I look good long</v>
      </c>
    </row>
    <row r="8344">
      <c r="A8344" s="1">
        <v>3.0</v>
      </c>
      <c r="B8344" s="1" t="s">
        <v>8280</v>
      </c>
      <c r="C8344" t="str">
        <f>IFERROR(__xludf.DUMMYFUNCTION("GOOGLETRANSLATE(B8344, ""es"", ""en"")"),"Pse-Pse I really like in-ear headphones that are a little more ergonomic than normal but I thought that would meet much ear. They dance and move too much walking, so as not to hear good music.")</f>
        <v>Pse-Pse I really like in-ear headphones that are a little more ergonomic than normal but I thought that would meet much ear. They dance and move too much walking, so as not to hear good music.</v>
      </c>
    </row>
    <row r="8345">
      <c r="A8345" s="1">
        <v>1.0</v>
      </c>
      <c r="B8345" s="1" t="s">
        <v>8281</v>
      </c>
      <c r="C8345" t="str">
        <f>IFERROR(__xludf.DUMMYFUNCTION("GOOGLETRANSLATE(B8345, ""es"", ""en"")"),"Very poor quality in less than 9 months loose a subject in very poor quality, in less than 9 months loose a subject not worth buying cheap to last 9 months")</f>
        <v>Very poor quality in less than 9 months loose a subject in very poor quality, in less than 9 months loose a subject not worth buying cheap to last 9 months</v>
      </c>
    </row>
    <row r="8346">
      <c r="A8346" s="1">
        <v>1.0</v>
      </c>
      <c r="B8346" s="1" t="s">
        <v>8282</v>
      </c>
      <c r="C8346" t="str">
        <f>IFERROR(__xludf.DUMMYFUNCTION("GOOGLETRANSLATE(B8346, ""es"", ""en"")"),"bad cheap plastic")</f>
        <v>bad cheap plastic</v>
      </c>
    </row>
    <row r="8347">
      <c r="A8347" s="1">
        <v>4.0</v>
      </c>
      <c r="B8347" s="1" t="s">
        <v>8283</v>
      </c>
      <c r="C8347" t="str">
        <f>IFERROR(__xludf.DUMMYFUNCTION("GOOGLETRANSLATE(B8347, ""es"", ""en"")"),"nice design seems well made. I only took a month to use it. Well at the moment but I get not regulate the roast well.")</f>
        <v>nice design seems well made. I only took a month to use it. Well at the moment but I get not regulate the roast well.</v>
      </c>
    </row>
    <row r="8348">
      <c r="A8348" s="1">
        <v>4.0</v>
      </c>
      <c r="B8348" s="1" t="s">
        <v>8284</v>
      </c>
      <c r="C8348" t="str">
        <f>IFERROR(__xludf.DUMMYFUNCTION("GOOGLETRANSLATE(B8348, ""es"", ""en"")"),"Perfect Very good quality but the size is a bit big for height, recommended catch one size smaller")</f>
        <v>Perfect Very good quality but the size is a bit big for height, recommended catch one size smaller</v>
      </c>
    </row>
    <row r="8349">
      <c r="A8349" s="1">
        <v>4.0</v>
      </c>
      <c r="B8349" s="1" t="s">
        <v>8285</v>
      </c>
      <c r="C8349" t="str">
        <f>IFERROR(__xludf.DUMMYFUNCTION("GOOGLETRANSLATE(B8349, ""es"", ""en"")"),"Good jersey The only downside is not so struck by the pectorals in the photo. good and soft quality.")</f>
        <v>Good jersey The only downside is not so struck by the pectorals in the photo. good and soft quality.</v>
      </c>
    </row>
    <row r="8350">
      <c r="A8350" s="1">
        <v>4.0</v>
      </c>
      <c r="B8350" s="1" t="s">
        <v>8286</v>
      </c>
      <c r="C8350" t="str">
        <f>IFERROR(__xludf.DUMMYFUNCTION("GOOGLETRANSLATE(B8350, ""es"", ""en"")"),"Cherishes very much cherishes very much. It is pretty good position but must take into account the recommendation to take one size bigger. The finger holes on the cuffs are too small and sleeves are somewhat narrow.")</f>
        <v>Cherishes very much cherishes very much. It is pretty good position but must take into account the recommendation to take one size bigger. The finger holes on the cuffs are too small and sleeves are somewhat narrow.</v>
      </c>
    </row>
    <row r="8351">
      <c r="A8351" s="1">
        <v>4.0</v>
      </c>
      <c r="B8351" s="1" t="s">
        <v>8287</v>
      </c>
      <c r="C8351" t="str">
        <f>IFERROR(__xludf.DUMMYFUNCTION("GOOGLETRANSLATE(B8351, ""es"", ""en"")"),"Truth are not bad smelling pretty good, the only thing is that most are strong odors unknown")</f>
        <v>Truth are not bad smelling pretty good, the only thing is that most are strong odors unknown</v>
      </c>
    </row>
    <row r="8352">
      <c r="A8352" s="1">
        <v>5.0</v>
      </c>
      <c r="B8352" s="1" t="s">
        <v>8288</v>
      </c>
      <c r="C8352" t="str">
        <f>IFERROR(__xludf.DUMMYFUNCTION("GOOGLETRANSLATE(B8352, ""es"", ""en"")"),"Ideal for Genial learn. Ideal for those who are learning and we want to go progressively coming to the scene. Simple to install, takes up little space, has a pretty good feeling in the pads. I use it with FL Studio 12. Very pleased with the purchase.")</f>
        <v>Ideal for Genial learn. Ideal for those who are learning and we want to go progressively coming to the scene. Simple to install, takes up little space, has a pretty good feeling in the pads. I use it with FL Studio 12. Very pleased with the purchase.</v>
      </c>
    </row>
    <row r="8353">
      <c r="A8353" s="1">
        <v>5.0</v>
      </c>
      <c r="B8353" s="1" t="s">
        <v>8289</v>
      </c>
      <c r="C8353" t="str">
        <f>IFERROR(__xludf.DUMMYFUNCTION("GOOGLETRANSLATE(B8353, ""es"", ""en"")"),"Super I bought for Lenovo Y520-15IKBN and operates luxury. It recognizes perfectly. Good value.")</f>
        <v>Super I bought for Lenovo Y520-15IKBN and operates luxury. It recognizes perfectly. Good value.</v>
      </c>
    </row>
    <row r="8354">
      <c r="A8354" s="1">
        <v>5.0</v>
      </c>
      <c r="B8354" s="1" t="s">
        <v>8290</v>
      </c>
      <c r="C8354" t="str">
        <f>IFERROR(__xludf.DUMMYFUNCTION("GOOGLETRANSLATE(B8354, ""es"", ""en"")"),"They look very nice look very nice. A little short for my taste, but not as described. The perfect size with 187cm and 89 kg")</f>
        <v>They look very nice look very nice. A little short for my taste, but not as described. The perfect size with 187cm and 89 kg</v>
      </c>
    </row>
    <row r="8355">
      <c r="A8355" s="1">
        <v>5.0</v>
      </c>
      <c r="B8355" s="1" t="s">
        <v>8291</v>
      </c>
      <c r="C8355" t="str">
        <f>IFERROR(__xludf.DUMMYFUNCTION("GOOGLETRANSLATE(B8355, ""es"", ""en"")"),"The best I've had is a mixer with a very good price for the quality it has, it is very quiet, and for moderate use works great as it is heated either as the previous mixer that was another brand. It has surprised me.")</f>
        <v>The best I've had is a mixer with a very good price for the quality it has, it is very quiet, and for moderate use works great as it is heated either as the previous mixer that was another brand. It has surprised me.</v>
      </c>
    </row>
    <row r="8356">
      <c r="A8356" s="1">
        <v>5.0</v>
      </c>
      <c r="B8356" s="1" t="s">
        <v>8292</v>
      </c>
      <c r="C8356" t="str">
        <f>IFERROR(__xludf.DUMMYFUNCTION("GOOGLETRANSLATE(B8356, ""es"", ""en"")"),"I superga have any more of this brand, as expected.")</f>
        <v>I superga have any more of this brand, as expected.</v>
      </c>
    </row>
    <row r="8357">
      <c r="A8357" s="1">
        <v>5.0</v>
      </c>
      <c r="B8357" s="1" t="s">
        <v>2187</v>
      </c>
      <c r="C8357" t="str">
        <f>IFERROR(__xludf.DUMMYFUNCTION("GOOGLETRANSLATE(B8357, ""es"", ""en"")"),"Very good perfect")</f>
        <v>Very good perfect</v>
      </c>
    </row>
    <row r="8358">
      <c r="A8358" s="1">
        <v>5.0</v>
      </c>
      <c r="B8358" s="1" t="s">
        <v>8293</v>
      </c>
      <c r="C8358" t="str">
        <f>IFERROR(__xludf.DUMMYFUNCTION("GOOGLETRANSLATE(B8358, ""es"", ""en"")"),"Good hold of good material, and I used to run and are very comfortable and do not move, and you hear pretty well, a success")</f>
        <v>Good hold of good material, and I used to run and are very comfortable and do not move, and you hear pretty well, a success</v>
      </c>
    </row>
    <row r="8359">
      <c r="A8359" s="1">
        <v>5.0</v>
      </c>
      <c r="B8359" s="1" t="s">
        <v>8294</v>
      </c>
      <c r="C8359" t="str">
        <f>IFERROR(__xludf.DUMMYFUNCTION("GOOGLETRANSLATE(B8359, ""es"", ""en"")"),"Great elegant and effective! Contenta!")</f>
        <v>Great elegant and effective! Contenta!</v>
      </c>
    </row>
    <row r="8360">
      <c r="A8360" s="1">
        <v>5.0</v>
      </c>
      <c r="B8360" s="1" t="s">
        <v>8295</v>
      </c>
      <c r="C8360" t="str">
        <f>IFERROR(__xludf.DUMMYFUNCTION("GOOGLETRANSLATE(B8360, ""es"", ""en"")"),"Great unbeatable value. I am delighted with them.")</f>
        <v>Great unbeatable value. I am delighted with them.</v>
      </c>
    </row>
    <row r="8361">
      <c r="A8361" s="1">
        <v>5.0</v>
      </c>
      <c r="B8361" s="1" t="s">
        <v>8296</v>
      </c>
      <c r="C8361" t="str">
        <f>IFERROR(__xludf.DUMMYFUNCTION("GOOGLETRANSLATE(B8361, ""es"", ""en"")"),"Smootys mixer is fine, money also li buy cheaper your price. Comfortable to make a quick shake. The only drawback is that makes a lot of noise.")</f>
        <v>Smootys mixer is fine, money also li buy cheaper your price. Comfortable to make a quick shake. The only drawback is that makes a lot of noise.</v>
      </c>
    </row>
    <row r="8362">
      <c r="A8362" s="1">
        <v>5.0</v>
      </c>
      <c r="B8362" s="1" t="s">
        <v>8297</v>
      </c>
      <c r="C8362" t="str">
        <f>IFERROR(__xludf.DUMMYFUNCTION("GOOGLETRANSLATE(B8362, ""es"", ""en"")"),"Casio Collection youthful and sporty everything as expected.")</f>
        <v>Casio Collection youthful and sporty everything as expected.</v>
      </c>
    </row>
    <row r="8363">
      <c r="A8363" s="1">
        <v>5.0</v>
      </c>
      <c r="B8363" s="1" t="s">
        <v>8298</v>
      </c>
      <c r="C8363" t="str">
        <f>IFERROR(__xludf.DUMMYFUNCTION("GOOGLETRANSLATE(B8363, ""es"", ""en"")"),"Comfortable and beautiful but filled with fuzz but very comfortable and pretty soon fill with fuzz.")</f>
        <v>Comfortable and beautiful but filled with fuzz but very comfortable and pretty soon fill with fuzz.</v>
      </c>
    </row>
    <row r="8364">
      <c r="A8364" s="1">
        <v>5.0</v>
      </c>
      <c r="B8364" s="1" t="s">
        <v>8299</v>
      </c>
      <c r="C8364" t="str">
        <f>IFERROR(__xludf.DUMMYFUNCTION("GOOGLETRANSLATE(B8364, ""es"", ""en"")"),"As they described what I already had one spoon but very small, so this has more capacity has gone great :)")</f>
        <v>As they described what I already had one spoon but very small, so this has more capacity has gone great :)</v>
      </c>
    </row>
    <row r="8365">
      <c r="A8365" s="1">
        <v>5.0</v>
      </c>
      <c r="B8365" s="1" t="s">
        <v>8300</v>
      </c>
      <c r="C8365" t="str">
        <f>IFERROR(__xludf.DUMMYFUNCTION("GOOGLETRANSLATE(B8365, ""es"", ""en"")"),"The clock is happy as is shown in the photo. Quality / price, the best. If needed, purchase repetiria")</f>
        <v>The clock is happy as is shown in the photo. Quality / price, the best. If needed, purchase repetiria</v>
      </c>
    </row>
    <row r="8366">
      <c r="A8366" s="1">
        <v>5.0</v>
      </c>
      <c r="B8366" s="1" t="s">
        <v>8301</v>
      </c>
      <c r="C8366" t="str">
        <f>IFERROR(__xludf.DUMMYFUNCTION("GOOGLETRANSLATE(B8366, ""es"", ""en"")"),"Casio retro style is as before, but with more moderno.Muy color comfortable. As they described. The light is a little loose.")</f>
        <v>Casio retro style is as before, but with more moderno.Muy color comfortable. As they described. The light is a little loose.</v>
      </c>
    </row>
    <row r="8367">
      <c r="A8367" s="1">
        <v>5.0</v>
      </c>
      <c r="B8367" s="1" t="s">
        <v>8302</v>
      </c>
      <c r="C8367" t="str">
        <f>IFERROR(__xludf.DUMMYFUNCTION("GOOGLETRANSLATE(B8367, ""es"", ""en"")"),"Very good buy Value / perfect price. Sometimes crazy and to change unexpectedly if some furniture site. But again no longer fails. I have two cats and is an essential aid in daily life. I put up before leaving home and back to clean floor. While picks hai"&amp;"r and fluff, you have to empty the tank a couple of times a week for sucking everything perfectly. By good time low height furniture I have, goes well between the legs of chairs. I am so glad this purchase as I could not live without this Roomba. Cats hav"&amp;"e fun with it and I have to lock device at night so they do not reach but put them up.")</f>
        <v>Very good buy Value / perfect price. Sometimes crazy and to change unexpectedly if some furniture site. But again no longer fails. I have two cats and is an essential aid in daily life. I put up before leaving home and back to clean floor. While picks hair and fluff, you have to empty the tank a couple of times a week for sucking everything perfectly. By good time low height furniture I have, goes well between the legs of chairs. I am so glad this purchase as I could not live without this Roomba. Cats have fun with it and I have to lock device at night so they do not reach but put them up.</v>
      </c>
    </row>
    <row r="8368">
      <c r="A8368" s="1">
        <v>5.0</v>
      </c>
      <c r="B8368" s="1" t="s">
        <v>8303</v>
      </c>
      <c r="C8368" t="str">
        <f>IFERROR(__xludf.DUMMYFUNCTION("GOOGLETRANSLATE(B8368, ""es"", ""en"")"),"Wonderful finish quality headphones, sturdy, comfortable, soft. No fatigued after long sessions of use. Balanced sound yet with powerful bass and detailed treble, but perhaps you rarely are slightly sibilant in this aspect (that can not solve anything equ"&amp;"alizing music). I have bought a wise move.")</f>
        <v>Wonderful finish quality headphones, sturdy, comfortable, soft. No fatigued after long sessions of use. Balanced sound yet with powerful bass and detailed treble, but perhaps you rarely are slightly sibilant in this aspect (that can not solve anything equalizing music). I have bought a wise move.</v>
      </c>
    </row>
    <row r="8369">
      <c r="A8369" s="1">
        <v>5.0</v>
      </c>
      <c r="B8369" s="1" t="s">
        <v>8304</v>
      </c>
      <c r="C8369" t="str">
        <f>IFERROR(__xludf.DUMMYFUNCTION("GOOGLETRANSLATE(B8369, ""es"", ""en"")"),"It's a great relief massager. I suffer from pain enough of lumbar and cervical and looking for a product that would serve to both areas and it was not great, because it meets the two options. It can be used as both lara lumbar neck, giving a comforting he"&amp;"at effect and balls having tightened enough. I do not recommend lying in bed use, since the lie seems to be bent. Overall very good.")</f>
        <v>It's a great relief massager. I suffer from pain enough of lumbar and cervical and looking for a product that would serve to both areas and it was not great, because it meets the two options. It can be used as both lara lumbar neck, giving a comforting heat effect and balls having tightened enough. I do not recommend lying in bed use, since the lie seems to be bent. Overall very good.</v>
      </c>
    </row>
    <row r="8370">
      <c r="A8370" s="1">
        <v>2.0</v>
      </c>
      <c r="B8370" s="1" t="s">
        <v>8305</v>
      </c>
      <c r="C8370" t="str">
        <f>IFERROR(__xludf.DUMMYFUNCTION("GOOGLETRANSLATE(B8370, ""es"", ""en"")"),"Coffee fátilmente nice but dirty We're going to return. There are problems with the coffee grounds. We find them in the cafe and although we tried to charge enough, the system causes water spatters across the top cover. The needle purportedly showing you "&amp;"the process of coffee does not show anything useful, and begins to scroll when the jar is almost full of coffee. Dripping not to withdraw the jar if there is to wait out. In addition does not come out particularly rich. Buy another, they will surely do be"&amp;"tter function and will cheaper. I do not recommend.")</f>
        <v>Coffee fátilmente nice but dirty We're going to return. There are problems with the coffee grounds. We find them in the cafe and although we tried to charge enough, the system causes water spatters across the top cover. The needle purportedly showing you the process of coffee does not show anything useful, and begins to scroll when the jar is almost full of coffee. Dripping not to withdraw the jar if there is to wait out. In addition does not come out particularly rich. Buy another, they will surely do better function and will cheaper. I do not recommend.</v>
      </c>
    </row>
    <row r="8371">
      <c r="A8371" s="1">
        <v>3.0</v>
      </c>
      <c r="B8371" s="1" t="s">
        <v>8306</v>
      </c>
      <c r="C8371" t="str">
        <f>IFERROR(__xludf.DUMMYFUNCTION("GOOGLETRANSLATE(B8371, ""es"", ""en"")"),"Sturdy but heavy and somewhat uncomfortable. The shoe features an impressive quality in terms of the quality of the skin and its apparent strength, however there are two things I did not like: 1 - The sole is too hard, as if the model was very old and it "&amp;"feels that they have been solidified by the passage of time. 2 - very heavy, I imagine that the consistency of materials are. As for shipping, all right, arrived quickly and the packaging is right. If you are looking for something comfortable, I do not re"&amp;"commend it, but if you are looking for ruggedness, it may be advisable. In my case I will not be buying this model.")</f>
        <v>Sturdy but heavy and somewhat uncomfortable. The shoe features an impressive quality in terms of the quality of the skin and its apparent strength, however there are two things I did not like: 1 - The sole is too hard, as if the model was very old and it feels that they have been solidified by the passage of time. 2 - very heavy, I imagine that the consistency of materials are. As for shipping, all right, arrived quickly and the packaging is right. If you are looking for something comfortable, I do not recommend it, but if you are looking for ruggedness, it may be advisable. In my case I will not be buying this model.</v>
      </c>
    </row>
    <row r="8372">
      <c r="A8372" s="1">
        <v>3.0</v>
      </c>
      <c r="B8372" s="1" t="s">
        <v>8307</v>
      </c>
      <c r="C8372" t="str">
        <f>IFERROR(__xludf.DUMMYFUNCTION("GOOGLETRANSLATE(B8372, ""es"", ""en"")"),"Slate good, but it came without the bottom tray slate is fine, looks good quality and includes hardware for hanging on the wall. I give only three star that came without the lower tray. I not worth return for that detail, but I'd like you to take into acc"&amp;"ount the seller.")</f>
        <v>Slate good, but it came without the bottom tray slate is fine, looks good quality and includes hardware for hanging on the wall. I give only three star that came without the lower tray. I not worth return for that detail, but I'd like you to take into account the seller.</v>
      </c>
    </row>
    <row r="8373">
      <c r="A8373" s="1">
        <v>1.0</v>
      </c>
      <c r="B8373" s="1" t="s">
        <v>8308</v>
      </c>
      <c r="C8373" t="str">
        <f>IFERROR(__xludf.DUMMYFUNCTION("GOOGLETRANSLATE(B8373, ""es"", ""en"")"),"not work tried to use a microphone and Rode cases 5c. It does not work. Totally useless. You will not hear anything.")</f>
        <v>not work tried to use a microphone and Rode cases 5c. It does not work. Totally useless. You will not hear anything.</v>
      </c>
    </row>
    <row r="8374">
      <c r="A8374" s="1">
        <v>1.0</v>
      </c>
      <c r="B8374" s="1" t="s">
        <v>8309</v>
      </c>
      <c r="C8374" t="str">
        <f>IFERROR(__xludf.DUMMYFUNCTION("GOOGLETRANSLATE(B8374, ""es"", ""en"")"),"A toy blender equal commenting another buyer, I have returned since lost fluid. It seems logical because it simply screwed the jar to the blades, but lacks any rubber or washer to seal. But the note is not by default but by the quality of the product. Fra"&amp;"nkly I bought it for the reviews you have, but what I received does not correspond to both praise. I do not understand it at all. For starters, opening the box, we found a product that looks like a toy, all plastic (both the pitcher as part of the motor),"&amp;" tiny and lightweight, while for tough it had to put suction cups. The blades are tiny and flimsy, I doubt you can chop much ice with that. They are half in size, that my current mixer (one of the bunch). Another thing is that I really missed was as power"&amp;"ful as it was said with only 220W, when any mixer usually go from 550w to 1000w over. Sure enough, when I tried it (leaking) and I managed to figure out what to get going there to push the lid up style mincer Moulinex (surely have done so for the same rea"&amp;"son they have suckers position, ie for a structure so weak no it moves to be operated), I realized that the power at the second speed (no more) was much lower than that of my current 650w blender. Overall, a disappointment championship. Of course, it incl"&amp;"udes many jars and lids to make purees and things. But hey, as blender it is a ""torpedo"" in the bad sense of the word. I would not wonder you come to sell up to 25 euros, because now I know her, I would not pay even that.")</f>
        <v>A toy blender equal commenting another buyer, I have returned since lost fluid. It seems logical because it simply screwed the jar to the blades, but lacks any rubber or washer to seal. But the note is not by default but by the quality of the product. Frankly I bought it for the reviews you have, but what I received does not correspond to both praise. I do not understand it at all. For starters, opening the box, we found a product that looks like a toy, all plastic (both the pitcher as part of the motor), tiny and lightweight, while for tough it had to put suction cups. The blades are tiny and flimsy, I doubt you can chop much ice with that. They are half in size, that my current mixer (one of the bunch). Another thing is that I really missed was as powerful as it was said with only 220W, when any mixer usually go from 550w to 1000w over. Sure enough, when I tried it (leaking) and I managed to figure out what to get going there to push the lid up style mincer Moulinex (surely have done so for the same reason they have suckers position, ie for a structure so weak no it moves to be operated), I realized that the power at the second speed (no more) was much lower than that of my current 650w blender. Overall, a disappointment championship. Of course, it includes many jars and lids to make purees and things. But hey, as blender it is a "torpedo" in the bad sense of the word. I would not wonder you come to sell up to 25 euros, because now I know her, I would not pay even that.</v>
      </c>
    </row>
    <row r="8375">
      <c r="A8375" s="1">
        <v>1.0</v>
      </c>
      <c r="B8375" s="1" t="s">
        <v>8310</v>
      </c>
      <c r="C8375" t="str">
        <f>IFERROR(__xludf.DUMMYFUNCTION("GOOGLETRANSLATE(B8375, ""es"", ""en"")"),"Unfortunately poor was not recognized by my devices had to send it back. No problem returning")</f>
        <v>Unfortunately poor was not recognized by my devices had to send it back. No problem returning</v>
      </c>
    </row>
    <row r="8376">
      <c r="A8376" s="1">
        <v>4.0</v>
      </c>
      <c r="B8376" s="1" t="s">
        <v>8311</v>
      </c>
      <c r="C8376" t="str">
        <f>IFERROR(__xludf.DUMMYFUNCTION("GOOGLETRANSLATE(B8376, ""es"", ""en"")"),"Conpra good and good gift Very beautiful. They weigh Poci. Good aspect.")</f>
        <v>Conpra good and good gift Very beautiful. They weigh Poci. Good aspect.</v>
      </c>
    </row>
    <row r="8377">
      <c r="A8377" s="1">
        <v>4.0</v>
      </c>
      <c r="B8377" s="1" t="s">
        <v>8312</v>
      </c>
      <c r="C8377" t="str">
        <f>IFERROR(__xludf.DUMMYFUNCTION("GOOGLETRANSLATE(B8377, ""es"", ""en"")"),"Good value for money. Headset comfortable and lightweight, easy to store thanks to its folding system which makes them practically flat ... As for the sound, low distortion are powerful and high volume, middle and treble are also correct considering its p"&amp;"rice we're talking about a headset with a range of audio frequencies ranging from 10 to 24 KHz ... the only downside I've found, it has been its cable; It not for its quality but for its length and that just comes with a meter cable; which suggests they a"&amp;"re rather designed for use with mobile than with a stereo ... I bought to replace my old Sony MDR-V150, which have used more than ten years and that Sony still made yet.")</f>
        <v>Good value for money. Headset comfortable and lightweight, easy to store thanks to its folding system which makes them practically flat ... As for the sound, low distortion are powerful and high volume, middle and treble are also correct considering its price we're talking about a headset with a range of audio frequencies ranging from 10 to 24 KHz ... the only downside I've found, it has been its cable; It not for its quality but for its length and that just comes with a meter cable; which suggests they are rather designed for use with mobile than with a stereo ... I bought to replace my old Sony MDR-V150, which have used more than ten years and that Sony still made yet.</v>
      </c>
    </row>
    <row r="8378">
      <c r="A8378" s="1">
        <v>4.0</v>
      </c>
      <c r="B8378" s="1" t="s">
        <v>42</v>
      </c>
      <c r="C8378" t="str">
        <f>IFERROR(__xludf.DUMMYFUNCTION("GOOGLETRANSLATE(B8378, ""es"", ""en"")"),"Well well")</f>
        <v>Well well</v>
      </c>
    </row>
    <row r="8379">
      <c r="A8379" s="1">
        <v>4.0</v>
      </c>
      <c r="B8379" s="1" t="s">
        <v>8313</v>
      </c>
      <c r="C8379" t="str">
        <f>IFERROR(__xludf.DUMMYFUNCTION("GOOGLETRANSLATE(B8379, ""es"", ""en"")"),"SanDisk Extreme USB 3.0 is fast to transfer files in a USB 3.0 started with 39.5 mb transferring a file 23,3GB and maintained at this speed without lowering, good stable pendribe")</f>
        <v>SanDisk Extreme USB 3.0 is fast to transfer files in a USB 3.0 started with 39.5 mb transferring a file 23,3GB and maintained at this speed without lowering, good stable pendribe</v>
      </c>
    </row>
    <row r="8380">
      <c r="A8380" s="1">
        <v>5.0</v>
      </c>
      <c r="B8380" s="1" t="s">
        <v>8314</v>
      </c>
      <c r="C8380" t="str">
        <f>IFERROR(__xludf.DUMMYFUNCTION("GOOGLETRANSLATE(B8380, ""es"", ""en"")"),"Very good very long. It gives for all. Simple narrow and ideal for eg cables make the hair clippers do not get tangled in your hair salon. Very good. And would buy")</f>
        <v>Very good very long. It gives for all. Simple narrow and ideal for eg cables make the hair clippers do not get tangled in your hair salon. Very good. And would buy</v>
      </c>
    </row>
    <row r="8381">
      <c r="A8381" s="1">
        <v>5.0</v>
      </c>
      <c r="B8381" s="1" t="s">
        <v>8315</v>
      </c>
      <c r="C8381" t="str">
        <f>IFERROR(__xludf.DUMMYFUNCTION("GOOGLETRANSLATE(B8381, ""es"", ""en"")"),"Great product quality good quality, comes with a very useful add-ons plus you can select the power you need to beat.")</f>
        <v>Great product quality good quality, comes with a very useful add-ons plus you can select the power you need to beat.</v>
      </c>
    </row>
    <row r="8382">
      <c r="A8382" s="1">
        <v>5.0</v>
      </c>
      <c r="B8382" s="1" t="s">
        <v>8316</v>
      </c>
      <c r="C8382" t="str">
        <f>IFERROR(__xludf.DUMMYFUNCTION("GOOGLETRANSLATE(B8382, ""es"", ""en"")"),"I like you're pretty well and arrived soon")</f>
        <v>I like you're pretty well and arrived soon</v>
      </c>
    </row>
    <row r="8383">
      <c r="A8383" s="1">
        <v>5.0</v>
      </c>
      <c r="B8383" s="1" t="s">
        <v>8317</v>
      </c>
      <c r="C8383" t="str">
        <f>IFERROR(__xludf.DUMMYFUNCTION("GOOGLETRANSLATE(B8383, ""es"", ""en"")"),"Great Big savings")</f>
        <v>Great Big savings</v>
      </c>
    </row>
    <row r="8384">
      <c r="A8384" s="1">
        <v>5.0</v>
      </c>
      <c r="B8384" s="1" t="s">
        <v>8318</v>
      </c>
      <c r="C8384" t="str">
        <f>IFERROR(__xludf.DUMMYFUNCTION("GOOGLETRANSLATE(B8384, ""es"", ""en"")"),"Breathable and very comfortable. Perfect, recommended, comfortable and very breathable.")</f>
        <v>Breathable and very comfortable. Perfect, recommended, comfortable and very breathable.</v>
      </c>
    </row>
    <row r="8385">
      <c r="A8385" s="1">
        <v>5.0</v>
      </c>
      <c r="B8385" s="1" t="s">
        <v>8319</v>
      </c>
      <c r="C8385" t="str">
        <f>IFERROR(__xludf.DUMMYFUNCTION("GOOGLETRANSLATE(B8385, ""es"", ""en"")"),"Practical portable blender is small and handy, you can carry in your bag anywhere but I use it more at home to prepare the porridge to the baby or to make a smoothie for me, instead of taking the big blender to crush small amount better to use this portab"&amp;"le mixer.")</f>
        <v>Practical portable blender is small and handy, you can carry in your bag anywhere but I use it more at home to prepare the porridge to the baby or to make a smoothie for me, instead of taking the big blender to crush small amount better to use this portable mixer.</v>
      </c>
    </row>
    <row r="8386">
      <c r="A8386" s="1">
        <v>5.0</v>
      </c>
      <c r="B8386" s="1" t="s">
        <v>8320</v>
      </c>
      <c r="C8386" t="str">
        <f>IFERROR(__xludf.DUMMYFUNCTION("GOOGLETRANSLATE(B8386, ""es"", ""en"")"),"Very good cordless vacuum am very happy with the purchase. I've been several months with her and I can say that has given me so much life in the daily maintenance cleaning the house. I have dog hairs perfectly I vacuum the floor and sofa. Lacks some power"&amp;" to suck up larger debris such as small stones but is offset by the advantages. Easy to handle and battery life for a small apartment more than enough. I recommend it.")</f>
        <v>Very good cordless vacuum am very happy with the purchase. I've been several months with her and I can say that has given me so much life in the daily maintenance cleaning the house. I have dog hairs perfectly I vacuum the floor and sofa. Lacks some power to suck up larger debris such as small stones but is offset by the advantages. Easy to handle and battery life for a small apartment more than enough. I recommend it.</v>
      </c>
    </row>
    <row r="8387">
      <c r="A8387" s="1">
        <v>5.0</v>
      </c>
      <c r="B8387" s="1" t="s">
        <v>8321</v>
      </c>
      <c r="C8387" t="str">
        <f>IFERROR(__xludf.DUMMYFUNCTION("GOOGLETRANSLATE(B8387, ""es"", ""en"")"),"Isabel We went on vacation with our 18mesos. We did not want a bottle warmed trasto then not serve for anything so we opted to buy this kettle Bodum. Heats the water in 10 seconds without boiling, to prepare the bottle is sufiente. No space and now serves"&amp;" for infusions. Great buy.")</f>
        <v>Isabel We went on vacation with our 18mesos. We did not want a bottle warmed trasto then not serve for anything so we opted to buy this kettle Bodum. Heats the water in 10 seconds without boiling, to prepare the bottle is sufiente. No space and now serves for infusions. Great buy.</v>
      </c>
    </row>
    <row r="8388">
      <c r="A8388" s="1">
        <v>5.0</v>
      </c>
      <c r="B8388" s="1" t="s">
        <v>8322</v>
      </c>
      <c r="C8388" t="str">
        <f>IFERROR(__xludf.DUMMYFUNCTION("GOOGLETRANSLATE(B8388, ""es"", ""en"")"),"Good product quality, flexible, low noise and quality")</f>
        <v>Good product quality, flexible, low noise and quality</v>
      </c>
    </row>
    <row r="8389">
      <c r="A8389" s="1">
        <v>5.0</v>
      </c>
      <c r="B8389" s="1" t="s">
        <v>8323</v>
      </c>
      <c r="C8389" t="str">
        <f>IFERROR(__xludf.DUMMYFUNCTION("GOOGLETRANSLATE(B8389, ""es"", ""en"")"),"Very comfortable I love these shoes Puma. It was a gift for my husband and I go to perfection. He says they are comfortable. It seems to me a very elegant model for its simplicity and uniform color. Including sole.")</f>
        <v>Very comfortable I love these shoes Puma. It was a gift for my husband and I go to perfection. He says they are comfortable. It seems to me a very elegant model for its simplicity and uniform color. Including sole.</v>
      </c>
    </row>
    <row r="8390">
      <c r="A8390" s="1">
        <v>5.0</v>
      </c>
      <c r="B8390" s="1" t="s">
        <v>8324</v>
      </c>
      <c r="C8390" t="str">
        <f>IFERROR(__xludf.DUMMYFUNCTION("GOOGLETRANSLATE(B8390, ""es"", ""en"")"),"Recommended :) &lt;div id = ""video-block-R3RA64LIHEDX6C"" class = ""section a-a-a-spacing-small spacing-top-video mini-block""&gt; &lt;/ div&gt; &lt;input type = ""hidden"" name = """" value = ""https://images-eu.ssl-images-amazon.com/images/I/A1CdZn+c89S.mp4"" class ="&amp;" ""video-url""&gt; &lt;input type = ""hidden"" name = """" value = ""https://images-eu.ssl-images-amazon.com/images/I/918IKUU3pVS.png"" class = ""video-slate-img-url""&gt; &amp; nbsp; Very good quality and finish is great for protect your desktop and make more comfort"&amp;"able the use of your computer. The lights give a very cool look. Highly recommended.")</f>
        <v>Recommended :) &lt;div id = "video-block-R3RA64LIHEDX6C" class = "section a-a-a-spacing-small spacing-top-video mini-block"&gt; &lt;/ div&gt; &lt;input type = "hidden" name = "" value = "https://images-eu.ssl-images-amazon.com/images/I/A1CdZn+c89S.mp4" class = "video-url"&gt; &lt;input type = "hidden" name = "" value = "https://images-eu.ssl-images-amazon.com/images/I/918IKUU3pVS.png" class = "video-slate-img-url"&gt; &amp; nbsp; Very good quality and finish is great for protect your desktop and make more comfortable the use of your computer. The lights give a very cool look. Highly recommended.</v>
      </c>
    </row>
    <row r="8391">
      <c r="A8391" s="1">
        <v>5.0</v>
      </c>
      <c r="B8391" s="1" t="s">
        <v>8325</v>
      </c>
      <c r="C8391" t="str">
        <f>IFERROR(__xludf.DUMMYFUNCTION("GOOGLETRANSLATE(B8391, ""es"", ""en"")"),"Quality tape tape quality that guarantees your brand")</f>
        <v>Quality tape tape quality that guarantees your brand</v>
      </c>
    </row>
    <row r="8392">
      <c r="A8392" s="1">
        <v>5.0</v>
      </c>
      <c r="B8392" s="1" t="s">
        <v>8326</v>
      </c>
      <c r="C8392" t="str">
        <f>IFERROR(__xludf.DUMMYFUNCTION("GOOGLETRANSLATE(B8392, ""es"", ""en"")"),"But more than recommended helmets with earphones eye gums with good value for money, but with a big but. Say first that the build quality of these headphones is more than adequate, and also incorporating technology justify the price in a more reasonable m"&amp;"anner. Incorporating touch controls work perfectly and the sound that cast is very good from my point of view. But for me the big headphones but these reside in the gums using these headphones. Which they are not lifelong, but they are special and not wor"&amp;"th any one. Furthermore, the manufacturer does not include additional gums.")</f>
        <v>But more than recommended helmets with earphones eye gums with good value for money, but with a big but. Say first that the build quality of these headphones is more than adequate, and also incorporating technology justify the price in a more reasonable manner. Incorporating touch controls work perfectly and the sound that cast is very good from my point of view. But for me the big headphones but these reside in the gums using these headphones. Which they are not lifelong, but they are special and not worth any one. Furthermore, the manufacturer does not include additional gums.</v>
      </c>
    </row>
    <row r="8393">
      <c r="A8393" s="1">
        <v>5.0</v>
      </c>
      <c r="B8393" s="1" t="s">
        <v>8327</v>
      </c>
      <c r="C8393" t="str">
        <f>IFERROR(__xludf.DUMMYFUNCTION("GOOGLETRANSLATE(B8393, ""es"", ""en"")"),"Just what I wanted I wanted a not very large bag when I go for a ride by bike, but I was not convinced the idea because they like a fanny pack strapped to my waist. It also ended a backpack like me because they generally are too big, and I just want to ta"&amp;"ke your phone, wallet, keys and reading glasses. Of course in La Bolsa they fit more, a small tablet, a bottle of water .... but not my intention to carry a sack of potatoes hanging chest. Exchange initially looks good, seems sturdy fabric and zippers run"&amp;" very well. In the back compartment it has a small zip appropriate keys, coins or even one of these multiple tools for bike. At the front it has two zippered pockets of different sizes and an open third party without zipper. Of course although the descrip"&amp;"tion puts chest bag, you can carry in your chest, back or longer put the strap on the side. In summary. For the price it seems ideal for my needs and I think a successful purchase.")</f>
        <v>Just what I wanted I wanted a not very large bag when I go for a ride by bike, but I was not convinced the idea because they like a fanny pack strapped to my waist. It also ended a backpack like me because they generally are too big, and I just want to take your phone, wallet, keys and reading glasses. Of course in La Bolsa they fit more, a small tablet, a bottle of water .... but not my intention to carry a sack of potatoes hanging chest. Exchange initially looks good, seems sturdy fabric and zippers run very well. In the back compartment it has a small zip appropriate keys, coins or even one of these multiple tools for bike. At the front it has two zippered pockets of different sizes and an open third party without zipper. Of course although the description puts chest bag, you can carry in your chest, back or longer put the strap on the side. In summary. For the price it seems ideal for my needs and I think a successful purchase.</v>
      </c>
    </row>
    <row r="8394">
      <c r="A8394" s="1">
        <v>5.0</v>
      </c>
      <c r="B8394" s="1" t="s">
        <v>8328</v>
      </c>
      <c r="C8394" t="str">
        <f>IFERROR(__xludf.DUMMYFUNCTION("GOOGLETRANSLATE(B8394, ""es"", ""en"")"),"Safe shopping We use in political discourse, civil weddings, stable, lightweight and easy to handle")</f>
        <v>Safe shopping We use in political discourse, civil weddings, stable, lightweight and easy to handle</v>
      </c>
    </row>
    <row r="8395">
      <c r="A8395" s="1">
        <v>5.0</v>
      </c>
      <c r="B8395" s="1" t="s">
        <v>8329</v>
      </c>
      <c r="C8395" t="str">
        <f>IFERROR(__xludf.DUMMYFUNCTION("GOOGLETRANSLATE(B8395, ""es"", ""en"")"),"speed of delivery and quality good")</f>
        <v>speed of delivery and quality good</v>
      </c>
    </row>
    <row r="8396">
      <c r="A8396" s="1">
        <v>5.0</v>
      </c>
      <c r="B8396" s="1" t="s">
        <v>8330</v>
      </c>
      <c r="C8396" t="str">
        <f>IFERROR(__xludf.DUMMYFUNCTION("GOOGLETRANSLATE(B8396, ""es"", ""en"")"),"Seagate Expansion STEA4000400 In principle and so far I have nothing to complain about the product, installed it with no problem and it works well.")</f>
        <v>Seagate Expansion STEA4000400 In principle and so far I have nothing to complain about the product, installed it with no problem and it works well.</v>
      </c>
    </row>
    <row r="8397">
      <c r="A8397" s="1">
        <v>5.0</v>
      </c>
      <c r="B8397" s="1" t="s">
        <v>8331</v>
      </c>
      <c r="C8397" t="str">
        <f>IFERROR(__xludf.DUMMYFUNCTION("GOOGLETRANSLATE(B8397, ""es"", ""en"")"),"Rosa R. I bought these boots for my husband and I ordered the same number used in a shoe brand. He is delighted. I hope to have boots for a while. Inside, at the height of the ankle is padded, so it does not touch anything. Recommended for quality and pri"&amp;"ce.")</f>
        <v>Rosa R. I bought these boots for my husband and I ordered the same number used in a shoe brand. He is delighted. I hope to have boots for a while. Inside, at the height of the ankle is padded, so it does not touch anything. Recommended for quality and price.</v>
      </c>
    </row>
    <row r="8398">
      <c r="A8398" s="1">
        <v>5.0</v>
      </c>
      <c r="B8398" s="1" t="s">
        <v>8332</v>
      </c>
      <c r="C8398" t="str">
        <f>IFERROR(__xludf.DUMMYFUNCTION("GOOGLETRANSLATE(B8398, ""es"", ""en"")"),"This works perfectly for trabajar.100% bien.Duradero.Lo use sumergible.No is perfect rompe.Funciona.")</f>
        <v>This works perfectly for trabajar.100% bien.Duradero.Lo use sumergible.No is perfect rompe.Funciona.</v>
      </c>
    </row>
    <row r="8399">
      <c r="A8399" s="1">
        <v>2.0</v>
      </c>
      <c r="B8399" s="1" t="s">
        <v>8333</v>
      </c>
      <c r="C8399" t="str">
        <f>IFERROR(__xludf.DUMMYFUNCTION("GOOGLETRANSLATE(B8399, ""es"", ""en"")"),"Size not expel sweat they are perfect, completely waterproof but do not allow perspiration. I used them trekking to near zero degrees and then in the city on regular work days and in both the expulsion of sweat was nonexistent. Have known not buy.")</f>
        <v>Size not expel sweat they are perfect, completely waterproof but do not allow perspiration. I used them trekking to near zero degrees and then in the city on regular work days and in both the expulsion of sweat was nonexistent. Have known not buy.</v>
      </c>
    </row>
    <row r="8400">
      <c r="A8400" s="1">
        <v>3.0</v>
      </c>
      <c r="B8400" s="1" t="s">
        <v>8334</v>
      </c>
      <c r="C8400" t="str">
        <f>IFERROR(__xludf.DUMMYFUNCTION("GOOGLETRANSLATE(B8400, ""es"", ""en"")"),"Fast Shipping Da less size, the product came fast, but I did not like much, and size gives less than normal")</f>
        <v>Fast Shipping Da less size, the product came fast, but I did not like much, and size gives less than normal</v>
      </c>
    </row>
    <row r="8401">
      <c r="A8401" s="1">
        <v>3.0</v>
      </c>
      <c r="B8401" s="1" t="s">
        <v>8335</v>
      </c>
      <c r="C8401" t="str">
        <f>IFERROR(__xludf.DUMMYFUNCTION("GOOGLETRANSLATE(B8401, ""es"", ""en"")"),"FRAGILE povo normal quality, others have had better quality")</f>
        <v>FRAGILE povo normal quality, others have had better quality</v>
      </c>
    </row>
    <row r="8402">
      <c r="A8402" s="1">
        <v>1.0</v>
      </c>
      <c r="B8402" s="1" t="s">
        <v>8336</v>
      </c>
      <c r="C8402" t="str">
        <f>IFERROR(__xludf.DUMMYFUNCTION("GOOGLETRANSLATE(B8402, ""es"", ""en"")"),"I do not like not doing anything takes off")</f>
        <v>I do not like not doing anything takes off</v>
      </c>
    </row>
    <row r="8403">
      <c r="A8403" s="1">
        <v>1.0</v>
      </c>
      <c r="B8403" s="1" t="s">
        <v>8337</v>
      </c>
      <c r="C8403" t="str">
        <f>IFERROR(__xludf.DUMMYFUNCTION("GOOGLETRANSLATE(B8403, ""es"", ""en"")"),"Product returned I tried it and turning over the bottle the liquid drop jet so it is not recommended to feed a baby a month. It is not as described in the announcement.")</f>
        <v>Product returned I tried it and turning over the bottle the liquid drop jet so it is not recommended to feed a baby a month. It is not as described in the announcement.</v>
      </c>
    </row>
    <row r="8404">
      <c r="A8404" s="1">
        <v>4.0</v>
      </c>
      <c r="B8404" s="1" t="s">
        <v>8338</v>
      </c>
      <c r="C8404" t="str">
        <f>IFERROR(__xludf.DUMMYFUNCTION("GOOGLETRANSLATE(B8404, ""es"", ""en"")"),"They work perfectly with AKG 451 headphones work with AKG K451. At the beginning my laptop detect the insertion of the pin but not receiving audio from the microphone. After reinstalling the audio drivers (in my case Realtek) it has become operational. Pl"&amp;"ayback of sound, to me it sounds just as well without the splitter cable. The pins are covered by a metal sheath, both the inlet (female) and two output (male). If you play with the hand covering input pin is perceived hum, this does not happen if you tou"&amp;"ch the output. Obviously why not be a problem in everyday use but evidence could have better insulation. For this reason alone I give it 4 stars.")</f>
        <v>They work perfectly with AKG 451 headphones work with AKG K451. At the beginning my laptop detect the insertion of the pin but not receiving audio from the microphone. After reinstalling the audio drivers (in my case Realtek) it has become operational. Playback of sound, to me it sounds just as well without the splitter cable. The pins are covered by a metal sheath, both the inlet (female) and two output (male). If you play with the hand covering input pin is perceived hum, this does not happen if you touch the output. Obviously why not be a problem in everyday use but evidence could have better insulation. For this reason alone I give it 4 stars.</v>
      </c>
    </row>
    <row r="8405">
      <c r="A8405" s="1">
        <v>4.0</v>
      </c>
      <c r="B8405" s="1" t="s">
        <v>8339</v>
      </c>
      <c r="C8405" t="str">
        <f>IFERROR(__xludf.DUMMYFUNCTION("GOOGLETRANSLATE(B8405, ""es"", ""en"")"),"Guapísima The boot is very beautiful, although not very comfortable to walk a lot of it is pretty hard, this may be solved with use.")</f>
        <v>Guapísima The boot is very beautiful, although not very comfortable to walk a lot of it is pretty hard, this may be solved with use.</v>
      </c>
    </row>
    <row r="8406">
      <c r="A8406" s="1">
        <v>4.0</v>
      </c>
      <c r="B8406" s="1" t="s">
        <v>8340</v>
      </c>
      <c r="C8406" t="str">
        <f>IFERROR(__xludf.DUMMYFUNCTION("GOOGLETRANSLATE(B8406, ""es"", ""en"")"),"Excellent Very happy, very good product and good price.")</f>
        <v>Excellent Very happy, very good product and good price.</v>
      </c>
    </row>
    <row r="8407">
      <c r="A8407" s="1">
        <v>4.0</v>
      </c>
      <c r="B8407" s="1" t="s">
        <v>8341</v>
      </c>
      <c r="C8407" t="str">
        <f>IFERROR(__xludf.DUMMYFUNCTION("GOOGLETRANSLATE(B8407, ""es"", ""en"")"),"For redmi I use them with redmi Xiaomi Note 4 and sound pretty good. They fit very well and have the ear microphone ..")</f>
        <v>For redmi I use them with redmi Xiaomi Note 4 and sound pretty good. They fit very well and have the ear microphone ..</v>
      </c>
    </row>
    <row r="8408">
      <c r="A8408" s="1">
        <v>4.0</v>
      </c>
      <c r="B8408" s="1" t="s">
        <v>8342</v>
      </c>
      <c r="C8408" t="str">
        <f>IFERROR(__xludf.DUMMYFUNCTION("GOOGLETRANSLATE(B8408, ""es"", ""en"")"),"Buy another'm delighted with the product, I was afraid to expel water and dip them and it is not. The handling is easy.")</f>
        <v>Buy another'm delighted with the product, I was afraid to expel water and dip them and it is not. The handling is easy.</v>
      </c>
    </row>
    <row r="8409">
      <c r="A8409" s="1">
        <v>5.0</v>
      </c>
      <c r="B8409" s="1" t="s">
        <v>8343</v>
      </c>
      <c r="C8409" t="str">
        <f>IFERROR(__xludf.DUMMYFUNCTION("GOOGLETRANSLATE(B8409, ""es"", ""en"")"),"Good quality fabric These meshes have a quality material. Inside they have a fabric color that makes aluminum fulfill its function of sweat. They are hygienic and comfortable to wear warm as well. High waist, so it also takes guts. The sizing goes well, m"&amp;"ine are size M and corresponds to a 38/40. Undoubtedly, good product.")</f>
        <v>Good quality fabric These meshes have a quality material. Inside they have a fabric color that makes aluminum fulfill its function of sweat. They are hygienic and comfortable to wear warm as well. High waist, so it also takes guts. The sizing goes well, mine are size M and corresponds to a 38/40. Undoubtedly, good product.</v>
      </c>
    </row>
    <row r="8410">
      <c r="A8410" s="1">
        <v>5.0</v>
      </c>
      <c r="B8410" s="1" t="s">
        <v>8344</v>
      </c>
      <c r="C8410" t="str">
        <f>IFERROR(__xludf.DUMMYFUNCTION("GOOGLETRANSLATE(B8410, ""es"", ""en"")"),"OK, Good Quality Machine carton sealer, good quality, very durable and performs its function perfectly. Good value for money.")</f>
        <v>OK, Good Quality Machine carton sealer, good quality, very durable and performs its function perfectly. Good value for money.</v>
      </c>
    </row>
    <row r="8411">
      <c r="A8411" s="1">
        <v>5.0</v>
      </c>
      <c r="B8411" s="1" t="s">
        <v>8345</v>
      </c>
      <c r="C8411" t="str">
        <f>IFERROR(__xludf.DUMMYFUNCTION("GOOGLETRANSLATE(B8411, ""es"", ""en"")"),"All good is the second buy. The other would regale. Even he survived the lavafora get him after a week in rice. Comfortable. I can use the google ok. Long duration and that reached me comes in Spanish. For now without complaint. M70 comes the PLT. In my o"&amp;"pinion the best in its class")</f>
        <v>All good is the second buy. The other would regale. Even he survived the lavafora get him after a week in rice. Comfortable. I can use the google ok. Long duration and that reached me comes in Spanish. For now without complaint. M70 comes the PLT. In my opinion the best in its class</v>
      </c>
    </row>
    <row r="8412">
      <c r="A8412" s="1">
        <v>5.0</v>
      </c>
      <c r="B8412" s="1" t="s">
        <v>8346</v>
      </c>
      <c r="C8412" t="str">
        <f>IFERROR(__xludf.DUMMYFUNCTION("GOOGLETRANSLATE(B8412, ""es"", ""en"")"),"Sport shoes perfect.")</f>
        <v>Sport shoes perfect.</v>
      </c>
    </row>
    <row r="8413">
      <c r="A8413" s="1">
        <v>5.0</v>
      </c>
      <c r="B8413" s="1" t="s">
        <v>8347</v>
      </c>
      <c r="C8413" t="str">
        <f>IFERROR(__xludf.DUMMYFUNCTION("GOOGLETRANSLATE(B8413, ""es"", ""en"")"),"Good quality sheaths are looking good and feeling of quality. Notably, they have a size slightly higher than an A4, so we can get more easily each sheet, and a lot of them, I estimate up to 100 sheets draining.")</f>
        <v>Good quality sheaths are looking good and feeling of quality. Notably, they have a size slightly higher than an A4, so we can get more easily each sheet, and a lot of them, I estimate up to 100 sheets draining.</v>
      </c>
    </row>
    <row r="8414">
      <c r="A8414" s="1">
        <v>5.0</v>
      </c>
      <c r="B8414" s="1" t="s">
        <v>8348</v>
      </c>
      <c r="C8414" t="str">
        <f>IFERROR(__xludf.DUMMYFUNCTION("GOOGLETRANSLATE(B8414, ""es"", ""en"")"),"Very good buy very good value for money. Bonitos. No tightened. Perfect size")</f>
        <v>Very good buy very good value for money. Bonitos. No tightened. Perfect size</v>
      </c>
    </row>
    <row r="8415">
      <c r="A8415" s="1">
        <v>5.0</v>
      </c>
      <c r="B8415" s="1" t="s">
        <v>8349</v>
      </c>
      <c r="C8415" t="str">
        <f>IFERROR(__xludf.DUMMYFUNCTION("GOOGLETRANSLATE(B8415, ""es"", ""en"")"),"I love Excellent product, very comfortable and adapts to the lip of the baby. With regard to cleanliness comes with a brush and is not as difficult with a good product limpiatetinas is enough.")</f>
        <v>I love Excellent product, very comfortable and adapts to the lip of the baby. With regard to cleanliness comes with a brush and is not as difficult with a good product limpiatetinas is enough.</v>
      </c>
    </row>
    <row r="8416">
      <c r="A8416" s="1">
        <v>5.0</v>
      </c>
      <c r="B8416" s="1" t="s">
        <v>8350</v>
      </c>
      <c r="C8416" t="str">
        <f>IFERROR(__xludf.DUMMYFUNCTION("GOOGLETRANSLATE(B8416, ""es"", ""en"")"),"Ideal for gluing paper on the wall Ideal for gluing paper or the like on the wall ... etc")</f>
        <v>Ideal for gluing paper on the wall Ideal for gluing paper or the like on the wall ... etc</v>
      </c>
    </row>
    <row r="8417">
      <c r="A8417" s="1">
        <v>5.0</v>
      </c>
      <c r="B8417" s="1" t="s">
        <v>8351</v>
      </c>
      <c r="C8417" t="str">
        <f>IFERROR(__xludf.DUMMYFUNCTION("GOOGLETRANSLATE(B8417, ""es"", ""en"")"),"I bought it twice were commissioned and tested and when he saw that worked very well and I asked others adapted for her daughter, so I recommend very good and at a great price with offers")</f>
        <v>I bought it twice were commissioned and tested and when he saw that worked very well and I asked others adapted for her daughter, so I recommend very good and at a great price with offers</v>
      </c>
    </row>
    <row r="8418">
      <c r="A8418" s="1">
        <v>5.0</v>
      </c>
      <c r="B8418" s="1" t="s">
        <v>8352</v>
      </c>
      <c r="C8418" t="str">
        <f>IFERROR(__xludf.DUMMYFUNCTION("GOOGLETRANSLATE(B8418, ""es"", ""en"")"),"Safe shopping while since the sought and finally found them at an attractive price. If you've already used this brand shoes buy the number you expend. Claza shooting right")</f>
        <v>Safe shopping while since the sought and finally found them at an attractive price. If you've already used this brand shoes buy the number you expend. Claza shooting right</v>
      </c>
    </row>
    <row r="8419">
      <c r="A8419" s="1">
        <v>5.0</v>
      </c>
      <c r="B8419" s="1" t="s">
        <v>8353</v>
      </c>
      <c r="C8419" t="str">
        <f>IFERROR(__xludf.DUMMYFUNCTION("GOOGLETRANSLATE(B8419, ""es"", ""en"")"),"It's the classic quality of life and that is lasting, lifetime. I bought again because I've moved to Spain and I have not brought it had before. The design of the vessel that brings seems a little big. I prefer the stainless steel that is easier to handle"&amp;", it will be my next purchase.")</f>
        <v>It's the classic quality of life and that is lasting, lifetime. I bought again because I've moved to Spain and I have not brought it had before. The design of the vessel that brings seems a little big. I prefer the stainless steel that is easier to handle, it will be my next purchase.</v>
      </c>
    </row>
    <row r="8420">
      <c r="A8420" s="1">
        <v>5.0</v>
      </c>
      <c r="B8420" s="1" t="s">
        <v>8354</v>
      </c>
      <c r="C8420" t="str">
        <f>IFERROR(__xludf.DUMMYFUNCTION("GOOGLETRANSLATE(B8420, ""es"", ""en"")"),"Recomendadisimos good product. He led using long ago. Pra crystals and furniture goes great, a little hot water and ready, no need to use cleaning product.")</f>
        <v>Recomendadisimos good product. He led using long ago. Pra crystals and furniture goes great, a little hot water and ready, no need to use cleaning product.</v>
      </c>
    </row>
    <row r="8421">
      <c r="A8421" s="1">
        <v>5.0</v>
      </c>
      <c r="B8421" s="1" t="s">
        <v>8355</v>
      </c>
      <c r="C8421" t="str">
        <f>IFERROR(__xludf.DUMMYFUNCTION("GOOGLETRANSLATE(B8421, ""es"", ""en"")"),"Simple humidifier is very easy to use and its design is beautiful. It includes instruction in Castilian")</f>
        <v>Simple humidifier is very easy to use and its design is beautiful. It includes instruction in Castilian</v>
      </c>
    </row>
    <row r="8422">
      <c r="A8422" s="1">
        <v>5.0</v>
      </c>
      <c r="B8422" s="1" t="s">
        <v>8356</v>
      </c>
      <c r="C8422" t="str">
        <f>IFERROR(__xludf.DUMMYFUNCTION("GOOGLETRANSLATE(B8422, ""es"", ""en"")"),"I love this bottle loved us, has a valve for air inlet which does not lose milk and above is super easy to clean. The nipple is fine. It is the widest in the area of ​​the nipple, is expensive compared to others but worth it. Particularly we prefer glass "&amp;"bottles, plastic and no, if one day falls or breaks it is another purchase like if you drop a glass.")</f>
        <v>I love this bottle loved us, has a valve for air inlet which does not lose milk and above is super easy to clean. The nipple is fine. It is the widest in the area of ​​the nipple, is expensive compared to others but worth it. Particularly we prefer glass bottles, plastic and no, if one day falls or breaks it is another purchase like if you drop a glass.</v>
      </c>
    </row>
    <row r="8423">
      <c r="A8423" s="1">
        <v>5.0</v>
      </c>
      <c r="B8423" s="1" t="s">
        <v>8357</v>
      </c>
      <c r="C8423" t="str">
        <f>IFERROR(__xludf.DUMMYFUNCTION("GOOGLETRANSLATE(B8423, ""es"", ""en"")"),"Functional Practical and simple")</f>
        <v>Functional Practical and simple</v>
      </c>
    </row>
    <row r="8424">
      <c r="A8424" s="1">
        <v>5.0</v>
      </c>
      <c r="B8424" s="1" t="s">
        <v>8358</v>
      </c>
      <c r="C8424" t="str">
        <f>IFERROR(__xludf.DUMMYFUNCTION("GOOGLETRANSLATE(B8424, ""es"", ""en"")"),"Surprisingly good Very good headphones, do not weigh anything, engage the perfect ears and do not fall. I've used to go running and well, remain in place all the time without problems. Very easy to set up and use, connect to the bluetooth and ready. The b"&amp;"attery lasts a lot, I've been wearing them four days without charge. It's great to load the box and does not take anything Very pleased with purchase If you find this helpful my comment, give me a 👍🏻")</f>
        <v>Surprisingly good Very good headphones, do not weigh anything, engage the perfect ears and do not fall. I've used to go running and well, remain in place all the time without problems. Very easy to set up and use, connect to the bluetooth and ready. The battery lasts a lot, I've been wearing them four days without charge. It's great to load the box and does not take anything Very pleased with purchase If you find this helpful my comment, give me a 👍🏻</v>
      </c>
    </row>
    <row r="8425">
      <c r="A8425" s="1">
        <v>5.0</v>
      </c>
      <c r="B8425" s="1" t="s">
        <v>8359</v>
      </c>
      <c r="C8425" t="str">
        <f>IFERROR(__xludf.DUMMYFUNCTION("GOOGLETRANSLATE(B8425, ""es"", ""en"")"),"Great. I had some doubts but the truth is great. Frozen fruit smoothies are no lumps, protein shakes without lumps, chop the ice. I love. I'm about to buy another for work.")</f>
        <v>Great. I had some doubts but the truth is great. Frozen fruit smoothies are no lumps, protein shakes without lumps, chop the ice. I love. I'm about to buy another for work.</v>
      </c>
    </row>
    <row r="8426">
      <c r="A8426" s="1">
        <v>5.0</v>
      </c>
      <c r="B8426" s="1" t="s">
        <v>8360</v>
      </c>
      <c r="C8426" t="str">
        <f>IFERROR(__xludf.DUMMYFUNCTION("GOOGLETRANSLATE(B8426, ""es"", ""en"")"),"Jack adapter for the money, meets")</f>
        <v>Jack adapter for the money, meets</v>
      </c>
    </row>
    <row r="8427">
      <c r="A8427" s="1">
        <v>5.0</v>
      </c>
      <c r="B8427" s="1" t="s">
        <v>8361</v>
      </c>
      <c r="C8427" t="str">
        <f>IFERROR(__xludf.DUMMYFUNCTION("GOOGLETRANSLATE(B8427, ""es"", ""en"")"),"100 Choose a size would be little more because I thought I was right size and")</f>
        <v>100 Choose a size would be little more because I thought I was right size and</v>
      </c>
    </row>
    <row r="8428">
      <c r="A8428" s="1">
        <v>2.0</v>
      </c>
      <c r="B8428" s="1" t="s">
        <v>8362</v>
      </c>
      <c r="C8428" t="str">
        <f>IFERROR(__xludf.DUMMYFUNCTION("GOOGLETRANSLATE(B8428, ""es"", ""en"")"),"Worst result of the expected Virtually use one of the connections began to fail to stop working. I had to use a soldering iron to reattach connections.")</f>
        <v>Worst result of the expected Virtually use one of the connections began to fail to stop working. I had to use a soldering iron to reattach connections.</v>
      </c>
    </row>
    <row r="8429">
      <c r="A8429" s="1">
        <v>3.0</v>
      </c>
      <c r="B8429" s="1" t="s">
        <v>8363</v>
      </c>
      <c r="C8429" t="str">
        <f>IFERROR(__xludf.DUMMYFUNCTION("GOOGLETRANSLATE(B8429, ""es"", ""en"")"),"Well, it delivers what it promises. It serves what it says it serves. Well hold the weight of a microphone Blue yeti. More than enough to make my podcast.")</f>
        <v>Well, it delivers what it promises. It serves what it says it serves. Well hold the weight of a microphone Blue yeti. More than enough to make my podcast.</v>
      </c>
    </row>
    <row r="8430">
      <c r="A8430" s="1">
        <v>3.0</v>
      </c>
      <c r="B8430" s="1" t="s">
        <v>8364</v>
      </c>
      <c r="C8430" t="str">
        <f>IFERROR(__xludf.DUMMYFUNCTION("GOOGLETRANSLATE(B8430, ""es"", ""en"")"),"Very average fairly average. I bought mostly by the wheels. You have to continue to exercise force to wring the mop, so if someone thinks to buy it for this reason not recommend it. Another thing that disappoints me is that you can not choose color. In my"&amp;" case I wanted and got red purple.")</f>
        <v>Very average fairly average. I bought mostly by the wheels. You have to continue to exercise force to wring the mop, so if someone thinks to buy it for this reason not recommend it. Another thing that disappoints me is that you can not choose color. In my case I wanted and got red purple.</v>
      </c>
    </row>
    <row r="8431">
      <c r="A8431" s="1">
        <v>1.0</v>
      </c>
      <c r="B8431" s="1" t="s">
        <v>8365</v>
      </c>
      <c r="C8431" t="str">
        <f>IFERROR(__xludf.DUMMYFUNCTION("GOOGLETRANSLATE(B8431, ""es"", ""en"")"),"Poor quality of very poor quality, I arrived yesterday and nothing more start using them at night began to hear bad, do not recommend them.")</f>
        <v>Poor quality of very poor quality, I arrived yesterday and nothing more start using them at night began to hear bad, do not recommend them.</v>
      </c>
    </row>
    <row r="8432">
      <c r="A8432" s="1">
        <v>1.0</v>
      </c>
      <c r="B8432" s="1" t="s">
        <v>8366</v>
      </c>
      <c r="C8432" t="str">
        <f>IFERROR(__xludf.DUMMYFUNCTION("GOOGLETRANSLATE(B8432, ""es"", ""en"")"),"I bought two pairs, one was wrong and the other good I bought two pairs to have parts, and one of them worked well for a year and a half until the connection of the cable broke with the pin and stayed in mono, but do not blame the headset but misuse of me"&amp;". Instead, the second pair I ordered never worked well. completely sound and microphone can not go.")</f>
        <v>I bought two pairs, one was wrong and the other good I bought two pairs to have parts, and one of them worked well for a year and a half until the connection of the cable broke with the pin and stayed in mono, but do not blame the headset but misuse of me. Instead, the second pair I ordered never worked well. completely sound and microphone can not go.</v>
      </c>
    </row>
    <row r="8433">
      <c r="A8433" s="1">
        <v>4.0</v>
      </c>
      <c r="B8433" s="1" t="s">
        <v>8367</v>
      </c>
      <c r="C8433" t="str">
        <f>IFERROR(__xludf.DUMMYFUNCTION("GOOGLETRANSLATE(B8433, ""es"", ""en"")"),"Very good After reading several negative purchase of opinions, I had my doubts about the product. Is really well, sin often slow in writing, but the tests I've done are similar to other USB memories that have (3.0) is not very fast, but runs at a decent s"&amp;"peed. About 20kb / s. It is not heated, at the least time-intensive ria I gave you in testing. To top buy it in black friday just over 11 €. A bargain.")</f>
        <v>Very good After reading several negative purchase of opinions, I had my doubts about the product. Is really well, sin often slow in writing, but the tests I've done are similar to other USB memories that have (3.0) is not very fast, but runs at a decent speed. About 20kb / s. It is not heated, at the least time-intensive ria I gave you in testing. To top buy it in black friday just over 11 €. A bargain.</v>
      </c>
    </row>
    <row r="8434">
      <c r="A8434" s="1">
        <v>4.0</v>
      </c>
      <c r="B8434" s="1" t="s">
        <v>8368</v>
      </c>
      <c r="C8434" t="str">
        <f>IFERROR(__xludf.DUMMYFUNCTION("GOOGLETRANSLATE(B8434, ""es"", ""en"")"),"Very good quality not give 5 stars because it should bring some kind of rubber band to hold the tape that you have left and so would not go hanging. I'll have to look gums hair to hold her.")</f>
        <v>Very good quality not give 5 stars because it should bring some kind of rubber band to hold the tape that you have left and so would not go hanging. I'll have to look gums hair to hold her.</v>
      </c>
    </row>
    <row r="8435">
      <c r="A8435" s="1">
        <v>4.0</v>
      </c>
      <c r="B8435" s="1" t="s">
        <v>8369</v>
      </c>
      <c r="C8435" t="str">
        <f>IFERROR(__xludf.DUMMYFUNCTION("GOOGLETRANSLATE(B8435, ""es"", ""en"")"),"Perfect &lt;font style = ""vertical-align: inherit;""&gt; &lt;font style = ""vertical-align: inherit;""&gt;. I am happy with it, it is very comfortable and easy to disassemble to clean &lt;/ font&gt; &lt;/ font&gt;")</f>
        <v>Perfect &lt;font style = "vertical-align: inherit;"&gt; &lt;font style = "vertical-align: inherit;"&gt;. I am happy with it, it is very comfortable and easy to disassemble to clean &lt;/ font&gt; &lt;/ font&gt;</v>
      </c>
    </row>
    <row r="8436">
      <c r="A8436" s="1">
        <v>4.0</v>
      </c>
      <c r="B8436" s="1" t="s">
        <v>8370</v>
      </c>
      <c r="C8436" t="str">
        <f>IFERROR(__xludf.DUMMYFUNCTION("GOOGLETRANSLATE(B8436, ""es"", ""en"")"),"Noelia The anti-colic bottles are not bad, I do not are working 100% but good. The recomiendos. encourage them")</f>
        <v>Noelia The anti-colic bottles are not bad, I do not are working 100% but good. The recomiendos. encourage them</v>
      </c>
    </row>
    <row r="8437">
      <c r="A8437" s="1">
        <v>4.0</v>
      </c>
      <c r="B8437" s="1" t="s">
        <v>8371</v>
      </c>
      <c r="C8437" t="str">
        <f>IFERROR(__xludf.DUMMYFUNCTION("GOOGLETRANSLATE(B8437, ""es"", ""en"")"),"excellent quality Very good quality. The indicated size was somewhat small. the price is high for such a basic design.")</f>
        <v>excellent quality Very good quality. The indicated size was somewhat small. the price is high for such a basic design.</v>
      </c>
    </row>
    <row r="8438">
      <c r="A8438" s="1">
        <v>5.0</v>
      </c>
      <c r="B8438" s="1" t="s">
        <v>8372</v>
      </c>
      <c r="C8438" t="str">
        <f>IFERROR(__xludf.DUMMYFUNCTION("GOOGLETRANSLATE(B8438, ""es"", ""en"")"),"Very nice very nice, it is silver and fits all wrists, it has been a very good gift")</f>
        <v>Very nice very nice, it is silver and fits all wrists, it has been a very good gift</v>
      </c>
    </row>
    <row r="8439">
      <c r="A8439" s="1">
        <v>5.0</v>
      </c>
      <c r="B8439" s="1" t="s">
        <v>8373</v>
      </c>
      <c r="C8439" t="str">
        <f>IFERROR(__xludf.DUMMYFUNCTION("GOOGLETRANSLATE(B8439, ""es"", ""en"")"),"Grab nail very strong")</f>
        <v>Grab nail very strong</v>
      </c>
    </row>
    <row r="8440">
      <c r="A8440" s="1">
        <v>5.0</v>
      </c>
      <c r="B8440" s="1" t="s">
        <v>8374</v>
      </c>
      <c r="C8440" t="str">
        <f>IFERROR(__xludf.DUMMYFUNCTION("GOOGLETRANSLATE(B8440, ""es"", ""en"")"),"Excellent sound at a spectacular price I bought these headphones with a microphone Zalman ZMMIC1 to replace Tritton AX180 my son. The micro has not convinced us because it is very difficult to find the position and orientation hanging on the right earphon"&amp;"e cord. Instead, the headphones sound much better with the Tritton, which will triple the price ...")</f>
        <v>Excellent sound at a spectacular price I bought these headphones with a microphone Zalman ZMMIC1 to replace Tritton AX180 my son. The micro has not convinced us because it is very difficult to find the position and orientation hanging on the right earphone cord. Instead, the headphones sound much better with the Tritton, which will triple the price ...</v>
      </c>
    </row>
    <row r="8441">
      <c r="A8441" s="1">
        <v>5.0</v>
      </c>
      <c r="B8441" s="1" t="s">
        <v>8375</v>
      </c>
      <c r="C8441" t="str">
        <f>IFERROR(__xludf.DUMMYFUNCTION("GOOGLETRANSLATE(B8441, ""es"", ""en"")"),"A perfect performance, good quality")</f>
        <v>A perfect performance, good quality</v>
      </c>
    </row>
    <row r="8442">
      <c r="A8442" s="1">
        <v>5.0</v>
      </c>
      <c r="B8442" s="1" t="s">
        <v>8376</v>
      </c>
      <c r="C8442" t="str">
        <f>IFERROR(__xludf.DUMMYFUNCTION("GOOGLETRANSLATE(B8442, ""es"", ""en"")"),"We are delighted steel body with traces of black plastic. It gives an image of quality and weighing a bit high for this appliance, demonstrating quality. We are happy at home; sauces, mayonnaise, chopped vegetables, minced meat, gazpacho ... fantastic fin"&amp;"ish and quality around every corner. The sauces are smooth as cream, adjust such as power and put the pictures and also turbo function ...")</f>
        <v>We are delighted steel body with traces of black plastic. It gives an image of quality and weighing a bit high for this appliance, demonstrating quality. We are happy at home; sauces, mayonnaise, chopped vegetables, minced meat, gazpacho ... fantastic finish and quality around every corner. The sauces are smooth as cream, adjust such as power and put the pictures and also turbo function ...</v>
      </c>
    </row>
    <row r="8443">
      <c r="A8443" s="1">
        <v>5.0</v>
      </c>
      <c r="B8443" s="1" t="s">
        <v>8377</v>
      </c>
      <c r="C8443" t="str">
        <f>IFERROR(__xludf.DUMMYFUNCTION("GOOGLETRANSLATE(B8443, ""es"", ""en"")"),"FILA SHOES I love, have arrived earlier than expected.")</f>
        <v>FILA SHOES I love, have arrived earlier than expected.</v>
      </c>
    </row>
    <row r="8444">
      <c r="A8444" s="1">
        <v>5.0</v>
      </c>
      <c r="B8444" s="1" t="s">
        <v>6533</v>
      </c>
      <c r="C8444" t="str">
        <f>IFERROR(__xludf.DUMMYFUNCTION("GOOGLETRANSLATE(B8444, ""es"", ""en"")"),"Good quality good quality")</f>
        <v>Good quality good quality</v>
      </c>
    </row>
    <row r="8445">
      <c r="A8445" s="1">
        <v>5.0</v>
      </c>
      <c r="B8445" s="1" t="s">
        <v>8378</v>
      </c>
      <c r="C8445" t="str">
        <f>IFERROR(__xludf.DUMMYFUNCTION("GOOGLETRANSLATE(B8445, ""es"", ""en"")"),"It was a perfect size gift for the daughter of a friend, the girl he liked when he opened it, I hope you enjoy it.")</f>
        <v>It was a perfect size gift for the daughter of a friend, the girl he liked when he opened it, I hope you enjoy it.</v>
      </c>
    </row>
    <row r="8446">
      <c r="A8446" s="1">
        <v>5.0</v>
      </c>
      <c r="B8446" s="1" t="s">
        <v>8379</v>
      </c>
      <c r="C8446" t="str">
        <f>IFERROR(__xludf.DUMMYFUNCTION("GOOGLETRANSLATE(B8446, ""es"", ""en"")"),"Very good quality very good in all the senses")</f>
        <v>Very good quality very good in all the senses</v>
      </c>
    </row>
    <row r="8447">
      <c r="A8447" s="1">
        <v>5.0</v>
      </c>
      <c r="B8447" s="1" t="s">
        <v>8380</v>
      </c>
      <c r="C8447" t="str">
        <f>IFERROR(__xludf.DUMMYFUNCTION("GOOGLETRANSLATE(B8447, ""es"", ""en"")"),"Good sound quality recording I bought the microphone for a gift and has been a success. One of the things I like best is that you can use without connecting to the mobile phone, you can make recordings and escucharlaa including the speaker directly. Sound"&amp;" quality and volume is pretty good.")</f>
        <v>Good sound quality recording I bought the microphone for a gift and has been a success. One of the things I like best is that you can use without connecting to the mobile phone, you can make recordings and escucharlaa including the speaker directly. Sound quality and volume is pretty good.</v>
      </c>
    </row>
    <row r="8448">
      <c r="A8448" s="1">
        <v>5.0</v>
      </c>
      <c r="B8448" s="1" t="s">
        <v>8381</v>
      </c>
      <c r="C8448" t="str">
        <f>IFERROR(__xludf.DUMMYFUNCTION("GOOGLETRANSLATE(B8448, ""es"", ""en"")"),"Great product incredible")</f>
        <v>Great product incredible</v>
      </c>
    </row>
    <row r="8449">
      <c r="A8449" s="1">
        <v>5.0</v>
      </c>
      <c r="B8449" s="1" t="s">
        <v>8382</v>
      </c>
      <c r="C8449" t="str">
        <f>IFERROR(__xludf.DUMMYFUNCTION("GOOGLETRANSLATE(B8449, ""es"", ""en"")"),"Good and cheap One of the best prices on the market for a good product, but it has lasted very little promotion ... is no longer at that price ""total care"".")</f>
        <v>Good and cheap One of the best prices on the market for a good product, but it has lasted very little promotion ... is no longer at that price "total care".</v>
      </c>
    </row>
    <row r="8450">
      <c r="A8450" s="1">
        <v>5.0</v>
      </c>
      <c r="B8450" s="1" t="s">
        <v>8383</v>
      </c>
      <c r="C8450" t="str">
        <f>IFERROR(__xludf.DUMMYFUNCTION("GOOGLETRANSLATE(B8450, ""es"", ""en"")"),"Design and price Very nice design. Good value for money. Easy to put on by the children. Good sound.")</f>
        <v>Design and price Very nice design. Good value for money. Easy to put on by the children. Good sound.</v>
      </c>
    </row>
    <row r="8451">
      <c r="A8451" s="1">
        <v>5.0</v>
      </c>
      <c r="B8451" s="1" t="s">
        <v>8384</v>
      </c>
      <c r="C8451" t="str">
        <f>IFERROR(__xludf.DUMMYFUNCTION("GOOGLETRANSLATE(B8451, ""es"", ""en"")"),"Excellent quality 100% Excellent Article")</f>
        <v>Excellent quality 100% Excellent Article</v>
      </c>
    </row>
    <row r="8452">
      <c r="A8452" s="1">
        <v>5.0</v>
      </c>
      <c r="B8452" s="1" t="s">
        <v>8385</v>
      </c>
      <c r="C8452" t="str">
        <f>IFERROR(__xludf.DUMMYFUNCTION("GOOGLETRANSLATE(B8452, ""es"", ""en"")"),"Very good very good sweatshirt for the price you have, have asked for a 3xl and I look good. I'm a big guy pretty broad back, I was afraid that I could be narrow in the shoulders, but this very well.")</f>
        <v>Very good very good sweatshirt for the price you have, have asked for a 3xl and I look good. I'm a big guy pretty broad back, I was afraid that I could be narrow in the shoulders, but this very well.</v>
      </c>
    </row>
    <row r="8453">
      <c r="A8453" s="1">
        <v>5.0</v>
      </c>
      <c r="B8453" s="1" t="s">
        <v>8386</v>
      </c>
      <c r="C8453" t="str">
        <f>IFERROR(__xludf.DUMMYFUNCTION("GOOGLETRANSLATE(B8453, ""es"", ""en"")"),"Humidifier silent decorative humidifier, 400ml capacity, it is very easy to work installing 5 bcc with a universal charging plug as Android phones, you pour a few drops of aroma oils once filled with water and launches the humification hard, has the abili"&amp;"ty to program operation at 1h, 3h, 6h, or leave it fixed, once no water, it turns off automatically, also has another button to turn decorative colored LED that change, aesthetically is very nice imitation wood, great product, makes very little noise.")</f>
        <v>Humidifier silent decorative humidifier, 400ml capacity, it is very easy to work installing 5 bcc with a universal charging plug as Android phones, you pour a few drops of aroma oils once filled with water and launches the humification hard, has the ability to program operation at 1h, 3h, 6h, or leave it fixed, once no water, it turns off automatically, also has another button to turn decorative colored LED that change, aesthetically is very nice imitation wood, great product, makes very little noise.</v>
      </c>
    </row>
    <row r="8454">
      <c r="A8454" s="1">
        <v>5.0</v>
      </c>
      <c r="B8454" s="1" t="s">
        <v>8387</v>
      </c>
      <c r="C8454" t="str">
        <f>IFERROR(__xludf.DUMMYFUNCTION("GOOGLETRANSLATE(B8454, ""es"", ""en"")"),"Good buy good product")</f>
        <v>Good buy good product</v>
      </c>
    </row>
    <row r="8455">
      <c r="A8455" s="1">
        <v>5.0</v>
      </c>
      <c r="B8455" s="1" t="s">
        <v>8388</v>
      </c>
      <c r="C8455" t="str">
        <f>IFERROR(__xludf.DUMMYFUNCTION("GOOGLETRANSLATE(B8455, ""es"", ""en"")"),". I expected")</f>
        <v>. I expected</v>
      </c>
    </row>
    <row r="8456">
      <c r="A8456" s="1">
        <v>2.0</v>
      </c>
      <c r="B8456" s="1" t="s">
        <v>8389</v>
      </c>
      <c r="C8456" t="str">
        <f>IFERROR(__xludf.DUMMYFUNCTION("GOOGLETRANSLATE(B8456, ""es"", ""en"")"),"Susadera normalita balls, fine. Q what balls they are made worse quickly")</f>
        <v>Susadera normalita balls, fine. Q what balls they are made worse quickly</v>
      </c>
    </row>
    <row r="8457">
      <c r="A8457" s="1">
        <v>3.0</v>
      </c>
      <c r="B8457" s="1" t="s">
        <v>8390</v>
      </c>
      <c r="C8457" t="str">
        <f>IFERROR(__xludf.DUMMYFUNCTION("GOOGLETRANSLATE(B8457, ""es"", ""en"")"),"Not UHF microphones are good, but it is not true UHF frequency is low. For that reason, you can barely separated from the receiver with wireless lose signal.")</f>
        <v>Not UHF microphones are good, but it is not true UHF frequency is low. For that reason, you can barely separated from the receiver with wireless lose signal.</v>
      </c>
    </row>
    <row r="8458">
      <c r="A8458" s="1">
        <v>3.0</v>
      </c>
      <c r="B8458" s="1" t="s">
        <v>8391</v>
      </c>
      <c r="C8458" t="str">
        <f>IFERROR(__xludf.DUMMYFUNCTION("GOOGLETRANSLATE(B8458, ""es"", ""en"")"),"Huawei P8 Lite Headphones The truth is that the maximum volume is not developing any past. Ear fit well and are comfortable. The microphone on the other hand perfectly fulfills")</f>
        <v>Huawei P8 Lite Headphones The truth is that the maximum volume is not developing any past. Ear fit well and are comfortable. The microphone on the other hand perfectly fulfills</v>
      </c>
    </row>
    <row r="8459">
      <c r="A8459" s="1">
        <v>1.0</v>
      </c>
      <c r="B8459" s="1" t="s">
        <v>8392</v>
      </c>
      <c r="C8459" t="str">
        <f>IFERROR(__xludf.DUMMYFUNCTION("GOOGLETRANSLATE(B8459, ""es"", ""en"")"),"It is very narrow in front is very narrow ahead")</f>
        <v>It is very narrow in front is very narrow ahead</v>
      </c>
    </row>
    <row r="8460">
      <c r="A8460" s="1">
        <v>1.0</v>
      </c>
      <c r="B8460" s="1" t="s">
        <v>8393</v>
      </c>
      <c r="C8460" t="str">
        <f>IFERROR(__xludf.DUMMYFUNCTION("GOOGLETRANSLATE(B8460, ""es"", ""en"")"),"Good sport but poor attention carvings are not returned it for almost a month (there was another minor number) and I'm still waiting for reimbursement")</f>
        <v>Good sport but poor attention carvings are not returned it for almost a month (there was another minor number) and I'm still waiting for reimbursement</v>
      </c>
    </row>
    <row r="8461">
      <c r="A8461" s="1">
        <v>4.0</v>
      </c>
      <c r="B8461" s="1" t="s">
        <v>8394</v>
      </c>
      <c r="C8461" t="str">
        <f>IFERROR(__xludf.DUMMYFUNCTION("GOOGLETRANSLATE(B8461, ""es"", ""en"")"),"Well finished Simple and functional")</f>
        <v>Well finished Simple and functional</v>
      </c>
    </row>
    <row r="8462">
      <c r="A8462" s="1">
        <v>4.0</v>
      </c>
      <c r="B8462" s="1" t="s">
        <v>8395</v>
      </c>
      <c r="C8462" t="str">
        <f>IFERROR(__xludf.DUMMYFUNCTION("GOOGLETRANSLATE(B8462, ""es"", ""en"")"),"While an acceptable product that complies with its function, well short zeal")</f>
        <v>While an acceptable product that complies with its function, well short zeal</v>
      </c>
    </row>
    <row r="8463">
      <c r="A8463" s="1">
        <v>4.0</v>
      </c>
      <c r="B8463" s="1" t="s">
        <v>8396</v>
      </c>
      <c r="C8463" t="str">
        <f>IFERROR(__xludf.DUMMYFUNCTION("GOOGLETRANSLATE(B8463, ""es"", ""en"")"),"Conodidad Very good")</f>
        <v>Conodidad Very good</v>
      </c>
    </row>
    <row r="8464">
      <c r="A8464" s="1">
        <v>4.0</v>
      </c>
      <c r="B8464" s="1" t="s">
        <v>8397</v>
      </c>
      <c r="C8464" t="str">
        <f>IFERROR(__xludf.DUMMYFUNCTION("GOOGLETRANSLATE(B8464, ""es"", ""en"")"),"a little bigger than expected is nice a little bigger than I expected")</f>
        <v>a little bigger than expected is nice a little bigger than I expected</v>
      </c>
    </row>
    <row r="8465">
      <c r="A8465" s="1">
        <v>5.0</v>
      </c>
      <c r="B8465" s="1" t="s">
        <v>8398</v>
      </c>
      <c r="C8465" t="str">
        <f>IFERROR(__xludf.DUMMYFUNCTION("GOOGLETRANSLATE(B8465, ""es"", ""en"")"),"Caravaca Cross Very nice, thank you.")</f>
        <v>Caravaca Cross Very nice, thank you.</v>
      </c>
    </row>
    <row r="8466">
      <c r="A8466" s="1">
        <v>5.0</v>
      </c>
      <c r="B8466" s="1" t="s">
        <v>8399</v>
      </c>
      <c r="C8466" t="str">
        <f>IFERROR(__xludf.DUMMYFUNCTION("GOOGLETRANSLATE(B8466, ""es"", ""en"")"),"As good as it gets Clark, very few, quality, price, convenience, perfect, I am a regular buyer of this brand and is the best I have put q, thank you.")</f>
        <v>As good as it gets Clark, very few, quality, price, convenience, perfect, I am a regular buyer of this brand and is the best I have put q, thank you.</v>
      </c>
    </row>
    <row r="8467">
      <c r="A8467" s="1">
        <v>5.0</v>
      </c>
      <c r="B8467" s="1" t="s">
        <v>8400</v>
      </c>
      <c r="C8467" t="str">
        <f>IFERROR(__xludf.DUMMYFUNCTION("GOOGLETRANSLATE(B8467, ""es"", ""en"")"),"Price quality. Very happy with the product and timely delivery as always, only some details that could be improved but for technical drawing is left over me, great price quality.")</f>
        <v>Price quality. Very happy with the product and timely delivery as always, only some details that could be improved but for technical drawing is left over me, great price quality.</v>
      </c>
    </row>
    <row r="8468">
      <c r="A8468" s="1">
        <v>5.0</v>
      </c>
      <c r="B8468" s="1" t="s">
        <v>8401</v>
      </c>
      <c r="C8468" t="str">
        <f>IFERROR(__xludf.DUMMYFUNCTION("GOOGLETRANSLATE(B8468, ""es"", ""en"")"),"A garment brand at a good price Perfect value for money. Sports nets in areas where no cold.")</f>
        <v>A garment brand at a good price Perfect value for money. Sports nets in areas where no cold.</v>
      </c>
    </row>
    <row r="8469">
      <c r="A8469" s="1">
        <v>5.0</v>
      </c>
      <c r="B8469" s="1" t="s">
        <v>8402</v>
      </c>
      <c r="C8469" t="str">
        <f>IFERROR(__xludf.DUMMYFUNCTION("GOOGLETRANSLATE(B8469, ""es"", ""en"")"),"Quality and comfort I'm a fan of the Clarks brand because it adapts very well to my foot. Sometimes I wear these shoes 37.5 but enough so I took the 37 and great. They have a very comfortable design templates and is ideal to wear with jeans")</f>
        <v>Quality and comfort I'm a fan of the Clarks brand because it adapts very well to my foot. Sometimes I wear these shoes 37.5 but enough so I took the 37 and great. They have a very comfortable design templates and is ideal to wear with jeans</v>
      </c>
    </row>
    <row r="8470">
      <c r="A8470" s="1">
        <v>5.0</v>
      </c>
      <c r="B8470" s="1" t="s">
        <v>8403</v>
      </c>
      <c r="C8470" t="str">
        <f>IFERROR(__xludf.DUMMYFUNCTION("GOOGLETRANSLATE(B8470, ""es"", ""en"")"),"Durable and useful This brush is resistant, use it whenever you need to clean the blades of the food processor before me go very difficult, in my opinion is a must for cleaning this device")</f>
        <v>Durable and useful This brush is resistant, use it whenever you need to clean the blades of the food processor before me go very difficult, in my opinion is a must for cleaning this device</v>
      </c>
    </row>
    <row r="8471">
      <c r="A8471" s="1">
        <v>5.0</v>
      </c>
      <c r="B8471" s="1" t="s">
        <v>8404</v>
      </c>
      <c r="C8471" t="str">
        <f>IFERROR(__xludf.DUMMYFUNCTION("GOOGLETRANSLATE(B8471, ""es"", ""en"")"),"Excellent sound and noise canceling headphones are facing new Sony Noise Canceling, Sony wf-1000xm3. The operation is very simple and quick to set up and configure our phone. 1. First we introduce the handset in our ear and place ourselves in the best pos"&amp;"ition to give us comfort. 2.The second pulsed keep headphones, both right and left for about 7 seconds to start pairing mode. 3. Third turn on the Bluetooth phone and connect, this will in a few seconds and only the first time, on several occasions it is "&amp;"simply turn on Bluetooth and connect. Using headphones is already easy to vary depending on the highlights, if you press once the left button it will mute, and if you hold down enter mode attention, while the right, with a touch Stop or will the music alw"&amp;"ays we are listening, with 2 touch pass forward, with 3 touch back, when we are with sound, double tap will answer the call or hang and if you hold down'll use the phone to talk with them. If you stand for something these headphones is noise cancellation "&amp;"thanks to new technology that allows you to block the sounds of the street or external noises, no doubt were the first headphones that I could try to have an absence of the external noise almost complete . The battery seems pretty accurate, although it is"&amp;" true that if someone seems to have little quick charge in 10 minutes offering 1 hour and a half of play. I found the design very ergonomic, they are quite comfortable and ideal for day to day, although I would not recommend running because despite being "&amp;"fairly compact, I think jogging is better to use a wired bluetoth. The price is quite high, but the quality is excellent, I seem comfortable with excellent sound quality. In short if you seek a top headphones, the best of the market comfortable with outst"&amp;"anding sound and noise canceling, look no others than these, 10 sony.")</f>
        <v>Excellent sound and noise canceling headphones are facing new Sony Noise Canceling, Sony wf-1000xm3. The operation is very simple and quick to set up and configure our phone. 1. First we introduce the handset in our ear and place ourselves in the best position to give us comfort. 2.The second pulsed keep headphones, both right and left for about 7 seconds to start pairing mode. 3. Third turn on the Bluetooth phone and connect, this will in a few seconds and only the first time, on several occasions it is simply turn on Bluetooth and connect. Using headphones is already easy to vary depending on the highlights, if you press once the left button it will mute, and if you hold down enter mode attention, while the right, with a touch Stop or will the music always we are listening, with 2 touch pass forward, with 3 touch back, when we are with sound, double tap will answer the call or hang and if you hold down'll use the phone to talk with them. If you stand for something these headphones is noise cancellation thanks to new technology that allows you to block the sounds of the street or external noises, no doubt were the first headphones that I could try to have an absence of the external noise almost complete . The battery seems pretty accurate, although it is true that if someone seems to have little quick charge in 10 minutes offering 1 hour and a half of play. I found the design very ergonomic, they are quite comfortable and ideal for day to day, although I would not recommend running because despite being fairly compact, I think jogging is better to use a wired bluetoth. The price is quite high, but the quality is excellent, I seem comfortable with excellent sound quality. In short if you seek a top headphones, the best of the market comfortable with outstanding sound and noise canceling, look no others than these, 10 sony.</v>
      </c>
    </row>
    <row r="8472">
      <c r="A8472" s="1">
        <v>5.0</v>
      </c>
      <c r="B8472" s="1" t="s">
        <v>8405</v>
      </c>
      <c r="C8472" t="str">
        <f>IFERROR(__xludf.DUMMYFUNCTION("GOOGLETRANSLATE(B8472, ""es"", ""en"")"),"No fault elegant and distinguished, is a clock 10. Elegant, distinguished. Simplicity to the extreme, gives a special elegance. Timely delivery as always")</f>
        <v>No fault elegant and distinguished, is a clock 10. Elegant, distinguished. Simplicity to the extreme, gives a special elegance. Timely delivery as always</v>
      </c>
    </row>
    <row r="8473">
      <c r="A8473" s="1">
        <v>5.0</v>
      </c>
      <c r="B8473" s="1" t="s">
        <v>8406</v>
      </c>
      <c r="C8473" t="str">
        <f>IFERROR(__xludf.DUMMYFUNCTION("GOOGLETRANSLATE(B8473, ""es"", ""en"")"),"The product is good shoes as expected and the price at which I bought here much better than in stores. The box arrived a bit broken but the shoes in perfect condition.")</f>
        <v>The product is good shoes as expected and the price at which I bought here much better than in stores. The box arrived a bit broken but the shoes in perfect condition.</v>
      </c>
    </row>
    <row r="8474">
      <c r="A8474" s="1">
        <v>5.0</v>
      </c>
      <c r="B8474" s="1" t="s">
        <v>8407</v>
      </c>
      <c r="C8474" t="str">
        <f>IFERROR(__xludf.DUMMYFUNCTION("GOOGLETRANSLATE(B8474, ""es"", ""en"")"),"GOOD QUALITY BEST PRICE remain great, if you chocks 42.5 43-46 better pick one because they usually always shrink with washing. Buenísimo result, good quality. Three pairs for that price is a gift.")</f>
        <v>GOOD QUALITY BEST PRICE remain great, if you chocks 42.5 43-46 better pick one because they usually always shrink with washing. Buenísimo result, good quality. Three pairs for that price is a gift.</v>
      </c>
    </row>
    <row r="8475">
      <c r="A8475" s="1">
        <v>5.0</v>
      </c>
      <c r="B8475" s="1" t="s">
        <v>8408</v>
      </c>
      <c r="C8475" t="str">
        <f>IFERROR(__xludf.DUMMYFUNCTION("GOOGLETRANSLATE(B8475, ""es"", ""en"")"),"3BBB Easy to clean the truth is q x the width of the mouth of the design you have is di Pari clean. But it's very good product and its price and quality such that satisfactory. I have a caterer and often used to heat water and milk and the truth good size"&amp;", good quality and good price")</f>
        <v>3BBB Easy to clean the truth is q x the width of the mouth of the design you have is di Pari clean. But it's very good product and its price and quality such that satisfactory. I have a caterer and often used to heat water and milk and the truth good size, good quality and good price</v>
      </c>
    </row>
    <row r="8476">
      <c r="A8476" s="1">
        <v>5.0</v>
      </c>
      <c r="B8476" s="1" t="s">
        <v>8409</v>
      </c>
      <c r="C8476" t="str">
        <f>IFERROR(__xludf.DUMMYFUNCTION("GOOGLETRANSLATE(B8476, ""es"", ""en"")"),"Spectacular even 30 years later. This is the typical Casio we all had as children. Nothing has changed. The quality of the belt is obviously bad, that's why it costs what it costs. But what is the watch, come on, hold on everything, I have submerged, subj"&amp;"ected to heat and various experiences and endures all things. Just not worth diving but copes with it is wet under normal circumstances and also resists drops and bumps. As I say, the only bad thing is the belt but neither can demand more. A jewel of watc"&amp;"hmaking.")</f>
        <v>Spectacular even 30 years later. This is the typical Casio we all had as children. Nothing has changed. The quality of the belt is obviously bad, that's why it costs what it costs. But what is the watch, come on, hold on everything, I have submerged, subjected to heat and various experiences and endures all things. Just not worth diving but copes with it is wet under normal circumstances and also resists drops and bumps. As I say, the only bad thing is the belt but neither can demand more. A jewel of watchmaking.</v>
      </c>
    </row>
    <row r="8477">
      <c r="A8477" s="1">
        <v>5.0</v>
      </c>
      <c r="B8477" s="1" t="s">
        <v>8410</v>
      </c>
      <c r="C8477" t="str">
        <f>IFERROR(__xludf.DUMMYFUNCTION("GOOGLETRANSLATE(B8477, ""es"", ""en"")"),"You hold very well, is well positioned and not expensive To secure these cables are always pestering among both the TV and the computer, chargers ... Look closely at the diameter before buying so you can use depending on the thickness of the harness to go"&amp;" to join")</f>
        <v>You hold very well, is well positioned and not expensive To secure these cables are always pestering among both the TV and the computer, chargers ... Look closely at the diameter before buying so you can use depending on the thickness of the harness to go to join</v>
      </c>
    </row>
    <row r="8478">
      <c r="A8478" s="1">
        <v>5.0</v>
      </c>
      <c r="B8478" s="1" t="s">
        <v>8411</v>
      </c>
      <c r="C8478" t="str">
        <f>IFERROR(__xludf.DUMMYFUNCTION("GOOGLETRANSLATE(B8478, ""es"", ""en"")"),"Great Belt 40mm watch strap, have it in a short time but the quality looks very good")</f>
        <v>Great Belt 40mm watch strap, have it in a short time but the quality looks very good</v>
      </c>
    </row>
    <row r="8479">
      <c r="A8479" s="1">
        <v>5.0</v>
      </c>
      <c r="B8479" s="1" t="s">
        <v>8412</v>
      </c>
      <c r="C8479" t="str">
        <f>IFERROR(__xludf.DUMMYFUNCTION("GOOGLETRANSLATE(B8479, ""es"", ""en"")"),"I recommend was a nice touch and liked good quality at a good price you can not ask for more!")</f>
        <v>I recommend was a nice touch and liked good quality at a good price you can not ask for more!</v>
      </c>
    </row>
    <row r="8480">
      <c r="A8480" s="1">
        <v>5.0</v>
      </c>
      <c r="B8480" s="1" t="s">
        <v>8413</v>
      </c>
      <c r="C8480" t="str">
        <f>IFERROR(__xludf.DUMMYFUNCTION("GOOGLETRANSLATE(B8480, ""es"", ""en"")"),"It works perfect good buy")</f>
        <v>It works perfect good buy</v>
      </c>
    </row>
    <row r="8481">
      <c r="A8481" s="1">
        <v>5.0</v>
      </c>
      <c r="B8481" s="1" t="s">
        <v>8414</v>
      </c>
      <c r="C8481" t="str">
        <f>IFERROR(__xludf.DUMMYFUNCTION("GOOGLETRANSLATE(B8481, ""es"", ""en"")"),"Incredibly convenient. Goodbye Wires. Just what I was looking for, say goodbye to wires and gain mobility. For those who are concerned about the quality of the sound to be transmitted wirelessly: not noticeable latency and frequencies of mobile and blueto"&amp;"oth does not affect you. The battery lasts long before having to recharge it, at least in what I have to use more than one hour. Perfect performance, highly recommended.")</f>
        <v>Incredibly convenient. Goodbye Wires. Just what I was looking for, say goodbye to wires and gain mobility. For those who are concerned about the quality of the sound to be transmitted wirelessly: not noticeable latency and frequencies of mobile and bluetooth does not affect you. The battery lasts long before having to recharge it, at least in what I have to use more than one hour. Perfect performance, highly recommended.</v>
      </c>
    </row>
    <row r="8482">
      <c r="A8482" s="1">
        <v>5.0</v>
      </c>
      <c r="B8482" s="1" t="s">
        <v>8415</v>
      </c>
      <c r="C8482" t="str">
        <f>IFERROR(__xludf.DUMMYFUNCTION("GOOGLETRANSLATE(B8482, ""es"", ""en"")"),"Very cool precious earrings")</f>
        <v>Very cool precious earrings</v>
      </c>
    </row>
    <row r="8483">
      <c r="A8483" s="1">
        <v>5.0</v>
      </c>
      <c r="B8483" s="1" t="s">
        <v>8416</v>
      </c>
      <c r="C8483" t="str">
        <f>IFERROR(__xludf.DUMMYFUNCTION("GOOGLETRANSLATE(B8483, ""es"", ""en"")"),"ES aunciado what is comfortable and practical ... I had no problem with it. I used it to take my personal belongings to a festival and found appropriate.")</f>
        <v>ES aunciado what is comfortable and practical ... I had no problem with it. I used it to take my personal belongings to a festival and found appropriate.</v>
      </c>
    </row>
    <row r="8484">
      <c r="A8484" s="1">
        <v>2.0</v>
      </c>
      <c r="B8484" s="1" t="s">
        <v>8417</v>
      </c>
      <c r="C8484" t="str">
        <f>IFERROR(__xludf.DUMMYFUNCTION("GOOGLETRANSLATE(B8484, ""es"", ""en"")"),"Rather vague. I was surprised that a clock in this category was delayed 1 minute per day. Maybe I was unlucky. I gave it back.")</f>
        <v>Rather vague. I was surprised that a clock in this category was delayed 1 minute per day. Maybe I was unlucky. I gave it back.</v>
      </c>
    </row>
    <row r="8485">
      <c r="A8485" s="1">
        <v>3.0</v>
      </c>
      <c r="B8485" s="1" t="s">
        <v>8418</v>
      </c>
      <c r="C8485" t="str">
        <f>IFERROR(__xludf.DUMMYFUNCTION("GOOGLETRANSLATE(B8485, ""es"", ""en"")"),"Small small Horma")</f>
        <v>Small small Horma</v>
      </c>
    </row>
    <row r="8486">
      <c r="A8486" s="1">
        <v>1.0</v>
      </c>
      <c r="B8486" s="1" t="s">
        <v>8419</v>
      </c>
      <c r="C8486" t="str">
        <f>IFERROR(__xludf.DUMMYFUNCTION("GOOGLETRANSLATE(B8486, ""es"", ""en"")"),"Unrated I received it, burn it without problem, I remove it and when I plug it did not work, did not even allow the computer to recognize, obviously it back, but I honestly can not judge a product by a single failure, although it is true which I was disap"&amp;"pointed. Otherwise the system back Amazón, who had never had to prove it was easy fast and very comfortable.")</f>
        <v>Unrated I received it, burn it without problem, I remove it and when I plug it did not work, did not even allow the computer to recognize, obviously it back, but I honestly can not judge a product by a single failure, although it is true which I was disappointed. Otherwise the system back Amazón, who had never had to prove it was easy fast and very comfortable.</v>
      </c>
    </row>
    <row r="8487">
      <c r="A8487" s="1">
        <v>1.0</v>
      </c>
      <c r="B8487" s="1" t="s">
        <v>8420</v>
      </c>
      <c r="C8487" t="str">
        <f>IFERROR(__xludf.DUMMYFUNCTION("GOOGLETRANSLATE(B8487, ""es"", ""en"")"),"Not as expected Not what I expected, it's more for the winter, it is quite thick, and size a little big, the design looks better in the picture than the actual product. Especially in the lower part, the photos are a bit tight, and it is not.")</f>
        <v>Not as expected Not what I expected, it's more for the winter, it is quite thick, and size a little big, the design looks better in the picture than the actual product. Especially in the lower part, the photos are a bit tight, and it is not.</v>
      </c>
    </row>
    <row r="8488">
      <c r="A8488" s="1">
        <v>4.0</v>
      </c>
      <c r="B8488" s="1" t="s">
        <v>8421</v>
      </c>
      <c r="C8488" t="str">
        <f>IFERROR(__xludf.DUMMYFUNCTION("GOOGLETRANSLATE(B8488, ""es"", ""en"")"),"Great quality. Quality kit is not what you expected, buenisima. unbeatable price considering that this brand is not bidding. Negatives: no cleaning kit comes and they had some very minor scratches as if they had tried")</f>
        <v>Great quality. Quality kit is not what you expected, buenisima. unbeatable price considering that this brand is not bidding. Negatives: no cleaning kit comes and they had some very minor scratches as if they had tried</v>
      </c>
    </row>
    <row r="8489">
      <c r="A8489" s="1">
        <v>4.0</v>
      </c>
      <c r="B8489" s="1" t="s">
        <v>8422</v>
      </c>
      <c r="C8489" t="str">
        <f>IFERROR(__xludf.DUMMYFUNCTION("GOOGLETRANSLATE(B8489, ""es"", ""en"")"),"Good for sports Elegi these helmets to play sports with them. After a few weeks using them they meet all the features advertised: They are resistant to sweat, comfortable to wear and the cable is long enough to use them without problems. The only drawback"&amp;": no sound controller, which is a bit ""uncomfortable"" because if you want to change the volume of the music must go to your device and do it.")</f>
        <v>Good for sports Elegi these helmets to play sports with them. After a few weeks using them they meet all the features advertised: They are resistant to sweat, comfortable to wear and the cable is long enough to use them without problems. The only drawback: no sound controller, which is a bit "uncomfortable" because if you want to change the volume of the music must go to your device and do it.</v>
      </c>
    </row>
    <row r="8490">
      <c r="A8490" s="1">
        <v>4.0</v>
      </c>
      <c r="B8490" s="1" t="s">
        <v>8423</v>
      </c>
      <c r="C8490" t="str">
        <f>IFERROR(__xludf.DUMMYFUNCTION("GOOGLETRANSLATE(B8490, ""es"", ""en"")"),"Product quality according description consistent description, does not work miracles but relieves neck and back")</f>
        <v>Product quality according description consistent description, does not work miracles but relieves neck and back</v>
      </c>
    </row>
    <row r="8491">
      <c r="A8491" s="1">
        <v>4.0</v>
      </c>
      <c r="B8491" s="1" t="s">
        <v>8424</v>
      </c>
      <c r="C8491" t="str">
        <f>IFERROR(__xludf.DUMMYFUNCTION("GOOGLETRANSLATE(B8491, ""es"", ""en"")"),"Good product. Mishandling of Amazon. The product is what I expected. Received and armed for testing has the power that is expected and price on offer (89 €) I see suited to their characteristics. What can not miss it is aloft a slap on Amazon: the product"&amp;" has been shipped in packaging (box) original, without any other that tape and what is unacceptable ... WITHOUT ANY PRECINCT in opening the flap, making it easily manipulated by outsiders. The fault is not of the collection point or carrier, for there is "&amp;"no mark on the closure flap has been torn indicating. NO, SO THE PRODUCT HAS COME OUT OF AMAZON, even worse than if he had purchased at any retail store, they teach you the aspirator but then you get another wrapped and sealed. Carefully observed (which r"&amp;"emedy) I have not seen marks of previous use and seems to work properly, which led me to keep it, but if it is true that I was tempted to leave it at the collection point. It is the first time I see this kind of neglect by making AMAZON considerably lower"&amp;" opinion of professionalism that had company. Regards.")</f>
        <v>Good product. Mishandling of Amazon. The product is what I expected. Received and armed for testing has the power that is expected and price on offer (89 €) I see suited to their characteristics. What can not miss it is aloft a slap on Amazon: the product has been shipped in packaging (box) original, without any other that tape and what is unacceptable ... WITHOUT ANY PRECINCT in opening the flap, making it easily manipulated by outsiders. The fault is not of the collection point or carrier, for there is no mark on the closure flap has been torn indicating. NO, SO THE PRODUCT HAS COME OUT OF AMAZON, even worse than if he had purchased at any retail store, they teach you the aspirator but then you get another wrapped and sealed. Carefully observed (which remedy) I have not seen marks of previous use and seems to work properly, which led me to keep it, but if it is true that I was tempted to leave it at the collection point. It is the first time I see this kind of neglect by making AMAZON considerably lower opinion of professionalism that had company. Regards.</v>
      </c>
    </row>
    <row r="8492">
      <c r="A8492" s="1">
        <v>4.0</v>
      </c>
      <c r="B8492" s="1" t="s">
        <v>8425</v>
      </c>
      <c r="C8492" t="str">
        <f>IFERROR(__xludf.DUMMYFUNCTION("GOOGLETRANSLATE(B8492, ""es"", ""en"")"),"Good quality decent quality, daily use in all conditions for him to walk to work. It notes that despite last quite wash them every week. Not comfortable but I've worn better. The sole has worn very fast but the top is still in very good condition.")</f>
        <v>Good quality decent quality, daily use in all conditions for him to walk to work. It notes that despite last quite wash them every week. Not comfortable but I've worn better. The sole has worn very fast but the top is still in very good condition.</v>
      </c>
    </row>
    <row r="8493">
      <c r="A8493" s="1">
        <v>5.0</v>
      </c>
      <c r="B8493" s="1" t="s">
        <v>8426</v>
      </c>
      <c r="C8493" t="str">
        <f>IFERROR(__xludf.DUMMYFUNCTION("GOOGLETRANSLATE(B8493, ""es"", ""en"")"),"Great value / price excellent quality / price ratio.")</f>
        <v>Great value / price excellent quality / price ratio.</v>
      </c>
    </row>
    <row r="8494">
      <c r="A8494" s="1">
        <v>5.0</v>
      </c>
      <c r="B8494" s="1" t="s">
        <v>4017</v>
      </c>
      <c r="C8494" t="str">
        <f>IFERROR(__xludf.DUMMYFUNCTION("GOOGLETRANSLATE(B8494, ""es"", ""en"")"),"I bought these beautiful sports sneakers and the truth is they have a very successful design. They are also comfortable and came clean.")</f>
        <v>I bought these beautiful sports sneakers and the truth is they have a very successful design. They are also comfortable and came clean.</v>
      </c>
    </row>
    <row r="8495">
      <c r="A8495" s="1">
        <v>5.0</v>
      </c>
      <c r="B8495" s="1" t="s">
        <v>8427</v>
      </c>
      <c r="C8495" t="str">
        <f>IFERROR(__xludf.DUMMYFUNCTION("GOOGLETRANSLATE(B8495, ""es"", ""en"")"),"Encantada materials, has good stuff like you would a masseuse's. I recommend it for ares muscul and cervical pain. Masajedor has put buttons to di fferent function, it is to turn one is to put heating function, one is for regular speed, and another is to "&amp;"change directions movimiendo masajedor ball. It has two plug one is for home, the wire is long enough, and another car.")</f>
        <v>Encantada materials, has good stuff like you would a masseuse's. I recommend it for ares muscul and cervical pain. Masajedor has put buttons to di fferent function, it is to turn one is to put heating function, one is for regular speed, and another is to change directions movimiendo masajedor ball. It has two plug one is for home, the wire is long enough, and another car.</v>
      </c>
    </row>
    <row r="8496">
      <c r="A8496" s="1">
        <v>5.0</v>
      </c>
      <c r="B8496" s="1" t="s">
        <v>8428</v>
      </c>
      <c r="C8496" t="str">
        <f>IFERROR(__xludf.DUMMYFUNCTION("GOOGLETRANSLATE(B8496, ""es"", ""en"")"),"Very nice very buenay variety of colors Quality")</f>
        <v>Very nice very buenay variety of colors Quality</v>
      </c>
    </row>
    <row r="8497">
      <c r="A8497" s="1">
        <v>5.0</v>
      </c>
      <c r="B8497" s="1" t="s">
        <v>8429</v>
      </c>
      <c r="C8497" t="str">
        <f>IFERROR(__xludf.DUMMYFUNCTION("GOOGLETRANSLATE(B8497, ""es"", ""en"")"),"Resistant fabric, many compartments My husband had a leatherette shoulder and broke very quickly, and wanted a fabric that will last longer. It has very good price and looks good quality. It has many compartments and pockets for glasses, mobile, keys, etc"&amp;". It has an elegant color, and fabric is thick and sturdy. The strap can be adjusted very well, since my husband is tall and almost all bandoliers will remain somewhat short, but this is going perfect. So happy with the purchase.")</f>
        <v>Resistant fabric, many compartments My husband had a leatherette shoulder and broke very quickly, and wanted a fabric that will last longer. It has very good price and looks good quality. It has many compartments and pockets for glasses, mobile, keys, etc. It has an elegant color, and fabric is thick and sturdy. The strap can be adjusted very well, since my husband is tall and almost all bandoliers will remain somewhat short, but this is going perfect. So happy with the purchase.</v>
      </c>
    </row>
    <row r="8498">
      <c r="A8498" s="1">
        <v>5.0</v>
      </c>
      <c r="B8498" s="1" t="s">
        <v>8430</v>
      </c>
      <c r="C8498" t="str">
        <f>IFERROR(__xludf.DUMMYFUNCTION("GOOGLETRANSLATE(B8498, ""es"", ""en"")"),"Easy to transport, small and light. The first thing you notice is how small and low weight, ideal for taking keychain, if you need it in an emergency and you have to save something, 2.0.El speed computer recognizes no problems with speed writing and readi"&amp;"ng to their caracteríticas correct.")</f>
        <v>Easy to transport, small and light. The first thing you notice is how small and low weight, ideal for taking keychain, if you need it in an emergency and you have to save something, 2.0.El speed computer recognizes no problems with speed writing and reading to their caracteríticas correct.</v>
      </c>
    </row>
    <row r="8499">
      <c r="A8499" s="1">
        <v>5.0</v>
      </c>
      <c r="B8499" s="1" t="s">
        <v>8431</v>
      </c>
      <c r="C8499" t="str">
        <f>IFERROR(__xludf.DUMMYFUNCTION("GOOGLETRANSLATE(B8499, ""es"", ""en"")"),"First impression excellent Estupendisimos helmets helmets. Very comfortable very good sound, noise cancellation ... the only spectacular but it would be that the materials they are made are not the best possible plastic.")</f>
        <v>First impression excellent Estupendisimos helmets helmets. Very comfortable very good sound, noise cancellation ... the only spectacular but it would be that the materials they are made are not the best possible plastic.</v>
      </c>
    </row>
    <row r="8500">
      <c r="A8500" s="1">
        <v>5.0</v>
      </c>
      <c r="B8500" s="1" t="s">
        <v>8432</v>
      </c>
      <c r="C8500" t="str">
        <f>IFERROR(__xludf.DUMMYFUNCTION("GOOGLETRANSLATE(B8500, ""es"", ""en"")"),"Good headphones Headphones walking comfortable and easy to use. What I liked is that it has several functions such as MP3 inserting a micro SD card, FM radio and Bluetooth. I not see them running because the pads are wet with sweat, but they are good choi"&amp;"ce for walks")</f>
        <v>Good headphones Headphones walking comfortable and easy to use. What I liked is that it has several functions such as MP3 inserting a micro SD card, FM radio and Bluetooth. I not see them running because the pads are wet with sweat, but they are good choice for walks</v>
      </c>
    </row>
    <row r="8501">
      <c r="A8501" s="1">
        <v>5.0</v>
      </c>
      <c r="B8501" s="1" t="s">
        <v>8433</v>
      </c>
      <c r="C8501" t="str">
        <f>IFERROR(__xludf.DUMMYFUNCTION("GOOGLETRANSLATE(B8501, ""es"", ""en"")"),"Quality and quantity good price is a product of medium / high quality together with a good stapler, meet your expectations up to 50 pages without problems ... even more.")</f>
        <v>Quality and quantity good price is a product of medium / high quality together with a good stapler, meet your expectations up to 50 pages without problems ... even more.</v>
      </c>
    </row>
    <row r="8502">
      <c r="A8502" s="1">
        <v>5.0</v>
      </c>
      <c r="B8502" s="1" t="s">
        <v>8434</v>
      </c>
      <c r="C8502" t="str">
        <f>IFERROR(__xludf.DUMMYFUNCTION("GOOGLETRANSLATE(B8502, ""es"", ""en"")"),"Very nice adjustable and pretty this bracelet is adjustable and it is all flexible and returns to its original shape when t take it off. The purchase matching earrings on")</f>
        <v>Very nice adjustable and pretty this bracelet is adjustable and it is all flexible and returns to its original shape when t take it off. The purchase matching earrings on</v>
      </c>
    </row>
    <row r="8503">
      <c r="A8503" s="1">
        <v>5.0</v>
      </c>
      <c r="B8503" s="1" t="s">
        <v>8435</v>
      </c>
      <c r="C8503" t="str">
        <f>IFERROR(__xludf.DUMMYFUNCTION("GOOGLETRANSLATE(B8503, ""es"", ""en"")"),"Very good sound quality very good sound quality and long battery holds")</f>
        <v>Very good sound quality very good sound quality and long battery holds</v>
      </c>
    </row>
    <row r="8504">
      <c r="A8504" s="1">
        <v>5.0</v>
      </c>
      <c r="B8504" s="1" t="s">
        <v>8436</v>
      </c>
      <c r="C8504" t="str">
        <f>IFERROR(__xludf.DUMMYFUNCTION("GOOGLETRANSLATE(B8504, ""es"", ""en"")"),"Small kettle kettle water, ideal for 1 or 2 people for tea. Heated pretty quickly and easily cleaned.")</f>
        <v>Small kettle kettle water, ideal for 1 or 2 people for tea. Heated pretty quickly and easily cleaned.</v>
      </c>
    </row>
    <row r="8505">
      <c r="A8505" s="1">
        <v>5.0</v>
      </c>
      <c r="B8505" s="1" t="s">
        <v>8437</v>
      </c>
      <c r="C8505" t="str">
        <f>IFERROR(__xludf.DUMMYFUNCTION("GOOGLETRANSLATE(B8505, ""es"", ""en"")"),"Great dvds lifelong")</f>
        <v>Great dvds lifelong</v>
      </c>
    </row>
    <row r="8506">
      <c r="A8506" s="1">
        <v>5.0</v>
      </c>
      <c r="B8506" s="1" t="s">
        <v>8438</v>
      </c>
      <c r="C8506" t="str">
        <f>IFERROR(__xludf.DUMMYFUNCTION("GOOGLETRANSLATE(B8506, ""es"", ""en"")"),"Study results in your own room great price and impeccable results ... burn professional sound home has never been easier.")</f>
        <v>Study results in your own room great price and impeccable results ... burn professional sound home has never been easier.</v>
      </c>
    </row>
    <row r="8507">
      <c r="A8507" s="1">
        <v>5.0</v>
      </c>
      <c r="B8507" s="1" t="s">
        <v>8439</v>
      </c>
      <c r="C8507" t="str">
        <f>IFERROR(__xludf.DUMMYFUNCTION("GOOGLETRANSLATE(B8507, ""es"", ""en"")"),"Good quality! Good quality blender with high power grinder with accessories, for making sauces and glass, steel materials that make it very tough, good price, very happy with the purchase as it fulfills its function perfectly")</f>
        <v>Good quality! Good quality blender with high power grinder with accessories, for making sauces and glass, steel materials that make it very tough, good price, very happy with the purchase as it fulfills its function perfectly</v>
      </c>
    </row>
    <row r="8508">
      <c r="A8508" s="1">
        <v>5.0</v>
      </c>
      <c r="B8508" s="1" t="s">
        <v>4043</v>
      </c>
      <c r="C8508" t="str">
        <f>IFERROR(__xludf.DUMMYFUNCTION("GOOGLETRANSLATE(B8508, ""es"", ""en"")"),"great Perfect")</f>
        <v>great Perfect</v>
      </c>
    </row>
    <row r="8509">
      <c r="A8509" s="1">
        <v>5.0</v>
      </c>
      <c r="B8509" s="1" t="s">
        <v>8440</v>
      </c>
      <c r="C8509" t="str">
        <f>IFERROR(__xludf.DUMMYFUNCTION("GOOGLETRANSLATE(B8509, ""es"", ""en"")"),"Fantastic wonderful tablero.cumple perfect your cometido.es I expected, as it describes the page it is good enough material calidad.venia super good embalado.gracias")</f>
        <v>Fantastic wonderful tablero.cumple perfect your cometido.es I expected, as it describes the page it is good enough material calidad.venia super good embalado.gracias</v>
      </c>
    </row>
    <row r="8510">
      <c r="A8510" s="1">
        <v>5.0</v>
      </c>
      <c r="B8510" s="1" t="s">
        <v>8441</v>
      </c>
      <c r="C8510" t="str">
        <f>IFERROR(__xludf.DUMMYFUNCTION("GOOGLETRANSLATE(B8510, ""es"", ""en"")"),"Awesome I bought for my wife and I think that is the best clothes I've seen. Insulates like no other, keeping the heat while perspiring. It fits very well to the female form. In addition, both removable cap as hair wearing hat. Sleeves is elasticated to b"&amp;"e even more and not between any snow or air setting. Come on, a 10. We got it for the 56 euros. A real bargain. Too bad my wife is still small and large size XS left. Remember Columbia carves a little bigger than other brands.")</f>
        <v>Awesome I bought for my wife and I think that is the best clothes I've seen. Insulates like no other, keeping the heat while perspiring. It fits very well to the female form. In addition, both removable cap as hair wearing hat. Sleeves is elasticated to be even more and not between any snow or air setting. Come on, a 10. We got it for the 56 euros. A real bargain. Too bad my wife is still small and large size XS left. Remember Columbia carves a little bigger than other brands.</v>
      </c>
    </row>
    <row r="8511">
      <c r="A8511" s="1">
        <v>5.0</v>
      </c>
      <c r="B8511" s="1" t="s">
        <v>8442</v>
      </c>
      <c r="C8511" t="str">
        <f>IFERROR(__xludf.DUMMYFUNCTION("GOOGLETRANSLATE(B8511, ""es"", ""en"")"),"Terrific sound quality We use it in a theater and listened to function very well. highly recommended")</f>
        <v>Terrific sound quality We use it in a theater and listened to function very well. highly recommended</v>
      </c>
    </row>
    <row r="8512">
      <c r="A8512" s="1">
        <v>2.0</v>
      </c>
      <c r="B8512" s="1" t="s">
        <v>8443</v>
      </c>
      <c r="C8512" t="str">
        <f>IFERROR(__xludf.DUMMYFUNCTION("GOOGLETRANSLATE(B8512, ""es"", ""en"")"),"They are very mequeños are too small and very fragile bend with nothing")</f>
        <v>They are very mequeños are too small and very fragile bend with nothing</v>
      </c>
    </row>
    <row r="8513">
      <c r="A8513" s="1">
        <v>3.0</v>
      </c>
      <c r="B8513" s="1" t="s">
        <v>8444</v>
      </c>
      <c r="C8513" t="str">
        <f>IFERROR(__xludf.DUMMYFUNCTION("GOOGLETRANSLATE(B8513, ""es"", ""en"")"),"Opinon works perfectly, medium power. Relaxing and warming effect.")</f>
        <v>Opinon works perfectly, medium power. Relaxing and warming effect.</v>
      </c>
    </row>
    <row r="8514">
      <c r="A8514" s="1">
        <v>3.0</v>
      </c>
      <c r="B8514" s="1" t="s">
        <v>8445</v>
      </c>
      <c r="C8514" t="str">
        <f>IFERROR(__xludf.DUMMYFUNCTION("GOOGLETRANSLATE(B8514, ""es"", ""en"")"),"Justas plastic covers for A4. They are small.")</f>
        <v>Justas plastic covers for A4. They are small.</v>
      </c>
    </row>
    <row r="8515">
      <c r="A8515" s="1">
        <v>1.0</v>
      </c>
      <c r="B8515" s="1" t="s">
        <v>8446</v>
      </c>
      <c r="C8515" t="str">
        <f>IFERROR(__xludf.DUMMYFUNCTION("GOOGLETRANSLATE(B8515, ""es"", ""en"")"),"Interior departments purse. The weak inner lining breaks through the seams between the plastic fabric and leather. Separators each department should be better.")</f>
        <v>Interior departments purse. The weak inner lining breaks through the seams between the plastic fabric and leather. Separators each department should be better.</v>
      </c>
    </row>
    <row r="8516">
      <c r="A8516" s="1">
        <v>1.0</v>
      </c>
      <c r="B8516" s="1" t="s">
        <v>8447</v>
      </c>
      <c r="C8516" t="str">
        <f>IFERROR(__xludf.DUMMYFUNCTION("GOOGLETRANSLATE(B8516, ""es"", ""en"")"),"Its construction missing the heart, has a connection problem")</f>
        <v>Its construction missing the heart, has a connection problem</v>
      </c>
    </row>
    <row r="8517">
      <c r="A8517" s="1">
        <v>4.0</v>
      </c>
      <c r="B8517" s="1" t="s">
        <v>8448</v>
      </c>
      <c r="C8517" t="str">
        <f>IFERROR(__xludf.DUMMYFUNCTION("GOOGLETRANSLATE(B8517, ""es"", ""en"")"),"Order one size smaller by using a perfect lo.demas Floor 40 and ordered a large L are something I did not ask for a full size girl for fear that me.quedaran small but advise order one size smaller but are good for the price they have in another time I bou"&amp;"ght other stores in other more expensive and lower quality")</f>
        <v>Order one size smaller by using a perfect lo.demas Floor 40 and ordered a large L are something I did not ask for a full size girl for fear that me.quedaran small but advise order one size smaller but are good for the price they have in another time I bought other stores in other more expensive and lower quality</v>
      </c>
    </row>
    <row r="8518">
      <c r="A8518" s="1">
        <v>4.0</v>
      </c>
      <c r="B8518" s="1" t="s">
        <v>8449</v>
      </c>
      <c r="C8518" t="str">
        <f>IFERROR(__xludf.DUMMYFUNCTION("GOOGLETRANSLATE(B8518, ""es"", ""en"")"),"Valid for most customers buy this microphone as a microphone ""emergency"" but has not met my expectations, the sound is good and sufficient for most customers but lacks nuance, at the least for my kind of voice (serious tone) It gives a quality rather sh"&amp;"arp and ""canned"", his employer still being cardioid has more sensitivity and captures the desired sounds too back and the sound of the keyboard or mouse. I have not detected any noise (hiss) Parasitic of the operation itself and that is something to app"&amp;"laud, even putting the volume (from Windows) to 100%. It was that, it is a very economical microphone, with proper quality and construction and Plug and Play without any problem. For anyone who wants to start podcast or use it (like me) to streamings it i"&amp;"s enough for the price it has. Now if you are looking for an excellent quality price demure I recommend going to the range of 60 €. But if your budget is tight, shuns other models and buy this one that comes with the kit complete and safe convince the maj"&amp;"ority. A greeting!")</f>
        <v>Valid for most customers buy this microphone as a microphone "emergency" but has not met my expectations, the sound is good and sufficient for most customers but lacks nuance, at the least for my kind of voice (serious tone) It gives a quality rather sharp and "canned", his employer still being cardioid has more sensitivity and captures the desired sounds too back and the sound of the keyboard or mouse. I have not detected any noise (hiss) Parasitic of the operation itself and that is something to applaud, even putting the volume (from Windows) to 100%. It was that, it is a very economical microphone, with proper quality and construction and Plug and Play without any problem. For anyone who wants to start podcast or use it (like me) to streamings it is enough for the price it has. Now if you are looking for an excellent quality price demure I recommend going to the range of 60 €. But if your budget is tight, shuns other models and buy this one that comes with the kit complete and safe convince the majority. A greeting!</v>
      </c>
    </row>
    <row r="8519">
      <c r="A8519" s="1">
        <v>4.0</v>
      </c>
      <c r="B8519" s="1" t="s">
        <v>8450</v>
      </c>
      <c r="C8519" t="str">
        <f>IFERROR(__xludf.DUMMYFUNCTION("GOOGLETRANSLATE(B8519, ""es"", ""en"")"),"Good product is what you would expect, IN ADDITION MALFUNCTION")</f>
        <v>Good product is what you would expect, IN ADDITION MALFUNCTION</v>
      </c>
    </row>
    <row r="8520">
      <c r="A8520" s="1">
        <v>4.0</v>
      </c>
      <c r="B8520" s="1" t="s">
        <v>8451</v>
      </c>
      <c r="C8520" t="str">
        <f>IFERROR(__xludf.DUMMYFUNCTION("GOOGLETRANSLATE(B8520, ""es"", ""en"")"),"The size yoga pants is a bit just for yoga pants. I recommend buying one size larger than usual")</f>
        <v>The size yoga pants is a bit just for yoga pants. I recommend buying one size larger than usual</v>
      </c>
    </row>
    <row r="8521">
      <c r="A8521" s="1">
        <v>4.0</v>
      </c>
      <c r="B8521" s="1" t="s">
        <v>8452</v>
      </c>
      <c r="C8521" t="str">
        <f>IFERROR(__xludf.DUMMYFUNCTION("GOOGLETRANSLATE(B8521, ""es"", ""en"")"),"OK but hold little I bought my right size. Van well. They are very comfortable, the foot does not get tired, even to walk. But on the slopes below the foot slips slightly forward, as the top of the shoe it is too flexible. The result is that once the toes"&amp;", especially the big, overloaded and just hurt. I said; very good, but only on the flat.")</f>
        <v>OK but hold little I bought my right size. Van well. They are very comfortable, the foot does not get tired, even to walk. But on the slopes below the foot slips slightly forward, as the top of the shoe it is too flexible. The result is that once the toes, especially the big, overloaded and just hurt. I said; very good, but only on the flat.</v>
      </c>
    </row>
    <row r="8522">
      <c r="A8522" s="1">
        <v>5.0</v>
      </c>
      <c r="B8522" s="1" t="s">
        <v>8453</v>
      </c>
      <c r="C8522" t="str">
        <f>IFERROR(__xludf.DUMMYFUNCTION("GOOGLETRANSLATE(B8522, ""es"", ""en"")"),"They deliver what they promise adequate capacity and good transferability. In the absence --for reasons obvias-- durability test, the product is very good and yields excellent value / price. I recommend and possibly repeat purchase.")</f>
        <v>They deliver what they promise adequate capacity and good transferability. In the absence --for reasons obvias-- durability test, the product is very good and yields excellent value / price. I recommend and possibly repeat purchase.</v>
      </c>
    </row>
    <row r="8523">
      <c r="A8523" s="1">
        <v>5.0</v>
      </c>
      <c r="B8523" s="1" t="s">
        <v>8454</v>
      </c>
      <c r="C8523" t="str">
        <f>IFERROR(__xludf.DUMMYFUNCTION("GOOGLETRANSLATE(B8523, ""es"", ""en"")"),"Cash. Caludad is perfect")</f>
        <v>Cash. Caludad is perfect</v>
      </c>
    </row>
    <row r="8524">
      <c r="A8524" s="1">
        <v>5.0</v>
      </c>
      <c r="B8524" s="1" t="s">
        <v>8455</v>
      </c>
      <c r="C8524" t="str">
        <f>IFERROR(__xludf.DUMMYFUNCTION("GOOGLETRANSLATE(B8524, ""es"", ""en"")"),"Good SSD at an acceptable price I liked notice how everything goes faster")</f>
        <v>Good SSD at an acceptable price I liked notice how everything goes faster</v>
      </c>
    </row>
    <row r="8525">
      <c r="A8525" s="1">
        <v>5.0</v>
      </c>
      <c r="B8525" s="1" t="s">
        <v>8456</v>
      </c>
      <c r="C8525" t="str">
        <f>IFERROR(__xludf.DUMMYFUNCTION("GOOGLETRANSLATE(B8525, ""es"", ""en"")"),"Right now we with the kettle a week and it works perfectly'm very happy with it and heats up very quickly. is a perfect kettle is elegant and clean. not set yourself to heat milk for cream burning and otherwise the base point is perfect burns !!")</f>
        <v>Right now we with the kettle a week and it works perfectly'm very happy with it and heats up very quickly. is a perfect kettle is elegant and clean. not set yourself to heat milk for cream burning and otherwise the base point is perfect burns !!</v>
      </c>
    </row>
    <row r="8526">
      <c r="A8526" s="1">
        <v>5.0</v>
      </c>
      <c r="B8526" s="1" t="s">
        <v>8457</v>
      </c>
      <c r="C8526" t="str">
        <f>IFERROR(__xludf.DUMMYFUNCTION("GOOGLETRANSLATE(B8526, ""es"", ""en"")"),"I bought my usual number, to the military boots being, they are wide, so great I arrived before the agreed date, are the Jadon, wonderful, I love super 😍😍😍")</f>
        <v>I bought my usual number, to the military boots being, they are wide, so great I arrived before the agreed date, are the Jadon, wonderful, I love super 😍😍😍</v>
      </c>
    </row>
    <row r="8527">
      <c r="A8527" s="1">
        <v>5.0</v>
      </c>
      <c r="B8527" s="1" t="s">
        <v>8458</v>
      </c>
      <c r="C8527" t="str">
        <f>IFERROR(__xludf.DUMMYFUNCTION("GOOGLETRANSLATE(B8527, ""es"", ""en"")"),"Lightweight and elegant are light, comfortable, although the first two days are a little stiff, but then fine, soft template (after a week of use are blanditas), highly recommended for butchers, adjustable velcro a success.")</f>
        <v>Lightweight and elegant are light, comfortable, although the first two days are a little stiff, but then fine, soft template (after a week of use are blanditas), highly recommended for butchers, adjustable velcro a success.</v>
      </c>
    </row>
    <row r="8528">
      <c r="A8528" s="1">
        <v>5.0</v>
      </c>
      <c r="B8528" s="1" t="s">
        <v>8459</v>
      </c>
      <c r="C8528" t="str">
        <f>IFERROR(__xludf.DUMMYFUNCTION("GOOGLETRANSLATE(B8528, ""es"", ""en"")"),"Perfect I really like, the color is like the picture, great fabric, finished off well at the seams and size very well. Very good buy.")</f>
        <v>Perfect I really like, the color is like the picture, great fabric, finished off well at the seams and size very well. Very good buy.</v>
      </c>
    </row>
    <row r="8529">
      <c r="A8529" s="1">
        <v>5.0</v>
      </c>
      <c r="B8529" s="1" t="s">
        <v>850</v>
      </c>
      <c r="C8529" t="str">
        <f>IFERROR(__xludf.DUMMYFUNCTION("GOOGLETRANSLATE(B8529, ""es"", ""en"")"),"👍 👍")</f>
        <v>👍 👍</v>
      </c>
    </row>
    <row r="8530">
      <c r="A8530" s="1">
        <v>5.0</v>
      </c>
      <c r="B8530" s="1" t="s">
        <v>8460</v>
      </c>
      <c r="C8530" t="str">
        <f>IFERROR(__xludf.DUMMYFUNCTION("GOOGLETRANSLATE(B8530, ""es"", ""en"")"),"Good quality and design quality and design buenos.Queda very comfortable and well adjusted to the body. I have not found any fault until today. Garments and have washed several times and kept nice colors.")</f>
        <v>Good quality and design quality and design buenos.Queda very comfortable and well adjusted to the body. I have not found any fault until today. Garments and have washed several times and kept nice colors.</v>
      </c>
    </row>
    <row r="8531">
      <c r="A8531" s="1">
        <v>5.0</v>
      </c>
      <c r="B8531" s="1" t="s">
        <v>8461</v>
      </c>
      <c r="C8531" t="str">
        <f>IFERROR(__xludf.DUMMYFUNCTION("GOOGLETRANSLATE(B8531, ""es"", ""en"")"),"Perfect is heard well and are inexpensive. Probably I repeat.")</f>
        <v>Perfect is heard well and are inexpensive. Probably I repeat.</v>
      </c>
    </row>
    <row r="8532">
      <c r="A8532" s="1">
        <v>5.0</v>
      </c>
      <c r="B8532" s="1" t="s">
        <v>8462</v>
      </c>
      <c r="C8532" t="str">
        <f>IFERROR(__xludf.DUMMYFUNCTION("GOOGLETRANSLATE(B8532, ""es"", ""en"")"),"Genials M'encanta! Em van perfectes l'i l'acabat is Esperat per the Salomon brand")</f>
        <v>Genials M'encanta! Em van perfectes l'i l'acabat is Esperat per the Salomon brand</v>
      </c>
    </row>
    <row r="8533">
      <c r="A8533" s="1">
        <v>5.0</v>
      </c>
      <c r="B8533" s="1" t="s">
        <v>8463</v>
      </c>
      <c r="C8533" t="str">
        <f>IFERROR(__xludf.DUMMYFUNCTION("GOOGLETRANSLATE(B8533, ""es"", ""en"")"),"Very nice color combination to have an elegant point. This model size adjusted, I think if they are going to take with strip behind would be advisable to ask for a full size.")</f>
        <v>Very nice color combination to have an elegant point. This model size adjusted, I think if they are going to take with strip behind would be advisable to ask for a full size.</v>
      </c>
    </row>
    <row r="8534">
      <c r="A8534" s="1">
        <v>5.0</v>
      </c>
      <c r="B8534" s="1" t="s">
        <v>8464</v>
      </c>
      <c r="C8534" t="str">
        <f>IFERROR(__xludf.DUMMYFUNCTION("GOOGLETRANSLATE(B8534, ""es"", ""en"")"),"Easily and aesthetically nice, good projector time clock Very good, very nice aesthetically fits into any decor, has 3 types of power, lighting, and also has the function to project the time on the ceiling. Original and simple. Nothing to eat head to use,"&amp;" very easy, all you may be asked an alarm clock. 10")</f>
        <v>Easily and aesthetically nice, good projector time clock Very good, very nice aesthetically fits into any decor, has 3 types of power, lighting, and also has the function to project the time on the ceiling. Original and simple. Nothing to eat head to use, very easy, all you may be asked an alarm clock. 10</v>
      </c>
    </row>
    <row r="8535">
      <c r="A8535" s="1">
        <v>5.0</v>
      </c>
      <c r="B8535" s="1" t="s">
        <v>8465</v>
      </c>
      <c r="C8535" t="str">
        <f>IFERROR(__xludf.DUMMYFUNCTION("GOOGLETRANSLATE(B8535, ""es"", ""en"")"),"Perfect, capacity good price. Works well, I use it to watch movies on TV. It goes very well.")</f>
        <v>Perfect, capacity good price. Works well, I use it to watch movies on TV. It goes very well.</v>
      </c>
    </row>
    <row r="8536">
      <c r="A8536" s="1">
        <v>5.0</v>
      </c>
      <c r="B8536" s="1" t="s">
        <v>8466</v>
      </c>
      <c r="C8536" t="str">
        <f>IFERROR(__xludf.DUMMYFUNCTION("GOOGLETRANSLATE(B8536, ""es"", ""en"")"),"perfect for your detector made fully effective notes, several checks security systems of the ticket in less than one second and also has a function that tracks the amount of money that you check in value or it has a summation ticket if you enter 2 of 20 a"&amp;"nd October 1 will appear on the screen 50 euros so it is perfect to tell, the only downside is that if you have to check many bills at once is a little slow, but otherwise perfect")</f>
        <v>perfect for your detector made fully effective notes, several checks security systems of the ticket in less than one second and also has a function that tracks the amount of money that you check in value or it has a summation ticket if you enter 2 of 20 and October 1 will appear on the screen 50 euros so it is perfect to tell, the only downside is that if you have to check many bills at once is a little slow, but otherwise perfect</v>
      </c>
    </row>
    <row r="8537">
      <c r="A8537" s="1">
        <v>5.0</v>
      </c>
      <c r="B8537" s="1" t="s">
        <v>8467</v>
      </c>
      <c r="C8537" t="str">
        <f>IFERROR(__xludf.DUMMYFUNCTION("GOOGLETRANSLATE(B8537, ""es"", ""en"")"),"Not rebranding, are the best I've always had this brand shoes and do not differ. Sorry, but for me it is the best.")</f>
        <v>Not rebranding, are the best I've always had this brand shoes and do not differ. Sorry, but for me it is the best.</v>
      </c>
    </row>
    <row r="8538">
      <c r="A8538" s="1">
        <v>5.0</v>
      </c>
      <c r="B8538" s="1" t="s">
        <v>8468</v>
      </c>
      <c r="C8538" t="str">
        <f>IFERROR(__xludf.DUMMYFUNCTION("GOOGLETRANSLATE(B8538, ""es"", ""en"")"),"great buy I bought it to give to my padre.Es a great watch for that price no complaints, sending could now come faster just that ...")</f>
        <v>great buy I bought it to give to my padre.Es a great watch for that price no complaints, sending could now come faster just that ...</v>
      </c>
    </row>
    <row r="8539">
      <c r="A8539" s="1">
        <v>5.0</v>
      </c>
      <c r="B8539" s="1" t="s">
        <v>8469</v>
      </c>
      <c r="C8539" t="str">
        <f>IFERROR(__xludf.DUMMYFUNCTION("GOOGLETRANSLATE(B8539, ""es"", ""en"")"),"Comfortable and light comfortable to wear non seams, weigh little.")</f>
        <v>Comfortable and light comfortable to wear non seams, weigh little.</v>
      </c>
    </row>
    <row r="8540">
      <c r="A8540" s="1">
        <v>2.0</v>
      </c>
      <c r="B8540" s="1" t="s">
        <v>8470</v>
      </c>
      <c r="C8540" t="str">
        <f>IFERROR(__xludf.DUMMYFUNCTION("GOOGLETRANSLATE(B8540, ""es"", ""en"")"),"Rings are equal only Sra 👎👎")</f>
        <v>Rings are equal only Sra 👎👎</v>
      </c>
    </row>
    <row r="8541">
      <c r="A8541" s="1">
        <v>3.0</v>
      </c>
      <c r="B8541" s="1" t="s">
        <v>8471</v>
      </c>
      <c r="C8541" t="str">
        <f>IFERROR(__xludf.DUMMYFUNCTION("GOOGLETRANSLATE(B8541, ""es"", ""en"")"),"Suitable functional liquid, the liquid should come only buy the towel. Is a big pot of 250ml, clean my Macbook and leave no footprints other products")</f>
        <v>Suitable functional liquid, the liquid should come only buy the towel. Is a big pot of 250ml, clean my Macbook and leave no footprints other products</v>
      </c>
    </row>
    <row r="8542">
      <c r="A8542" s="1">
        <v>1.0</v>
      </c>
      <c r="B8542" s="1" t="s">
        <v>8472</v>
      </c>
      <c r="C8542" t="str">
        <f>IFERROR(__xludf.DUMMYFUNCTION("GOOGLETRANSLATE(B8542, ""es"", ""en"")"),"Unboxed shoes have come loose, no box or anything and are to give away.")</f>
        <v>Unboxed shoes have come loose, no box or anything and are to give away.</v>
      </c>
    </row>
    <row r="8543">
      <c r="A8543" s="1">
        <v>1.0</v>
      </c>
      <c r="B8543" s="1" t="s">
        <v>8473</v>
      </c>
      <c r="C8543" t="str">
        <f>IFERROR(__xludf.DUMMYFUNCTION("GOOGLETRANSLATE(B8543, ""es"", ""en"")"),"Manufacturing defect bought a first pair. The right shoe seemed to have a manufacturing defect: the insole gave the feeling of being displaced or be left foot, so that the tread is not uniform and is very uncomfortable. I returned the first couple and bou"&amp;"ght a new one, but still the same problem in his right foot. Only put your hand is appreciated. Correos back to back ...")</f>
        <v>Manufacturing defect bought a first pair. The right shoe seemed to have a manufacturing defect: the insole gave the feeling of being displaced or be left foot, so that the tread is not uniform and is very uncomfortable. I returned the first couple and bought a new one, but still the same problem in his right foot. Only put your hand is appreciated. Correos back to back ...</v>
      </c>
    </row>
    <row r="8544">
      <c r="A8544" s="1">
        <v>1.0</v>
      </c>
      <c r="B8544" s="1" t="s">
        <v>8474</v>
      </c>
      <c r="C8544" t="str">
        <f>IFERROR(__xludf.DUMMYFUNCTION("GOOGLETRANSLATE(B8544, ""es"", ""en"")"),"Only trash trash apply for the sole can not stand one week, we left a hole and do not serve to nada.No recommend them.")</f>
        <v>Only trash trash apply for the sole can not stand one week, we left a hole and do not serve to nada.No recommend them.</v>
      </c>
    </row>
    <row r="8545">
      <c r="A8545" s="1">
        <v>4.0</v>
      </c>
      <c r="B8545" s="1" t="s">
        <v>8475</v>
      </c>
      <c r="C8545" t="str">
        <f>IFERROR(__xludf.DUMMYFUNCTION("GOOGLETRANSLATE(B8545, ""es"", ""en"")"),"While caught for a fellowship and I came right away, they left me well in my size 43 but at the time I did take some damage in the finger but the new be normal")</f>
        <v>While caught for a fellowship and I came right away, they left me well in my size 43 but at the time I did take some damage in the finger but the new be normal</v>
      </c>
    </row>
    <row r="8546">
      <c r="A8546" s="1">
        <v>4.0</v>
      </c>
      <c r="B8546" s="1" t="s">
        <v>8476</v>
      </c>
      <c r="C8546" t="str">
        <f>IFERROR(__xludf.DUMMYFUNCTION("GOOGLETRANSLATE(B8546, ""es"", ""en"")"),"Does not bring the screw fastening The disc is well and in principle works properly. But does not bring the clamping screw. Essential for proper funciobamiento")</f>
        <v>Does not bring the screw fastening The disc is well and in principle works properly. But does not bring the clamping screw. Essential for proper funciobamiento</v>
      </c>
    </row>
    <row r="8547">
      <c r="A8547" s="1">
        <v>4.0</v>
      </c>
      <c r="B8547" s="1" t="s">
        <v>8477</v>
      </c>
      <c r="C8547" t="str">
        <f>IFERROR(__xludf.DUMMYFUNCTION("GOOGLETRANSLATE(B8547, ""es"", ""en"")"),"Blender silent all right, adequate power for normal use at home several accessories that still have not had time to use. The coiled cable is very handy. It occupies little wound and if necessary stretch has a length enough. I hope it lasts long and not di"&amp;"e by the axis of the arm or the joint with the engine. It seems better designed to avoid slack on the shaft for everyday use, but ... only took her a few days. All right and happy with the purchase.")</f>
        <v>Blender silent all right, adequate power for normal use at home several accessories that still have not had time to use. The coiled cable is very handy. It occupies little wound and if necessary stretch has a length enough. I hope it lasts long and not die by the axis of the arm or the joint with the engine. It seems better designed to avoid slack on the shaft for everyday use, but ... only took her a few days. All right and happy with the purchase.</v>
      </c>
    </row>
    <row r="8548">
      <c r="A8548" s="1">
        <v>4.0</v>
      </c>
      <c r="B8548" s="1" t="s">
        <v>8478</v>
      </c>
      <c r="C8548" t="str">
        <f>IFERROR(__xludf.DUMMYFUNCTION("GOOGLETRANSLATE(B8548, ""es"", ""en"")"),"Good buy Very good and comfortable")</f>
        <v>Good buy Very good and comfortable</v>
      </c>
    </row>
    <row r="8549">
      <c r="A8549" s="1">
        <v>5.0</v>
      </c>
      <c r="B8549" s="1" t="s">
        <v>8479</v>
      </c>
      <c r="C8549" t="str">
        <f>IFERROR(__xludf.DUMMYFUNCTION("GOOGLETRANSLATE(B8549, ""es"", ""en"")"),"Good watch Perfect")</f>
        <v>Good watch Perfect</v>
      </c>
    </row>
    <row r="8550">
      <c r="A8550" s="1">
        <v>5.0</v>
      </c>
      <c r="B8550" s="1" t="s">
        <v>8480</v>
      </c>
      <c r="C8550" t="str">
        <f>IFERROR(__xludf.DUMMYFUNCTION("GOOGLETRANSLATE(B8550, ""es"", ""en"")"),"I love me encantaaaa is the same as in the photo and came rapidisimo")</f>
        <v>I love me encantaaaa is the same as in the photo and came rapidisimo</v>
      </c>
    </row>
    <row r="8551">
      <c r="A8551" s="1">
        <v>5.0</v>
      </c>
      <c r="B8551" s="1" t="s">
        <v>8481</v>
      </c>
      <c r="C8551" t="str">
        <f>IFERROR(__xludf.DUMMYFUNCTION("GOOGLETRANSLATE(B8551, ""es"", ""en"")"),"Good buy good fabric and good finishing, great")</f>
        <v>Good buy good fabric and good finishing, great</v>
      </c>
    </row>
    <row r="8552">
      <c r="A8552" s="1">
        <v>5.0</v>
      </c>
      <c r="B8552" s="1" t="s">
        <v>8482</v>
      </c>
      <c r="C8552" t="str">
        <f>IFERROR(__xludf.DUMMYFUNCTION("GOOGLETRANSLATE(B8552, ""es"", ""en"")"),"Very fast and easy to install. It is essential if you want product quickly. Since I have it installed, the PC starts in about 15 seconds, being fully functional from the moment when the desktop is displayed. In my case, I copied the entire system and data"&amp;" through the program called ""Acronis True Image"". Easy and without any problem.")</f>
        <v>Very fast and easy to install. It is essential if you want product quickly. Since I have it installed, the PC starts in about 15 seconds, being fully functional from the moment when the desktop is displayed. In my case, I copied the entire system and data through the program called "Acronis True Image". Easy and without any problem.</v>
      </c>
    </row>
    <row r="8553">
      <c r="A8553" s="1">
        <v>5.0</v>
      </c>
      <c r="B8553" s="1" t="s">
        <v>8483</v>
      </c>
      <c r="C8553" t="str">
        <f>IFERROR(__xludf.DUMMYFUNCTION("GOOGLETRANSLATE(B8553, ""es"", ""en"")"),"Good quality fabric, color is not lost despite washing, good quality!")</f>
        <v>Good quality fabric, color is not lost despite washing, good quality!</v>
      </c>
    </row>
    <row r="8554">
      <c r="A8554" s="1">
        <v>5.0</v>
      </c>
      <c r="B8554" s="1" t="s">
        <v>8484</v>
      </c>
      <c r="C8554" t="str">
        <f>IFERROR(__xludf.DUMMYFUNCTION("GOOGLETRANSLATE(B8554, ""es"", ""en"")"),"It was a beautiful gift Buy a pair for grandmothers and are fascinated, are small and very cute valuable worth buying Perfect delivery and early 👏👏👏")</f>
        <v>It was a beautiful gift Buy a pair for grandmothers and are fascinated, are small and very cute valuable worth buying Perfect delivery and early 👏👏👏</v>
      </c>
    </row>
    <row r="8555">
      <c r="A8555" s="1">
        <v>5.0</v>
      </c>
      <c r="B8555" s="1" t="s">
        <v>8485</v>
      </c>
      <c r="C8555" t="str">
        <f>IFERROR(__xludf.DUMMYFUNCTION("GOOGLETRANSLATE(B8555, ""es"", ""en"")"),"Robustness, design, power !! A powerful machine !!")</f>
        <v>Robustness, design, power !! A powerful machine !!</v>
      </c>
    </row>
    <row r="8556">
      <c r="A8556" s="1">
        <v>5.0</v>
      </c>
      <c r="B8556" s="1" t="s">
        <v>8486</v>
      </c>
      <c r="C8556" t="str">
        <f>IFERROR(__xludf.DUMMYFUNCTION("GOOGLETRANSLATE(B8556, ""es"", ""en"")"),"Good value for money. It is very good microphone for the price it has. The only bad thing is you hear a little loose if you use it as is, but fiddling with the necessary adjustments and fixes becomes a very useful tool.")</f>
        <v>Good value for money. It is very good microphone for the price it has. The only bad thing is you hear a little loose if you use it as is, but fiddling with the necessary adjustments and fixes becomes a very useful tool.</v>
      </c>
    </row>
    <row r="8557">
      <c r="A8557" s="1">
        <v>5.0</v>
      </c>
      <c r="B8557" s="1" t="s">
        <v>8487</v>
      </c>
      <c r="C8557" t="str">
        <f>IFERROR(__xludf.DUMMYFUNCTION("GOOGLETRANSLATE(B8557, ""es"", ""en"")"),"Perfect are very nice and go with everything, informal or formal .. they are very comfortable .. I recommend")</f>
        <v>Perfect are very nice and go with everything, informal or formal .. they are very comfortable .. I recommend</v>
      </c>
    </row>
    <row r="8558">
      <c r="A8558" s="1">
        <v>5.0</v>
      </c>
      <c r="B8558" s="1" t="s">
        <v>8488</v>
      </c>
      <c r="C8558" t="str">
        <f>IFERROR(__xludf.DUMMYFUNCTION("GOOGLETRANSLATE(B8558, ""es"", ""en"")"),"It's just amazing electric blanket that fits the neck and cervical, and provides a much more localized heat and better which is achieved by a normal electric blanket. As I spend all day in front of a computer, the orthopedist recommended this particular o"&amp;"ne because it covers the cervical and further back, and told me to put it a bit every day, and the truth that took a week with her and now I notice improvement in back pain and stiffness. The fabric is incredibly soft product also carries a magnet in the "&amp;"neck to close and tied at the waist to be too close and was all the more localized. It has 5 power levels and the timer option to use. I personally like to put me at an average level for 1 hour, and repeat this once in the morning and once at night, as I "&amp;"continue performing tasks from the computer because it does not bother at all. Note that is a product of very good quality, and certainly recommend its purchase to anyone who spends many hours in front of the computer or having back problems in general, b"&amp;"ecause it is so comfortable I wear it while you're on the couch or doing anything , and heat is located in the back and concentrated and relaxes muscles. I am very happy with the purchase.")</f>
        <v>It's just amazing electric blanket that fits the neck and cervical, and provides a much more localized heat and better which is achieved by a normal electric blanket. As I spend all day in front of a computer, the orthopedist recommended this particular one because it covers the cervical and further back, and told me to put it a bit every day, and the truth that took a week with her and now I notice improvement in back pain and stiffness. The fabric is incredibly soft product also carries a magnet in the neck to close and tied at the waist to be too close and was all the more localized. It has 5 power levels and the timer option to use. I personally like to put me at an average level for 1 hour, and repeat this once in the morning and once at night, as I continue performing tasks from the computer because it does not bother at all. Note that is a product of very good quality, and certainly recommend its purchase to anyone who spends many hours in front of the computer or having back problems in general, because it is so comfortable I wear it while you're on the couch or doing anything , and heat is located in the back and concentrated and relaxes muscles. I am very happy with the purchase.</v>
      </c>
    </row>
    <row r="8559">
      <c r="A8559" s="1">
        <v>5.0</v>
      </c>
      <c r="B8559" s="1" t="s">
        <v>8489</v>
      </c>
      <c r="C8559" t="str">
        <f>IFERROR(__xludf.DUMMYFUNCTION("GOOGLETRANSLATE(B8559, ""es"", ""en"")"),"Comfort My husband is delighted super comfortable, had not had such a comfortable shoe.")</f>
        <v>Comfort My husband is delighted super comfortable, had not had such a comfortable shoe.</v>
      </c>
    </row>
    <row r="8560">
      <c r="A8560" s="1">
        <v>5.0</v>
      </c>
      <c r="B8560" s="1" t="s">
        <v>696</v>
      </c>
      <c r="C8560" t="str">
        <f>IFERROR(__xludf.DUMMYFUNCTION("GOOGLETRANSLATE(B8560, ""es"", ""en"")"),"Very good very good")</f>
        <v>Very good very good</v>
      </c>
    </row>
    <row r="8561">
      <c r="A8561" s="1">
        <v>5.0</v>
      </c>
      <c r="B8561" s="1" t="s">
        <v>8490</v>
      </c>
      <c r="C8561" t="str">
        <f>IFERROR(__xludf.DUMMYFUNCTION("GOOGLETRANSLATE(B8561, ""es"", ""en"")"),"Ideal has been a good buy. I love going to sleep with Leo while the light fades until it gets completely dark. In the morning also it is going on. Does not bother others of the perquè room is a pleasant warm light. The worst is the radio, but the sounds a"&amp;"re sweet")</f>
        <v>Ideal has been a good buy. I love going to sleep with Leo while the light fades until it gets completely dark. In the morning also it is going on. Does not bother others of the perquè room is a pleasant warm light. The worst is the radio, but the sounds are sweet</v>
      </c>
    </row>
    <row r="8562">
      <c r="A8562" s="1">
        <v>5.0</v>
      </c>
      <c r="B8562" s="1" t="s">
        <v>8491</v>
      </c>
      <c r="C8562" t="str">
        <f>IFERROR(__xludf.DUMMYFUNCTION("GOOGLETRANSLATE(B8562, ""es"", ""en"")"),"Fingers that give a massage you forget it's a massager, it seems fingers that you are doing a good massage. To me I liked it a lot. I've only tried it once. I'll comment and when you try again.")</f>
        <v>Fingers that give a massage you forget it's a massager, it seems fingers that you are doing a good massage. To me I liked it a lot. I've only tried it once. I'll comment and when you try again.</v>
      </c>
    </row>
    <row r="8563">
      <c r="A8563" s="1">
        <v>5.0</v>
      </c>
      <c r="B8563" s="1" t="s">
        <v>8492</v>
      </c>
      <c r="C8563" t="str">
        <f>IFERROR(__xludf.DUMMYFUNCTION("GOOGLETRANSLATE(B8563, ""es"", ""en"")"),"Lovely design !! A kettle is super nice! Design has a very vintage !! I loved it")</f>
        <v>Lovely design !! A kettle is super nice! Design has a very vintage !! I loved it</v>
      </c>
    </row>
    <row r="8564">
      <c r="A8564" s="1">
        <v>5.0</v>
      </c>
      <c r="B8564" s="1" t="s">
        <v>8493</v>
      </c>
      <c r="C8564" t="str">
        <f>IFERROR(__xludf.DUMMYFUNCTION("GOOGLETRANSLATE(B8564, ""es"", ""en"")"),"Fantastico Muito Contente")</f>
        <v>Fantastico Muito Contente</v>
      </c>
    </row>
    <row r="8565">
      <c r="A8565" s="1">
        <v>5.0</v>
      </c>
      <c r="B8565" s="1" t="s">
        <v>8494</v>
      </c>
      <c r="C8565" t="str">
        <f>IFERROR(__xludf.DUMMYFUNCTION("GOOGLETRANSLATE(B8565, ""es"", ""en"")"),"100% Original is the original at a very good price. Fully recommended, so you make sure you do not fail. The best option to avoid incompatibilities with Huawei.")</f>
        <v>100% Original is the original at a very good price. Fully recommended, so you make sure you do not fail. The best option to avoid incompatibilities with Huawei.</v>
      </c>
    </row>
    <row r="8566">
      <c r="A8566" s="1">
        <v>5.0</v>
      </c>
      <c r="B8566" s="1" t="s">
        <v>8495</v>
      </c>
      <c r="C8566" t="str">
        <f>IFERROR(__xludf.DUMMYFUNCTION("GOOGLETRANSLATE(B8566, ""es"", ""en"")"),"Super comfort comfortable")</f>
        <v>Super comfort comfortable</v>
      </c>
    </row>
    <row r="8567">
      <c r="A8567" s="1">
        <v>5.0</v>
      </c>
      <c r="B8567" s="1" t="s">
        <v>8496</v>
      </c>
      <c r="C8567" t="str">
        <f>IFERROR(__xludf.DUMMYFUNCTION("GOOGLETRANSLATE(B8567, ""es"", ""en"")"),"Ideal for modern design and made of aluminum, not plastic I liked its modern aluminum design. Heat up quickly. I did not want plastic recalentadose continuously, and saw the kettle and found it ideal.")</f>
        <v>Ideal for modern design and made of aluminum, not plastic I liked its modern aluminum design. Heat up quickly. I did not want plastic recalentadose continuously, and saw the kettle and found it ideal.</v>
      </c>
    </row>
    <row r="8568">
      <c r="A8568" s="1">
        <v>2.0</v>
      </c>
      <c r="B8568" s="1" t="s">
        <v>8497</v>
      </c>
      <c r="C8568" t="str">
        <f>IFERROR(__xludf.DUMMYFUNCTION("GOOGLETRANSLATE(B8568, ""es"", ""en"")"),"The fabric is not expected is not expected and the fabric is not good")</f>
        <v>The fabric is not expected is not expected and the fabric is not good</v>
      </c>
    </row>
    <row r="8569">
      <c r="A8569" s="1">
        <v>3.0</v>
      </c>
      <c r="B8569" s="1" t="s">
        <v>8498</v>
      </c>
      <c r="C8569" t="str">
        <f>IFERROR(__xludf.DUMMYFUNCTION("GOOGLETRANSLATE(B8569, ""es"", ""en"")"),"Medium quality. Normal sound quality, I expected better from the reviews. No low cut sound and noticeable, but not bad. With noise cancellation improves the quality of sound (it should be at the back) but I like more. The cancellation of the sound creates"&amp;" a pressure in the ear strange as when you fly, and is not very effective enough is heard outside. Soundproofing is low, also heat stick. Finally, I do not like headband headphones and stay with Pin-in, with a Bluetooth adapter.")</f>
        <v>Medium quality. Normal sound quality, I expected better from the reviews. No low cut sound and noticeable, but not bad. With noise cancellation improves the quality of sound (it should be at the back) but I like more. The cancellation of the sound creates a pressure in the ear strange as when you fly, and is not very effective enough is heard outside. Soundproofing is low, also heat stick. Finally, I do not like headband headphones and stay with Pin-in, with a Bluetooth adapter.</v>
      </c>
    </row>
    <row r="8570">
      <c r="A8570" s="1">
        <v>3.0</v>
      </c>
      <c r="B8570" s="1" t="s">
        <v>8499</v>
      </c>
      <c r="C8570" t="str">
        <f>IFERROR(__xludf.DUMMYFUNCTION("GOOGLETRANSLATE(B8570, ""es"", ""en"")"),"Comes without instructions (!) The product comes in a beautiful box gives you a brush to apply the mask and ..... IT IS COMING no instructions on how to apply (thin layer or fat layer) or how much time you have it set (if it is an express mask 5 minutes o"&amp;"r you have to wait 20 ...) Anyway, living in a box could have gotten an information sheet, even as the prospects of medicines. Clay quality is very good, I bought the black clay, I have put the brush (extremely comfortable and kept spotless) and thin laye"&amp;"r to dry completely have left about 15 minutes. Leaves skin soft. Good quality. At home we are happy.")</f>
        <v>Comes without instructions (!) The product comes in a beautiful box gives you a brush to apply the mask and ..... IT IS COMING no instructions on how to apply (thin layer or fat layer) or how much time you have it set (if it is an express mask 5 minutes or you have to wait 20 ...) Anyway, living in a box could have gotten an information sheet, even as the prospects of medicines. Clay quality is very good, I bought the black clay, I have put the brush (extremely comfortable and kept spotless) and thin layer to dry completely have left about 15 minutes. Leaves skin soft. Good quality. At home we are happy.</v>
      </c>
    </row>
    <row r="8571">
      <c r="A8571" s="1">
        <v>3.0</v>
      </c>
      <c r="B8571" s="1" t="s">
        <v>8500</v>
      </c>
      <c r="C8571" t="str">
        <f>IFERROR(__xludf.DUMMYFUNCTION("GOOGLETRANSLATE(B8571, ""es"", ""en"")"),"Good quality sweatpants, warm, but carving a large Pelin")</f>
        <v>Good quality sweatpants, warm, but carving a large Pelin</v>
      </c>
    </row>
    <row r="8572">
      <c r="A8572" s="1">
        <v>1.0</v>
      </c>
      <c r="B8572" s="1" t="s">
        <v>8501</v>
      </c>
      <c r="C8572" t="str">
        <f>IFERROR(__xludf.DUMMYFUNCTION("GOOGLETRANSLATE(B8572, ""es"", ""en"")"),"Not recommended for gifts I bought and have worked well for a month now but the charge of the whole to the alerts you wear them and they have no battery, do not recommend them at all.")</f>
        <v>Not recommended for gifts I bought and have worked well for a month now but the charge of the whole to the alerts you wear them and they have no battery, do not recommend them at all.</v>
      </c>
    </row>
    <row r="8573">
      <c r="A8573" s="1">
        <v>1.0</v>
      </c>
      <c r="B8573" s="1" t="s">
        <v>8502</v>
      </c>
      <c r="C8573" t="str">
        <f>IFERROR(__xludf.DUMMYFUNCTION("GOOGLETRANSLATE(B8573, ""es"", ""en"")"),"Brittle edges are opened to q have minimal pressure. I would not buy it")</f>
        <v>Brittle edges are opened to q have minimal pressure. I would not buy it</v>
      </c>
    </row>
    <row r="8574">
      <c r="A8574" s="1">
        <v>4.0</v>
      </c>
      <c r="B8574" s="1" t="s">
        <v>8503</v>
      </c>
      <c r="C8574" t="str">
        <f>IFERROR(__xludf.DUMMYFUNCTION("GOOGLETRANSLATE(B8574, ""es"", ""en"")"),"I recommend you have a lot of power and having no bag is very práctio. Handle a little heavy but it is the only flaw")</f>
        <v>I recommend you have a lot of power and having no bag is very práctio. Handle a little heavy but it is the only flaw</v>
      </c>
    </row>
    <row r="8575">
      <c r="A8575" s="1">
        <v>4.0</v>
      </c>
      <c r="B8575" s="1" t="s">
        <v>8504</v>
      </c>
      <c r="C8575" t="str">
        <f>IFERROR(__xludf.DUMMYFUNCTION("GOOGLETRANSLATE(B8575, ""es"", ""en"")"),"Well far it goes well!")</f>
        <v>Well far it goes well!</v>
      </c>
    </row>
    <row r="8576">
      <c r="A8576" s="1">
        <v>4.0</v>
      </c>
      <c r="B8576" s="1" t="s">
        <v>8505</v>
      </c>
      <c r="C8576" t="str">
        <f>IFERROR(__xludf.DUMMYFUNCTION("GOOGLETRANSLATE(B8576, ""es"", ""en"")"),"Good product Met my exexpectativas")</f>
        <v>Good product Met my exexpectativas</v>
      </c>
    </row>
    <row r="8577">
      <c r="A8577" s="1">
        <v>4.0</v>
      </c>
      <c r="B8577" s="1" t="s">
        <v>8506</v>
      </c>
      <c r="C8577" t="str">
        <f>IFERROR(__xludf.DUMMYFUNCTION("GOOGLETRANSLATE(B8577, ""es"", ""en"")"),"Recently brought very nice and comfortable .. durability ... we see me have brought today at the date prevista..talla perfecta..la use usually without problems")</f>
        <v>Recently brought very nice and comfortable .. durability ... we see me have brought today at the date prevista..talla perfecta..la use usually without problems</v>
      </c>
    </row>
    <row r="8578">
      <c r="A8578" s="1">
        <v>4.0</v>
      </c>
      <c r="B8578" s="1" t="s">
        <v>8507</v>
      </c>
      <c r="C8578" t="str">
        <f>IFERROR(__xludf.DUMMYFUNCTION("GOOGLETRANSLATE(B8578, ""es"", ""en"")"),"Good nice red sweatshirt but relative size a little big, and face little value")</f>
        <v>Good nice red sweatshirt but relative size a little big, and face little value</v>
      </c>
    </row>
    <row r="8579">
      <c r="A8579" s="1">
        <v>5.0</v>
      </c>
      <c r="B8579" s="1" t="s">
        <v>8508</v>
      </c>
      <c r="C8579" t="str">
        <f>IFERROR(__xludf.DUMMYFUNCTION("GOOGLETRANSLATE(B8579, ""es"", ""en"")"),"Excellent price / quality is what I needed. Good size (maybe a little smaller than I thought), perfect for long walks. It allows you to organize the team at will with configurable dividers. Good materials and appearance; best price / quality.")</f>
        <v>Excellent price / quality is what I needed. Good size (maybe a little smaller than I thought), perfect for long walks. It allows you to organize the team at will with configurable dividers. Good materials and appearance; best price / quality.</v>
      </c>
    </row>
    <row r="8580">
      <c r="A8580" s="1">
        <v>5.0</v>
      </c>
      <c r="B8580" s="1" t="s">
        <v>8509</v>
      </c>
      <c r="C8580" t="str">
        <f>IFERROR(__xludf.DUMMYFUNCTION("GOOGLETRANSLATE(B8580, ""es"", ""en"")"),"Loose clothing version of the loose version of the clothing, color and style are good. Red is not easy to get dirty, friends like")</f>
        <v>Loose clothing version of the loose version of the clothing, color and style are good. Red is not easy to get dirty, friends like</v>
      </c>
    </row>
    <row r="8581">
      <c r="A8581" s="1">
        <v>5.0</v>
      </c>
      <c r="B8581" s="1" t="s">
        <v>8510</v>
      </c>
      <c r="C8581" t="str">
        <f>IFERROR(__xludf.DUMMYFUNCTION("GOOGLETRANSLATE(B8581, ""es"", ""en"")"),"To my taste good Headphone headphones are pretty well built, with good sound for my taste, give very serious cable bonitos.El helmets, it is round, which helps not too tangling, and has a good length, to get the smartphone or music player in the pants and"&amp;" the wire is not tenso.Un detail that I liked, is that they come with a small cloth bag with zipper to keep the headset comfortably in instead of the typical box plástico.También are different pads to fit best ear and a small clip to secure the cable to c"&amp;"lothing necesiten.La those who sound quality is adequate for the price you have, I recommend .")</f>
        <v>To my taste good Headphone headphones are pretty well built, with good sound for my taste, give very serious cable bonitos.El helmets, it is round, which helps not too tangling, and has a good length, to get the smartphone or music player in the pants and the wire is not tenso.Un detail that I liked, is that they come with a small cloth bag with zipper to keep the headset comfortably in instead of the typical box plástico.También are different pads to fit best ear and a small clip to secure the cable to clothing necesiten.La those who sound quality is adequate for the price you have, I recommend .</v>
      </c>
    </row>
    <row r="8582">
      <c r="A8582" s="1">
        <v>5.0</v>
      </c>
      <c r="B8582" s="1" t="s">
        <v>8511</v>
      </c>
      <c r="C8582" t="str">
        <f>IFERROR(__xludf.DUMMYFUNCTION("GOOGLETRANSLATE(B8582, ""es"", ""en"")"),"Converse fantastic buy originals. Carve average number more. A classic to have in the closet. Nice and comfortable. I love. Great buy.")</f>
        <v>Converse fantastic buy originals. Carve average number more. A classic to have in the closet. Nice and comfortable. I love. Great buy.</v>
      </c>
    </row>
    <row r="8583">
      <c r="A8583" s="1">
        <v>5.0</v>
      </c>
      <c r="B8583" s="1" t="s">
        <v>8512</v>
      </c>
      <c r="C8583" t="str">
        <f>IFERROR(__xludf.DUMMYFUNCTION("GOOGLETRANSLATE(B8583, ""es"", ""en"")"),"Contenta The truth is that it is such. Very nice aesthetically but above all practical. It's just what I wanted, I can take it daily and a book or iPad. Very happy")</f>
        <v>Contenta The truth is that it is such. Very nice aesthetically but above all practical. It's just what I wanted, I can take it daily and a book or iPad. Very happy</v>
      </c>
    </row>
    <row r="8584">
      <c r="A8584" s="1">
        <v>5.0</v>
      </c>
      <c r="B8584" s="1" t="s">
        <v>8513</v>
      </c>
      <c r="C8584" t="str">
        <f>IFERROR(__xludf.DUMMYFUNCTION("GOOGLETRANSLATE(B8584, ""es"", ""en"")"),"No skidding are very comfortable Request average number less")</f>
        <v>No skidding are very comfortable Request average number less</v>
      </c>
    </row>
    <row r="8585">
      <c r="A8585" s="1">
        <v>5.0</v>
      </c>
      <c r="B8585" s="1" t="s">
        <v>8514</v>
      </c>
      <c r="C8585" t="str">
        <f>IFERROR(__xludf.DUMMYFUNCTION("GOOGLETRANSLATE(B8585, ""es"", ""en"")"),"I recommend Clock sturdy and well finished. Diving, I've only tested up to 10 meters. No problem.")</f>
        <v>I recommend Clock sturdy and well finished. Diving, I've only tested up to 10 meters. No problem.</v>
      </c>
    </row>
    <row r="8586">
      <c r="A8586" s="1">
        <v>5.0</v>
      </c>
      <c r="B8586" s="1" t="s">
        <v>8515</v>
      </c>
      <c r="C8586" t="str">
        <f>IFERROR(__xludf.DUMMYFUNCTION("GOOGLETRANSLATE(B8586, ""es"", ""en"")"),"Good quality shoes sneaker. They are very cool completely fulfilled my expectations.")</f>
        <v>Good quality shoes sneaker. They are very cool completely fulfilled my expectations.</v>
      </c>
    </row>
    <row r="8587">
      <c r="A8587" s="1">
        <v>5.0</v>
      </c>
      <c r="B8587" s="1" t="s">
        <v>8516</v>
      </c>
      <c r="C8587" t="str">
        <f>IFERROR(__xludf.DUMMYFUNCTION("GOOGLETRANSLATE(B8587, ""es"", ""en"")"),"Perfect as wet cleaning cloth in the kitchen The classic rags network like these do not clean the kitchen.")</f>
        <v>Perfect as wet cleaning cloth in the kitchen The classic rags network like these do not clean the kitchen.</v>
      </c>
    </row>
    <row r="8588">
      <c r="A8588" s="1">
        <v>5.0</v>
      </c>
      <c r="B8588" s="1" t="s">
        <v>8517</v>
      </c>
      <c r="C8588" t="str">
        <f>IFERROR(__xludf.DUMMYFUNCTION("GOOGLETRANSLATE(B8588, ""es"", ""en"")"),"Comfortable Pimps very comfortable to wear not only for sport")</f>
        <v>Comfortable Pimps very comfortable to wear not only for sport</v>
      </c>
    </row>
    <row r="8589">
      <c r="A8589" s="1">
        <v>5.0</v>
      </c>
      <c r="B8589" s="1" t="s">
        <v>8518</v>
      </c>
      <c r="C8589" t="str">
        <f>IFERROR(__xludf.DUMMYFUNCTION("GOOGLETRANSLATE(B8589, ""es"", ""en"")"),"Function quickly makes perfect. The plastic is heated and is not overly fast.")</f>
        <v>Function quickly makes perfect. The plastic is heated and is not overly fast.</v>
      </c>
    </row>
    <row r="8590">
      <c r="A8590" s="1">
        <v>5.0</v>
      </c>
      <c r="B8590" s="1" t="s">
        <v>8519</v>
      </c>
      <c r="C8590" t="str">
        <f>IFERROR(__xludf.DUMMYFUNCTION("GOOGLETRANSLATE(B8590, ""es"", ""en"")"),"They hear very well and are comfortable usually buy headphones often because just giving away. I liked these because the headphones are best suited to my ear. They are comfortable and come with several parts. It has a button to answer and hang up calls. T"&amp;"he material is quality and comes with a pouch for storage and not prune are bundled in the purse or backpack.")</f>
        <v>They hear very well and are comfortable usually buy headphones often because just giving away. I liked these because the headphones are best suited to my ear. They are comfortable and come with several parts. It has a button to answer and hang up calls. The material is quality and comes with a pouch for storage and not prune are bundled in the purse or backpack.</v>
      </c>
    </row>
    <row r="8591">
      <c r="A8591" s="1">
        <v>5.0</v>
      </c>
      <c r="B8591" s="1" t="s">
        <v>8520</v>
      </c>
      <c r="C8591" t="str">
        <f>IFERROR(__xludf.DUMMYFUNCTION("GOOGLETRANSLATE(B8591, ""es"", ""en"")"),"A SMALL liked him from the first day we gave the bottle you liked and so we threw this brand until you stop using the bottle. The quality is good")</f>
        <v>A SMALL liked him from the first day we gave the bottle you liked and so we threw this brand until you stop using the bottle. The quality is good</v>
      </c>
    </row>
    <row r="8592">
      <c r="A8592" s="1">
        <v>5.0</v>
      </c>
      <c r="B8592" s="1" t="s">
        <v>8521</v>
      </c>
      <c r="C8592" t="str">
        <f>IFERROR(__xludf.DUMMYFUNCTION("GOOGLETRANSLATE(B8592, ""es"", ""en"")"),"Mythical watch ... but beware! models are sold fake watch is one of the best you can buy for its price, even compared with other thousands of euros, this model could compete in quality with them. A very similar to the first gshock 1983. With a perfect siz"&amp;"e, and always with the military air, geek .. but watch mythical being so exaggerated as other gshock. That makes it very adaptable. Great watch, but I have sold false. A inviduo that had no reviews, Fie me of him, and of course, first and last time. I hav"&amp;"e already returned and will return to the original purchase. There are people who have not been realized that have sold a counterfeit product, and it is important to realize, because last 30 days, it becomes impossible to recover our money. Right out of t"&amp;"he box, suspected: print octagonal box g-shock different from others, printing on cardboard also different (and I smelled that something was wrong). I open the box watch and see casio label (fake), without being placed on the watch itself (also so it seem"&amp;"ed suspicious). At the end I take the clock, and after a brief assessment, say is false. He looked around: too dark crystal and numbers; diagonal guards and model 5600 (and this is the 5610 supposedly); signs as the clock bell, different; another date for"&amp;"mat and number format different date; beep too weak; different functions, for example, the stopwatch, the original will put up the hours, and this puts you the main date (which does make the model 5600, so I am inclined to think that they have laid a modu"&amp;"le imitation one 5600 and tatty are not able to have this module or imitate the 5610); mirroring effect on the side of the screen nonexistent; solar charging (I guess) nonexistent; back cover is not identical; etc. Yes they have imitated good weight, put "&amp;"some song open to him immediately so that this piece of bad plastic deceive the balance. This watch does not deserve more than 5 estellas, so I give them, and I can not help but notice the passage of these deceptions. It is sad to think that this is permi"&amp;"ssible, because I co taking casios 25 years, and being a collector of more than 40 models, I know perfectly all casio, not me be cast (apart from that I am computer). But I think of how much less people who like these watches have been defrauded, and have"&amp;" not realized that have been left with a clock expensive 100 euros actually worth 5, because it is a poor imitation of the Chinese. This should not allow, without a doubt. To me, I have wasted all morning, I've already sent a loving message to thank the s"&amp;"eller to the deal. I hope it does not happen again.")</f>
        <v>Mythical watch ... but beware! models are sold fake watch is one of the best you can buy for its price, even compared with other thousands of euros, this model could compete in quality with them. A very similar to the first gshock 1983. With a perfect size, and always with the military air, geek .. but watch mythical being so exaggerated as other gshock. That makes it very adaptable. Great watch, but I have sold false. A inviduo that had no reviews, Fie me of him, and of course, first and last time. I have already returned and will return to the original purchase. There are people who have not been realized that have sold a counterfeit product, and it is important to realize, because last 30 days, it becomes impossible to recover our money. Right out of the box, suspected: print octagonal box g-shock different from others, printing on cardboard also different (and I smelled that something was wrong). I open the box watch and see casio label (fake), without being placed on the watch itself (also so it seemed suspicious). At the end I take the clock, and after a brief assessment, say is false. He looked around: too dark crystal and numbers; diagonal guards and model 5600 (and this is the 5610 supposedly); signs as the clock bell, different; another date format and number format different date; beep too weak; different functions, for example, the stopwatch, the original will put up the hours, and this puts you the main date (which does make the model 5600, so I am inclined to think that they have laid a module imitation one 5600 and tatty are not able to have this module or imitate the 5610); mirroring effect on the side of the screen nonexistent; solar charging (I guess) nonexistent; back cover is not identical; etc. Yes they have imitated good weight, put some song open to him immediately so that this piece of bad plastic deceive the balance. This watch does not deserve more than 5 estellas, so I give them, and I can not help but notice the passage of these deceptions. It is sad to think that this is permissible, because I co taking casios 25 years, and being a collector of more than 40 models, I know perfectly all casio, not me be cast (apart from that I am computer). But I think of how much less people who like these watches have been defrauded, and have not realized that have been left with a clock expensive 100 euros actually worth 5, because it is a poor imitation of the Chinese. This should not allow, without a doubt. To me, I have wasted all morning, I've already sent a loving message to thank the seller to the deal. I hope it does not happen again.</v>
      </c>
    </row>
    <row r="8593">
      <c r="A8593" s="1">
        <v>5.0</v>
      </c>
      <c r="B8593" s="1" t="s">
        <v>8522</v>
      </c>
      <c r="C8593" t="str">
        <f>IFERROR(__xludf.DUMMYFUNCTION("GOOGLETRANSLATE(B8593, ""es"", ""en"")"),"Super practical I find it a super product achieved porridge I use it to make baby fruit and leaves trituradisimo and I can take anywhere blades are not triggered until it is closed, very safe")</f>
        <v>Super practical I find it a super product achieved porridge I use it to make baby fruit and leaves trituradisimo and I can take anywhere blades are not triggered until it is closed, very safe</v>
      </c>
    </row>
    <row r="8594">
      <c r="A8594" s="1">
        <v>5.0</v>
      </c>
      <c r="B8594" s="1" t="s">
        <v>8523</v>
      </c>
      <c r="C8594" t="str">
        <f>IFERROR(__xludf.DUMMYFUNCTION("GOOGLETRANSLATE(B8594, ""es"", ""en"")"),"It meets excellent result perfectly with its function, large capacity, comfortable and corresponds to the description.")</f>
        <v>It meets excellent result perfectly with its function, large capacity, comfortable and corresponds to the description.</v>
      </c>
    </row>
    <row r="8595">
      <c r="A8595" s="1">
        <v>5.0</v>
      </c>
      <c r="B8595" s="1" t="s">
        <v>8524</v>
      </c>
      <c r="C8595" t="str">
        <f>IFERROR(__xludf.DUMMYFUNCTION("GOOGLETRANSLATE(B8595, ""es"", ""en"")"),"Great! It has come very fast, in less than a week, the price is great, if it is a bit small in the picture seem larger balls, but worth it in different places more than twice. Now I hope it lasts and that is not made ugly. Thank you for your rapidez😉 was"&amp;" for a gift and loved it!")</f>
        <v>Great! It has come very fast, in less than a week, the price is great, if it is a bit small in the picture seem larger balls, but worth it in different places more than twice. Now I hope it lasts and that is not made ugly. Thank you for your rapidez😉 was for a gift and loved it!</v>
      </c>
    </row>
    <row r="8596">
      <c r="A8596" s="1">
        <v>5.0</v>
      </c>
      <c r="B8596" s="1" t="s">
        <v>8525</v>
      </c>
      <c r="C8596" t="str">
        <f>IFERROR(__xludf.DUMMYFUNCTION("GOOGLETRANSLATE(B8596, ""es"", ""en"")"),"Very comfortable I love is comfortable and what little bulges heated was bought for the days that I walk and refreshes and is ideal")</f>
        <v>Very comfortable I love is comfortable and what little bulges heated was bought for the days that I walk and refreshes and is ideal</v>
      </c>
    </row>
    <row r="8597">
      <c r="A8597" s="1">
        <v>5.0</v>
      </c>
      <c r="B8597" s="1" t="s">
        <v>8526</v>
      </c>
      <c r="C8597" t="str">
        <f>IFERROR(__xludf.DUMMYFUNCTION("GOOGLETRANSLATE(B8597, ""es"", ""en"")"),"Very comfortable very comfortable and fine. They carve a little small, but are T-shirts that you can wear tight. Nice touch.")</f>
        <v>Very comfortable very comfortable and fine. They carve a little small, but are T-shirts that you can wear tight. Nice touch.</v>
      </c>
    </row>
    <row r="8598">
      <c r="A8598" s="1">
        <v>2.0</v>
      </c>
      <c r="B8598" s="1" t="s">
        <v>8527</v>
      </c>
      <c r="C8598" t="str">
        <f>IFERROR(__xludf.DUMMYFUNCTION("GOOGLETRANSLATE(B8598, ""es"", ""en"")"),"Improved reception sound is much improved, as always heard a noise annoying background. To help you go down much the volume of the headset and climb quite the TV. A going decreasing battery power, the sound is quite impaired. As for the plastic headband i"&amp;"s of very poor quality, so forget it if you want to watch TV in bed, we start looking at it (I already have ""patched"" mine). A product as affordable as improvable.")</f>
        <v>Improved reception sound is much improved, as always heard a noise annoying background. To help you go down much the volume of the headset and climb quite the TV. A going decreasing battery power, the sound is quite impaired. As for the plastic headband is of very poor quality, so forget it if you want to watch TV in bed, we start looking at it (I already have "patched" mine). A product as affordable as improvable.</v>
      </c>
    </row>
    <row r="8599">
      <c r="A8599" s="1">
        <v>3.0</v>
      </c>
      <c r="B8599" s="1" t="s">
        <v>8528</v>
      </c>
      <c r="C8599" t="str">
        <f>IFERROR(__xludf.DUMMYFUNCTION("GOOGLETRANSLATE(B8599, ""es"", ""en"")"),"But good odor problems. Good quality but I have caused bad smells in the second winter (I wear only in winter) and I'm a person daily shower without odor problems / sweats feet.")</f>
        <v>But good odor problems. Good quality but I have caused bad smells in the second winter (I wear only in winter) and I'm a person daily shower without odor problems / sweats feet.</v>
      </c>
    </row>
    <row r="8600">
      <c r="A8600" s="1">
        <v>1.0</v>
      </c>
      <c r="B8600" s="1" t="s">
        <v>8529</v>
      </c>
      <c r="C8600" t="str">
        <f>IFERROR(__xludf.DUMMYFUNCTION("GOOGLETRANSLATE(B8600, ""es"", ""en"")"),"bad bad")</f>
        <v>bad bad</v>
      </c>
    </row>
    <row r="8601">
      <c r="A8601" s="1">
        <v>1.0</v>
      </c>
      <c r="B8601" s="1" t="s">
        <v>8530</v>
      </c>
      <c r="C8601" t="str">
        <f>IFERROR(__xludf.DUMMYFUNCTION("GOOGLETRANSLATE(B8601, ""es"", ""en"")"),"Does not meet my expectations. I would recommend it for anything. I bought with great enthusiasm in November this product and frankly I was disappointed. I wanted to prepare chocolate, I thought I could serve and did not. Uncomfortable as could be to stir"&amp;" the mixture as necessary to turn it and everything remains stuck on the walls and the top. Nuts are crushed previously put on my grinder, for one day and tried to put the whole grinding pretty bad. I said, well, it will spend to prepare fruit smoothies. "&amp;"I've used very little and this morning I put on the baso four raspberries and a golden apple cut into pieces. I had to throw it all away because party has two leading gum to close the container and rubber bits have been in food. And now, to see if the war"&amp;"ranty covers this break.")</f>
        <v>Does not meet my expectations. I would recommend it for anything. I bought with great enthusiasm in November this product and frankly I was disappointed. I wanted to prepare chocolate, I thought I could serve and did not. Uncomfortable as could be to stir the mixture as necessary to turn it and everything remains stuck on the walls and the top. Nuts are crushed previously put on my grinder, for one day and tried to put the whole grinding pretty bad. I said, well, it will spend to prepare fruit smoothies. I've used very little and this morning I put on the baso four raspberries and a golden apple cut into pieces. I had to throw it all away because party has two leading gum to close the container and rubber bits have been in food. And now, to see if the warranty covers this break.</v>
      </c>
    </row>
    <row r="8602">
      <c r="A8602" s="1">
        <v>4.0</v>
      </c>
      <c r="B8602" s="1" t="s">
        <v>8531</v>
      </c>
      <c r="C8602" t="str">
        <f>IFERROR(__xludf.DUMMYFUNCTION("GOOGLETRANSLATE(B8602, ""es"", ""en"")"),"Good stuff for now I'm happy with the shoe. Using first wash and I'll be more clear if it was good buy as I think now")</f>
        <v>Good stuff for now I'm happy with the shoe. Using first wash and I'll be more clear if it was good buy as I think now</v>
      </c>
    </row>
    <row r="8603">
      <c r="A8603" s="1">
        <v>4.0</v>
      </c>
      <c r="B8603" s="1" t="s">
        <v>8532</v>
      </c>
      <c r="C8603" t="str">
        <f>IFERROR(__xludf.DUMMYFUNCTION("GOOGLETRANSLATE(B8603, ""es"", ""en"")"),"Good sound helmets")</f>
        <v>Good sound helmets</v>
      </c>
    </row>
    <row r="8604">
      <c r="A8604" s="1">
        <v>4.0</v>
      </c>
      <c r="B8604" s="1" t="s">
        <v>8533</v>
      </c>
      <c r="C8604" t="str">
        <f>IFERROR(__xludf.DUMMYFUNCTION("GOOGLETRANSLATE(B8604, ""es"", ""en"")"),"Well, the kettle is very good, only says it has filter and I thought I had a filter kettles as I've seen in UK -type Brita- but hey I'll see if I get a filter so that not accumulate lime and ruin - or I'll ask someone in UK as these kettles are achieved")</f>
        <v>Well, the kettle is very good, only says it has filter and I thought I had a filter kettles as I've seen in UK -type Brita- but hey I'll see if I get a filter so that not accumulate lime and ruin - or I'll ask someone in UK as these kettles are achieved</v>
      </c>
    </row>
    <row r="8605">
      <c r="A8605" s="1">
        <v>4.0</v>
      </c>
      <c r="B8605" s="1" t="s">
        <v>8534</v>
      </c>
      <c r="C8605" t="str">
        <f>IFERROR(__xludf.DUMMYFUNCTION("GOOGLETRANSLATE(B8605, ""es"", ""en"")"),"Very satisfied I ordered a M that is what I use and is fitted waist but Well..the me inside of the leg is Larguita and I measure 1.66 and rubs a little ground Still I loved and I want to re-order other color.")</f>
        <v>Very satisfied I ordered a M that is what I use and is fitted waist but Well..the me inside of the leg is Larguita and I measure 1.66 and rubs a little ground Still I loved and I want to re-order other color.</v>
      </c>
    </row>
    <row r="8606">
      <c r="A8606" s="1">
        <v>4.0</v>
      </c>
      <c r="B8606" s="1" t="s">
        <v>8535</v>
      </c>
      <c r="C8606" t="str">
        <f>IFERROR(__xludf.DUMMYFUNCTION("GOOGLETRANSLATE(B8606, ""es"", ""en"")"),"Perfect is fine but should have more hair")</f>
        <v>Perfect is fine but should have more hair</v>
      </c>
    </row>
    <row r="8607">
      <c r="A8607" s="1">
        <v>5.0</v>
      </c>
      <c r="B8607" s="1" t="s">
        <v>8536</v>
      </c>
      <c r="C8607" t="str">
        <f>IFERROR(__xludf.DUMMYFUNCTION("GOOGLETRANSLATE(B8607, ""es"", ""en"")"),"Perfect operation")</f>
        <v>Perfect operation</v>
      </c>
    </row>
    <row r="8608">
      <c r="A8608" s="1">
        <v>5.0</v>
      </c>
      <c r="B8608" s="1" t="s">
        <v>8537</v>
      </c>
      <c r="C8608" t="str">
        <f>IFERROR(__xludf.DUMMYFUNCTION("GOOGLETRANSLATE(B8608, ""es"", ""en"")"),"Good moment moment are already lasted more than a talk he had, if only withstand a little more and be worth it.")</f>
        <v>Good moment moment are already lasted more than a talk he had, if only withstand a little more and be worth it.</v>
      </c>
    </row>
    <row r="8609">
      <c r="A8609" s="1">
        <v>5.0</v>
      </c>
      <c r="B8609" s="1" t="s">
        <v>8538</v>
      </c>
      <c r="C8609" t="str">
        <f>IFERROR(__xludf.DUMMYFUNCTION("GOOGLETRANSLATE(B8609, ""es"", ""en"")"),"Nice and bararo Light")</f>
        <v>Nice and bararo Light</v>
      </c>
    </row>
    <row r="8610">
      <c r="A8610" s="1">
        <v>5.0</v>
      </c>
      <c r="B8610" s="1" t="s">
        <v>8539</v>
      </c>
      <c r="C8610" t="str">
        <f>IFERROR(__xludf.DUMMYFUNCTION("GOOGLETRANSLATE(B8610, ""es"", ""en"")"),"Bolisi already knew the model so buy good Flexible and durable shoe must be careful because they get dirty easily")</f>
        <v>Bolisi already knew the model so buy good Flexible and durable shoe must be careful because they get dirty easily</v>
      </c>
    </row>
    <row r="8611">
      <c r="A8611" s="1">
        <v>5.0</v>
      </c>
      <c r="B8611" s="1" t="s">
        <v>8540</v>
      </c>
      <c r="C8611" t="str">
        <f>IFERROR(__xludf.DUMMYFUNCTION("GOOGLETRANSLATE(B8611, ""es"", ""en"")"),"Works perfectly works perfectly, Moon finishes are great, it has reached great.")</f>
        <v>Works perfectly works perfectly, Moon finishes are great, it has reached great.</v>
      </c>
    </row>
    <row r="8612">
      <c r="A8612" s="1">
        <v>5.0</v>
      </c>
      <c r="B8612" s="1" t="s">
        <v>8541</v>
      </c>
      <c r="C8612" t="str">
        <f>IFERROR(__xludf.DUMMYFUNCTION("GOOGLETRANSLATE(B8612, ""es"", ""en"")"),"Impressive how well they fit like a glove ...")</f>
        <v>Impressive how well they fit like a glove ...</v>
      </c>
    </row>
    <row r="8613">
      <c r="A8613" s="1">
        <v>5.0</v>
      </c>
      <c r="B8613" s="1" t="s">
        <v>8542</v>
      </c>
      <c r="C8613" t="str">
        <f>IFERROR(__xludf.DUMMYFUNCTION("GOOGLETRANSLATE(B8613, ""es"", ""en"")"),"Music headphones Bluetooth headset Bluetooth music with various functions. Its design is elegant, but also very simple. It allows you to fold the headphones thanks to plastic hinges. In fact, I thought at the receiving them that I was wrong size. It came "&amp;"in a very small box and did not think they could fit there. Design and quality of materials makes it very comfortable to use. They are well padded for more enjoyable to use for hours. Their connection is very fast and easy. A couple of ""clicks"".")</f>
        <v>Music headphones Bluetooth headset Bluetooth music with various functions. Its design is elegant, but also very simple. It allows you to fold the headphones thanks to plastic hinges. In fact, I thought at the receiving them that I was wrong size. It came in a very small box and did not think they could fit there. Design and quality of materials makes it very comfortable to use. They are well padded for more enjoyable to use for hours. Their connection is very fast and easy. A couple of "clicks".</v>
      </c>
    </row>
    <row r="8614">
      <c r="A8614" s="1">
        <v>5.0</v>
      </c>
      <c r="B8614" s="1" t="s">
        <v>8543</v>
      </c>
      <c r="C8614" t="str">
        <f>IFERROR(__xludf.DUMMYFUNCTION("GOOGLETRANSLATE(B8614, ""es"", ""en"")"),"Very comfortable excellent, excellent quality, beautiful design, unbeatable price and super fast delivery. You can not ask for more. perfect purchase!")</f>
        <v>Very comfortable excellent, excellent quality, beautiful design, unbeatable price and super fast delivery. You can not ask for more. perfect purchase!</v>
      </c>
    </row>
    <row r="8615">
      <c r="A8615" s="1">
        <v>5.0</v>
      </c>
      <c r="B8615" s="1" t="s">
        <v>8544</v>
      </c>
      <c r="C8615" t="str">
        <f>IFERROR(__xludf.DUMMYFUNCTION("GOOGLETRANSLATE(B8615, ""es"", ""en"")"),"They are very comfortable because they are very comfortable to put velcro and have good grip.")</f>
        <v>They are very comfortable because they are very comfortable to put velcro and have good grip.</v>
      </c>
    </row>
    <row r="8616">
      <c r="A8616" s="1">
        <v>5.0</v>
      </c>
      <c r="B8616" s="1" t="s">
        <v>8545</v>
      </c>
      <c r="C8616" t="str">
        <f>IFERROR(__xludf.DUMMYFUNCTION("GOOGLETRANSLATE(B8616, ""es"", ""en"")"),"Precious precious seem higher quality than the picture. Now I hope they bring brightness last long and will not spoil too soon")</f>
        <v>Precious precious seem higher quality than the picture. Now I hope they bring brightness last long and will not spoil too soon</v>
      </c>
    </row>
    <row r="8617">
      <c r="A8617" s="1">
        <v>5.0</v>
      </c>
      <c r="B8617" s="1" t="s">
        <v>8546</v>
      </c>
      <c r="C8617" t="str">
        <f>IFERROR(__xludf.DUMMYFUNCTION("GOOGLETRANSLATE(B8617, ""es"", ""en"")"),"As Picture As Picture")</f>
        <v>As Picture As Picture</v>
      </c>
    </row>
    <row r="8618">
      <c r="A8618" s="1">
        <v>5.0</v>
      </c>
      <c r="B8618" s="1" t="s">
        <v>8547</v>
      </c>
      <c r="C8618" t="str">
        <f>IFERROR(__xludf.DUMMYFUNCTION("GOOGLETRANSLATE(B8618, ""es"", ""en"")"),"Robusta and at a good price. Large mixer vessel. I took a while using it without any problems. It is disassembled and easily cleaned.")</f>
        <v>Robusta and at a good price. Large mixer vessel. I took a while using it without any problems. It is disassembled and easily cleaned.</v>
      </c>
    </row>
    <row r="8619">
      <c r="A8619" s="1">
        <v>5.0</v>
      </c>
      <c r="B8619" s="1" t="s">
        <v>8548</v>
      </c>
      <c r="C8619" t="str">
        <f>IFERROR(__xludf.DUMMYFUNCTION("GOOGLETRANSLATE(B8619, ""es"", ""en"")"),"Ideal the glass is a great idea that glass bottles are much more hygienic than plastic bottles have been for my third child and the first time I buy glass, and certainly the best thing I did.")</f>
        <v>Ideal the glass is a great idea that glass bottles are much more hygienic than plastic bottles have been for my third child and the first time I buy glass, and certainly the best thing I did.</v>
      </c>
    </row>
    <row r="8620">
      <c r="A8620" s="1">
        <v>5.0</v>
      </c>
      <c r="B8620" s="1" t="s">
        <v>8549</v>
      </c>
      <c r="C8620" t="str">
        <f>IFERROR(__xludf.DUMMYFUNCTION("GOOGLETRANSLATE(B8620, ""es"", ""en"")"),"Excellent product. Samsung SSD is incredibly fast, in just five seconds I have my laptop running. Undoubtedly the best way to give your laptop speed.")</f>
        <v>Excellent product. Samsung SSD is incredibly fast, in just five seconds I have my laptop running. Undoubtedly the best way to give your laptop speed.</v>
      </c>
    </row>
    <row r="8621">
      <c r="A8621" s="1">
        <v>5.0</v>
      </c>
      <c r="B8621" s="1" t="s">
        <v>8550</v>
      </c>
      <c r="C8621" t="str">
        <f>IFERROR(__xludf.DUMMYFUNCTION("GOOGLETRANSLATE(B8621, ""es"", ""en"")"),"very good buy I think it's the best Microfibre cloth for glass on the market. Dries quickly and does not leave marks")</f>
        <v>very good buy I think it's the best Microfibre cloth for glass on the market. Dries quickly and does not leave marks</v>
      </c>
    </row>
    <row r="8622">
      <c r="A8622" s="1">
        <v>5.0</v>
      </c>
      <c r="B8622" s="1" t="s">
        <v>8551</v>
      </c>
      <c r="C8622" t="str">
        <f>IFERROR(__xludf.DUMMYFUNCTION("GOOGLETRANSLATE(B8622, ""es"", ""en"")"),"Qing Very good product")</f>
        <v>Qing Very good product</v>
      </c>
    </row>
    <row r="8623">
      <c r="A8623" s="1">
        <v>5.0</v>
      </c>
      <c r="B8623" s="1" t="s">
        <v>8552</v>
      </c>
      <c r="C8623" t="str">
        <f>IFERROR(__xludf.DUMMYFUNCTION("GOOGLETRANSLATE(B8623, ""es"", ""en"")"),"5-star mu easy to use and intuitive to going wired directly to the light has a lot of power, used to treat contractures easily at home (is complementary to the work of a physio), can combine it with a ""Compex"" the which facilitates high intensity sport "&amp;"prolonged. It is very cheap compared to other massagers and the truth that the value for money is 5 stars.")</f>
        <v>5-star mu easy to use and intuitive to going wired directly to the light has a lot of power, used to treat contractures easily at home (is complementary to the work of a physio), can combine it with a "Compex" the which facilitates high intensity sport prolonged. It is very cheap compared to other massagers and the truth that the value for money is 5 stars.</v>
      </c>
    </row>
    <row r="8624">
      <c r="A8624" s="1">
        <v>5.0</v>
      </c>
      <c r="B8624" s="1" t="s">
        <v>8553</v>
      </c>
      <c r="C8624" t="str">
        <f>IFERROR(__xludf.DUMMYFUNCTION("GOOGLETRANSLATE(B8624, ""es"", ""en"")"),"I liked the rounded corners compared to a Seagate already had. It is heated less than others I have Seagate disks and plastic looks better, I have several more because repeated purchase at another store ""component"" and for now, no change. Much more comf"&amp;"ortable to wear, I use them carelessly and go into the pockets of the jeans, the cables have not caught sags and for now has no fault whatsoever. If you need any more repeat fixed.")</f>
        <v>I liked the rounded corners compared to a Seagate already had. It is heated less than others I have Seagate disks and plastic looks better, I have several more because repeated purchase at another store "component" and for now, no change. Much more comfortable to wear, I use them carelessly and go into the pockets of the jeans, the cables have not caught sags and for now has no fault whatsoever. If you need any more repeat fixed.</v>
      </c>
    </row>
    <row r="8625">
      <c r="A8625" s="1">
        <v>2.0</v>
      </c>
      <c r="B8625" s="1" t="s">
        <v>8554</v>
      </c>
      <c r="C8625" t="str">
        <f>IFERROR(__xludf.DUMMYFUNCTION("GOOGLETRANSLATE(B8625, ""es"", ""en"")"),"Important to note fulfills its basic function but beware! I bought bananas because these are two screws to secure the cable but it turns out that if using a cable &amp; gt; 2.5 mm2 probably not be able to close the capsule because the protruding screw. In my "&amp;"case, 4mm2 cable had to leave without putting the lower screw to go down and screw the capsule. If trying to over tighten the screws may break. In addition, the package is conductive and can easily make a short amp if you leave the cables dangling bananas"&amp;". You'll have to isolate to avoid problems.")</f>
        <v>Important to note fulfills its basic function but beware! I bought bananas because these are two screws to secure the cable but it turns out that if using a cable &amp; gt; 2.5 mm2 probably not be able to close the capsule because the protruding screw. In my case, 4mm2 cable had to leave without putting the lower screw to go down and screw the capsule. If trying to over tighten the screws may break. In addition, the package is conductive and can easily make a short amp if you leave the cables dangling bananas. You'll have to isolate to avoid problems.</v>
      </c>
    </row>
    <row r="8626">
      <c r="A8626" s="1">
        <v>3.0</v>
      </c>
      <c r="B8626" s="1" t="s">
        <v>8555</v>
      </c>
      <c r="C8626" t="str">
        <f>IFERROR(__xludf.DUMMYFUNCTION("GOOGLETRANSLATE(B8626, ""es"", ""en"")"),"Expected plimsolls with rubber soles, nothing to charge 60 or 70 euros as they ask sometimes. A 23 Euros things change a little because the truth is that these products are an achievement of the R &amp; D + I of brands. Comfortable and simple, they can carry "&amp;"with Chinese, jeans or shorts and you're always well combined. That said, a good price worth")</f>
        <v>Expected plimsolls with rubber soles, nothing to charge 60 or 70 euros as they ask sometimes. A 23 Euros things change a little because the truth is that these products are an achievement of the R &amp; D + I of brands. Comfortable and simple, they can carry with Chinese, jeans or shorts and you're always well combined. That said, a good price worth</v>
      </c>
    </row>
    <row r="8627">
      <c r="A8627" s="1">
        <v>3.0</v>
      </c>
      <c r="B8627" s="1" t="s">
        <v>8556</v>
      </c>
      <c r="C8627" t="str">
        <f>IFERROR(__xludf.DUMMYFUNCTION("GOOGLETRANSLATE(B8627, ""es"", ""en"")"),"Ok value for money are great although a headset Van hear a little higher q the other are very comfortable")</f>
        <v>Ok value for money are great although a headset Van hear a little higher q the other are very comfortable</v>
      </c>
    </row>
    <row r="8628">
      <c r="A8628" s="1">
        <v>1.0</v>
      </c>
      <c r="B8628" s="1" t="s">
        <v>8557</v>
      </c>
      <c r="C8628" t="str">
        <f>IFERROR(__xludf.DUMMYFUNCTION("GOOGLETRANSLATE(B8628, ""es"", ""en"")"),"Not Original Samsung not listen well, are hard, makes noises moving the connector and sometimes stops listening. I think they should say they are not the originals. Not recommendable.")</f>
        <v>Not Original Samsung not listen well, are hard, makes noises moving the connector and sometimes stops listening. I think they should say they are not the originals. Not recommendable.</v>
      </c>
    </row>
    <row r="8629">
      <c r="A8629" s="1">
        <v>1.0</v>
      </c>
      <c r="B8629" s="1" t="s">
        <v>8558</v>
      </c>
      <c r="C8629" t="str">
        <f>IFERROR(__xludf.DUMMYFUNCTION("GOOGLETRANSLATE(B8629, ""es"", ""en"")"),"good quality. incorrect sizing The product was not European size indicated. The sizing is different.")</f>
        <v>good quality. incorrect sizing The product was not European size indicated. The sizing is different.</v>
      </c>
    </row>
    <row r="8630">
      <c r="A8630" s="1">
        <v>4.0</v>
      </c>
      <c r="B8630" s="1" t="s">
        <v>8559</v>
      </c>
      <c r="C8630" t="str">
        <f>IFERROR(__xludf.DUMMYFUNCTION("GOOGLETRANSLATE(B8630, ""es"", ""en"")"),"Good quality order fits what I wanted and fast delivery")</f>
        <v>Good quality order fits what I wanted and fast delivery</v>
      </c>
    </row>
    <row r="8631">
      <c r="A8631" s="1">
        <v>4.0</v>
      </c>
      <c r="B8631" s="1" t="s">
        <v>8560</v>
      </c>
      <c r="C8631" t="str">
        <f>IFERROR(__xludf.DUMMYFUNCTION("GOOGLETRANSLATE(B8631, ""es"", ""en"")"),"nice shoes Footwear is as it appears in the photos. He arrived before the expected date of delivery (plus point for the seller). It comes well packaged and wrapped inside. It comes with the invoice and a return sheet, if necessary, (plus point for the sel"&amp;"ler). The draft is comfortable, (although for now they are a little ""stiff"", but it's normal because they are new, will have to tame them, like all). The lacing system (shoelaces), is very practical and looks sturdy. As for durability, until you use the"&amp;"m for a while I can not help but comment, have a few hours, but if you hold up well, s in question would be five stars.")</f>
        <v>nice shoes Footwear is as it appears in the photos. He arrived before the expected date of delivery (plus point for the seller). It comes well packaged and wrapped inside. It comes with the invoice and a return sheet, if necessary, (plus point for the seller). The draft is comfortable, (although for now they are a little "stiff", but it's normal because they are new, will have to tame them, like all). The lacing system (shoelaces), is very practical and looks sturdy. As for durability, until you use them for a while I can not help but comment, have a few hours, but if you hold up well, s in question would be five stars.</v>
      </c>
    </row>
    <row r="8632">
      <c r="A8632" s="1">
        <v>4.0</v>
      </c>
      <c r="B8632" s="1" t="s">
        <v>8561</v>
      </c>
      <c r="C8632" t="str">
        <f>IFERROR(__xludf.DUMMYFUNCTION("GOOGLETRANSLATE(B8632, ""es"", ""en"")"),"Biem General Well, the part that protects the propeller should be completely closed because splashes")</f>
        <v>Biem General Well, the part that protects the propeller should be completely closed because splashes</v>
      </c>
    </row>
    <row r="8633">
      <c r="A8633" s="1">
        <v>4.0</v>
      </c>
      <c r="B8633" s="1" t="s">
        <v>8562</v>
      </c>
      <c r="C8633" t="str">
        <f>IFERROR(__xludf.DUMMYFUNCTION("GOOGLETRANSLATE(B8633, ""es"", ""en"")"),"It is very well placed. He has good genre. And is pretty good tends to stick to the body. And in navy blue it is very pretty. Da proven sufficient heat with temperature of 4 degrees. The only thing that you can not remove the cap. And the hairs are slight"&amp;"ly annoying; these if they can remove.")</f>
        <v>It is very well placed. He has good genre. And is pretty good tends to stick to the body. And in navy blue it is very pretty. Da proven sufficient heat with temperature of 4 degrees. The only thing that you can not remove the cap. And the hairs are slightly annoying; these if they can remove.</v>
      </c>
    </row>
    <row r="8634">
      <c r="A8634" s="1">
        <v>5.0</v>
      </c>
      <c r="B8634" s="1" t="s">
        <v>8563</v>
      </c>
      <c r="C8634" t="str">
        <f>IFERROR(__xludf.DUMMYFUNCTION("GOOGLETRANSLATE(B8634, ""es"", ""en"")"),"Quality good size and very good")</f>
        <v>Quality good size and very good</v>
      </c>
    </row>
    <row r="8635">
      <c r="A8635" s="1">
        <v>5.0</v>
      </c>
      <c r="B8635" s="1" t="s">
        <v>8564</v>
      </c>
      <c r="C8635" t="str">
        <f>IFERROR(__xludf.DUMMYFUNCTION("GOOGLETRANSLATE(B8635, ""es"", ""en"")"),"Weighs just. Hi. I bought for a 5 year old girl. It does not weigh much. The girl is very happy unless their parents because this all the time singing.")</f>
        <v>Weighs just. Hi. I bought for a 5 year old girl. It does not weigh much. The girl is very happy unless their parents because this all the time singing.</v>
      </c>
    </row>
    <row r="8636">
      <c r="A8636" s="1">
        <v>5.0</v>
      </c>
      <c r="B8636" s="1" t="s">
        <v>8565</v>
      </c>
      <c r="C8636" t="str">
        <f>IFERROR(__xludf.DUMMYFUNCTION("GOOGLETRANSLATE(B8636, ""es"", ""en"")"),"Amazing value very highly recommended, affordable microphone with superior quality to what you'd expect for the price. Studio has a perfect capture and outdoors is very good.")</f>
        <v>Amazing value very highly recommended, affordable microphone with superior quality to what you'd expect for the price. Studio has a perfect capture and outdoors is very good.</v>
      </c>
    </row>
    <row r="8637">
      <c r="A8637" s="1">
        <v>5.0</v>
      </c>
      <c r="B8637" s="1" t="s">
        <v>8566</v>
      </c>
      <c r="C8637" t="str">
        <f>IFERROR(__xludf.DUMMYFUNCTION("GOOGLETRANSLATE(B8637, ""es"", ""en"")"),"My best buy together with punker my best buy on Amazon along with the punker victsing speaker. The truth is what the braava 390T works wonders surpassing my expectations in all aspects only drawback is that would be fine tracking two buckets instead of on"&amp;"e, increase their autonomy, but overall perfect the device.")</f>
        <v>My best buy together with punker my best buy on Amazon along with the punker victsing speaker. The truth is what the braava 390T works wonders surpassing my expectations in all aspects only drawback is that would be fine tracking two buckets instead of one, increase their autonomy, but overall perfect the device.</v>
      </c>
    </row>
    <row r="8638">
      <c r="A8638" s="1">
        <v>5.0</v>
      </c>
      <c r="B8638" s="1" t="s">
        <v>8567</v>
      </c>
      <c r="C8638" t="str">
        <f>IFERROR(__xludf.DUMMYFUNCTION("GOOGLETRANSLATE(B8638, ""es"", ""en"")"),"Contenta I'm super happy with the purchase as it is fully consistent with what I needed")</f>
        <v>Contenta I'm super happy with the purchase as it is fully consistent with what I needed</v>
      </c>
    </row>
    <row r="8639">
      <c r="A8639" s="1">
        <v>5.0</v>
      </c>
      <c r="B8639" s="1" t="s">
        <v>8568</v>
      </c>
      <c r="C8639" t="str">
        <f>IFERROR(__xludf.DUMMYFUNCTION("GOOGLETRANSLATE(B8639, ""es"", ""en"")"),"Good quality headphones good price, good quality, comfortable and clear sound quality and power are matched easily with any phone, plus all have a good price.")</f>
        <v>Good quality headphones good price, good quality, comfortable and clear sound quality and power are matched easily with any phone, plus all have a good price.</v>
      </c>
    </row>
    <row r="8640">
      <c r="A8640" s="1">
        <v>5.0</v>
      </c>
      <c r="B8640" s="1" t="s">
        <v>8569</v>
      </c>
      <c r="C8640" t="str">
        <f>IFERROR(__xludf.DUMMYFUNCTION("GOOGLETRANSLATE(B8640, ""es"", ""en"")"),"Great price quality, perfectly fit and sound great")</f>
        <v>Great price quality, perfectly fit and sound great</v>
      </c>
    </row>
    <row r="8641">
      <c r="A8641" s="1">
        <v>5.0</v>
      </c>
      <c r="B8641" s="1" t="s">
        <v>8570</v>
      </c>
      <c r="C8641" t="str">
        <f>IFERROR(__xludf.DUMMYFUNCTION("GOOGLETRANSLATE(B8641, ""es"", ""en"")"),"Fantastic I loved")</f>
        <v>Fantastic I loved</v>
      </c>
    </row>
    <row r="8642">
      <c r="A8642" s="1">
        <v>5.0</v>
      </c>
      <c r="B8642" s="1" t="s">
        <v>8571</v>
      </c>
      <c r="C8642" t="str">
        <f>IFERROR(__xludf.DUMMYFUNCTION("GOOGLETRANSLATE(B8642, ""es"", ""en"")"),"Colorist very cute and comfortable, looks much ... now that the healing and esoteric part not see much, I bought it for aesthetics ...")</f>
        <v>Colorist very cute and comfortable, looks much ... now that the healing and esoteric part not see much, I bought it for aesthetics ...</v>
      </c>
    </row>
    <row r="8643">
      <c r="A8643" s="1">
        <v>5.0</v>
      </c>
      <c r="B8643" s="1" t="s">
        <v>8572</v>
      </c>
      <c r="C8643" t="str">
        <f>IFERROR(__xludf.DUMMYFUNCTION("GOOGLETRANSLATE(B8643, ""es"", ""en"")"),"Comfortable and practical is beautifully finished and also has a lot of departments in order to separate well each of the things you want to get into it.")</f>
        <v>Comfortable and practical is beautifully finished and also has a lot of departments in order to separate well each of the things you want to get into it.</v>
      </c>
    </row>
    <row r="8644">
      <c r="A8644" s="1">
        <v>5.0</v>
      </c>
      <c r="B8644" s="1" t="s">
        <v>8573</v>
      </c>
      <c r="C8644" t="str">
        <f>IFERROR(__xludf.DUMMYFUNCTION("GOOGLETRANSLATE(B8644, ""es"", ""en"")"),"For adults and children microphone was a gift of communion, as a surprise for karaoke singing. The sound was quite good and the mode of operation is simple and easy. For those who understood a little more, with sound effects they enjoyed great time. In pa"&amp;"rticular, the ""eco"" mode to the tombolas fair was applauded. In the end we used it both children and adults !!")</f>
        <v>For adults and children microphone was a gift of communion, as a surprise for karaoke singing. The sound was quite good and the mode of operation is simple and easy. For those who understood a little more, with sound effects they enjoyed great time. In particular, the "eco" mode to the tombolas fair was applauded. In the end we used it both children and adults !!</v>
      </c>
    </row>
    <row r="8645">
      <c r="A8645" s="1">
        <v>5.0</v>
      </c>
      <c r="B8645" s="1" t="s">
        <v>8574</v>
      </c>
      <c r="C8645" t="str">
        <f>IFERROR(__xludf.DUMMYFUNCTION("GOOGLETRANSLATE(B8645, ""es"", ""en"")"),"Plastic removes scratches from the box car speedometer. It is amazing. He scratches removed the speedometer. I recommend it.")</f>
        <v>Plastic removes scratches from the box car speedometer. It is amazing. He scratches removed the speedometer. I recommend it.</v>
      </c>
    </row>
    <row r="8646">
      <c r="A8646" s="1">
        <v>5.0</v>
      </c>
      <c r="B8646" s="1" t="s">
        <v>8575</v>
      </c>
      <c r="C8646" t="str">
        <f>IFERROR(__xludf.DUMMYFUNCTION("GOOGLETRANSLATE(B8646, ""es"", ""en"")"),"Compatible tag good finish. They fit perfectly. right delivery time. Very satisfied.")</f>
        <v>Compatible tag good finish. They fit perfectly. right delivery time. Very satisfied.</v>
      </c>
    </row>
    <row r="8647">
      <c r="A8647" s="1">
        <v>5.0</v>
      </c>
      <c r="B8647" s="1" t="s">
        <v>8576</v>
      </c>
      <c r="C8647" t="str">
        <f>IFERROR(__xludf.DUMMYFUNCTION("GOOGLETRANSLATE(B8647, ""es"", ""en"")"),"Nice, well presented, a good gift. Frankly nice, the chain is sturdy and the finish is very worked. It comes in a box presented. A very good buy. Loved the gift.")</f>
        <v>Nice, well presented, a good gift. Frankly nice, the chain is sturdy and the finish is very worked. It comes in a box presented. A very good buy. Loved the gift.</v>
      </c>
    </row>
    <row r="8648">
      <c r="A8648" s="1">
        <v>5.0</v>
      </c>
      <c r="B8648" s="1" t="s">
        <v>8577</v>
      </c>
      <c r="C8648" t="str">
        <f>IFERROR(__xludf.DUMMYFUNCTION("GOOGLETRANSLATE(B8648, ""es"", ""en"")"),"to reach a deal with the seller and arrived well before time and money is well question the material, you perspire much better recommend ordering a size more")</f>
        <v>to reach a deal with the seller and arrived well before time and money is well question the material, you perspire much better recommend ordering a size more</v>
      </c>
    </row>
    <row r="8649">
      <c r="A8649" s="1">
        <v>5.0</v>
      </c>
      <c r="B8649" s="1" t="s">
        <v>8578</v>
      </c>
      <c r="C8649" t="str">
        <f>IFERROR(__xludf.DUMMYFUNCTION("GOOGLETRANSLATE(B8649, ""es"", ""en"")"),"Better than I expected Like everything that Amazon offers, this product deserves a 10. He needed to lower a flat timber for rail and has solved my problem. Very powerful and manageable.")</f>
        <v>Better than I expected Like everything that Amazon offers, this product deserves a 10. He needed to lower a flat timber for rail and has solved my problem. Very powerful and manageable.</v>
      </c>
    </row>
    <row r="8650">
      <c r="A8650" s="1">
        <v>5.0</v>
      </c>
      <c r="B8650" s="1" t="s">
        <v>8579</v>
      </c>
      <c r="C8650" t="str">
        <f>IFERROR(__xludf.DUMMYFUNCTION("GOOGLETRANSLATE(B8650, ""es"", ""en"")"),"Design and comfort Good article and nice")</f>
        <v>Design and comfort Good article and nice</v>
      </c>
    </row>
    <row r="8651">
      <c r="A8651" s="1">
        <v>5.0</v>
      </c>
      <c r="B8651" s="1" t="s">
        <v>8580</v>
      </c>
      <c r="C8651" t="str">
        <f>IFERROR(__xludf.DUMMYFUNCTION("GOOGLETRANSLATE(B8651, ""es"", ""en"")"),"CDs that can only be recorded once CDs are good quality as expected from Verbatim. All I want to say is that if someone does not know yet: These CDs can be recorded only 1 time, you can not delete or add files. It does not matter if you only put a file an"&amp;"d give it to burn, the space left blank when recording the CD can not be completed at another time. Make sure you take advantage to the maximum.")</f>
        <v>CDs that can only be recorded once CDs are good quality as expected from Verbatim. All I want to say is that if someone does not know yet: These CDs can be recorded only 1 time, you can not delete or add files. It does not matter if you only put a file and give it to burn, the space left blank when recording the CD can not be completed at another time. Make sure you take advantage to the maximum.</v>
      </c>
    </row>
    <row r="8652">
      <c r="A8652" s="1">
        <v>5.0</v>
      </c>
      <c r="B8652" s="1" t="s">
        <v>8581</v>
      </c>
      <c r="C8652" t="str">
        <f>IFERROR(__xludf.DUMMYFUNCTION("GOOGLETRANSLATE(B8652, ""es"", ""en"")"),"Very good product. Casio is the lifetime with a very striking and beautiful color. If it is true that the engagement of the strap comes in black, but even so, is not unsightly. It is a watch for years, the quality of casio.")</f>
        <v>Very good product. Casio is the lifetime with a very striking and beautiful color. If it is true that the engagement of the strap comes in black, but even so, is not unsightly. It is a watch for years, the quality of casio.</v>
      </c>
    </row>
    <row r="8653">
      <c r="A8653" s="1">
        <v>2.0</v>
      </c>
      <c r="B8653" s="1" t="s">
        <v>8582</v>
      </c>
      <c r="C8653" t="str">
        <f>IFERROR(__xludf.DUMMYFUNCTION("GOOGLETRANSLATE(B8653, ""es"", ""en"")"),"The material of the garment was a gift but I was a little disappointed. Zipper very current and bad. It has none lining.")</f>
        <v>The material of the garment was a gift but I was a little disappointed. Zipper very current and bad. It has none lining.</v>
      </c>
    </row>
    <row r="8654">
      <c r="A8654" s="1">
        <v>3.0</v>
      </c>
      <c r="B8654" s="1" t="s">
        <v>8583</v>
      </c>
      <c r="C8654" t="str">
        <f>IFERROR(__xludf.DUMMYFUNCTION("GOOGLETRANSLATE(B8654, ""es"", ""en"")"),"Well, but ... The cable is fine for the price. But I only lasted 9 months (no contacts) using it as much twice a week in rehearsals. if not buy another of the same brand.")</f>
        <v>Well, but ... The cable is fine for the price. But I only lasted 9 months (no contacts) using it as much twice a week in rehearsals. if not buy another of the same brand.</v>
      </c>
    </row>
    <row r="8655">
      <c r="A8655" s="1">
        <v>3.0</v>
      </c>
      <c r="B8655" s="1" t="s">
        <v>8584</v>
      </c>
      <c r="C8655" t="str">
        <f>IFERROR(__xludf.DUMMYFUNCTION("GOOGLETRANSLATE(B8655, ""es"", ""en"")"),"It creates ardor is not miraculous, nothing more, and I would say at skin level, not muscle. But that sometimes makes you forget you had another mild pain in the area. Cure does not cure anything;) Apply a little without overdoing it because it is true th"&amp;"at it is extra strong, at the beginning may seem to do nothing but suddenly hits.")</f>
        <v>It creates ardor is not miraculous, nothing more, and I would say at skin level, not muscle. But that sometimes makes you forget you had another mild pain in the area. Cure does not cure anything;) Apply a little without overdoing it because it is true that it is extra strong, at the beginning may seem to do nothing but suddenly hits.</v>
      </c>
    </row>
    <row r="8656">
      <c r="A8656" s="1">
        <v>1.0</v>
      </c>
      <c r="B8656" s="1" t="s">
        <v>8585</v>
      </c>
      <c r="C8656" t="str">
        <f>IFERROR(__xludf.DUMMYFUNCTION("GOOGLETRANSLATE(B8656, ""es"", ""en"")"),"tiny tiny")</f>
        <v>tiny tiny</v>
      </c>
    </row>
    <row r="8657">
      <c r="A8657" s="1">
        <v>1.0</v>
      </c>
      <c r="B8657" s="1" t="s">
        <v>8586</v>
      </c>
      <c r="C8657" t="str">
        <f>IFERROR(__xludf.DUMMYFUNCTION("GOOGLETRANSLATE(B8657, ""es"", ""en"")"),"Disappointed bought the earlier version of this usb, the Sandisk Extreme 3.0 and is a thousand times better than this. The transfer rate is 4MB / s, film 4GB takes 15 min to go. It is very slow and not get themselves reach speeds of 3.1, it seems to have "&amp;"a USB 2.0 rather than 3.1. I do not recommend purchase.")</f>
        <v>Disappointed bought the earlier version of this usb, the Sandisk Extreme 3.0 and is a thousand times better than this. The transfer rate is 4MB / s, film 4GB takes 15 min to go. It is very slow and not get themselves reach speeds of 3.1, it seems to have a USB 2.0 rather than 3.1. I do not recommend purchase.</v>
      </c>
    </row>
    <row r="8658">
      <c r="A8658" s="1">
        <v>4.0</v>
      </c>
      <c r="B8658" s="1" t="s">
        <v>8587</v>
      </c>
      <c r="C8658" t="str">
        <f>IFERROR(__xludf.DUMMYFUNCTION("GOOGLETRANSLATE(B8658, ""es"", ""en"")"),"Product correct correct Sizing (102-104 cm chest have, I measure 1.76 and weight 77 kg). The fabric is quite thin, but it's what I wanted (to use in the spring)")</f>
        <v>Product correct correct Sizing (102-104 cm chest have, I measure 1.76 and weight 77 kg). The fabric is quite thin, but it's what I wanted (to use in the spring)</v>
      </c>
    </row>
    <row r="8659">
      <c r="A8659" s="1">
        <v>4.0</v>
      </c>
      <c r="B8659" s="1" t="s">
        <v>8588</v>
      </c>
      <c r="C8659" t="str">
        <f>IFERROR(__xludf.DUMMYFUNCTION("GOOGLETRANSLATE(B8659, ""es"", ""en"")"),"Very useful and convenient is effective and very comfortable. Before I was too lazy to prepare an infusion or tea. Now it is very fast. I've come too far to boil water to make pasta or rice. Very useful. more than I imagined")</f>
        <v>Very useful and convenient is effective and very comfortable. Before I was too lazy to prepare an infusion or tea. Now it is very fast. I've come too far to boil water to make pasta or rice. Very useful. more than I imagined</v>
      </c>
    </row>
    <row r="8660">
      <c r="A8660" s="1">
        <v>4.0</v>
      </c>
      <c r="B8660" s="1" t="s">
        <v>8589</v>
      </c>
      <c r="C8660" t="str">
        <f>IFERROR(__xludf.DUMMYFUNCTION("GOOGLETRANSLATE(B8660, ""es"", ""en"")"),"Perfect Perfect expectations he has come on time, money excellent")</f>
        <v>Perfect Perfect expectations he has come on time, money excellent</v>
      </c>
    </row>
    <row r="8661">
      <c r="A8661" s="1">
        <v>4.0</v>
      </c>
      <c r="B8661" s="1" t="s">
        <v>8590</v>
      </c>
      <c r="C8661" t="str">
        <f>IFERROR(__xludf.DUMMYFUNCTION("GOOGLETRANSLATE(B8661, ""es"", ""en"")"),"For everyday life, very good for walking or sitting are very good. The sound quality is surprisingly good for its price and are quite resistant to shock. Although the volume control I do not use, does not bother the bearer of these headphones. For exercis"&amp;"e, they are good, do not move or fall (do not give problems). I recommend for all people doing sport unprofessional.")</f>
        <v>For everyday life, very good for walking or sitting are very good. The sound quality is surprisingly good for its price and are quite resistant to shock. Although the volume control I do not use, does not bother the bearer of these headphones. For exercise, they are good, do not move or fall (do not give problems). I recommend for all people doing sport unprofessional.</v>
      </c>
    </row>
    <row r="8662">
      <c r="A8662" s="1">
        <v>4.0</v>
      </c>
      <c r="B8662" s="1" t="s">
        <v>8591</v>
      </c>
      <c r="C8662" t="str">
        <f>IFERROR(__xludf.DUMMYFUNCTION("GOOGLETRANSLATE(B8662, ""es"", ""en"")"),"José The product conforms to advertising. Economic. Practical. You can immerse yourself smoothly. Take into account the circumference for those who have little doll.")</f>
        <v>José The product conforms to advertising. Economic. Practical. You can immerse yourself smoothly. Take into account the circumference for those who have little doll.</v>
      </c>
    </row>
    <row r="8663">
      <c r="A8663" s="1">
        <v>5.0</v>
      </c>
      <c r="B8663" s="1" t="s">
        <v>8592</v>
      </c>
      <c r="C8663" t="str">
        <f>IFERROR(__xludf.DUMMYFUNCTION("GOOGLETRANSLATE(B8663, ""es"", ""en"")"),"Very good product Genisl")</f>
        <v>Very good product Genisl</v>
      </c>
    </row>
    <row r="8664">
      <c r="A8664" s="1">
        <v>5.0</v>
      </c>
      <c r="B8664" s="1" t="s">
        <v>8593</v>
      </c>
      <c r="C8664" t="str">
        <f>IFERROR(__xludf.DUMMYFUNCTION("GOOGLETRANSLATE(B8664, ""es"", ""en"")"),"Good collar necklace is cane, cuantito saw my girlfriend likes me, looks bigger on the photo than in person has good acavados and bad is the cord a little thin but otherwise this shulissimo things that brings the cagita: Cleaner of the hanging, a small gi"&amp;"ft bag and tie to give it away and a magnificent box")</f>
        <v>Good collar necklace is cane, cuantito saw my girlfriend likes me, looks bigger on the photo than in person has good acavados and bad is the cord a little thin but otherwise this shulissimo things that brings the cagita: Cleaner of the hanging, a small gift bag and tie to give it away and a magnificent box</v>
      </c>
    </row>
    <row r="8665">
      <c r="A8665" s="1">
        <v>5.0</v>
      </c>
      <c r="B8665" s="1" t="s">
        <v>8594</v>
      </c>
      <c r="C8665" t="str">
        <f>IFERROR(__xludf.DUMMYFUNCTION("GOOGLETRANSLATE(B8665, ""es"", ""en"")"),"Perfect gift for teen and older are already several helmets of this type that I bought to give away between my nephews. In particular the latter are the best I've found in relacción the money. They are very comfortable and easy to match to the Mobile tele"&amp;"fiono. To contorlarlos simply have to press the case to start and pause music. The sound is pretty good and no connection outages occur. I use them in the office and I guess because of their pads and their shape, get completely isolate myself from outside"&amp;" noise, allowing me to hear my music and concentrame. I think a perfect choice to listen to music and answer the phone in a comfortable way.")</f>
        <v>Perfect gift for teen and older are already several helmets of this type that I bought to give away between my nephews. In particular the latter are the best I've found in relacción the money. They are very comfortable and easy to match to the Mobile telefiono. To contorlarlos simply have to press the case to start and pause music. The sound is pretty good and no connection outages occur. I use them in the office and I guess because of their pads and their shape, get completely isolate myself from outside noise, allowing me to hear my music and concentrame. I think a perfect choice to listen to music and answer the phone in a comfortable way.</v>
      </c>
    </row>
    <row r="8666">
      <c r="A8666" s="1">
        <v>5.0</v>
      </c>
      <c r="B8666" s="1" t="s">
        <v>8595</v>
      </c>
      <c r="C8666" t="str">
        <f>IFERROR(__xludf.DUMMYFUNCTION("GOOGLETRANSLATE(B8666, ""es"", ""en"")"),"Powerful is very powerful. Level one is already very powerful. Well loaded. It delivers what it promises, I recommend it.")</f>
        <v>Powerful is very powerful. Level one is already very powerful. Well loaded. It delivers what it promises, I recommend it.</v>
      </c>
    </row>
    <row r="8667">
      <c r="A8667" s="1">
        <v>5.0</v>
      </c>
      <c r="B8667" s="1" t="s">
        <v>8596</v>
      </c>
      <c r="C8667" t="str">
        <f>IFERROR(__xludf.DUMMYFUNCTION("GOOGLETRANSLATE(B8667, ""es"", ""en"")"),"Great Great stretcher. It is very complete and has an ideal size. It's a bit heavy to carry on foot. It is made of material good enough and supports kilos. Soundless and comes with cover so it is appreciated. It looks pretty tough and wood or make noise. "&amp;"Highly recommended.")</f>
        <v>Great Great stretcher. It is very complete and has an ideal size. It's a bit heavy to carry on foot. It is made of material good enough and supports kilos. Soundless and comes with cover so it is appreciated. It looks pretty tough and wood or make noise. Highly recommended.</v>
      </c>
    </row>
    <row r="8668">
      <c r="A8668" s="1">
        <v>5.0</v>
      </c>
      <c r="B8668" s="1" t="s">
        <v>8597</v>
      </c>
      <c r="C8668" t="str">
        <f>IFERROR(__xludf.DUMMYFUNCTION("GOOGLETRANSLATE(B8668, ""es"", ""en"")"),"I love both its design and comfort I love. Just what i was looking for. They go with everything ... looking for a dresser and comfortable shoe. I walk a lot with them and this bridge are spectacular. The only advise half size smaller. I usually use 40 I t"&amp;"ried it in a store and I went big and bought the 39'5 and I are perfect. Delighted with them !!")</f>
        <v>I love both its design and comfort I love. Just what i was looking for. They go with everything ... looking for a dresser and comfortable shoe. I walk a lot with them and this bridge are spectacular. The only advise half size smaller. I usually use 40 I tried it in a store and I went big and bought the 39'5 and I are perfect. Delighted with them !!</v>
      </c>
    </row>
    <row r="8669">
      <c r="A8669" s="1">
        <v>5.0</v>
      </c>
      <c r="B8669" s="1" t="s">
        <v>8598</v>
      </c>
      <c r="C8669" t="str">
        <f>IFERROR(__xludf.DUMMYFUNCTION("GOOGLETRANSLATE(B8669, ""es"", ""en"")"),"PERFECTLY MEETS HIS ROLE can not fault anything about the product, very good price and do their job perfectly. Seen the price I bought one for each floor of the house, was tired of walking up and down with them.")</f>
        <v>PERFECTLY MEETS HIS ROLE can not fault anything about the product, very good price and do their job perfectly. Seen the price I bought one for each floor of the house, was tired of walking up and down with them.</v>
      </c>
    </row>
    <row r="8670">
      <c r="A8670" s="1">
        <v>5.0</v>
      </c>
      <c r="B8670" s="1" t="s">
        <v>8599</v>
      </c>
      <c r="C8670" t="str">
        <f>IFERROR(__xludf.DUMMYFUNCTION("GOOGLETRANSLATE(B8670, ""es"", ""en"")"),"Watch Viceroy Great. Very elegant and masculine")</f>
        <v>Watch Viceroy Great. Very elegant and masculine</v>
      </c>
    </row>
    <row r="8671">
      <c r="A8671" s="1">
        <v>5.0</v>
      </c>
      <c r="B8671" s="1" t="s">
        <v>8600</v>
      </c>
      <c r="C8671" t="str">
        <f>IFERROR(__xludf.DUMMYFUNCTION("GOOGLETRANSLATE(B8671, ""es"", ""en"")"),"rapidisimo delivery and quality very fast shipping and product as described in the announcement. Very happy as it was for a gift and happy ha. Thank you very much and recommended 100%")</f>
        <v>rapidisimo delivery and quality very fast shipping and product as described in the announcement. Very happy as it was for a gift and happy ha. Thank you very much and recommended 100%</v>
      </c>
    </row>
    <row r="8672">
      <c r="A8672" s="1">
        <v>5.0</v>
      </c>
      <c r="B8672" s="1" t="s">
        <v>4143</v>
      </c>
      <c r="C8672" t="str">
        <f>IFERROR(__xludf.DUMMYFUNCTION("GOOGLETRANSLATE(B8672, ""es"", ""en"")"),"All ok all ok")</f>
        <v>All ok all ok</v>
      </c>
    </row>
    <row r="8673">
      <c r="A8673" s="1">
        <v>5.0</v>
      </c>
      <c r="B8673" s="1" t="s">
        <v>8601</v>
      </c>
      <c r="C8673" t="str">
        <f>IFERROR(__xludf.DUMMYFUNCTION("GOOGLETRANSLATE(B8673, ""es"", ""en"")"),"Very good! Perfect")</f>
        <v>Very good! Perfect</v>
      </c>
    </row>
    <row r="8674">
      <c r="A8674" s="1">
        <v>5.0</v>
      </c>
      <c r="B8674" s="1" t="s">
        <v>8602</v>
      </c>
      <c r="C8674" t="str">
        <f>IFERROR(__xludf.DUMMYFUNCTION("GOOGLETRANSLATE(B8674, ""es"", ""en"")"),"Comfortable and fun. Very nice.")</f>
        <v>Comfortable and fun. Very nice.</v>
      </c>
    </row>
    <row r="8675">
      <c r="A8675" s="1">
        <v>5.0</v>
      </c>
      <c r="B8675" s="1" t="s">
        <v>8603</v>
      </c>
      <c r="C8675" t="str">
        <f>IFERROR(__xludf.DUMMYFUNCTION("GOOGLETRANSLATE(B8675, ""es"", ""en"")"),"Earrings woman earrings are beautiful and have a very original design, arrived in 2 days once the order placed, are of good quality")</f>
        <v>Earrings woman earrings are beautiful and have a very original design, arrived in 2 days once the order placed, are of good quality</v>
      </c>
    </row>
    <row r="8676">
      <c r="A8676" s="1">
        <v>5.0</v>
      </c>
      <c r="B8676" s="1" t="s">
        <v>8604</v>
      </c>
      <c r="C8676" t="str">
        <f>IFERROR(__xludf.DUMMYFUNCTION("GOOGLETRANSLATE(B8676, ""es"", ""en"")"),"casio is the third to buy good price perfect delivery has little good light weight i can not ask for more e given an i liked.")</f>
        <v>casio is the third to buy good price perfect delivery has little good light weight i can not ask for more e given an i liked.</v>
      </c>
    </row>
    <row r="8677">
      <c r="A8677" s="1">
        <v>5.0</v>
      </c>
      <c r="B8677" s="1" t="s">
        <v>8605</v>
      </c>
      <c r="C8677" t="str">
        <f>IFERROR(__xludf.DUMMYFUNCTION("GOOGLETRANSLATE(B8677, ""es"", ""en"")"),"SENSATIONAL received the product in less than 24 hours and frankly, I could not resist to try it. In a nice box and an airtight jar with your spoon to separate power more easily, 60 patches are completely odorless gel. On clean, dry face, they can be easi"&amp;"ly applied in different areas: dark circles, around the nose, on the lips, ..... The first feeling is of great freshness. They left 15 to 20 minutes, which is the time it takes skin to absorb the entire gel patch, leaving a relief and hydration. At the re"&amp;"moval, a gentle massage is done in the area and really work ....... !!! the skin regains look much more relaxed and rested. Ingredients completely natural. My skin does not usually admit any cosmetic and these patches would not have caused any allergic re"&amp;"action. highly recommended")</f>
        <v>SENSATIONAL received the product in less than 24 hours and frankly, I could not resist to try it. In a nice box and an airtight jar with your spoon to separate power more easily, 60 patches are completely odorless gel. On clean, dry face, they can be easily applied in different areas: dark circles, around the nose, on the lips, ..... The first feeling is of great freshness. They left 15 to 20 minutes, which is the time it takes skin to absorb the entire gel patch, leaving a relief and hydration. At the removal, a gentle massage is done in the area and really work ....... !!! the skin regains look much more relaxed and rested. Ingredients completely natural. My skin does not usually admit any cosmetic and these patches would not have caused any allergic reaction. highly recommended</v>
      </c>
    </row>
    <row r="8678">
      <c r="A8678" s="1">
        <v>5.0</v>
      </c>
      <c r="B8678" s="1" t="s">
        <v>8606</v>
      </c>
      <c r="C8678" t="str">
        <f>IFERROR(__xludf.DUMMYFUNCTION("GOOGLETRANSLATE(B8678, ""es"", ""en"")"),"PC dramatic improvement Oldest buy to improve the speed of my computer. Changing the classic album lifelong this has been spectacular, the PC will me like a shot, starts up in seconds and all programs are loaded in a very short time before he needed almos"&amp;"t 5 minutes to operate in conditions without crashing. Recommended one hundred percent")</f>
        <v>PC dramatic improvement Oldest buy to improve the speed of my computer. Changing the classic album lifelong this has been spectacular, the PC will me like a shot, starts up in seconds and all programs are loaded in a very short time before he needed almost 5 minutes to operate in conditions without crashing. Recommended one hundred percent</v>
      </c>
    </row>
    <row r="8679">
      <c r="A8679" s="1">
        <v>5.0</v>
      </c>
      <c r="B8679" s="1" t="s">
        <v>8607</v>
      </c>
      <c r="C8679" t="str">
        <f>IFERROR(__xludf.DUMMYFUNCTION("GOOGLETRANSLATE(B8679, ""es"", ""en"")"),"Normalillo okay to leave a timely step in something but does not remove hair (dog) to one hundred percent, you have to give many past and still eliminate 60 percent.")</f>
        <v>Normalillo okay to leave a timely step in something but does not remove hair (dog) to one hundred percent, you have to give many past and still eliminate 60 percent.</v>
      </c>
    </row>
    <row r="8680">
      <c r="A8680" s="1">
        <v>5.0</v>
      </c>
      <c r="B8680" s="1" t="s">
        <v>8608</v>
      </c>
      <c r="C8680" t="str">
        <f>IFERROR(__xludf.DUMMYFUNCTION("GOOGLETRANSLATE(B8680, ""es"", ""en"")"),"It works perfectly perfect. The product is indicating such.")</f>
        <v>It works perfectly perfect. The product is indicating such.</v>
      </c>
    </row>
    <row r="8681">
      <c r="A8681" s="1">
        <v>5.0</v>
      </c>
      <c r="B8681" s="1" t="s">
        <v>8609</v>
      </c>
      <c r="C8681" t="str">
        <f>IFERROR(__xludf.DUMMYFUNCTION("GOOGLETRANSLATE(B8681, ""es"", ""en"")"),"Super remain comfortable beautiful beautiful")</f>
        <v>Super remain comfortable beautiful beautiful</v>
      </c>
    </row>
    <row r="8682">
      <c r="A8682" s="1">
        <v>2.0</v>
      </c>
      <c r="B8682" s="1" t="s">
        <v>8610</v>
      </c>
      <c r="C8682" t="str">
        <f>IFERROR(__xludf.DUMMYFUNCTION("GOOGLETRANSLATE(B8682, ""es"", ""en"")"),"Overpriced for what they are. I seem overpriced for what they are. M size is too big for me and squeezes S hip, very rare ... The fabric looks strong in principle but put not so much. In short, I do not like anything. I will not buy one I recommend.")</f>
        <v>Overpriced for what they are. I seem overpriced for what they are. M size is too big for me and squeezes S hip, very rare ... The fabric looks strong in principle but put not so much. In short, I do not like anything. I will not buy one I recommend.</v>
      </c>
    </row>
    <row r="8683">
      <c r="A8683" s="1">
        <v>3.0</v>
      </c>
      <c r="B8683" s="1" t="s">
        <v>8611</v>
      </c>
      <c r="C8683" t="str">
        <f>IFERROR(__xludf.DUMMYFUNCTION("GOOGLETRANSLATE(B8683, ""es"", ""en"")"),"Banding robust than it does the job, but not perfectly Banding course fulfills its function, but has the problem that often does not cut the tape to the first intention and therefore spends more tape than desirable. At the beginning I thought that my prob"&amp;"lem was a lack of skill, but after several months of use I still going on. I recommend it because it does the job for an affordable price, but as just explained, not perfection.")</f>
        <v>Banding robust than it does the job, but not perfectly Banding course fulfills its function, but has the problem that often does not cut the tape to the first intention and therefore spends more tape than desirable. At the beginning I thought that my problem was a lack of skill, but after several months of use I still going on. I recommend it because it does the job for an affordable price, but as just explained, not perfection.</v>
      </c>
    </row>
    <row r="8684">
      <c r="A8684" s="1">
        <v>1.0</v>
      </c>
      <c r="B8684" s="1" t="s">
        <v>8612</v>
      </c>
      <c r="C8684" t="str">
        <f>IFERROR(__xludf.DUMMYFUNCTION("GOOGLETRANSLATE(B8684, ""es"", ""en"")"),"POOR QUALITY THE FIRST TIME USING THE RODS for whipping cream stops working. THE POWERFUL AND IS NOT MINCER is basically useless. I do not advise PURCHASE FOR NOTHING.")</f>
        <v>POOR QUALITY THE FIRST TIME USING THE RODS for whipping cream stops working. THE POWERFUL AND IS NOT MINCER is basically useless. I do not advise PURCHASE FOR NOTHING.</v>
      </c>
    </row>
    <row r="8685">
      <c r="A8685" s="1">
        <v>1.0</v>
      </c>
      <c r="B8685" s="1" t="s">
        <v>8613</v>
      </c>
      <c r="C8685" t="str">
        <f>IFERROR(__xludf.DUMMYFUNCTION("GOOGLETRANSLATE(B8685, ""es"", ""en"")"),"Very bad back at the beginning well .. When I went to use, uff .. not shrink well, bad smells much plastic and all dererido remains dangerous ... let's not worth it, I asked for a refund now aver the seller ..")</f>
        <v>Very bad back at the beginning well .. When I went to use, uff .. not shrink well, bad smells much plastic and all dererido remains dangerous ... let's not worth it, I asked for a refund now aver the seller ..</v>
      </c>
    </row>
    <row r="8686">
      <c r="A8686" s="1">
        <v>1.0</v>
      </c>
      <c r="B8686" s="1" t="s">
        <v>8614</v>
      </c>
      <c r="C8686" t="str">
        <f>IFERROR(__xludf.DUMMYFUNCTION("GOOGLETRANSLATE(B8686, ""es"", ""en"")"),"I was broken in less than a month. construction materials and little robust. For starters, the stick is telescopic to enter into the shipping box. There was no way to ride and stay fixed. I had to change it to one of ordinary broom. On the other hand, the"&amp;" pedal mechanism broke in less than a month, with very occasional use, like 2-3 times a week. The invention is good and worked well until it broke. The quality of materials is very bad and the recently robust.")</f>
        <v>I was broken in less than a month. construction materials and little robust. For starters, the stick is telescopic to enter into the shipping box. There was no way to ride and stay fixed. I had to change it to one of ordinary broom. On the other hand, the pedal mechanism broke in less than a month, with very occasional use, like 2-3 times a week. The invention is good and worked well until it broke. The quality of materials is very bad and the recently robust.</v>
      </c>
    </row>
    <row r="8687">
      <c r="A8687" s="1">
        <v>4.0</v>
      </c>
      <c r="B8687" s="1" t="s">
        <v>8615</v>
      </c>
      <c r="C8687" t="str">
        <f>IFERROR(__xludf.DUMMYFUNCTION("GOOGLETRANSLATE(B8687, ""es"", ""en"")"),"Very useful bath house")</f>
        <v>Very useful bath house</v>
      </c>
    </row>
    <row r="8688">
      <c r="A8688" s="1">
        <v>4.0</v>
      </c>
      <c r="B8688" s="1" t="s">
        <v>8616</v>
      </c>
      <c r="C8688" t="str">
        <f>IFERROR(__xludf.DUMMYFUNCTION("GOOGLETRANSLATE(B8688, ""es"", ""en"")"),"Preciazo I've bought for my father, I like shoes can easily clean material. It has more breathable for summer, but seeing the price of these, lunged for them. I was the order because of the brand and style has already had several and always say they love "&amp;"for meals and practicality. So great everything! Recommended for people who walk or greater than the use to stroll.")</f>
        <v>Preciazo I've bought for my father, I like shoes can easily clean material. It has more breathable for summer, but seeing the price of these, lunged for them. I was the order because of the brand and style has already had several and always say they love for meals and practicality. So great everything! Recommended for people who walk or greater than the use to stroll.</v>
      </c>
    </row>
    <row r="8689">
      <c r="A8689" s="1">
        <v>4.0</v>
      </c>
      <c r="B8689" s="1" t="s">
        <v>8617</v>
      </c>
      <c r="C8689" t="str">
        <f>IFERROR(__xludf.DUMMYFUNCTION("GOOGLETRANSLATE(B8689, ""es"", ""en"")"),"Very nice very nice and looks good neck d my wife, it is something small chain m not mind paying a little more and bigger chain, but price you have is superb")</f>
        <v>Very nice very nice and looks good neck d my wife, it is something small chain m not mind paying a little more and bigger chain, but price you have is superb</v>
      </c>
    </row>
    <row r="8690">
      <c r="A8690" s="1">
        <v>4.0</v>
      </c>
      <c r="B8690" s="1" t="s">
        <v>8618</v>
      </c>
      <c r="C8690" t="str">
        <f>IFERROR(__xludf.DUMMYFUNCTION("GOOGLETRANSLATE(B8690, ""es"", ""en"")"),"OJO TALLAN MIDGET sneakers are amazing: comfortable and beautiful. The only problem is carving smaller than normal. I usually wear size 41 and ordered the 42 because I saw comments that had to order a number more than usual. The truth that I serve but ave"&amp;"rage number more would not hurt (in this case is not available), so I recommend ordering number and a half more than usual.")</f>
        <v>OJO TALLAN MIDGET sneakers are amazing: comfortable and beautiful. The only problem is carving smaller than normal. I usually wear size 41 and ordered the 42 because I saw comments that had to order a number more than usual. The truth that I serve but average number more would not hurt (in this case is not available), so I recommend ordering number and a half more than usual.</v>
      </c>
    </row>
    <row r="8691">
      <c r="A8691" s="1">
        <v>4.0</v>
      </c>
      <c r="B8691" s="1" t="s">
        <v>8619</v>
      </c>
      <c r="C8691" t="str">
        <f>IFERROR(__xludf.DUMMYFUNCTION("GOOGLETRANSLATE(B8691, ""es"", ""en"")"),"Meets expectations management settings it is easier than I expected. The brightness is more than enough. It has a very interesting option that can completely turn off the lights digits overnight. The variety and quality of tone alarm melodies is perhaps t"&amp;"he weakest point.")</f>
        <v>Meets expectations management settings it is easier than I expected. The brightness is more than enough. It has a very interesting option that can completely turn off the lights digits overnight. The variety and quality of tone alarm melodies is perhaps the weakest point.</v>
      </c>
    </row>
    <row r="8692">
      <c r="A8692" s="1">
        <v>5.0</v>
      </c>
      <c r="B8692" s="1" t="s">
        <v>8620</v>
      </c>
      <c r="C8692" t="str">
        <f>IFERROR(__xludf.DUMMYFUNCTION("GOOGLETRANSLATE(B8692, ""es"", ""en"")"),"Hit yes or yes. I liked that fit perfectly in my ear. You can run them without falling. I use to run and go to the gym. Also for home and listen to the radio at night. A pair up the remove them immediately, a touch pause two passes song. Perfect with Spot"&amp;"ify. Nothing attract attention, to me that's a plus. They are listening to audio great, good volume and good bass. I wanted to buy some clones of airpods but I decided to play it safe. I have the spark model and these truefree.")</f>
        <v>Hit yes or yes. I liked that fit perfectly in my ear. You can run them without falling. I use to run and go to the gym. Also for home and listen to the radio at night. A pair up the remove them immediately, a touch pause two passes song. Perfect with Spotify. Nothing attract attention, to me that's a plus. They are listening to audio great, good volume and good bass. I wanted to buy some clones of airpods but I decided to play it safe. I have the spark model and these truefree.</v>
      </c>
    </row>
    <row r="8693">
      <c r="A8693" s="1">
        <v>5.0</v>
      </c>
      <c r="B8693" s="1" t="s">
        <v>8621</v>
      </c>
      <c r="C8693" t="str">
        <f>IFERROR(__xludf.DUMMYFUNCTION("GOOGLETRANSLATE(B8693, ""es"", ""en"")"),"All good I had to return because it was not compatible with the computer for which I wanted. I did not get to try it.")</f>
        <v>All good I had to return because it was not compatible with the computer for which I wanted. I did not get to try it.</v>
      </c>
    </row>
    <row r="8694">
      <c r="A8694" s="1">
        <v>5.0</v>
      </c>
      <c r="B8694" s="1" t="s">
        <v>8622</v>
      </c>
      <c r="C8694" t="str">
        <f>IFERROR(__xludf.DUMMYFUNCTION("GOOGLETRANSLATE(B8694, ""es"", ""en"")"),"Much better than I expected These headphones in-Ear type are perfect for moving as if they were of this type would fall at any time. Jack Van 3.5 and the cable is quite long and have as half of the control cable.")</f>
        <v>Much better than I expected These headphones in-Ear type are perfect for moving as if they were of this type would fall at any time. Jack Van 3.5 and the cable is quite long and have as half of the control cable.</v>
      </c>
    </row>
    <row r="8695">
      <c r="A8695" s="1">
        <v>5.0</v>
      </c>
      <c r="B8695" s="1" t="s">
        <v>8623</v>
      </c>
      <c r="C8695" t="str">
        <f>IFERROR(__xludf.DUMMYFUNCTION("GOOGLETRANSLATE(B8695, ""es"", ""en"")"),"Ten times faster than a pendrive I have had occasion to copy within a week the same files on flash drives from SanDisk and Kingston brands and External Hard Drive 1TB Toshiba, and have found out firsthand that hard disk recording is about 10 times faster "&amp;"than flash drives as reputable brand. Moment external hard drives to win by a landslide pen drives in speed, storage capacity and price. I thought otherwise until I could disabuse me with my own eyes.")</f>
        <v>Ten times faster than a pendrive I have had occasion to copy within a week the same files on flash drives from SanDisk and Kingston brands and External Hard Drive 1TB Toshiba, and have found out firsthand that hard disk recording is about 10 times faster than flash drives as reputable brand. Moment external hard drives to win by a landslide pen drives in speed, storage capacity and price. I thought otherwise until I could disabuse me with my own eyes.</v>
      </c>
    </row>
    <row r="8696">
      <c r="A8696" s="1">
        <v>5.0</v>
      </c>
      <c r="B8696" s="1" t="s">
        <v>8624</v>
      </c>
      <c r="C8696" t="str">
        <f>IFERROR(__xludf.DUMMYFUNCTION("GOOGLETRANSLATE(B8696, ""es"", ""en"")"),"cheap price, well packaged and it works perfect. It works perfect, just like the original.")</f>
        <v>cheap price, well packaged and it works perfect. It works perfect, just like the original.</v>
      </c>
    </row>
    <row r="8697">
      <c r="A8697" s="1">
        <v>5.0</v>
      </c>
      <c r="B8697" s="1" t="s">
        <v>8625</v>
      </c>
      <c r="C8697" t="str">
        <f>IFERROR(__xludf.DUMMYFUNCTION("GOOGLETRANSLATE(B8697, ""es"", ""en"")"),"Very good I still perfect")</f>
        <v>Very good I still perfect</v>
      </c>
    </row>
    <row r="8698">
      <c r="A8698" s="1">
        <v>5.0</v>
      </c>
      <c r="B8698" s="1" t="s">
        <v>8626</v>
      </c>
      <c r="C8698" t="str">
        <f>IFERROR(__xludf.DUMMYFUNCTION("GOOGLETRANSLATE(B8698, ""es"", ""en"")"),"Well if perfect")</f>
        <v>Well if perfect</v>
      </c>
    </row>
    <row r="8699">
      <c r="A8699" s="1">
        <v>5.0</v>
      </c>
      <c r="B8699" s="1" t="s">
        <v>8627</v>
      </c>
      <c r="C8699" t="str">
        <f>IFERROR(__xludf.DUMMYFUNCTION("GOOGLETRANSLATE(B8699, ""es"", ""en"")"),"Comfortable and beautiful tracksuit tracksuit a very good fabric. Chubby enough for now for the winter and a very nice greyish. Bring fists and legs and hands in cjaqueta front zipper and laces in waist pants. A wash and iron it's not deteriorate nothing "&amp;"and stay as it was. Perfect for winter.")</f>
        <v>Comfortable and beautiful tracksuit tracksuit a very good fabric. Chubby enough for now for the winter and a very nice greyish. Bring fists and legs and hands in cjaqueta front zipper and laces in waist pants. A wash and iron it's not deteriorate nothing and stay as it was. Perfect for winter.</v>
      </c>
    </row>
    <row r="8700">
      <c r="A8700" s="1">
        <v>5.0</v>
      </c>
      <c r="B8700" s="1" t="s">
        <v>8628</v>
      </c>
      <c r="C8700" t="str">
        <f>IFERROR(__xludf.DUMMYFUNCTION("GOOGLETRANSLATE(B8700, ""es"", ""en"")"),". The color is slightly more pink than the picture, but it looks even better.")</f>
        <v>. The color is slightly more pink than the picture, but it looks even better.</v>
      </c>
    </row>
    <row r="8701">
      <c r="A8701" s="1">
        <v>5.0</v>
      </c>
      <c r="B8701" s="1" t="s">
        <v>8629</v>
      </c>
      <c r="C8701" t="str">
        <f>IFERROR(__xludf.DUMMYFUNCTION("GOOGLETRANSLATE(B8701, ""es"", ""en"")"),"New life for an old computer did not expect much improvement from the computer, which already has 10 years, installing this SSD, Windows 10 starts very fast, in seconds, when used to take more than one minute. A game that took in (not exaggerating) about "&amp;"half an hour boot, now takes less than a minute. I was thinking about retiring your computer because they think I could improve so dramatically ta. Pleasantly surprised")</f>
        <v>New life for an old computer did not expect much improvement from the computer, which already has 10 years, installing this SSD, Windows 10 starts very fast, in seconds, when used to take more than one minute. A game that took in (not exaggerating) about half an hour boot, now takes less than a minute. I was thinking about retiring your computer because they think I could improve so dramatically ta. Pleasantly surprised</v>
      </c>
    </row>
    <row r="8702">
      <c r="A8702" s="1">
        <v>5.0</v>
      </c>
      <c r="B8702" s="1" t="s">
        <v>238</v>
      </c>
      <c r="C8702" t="str">
        <f>IFERROR(__xludf.DUMMYFUNCTION("GOOGLETRANSLATE(B8702, ""es"", ""en"")"),"perfect perfect")</f>
        <v>perfect perfect</v>
      </c>
    </row>
    <row r="8703">
      <c r="A8703" s="1">
        <v>5.0</v>
      </c>
      <c r="B8703" s="1" t="s">
        <v>8630</v>
      </c>
      <c r="C8703" t="str">
        <f>IFERROR(__xludf.DUMMYFUNCTION("GOOGLETRANSLATE(B8703, ""es"", ""en"")"),"Right! Right!")</f>
        <v>Right! Right!</v>
      </c>
    </row>
    <row r="8704">
      <c r="A8704" s="1">
        <v>5.0</v>
      </c>
      <c r="B8704" s="1" t="s">
        <v>8631</v>
      </c>
      <c r="C8704" t="str">
        <f>IFERROR(__xludf.DUMMYFUNCTION("GOOGLETRANSLATE(B8704, ""es"", ""en"")"),"Fitness bracelet This bracelet is perfect for keeping track of your daily physical activity. Has many ways, including (football, tennis, basketball, cycling, fitness, etc...) In which you measure heart rate, calories burned, steps, time elapsed among othe"&amp;"rs. On the other hand you can also see the time, the degree they do in your city and monitor your sleep at night. The bracelet is loaded in a short time and its battery lasts a long time (over a week).")</f>
        <v>Fitness bracelet This bracelet is perfect for keeping track of your daily physical activity. Has many ways, including (football, tennis, basketball, cycling, fitness, etc...) In which you measure heart rate, calories burned, steps, time elapsed among others. On the other hand you can also see the time, the degree they do in your city and monitor your sleep at night. The bracelet is loaded in a short time and its battery lasts a long time (over a week).</v>
      </c>
    </row>
    <row r="8705">
      <c r="A8705" s="1">
        <v>5.0</v>
      </c>
      <c r="B8705" s="1" t="s">
        <v>8632</v>
      </c>
      <c r="C8705" t="str">
        <f>IFERROR(__xludf.DUMMYFUNCTION("GOOGLETRANSLATE(B8705, ""es"", ""en"")"),"Great perfect brush, efficient and easy to handle, with the handle gets very well.")</f>
        <v>Great perfect brush, efficient and easy to handle, with the handle gets very well.</v>
      </c>
    </row>
    <row r="8706">
      <c r="A8706" s="1">
        <v>5.0</v>
      </c>
      <c r="B8706" s="1" t="s">
        <v>8633</v>
      </c>
      <c r="C8706" t="str">
        <f>IFERROR(__xludf.DUMMYFUNCTION("GOOGLETRANSLATE(B8706, ""es"", ""en"")"),"A discovery! It is perfect. It is super comfortable and fits great. Plus it is very cheap. It is very difficult to find bras large sizes so good and so cheap. And I have 4 different models of this brand and I'm thrilled!")</f>
        <v>A discovery! It is perfect. It is super comfortable and fits great. Plus it is very cheap. It is very difficult to find bras large sizes so good and so cheap. And I have 4 different models of this brand and I'm thrilled!</v>
      </c>
    </row>
    <row r="8707">
      <c r="A8707" s="1">
        <v>5.0</v>
      </c>
      <c r="B8707" s="1" t="s">
        <v>8634</v>
      </c>
      <c r="C8707" t="str">
        <f>IFERROR(__xludf.DUMMYFUNCTION("GOOGLETRANSLATE(B8707, ""es"", ""en"")"),"Surprising excellent quality / price. We were wary at first because we were unaware the brand, but its operation is perfect, and the like extraction capacity and design. Fully recommended in my opinion.")</f>
        <v>Surprising excellent quality / price. We were wary at first because we were unaware the brand, but its operation is perfect, and the like extraction capacity and design. Fully recommended in my opinion.</v>
      </c>
    </row>
    <row r="8708">
      <c r="A8708" s="1">
        <v>5.0</v>
      </c>
      <c r="B8708" s="1" t="s">
        <v>8635</v>
      </c>
      <c r="C8708" t="str">
        <f>IFERROR(__xludf.DUMMYFUNCTION("GOOGLETRANSLATE(B8708, ""es"", ""en"")"),"Happy with purchase although I had to ask for a full size. First I asked for the size 47 which is what I always ask but were small, so I returned and asked if the 48 and these were perfect.")</f>
        <v>Happy with purchase although I had to ask for a full size. First I asked for the size 47 which is what I always ask but were small, so I returned and asked if the 48 and these were perfect.</v>
      </c>
    </row>
    <row r="8709">
      <c r="A8709" s="1">
        <v>5.0</v>
      </c>
      <c r="B8709" s="1" t="s">
        <v>8636</v>
      </c>
      <c r="C8709" t="str">
        <f>IFERROR(__xludf.DUMMYFUNCTION("GOOGLETRANSLATE(B8709, ""es"", ""en"")"),"Super cool is fine as expected. Q are cool and better price elsewhere. Very happy")</f>
        <v>Super cool is fine as expected. Q are cool and better price elsewhere. Very happy</v>
      </c>
    </row>
    <row r="8710">
      <c r="A8710" s="1">
        <v>2.0</v>
      </c>
      <c r="B8710" s="1" t="s">
        <v>8637</v>
      </c>
      <c r="C8710" t="str">
        <f>IFERROR(__xludf.DUMMYFUNCTION("GOOGLETRANSLATE(B8710, ""es"", ""en"")"),"Robusta I chose this blender for its guarantee ""pro"" and initially behaves well. It remains to be seen durability to make it really pro. It has not lasted six months, then I have to pull the ...")</f>
        <v>Robusta I chose this blender for its guarantee "pro" and initially behaves well. It remains to be seen durability to make it really pro. It has not lasted six months, then I have to pull the ...</v>
      </c>
    </row>
    <row r="8711">
      <c r="A8711" s="1">
        <v>3.0</v>
      </c>
      <c r="B8711" s="1" t="s">
        <v>8638</v>
      </c>
      <c r="C8711" t="str">
        <f>IFERROR(__xludf.DUMMYFUNCTION("GOOGLETRANSLATE(B8711, ""es"", ""en"")"),"Very small on whether the slopes are fine but are too small are just sticking in the lobe. Girls are worth. There I contacted the seller to return and there was no problem with it. The attention was very nice.")</f>
        <v>Very small on whether the slopes are fine but are too small are just sticking in the lobe. Girls are worth. There I contacted the seller to return and there was no problem with it. The attention was very nice.</v>
      </c>
    </row>
    <row r="8712">
      <c r="A8712" s="1">
        <v>3.0</v>
      </c>
      <c r="B8712" s="1" t="s">
        <v>8639</v>
      </c>
      <c r="C8712" t="str">
        <f>IFERROR(__xludf.DUMMYFUNCTION("GOOGLETRANSLATE(B8712, ""es"", ""en"")"),"good product but shoulder cuts have chosen this assessment, because I think the product is good, but a very big failure is the messenger bag is very short. There are people who like to have us lower waist bag and we also have the larger body. not hurt the"&amp;"m to think tall people and shoulder strap make it longer")</f>
        <v>good product but shoulder cuts have chosen this assessment, because I think the product is good, but a very big failure is the messenger bag is very short. There are people who like to have us lower waist bag and we also have the larger body. not hurt them to think tall people and shoulder strap make it longer</v>
      </c>
    </row>
    <row r="8713">
      <c r="A8713" s="1">
        <v>3.0</v>
      </c>
      <c r="B8713" s="1" t="s">
        <v>8640</v>
      </c>
      <c r="C8713" t="str">
        <f>IFERROR(__xludf.DUMMYFUNCTION("GOOGLETRANSLATE(B8713, ""es"", ""en"")"),"Jose Miguel has come at the right time, but comes in a fabric cover is scratched and not in a box, I wanted to gift, but the presentation will be very ugly if I present it as it is. As for the watch itself, it is that the materials are not very good, chro"&amp;"me seem painted, and the words are not recorded anything ... I hope it's tougher than it looks.")</f>
        <v>Jose Miguel has come at the right time, but comes in a fabric cover is scratched and not in a box, I wanted to gift, but the presentation will be very ugly if I present it as it is. As for the watch itself, it is that the materials are not very good, chrome seem painted, and the words are not recorded anything ... I hope it's tougher than it looks.</v>
      </c>
    </row>
    <row r="8714">
      <c r="A8714" s="1">
        <v>1.0</v>
      </c>
      <c r="B8714" s="1" t="s">
        <v>8641</v>
      </c>
      <c r="C8714" t="str">
        <f>IFERROR(__xludf.DUMMYFUNCTION("GOOGLETRANSLATE(B8714, ""es"", ""en"")"),"Bug Before 24 hours of operation was blocked the main switch and did not cut the current. So I had to return. The design looks fine but the quality leaves much to be desired, because it may be product manufactured in China.")</f>
        <v>Bug Before 24 hours of operation was blocked the main switch and did not cut the current. So I had to return. The design looks fine but the quality leaves much to be desired, because it may be product manufactured in China.</v>
      </c>
    </row>
    <row r="8715">
      <c r="A8715" s="1">
        <v>1.0</v>
      </c>
      <c r="B8715" s="1" t="s">
        <v>8642</v>
      </c>
      <c r="C8715" t="str">
        <f>IFERROR(__xludf.DUMMYFUNCTION("GOOGLETRANSLATE(B8715, ""es"", ""en"")"),"It is smaller sweatshirt indications that the vendor. It notes that is of very poor quality.")</f>
        <v>It is smaller sweatshirt indications that the vendor. It notes that is of very poor quality.</v>
      </c>
    </row>
    <row r="8716">
      <c r="A8716" s="1">
        <v>4.0</v>
      </c>
      <c r="B8716" s="1" t="s">
        <v>8643</v>
      </c>
      <c r="C8716" t="str">
        <f>IFERROR(__xludf.DUMMYFUNCTION("GOOGLETRANSLATE(B8716, ""es"", ""en"")"),"Value Ok. Value Ok. Good materials well finished. The would buy. Meets well the purpose for the purchase.")</f>
        <v>Value Ok. Value Ok. Good materials well finished. The would buy. Meets well the purpose for the purchase.</v>
      </c>
    </row>
    <row r="8717">
      <c r="A8717" s="1">
        <v>4.0</v>
      </c>
      <c r="B8717" s="1" t="s">
        <v>8644</v>
      </c>
      <c r="C8717" t="str">
        <f>IFERROR(__xludf.DUMMYFUNCTION("GOOGLETRANSLATE(B8717, ""es"", ""en"")"),"Money well spent I wear a month with him and so far so good. Of course I have some lack, to say the bezel is not anchored rotated with some rubbing the lumen of the needles and numbers somewhat sparse, lacking in my opinion a few millimeters in size for a"&amp;" doll man and what mechanical touches as I read in other reviews, I have submerged and ok, ok indicating normal date delayed for mechanical riding. But for the price it costs it is a perfect watch. I'm happy with it.")</f>
        <v>Money well spent I wear a month with him and so far so good. Of course I have some lack, to say the bezel is not anchored rotated with some rubbing the lumen of the needles and numbers somewhat sparse, lacking in my opinion a few millimeters in size for a doll man and what mechanical touches as I read in other reviews, I have submerged and ok, ok indicating normal date delayed for mechanical riding. But for the price it costs it is a perfect watch. I'm happy with it.</v>
      </c>
    </row>
    <row r="8718">
      <c r="A8718" s="1">
        <v>4.0</v>
      </c>
      <c r="B8718" s="1" t="s">
        <v>8645</v>
      </c>
      <c r="C8718" t="str">
        <f>IFERROR(__xludf.DUMMYFUNCTION("GOOGLETRANSLATE(B8718, ""es"", ""en"")"),"Super comfortable shoes and light Looks good though to spare a tad ahead. Less serious small size. They are shoes that size that if the buy for my mother who fits between 39 and 40 and grabbed 40 thinking he would be fine and so it proved. Comfortable, li"&amp;"ghtweight, perfect for walking.")</f>
        <v>Super comfortable shoes and light Looks good though to spare a tad ahead. Less serious small size. They are shoes that size that if the buy for my mother who fits between 39 and 40 and grabbed 40 thinking he would be fine and so it proved. Comfortable, lightweight, perfect for walking.</v>
      </c>
    </row>
    <row r="8719">
      <c r="A8719" s="1">
        <v>4.0</v>
      </c>
      <c r="B8719" s="1" t="s">
        <v>8646</v>
      </c>
      <c r="C8719" t="str">
        <f>IFERROR(__xludf.DUMMYFUNCTION("GOOGLETRANSLATE(B8719, ""es"", ""en"")"),"It's almost the perfect coffee The ""almost"" of the title is because, in my opinion, the amount of water used in heating is excessive, twice that used for a short coffee. Otherwise, a marvel that I recommend to those who, like me, want to enjoy a coffee "&amp;"house of the same quality as served in cafeterias.")</f>
        <v>It's almost the perfect coffee The "almost" of the title is because, in my opinion, the amount of water used in heating is excessive, twice that used for a short coffee. Otherwise, a marvel that I recommend to those who, like me, want to enjoy a coffee house of the same quality as served in cafeterias.</v>
      </c>
    </row>
    <row r="8720">
      <c r="A8720" s="1">
        <v>4.0</v>
      </c>
      <c r="B8720" s="1" t="s">
        <v>8647</v>
      </c>
      <c r="C8720" t="str">
        <f>IFERROR(__xludf.DUMMYFUNCTION("GOOGLETRANSLATE(B8720, ""es"", ""en"")"),"Gilma was a gift so I can not comment much, but the eye is very nice as you look at the picture, maybe a little pequeñode")</f>
        <v>Gilma was a gift so I can not comment much, but the eye is very nice as you look at the picture, maybe a little pequeñode</v>
      </c>
    </row>
    <row r="8721">
      <c r="A8721" s="1">
        <v>5.0</v>
      </c>
      <c r="B8721" s="1" t="s">
        <v>8648</v>
      </c>
      <c r="C8721" t="str">
        <f>IFERROR(__xludf.DUMMYFUNCTION("GOOGLETRANSLATE(B8721, ""es"", ""en"")"),"Good quality for low price I liked to be very cheap")</f>
        <v>Good quality for low price I liked to be very cheap</v>
      </c>
    </row>
    <row r="8722">
      <c r="A8722" s="1">
        <v>5.0</v>
      </c>
      <c r="B8722" s="1" t="s">
        <v>8649</v>
      </c>
      <c r="C8722" t="str">
        <f>IFERROR(__xludf.DUMMYFUNCTION("GOOGLETRANSLATE(B8722, ""es"", ""en"")"),"Conodidad longer have the same shoes in maroon and white and are very comfortable and I really like this model N-5923")</f>
        <v>Conodidad longer have the same shoes in maroon and white and are very comfortable and I really like this model N-5923</v>
      </c>
    </row>
    <row r="8723">
      <c r="A8723" s="1">
        <v>5.0</v>
      </c>
      <c r="B8723" s="1" t="s">
        <v>8650</v>
      </c>
      <c r="C8723" t="str">
        <f>IFERROR(__xludf.DUMMYFUNCTION("GOOGLETRANSLATE(B8723, ""es"", ""en"")"),"They are not originals day to have bought the put my they broke, have no 3 months and already broken me aside. They are not compared with true. Not bad to get out of trouble.")</f>
        <v>They are not originals day to have bought the put my they broke, have no 3 months and already broken me aside. They are not compared with true. Not bad to get out of trouble.</v>
      </c>
    </row>
    <row r="8724">
      <c r="A8724" s="1">
        <v>5.0</v>
      </c>
      <c r="B8724" s="1" t="s">
        <v>8651</v>
      </c>
      <c r="C8724" t="str">
        <f>IFERROR(__xludf.DUMMYFUNCTION("GOOGLETRANSLATE(B8724, ""es"", ""en"")"),"Surprise!!!!! The product did not resemble that of the announcement regarding the measures, I wanted it for their measures, which came turned out to be much bigger, so I was not served, the rest is as advertised, the 5 stars are for the very good availabl"&amp;"e to the vendor to fix the problem, I think that you also have to evaluate and make it clear and visible to other buyers, so this buyer, would buy other products with confidence, knowing that any problem responds as it has to be, without having to go to A"&amp;"mazon or anything.")</f>
        <v>Surprise!!!!! The product did not resemble that of the announcement regarding the measures, I wanted it for their measures, which came turned out to be much bigger, so I was not served, the rest is as advertised, the 5 stars are for the very good available to the vendor to fix the problem, I think that you also have to evaluate and make it clear and visible to other buyers, so this buyer, would buy other products with confidence, knowing that any problem responds as it has to be, without having to go to Amazon or anything.</v>
      </c>
    </row>
    <row r="8725">
      <c r="A8725" s="1">
        <v>5.0</v>
      </c>
      <c r="B8725" s="1" t="s">
        <v>8652</v>
      </c>
      <c r="C8725" t="str">
        <f>IFERROR(__xludf.DUMMYFUNCTION("GOOGLETRANSLATE(B8725, ""es"", ""en"")"),"As he expected. Every perfect moment, the clock as expected. The size is perfect, neither too large nor too small and the contrast of the gold and silver make it a very nice watch for my taste.")</f>
        <v>As he expected. Every perfect moment, the clock as expected. The size is perfect, neither too large nor too small and the contrast of the gold and silver make it a very nice watch for my taste.</v>
      </c>
    </row>
    <row r="8726">
      <c r="A8726" s="1">
        <v>5.0</v>
      </c>
      <c r="B8726" s="1" t="s">
        <v>8653</v>
      </c>
      <c r="C8726" t="str">
        <f>IFERROR(__xludf.DUMMYFUNCTION("GOOGLETRANSLATE(B8726, ""es"", ""en"")"),"Good jacket is perfect for a very affordable price")</f>
        <v>Good jacket is perfect for a very affordable price</v>
      </c>
    </row>
    <row r="8727">
      <c r="A8727" s="1">
        <v>5.0</v>
      </c>
      <c r="B8727" s="1" t="s">
        <v>8654</v>
      </c>
      <c r="C8727" t="str">
        <f>IFERROR(__xludf.DUMMYFUNCTION("GOOGLETRANSLATE(B8727, ""es"", ""en"")"),"Peefecto Perfect. Q The book also brings is to engage the body when we plugged.")</f>
        <v>Peefecto Perfect. Q The book also brings is to engage the body when we plugged.</v>
      </c>
    </row>
    <row r="8728">
      <c r="A8728" s="1">
        <v>5.0</v>
      </c>
      <c r="B8728" s="1" t="s">
        <v>8655</v>
      </c>
      <c r="C8728" t="str">
        <f>IFERROR(__xludf.DUMMYFUNCTION("GOOGLETRANSLATE(B8728, ""es"", ""en"")"),"Audio quality and autonomy. Perfect headphones for any use you want to give, sport, office, work, etc, etc. It has an excellent audio system and a very good noise reduction, training on the bike you can hold a conversation without noise problem of the win"&amp;"d. I output plus or minus 4 hours listening to music and I did not even low battery warning, so autonomy un 10. Bring your manual Spanish among other languages ​​and different sizes of adapters for each type of ear. It also comes with a pouch to store eve"&amp;"rything is very cool and cable to power and charge that brings High vevelocidad (I think they call it) but can be charged with any usb output plug 2 ah. Definitely would buy")</f>
        <v>Audio quality and autonomy. Perfect headphones for any use you want to give, sport, office, work, etc, etc. It has an excellent audio system and a very good noise reduction, training on the bike you can hold a conversation without noise problem of the wind. I output plus or minus 4 hours listening to music and I did not even low battery warning, so autonomy un 10. Bring your manual Spanish among other languages ​​and different sizes of adapters for each type of ear. It also comes with a pouch to store everything is very cool and cable to power and charge that brings High vevelocidad (I think they call it) but can be charged with any usb output plug 2 ah. Definitely would buy</v>
      </c>
    </row>
    <row r="8729">
      <c r="A8729" s="1">
        <v>5.0</v>
      </c>
      <c r="B8729" s="1" t="s">
        <v>8656</v>
      </c>
      <c r="C8729" t="str">
        <f>IFERROR(__xludf.DUMMYFUNCTION("GOOGLETRANSLATE(B8729, ""es"", ""en"")"),"Suabe and functional Last year we were looking at these pad for warmth at night and apply to painful areas, but it was running winter and leave it for this. This IMETEC pad is tiny (how an A3 sheet more or less) but does the job very well. In the box is t"&amp;"he pad itself with the control that is separate and easily connect with a ""click"". In the command it has only two buttons, the on-off and power. Pressing the power switch numbers above, and of course, the higher hotter. A level 1 is tempered, very nice,"&amp;" level 2 is already hot ... and for now is what I tried, but 2 is already warm enough for anything, and there are 3 more. A changing level takes several minutes to reach the desired level fast, so it is advisable to go slowly then it is harder to lose hea"&amp;"t, but of course, when you already know and know what level you need. The carpet is very very suabe, touch is like cotton used for wounds. It also comes with a FUNDIT for storage when not in use. The only bad thing is that as usual, you have to be careful"&amp;" if you use it for sleeping, not give it a sharp turn you can start the plug from the wall ... and well, although not consume too much, if you put it to the most are 110W, watch light bills. Yet you can stop worrying falling asleep, because as notifies th"&amp;"e manufacturer goes out only at 3 hours, just enough to warm the bed and sleep the rest of the time very comfortable.")</f>
        <v>Suabe and functional Last year we were looking at these pad for warmth at night and apply to painful areas, but it was running winter and leave it for this. This IMETEC pad is tiny (how an A3 sheet more or less) but does the job very well. In the box is the pad itself with the control that is separate and easily connect with a "click". In the command it has only two buttons, the on-off and power. Pressing the power switch numbers above, and of course, the higher hotter. A level 1 is tempered, very nice, level 2 is already hot ... and for now is what I tried, but 2 is already warm enough for anything, and there are 3 more. A changing level takes several minutes to reach the desired level fast, so it is advisable to go slowly then it is harder to lose heat, but of course, when you already know and know what level you need. The carpet is very very suabe, touch is like cotton used for wounds. It also comes with a FUNDIT for storage when not in use. The only bad thing is that as usual, you have to be careful if you use it for sleeping, not give it a sharp turn you can start the plug from the wall ... and well, although not consume too much, if you put it to the most are 110W, watch light bills. Yet you can stop worrying falling asleep, because as notifies the manufacturer goes out only at 3 hours, just enough to warm the bed and sleep the rest of the time very comfortable.</v>
      </c>
    </row>
    <row r="8730">
      <c r="A8730" s="1">
        <v>5.0</v>
      </c>
      <c r="B8730" s="1" t="s">
        <v>8657</v>
      </c>
      <c r="C8730" t="str">
        <f>IFERROR(__xludf.DUMMYFUNCTION("GOOGLETRANSLATE(B8730, ""es"", ""en"")"),"Comodos as seen")</f>
        <v>Comodos as seen</v>
      </c>
    </row>
    <row r="8731">
      <c r="A8731" s="1">
        <v>5.0</v>
      </c>
      <c r="B8731" s="1" t="s">
        <v>8658</v>
      </c>
      <c r="C8731" t="str">
        <f>IFERROR(__xludf.DUMMYFUNCTION("GOOGLETRANSLATE(B8731, ""es"", ""en"")"),"Impressive is perfect leaves no stain on the wall and adheres well")</f>
        <v>Impressive is perfect leaves no stain on the wall and adheres well</v>
      </c>
    </row>
    <row r="8732">
      <c r="A8732" s="1">
        <v>5.0</v>
      </c>
      <c r="B8732" s="1" t="s">
        <v>8659</v>
      </c>
      <c r="C8732" t="str">
        <f>IFERROR(__xludf.DUMMYFUNCTION("GOOGLETRANSLATE(B8732, ""es"", ""en"")"),"Good headphones and excellent customer care headphones meet what is expected of them. very intensively use, and I had no problems at any time in the quality of the sound, both reception and shipping. Surely they would most four stars because they are not "&amp;"perfect. The fifth is the attribute to the excellent service to the customer from the manufacturer. I had a little problem and I answered quickly and with a very satisfactory solution.")</f>
        <v>Good headphones and excellent customer care headphones meet what is expected of them. very intensively use, and I had no problems at any time in the quality of the sound, both reception and shipping. Surely they would most four stars because they are not perfect. The fifth is the attribute to the excellent service to the customer from the manufacturer. I had a little problem and I answered quickly and with a very satisfactory solution.</v>
      </c>
    </row>
    <row r="8733">
      <c r="A8733" s="1">
        <v>5.0</v>
      </c>
      <c r="B8733" s="1" t="s">
        <v>8660</v>
      </c>
      <c r="C8733" t="str">
        <f>IFERROR(__xludf.DUMMYFUNCTION("GOOGLETRANSLATE(B8733, ""es"", ""en"")"),"Stylish and practical Very elegant, practical, nice and good material. I will tell you with months of use")</f>
        <v>Stylish and practical Very elegant, practical, nice and good material. I will tell you with months of use</v>
      </c>
    </row>
    <row r="8734">
      <c r="A8734" s="1">
        <v>5.0</v>
      </c>
      <c r="B8734" s="1" t="s">
        <v>8661</v>
      </c>
      <c r="C8734" t="str">
        <f>IFERROR(__xludf.DUMMYFUNCTION("GOOGLETRANSLATE(B8734, ""es"", ""en"")"),"I found amazing headphones touch, voice command works perfectly and stop and continue with the touch part that I love, because it is not necessary to remove the cell to break them. Packaging and color are amazing, I really liked. On the other hand the qua"&amp;"lity of the sound and connectivity, are impeccable. The use jogging and have behaved perfectly.")</f>
        <v>I found amazing headphones touch, voice command works perfectly and stop and continue with the touch part that I love, because it is not necessary to remove the cell to break them. Packaging and color are amazing, I really liked. On the other hand the quality of the sound and connectivity, are impeccable. The use jogging and have behaved perfectly.</v>
      </c>
    </row>
    <row r="8735">
      <c r="A8735" s="1">
        <v>5.0</v>
      </c>
      <c r="B8735" s="1" t="s">
        <v>8662</v>
      </c>
      <c r="C8735" t="str">
        <f>IFERROR(__xludf.DUMMYFUNCTION("GOOGLETRANSLATE(B8735, ""es"", ""en"")"),"A great watch super fast shipping, immejorable value. A detail of the vendor to keep the sleeve without damage. It includes battery.")</f>
        <v>A great watch super fast shipping, immejorable value. A detail of the vendor to keep the sleeve without damage. It includes battery.</v>
      </c>
    </row>
    <row r="8736">
      <c r="A8736" s="1">
        <v>5.0</v>
      </c>
      <c r="B8736" s="1" t="s">
        <v>8663</v>
      </c>
      <c r="C8736" t="str">
        <f>IFERROR(__xludf.DUMMYFUNCTION("GOOGLETRANSLATE(B8736, ""es"", ""en"")"),"Cunple expectations Meets expectations")</f>
        <v>Cunple expectations Meets expectations</v>
      </c>
    </row>
    <row r="8737">
      <c r="A8737" s="1">
        <v>5.0</v>
      </c>
      <c r="B8737" s="1" t="s">
        <v>8664</v>
      </c>
      <c r="C8737" t="str">
        <f>IFERROR(__xludf.DUMMYFUNCTION("GOOGLETRANSLATE(B8737, ""es"", ""en"")"),"Perfect quality and functionality, touch only fails but otherwise passes the original. Brings even glue and screws")</f>
        <v>Perfect quality and functionality, touch only fails but otherwise passes the original. Brings even glue and screws</v>
      </c>
    </row>
    <row r="8738">
      <c r="A8738" s="1">
        <v>5.0</v>
      </c>
      <c r="B8738" s="1" t="s">
        <v>8665</v>
      </c>
      <c r="C8738" t="str">
        <f>IFERROR(__xludf.DUMMYFUNCTION("GOOGLETRANSLATE(B8738, ""es"", ""en"")"),"Wonderful. I would buy me love. I use it almost every day for the last about 2 months and as new. Only it has two speeds and one to ""shock"" but more than enough. It dismantles great. Definitely would buy")</f>
        <v>Wonderful. I would buy me love. I use it almost every day for the last about 2 months and as new. Only it has two speeds and one to "shock" but more than enough. It dismantles great. Definitely would buy</v>
      </c>
    </row>
    <row r="8739">
      <c r="A8739" s="1">
        <v>5.0</v>
      </c>
      <c r="B8739" s="1" t="s">
        <v>8666</v>
      </c>
      <c r="C8739" t="str">
        <f>IFERROR(__xludf.DUMMYFUNCTION("GOOGLETRANSLATE(B8739, ""es"", ""en"")"),"Adidas Superstar !!! Shoes are the hammer. Size table was a great help. The size 40 has slender feet. I have asked 401/3, it fits perfectly. Look good, you can wear any outfit. Absolute purchase recommendation.")</f>
        <v>Adidas Superstar !!! Shoes are the hammer. Size table was a great help. The size 40 has slender feet. I have asked 401/3, it fits perfectly. Look good, you can wear any outfit. Absolute purchase recommendation.</v>
      </c>
    </row>
    <row r="8740">
      <c r="A8740" s="1">
        <v>2.0</v>
      </c>
      <c r="B8740" s="1" t="s">
        <v>8667</v>
      </c>
      <c r="C8740" t="str">
        <f>IFERROR(__xludf.DUMMYFUNCTION("GOOGLETRANSLATE(B8740, ""es"", ""en"")"),"You hear not recommend, TOO Attaches.")</f>
        <v>You hear not recommend, TOO Attaches.</v>
      </c>
    </row>
    <row r="8741">
      <c r="A8741" s="1">
        <v>3.0</v>
      </c>
      <c r="B8741" s="1" t="s">
        <v>8668</v>
      </c>
      <c r="C8741" t="str">
        <f>IFERROR(__xludf.DUMMYFUNCTION("GOOGLETRANSLATE(B8741, ""es"", ""en"")"),"They are Chulis but are Chulis But weigh weigh a little why I put three ⭐")</f>
        <v>They are Chulis but are Chulis But weigh weigh a little why I put three ⭐</v>
      </c>
    </row>
    <row r="8742">
      <c r="A8742" s="1">
        <v>1.0</v>
      </c>
      <c r="B8742" s="1" t="s">
        <v>8669</v>
      </c>
      <c r="C8742" t="str">
        <f>IFERROR(__xludf.DUMMYFUNCTION("GOOGLETRANSLATE(B8742, ""es"", ""en"")"),"very small very bad uncomfortable and poorly finished")</f>
        <v>very small very bad uncomfortable and poorly finished</v>
      </c>
    </row>
    <row r="8743">
      <c r="A8743" s="1">
        <v>1.0</v>
      </c>
      <c r="B8743" s="1" t="s">
        <v>8670</v>
      </c>
      <c r="C8743" t="str">
        <f>IFERROR(__xludf.DUMMYFUNCTION("GOOGLETRANSLATE(B8743, ""es"", ""en"")"),"All they hear a lot of noise should buy them because supostamente reduzir noise, but all you hear me say demasido noise. I do not seem to be the official ...")</f>
        <v>All they hear a lot of noise should buy them because supostamente reduzir noise, but all you hear me say demasido noise. I do not seem to be the official ...</v>
      </c>
    </row>
    <row r="8744">
      <c r="A8744" s="1">
        <v>4.0</v>
      </c>
      <c r="B8744" s="1" t="s">
        <v>8671</v>
      </c>
      <c r="C8744" t="str">
        <f>IFERROR(__xludf.DUMMYFUNCTION("GOOGLETRANSLATE(B8744, ""es"", ""en"")"),"very good mixer but I had to return because it is out of the bearing grease. The truth is that I thought would be my companion for many years, but in six months has given me this problem. I requested the return.")</f>
        <v>very good mixer but I had to return because it is out of the bearing grease. The truth is that I thought would be my companion for many years, but in six months has given me this problem. I requested the return.</v>
      </c>
    </row>
    <row r="8745">
      <c r="A8745" s="1">
        <v>4.0</v>
      </c>
      <c r="B8745" s="1" t="s">
        <v>8672</v>
      </c>
      <c r="C8745" t="str">
        <f>IFERROR(__xludf.DUMMYFUNCTION("GOOGLETRANSLATE(B8745, ""es"", ""en"")"),"Good sound Especially considering the price, I find very recommendable iems. They have managed to leave ie8 in the drawer and it's much ....")</f>
        <v>Good sound Especially considering the price, I find very recommendable iems. They have managed to leave ie8 in the drawer and it's much ....</v>
      </c>
    </row>
    <row r="8746">
      <c r="A8746" s="1">
        <v>4.0</v>
      </c>
      <c r="B8746" s="1" t="s">
        <v>8673</v>
      </c>
      <c r="C8746" t="str">
        <f>IFERROR(__xludf.DUMMYFUNCTION("GOOGLETRANSLATE(B8746, ""es"", ""en"")"),"Very useful is useful for transporting documents without spoilage, enter many documents in one envelope, they are of good quality.")</f>
        <v>Very useful is useful for transporting documents without spoilage, enter many documents in one envelope, they are of good quality.</v>
      </c>
    </row>
    <row r="8747">
      <c r="A8747" s="1">
        <v>4.0</v>
      </c>
      <c r="B8747" s="1" t="s">
        <v>8674</v>
      </c>
      <c r="C8747" t="str">
        <f>IFERROR(__xludf.DUMMYFUNCTION("GOOGLETRANSLATE(B8747, ""es"", ""en"")"),"Simple, perfect for this price. For this sincerely price, it can not ask for more it does the job, but if looking for something powerful need some more W.")</f>
        <v>Simple, perfect for this price. For this sincerely price, it can not ask for more it does the job, but if looking for something powerful need some more W.</v>
      </c>
    </row>
    <row r="8748">
      <c r="A8748" s="1">
        <v>5.0</v>
      </c>
      <c r="B8748" s="1" t="s">
        <v>8675</v>
      </c>
      <c r="C8748" t="str">
        <f>IFERROR(__xludf.DUMMYFUNCTION("GOOGLETRANSLATE(B8748, ""es"", ""en"")"),"a little big size is a bit large but otherwise is perfect")</f>
        <v>a little big size is a bit large but otherwise is perfect</v>
      </c>
    </row>
    <row r="8749">
      <c r="A8749" s="1">
        <v>5.0</v>
      </c>
      <c r="B8749" s="1" t="s">
        <v>8676</v>
      </c>
      <c r="C8749" t="str">
        <f>IFERROR(__xludf.DUMMYFUNCTION("GOOGLETRANSLATE(B8749, ""es"", ""en"")"),"Super it has been very nice as detail christening")</f>
        <v>Super it has been very nice as detail christening</v>
      </c>
    </row>
    <row r="8750">
      <c r="A8750" s="1">
        <v>5.0</v>
      </c>
      <c r="B8750" s="1" t="s">
        <v>8677</v>
      </c>
      <c r="C8750" t="str">
        <f>IFERROR(__xludf.DUMMYFUNCTION("GOOGLETRANSLATE(B8750, ""es"", ""en"")"),"Very nice bracelet tous")</f>
        <v>Very nice bracelet tous</v>
      </c>
    </row>
    <row r="8751">
      <c r="A8751" s="1">
        <v>5.0</v>
      </c>
      <c r="B8751" s="1" t="s">
        <v>8678</v>
      </c>
      <c r="C8751" t="str">
        <f>IFERROR(__xludf.DUMMYFUNCTION("GOOGLETRANSLATE(B8751, ""es"", ""en"")"),"Excellent Excellent these bottles")</f>
        <v>Excellent Excellent these bottles</v>
      </c>
    </row>
    <row r="8752">
      <c r="A8752" s="1">
        <v>5.0</v>
      </c>
      <c r="B8752" s="1" t="s">
        <v>8679</v>
      </c>
      <c r="C8752" t="str">
        <f>IFERROR(__xludf.DUMMYFUNCTION("GOOGLETRANSLATE(B8752, ""es"", ""en"")"),"Perfect, highly recommended perfect, and the product .thanks very comfortable.")</f>
        <v>Perfect, highly recommended perfect, and the product .thanks very comfortable.</v>
      </c>
    </row>
    <row r="8753">
      <c r="A8753" s="1">
        <v>5.0</v>
      </c>
      <c r="B8753" s="1" t="s">
        <v>8680</v>
      </c>
      <c r="C8753" t="str">
        <f>IFERROR(__xludf.DUMMYFUNCTION("GOOGLETRANSLATE(B8753, ""es"", ""en"")"),"Very comfortable great")</f>
        <v>Very comfortable great</v>
      </c>
    </row>
    <row r="8754">
      <c r="A8754" s="1">
        <v>5.0</v>
      </c>
      <c r="B8754" s="1" t="s">
        <v>8681</v>
      </c>
      <c r="C8754" t="str">
        <f>IFERROR(__xludf.DUMMYFUNCTION("GOOGLETRANSLATE(B8754, ""es"", ""en"")"),"Good electric blanket electric blanket perfect for lumbar and cervical. The material is very soft and pleasant, like velvet. It fits perfectly to the body. It has temperature controller and timer. It comes with a fairly wide Velcro to attach it. Very good"&amp;" to relieve pain both dry heat and water to have vaporizandole humid heat.")</f>
        <v>Good electric blanket electric blanket perfect for lumbar and cervical. The material is very soft and pleasant, like velvet. It fits perfectly to the body. It has temperature controller and timer. It comes with a fairly wide Velcro to attach it. Very good to relieve pain both dry heat and water to have vaporizandole humid heat.</v>
      </c>
    </row>
    <row r="8755">
      <c r="A8755" s="1">
        <v>5.0</v>
      </c>
      <c r="B8755" s="1" t="s">
        <v>8682</v>
      </c>
      <c r="C8755" t="str">
        <f>IFERROR(__xludf.DUMMYFUNCTION("GOOGLETRANSLATE(B8755, ""es"", ""en"")"),"Quality and speed Very good SSD, very fast and easy assembly, glad now work on PC with this response speed, start w 10 almost instantaneous and heavy programs the same, highly recommended product, looking everywhere saw discs SSD cheaper but rare mark and"&amp;" since it was an investment in time, I decided on this brand, I think it is the best of the time.")</f>
        <v>Quality and speed Very good SSD, very fast and easy assembly, glad now work on PC with this response speed, start w 10 almost instantaneous and heavy programs the same, highly recommended product, looking everywhere saw discs SSD cheaper but rare mark and since it was an investment in time, I decided on this brand, I think it is the best of the time.</v>
      </c>
    </row>
    <row r="8756">
      <c r="A8756" s="1">
        <v>5.0</v>
      </c>
      <c r="B8756" s="1" t="s">
        <v>8683</v>
      </c>
      <c r="C8756" t="str">
        <f>IFERROR(__xludf.DUMMYFUNCTION("GOOGLETRANSLATE(B8756, ""es"", ""en"")"),"Comfortably Warm boots I like these cold winters. I look very calentitas for cotton inside, completely covering inside the boot. I asked another number and I fit perfectly, like all boots. I look very sturdy and comfortable. It has very good hold and grip"&amp;" the sole suitable for all terrains and antideslinzantes. I like a lot in general.")</f>
        <v>Comfortably Warm boots I like these cold winters. I look very calentitas for cotton inside, completely covering inside the boot. I asked another number and I fit perfectly, like all boots. I look very sturdy and comfortable. It has very good hold and grip the sole suitable for all terrains and antideslinzantes. I like a lot in general.</v>
      </c>
    </row>
    <row r="8757">
      <c r="A8757" s="1">
        <v>5.0</v>
      </c>
      <c r="B8757" s="1" t="s">
        <v>8684</v>
      </c>
      <c r="C8757" t="str">
        <f>IFERROR(__xludf.DUMMYFUNCTION("GOOGLETRANSLATE(B8757, ""es"", ""en"")"),"A pretty outstanding quality product as expected by Tous")</f>
        <v>A pretty outstanding quality product as expected by Tous</v>
      </c>
    </row>
    <row r="8758">
      <c r="A8758" s="1">
        <v>5.0</v>
      </c>
      <c r="B8758" s="1" t="s">
        <v>8685</v>
      </c>
      <c r="C8758" t="str">
        <f>IFERROR(__xludf.DUMMYFUNCTION("GOOGLETRANSLATE(B8758, ""es"", ""en"")"),"It was a gift and was delighted. He would have liked to whom I gave it")</f>
        <v>It was a gift and was delighted. He would have liked to whom I gave it</v>
      </c>
    </row>
    <row r="8759">
      <c r="A8759" s="1">
        <v>5.0</v>
      </c>
      <c r="B8759" s="1" t="s">
        <v>8686</v>
      </c>
      <c r="C8759" t="str">
        <f>IFERROR(__xludf.DUMMYFUNCTION("GOOGLETRANSLATE(B8759, ""es"", ""en"")"),"I really like the above, how comfortable it is.")</f>
        <v>I really like the above, how comfortable it is.</v>
      </c>
    </row>
    <row r="8760">
      <c r="A8760" s="1">
        <v>5.0</v>
      </c>
      <c r="B8760" s="1" t="s">
        <v>8687</v>
      </c>
      <c r="C8760" t="str">
        <f>IFERROR(__xludf.DUMMYFUNCTION("GOOGLETRANSLATE(B8760, ""es"", ""en"")"),"beautiful With special price, a gift. It seems that are smaller than shown in the picture. Very nice")</f>
        <v>beautiful With special price, a gift. It seems that are smaller than shown in the picture. Very nice</v>
      </c>
    </row>
    <row r="8761">
      <c r="A8761" s="1">
        <v>5.0</v>
      </c>
      <c r="B8761" s="1" t="s">
        <v>8688</v>
      </c>
      <c r="C8761" t="str">
        <f>IFERROR(__xludf.DUMMYFUNCTION("GOOGLETRANSLATE(B8761, ""es"", ""en"")"),"Small, useful and key 32Gb coming great for music, video and other backups. They have a fairly reliable carabiner and always carry on your keychain, so it is not lost. It is also very aesthetic, slender and silver.")</f>
        <v>Small, useful and key 32Gb coming great for music, video and other backups. They have a fairly reliable carabiner and always carry on your keychain, so it is not lost. It is also very aesthetic, slender and silver.</v>
      </c>
    </row>
    <row r="8762">
      <c r="A8762" s="1">
        <v>5.0</v>
      </c>
      <c r="B8762" s="1" t="s">
        <v>8689</v>
      </c>
      <c r="C8762" t="str">
        <f>IFERROR(__xludf.DUMMYFUNCTION("GOOGLETRANSLATE(B8762, ""es"", ""en"")"),"Best buy great, super cheap. Very comfortable, with two different cords")</f>
        <v>Best buy great, super cheap. Very comfortable, with two different cords</v>
      </c>
    </row>
    <row r="8763">
      <c r="A8763" s="1">
        <v>5.0</v>
      </c>
      <c r="B8763" s="1" t="s">
        <v>8690</v>
      </c>
      <c r="C8763" t="str">
        <f>IFERROR(__xludf.DUMMYFUNCTION("GOOGLETRANSLATE(B8763, ""es"", ""en"")"),"pretty Good")</f>
        <v>pretty Good</v>
      </c>
    </row>
    <row r="8764">
      <c r="A8764" s="1">
        <v>5.0</v>
      </c>
      <c r="B8764" s="1" t="s">
        <v>8691</v>
      </c>
      <c r="C8764" t="str">
        <f>IFERROR(__xludf.DUMMYFUNCTION("GOOGLETRANSLATE(B8764, ""es"", ""en"")"),"🖤💚 is very useful and perfect. I love")</f>
        <v>🖤💚 is very useful and perfect. I love</v>
      </c>
    </row>
    <row r="8765">
      <c r="A8765" s="1">
        <v>5.0</v>
      </c>
      <c r="B8765" s="1" t="s">
        <v>8692</v>
      </c>
      <c r="C8765" t="str">
        <f>IFERROR(__xludf.DUMMYFUNCTION("GOOGLETRANSLATE(B8765, ""es"", ""en"")"),"The product worth money is fine but come unstuck more than the original")</f>
        <v>The product worth money is fine but come unstuck more than the original</v>
      </c>
    </row>
    <row r="8766">
      <c r="A8766" s="1">
        <v>5.0</v>
      </c>
      <c r="B8766" s="1" t="s">
        <v>8693</v>
      </c>
      <c r="C8766" t="str">
        <f>IFERROR(__xludf.DUMMYFUNCTION("GOOGLETRANSLATE(B8766, ""es"", ""en"")"),"100% recommended testing the device took almost 1 week and the evolution of my wife is extraordinary, besides enjoy exercising, you can see all your evolution and that's something that motivates you. The app works very well and is very intuitive, I have a"&amp;"n iPhone and is luxury. I recommend buying any woman with postpartum problems of all kinds.")</f>
        <v>100% recommended testing the device took almost 1 week and the evolution of my wife is extraordinary, besides enjoy exercising, you can see all your evolution and that's something that motivates you. The app works very well and is very intuitive, I have an iPhone and is luxury. I recommend buying any woman with postpartum problems of all kinds.</v>
      </c>
    </row>
    <row r="8767">
      <c r="A8767" s="1">
        <v>2.0</v>
      </c>
      <c r="B8767" s="1" t="s">
        <v>8694</v>
      </c>
      <c r="C8767" t="str">
        <f>IFERROR(__xludf.DUMMYFUNCTION("GOOGLETRANSLATE(B8767, ""es"", ""en"")"),"David Andrade Le Goff To my opinion is very small and very little heat, warming much more ancient dagger, something good feel of the fabric, but another problem that comes unsheathed end .... It likes the colors")</f>
        <v>David Andrade Le Goff To my opinion is very small and very little heat, warming much more ancient dagger, something good feel of the fabric, but another problem that comes unsheathed end .... It likes the colors</v>
      </c>
    </row>
    <row r="8768">
      <c r="A8768" s="1">
        <v>3.0</v>
      </c>
      <c r="B8768" s="1" t="s">
        <v>8695</v>
      </c>
      <c r="C8768" t="str">
        <f>IFERROR(__xludf.DUMMYFUNCTION("GOOGLETRANSLATE(B8768, ""es"", ""en"")"),"Sound good ... nothing more statically go well, the sound is very good ... the problem I find in the materials ... I think the plastic used is very fine, I've seen better quality in Chinese headphones into something as JBL, it is that it is not the ""high"&amp;""" range but it really seems plastic that made the toys of children.")</f>
        <v>Sound good ... nothing more statically go well, the sound is very good ... the problem I find in the materials ... I think the plastic used is very fine, I've seen better quality in Chinese headphones into something as JBL, it is that it is not the "high" range but it really seems plastic that made the toys of children.</v>
      </c>
    </row>
    <row r="8769">
      <c r="A8769" s="1">
        <v>3.0</v>
      </c>
      <c r="B8769" s="1" t="s">
        <v>8696</v>
      </c>
      <c r="C8769" t="str">
        <f>IFERROR(__xludf.DUMMYFUNCTION("GOOGLETRANSLATE(B8769, ""es"", ""en"")"),"It is very nice The sphere has bright colors. The finish is very good. Only problem the sphere collides with the moon. Is almost perfect.")</f>
        <v>It is very nice The sphere has bright colors. The finish is very good. Only problem the sphere collides with the moon. Is almost perfect.</v>
      </c>
    </row>
    <row r="8770">
      <c r="A8770" s="1">
        <v>1.0</v>
      </c>
      <c r="B8770" s="1" t="s">
        <v>8697</v>
      </c>
      <c r="C8770" t="str">
        <f>IFERROR(__xludf.DUMMYFUNCTION("GOOGLETRANSLATE(B8770, ""es"", ""en"")"),"Two days usually last me headphones 9 to 12 months until they damaged the cable somewhere. These? I've used two days. Pathetic not following. I do not know if the problem of cable or connector, but they are of such poor quality, only to carry the phone in"&amp;" his pocket, the movement of the cable causes static crackles are heard. Besides, the button for handsfree looks like a toy. And despite being headphones that get in the ear, do not block any of the sound environment. Not advisable. Any other model of any"&amp;" brand is better than this.")</f>
        <v>Two days usually last me headphones 9 to 12 months until they damaged the cable somewhere. These? I've used two days. Pathetic not following. I do not know if the problem of cable or connector, but they are of such poor quality, only to carry the phone in his pocket, the movement of the cable causes static crackles are heard. Besides, the button for handsfree looks like a toy. And despite being headphones that get in the ear, do not block any of the sound environment. Not advisable. Any other model of any brand is better than this.</v>
      </c>
    </row>
    <row r="8771">
      <c r="A8771" s="1">
        <v>1.0</v>
      </c>
      <c r="B8771" s="1" t="s">
        <v>8698</v>
      </c>
      <c r="C8771" t="str">
        <f>IFERROR(__xludf.DUMMYFUNCTION("GOOGLETRANSLATE(B8771, ""es"", ""en"")"),"Uncomfortable uncomfortable, inflexible")</f>
        <v>Uncomfortable uncomfortable, inflexible</v>
      </c>
    </row>
    <row r="8772">
      <c r="A8772" s="1">
        <v>4.0</v>
      </c>
      <c r="B8772" s="1" t="s">
        <v>8699</v>
      </c>
      <c r="C8772" t="str">
        <f>IFERROR(__xludf.DUMMYFUNCTION("GOOGLETRANSLATE(B8772, ""es"", ""en"")"),"Good value for money. They hear me very well and they are lasting enough. I usually have problems with this type of headphones that hurt me, but I particularly these are very comfortable even when used for long hours, they do not bother me at all. The mat"&amp;"erial is of good quality and cable, although it may be too short, it is quite thick.")</f>
        <v>Good value for money. They hear me very well and they are lasting enough. I usually have problems with this type of headphones that hurt me, but I particularly these are very comfortable even when used for long hours, they do not bother me at all. The material is of good quality and cable, although it may be too short, it is quite thick.</v>
      </c>
    </row>
    <row r="8773">
      <c r="A8773" s="1">
        <v>4.0</v>
      </c>
      <c r="B8773" s="1" t="s">
        <v>8700</v>
      </c>
      <c r="C8773" t="str">
        <f>IFERROR(__xludf.DUMMYFUNCTION("GOOGLETRANSLATE(B8773, ""es"", ""en"")"),"Such a right which is shown in the photo. Great!!! Very easy to use the little ones.")</f>
        <v>Such a right which is shown in the photo. Great!!! Very easy to use the little ones.</v>
      </c>
    </row>
    <row r="8774">
      <c r="A8774" s="1">
        <v>4.0</v>
      </c>
      <c r="B8774" s="1" t="s">
        <v>8701</v>
      </c>
      <c r="C8774" t="str">
        <f>IFERROR(__xludf.DUMMYFUNCTION("GOOGLETRANSLATE(B8774, ""es"", ""en"")"),"Desirable for labeling objects")</f>
        <v>Desirable for labeling objects</v>
      </c>
    </row>
    <row r="8775">
      <c r="A8775" s="1">
        <v>4.0</v>
      </c>
      <c r="B8775" s="1" t="s">
        <v>8702</v>
      </c>
      <c r="C8775" t="str">
        <f>IFERROR(__xludf.DUMMYFUNCTION("GOOGLETRANSLATE(B8775, ""es"", ""en"")"),"NRO corresponds to a foot smaller nro is a little tight for my foot but just adapting because leatherette is not hard. I asked for a larger nro than mine because I had read other users who were small. My usual is No. 42 and this is a 43 and I do well, it'"&amp;"s like all I have of shoes 42.")</f>
        <v>NRO corresponds to a foot smaller nro is a little tight for my foot but just adapting because leatherette is not hard. I asked for a larger nro than mine because I had read other users who were small. My usual is No. 42 and this is a 43 and I do well, it's like all I have of shoes 42.</v>
      </c>
    </row>
    <row r="8776">
      <c r="A8776" s="1">
        <v>4.0</v>
      </c>
      <c r="B8776" s="1" t="s">
        <v>8703</v>
      </c>
      <c r="C8776" t="str">
        <f>IFERROR(__xludf.DUMMYFUNCTION("GOOGLETRANSLATE(B8776, ""es"", ""en"")"),"Irene Perfect for collecting milk extractor Medela, but do not use as bottle because my son does not like the nipple.")</f>
        <v>Irene Perfect for collecting milk extractor Medela, but do not use as bottle because my son does not like the nipple.</v>
      </c>
    </row>
    <row r="8777">
      <c r="A8777" s="1">
        <v>5.0</v>
      </c>
      <c r="B8777" s="1" t="s">
        <v>8704</v>
      </c>
      <c r="C8777" t="str">
        <f>IFERROR(__xludf.DUMMYFUNCTION("GOOGLETRANSLATE(B8777, ""es"", ""en"")"),"Good memory Good value for money in this product. It is a good kit to upgrade your RAM or install a new computer if you do not have very restrictive specifications")</f>
        <v>Good memory Good value for money in this product. It is a good kit to upgrade your RAM or install a new computer if you do not have very restrictive specifications</v>
      </c>
    </row>
    <row r="8778">
      <c r="A8778" s="1">
        <v>5.0</v>
      </c>
      <c r="B8778" s="1" t="s">
        <v>8705</v>
      </c>
      <c r="C8778" t="str">
        <f>IFERROR(__xludf.DUMMYFUNCTION("GOOGLETRANSLATE(B8778, ""es"", ""en"")"),"Mapping function laser very good and voice control with alexa works very well and is easy to set up, in a couple of cleanings has mapped the entire house and you can tell from the mobile to areas want linpie or areas that do not want to enter. It works ve"&amp;"ry well with voice Alexa and let clean the floor very quickly thanks to its two brushes that makes the past are wider than other robots that have only one. While the battery holds full cleaning my house * 108 meters * yes no noise as I use it in the same "&amp;"room as it is not better to put it very quiet when we're not home")</f>
        <v>Mapping function laser very good and voice control with alexa works very well and is easy to set up, in a couple of cleanings has mapped the entire house and you can tell from the mobile to areas want linpie or areas that do not want to enter. It works very well with voice Alexa and let clean the floor very quickly thanks to its two brushes that makes the past are wider than other robots that have only one. While the battery holds full cleaning my house * 108 meters * yes no noise as I use it in the same room as it is not better to put it very quiet when we're not home</v>
      </c>
    </row>
    <row r="8779">
      <c r="A8779" s="1">
        <v>5.0</v>
      </c>
      <c r="B8779" s="1" t="s">
        <v>8706</v>
      </c>
      <c r="C8779" t="str">
        <f>IFERROR(__xludf.DUMMYFUNCTION("GOOGLETRANSLATE(B8779, ""es"", ""en"")"),"Puma shoes I liked todo..la quality and design. Carve the cougar grande.eso if ... So more or less almost 2 numbers less than the one you use.")</f>
        <v>Puma shoes I liked todo..la quality and design. Carve the cougar grande.eso if ... So more or less almost 2 numbers less than the one you use.</v>
      </c>
    </row>
    <row r="8780">
      <c r="A8780" s="1">
        <v>5.0</v>
      </c>
      <c r="B8780" s="1" t="s">
        <v>8707</v>
      </c>
      <c r="C8780" t="str">
        <f>IFERROR(__xludf.DUMMYFUNCTION("GOOGLETRANSLATE(B8780, ""es"", ""en"")"),"I love a fine pendant, give it away to a friend and loved has so eager to get me one for my give me.")</f>
        <v>I love a fine pendant, give it away to a friend and loved has so eager to get me one for my give me.</v>
      </c>
    </row>
    <row r="8781">
      <c r="A8781" s="1">
        <v>5.0</v>
      </c>
      <c r="B8781" s="1" t="s">
        <v>8708</v>
      </c>
      <c r="C8781" t="str">
        <f>IFERROR(__xludf.DUMMYFUNCTION("GOOGLETRANSLATE(B8781, ""es"", ""en"")"),"Great Easy to clean, it serves the purpose for which is intended for: blending fluids in small embases. Particularly use it for milk tea, chocolate milk for my baby and for a nutritious smoothie with foam as if his best was flavor. Its design is beautiful"&amp;", the base price is functional and adequate.")</f>
        <v>Great Easy to clean, it serves the purpose for which is intended for: blending fluids in small embases. Particularly use it for milk tea, chocolate milk for my baby and for a nutritious smoothie with foam as if his best was flavor. Its design is beautiful, the base price is functional and adequate.</v>
      </c>
    </row>
    <row r="8782">
      <c r="A8782" s="1">
        <v>5.0</v>
      </c>
      <c r="B8782" s="1" t="s">
        <v>8709</v>
      </c>
      <c r="C8782" t="str">
        <f>IFERROR(__xludf.DUMMYFUNCTION("GOOGLETRANSLATE(B8782, ""es"", ""en"")"),"I loved the great clock. Nice, functional and very resistant. Solar charging is a great contribution, and the lunar phases as much. I recommend it to everyone who wants a watch daily.")</f>
        <v>I loved the great clock. Nice, functional and very resistant. Solar charging is a great contribution, and the lunar phases as much. I recommend it to everyone who wants a watch daily.</v>
      </c>
    </row>
    <row r="8783">
      <c r="A8783" s="1">
        <v>5.0</v>
      </c>
      <c r="B8783" s="1" t="s">
        <v>8710</v>
      </c>
      <c r="C8783" t="str">
        <f>IFERROR(__xludf.DUMMYFUNCTION("GOOGLETRANSLATE(B8783, ""es"", ""en"")"),"Super fast shipping good buy from one day to another, very pleased with purchase recommend the very nice and good quality flipflops")</f>
        <v>Super fast shipping good buy from one day to another, very pleased with purchase recommend the very nice and good quality flipflops</v>
      </c>
    </row>
    <row r="8784">
      <c r="A8784" s="1">
        <v>5.0</v>
      </c>
      <c r="B8784" s="1" t="s">
        <v>8711</v>
      </c>
      <c r="C8784" t="str">
        <f>IFERROR(__xludf.DUMMYFUNCTION("GOOGLETRANSLATE(B8784, ""es"", ""en"")"),"The size is perfect I love are comfy, ideal to carry around, the box is very tiny, has a surround sound with a long battery life with very rapid load super fast .If like me, listen to music or just looking answer the phone with a better quality than simpl"&amp;"y activating the speaker, this is a great option. Good points out the following: -Cómodos not fall, and not having cables are not constantly entangled. -Bluetooth matching very fast with mobile without password. Fast enough and charge-autonomy. Bring diff"&amp;"erent sizes of pads for perfect fit to anyone. - Comfortable to carry and store prays, the base is small and magnetised to attach headphones well and not lost. - pretty good sound quality. - Built-in microphone for hands-free that works very well. - Quick"&amp;" charge and comfortable enough to put them at the base and put it to load. - Comfortable ear. Cons - None at present. I have other wireless headsets, which are more expensive and now mostly use them. I chose these for good views and really do not let me d"&amp;"own. They are comfortable and fit well in the ear. I have had up to three hours straight posts and do not bother anything. The sound is pretty good and the battery lasts enough. I've had five to six hours and then I returned to the box to reload. The burd"&amp;"en is fairly quick compared to others I've had. I've used for phone and connect to the instant and call quality also very good. I use them mostly for mp3 music and TV and seamless connectivity. I said, a value very good, I say from experience with more ex"&amp;"pensive and more uncomfortable with less battery life models. Very satisfied now, I hope your life is acceptable.")</f>
        <v>The size is perfect I love are comfy, ideal to carry around, the box is very tiny, has a surround sound with a long battery life with very rapid load super fast .If like me, listen to music or just looking answer the phone with a better quality than simply activating the speaker, this is a great option. Good points out the following: -Cómodos not fall, and not having cables are not constantly entangled. -Bluetooth matching very fast with mobile without password. Fast enough and charge-autonomy. Bring different sizes of pads for perfect fit to anyone. - Comfortable to carry and store prays, the base is small and magnetised to attach headphones well and not lost. - pretty good sound quality. - Built-in microphone for hands-free that works very well. - Quick charge and comfortable enough to put them at the base and put it to load. - Comfortable ear. Cons - None at present. I have other wireless headsets, which are more expensive and now mostly use them. I chose these for good views and really do not let me down. They are comfortable and fit well in the ear. I have had up to three hours straight posts and do not bother anything. The sound is pretty good and the battery lasts enough. I've had five to six hours and then I returned to the box to reload. The burden is fairly quick compared to others I've had. I've used for phone and connect to the instant and call quality also very good. I use them mostly for mp3 music and TV and seamless connectivity. I said, a value very good, I say from experience with more expensive and more uncomfortable with less battery life models. Very satisfied now, I hope your life is acceptable.</v>
      </c>
    </row>
    <row r="8785">
      <c r="A8785" s="1">
        <v>5.0</v>
      </c>
      <c r="B8785" s="1" t="s">
        <v>8712</v>
      </c>
      <c r="C8785" t="str">
        <f>IFERROR(__xludf.DUMMYFUNCTION("GOOGLETRANSLATE(B8785, ""es"", ""en"")"),"Ballington The truth is that for the price that has surprised me and pleasantly, it's nice, quite big and it works perfectly. Strap I did not like the incrustes metal bearing because it gives an air of heavy metal but as he leads the pins removed and is q"&amp;"uite well without them. Appointed time came in perfectly in its case. Recommendable.")</f>
        <v>Ballington The truth is that for the price that has surprised me and pleasantly, it's nice, quite big and it works perfectly. Strap I did not like the incrustes metal bearing because it gives an air of heavy metal but as he leads the pins removed and is quite well without them. Appointed time came in perfectly in its case. Recommendable.</v>
      </c>
    </row>
    <row r="8786">
      <c r="A8786" s="1">
        <v>5.0</v>
      </c>
      <c r="B8786" s="1" t="s">
        <v>8713</v>
      </c>
      <c r="C8786" t="str">
        <f>IFERROR(__xludf.DUMMYFUNCTION("GOOGLETRANSLATE(B8786, ""es"", ""en"")"),"It works perfectly the moment everything perfect yet I have not installed on the inside of my Mac because I've left out USB for behavior, it shows how fast everything goes very smooth yes I was unable to clone all the old disk because the end I was wrong "&amp;"but I think when you install it inside and I download from scratch the operating system think everything will go well, so for now everything perfect change is noticed the system is much faster and windows and programs open fast also the start of the syste"&amp;"m is spectacular previously it took 2 minutes and 12 ""and now only takes 48"" later as I said earlier if all goes well as before and set it up inside the computer.")</f>
        <v>It works perfectly the moment everything perfect yet I have not installed on the inside of my Mac because I've left out USB for behavior, it shows how fast everything goes very smooth yes I was unable to clone all the old disk because the end I was wrong but I think when you install it inside and I download from scratch the operating system think everything will go well, so for now everything perfect change is noticed the system is much faster and windows and programs open fast also the start of the system is spectacular previously it took 2 minutes and 12 "and now only takes 48" later as I said earlier if all goes well as before and set it up inside the computer.</v>
      </c>
    </row>
    <row r="8787">
      <c r="A8787" s="1">
        <v>5.0</v>
      </c>
      <c r="B8787" s="1" t="s">
        <v>8714</v>
      </c>
      <c r="C8787" t="str">
        <f>IFERROR(__xludf.DUMMYFUNCTION("GOOGLETRANSLATE(B8787, ""es"", ""en"")"),"Very nice and fine Fantastic, I gave this medal to my wife and fascinated, I've spent more money on other occasions and I think this seemed the best. Contrasting collar and circle silver medal, with the gold of the tree and Swarovski crystals with tonalid"&amp;"adades abodes imitating the fruits, they do really cute. The size is perfect, is provided with the neck. The box containing the perfect necklace.")</f>
        <v>Very nice and fine Fantastic, I gave this medal to my wife and fascinated, I've spent more money on other occasions and I think this seemed the best. Contrasting collar and circle silver medal, with the gold of the tree and Swarovski crystals with tonalidadades abodes imitating the fruits, they do really cute. The size is perfect, is provided with the neck. The box containing the perfect necklace.</v>
      </c>
    </row>
    <row r="8788">
      <c r="A8788" s="1">
        <v>5.0</v>
      </c>
      <c r="B8788" s="1" t="s">
        <v>8715</v>
      </c>
      <c r="C8788" t="str">
        <f>IFERROR(__xludf.DUMMYFUNCTION("GOOGLETRANSLATE(B8788, ""es"", ""en"")"),"Content The product is very good quality, thickness and finishes. The adhesive is phenomenal and serves many types of work. 5 stars")</f>
        <v>Content The product is very good quality, thickness and finishes. The adhesive is phenomenal and serves many types of work. 5 stars</v>
      </c>
    </row>
    <row r="8789">
      <c r="A8789" s="1">
        <v>5.0</v>
      </c>
      <c r="B8789" s="1" t="s">
        <v>8716</v>
      </c>
      <c r="C8789" t="str">
        <f>IFERROR(__xludf.DUMMYFUNCTION("GOOGLETRANSLATE(B8789, ""es"", ""en"")"),"very comfortable very satisfied I recommend are amazing")</f>
        <v>very comfortable very satisfied I recommend are amazing</v>
      </c>
    </row>
    <row r="8790">
      <c r="A8790" s="1">
        <v>5.0</v>
      </c>
      <c r="B8790" s="1" t="s">
        <v>8717</v>
      </c>
      <c r="C8790" t="str">
        <f>IFERROR(__xludf.DUMMYFUNCTION("GOOGLETRANSLATE(B8790, ""es"", ""en"")"),"Price and quality unmatched favorably surprised me this watch. I wanted to have a digital clock in my collection and if it could be classic better. It is updated at night and its accuracy is very good. It has several programmable alarms and world time. It"&amp;" also has automatic lighting system that works when it detects that the light is low and bend the clock to see the time. In addition to all the reliability of having a G-Shock. Very happy")</f>
        <v>Price and quality unmatched favorably surprised me this watch. I wanted to have a digital clock in my collection and if it could be classic better. It is updated at night and its accuracy is very good. It has several programmable alarms and world time. It also has automatic lighting system that works when it detects that the light is low and bend the clock to see the time. In addition to all the reliability of having a G-Shock. Very happy</v>
      </c>
    </row>
    <row r="8791">
      <c r="A8791" s="1">
        <v>5.0</v>
      </c>
      <c r="B8791" s="1" t="s">
        <v>8718</v>
      </c>
      <c r="C8791" t="str">
        <f>IFERROR(__xludf.DUMMYFUNCTION("GOOGLETRANSLATE(B8791, ""es"", ""en"")"),"A useful and practical good complement for short trips or excursions, appropriately sized to carry things and not too heavy.")</f>
        <v>A useful and practical good complement for short trips or excursions, appropriately sized to carry things and not too heavy.</v>
      </c>
    </row>
    <row r="8792">
      <c r="A8792" s="1">
        <v>5.0</v>
      </c>
      <c r="B8792" s="1" t="s">
        <v>8719</v>
      </c>
      <c r="C8792" t="str">
        <f>IFERROR(__xludf.DUMMYFUNCTION("GOOGLETRANSLATE(B8792, ""es"", ""en"")"),"Original had lasted another 2 years, it is very convenient for those who work hours standing. Very nice color")</f>
        <v>Original had lasted another 2 years, it is very convenient for those who work hours standing. Very nice color</v>
      </c>
    </row>
    <row r="8793">
      <c r="A8793" s="1">
        <v>5.0</v>
      </c>
      <c r="B8793" s="1" t="s">
        <v>8720</v>
      </c>
      <c r="C8793" t="str">
        <f>IFERROR(__xludf.DUMMYFUNCTION("GOOGLETRANSLATE(B8793, ""es"", ""en"")"),"Easy assembly and tools Perfect for my smartwatch change image")</f>
        <v>Easy assembly and tools Perfect for my smartwatch change image</v>
      </c>
    </row>
    <row r="8794">
      <c r="A8794" s="1">
        <v>5.0</v>
      </c>
      <c r="B8794" s="1" t="s">
        <v>8721</v>
      </c>
      <c r="C8794" t="str">
        <f>IFERROR(__xludf.DUMMYFUNCTION("GOOGLETRANSLATE(B8794, ""es"", ""en"")"),"There was a great loss because entered the wrong mailbox other than that perfect. The card is fine, reading mb / s high sought and the price was unbeatable. I recommend it")</f>
        <v>There was a great loss because entered the wrong mailbox other than that perfect. The card is fine, reading mb / s high sought and the price was unbeatable. I recommend it</v>
      </c>
    </row>
    <row r="8795">
      <c r="A8795" s="1">
        <v>2.0</v>
      </c>
      <c r="B8795" s="1" t="s">
        <v>8722</v>
      </c>
      <c r="C8795" t="str">
        <f>IFERROR(__xludf.DUMMYFUNCTION("GOOGLETRANSLATE(B8795, ""es"", ""en"")"),"Not for wide feet. Good sport, but should realize that is not suitable for wide feet, I have put me to train and I could not, I really hurt the sides of the feet. I have not tried to return because I have already used, at one time but are now used. Money "&amp;"wasted.")</f>
        <v>Not for wide feet. Good sport, but should realize that is not suitable for wide feet, I have put me to train and I could not, I really hurt the sides of the feet. I have not tried to return because I have already used, at one time but are now used. Money wasted.</v>
      </c>
    </row>
    <row r="8796">
      <c r="A8796" s="1">
        <v>3.0</v>
      </c>
      <c r="B8796" s="1" t="s">
        <v>8723</v>
      </c>
      <c r="C8796" t="str">
        <f>IFERROR(__xludf.DUMMYFUNCTION("GOOGLETRANSLATE(B8796, ""es"", ""en"")"),"Which serves serves a light use reviews from other customers knew what I would find. It is a thin board cork, two layers, one on each side of the same with an interlayer think cardboard. I bought it because I give the use is occasional and carefully. If y"&amp;"ou are going to give a more regular and / or use I will not recommend using children as I do not think I have a long service life.")</f>
        <v>Which serves serves a light use reviews from other customers knew what I would find. It is a thin board cork, two layers, one on each side of the same with an interlayer think cardboard. I bought it because I give the use is occasional and carefully. If you are going to give a more regular and / or use I will not recommend using children as I do not think I have a long service life.</v>
      </c>
    </row>
    <row r="8797">
      <c r="A8797" s="1">
        <v>3.0</v>
      </c>
      <c r="B8797" s="1" t="s">
        <v>8724</v>
      </c>
      <c r="C8797" t="str">
        <f>IFERROR(__xludf.DUMMYFUNCTION("GOOGLETRANSLATE(B8797, ""es"", ""en"")"),"Good sound activated cancellation Le give 3 stars because once activated noise cancellation sound is much improved, but cancellation activated sound is pretty mediocre. Preta a little, hopefully with a little time himself.")</f>
        <v>Good sound activated cancellation Le give 3 stars because once activated noise cancellation sound is much improved, but cancellation activated sound is pretty mediocre. Preta a little, hopefully with a little time himself.</v>
      </c>
    </row>
    <row r="8798">
      <c r="A8798" s="1">
        <v>1.0</v>
      </c>
      <c r="B8798" s="1" t="s">
        <v>8725</v>
      </c>
      <c r="C8798" t="str">
        <f>IFERROR(__xludf.DUMMYFUNCTION("GOOGLETRANSLATE(B8798, ""es"", ""en"")"),"MY ORDER I liked quite my tennis was what I wanted, in terms of delivery was super fast. I am very grateful, have always been very correct")</f>
        <v>MY ORDER I liked quite my tennis was what I wanted, in terms of delivery was super fast. I am very grateful, have always been very correct</v>
      </c>
    </row>
    <row r="8799">
      <c r="A8799" s="1">
        <v>1.0</v>
      </c>
      <c r="B8799" s="1" t="s">
        <v>8726</v>
      </c>
      <c r="C8799" t="str">
        <f>IFERROR(__xludf.DUMMYFUNCTION("GOOGLETRANSLATE(B8799, ""es"", ""en"")"),"I do not like very large and wide")</f>
        <v>I do not like very large and wide</v>
      </c>
    </row>
    <row r="8800">
      <c r="A8800" s="1">
        <v>1.0</v>
      </c>
      <c r="B8800" s="1" t="s">
        <v>8727</v>
      </c>
      <c r="C8800" t="str">
        <f>IFERROR(__xludf.DUMMYFUNCTION("GOOGLETRANSLATE(B8800, ""es"", ""en"")"),"Nefasto Actually I did not expect some real skin, not great but much less what came .. hard, plasticky, ugly .. very very ugly. I do not recommend anyone, really awful")</f>
        <v>Nefasto Actually I did not expect some real skin, not great but much less what came .. hard, plasticky, ugly .. very very ugly. I do not recommend anyone, really awful</v>
      </c>
    </row>
    <row r="8801">
      <c r="A8801" s="1">
        <v>4.0</v>
      </c>
      <c r="B8801" s="1" t="s">
        <v>8728</v>
      </c>
      <c r="C8801" t="str">
        <f>IFERROR(__xludf.DUMMYFUNCTION("GOOGLETRANSLATE(B8801, ""es"", ""en"")"),"I have found useful is what I needed for the condenser microphone connected to the computer did not work to the lacking the necessary phantom power")</f>
        <v>I have found useful is what I needed for the condenser microphone connected to the computer did not work to the lacking the necessary phantom power</v>
      </c>
    </row>
    <row r="8802">
      <c r="A8802" s="1">
        <v>4.0</v>
      </c>
      <c r="B8802" s="1" t="s">
        <v>8729</v>
      </c>
      <c r="C8802" t="str">
        <f>IFERROR(__xludf.DUMMYFUNCTION("GOOGLETRANSLATE(B8802, ""es"", ""en"")"),"Very comfortable and beautiful are very good. The would buy. I took a while and I look pretty tough. Perhaps after all day they begin to bother you, but it is normal in this type of footwear.")</f>
        <v>Very comfortable and beautiful are very good. The would buy. I took a while and I look pretty tough. Perhaps after all day they begin to bother you, but it is normal in this type of footwear.</v>
      </c>
    </row>
    <row r="8803">
      <c r="A8803" s="1">
        <v>4.0</v>
      </c>
      <c r="B8803" s="1" t="s">
        <v>8730</v>
      </c>
      <c r="C8803" t="str">
        <f>IFERROR(__xludf.DUMMYFUNCTION("GOOGLETRANSLATE(B8803, ""es"", ""en"")"),"HEADPHONES PRACTICAL The truth is that when they arrived, how to fold them seemed dangerous because I had the feeling it would be very resistant and were to be broken very easily in the folds. But nothing, I use daily and several times sheet and keep APRA"&amp;" put the backpack and are like new. Perhaps the only downside I can put to you is that the headband is too large, and for some small heads is excsivamente large and dances. You can adjust the size to larger, but the minimum is too large.")</f>
        <v>HEADPHONES PRACTICAL The truth is that when they arrived, how to fold them seemed dangerous because I had the feeling it would be very resistant and were to be broken very easily in the folds. But nothing, I use daily and several times sheet and keep APRA put the backpack and are like new. Perhaps the only downside I can put to you is that the headband is too large, and for some small heads is excsivamente large and dances. You can adjust the size to larger, but the minimum is too large.</v>
      </c>
    </row>
    <row r="8804">
      <c r="A8804" s="1">
        <v>4.0</v>
      </c>
      <c r="B8804" s="1" t="s">
        <v>8731</v>
      </c>
      <c r="C8804" t="str">
        <f>IFERROR(__xludf.DUMMYFUNCTION("GOOGLETRANSLATE(B8804, ""es"", ""en"")"),"Memory Card Is A very useful and practical highly desirable product. I am very contenta.con the pruduct all Confienza Volvere to buy")</f>
        <v>Memory Card Is A very useful and practical highly desirable product. I am very contenta.con the pruduct all Confienza Volvere to buy</v>
      </c>
    </row>
    <row r="8805">
      <c r="A8805" s="1">
        <v>4.0</v>
      </c>
      <c r="B8805" s="1" t="s">
        <v>8732</v>
      </c>
      <c r="C8805" t="str">
        <f>IFERROR(__xludf.DUMMYFUNCTION("GOOGLETRANSLATE(B8805, ""es"", ""en"")"),"While I used several occasions the feeling of freshness does not last long but I like")</f>
        <v>While I used several occasions the feeling of freshness does not last long but I like</v>
      </c>
    </row>
    <row r="8806">
      <c r="A8806" s="1">
        <v>5.0</v>
      </c>
      <c r="B8806" s="1" t="s">
        <v>8733</v>
      </c>
      <c r="C8806" t="str">
        <f>IFERROR(__xludf.DUMMYFUNCTION("GOOGLETRANSLATE(B8806, ""es"", ""en"")"),"Complete and easy to use Looking for something to mark the clothes of my daughter for the nursery. I did not convince the stickers I see them as a nuisance and even think it can be annoying and prickle as it does not support labels that brings clothes. So"&amp;" I tried and I love this stamp! Once you ride with the name (I also put my Handsets and a drawing) is sealed and ready and only, so it is very fast. The only downside is that you get when putting the letters and numbers with the clip is a bit of a pain, b"&amp;"ut hey, once you no longer have to put reassembling 😊")</f>
        <v>Complete and easy to use Looking for something to mark the clothes of my daughter for the nursery. I did not convince the stickers I see them as a nuisance and even think it can be annoying and prickle as it does not support labels that brings clothes. So I tried and I love this stamp! Once you ride with the name (I also put my Handsets and a drawing) is sealed and ready and only, so it is very fast. The only downside is that you get when putting the letters and numbers with the clip is a bit of a pain, but hey, once you no longer have to put reassembling 😊</v>
      </c>
    </row>
    <row r="8807">
      <c r="A8807" s="1">
        <v>5.0</v>
      </c>
      <c r="B8807" s="1" t="s">
        <v>8734</v>
      </c>
      <c r="C8807" t="str">
        <f>IFERROR(__xludf.DUMMYFUNCTION("GOOGLETRANSLATE(B8807, ""es"", ""en"")"),"Very good product I looked at many alternatives, I finally settled on this for aesthetics, price and comments and I was right. Clearly I recommend. I'll buy some more to take other environments.")</f>
        <v>Very good product I looked at many alternatives, I finally settled on this for aesthetics, price and comments and I was right. Clearly I recommend. I'll buy some more to take other environments.</v>
      </c>
    </row>
    <row r="8808">
      <c r="A8808" s="1">
        <v>5.0</v>
      </c>
      <c r="B8808" s="1" t="s">
        <v>8735</v>
      </c>
      <c r="C8808" t="str">
        <f>IFERROR(__xludf.DUMMYFUNCTION("GOOGLETRANSLATE(B8808, ""es"", ""en"")"),"They are the perfect ones I like. The retina is from +0 months. The colors are very nice and relaxing phrases.")</f>
        <v>They are the perfect ones I like. The retina is from +0 months. The colors are very nice and relaxing phrases.</v>
      </c>
    </row>
    <row r="8809">
      <c r="A8809" s="1">
        <v>5.0</v>
      </c>
      <c r="B8809" s="1" t="s">
        <v>8736</v>
      </c>
      <c r="C8809" t="str">
        <f>IFERROR(__xludf.DUMMYFUNCTION("GOOGLETRANSLATE(B8809, ""es"", ""en"")"),"Good capacity hard disk, at a great price")</f>
        <v>Good capacity hard disk, at a great price</v>
      </c>
    </row>
    <row r="8810">
      <c r="A8810" s="1">
        <v>5.0</v>
      </c>
      <c r="B8810" s="1" t="s">
        <v>8737</v>
      </c>
      <c r="C8810" t="str">
        <f>IFERROR(__xludf.DUMMYFUNCTION("GOOGLETRANSLATE(B8810, ""es"", ""en"")"),"I use it as keychain and I love ya more than a year is this memory that I have on my key chain. I always carry with me in case, with storage of some files. Also occasionally use to copy and paste files. Weighs very little, the material is resistant (or ha"&amp;"s been oxidized or hit) and the price is competitive. recommendable")</f>
        <v>I use it as keychain and I love ya more than a year is this memory that I have on my key chain. I always carry with me in case, with storage of some files. Also occasionally use to copy and paste files. Weighs very little, the material is resistant (or has been oxidized or hit) and the price is competitive. recommendable</v>
      </c>
    </row>
    <row r="8811">
      <c r="A8811" s="1">
        <v>5.0</v>
      </c>
      <c r="B8811" s="1" t="s">
        <v>8738</v>
      </c>
      <c r="C8811" t="str">
        <f>IFERROR(__xludf.DUMMYFUNCTION("GOOGLETRANSLATE(B8811, ""es"", ""en"")"),"The best bottle definitely buy to have spare if we have any of the spoils. They are the best I've tasted bottles. Although the picture the previous model appears to me they sent me the new model that apparently can be used without the adapter for colico a"&amp;"nd the truth is that I have not worked for me, is not whether it is the way to take my daughter or that is not well designed.")</f>
        <v>The best bottle definitely buy to have spare if we have any of the spoils. They are the best I've tasted bottles. Although the picture the previous model appears to me they sent me the new model that apparently can be used without the adapter for colico and the truth is that I have not worked for me, is not whether it is the way to take my daughter or that is not well designed.</v>
      </c>
    </row>
    <row r="8812">
      <c r="A8812" s="1">
        <v>5.0</v>
      </c>
      <c r="B8812" s="1" t="s">
        <v>8739</v>
      </c>
      <c r="C8812" t="str">
        <f>IFERROR(__xludf.DUMMYFUNCTION("GOOGLETRANSLATE(B8812, ""es"", ""en"")"),"Excellent product quality / price. They are perfectly molded on the leg loosely. 100% recommendable")</f>
        <v>Excellent product quality / price. They are perfectly molded on the leg loosely. 100% recommendable</v>
      </c>
    </row>
    <row r="8813">
      <c r="A8813" s="1">
        <v>5.0</v>
      </c>
      <c r="B8813" s="1" t="s">
        <v>8740</v>
      </c>
      <c r="C8813" t="str">
        <f>IFERROR(__xludf.DUMMYFUNCTION("GOOGLETRANSLATE(B8813, ""es"", ""en"")"),"I recommend I liked. I had to order one size smaller because I had some loose size L, I have a 95. But very happy. It fits very well and holds great chest.")</f>
        <v>I recommend I liked. I had to order one size smaller because I had some loose size L, I have a 95. But very happy. It fits very well and holds great chest.</v>
      </c>
    </row>
    <row r="8814">
      <c r="A8814" s="1">
        <v>5.0</v>
      </c>
      <c r="B8814" s="1" t="s">
        <v>8741</v>
      </c>
      <c r="C8814" t="str">
        <f>IFERROR(__xludf.DUMMYFUNCTION("GOOGLETRANSLATE(B8814, ""es"", ""en"")"),"Lovely lovely elegant watch 2 year warranty")</f>
        <v>Lovely lovely elegant watch 2 year warranty</v>
      </c>
    </row>
    <row r="8815">
      <c r="A8815" s="1">
        <v>5.0</v>
      </c>
      <c r="B8815" s="1" t="s">
        <v>8742</v>
      </c>
      <c r="C8815" t="str">
        <f>IFERROR(__xludf.DUMMYFUNCTION("GOOGLETRANSLATE(B8815, ""es"", ""en"")"),"Ideal for PS VITA 1000 and 2000. It has the size of an original cartridge and closes the lid completely in both models (PS Vita Fat and Slim).")</f>
        <v>Ideal for PS VITA 1000 and 2000. It has the size of an original cartridge and closes the lid completely in both models (PS Vita Fat and Slim).</v>
      </c>
    </row>
    <row r="8816">
      <c r="A8816" s="1">
        <v>5.0</v>
      </c>
      <c r="B8816" s="1" t="s">
        <v>8743</v>
      </c>
      <c r="C8816" t="str">
        <f>IFERROR(__xludf.DUMMYFUNCTION("GOOGLETRANSLATE(B8816, ""es"", ""en"")"),"Good quality such in the description")</f>
        <v>Good quality such in the description</v>
      </c>
    </row>
    <row r="8817">
      <c r="A8817" s="1">
        <v>5.0</v>
      </c>
      <c r="B8817" s="1" t="s">
        <v>8744</v>
      </c>
      <c r="C8817" t="str">
        <f>IFERROR(__xludf.DUMMYFUNCTION("GOOGLETRANSLATE(B8817, ""es"", ""en"")"),"He arrived on time and as is seen in the photo The cut is very beautiful, looks good. The fabric quality is improved and the cord of the hood looks too thin. But the enchanted girl's what it was.")</f>
        <v>He arrived on time and as is seen in the photo The cut is very beautiful, looks good. The fabric quality is improved and the cord of the hood looks too thin. But the enchanted girl's what it was.</v>
      </c>
    </row>
    <row r="8818">
      <c r="A8818" s="1">
        <v>5.0</v>
      </c>
      <c r="B8818" s="1" t="s">
        <v>8745</v>
      </c>
      <c r="C8818" t="str">
        <f>IFERROR(__xludf.DUMMYFUNCTION("GOOGLETRANSLATE(B8818, ""es"", ""en"")"),"Electric blanket soft touch. This product is great, perfect and meets all its functions. The product arrived very quickly, as soon as I got it unpacked immediately and I used it because I have a little back pain. This blanket has six different temperature"&amp;" levels. It also consists of a timer, 30 minutes to 120 minutes maximum that can be chosen. The electric blanket is navy blue, made of a soft material and is rapidly heated. I am a very cool person, with this pillow I can spend the winter safely. In addit"&amp;"ion, once rolled does not occupy much space. Very convenient to wear to the office! I recommend it")</f>
        <v>Electric blanket soft touch. This product is great, perfect and meets all its functions. The product arrived very quickly, as soon as I got it unpacked immediately and I used it because I have a little back pain. This blanket has six different temperature levels. It also consists of a timer, 30 minutes to 120 minutes maximum that can be chosen. The electric blanket is navy blue, made of a soft material and is rapidly heated. I am a very cool person, with this pillow I can spend the winter safely. In addition, once rolled does not occupy much space. Very convenient to wear to the office! I recommend it</v>
      </c>
    </row>
    <row r="8819">
      <c r="A8819" s="1">
        <v>5.0</v>
      </c>
      <c r="B8819" s="1" t="s">
        <v>8746</v>
      </c>
      <c r="C8819" t="str">
        <f>IFERROR(__xludf.DUMMYFUNCTION("GOOGLETRANSLATE(B8819, ""es"", ""en"")"),"Cool !!! It was a gift for my daughter and is delighted !!!")</f>
        <v>Cool !!! It was a gift for my daughter and is delighted !!!</v>
      </c>
    </row>
    <row r="8820">
      <c r="A8820" s="1">
        <v>5.0</v>
      </c>
      <c r="B8820" s="1" t="s">
        <v>8747</v>
      </c>
      <c r="C8820" t="str">
        <f>IFERROR(__xludf.DUMMYFUNCTION("GOOGLETRANSLATE(B8820, ""es"", ""en"")"),"A beautiful girl liked me a lot of very nice")</f>
        <v>A beautiful girl liked me a lot of very nice</v>
      </c>
    </row>
    <row r="8821">
      <c r="A8821" s="1">
        <v>5.0</v>
      </c>
      <c r="B8821" s="1" t="s">
        <v>8748</v>
      </c>
      <c r="C8821" t="str">
        <f>IFERROR(__xludf.DUMMYFUNCTION("GOOGLETRANSLATE(B8821, ""es"", ""en"")"),"Everything works and is pretty. Perfect.")</f>
        <v>Everything works and is pretty. Perfect.</v>
      </c>
    </row>
    <row r="8822">
      <c r="A8822" s="1">
        <v>5.0</v>
      </c>
      <c r="B8822" s="1" t="s">
        <v>8749</v>
      </c>
      <c r="C8822" t="str">
        <f>IFERROR(__xludf.DUMMYFUNCTION("GOOGLETRANSLATE(B8822, ""es"", ""en"")"),"Such good product which describen.Buen the product, good price and good materials. I really look comfortable and see what I never thought I'd see, is just put different lenses and seek comfortable distance")</f>
        <v>Such good product which describen.Buen the product, good price and good materials. I really look comfortable and see what I never thought I'd see, is just put different lenses and seek comfortable distance</v>
      </c>
    </row>
    <row r="8823">
      <c r="A8823" s="1">
        <v>5.0</v>
      </c>
      <c r="B8823" s="1" t="s">
        <v>8750</v>
      </c>
      <c r="C8823" t="str">
        <f>IFERROR(__xludf.DUMMYFUNCTION("GOOGLETRANSLATE(B8823, ""es"", ""en"")"),"good clip holders The shipment came when he played, with respect to the product as fulfills the function to save the clips, I bought two one of each color and are very good, properly magnetized.")</f>
        <v>good clip holders The shipment came when he played, with respect to the product as fulfills the function to save the clips, I bought two one of each color and are very good, properly magnetized.</v>
      </c>
    </row>
    <row r="8824">
      <c r="A8824" s="1">
        <v>5.0</v>
      </c>
      <c r="B8824" s="1" t="s">
        <v>8751</v>
      </c>
      <c r="C8824" t="str">
        <f>IFERROR(__xludf.DUMMYFUNCTION("GOOGLETRANSLATE(B8824, ""es"", ""en"")"),"It's beautiful all right. Good quality.")</f>
        <v>It's beautiful all right. Good quality.</v>
      </c>
    </row>
    <row r="8825">
      <c r="A8825" s="1">
        <v>2.0</v>
      </c>
      <c r="B8825" s="1" t="s">
        <v>8752</v>
      </c>
      <c r="C8825" t="str">
        <f>IFERROR(__xludf.DUMMYFUNCTION("GOOGLETRANSLATE(B8825, ""es"", ""en"")"),"I am not convinced nor its quality and materials and presentation. I love watches Casio, I have several clocks from different collections, Clasica, gshock ... etc I decided to buy this model, the A158, being a classic retro aesthetic, very close to the mo"&amp;"del F91W, being the WA-1DF variant of the model A158 which sent me the seller to buy here. The two classic watches retro I have I have bought in local stores, with the packaging and presentation to the purchase (plastic box, instructions ella..etc) very d"&amp;"ifferent from what I received buying this model from Italy, which I It is surprising because being Importancion for the EU should be the same as if they acquire in Spain and I have not seen that carton here physically in any trade. The feel of this watch "&amp;"is too lightweight materials this watch, puny, the metal belt carrying not seem to be of similar quality and robustness that has a similar model that I have the w202-1AVEF retro metal strap sensations gives better finishes and materials. I question not to"&amp;" be an original device, because the pressing its buttons included in the display CAS1o but did not convince me purchase or product, so make your return.")</f>
        <v>I am not convinced nor its quality and materials and presentation. I love watches Casio, I have several clocks from different collections, Clasica, gshock ... etc I decided to buy this model, the A158, being a classic retro aesthetic, very close to the model F91W, being the WA-1DF variant of the model A158 which sent me the seller to buy here. The two classic watches retro I have I have bought in local stores, with the packaging and presentation to the purchase (plastic box, instructions ella..etc) very different from what I received buying this model from Italy, which I It is surprising because being Importancion for the EU should be the same as if they acquire in Spain and I have not seen that carton here physically in any trade. The feel of this watch is too lightweight materials this watch, puny, the metal belt carrying not seem to be of similar quality and robustness that has a similar model that I have the w202-1AVEF retro metal strap sensations gives better finishes and materials. I question not to be an original device, because the pressing its buttons included in the display CAS1o but did not convince me purchase or product, so make your return.</v>
      </c>
    </row>
    <row r="8826">
      <c r="A8826" s="1">
        <v>3.0</v>
      </c>
      <c r="B8826" s="1" t="s">
        <v>8753</v>
      </c>
      <c r="C8826" t="str">
        <f>IFERROR(__xludf.DUMMYFUNCTION("GOOGLETRANSLATE(B8826, ""es"", ""en"")"),"It has very good smell has very good smell")</f>
        <v>It has very good smell has very good smell</v>
      </c>
    </row>
    <row r="8827">
      <c r="A8827" s="1">
        <v>3.0</v>
      </c>
      <c r="B8827" s="1" t="s">
        <v>8754</v>
      </c>
      <c r="C8827" t="str">
        <f>IFERROR(__xludf.DUMMYFUNCTION("GOOGLETRANSLATE(B8827, ""es"", ""en"")"),"Sound lifting your finger from the &lt;div id = ""video-block-R26EVWOYD3C8PP"" class = ""a-section a-spacing-small a-spacing-top mini video-block""&gt; key &lt;/ div&gt; &lt;input type = ""hidden"" name = """" value = ""https://images-eu.ssl-images-amazon.com/images/I/9"&amp;"1emBDr+DLS.mp4"" class = ""video-url""&gt; &lt;input type = ""hidden ""name ="" ""value ="" https://images-eu.ssl-images-amazon.com/images/I/91Hoc0VlmlS.png ""class ="" video-slate-img-url ""&gt; &amp; nbsp; Hello, I received the keyboard today and I'm trying. It turn"&amp;"s out that when I play a note, raising his finger to make another sound. I do not know if this can be removed or a defect of the keyboard. Attached video. Can anyone help me? Thanks greetings")</f>
        <v>Sound lifting your finger from the &lt;div id = "video-block-R26EVWOYD3C8PP" class = "a-section a-spacing-small a-spacing-top mini video-block"&gt; key &lt;/ div&gt; &lt;input type = "hidden" name = "" value = "https://images-eu.ssl-images-amazon.com/images/I/91emBDr+DLS.mp4" class = "video-url"&gt; &lt;input type = "hidden "name =" "value =" https://images-eu.ssl-images-amazon.com/images/I/91Hoc0VlmlS.png "class =" video-slate-img-url "&gt; &amp; nbsp; Hello, I received the keyboard today and I'm trying. It turns out that when I play a note, raising his finger to make another sound. I do not know if this can be removed or a defect of the keyboard. Attached video. Can anyone help me? Thanks greetings</v>
      </c>
    </row>
    <row r="8828">
      <c r="A8828" s="1">
        <v>1.0</v>
      </c>
      <c r="B8828" s="1" t="s">
        <v>8755</v>
      </c>
      <c r="C8828" t="str">
        <f>IFERROR(__xludf.DUMMYFUNCTION("GOOGLETRANSLATE(B8828, ""es"", ""en"")"),"Very small is too small. I bought it because it was compatible with the telescopic pole that had bought the same brand, but I used to clean the mansard roof for its small size.")</f>
        <v>Very small is too small. I bought it because it was compatible with the telescopic pole that had bought the same brand, but I used to clean the mansard roof for its small size.</v>
      </c>
    </row>
    <row r="8829">
      <c r="A8829" s="1">
        <v>1.0</v>
      </c>
      <c r="B8829" s="1" t="s">
        <v>8756</v>
      </c>
      <c r="C8829" t="str">
        <f>IFERROR(__xludf.DUMMYFUNCTION("GOOGLETRANSLATE(B8829, ""es"", ""en"")"),"Disappointment returned the product because it ordered a 41 and was very grande..parecía one 43.Mas apart, very rigid")</f>
        <v>Disappointment returned the product because it ordered a 41 and was very grande..parecía one 43.Mas apart, very rigid</v>
      </c>
    </row>
    <row r="8830">
      <c r="A8830" s="1">
        <v>4.0</v>
      </c>
      <c r="B8830" s="1" t="s">
        <v>8757</v>
      </c>
      <c r="C8830" t="str">
        <f>IFERROR(__xludf.DUMMYFUNCTION("GOOGLETRANSLATE(B8830, ""es"", ""en"")"),"Easy to clean everything.")</f>
        <v>Easy to clean everything.</v>
      </c>
    </row>
    <row r="8831">
      <c r="A8831" s="1">
        <v>4.0</v>
      </c>
      <c r="B8831" s="1" t="s">
        <v>8758</v>
      </c>
      <c r="C8831" t="str">
        <f>IFERROR(__xludf.DUMMYFUNCTION("GOOGLETRANSLATE(B8831, ""es"", ""en"")"),"Easy handling is a .humifica and scented essential oils marvel with small places like bathrooms .The play of light gives room to stay and just do ruido..lo have time ago and am enacantada")</f>
        <v>Easy handling is a .humifica and scented essential oils marvel with small places like bathrooms .The play of light gives room to stay and just do ruido..lo have time ago and am enacantada</v>
      </c>
    </row>
    <row r="8832">
      <c r="A8832" s="1">
        <v>4.0</v>
      </c>
      <c r="B8832" s="1" t="s">
        <v>8759</v>
      </c>
      <c r="C8832" t="str">
        <f>IFERROR(__xludf.DUMMYFUNCTION("GOOGLETRANSLATE(B8832, ""es"", ""en"")"),"Excellent value for money Very good value for money. They were for my little boy who spends the day watching youtube videos on your iPad. They are comfortable and good sound. Recommended, but not give the fifth star for the mystery of how resist the passa"&amp;"ge of time and the treatment of my son !!!")</f>
        <v>Excellent value for money Very good value for money. They were for my little boy who spends the day watching youtube videos on your iPad. They are comfortable and good sound. Recommended, but not give the fifth star for the mystery of how resist the passage of time and the treatment of my son !!!</v>
      </c>
    </row>
    <row r="8833">
      <c r="A8833" s="1">
        <v>4.0</v>
      </c>
      <c r="B8833" s="1" t="s">
        <v>8760</v>
      </c>
      <c r="C8833" t="str">
        <f>IFERROR(__xludf.DUMMYFUNCTION("GOOGLETRANSLATE(B8833, ""es"", ""en"")"),"Good product I've used to make crafts and I liked how they have been.")</f>
        <v>Good product I've used to make crafts and I liked how they have been.</v>
      </c>
    </row>
    <row r="8834">
      <c r="A8834" s="1">
        <v>5.0</v>
      </c>
      <c r="B8834" s="1" t="s">
        <v>8761</v>
      </c>
      <c r="C8834" t="str">
        <f>IFERROR(__xludf.DUMMYFUNCTION("GOOGLETRANSLATE(B8834, ""es"", ""en"")"),"Top notch all week I've been trying Bluetooth headsets and finally I've found that I stay. The sound is spectacular, no noise, fits so well that neither you find out you're wearing and that when you go to walk long hours, thanks. The use is very simple an"&amp;"d mobile detects very fast. Besides the fact that the mobile itself prompted the battery that remains is an extra point. Also operating individually, in stereo or paired, you can borrow one and take the other. Great. Another thing that I liked it in the c"&amp;"harging cradle, you the can carry without any cable and if you run out of battery, the can charge at the time and very quickly, avoiding the hassle of having to find a socket or load point. It makes it even simpler. 100% Recommended")</f>
        <v>Top notch all week I've been trying Bluetooth headsets and finally I've found that I stay. The sound is spectacular, no noise, fits so well that neither you find out you're wearing and that when you go to walk long hours, thanks. The use is very simple and mobile detects very fast. Besides the fact that the mobile itself prompted the battery that remains is an extra point. Also operating individually, in stereo or paired, you can borrow one and take the other. Great. Another thing that I liked it in the charging cradle, you the can carry without any cable and if you run out of battery, the can charge at the time and very quickly, avoiding the hassle of having to find a socket or load point. It makes it even simpler. 100% Recommended</v>
      </c>
    </row>
    <row r="8835">
      <c r="A8835" s="1">
        <v>5.0</v>
      </c>
      <c r="B8835" s="1" t="s">
        <v>8762</v>
      </c>
      <c r="C8835" t="str">
        <f>IFERROR(__xludf.DUMMYFUNCTION("GOOGLETRANSLATE(B8835, ""es"", ""en"")"),"Well Pretty good.")</f>
        <v>Well Pretty good.</v>
      </c>
    </row>
    <row r="8836">
      <c r="A8836" s="1">
        <v>5.0</v>
      </c>
      <c r="B8836" s="1" t="s">
        <v>8763</v>
      </c>
      <c r="C8836" t="str">
        <f>IFERROR(__xludf.DUMMYFUNCTION("GOOGLETRANSLATE(B8836, ""es"", ""en"")"),"precise cut and good quality paper cutter This has left me a good impression because despite its material and good quality, their weight is lower than expected, making it easy to transport. As for paper cutting edge cutting it is very precise allowing eve"&amp;"n cut multiple sheets at once (though better to cut out small amounts at a time).")</f>
        <v>precise cut and good quality paper cutter This has left me a good impression because despite its material and good quality, their weight is lower than expected, making it easy to transport. As for paper cutting edge cutting it is very precise allowing even cut multiple sheets at once (though better to cut out small amounts at a time).</v>
      </c>
    </row>
    <row r="8837">
      <c r="A8837" s="1">
        <v>5.0</v>
      </c>
      <c r="B8837" s="1" t="s">
        <v>8764</v>
      </c>
      <c r="C8837" t="str">
        <f>IFERROR(__xludf.DUMMYFUNCTION("GOOGLETRANSLATE(B8837, ""es"", ""en"")"),"Multiuse Very good")</f>
        <v>Multiuse Very good</v>
      </c>
    </row>
    <row r="8838">
      <c r="A8838" s="1">
        <v>5.0</v>
      </c>
      <c r="B8838" s="1" t="s">
        <v>8765</v>
      </c>
      <c r="C8838" t="str">
        <f>IFERROR(__xludf.DUMMYFUNCTION("GOOGLETRANSLATE(B8838, ""es"", ""en"")"),"Delighted with this brand of baby biberon My only uses this brand of bottle and very good, I buy these 2 and another when he was newborn for gases")</f>
        <v>Delighted with this brand of baby biberon My only uses this brand of bottle and very good, I buy these 2 and another when he was newborn for gases</v>
      </c>
    </row>
    <row r="8839">
      <c r="A8839" s="1">
        <v>5.0</v>
      </c>
      <c r="B8839" s="1" t="s">
        <v>8766</v>
      </c>
      <c r="C8839" t="str">
        <f>IFERROR(__xludf.DUMMYFUNCTION("GOOGLETRANSLATE(B8839, ""es"", ""en"")"),"Beautiful and very elegant earrings moon precious stone. Positions are refined and elegant. A soil having silver remain whiter than making colors, q is usual in this stone. Still, he gave me my partner and also precious, and has great sentimental value.")</f>
        <v>Beautiful and very elegant earrings moon precious stone. Positions are refined and elegant. A soil having silver remain whiter than making colors, q is usual in this stone. Still, he gave me my partner and also precious, and has great sentimental value.</v>
      </c>
    </row>
    <row r="8840">
      <c r="A8840" s="1">
        <v>5.0</v>
      </c>
      <c r="B8840" s="1" t="s">
        <v>8767</v>
      </c>
      <c r="C8840" t="str">
        <f>IFERROR(__xludf.DUMMYFUNCTION("GOOGLETRANSLATE(B8840, ""es"", ""en"")"),"It works great price and utility")</f>
        <v>It works great price and utility</v>
      </c>
    </row>
    <row r="8841">
      <c r="A8841" s="1">
        <v>5.0</v>
      </c>
      <c r="B8841" s="1" t="s">
        <v>8768</v>
      </c>
      <c r="C8841" t="str">
        <f>IFERROR(__xludf.DUMMYFUNCTION("GOOGLETRANSLATE(B8841, ""es"", ""en"")"),"Ideal !! A wonder I always buy this brand for summer is the best. Very comfortable and easily recommend it to 100% especially for the price.")</f>
        <v>Ideal !! A wonder I always buy this brand for summer is the best. Very comfortable and easily recommend it to 100% especially for the price.</v>
      </c>
    </row>
    <row r="8842">
      <c r="A8842" s="1">
        <v>5.0</v>
      </c>
      <c r="B8842" s="1" t="s">
        <v>8769</v>
      </c>
      <c r="C8842" t="str">
        <f>IFERROR(__xludf.DUMMYFUNCTION("GOOGLETRANSLATE(B8842, ""es"", ""en"")"),"Very happy very good. Pica frozen fruit to make smoothies and leaves very good texture. I have the size xl and is perfect for 3 shakes. Carries two blades, ice crushing normal bite. I have little time, but I liked it.")</f>
        <v>Very happy very good. Pica frozen fruit to make smoothies and leaves very good texture. I have the size xl and is perfect for 3 shakes. Carries two blades, ice crushing normal bite. I have little time, but I liked it.</v>
      </c>
    </row>
    <row r="8843">
      <c r="A8843" s="1">
        <v>5.0</v>
      </c>
      <c r="B8843" s="1" t="s">
        <v>8770</v>
      </c>
      <c r="C8843" t="str">
        <f>IFERROR(__xludf.DUMMYFUNCTION("GOOGLETRANSLATE(B8843, ""es"", ""en"")"),"I recommend recommend purchase. The product is of very good quality. The size is perfect, I would say that something broad subject very well. By putting a preformed cups but are not to my taste but I recognize that give very good shape.")</f>
        <v>I recommend recommend purchase. The product is of very good quality. The size is perfect, I would say that something broad subject very well. By putting a preformed cups but are not to my taste but I recognize that give very good shape.</v>
      </c>
    </row>
    <row r="8844">
      <c r="A8844" s="1">
        <v>5.0</v>
      </c>
      <c r="B8844" s="1" t="s">
        <v>8771</v>
      </c>
      <c r="C8844" t="str">
        <f>IFERROR(__xludf.DUMMYFUNCTION("GOOGLETRANSLATE(B8844, ""es"", ""en"")"),"Good shoes are very practical and comfortable.")</f>
        <v>Good shoes are very practical and comfortable.</v>
      </c>
    </row>
    <row r="8845">
      <c r="A8845" s="1">
        <v>5.0</v>
      </c>
      <c r="B8845" s="1" t="s">
        <v>8772</v>
      </c>
      <c r="C8845" t="str">
        <f>IFERROR(__xludf.DUMMYFUNCTION("GOOGLETRANSLATE(B8845, ""es"", ""en"")"),"Tremendous audio interface Very good, works perfectly with Windows 10 and does not need extra power supply as it draws power via a USB cable connected to the PC. Very good buy.")</f>
        <v>Tremendous audio interface Very good, works perfectly with Windows 10 and does not need extra power supply as it draws power via a USB cable connected to the PC. Very good buy.</v>
      </c>
    </row>
    <row r="8846">
      <c r="A8846" s="1">
        <v>5.0</v>
      </c>
      <c r="B8846" s="1" t="s">
        <v>8773</v>
      </c>
      <c r="C8846" t="str">
        <f>IFERROR(__xludf.DUMMYFUNCTION("GOOGLETRANSLATE(B8846, ""es"", ""en"")"),"Very good, I recommend is perfect if you have pets that shed hair, I recommend it.")</f>
        <v>Very good, I recommend is perfect if you have pets that shed hair, I recommend it.</v>
      </c>
    </row>
    <row r="8847">
      <c r="A8847" s="1">
        <v>5.0</v>
      </c>
      <c r="B8847" s="1" t="s">
        <v>8774</v>
      </c>
      <c r="C8847" t="str">
        <f>IFERROR(__xludf.DUMMYFUNCTION("GOOGLETRANSLATE(B8847, ""es"", ""en"")"),"Very cool and helpful nothing wrong I love all good are great")</f>
        <v>Very cool and helpful nothing wrong I love all good are great</v>
      </c>
    </row>
    <row r="8848">
      <c r="A8848" s="1">
        <v>5.0</v>
      </c>
      <c r="B8848" s="1" t="s">
        <v>8775</v>
      </c>
      <c r="C8848" t="str">
        <f>IFERROR(__xludf.DUMMYFUNCTION("GOOGLETRANSLATE(B8848, ""es"", ""en"")"),"Good nice and cheap Love! They shine very much and are not to be good because I would sting the ears.")</f>
        <v>Good nice and cheap Love! They shine very much and are not to be good because I would sting the ears.</v>
      </c>
    </row>
    <row r="8849">
      <c r="A8849" s="1">
        <v>5.0</v>
      </c>
      <c r="B8849" s="1" t="s">
        <v>8776</v>
      </c>
      <c r="C8849" t="str">
        <f>IFERROR(__xludf.DUMMYFUNCTION("GOOGLETRANSLATE(B8849, ""es"", ""en"")"),"Good record label responds as expected and delivery was flawless")</f>
        <v>Good record label responds as expected and delivery was flawless</v>
      </c>
    </row>
    <row r="8850">
      <c r="A8850" s="1">
        <v>5.0</v>
      </c>
      <c r="B8850" s="1" t="s">
        <v>8777</v>
      </c>
      <c r="C8850" t="str">
        <f>IFERROR(__xludf.DUMMYFUNCTION("GOOGLETRANSLATE(B8850, ""es"", ""en"")"),"Small sized why I had to change them were smaller than other models that Salomon had used. 2/3 more ordered and perfect.")</f>
        <v>Small sized why I had to change them were smaller than other models that Salomon had used. 2/3 more ordered and perfect.</v>
      </c>
    </row>
    <row r="8851">
      <c r="A8851" s="1">
        <v>5.0</v>
      </c>
      <c r="B8851" s="1" t="s">
        <v>8778</v>
      </c>
      <c r="C8851" t="str">
        <f>IFERROR(__xludf.DUMMYFUNCTION("GOOGLETRANSLATE(B8851, ""es"", ""en"")"),"Very convenient and comfortable to the small being and to heat only the water you need is convenient. In addition it is fast and the temperature selector can select the ideal temperature to prepare different varieties of tea.")</f>
        <v>Very convenient and comfortable to the small being and to heat only the water you need is convenient. In addition it is fast and the temperature selector can select the ideal temperature to prepare different varieties of tea.</v>
      </c>
    </row>
    <row r="8852">
      <c r="A8852" s="1">
        <v>5.0</v>
      </c>
      <c r="B8852" s="1" t="s">
        <v>8779</v>
      </c>
      <c r="C8852" t="str">
        <f>IFERROR(__xludf.DUMMYFUNCTION("GOOGLETRANSLATE(B8852, ""es"", ""en"")"),"The deal Very nice watch")</f>
        <v>The deal Very nice watch</v>
      </c>
    </row>
    <row r="8853">
      <c r="A8853" s="1">
        <v>2.0</v>
      </c>
      <c r="B8853" s="1" t="s">
        <v>8780</v>
      </c>
      <c r="C8853" t="str">
        <f>IFERROR(__xludf.DUMMYFUNCTION("GOOGLETRANSLATE(B8853, ""es"", ""en"")"),"Lousy audio quality of the audio quality is terrible. You hear very weak and captures a lot of noise. The only good thing are the accessories that brings, but otherwise not worth it. Maybe if you connect it to a power source changes the thing, but connect"&amp;"ed by USB to the PC does not have good quality.")</f>
        <v>Lousy audio quality of the audio quality is terrible. You hear very weak and captures a lot of noise. The only good thing are the accessories that brings, but otherwise not worth it. Maybe if you connect it to a power source changes the thing, but connected by USB to the PC does not have good quality.</v>
      </c>
    </row>
    <row r="8854">
      <c r="A8854" s="1">
        <v>3.0</v>
      </c>
      <c r="B8854" s="1" t="s">
        <v>8781</v>
      </c>
      <c r="C8854" t="str">
        <f>IFERROR(__xludf.DUMMYFUNCTION("GOOGLETRANSLATE(B8854, ""es"", ""en"")"),"price and quality expected by the time the price and quality expected.")</f>
        <v>price and quality expected by the time the price and quality expected.</v>
      </c>
    </row>
    <row r="8855">
      <c r="A8855" s="1">
        <v>3.0</v>
      </c>
      <c r="B8855" s="1" t="s">
        <v>8782</v>
      </c>
      <c r="C8855" t="str">
        <f>IFERROR(__xludf.DUMMYFUNCTION("GOOGLETRANSLATE(B8855, ""es"", ""en"")"),"For price fulfills its score function mediocre sound. If you just want to understand what you hear but do not want sound quality is ideal. There will always be a white noise that can reduce or remove the audio post but while the rest of the recorded audio"&amp;" to be changed. Protective foam falls easily, I put a little seal to fix it. Now if you want quality videos, which means audio quality is better spent € 100 more and acquire Rode Videomic Pro R or other alternatives. For the price that it is correct befor"&amp;"e using the micro chamber.")</f>
        <v>For price fulfills its score function mediocre sound. If you just want to understand what you hear but do not want sound quality is ideal. There will always be a white noise that can reduce or remove the audio post but while the rest of the recorded audio to be changed. Protective foam falls easily, I put a little seal to fix it. Now if you want quality videos, which means audio quality is better spent € 100 more and acquire Rode Videomic Pro R or other alternatives. For the price that it is correct before using the micro chamber.</v>
      </c>
    </row>
    <row r="8856">
      <c r="A8856" s="1">
        <v>1.0</v>
      </c>
      <c r="B8856" s="1" t="s">
        <v>8783</v>
      </c>
      <c r="C8856" t="str">
        <f>IFERROR(__xludf.DUMMYFUNCTION("GOOGLETRANSLATE(B8856, ""es"", ""en"")"),"Not subject PURCHASED good opinions that people had them and they said they were very good for sports but it turns out that the lug behind the ear gets to hold is not hard plastic but very soft and not no subject is continuously falling. It is not worth t"&amp;"o sport, it's not worth it to go down the street")</f>
        <v>Not subject PURCHASED good opinions that people had them and they said they were very good for sports but it turns out that the lug behind the ear gets to hold is not hard plastic but very soft and not no subject is continuously falling. It is not worth to sport, it's not worth it to go down the street</v>
      </c>
    </row>
    <row r="8857">
      <c r="A8857" s="1">
        <v>1.0</v>
      </c>
      <c r="B8857" s="1" t="s">
        <v>8784</v>
      </c>
      <c r="C8857" t="str">
        <f>IFERROR(__xludf.DUMMYFUNCTION("GOOGLETRANSLATE(B8857, ""es"", ""en"")"),"It does not work well heated and has worked well for about six months without making intensive use of it. Now, when connected to a USB port it is much heated and have a lot of problems for the computer to recognize the camera.")</f>
        <v>It does not work well heated and has worked well for about six months without making intensive use of it. Now, when connected to a USB port it is much heated and have a lot of problems for the computer to recognize the camera.</v>
      </c>
    </row>
    <row r="8858">
      <c r="A8858" s="1">
        <v>4.0</v>
      </c>
      <c r="B8858" s="1" t="s">
        <v>8785</v>
      </c>
      <c r="C8858" t="str">
        <f>IFERROR(__xludf.DUMMYFUNCTION("GOOGLETRANSLATE(B8858, ""es"", ""en"")"),"Comfortable fit foot comfortable, stretch and adapt well. I chock one 39. They are perfect for narrow feet like mine, fingers or ankles for wider probably tighten ....")</f>
        <v>Comfortable fit foot comfortable, stretch and adapt well. I chock one 39. They are perfect for narrow feet like mine, fingers or ankles for wider probably tighten ....</v>
      </c>
    </row>
    <row r="8859">
      <c r="A8859" s="1">
        <v>4.0</v>
      </c>
      <c r="B8859" s="1" t="s">
        <v>8786</v>
      </c>
      <c r="C8859" t="str">
        <f>IFERROR(__xludf.DUMMYFUNCTION("GOOGLETRANSLATE(B8859, ""es"", ""en"")"),"Very practical. It is a perfect backpack for those who like to bring you a small backpack all day, for little things and not have to carry pockets full. I've bought for a gift. But perhaps I bought one for me because I love. In the part of alante it has a"&amp;" small pocket which fits a mobile. It also has a larger pocket. And in the back you could get a portfolio. Recommended to 100%")</f>
        <v>Very practical. It is a perfect backpack for those who like to bring you a small backpack all day, for little things and not have to carry pockets full. I've bought for a gift. But perhaps I bought one for me because I love. In the part of alante it has a small pocket which fits a mobile. It also has a larger pocket. And in the back you could get a portfolio. Recommended to 100%</v>
      </c>
    </row>
    <row r="8860">
      <c r="A8860" s="1">
        <v>4.0</v>
      </c>
      <c r="B8860" s="1" t="s">
        <v>8787</v>
      </c>
      <c r="C8860" t="str">
        <f>IFERROR(__xludf.DUMMYFUNCTION("GOOGLETRANSLATE(B8860, ""es"", ""en"")"),"Comfort Very comfortable")</f>
        <v>Comfort Very comfortable</v>
      </c>
    </row>
    <row r="8861">
      <c r="A8861" s="1">
        <v>4.0</v>
      </c>
      <c r="B8861" s="1" t="s">
        <v>8788</v>
      </c>
      <c r="C8861" t="str">
        <f>IFERROR(__xludf.DUMMYFUNCTION("GOOGLETRANSLATE(B8861, ""es"", ""en"")"),"Contenta with a finite hooded sweatshirt is but very nice touch. It is of very good quality. The size and the right price. I recommend it")</f>
        <v>Contenta with a finite hooded sweatshirt is but very nice touch. It is of very good quality. The size and the right price. I recommend it</v>
      </c>
    </row>
    <row r="8862">
      <c r="A8862" s="1">
        <v>4.0</v>
      </c>
      <c r="B8862" s="1" t="s">
        <v>8789</v>
      </c>
      <c r="C8862" t="str">
        <f>IFERROR(__xludf.DUMMYFUNCTION("GOOGLETRANSLATE(B8862, ""es"", ""en"")"),"Good nice card holder card holder without closure for a large number of business cards. The only but I put it to him that does not have a magnetic or similar closure.")</f>
        <v>Good nice card holder card holder without closure for a large number of business cards. The only but I put it to him that does not have a magnetic or similar closure.</v>
      </c>
    </row>
    <row r="8863">
      <c r="A8863" s="1">
        <v>5.0</v>
      </c>
      <c r="B8863" s="1" t="s">
        <v>8790</v>
      </c>
      <c r="C8863" t="str">
        <f>IFERROR(__xludf.DUMMYFUNCTION("GOOGLETRANSLATE(B8863, ""es"", ""en"")"),"Satisfactions Nen will be molt content tots els i that també Erem to festa")</f>
        <v>Satisfactions Nen will be molt content tots els i that també Erem to festa</v>
      </c>
    </row>
    <row r="8864">
      <c r="A8864" s="1">
        <v>5.0</v>
      </c>
      <c r="B8864" s="1" t="s">
        <v>8791</v>
      </c>
      <c r="C8864" t="str">
        <f>IFERROR(__xludf.DUMMYFUNCTION("GOOGLETRANSLATE(B8864, ""es"", ""en"")"),"Perfect Just what I ordered. Is a pack of 5, which allows a reservation. Shipment received in time. Overall very happy with the purchase.")</f>
        <v>Perfect Just what I ordered. Is a pack of 5, which allows a reservation. Shipment received in time. Overall very happy with the purchase.</v>
      </c>
    </row>
    <row r="8865">
      <c r="A8865" s="1">
        <v>5.0</v>
      </c>
      <c r="B8865" s="1" t="s">
        <v>8792</v>
      </c>
      <c r="C8865" t="str">
        <f>IFERROR(__xludf.DUMMYFUNCTION("GOOGLETRANSLATE(B8865, ""es"", ""en"")"),"The power you have is a very complete product and perfectly meets daily domestic needs. It has all the accessories that can be ordered for a device like this. Pica fine, easy to use the adapter and easy to clean. The only thing you can point and against i"&amp;"s the heating of the engine when prolonged use. Overall it is a very good product with a good finish and design.")</f>
        <v>The power you have is a very complete product and perfectly meets daily domestic needs. It has all the accessories that can be ordered for a device like this. Pica fine, easy to use the adapter and easy to clean. The only thing you can point and against is the heating of the engine when prolonged use. Overall it is a very good product with a good finish and design.</v>
      </c>
    </row>
    <row r="8866">
      <c r="A8866" s="1">
        <v>5.0</v>
      </c>
      <c r="B8866" s="1" t="s">
        <v>8793</v>
      </c>
      <c r="C8866" t="str">
        <f>IFERROR(__xludf.DUMMYFUNCTION("GOOGLETRANSLATE(B8866, ""es"", ""en"")"),"It is very nice perfect gift bought and liked it")</f>
        <v>It is very nice perfect gift bought and liked it</v>
      </c>
    </row>
    <row r="8867">
      <c r="A8867" s="1">
        <v>5.0</v>
      </c>
      <c r="B8867" s="1" t="s">
        <v>8794</v>
      </c>
      <c r="C8867" t="str">
        <f>IFERROR(__xludf.DUMMYFUNCTION("GOOGLETRANSLATE(B8867, ""es"", ""en"")"),"Super recommended you put on the scale of 1 to the 1 October 11")</f>
        <v>Super recommended you put on the scale of 1 to the 1 October 11</v>
      </c>
    </row>
    <row r="8868">
      <c r="A8868" s="1">
        <v>5.0</v>
      </c>
      <c r="B8868" s="1" t="s">
        <v>8795</v>
      </c>
      <c r="C8868" t="str">
        <f>IFERROR(__xludf.DUMMYFUNCTION("GOOGLETRANSLATE(B8868, ""es"", ""en"")"),"Flintronic Bracelet Man - recommended good quality. good fit. good price. I love!")</f>
        <v>Flintronic Bracelet Man - recommended good quality. good fit. good price. I love!</v>
      </c>
    </row>
    <row r="8869">
      <c r="A8869" s="1">
        <v>5.0</v>
      </c>
      <c r="B8869" s="1" t="s">
        <v>8796</v>
      </c>
      <c r="C8869" t="str">
        <f>IFERROR(__xludf.DUMMYFUNCTION("GOOGLETRANSLATE(B8869, ""es"", ""en"")"),"I bought super useful to make smoothies for the gym and is ideal. It mounts easily and has enough power. He can beat cucumber and nuts. The mechanism brings down suction cups for attachment.")</f>
        <v>I bought super useful to make smoothies for the gym and is ideal. It mounts easily and has enough power. He can beat cucumber and nuts. The mechanism brings down suction cups for attachment.</v>
      </c>
    </row>
    <row r="8870">
      <c r="A8870" s="1">
        <v>5.0</v>
      </c>
      <c r="B8870" s="1" t="s">
        <v>8797</v>
      </c>
      <c r="C8870" t="str">
        <f>IFERROR(__xludf.DUMMYFUNCTION("GOOGLETRANSLATE(B8870, ""es"", ""en"")"),"Q came as I expected I encanta..qda super good and the quality is good")</f>
        <v>Q came as I expected I encanta..qda super good and the quality is good</v>
      </c>
    </row>
    <row r="8871">
      <c r="A8871" s="1">
        <v>5.0</v>
      </c>
      <c r="B8871" s="1" t="s">
        <v>8798</v>
      </c>
      <c r="C8871" t="str">
        <f>IFERROR(__xludf.DUMMYFUNCTION("GOOGLETRANSLATE(B8871, ""es"", ""en"")"),"Sizing a tad less than the shoe is ideal, but a little smaller size. I use that number 39 and squeezes me a little finger.")</f>
        <v>Sizing a tad less than the shoe is ideal, but a little smaller size. I use that number 39 and squeezes me a little finger.</v>
      </c>
    </row>
    <row r="8872">
      <c r="A8872" s="1">
        <v>5.0</v>
      </c>
      <c r="B8872" s="1" t="s">
        <v>8799</v>
      </c>
      <c r="C8872" t="str">
        <f>IFERROR(__xludf.DUMMYFUNCTION("GOOGLETRANSLATE(B8872, ""es"", ""en"")"),"As is the description Meets what the description says")</f>
        <v>As is the description Meets what the description says</v>
      </c>
    </row>
    <row r="8873">
      <c r="A8873" s="1">
        <v>5.0</v>
      </c>
      <c r="B8873" s="1" t="s">
        <v>8800</v>
      </c>
      <c r="C8873" t="str">
        <f>IFERROR(__xludf.DUMMYFUNCTION("GOOGLETRANSLATE(B8873, ""es"", ""en"")"),"Under pressure does not disappoint Da whatever you ask, beat, mix, pica etc etc ... It is easy to clean and times under heavy use is going very well.")</f>
        <v>Under pressure does not disappoint Da whatever you ask, beat, mix, pica etc etc ... It is easy to clean and times under heavy use is going very well.</v>
      </c>
    </row>
    <row r="8874">
      <c r="A8874" s="1">
        <v>5.0</v>
      </c>
      <c r="B8874" s="1" t="s">
        <v>8801</v>
      </c>
      <c r="C8874" t="str">
        <f>IFERROR(__xludf.DUMMYFUNCTION("GOOGLETRANSLATE(B8874, ""es"", ""en"")"),"Quality, comfort and performance is very comfortable, great finish, grip and breath, use it for everything since I like a lot (jogging, walking, driving, etc.)")</f>
        <v>Quality, comfort and performance is very comfortable, great finish, grip and breath, use it for everything since I like a lot (jogging, walking, driving, etc.)</v>
      </c>
    </row>
    <row r="8875">
      <c r="A8875" s="1">
        <v>5.0</v>
      </c>
      <c r="B8875" s="1" t="s">
        <v>8802</v>
      </c>
      <c r="C8875" t="str">
        <f>IFERROR(__xludf.DUMMYFUNCTION("GOOGLETRANSLATE(B8875, ""es"", ""en"")"),"Very handy Better than blue-tack, more malleable and leaves less residue")</f>
        <v>Very handy Better than blue-tack, more malleable and leaves less residue</v>
      </c>
    </row>
    <row r="8876">
      <c r="A8876" s="1">
        <v>5.0</v>
      </c>
      <c r="B8876" s="1" t="s">
        <v>8803</v>
      </c>
      <c r="C8876" t="str">
        <f>IFERROR(__xludf.DUMMYFUNCTION("GOOGLETRANSLATE(B8876, ""es"", ""en"")"),"To give away money")</f>
        <v>To give away money</v>
      </c>
    </row>
    <row r="8877">
      <c r="A8877" s="1">
        <v>5.0</v>
      </c>
      <c r="B8877" s="1" t="s">
        <v>8804</v>
      </c>
      <c r="C8877" t="str">
        <f>IFERROR(__xludf.DUMMYFUNCTION("GOOGLETRANSLATE(B8877, ""es"", ""en"")"),"Perfect Perfect for the kids start drinking themselves and encourage their autonomía.no is very large Asique is manageable")</f>
        <v>Perfect Perfect for the kids start drinking themselves and encourage their autonomía.no is very large Asique is manageable</v>
      </c>
    </row>
    <row r="8878">
      <c r="A8878" s="1">
        <v>5.0</v>
      </c>
      <c r="B8878" s="1" t="s">
        <v>8805</v>
      </c>
      <c r="C8878" t="str">
        <f>IFERROR(__xludf.DUMMYFUNCTION("GOOGLETRANSLATE(B8878, ""es"", ""en"")"),"TAPE A TAPE PACKING PROPER, just what I needed and very good value, WOULD BUY AGAIN THE is very useful")</f>
        <v>TAPE A TAPE PACKING PROPER, just what I needed and very good value, WOULD BUY AGAIN THE is very useful</v>
      </c>
    </row>
    <row r="8879">
      <c r="A8879" s="1">
        <v>5.0</v>
      </c>
      <c r="B8879" s="1" t="s">
        <v>8806</v>
      </c>
      <c r="C8879" t="str">
        <f>IFERROR(__xludf.DUMMYFUNCTION("GOOGLETRANSLATE(B8879, ""es"", ""en"")"),"Good quality blue shirt is a very nice price good quality 70 kl comes Mido 1'70 beat me reminds me of the team jersey good quality Argentina")</f>
        <v>Good quality blue shirt is a very nice price good quality 70 kl comes Mido 1'70 beat me reminds me of the team jersey good quality Argentina</v>
      </c>
    </row>
    <row r="8880">
      <c r="A8880" s="1">
        <v>5.0</v>
      </c>
      <c r="B8880" s="1" t="s">
        <v>8807</v>
      </c>
      <c r="C8880" t="str">
        <f>IFERROR(__xludf.DUMMYFUNCTION("GOOGLETRANSLATE(B8880, ""es"", ""en"")"),"Wonderful!!! It is wonderful!!! The truth that I could hardly sleep a lot, and once bought the Dodow have noticed that I get to sleep earlier and get up much more rested in the morning. 100% recommendable!!!")</f>
        <v>Wonderful!!! It is wonderful!!! The truth that I could hardly sleep a lot, and once bought the Dodow have noticed that I get to sleep earlier and get up much more rested in the morning. 100% recommendable!!!</v>
      </c>
    </row>
    <row r="8881">
      <c r="A8881" s="1">
        <v>5.0</v>
      </c>
      <c r="B8881" s="1" t="s">
        <v>8808</v>
      </c>
      <c r="C8881" t="str">
        <f>IFERROR(__xludf.DUMMYFUNCTION("GOOGLETRANSLATE(B8881, ""es"", ""en"")"),"Simply amazing geniales.Quedan perfect and Comodisimos.")</f>
        <v>Simply amazing geniales.Quedan perfect and Comodisimos.</v>
      </c>
    </row>
    <row r="8882">
      <c r="A8882" s="1">
        <v>2.0</v>
      </c>
      <c r="B8882" s="1" t="s">
        <v>8809</v>
      </c>
      <c r="C8882" t="str">
        <f>IFERROR(__xludf.DUMMYFUNCTION("GOOGLETRANSLATE(B8882, ""es"", ""en"")"),"the presser blade rust I've bought a little over a month, and has rusted bolt grasping the blades, not finely chop the ice chunks left. vegetables and fruits if pica well")</f>
        <v>the presser blade rust I've bought a little over a month, and has rusted bolt grasping the blades, not finely chop the ice chunks left. vegetables and fruits if pica well</v>
      </c>
    </row>
    <row r="8883">
      <c r="A8883" s="1">
        <v>3.0</v>
      </c>
      <c r="B8883" s="1" t="s">
        <v>8810</v>
      </c>
      <c r="C8883" t="str">
        <f>IFERROR(__xludf.DUMMYFUNCTION("GOOGLETRANSLATE(B8883, ""es"", ""en"")"),"It's OK..")</f>
        <v>It's OK..</v>
      </c>
    </row>
    <row r="8884">
      <c r="A8884" s="1">
        <v>1.0</v>
      </c>
      <c r="B8884" s="1" t="s">
        <v>8811</v>
      </c>
      <c r="C8884" t="str">
        <f>IFERROR(__xludf.DUMMYFUNCTION("GOOGLETRANSLATE(B8884, ""es"", ""en"")"),"Sleazy My son opened very excited is easy to use but the grip handle is out (broken wine and plastic is not quality) and microphone hardly heard! If indeed remix. Sleazy not recommend")</f>
        <v>Sleazy My son opened very excited is easy to use but the grip handle is out (broken wine and plastic is not quality) and microphone hardly heard! If indeed remix. Sleazy not recommend</v>
      </c>
    </row>
    <row r="8885">
      <c r="A8885" s="1">
        <v>1.0</v>
      </c>
      <c r="B8885" s="1" t="s">
        <v>8812</v>
      </c>
      <c r="C8885" t="str">
        <f>IFERROR(__xludf.DUMMYFUNCTION("GOOGLETRANSLATE(B8885, ""es"", ""en"")"),"Nice but flawed Very nice but a ring is wrong and does not close as it should close. Otherwise it is functional but since the price entiebdo")</f>
        <v>Nice but flawed Very nice but a ring is wrong and does not close as it should close. Otherwise it is functional but since the price entiebdo</v>
      </c>
    </row>
    <row r="8886">
      <c r="A8886" s="1">
        <v>4.0</v>
      </c>
      <c r="B8886" s="1" t="s">
        <v>8813</v>
      </c>
      <c r="C8886" t="str">
        <f>IFERROR(__xludf.DUMMYFUNCTION("GOOGLETRANSLATE(B8886, ""es"", ""en"")"),"Very good, I recommend it very good, I recommend")</f>
        <v>Very good, I recommend it very good, I recommend</v>
      </c>
    </row>
    <row r="8887">
      <c r="A8887" s="1">
        <v>4.0</v>
      </c>
      <c r="B8887" s="1" t="s">
        <v>8814</v>
      </c>
      <c r="C8887" t="str">
        <f>IFERROR(__xludf.DUMMYFUNCTION("GOOGLETRANSLATE(B8887, ""es"", ""en"")"),"Excellent Good packaging packed, protected and exactly like what is shown.")</f>
        <v>Excellent Good packaging packed, protected and exactly like what is shown.</v>
      </c>
    </row>
    <row r="8888">
      <c r="A8888" s="1">
        <v>4.0</v>
      </c>
      <c r="B8888" s="1" t="s">
        <v>8815</v>
      </c>
      <c r="C8888" t="str">
        <f>IFERROR(__xludf.DUMMYFUNCTION("GOOGLETRANSLATE(B8888, ""es"", ""en"")"),"MAISA IS 39 BUT ME IS JUST BE DUE TO THE WIDTH OF THE UPPER MIO L IS MORE THAN USUAL OR")</f>
        <v>MAISA IS 39 BUT ME IS JUST BE DUE TO THE WIDTH OF THE UPPER MIO L IS MORE THAN USUAL OR</v>
      </c>
    </row>
    <row r="8889">
      <c r="A8889" s="1">
        <v>4.0</v>
      </c>
      <c r="B8889" s="1" t="s">
        <v>8816</v>
      </c>
      <c r="C8889" t="str">
        <f>IFERROR(__xludf.DUMMYFUNCTION("GOOGLETRANSLATE(B8889, ""es"", ""en"")"),"Bonitos Bonitos")</f>
        <v>Bonitos Bonitos</v>
      </c>
    </row>
    <row r="8890">
      <c r="A8890" s="1">
        <v>4.0</v>
      </c>
      <c r="B8890" s="1" t="s">
        <v>8817</v>
      </c>
      <c r="C8890" t="str">
        <f>IFERROR(__xludf.DUMMYFUNCTION("GOOGLETRANSLATE(B8890, ""es"", ""en"")"),"Bueo it has very good material and I have very good, maybe a little tight but it's because I asked for size S to make a test and then ask the other colors. Although I able the S I asked, other orders will be in M. Mido 1.74 cm")</f>
        <v>Bueo it has very good material and I have very good, maybe a little tight but it's because I asked for size S to make a test and then ask the other colors. Although I able the S I asked, other orders will be in M. Mido 1.74 cm</v>
      </c>
    </row>
    <row r="8891">
      <c r="A8891" s="1">
        <v>5.0</v>
      </c>
      <c r="B8891" s="1" t="s">
        <v>8818</v>
      </c>
      <c r="C8891" t="str">
        <f>IFERROR(__xludf.DUMMYFUNCTION("GOOGLETRANSLATE(B8891, ""es"", ""en"")"),"They are the perfect quality and my comfortable")</f>
        <v>They are the perfect quality and my comfortable</v>
      </c>
    </row>
    <row r="8892">
      <c r="A8892" s="1">
        <v>5.0</v>
      </c>
      <c r="B8892" s="1" t="s">
        <v>8819</v>
      </c>
      <c r="C8892" t="str">
        <f>IFERROR(__xludf.DUMMYFUNCTION("GOOGLETRANSLATE(B8892, ""es"", ""en"")"),"I've loved quality. Identical to the original, do not know if they are or not but the phone Samsung Music opens as soon as the connect and record a video to the music listening headphones and no ambient noise. If not original, they do not need to be so be"&amp;"cause they work just as well, although I would swear that they are.")</f>
        <v>I've loved quality. Identical to the original, do not know if they are or not but the phone Samsung Music opens as soon as the connect and record a video to the music listening headphones and no ambient noise. If not original, they do not need to be so because they work just as well, although I would swear that they are.</v>
      </c>
    </row>
    <row r="8893">
      <c r="A8893" s="1">
        <v>5.0</v>
      </c>
      <c r="B8893" s="1" t="s">
        <v>8820</v>
      </c>
      <c r="C8893" t="str">
        <f>IFERROR(__xludf.DUMMYFUNCTION("GOOGLETRANSLATE(B8893, ""es"", ""en"")"),"Practical, durable and ideal for saldas beautiful and sweet porridges. Although you can not put the microwave, I heat the porridge, stick it in the ChooMee and kept warm for about two hours. Very easily they washed with detergent and bottle brush.")</f>
        <v>Practical, durable and ideal for saldas beautiful and sweet porridges. Although you can not put the microwave, I heat the porridge, stick it in the ChooMee and kept warm for about two hours. Very easily they washed with detergent and bottle brush.</v>
      </c>
    </row>
    <row r="8894">
      <c r="A8894" s="1">
        <v>5.0</v>
      </c>
      <c r="B8894" s="1" t="s">
        <v>8821</v>
      </c>
      <c r="C8894" t="str">
        <f>IFERROR(__xludf.DUMMYFUNCTION("GOOGLETRANSLATE(B8894, ""es"", ""en"")"),"Nothing very well, very well.")</f>
        <v>Nothing very well, very well.</v>
      </c>
    </row>
    <row r="8895">
      <c r="A8895" s="1">
        <v>5.0</v>
      </c>
      <c r="B8895" s="1" t="s">
        <v>8822</v>
      </c>
      <c r="C8895" t="str">
        <f>IFERROR(__xludf.DUMMYFUNCTION("GOOGLETRANSLATE(B8895, ""es"", ""en"")"),"safe bet I have a couple of weeks giving everyday use and doing very well, maybe a little noisy but the truth is q I have not compared to others so q this point may not be a problem. Overall great value / price.")</f>
        <v>safe bet I have a couple of weeks giving everyday use and doing very well, maybe a little noisy but the truth is q I have not compared to others so q this point may not be a problem. Overall great value / price.</v>
      </c>
    </row>
    <row r="8896">
      <c r="A8896" s="1">
        <v>5.0</v>
      </c>
      <c r="B8896" s="1" t="s">
        <v>8823</v>
      </c>
      <c r="C8896" t="str">
        <f>IFERROR(__xludf.DUMMYFUNCTION("GOOGLETRANSLATE(B8896, ""es"", ""en"")"),"Very fast reading speeds Buy this pendrive mainly to spend my iPhone data to the PC, and me is great because it saves me lots of time. Speed ​​reading both as writer is quite fast.")</f>
        <v>Very fast reading speeds Buy this pendrive mainly to spend my iPhone data to the PC, and me is great because it saves me lots of time. Speed ​​reading both as writer is quite fast.</v>
      </c>
    </row>
    <row r="8897">
      <c r="A8897" s="1">
        <v>5.0</v>
      </c>
      <c r="B8897" s="1" t="s">
        <v>8824</v>
      </c>
      <c r="C8897" t="str">
        <f>IFERROR(__xludf.DUMMYFUNCTION("GOOGLETRANSLATE(B8897, ""es"", ""en"")"),"Three in one I picked for a children's room humidifier and as perfect as nightlight removes fears.")</f>
        <v>Three in one I picked for a children's room humidifier and as perfect as nightlight removes fears.</v>
      </c>
    </row>
    <row r="8898">
      <c r="A8898" s="1">
        <v>5.0</v>
      </c>
      <c r="B8898" s="1" t="s">
        <v>8825</v>
      </c>
      <c r="C8898" t="str">
        <f>IFERROR(__xludf.DUMMYFUNCTION("GOOGLETRANSLATE(B8898, ""es"", ""en"")"),"Aritos sizes sizes are fine, but faulted closure, it does not fit very well")</f>
        <v>Aritos sizes sizes are fine, but faulted closure, it does not fit very well</v>
      </c>
    </row>
    <row r="8899">
      <c r="A8899" s="1">
        <v>5.0</v>
      </c>
      <c r="B8899" s="1" t="s">
        <v>8826</v>
      </c>
      <c r="C8899" t="str">
        <f>IFERROR(__xludf.DUMMYFUNCTION("GOOGLETRANSLATE(B8899, ""es"", ""en"")"),"All ok. Date and model.")</f>
        <v>All ok. Date and model.</v>
      </c>
    </row>
    <row r="8900">
      <c r="A8900" s="1">
        <v>5.0</v>
      </c>
      <c r="B8900" s="1" t="s">
        <v>8827</v>
      </c>
      <c r="C8900" t="str">
        <f>IFERROR(__xludf.DUMMYFUNCTION("GOOGLETRANSLATE(B8900, ""es"", ""en"")"),"Super comfortable I bought these shirts to seeing them at 38 € since he had seen and had in his hand a few days before in a sports shop and were 50 €. I put me nothing receive them and are very comfortable. They fit like a glove (44EUR) and this model is "&amp;"leather, which makes them very pleasant to the touch. We'll see how they respond over time and kms but have good looks")</f>
        <v>Super comfortable I bought these shirts to seeing them at 38 € since he had seen and had in his hand a few days before in a sports shop and were 50 €. I put me nothing receive them and are very comfortable. They fit like a glove (44EUR) and this model is leather, which makes them very pleasant to the touch. We'll see how they respond over time and kms but have good looks</v>
      </c>
    </row>
    <row r="8901">
      <c r="A8901" s="1">
        <v>5.0</v>
      </c>
      <c r="B8901" s="1" t="s">
        <v>8828</v>
      </c>
      <c r="C8901" t="str">
        <f>IFERROR(__xludf.DUMMYFUNCTION("GOOGLETRANSLATE(B8901, ""es"", ""en"")"),"Strips of very good quality Very good. Are thinner than those usually sell. highly recommended")</f>
        <v>Strips of very good quality Very good. Are thinner than those usually sell. highly recommended</v>
      </c>
    </row>
    <row r="8902">
      <c r="A8902" s="1">
        <v>5.0</v>
      </c>
      <c r="B8902" s="1" t="s">
        <v>8829</v>
      </c>
      <c r="C8902" t="str">
        <f>IFERROR(__xludf.DUMMYFUNCTION("GOOGLETRANSLATE(B8902, ""es"", ""en"")"),"Good buy I liked")</f>
        <v>Good buy I liked</v>
      </c>
    </row>
    <row r="8903">
      <c r="A8903" s="1">
        <v>5.0</v>
      </c>
      <c r="B8903" s="1" t="s">
        <v>8830</v>
      </c>
      <c r="C8903" t="str">
        <f>IFERROR(__xludf.DUMMYFUNCTION("GOOGLETRANSLATE(B8903, ""es"", ""en"")"),"Top notch Implescindible for presentations with our mac, forward, backward, zoom, point of interest. And best, hard lot. ok price. ok delivery. ok seller. meets my expectations. definitely would buy it.")</f>
        <v>Top notch Implescindible for presentations with our mac, forward, backward, zoom, point of interest. And best, hard lot. ok price. ok delivery. ok seller. meets my expectations. definitely would buy it.</v>
      </c>
    </row>
    <row r="8904">
      <c r="A8904" s="1">
        <v>5.0</v>
      </c>
      <c r="B8904" s="1" t="s">
        <v>8831</v>
      </c>
      <c r="C8904" t="str">
        <f>IFERROR(__xludf.DUMMYFUNCTION("GOOGLETRANSLATE(B8904, ""es"", ""en"")"),"Well everything perfect, I have had other similar characteristics before and this is fine, everything perfect and being used daily")</f>
        <v>Well everything perfect, I have had other similar characteristics before and this is fine, everything perfect and being used daily</v>
      </c>
    </row>
    <row r="8905">
      <c r="A8905" s="1">
        <v>5.0</v>
      </c>
      <c r="B8905" s="1" t="s">
        <v>8832</v>
      </c>
      <c r="C8905" t="str">
        <f>IFERROR(__xludf.DUMMYFUNCTION("GOOGLETRANSLATE(B8905, ""es"", ""en"")"),"comfortable everything is fine")</f>
        <v>comfortable everything is fine</v>
      </c>
    </row>
    <row r="8906">
      <c r="A8906" s="1">
        <v>5.0</v>
      </c>
      <c r="B8906" s="1" t="s">
        <v>8833</v>
      </c>
      <c r="C8906" t="str">
        <f>IFERROR(__xludf.DUMMYFUNCTION("GOOGLETRANSLATE(B8906, ""es"", ""en"")"),"/ Value Good quality, noticeable on sight, the loaded very practical and elegant, you can take it in a pocket smoothly. It connects easily and has good sound. Happy with purchase")</f>
        <v>/ Value Good quality, noticeable on sight, the loaded very practical and elegant, you can take it in a pocket smoothly. It connects easily and has good sound. Happy with purchase</v>
      </c>
    </row>
    <row r="8907">
      <c r="A8907" s="1">
        <v>5.0</v>
      </c>
      <c r="B8907" s="1" t="s">
        <v>8834</v>
      </c>
      <c r="C8907" t="str">
        <f>IFERROR(__xludf.DUMMYFUNCTION("GOOGLETRANSLATE(B8907, ""es"", ""en"")"),"Good value Excellent for the price they have. The quality of the sound is not optimal, but for three euros is very good. Sound control and microphone work perfectly.")</f>
        <v>Good value Excellent for the price they have. The quality of the sound is not optimal, but for three euros is very good. Sound control and microphone work perfectly.</v>
      </c>
    </row>
    <row r="8908">
      <c r="A8908" s="1">
        <v>5.0</v>
      </c>
      <c r="B8908" s="1" t="s">
        <v>8835</v>
      </c>
      <c r="C8908" t="str">
        <f>IFERROR(__xludf.DUMMYFUNCTION("GOOGLETRANSLATE(B8908, ""es"", ""en"")"),"Aquiri very good thing for a gift and I have been great with the person who did it. Very good impression")</f>
        <v>Aquiri very good thing for a gift and I have been great with the person who did it. Very good impression</v>
      </c>
    </row>
    <row r="8909">
      <c r="A8909" s="1">
        <v>2.0</v>
      </c>
      <c r="B8909" s="1" t="s">
        <v>8836</v>
      </c>
      <c r="C8909" t="str">
        <f>IFERROR(__xludf.DUMMYFUNCTION("GOOGLETRANSLATE(B8909, ""es"", ""en"")"),"Would not buy is very comfortable but far less heated than expected.")</f>
        <v>Would not buy is very comfortable but far less heated than expected.</v>
      </c>
    </row>
    <row r="8910">
      <c r="A8910" s="1">
        <v>3.0</v>
      </c>
      <c r="B8910" s="1" t="s">
        <v>8837</v>
      </c>
      <c r="C8910" t="str">
        <f>IFERROR(__xludf.DUMMYFUNCTION("GOOGLETRANSLATE(B8910, ""es"", ""en"")"),"Good for what it is very soft. It seems warm. I have not yet but I washed it remain a towel! I have an M and I caught the L and do well ... The only thing with the color you chose thinking it would look like an Ewok different ... the bad is shipping it to"&amp;"ok a lot to get because of that it comes from China. If I wanted something China would ask for Aliexpres, I think they should specify the origin ...")</f>
        <v>Good for what it is very soft. It seems warm. I have not yet but I washed it remain a towel! I have an M and I caught the L and do well ... The only thing with the color you chose thinking it would look like an Ewok different ... the bad is shipping it took a lot to get because of that it comes from China. If I wanted something China would ask for Aliexpres, I think they should specify the origin ...</v>
      </c>
    </row>
    <row r="8911">
      <c r="A8911" s="1">
        <v>3.0</v>
      </c>
      <c r="B8911" s="1" t="s">
        <v>8838</v>
      </c>
      <c r="C8911" t="str">
        <f>IFERROR(__xludf.DUMMYFUNCTION("GOOGLETRANSLATE(B8911, ""es"", ""en"")"),"Great as expected, it fulfills its mission very good price and came at a time recor.")</f>
        <v>Great as expected, it fulfills its mission very good price and came at a time recor.</v>
      </c>
    </row>
    <row r="8912">
      <c r="A8912" s="1">
        <v>1.0</v>
      </c>
      <c r="B8912" s="1" t="s">
        <v>8839</v>
      </c>
      <c r="C8912" t="str">
        <f>IFERROR(__xludf.DUMMYFUNCTION("GOOGLETRANSLATE(B8912, ""es"", ""en"")"),"I do not feel pure not satisfied with the product I think q no real purity would not buy")</f>
        <v>I do not feel pure not satisfied with the product I think q no real purity would not buy</v>
      </c>
    </row>
    <row r="8913">
      <c r="A8913" s="1">
        <v>1.0</v>
      </c>
      <c r="B8913" s="1" t="s">
        <v>8840</v>
      </c>
      <c r="C8913" t="str">
        <f>IFERROR(__xludf.DUMMYFUNCTION("GOOGLETRANSLATE(B8913, ""es"", ""en"")"),"a horrible noise is lovely ago but it's all out with an unbearable noise when you turn it on. Come on, it's not so unbearable that I let my kids use. A shame, really.")</f>
        <v>a horrible noise is lovely ago but it's all out with an unbearable noise when you turn it on. Come on, it's not so unbearable that I let my kids use. A shame, really.</v>
      </c>
    </row>
    <row r="8914">
      <c r="A8914" s="1">
        <v>1.0</v>
      </c>
      <c r="B8914" s="1" t="s">
        <v>8841</v>
      </c>
      <c r="C8914" t="str">
        <f>IFERROR(__xludf.DUMMYFUNCTION("GOOGLETRANSLATE(B8914, ""es"", ""en"")"),"Do not buy a scam I lasted 3 months, a shame. He used it to smoothies and even every day. It has undone the part where the accessories are inserted completely useless. I am forced to go to the service, to waste my time, when what they should do at least i"&amp;"s send me a new one.")</f>
        <v>Do not buy a scam I lasted 3 months, a shame. He used it to smoothies and even every day. It has undone the part where the accessories are inserted completely useless. I am forced to go to the service, to waste my time, when what they should do at least is send me a new one.</v>
      </c>
    </row>
    <row r="8915">
      <c r="A8915" s="1">
        <v>4.0</v>
      </c>
      <c r="B8915" s="1" t="s">
        <v>8842</v>
      </c>
      <c r="C8915" t="str">
        <f>IFERROR(__xludf.DUMMYFUNCTION("GOOGLETRANSLATE(B8915, ""es"", ""en"")"),"Good case for memory cards. As I put in the title a good case for cards with a great capacity despite its small size and well finished, a good buy")</f>
        <v>Good case for memory cards. As I put in the title a good case for cards with a great capacity despite its small size and well finished, a good buy</v>
      </c>
    </row>
    <row r="8916">
      <c r="A8916" s="1">
        <v>4.0</v>
      </c>
      <c r="B8916" s="1" t="s">
        <v>8843</v>
      </c>
      <c r="C8916" t="str">
        <f>IFERROR(__xludf.DUMMYFUNCTION("GOOGLETRANSLATE(B8916, ""es"", ""en"")"),"A great option I have a Roomba vacuum cleaner robot and bought this as a gift. After I see it working, I liked even more than the Roomba, especially their application.")</f>
        <v>A great option I have a Roomba vacuum cleaner robot and bought this as a gift. After I see it working, I liked even more than the Roomba, especially their application.</v>
      </c>
    </row>
    <row r="8917">
      <c r="A8917" s="1">
        <v>4.0</v>
      </c>
      <c r="B8917" s="1" t="s">
        <v>8844</v>
      </c>
      <c r="C8917" t="str">
        <f>IFERROR(__xludf.DUMMYFUNCTION("GOOGLETRANSLATE(B8917, ""es"", ""en"")"),"Good socks have still not released but seem to touch an acceptable quality and size I have hit.")</f>
        <v>Good socks have still not released but seem to touch an acceptable quality and size I have hit.</v>
      </c>
    </row>
    <row r="8918">
      <c r="A8918" s="1">
        <v>4.0</v>
      </c>
      <c r="B8918" s="1" t="s">
        <v>8845</v>
      </c>
      <c r="C8918" t="str">
        <f>IFERROR(__xludf.DUMMYFUNCTION("GOOGLETRANSLATE(B8918, ""es"", ""en"")"),"Good quality. Logo scraped the inside. Good quality. Fits like a glove. Nice design. The only thing the Nike label, the q Logo is sewn on the front, scraped the skin on the inside.")</f>
        <v>Good quality. Logo scraped the inside. Good quality. Fits like a glove. Nice design. The only thing the Nike label, the q Logo is sewn on the front, scraped the skin on the inside.</v>
      </c>
    </row>
    <row r="8919">
      <c r="A8919" s="1">
        <v>4.0</v>
      </c>
      <c r="B8919" s="1" t="s">
        <v>8846</v>
      </c>
      <c r="C8919" t="str">
        <f>IFERROR(__xludf.DUMMYFUNCTION("GOOGLETRANSLATE(B8919, ""es"", ""en"")"),"Good product Util")</f>
        <v>Good product Util</v>
      </c>
    </row>
    <row r="8920">
      <c r="A8920" s="1">
        <v>5.0</v>
      </c>
      <c r="B8920" s="1" t="s">
        <v>8847</v>
      </c>
      <c r="C8920" t="str">
        <f>IFERROR(__xludf.DUMMYFUNCTION("GOOGLETRANSLATE(B8920, ""es"", ""en"")"),"It's good choice of very good quality but I returned that to use that would give him is great. It is also waterproof and scratch resistant.")</f>
        <v>It's good choice of very good quality but I returned that to use that would give him is great. It is also waterproof and scratch resistant.</v>
      </c>
    </row>
    <row r="8921">
      <c r="A8921" s="1">
        <v>5.0</v>
      </c>
      <c r="B8921" s="1" t="s">
        <v>8848</v>
      </c>
      <c r="C8921" t="str">
        <f>IFERROR(__xludf.DUMMYFUNCTION("GOOGLETRANSLATE(B8921, ""es"", ""en"")"),". I really like even though the size of the largest is excessive")</f>
        <v>. I really like even though the size of the largest is excessive</v>
      </c>
    </row>
    <row r="8922">
      <c r="A8922" s="1">
        <v>5.0</v>
      </c>
      <c r="B8922" s="1" t="s">
        <v>8849</v>
      </c>
      <c r="C8922" t="str">
        <f>IFERROR(__xludf.DUMMYFUNCTION("GOOGLETRANSLATE(B8922, ""es"", ""en"")"),"Fun for all ages Now that the kids are a little bigger and love to sing and dance decided to buy a microphone to liven up the holidays. We did not expect much, but the truth that we have led a suprise microphone is good lightweight size and attractive des"&amp;"ign, very easy to connect and use. The sound is very clean and the materials are strong and resilient, it has already surpassed some blow another. Satisfied with the purchase and children even more.")</f>
        <v>Fun for all ages Now that the kids are a little bigger and love to sing and dance decided to buy a microphone to liven up the holidays. We did not expect much, but the truth that we have led a suprise microphone is good lightweight size and attractive design, very easy to connect and use. The sound is very clean and the materials are strong and resilient, it has already surpassed some blow another. Satisfied with the purchase and children even more.</v>
      </c>
    </row>
    <row r="8923">
      <c r="A8923" s="1">
        <v>5.0</v>
      </c>
      <c r="B8923" s="1" t="s">
        <v>8850</v>
      </c>
      <c r="C8923" t="str">
        <f>IFERROR(__xludf.DUMMYFUNCTION("GOOGLETRANSLATE(B8923, ""es"", ""en"")"),"Sony needed is a wireless and helmets quality and price I decided on these Sony. Wonder make their function; and what they want to film. No problem to pair with other enabled devices. Duration, such as mobile, depend on the cane that they target, but a fe"&amp;"w hours if you have. I tested the headset. What I like least is are somewhat uncomfortable in front of others I've had in its class (is my appreciation). The rest, it said, value / good price.")</f>
        <v>Sony needed is a wireless and helmets quality and price I decided on these Sony. Wonder make their function; and what they want to film. No problem to pair with other enabled devices. Duration, such as mobile, depend on the cane that they target, but a few hours if you have. I tested the headset. What I like least is are somewhat uncomfortable in front of others I've had in its class (is my appreciation). The rest, it said, value / good price.</v>
      </c>
    </row>
    <row r="8924">
      <c r="A8924" s="1">
        <v>5.0</v>
      </c>
      <c r="B8924" s="1" t="s">
        <v>8851</v>
      </c>
      <c r="C8924" t="str">
        <f>IFERROR(__xludf.DUMMYFUNCTION("GOOGLETRANSLATE(B8924, ""es"", ""en"")"),"Cracking good buy headphones, they are the first to have wireless and have loved it. Connect seamlessly with all devices that use such as mobile, TV and mp3. You can have the phone on the table and using headphones, to be having a conversation perfectly. "&amp;"The sound is very good, they adapt very well to the ears and do not bother anything, the time you forget that you're wearing. I used the couple also go to the gym, and also liked a lot in this field, you forget to untangle the wires annoying typical headp"&amp;"hones, take the mp3 or mobile in the bosillo training. Are loaded into the shits itself where they are kept, the battery life is very long. The package comes with a small bag to keep the box and it also brings different tires of various sizes to best suit"&amp;" everyone's ears. I recommend it.")</f>
        <v>Cracking good buy headphones, they are the first to have wireless and have loved it. Connect seamlessly with all devices that use such as mobile, TV and mp3. You can have the phone on the table and using headphones, to be having a conversation perfectly. The sound is very good, they adapt very well to the ears and do not bother anything, the time you forget that you're wearing. I used the couple also go to the gym, and also liked a lot in this field, you forget to untangle the wires annoying typical headphones, take the mp3 or mobile in the bosillo training. Are loaded into the shits itself where they are kept, the battery life is very long. The package comes with a small bag to keep the box and it also brings different tires of various sizes to best suit everyone's ears. I recommend it.</v>
      </c>
    </row>
    <row r="8925">
      <c r="A8925" s="1">
        <v>5.0</v>
      </c>
      <c r="B8925" s="1" t="s">
        <v>8852</v>
      </c>
      <c r="C8925" t="str">
        <f>IFERROR(__xludf.DUMMYFUNCTION("GOOGLETRANSLATE(B8925, ""es"", ""en"")"),"Good quality materials and accessories. I use them to listen to the radio at work. I'll give you bad life, I need not be expensive and put up. The quality of the cable and the plug is very good, come with a plastic box for storage, ear adapters parts and "&amp;"clamp. Do not expect high-fidelity music, but to talk on the phone and listen to the radio are fine.")</f>
        <v>Good quality materials and accessories. I use them to listen to the radio at work. I'll give you bad life, I need not be expensive and put up. The quality of the cable and the plug is very good, come with a plastic box for storage, ear adapters parts and clamp. Do not expect high-fidelity music, but to talk on the phone and listen to the radio are fine.</v>
      </c>
    </row>
    <row r="8926">
      <c r="A8926" s="1">
        <v>5.0</v>
      </c>
      <c r="B8926" s="1" t="s">
        <v>8853</v>
      </c>
      <c r="C8926" t="str">
        <f>IFERROR(__xludf.DUMMYFUNCTION("GOOGLETRANSLATE(B8926, ""es"", ""en"")"),"I have earned good headset cable that connects minijack, needed because mobile to hear FM radio headphones plug required and wanted ones that were cheap but with good sound. Successful and I also do not fall because I change the plastic ear pad 3 sizes it"&amp;" brings. Very useful")</f>
        <v>I have earned good headset cable that connects minijack, needed because mobile to hear FM radio headphones plug required and wanted ones that were cheap but with good sound. Successful and I also do not fall because I change the plastic ear pad 3 sizes it brings. Very useful</v>
      </c>
    </row>
    <row r="8927">
      <c r="A8927" s="1">
        <v>5.0</v>
      </c>
      <c r="B8927" s="1" t="s">
        <v>8854</v>
      </c>
      <c r="C8927" t="str">
        <f>IFERROR(__xludf.DUMMYFUNCTION("GOOGLETRANSLATE(B8927, ""es"", ""en"")"),"Great Perfect for all")</f>
        <v>Great Perfect for all</v>
      </c>
    </row>
    <row r="8928">
      <c r="A8928" s="1">
        <v>5.0</v>
      </c>
      <c r="B8928" s="1" t="s">
        <v>8855</v>
      </c>
      <c r="C8928" t="str">
        <f>IFERROR(__xludf.DUMMYFUNCTION("GOOGLETRANSLATE(B8928, ""es"", ""en"")"),"PRECIOUS wonderful, VERY NICE VERY GOOD VALUE FOR MONEY.")</f>
        <v>PRECIOUS wonderful, VERY NICE VERY GOOD VALUE FOR MONEY.</v>
      </c>
    </row>
    <row r="8929">
      <c r="A8929" s="1">
        <v>5.0</v>
      </c>
      <c r="B8929" s="1" t="s">
        <v>8856</v>
      </c>
      <c r="C8929" t="str">
        <f>IFERROR(__xludf.DUMMYFUNCTION("GOOGLETRANSLATE(B8929, ""es"", ""en"")"),"Shoes for sports or daily nothing to envy of any brand are comfortable size is just, I fie I use, in addition to confirming the measures that were on the table, the sole is quite comfortable for the time being liked, it is clear that we must begin to give"&amp;" use to find your durabibilidad but look good, besides the colors fascinan.de satisfied me time.")</f>
        <v>Shoes for sports or daily nothing to envy of any brand are comfortable size is just, I fie I use, in addition to confirming the measures that were on the table, the sole is quite comfortable for the time being liked, it is clear that we must begin to give use to find your durabibilidad but look good, besides the colors fascinan.de satisfied me time.</v>
      </c>
    </row>
    <row r="8930">
      <c r="A8930" s="1">
        <v>5.0</v>
      </c>
      <c r="B8930" s="1" t="s">
        <v>8857</v>
      </c>
      <c r="C8930" t="str">
        <f>IFERROR(__xludf.DUMMYFUNCTION("GOOGLETRANSLATE(B8930, ""es"", ""en"")"),"Helmets best quality / price you can find right now is as it is seen in the image are built in good quality. PROS: Excellent sound quality STEREO very comfortable in the head, I use them for hours and do not bother me in your box brings a bag to carry an "&amp;"adapter 3.5mm to 6.3mm Jack, 2 wires one 1 meter and other of 3 meters and a clip to secure the cable to helmets the cable can be released, so if by some chance it breaks, could be replaced without any problem, only would it be with another jack cable con"&amp;"nection 3 5mm. CONS: Synthetic leather pads are somewhat hot especially in summer Extra Comment: There are semi-open headphones that any of you may hold back because they can hear out what is currently listening to. I recommend buy pads from the Velor bra"&amp;"nd for AKG 240, which fit perfectly into these helmets and are velvet.")</f>
        <v>Helmets best quality / price you can find right now is as it is seen in the image are built in good quality. PROS: Excellent sound quality STEREO very comfortable in the head, I use them for hours and do not bother me in your box brings a bag to carry an adapter 3.5mm to 6.3mm Jack, 2 wires one 1 meter and other of 3 meters and a clip to secure the cable to helmets the cable can be released, so if by some chance it breaks, could be replaced without any problem, only would it be with another jack cable connection 3 5mm. CONS: Synthetic leather pads are somewhat hot especially in summer Extra Comment: There are semi-open headphones that any of you may hold back because they can hear out what is currently listening to. I recommend buy pads from the Velor brand for AKG 240, which fit perfectly into these helmets and are velvet.</v>
      </c>
    </row>
    <row r="8931">
      <c r="A8931" s="1">
        <v>5.0</v>
      </c>
      <c r="B8931" s="1" t="s">
        <v>8858</v>
      </c>
      <c r="C8931" t="str">
        <f>IFERROR(__xludf.DUMMYFUNCTION("GOOGLETRANSLATE(B8931, ""es"", ""en"")"),"Great value for the price. 500gb ssd m2 of a very well priced offers decent performance for use as an external USB drive that does not suffer from the typical problems of USB flash drives.")</f>
        <v>Great value for the price. 500gb ssd m2 of a very well priced offers decent performance for use as an external USB drive that does not suffer from the typical problems of USB flash drives.</v>
      </c>
    </row>
    <row r="8932">
      <c r="A8932" s="1">
        <v>5.0</v>
      </c>
      <c r="B8932" s="1" t="s">
        <v>8859</v>
      </c>
      <c r="C8932" t="str">
        <f>IFERROR(__xludf.DUMMYFUNCTION("GOOGLETRANSLATE(B8932, ""es"", ""en"")"),"Good quality flashcards are good quality and good price. The rope is great and had the perfect fit for what I needed.")</f>
        <v>Good quality flashcards are good quality and good price. The rope is great and had the perfect fit for what I needed.</v>
      </c>
    </row>
    <row r="8933">
      <c r="A8933" s="1">
        <v>5.0</v>
      </c>
      <c r="B8933" s="1" t="s">
        <v>8860</v>
      </c>
      <c r="C8933" t="str">
        <f>IFERROR(__xludf.DUMMYFUNCTION("GOOGLETRANSLATE(B8933, ""es"", ""en"")"),"Hot and very comfortable satisfied")</f>
        <v>Hot and very comfortable satisfied</v>
      </c>
    </row>
    <row r="8934">
      <c r="A8934" s="1">
        <v>5.0</v>
      </c>
      <c r="B8934" s="1" t="s">
        <v>8861</v>
      </c>
      <c r="C8934" t="str">
        <f>IFERROR(__xludf.DUMMYFUNCTION("GOOGLETRANSLATE(B8934, ""es"", ""en"")"),"Fully recommended very light and simple magnetic board high quality. I ordered the smallest and I was right size, I needed. It comes with hooks for hanging wall holder and pen tray. If you use the right markers are great clean.")</f>
        <v>Fully recommended very light and simple magnetic board high quality. I ordered the smallest and I was right size, I needed. It comes with hooks for hanging wall holder and pen tray. If you use the right markers are great clean.</v>
      </c>
    </row>
    <row r="8935">
      <c r="A8935" s="1">
        <v>5.0</v>
      </c>
      <c r="B8935" s="1" t="s">
        <v>8862</v>
      </c>
      <c r="C8935" t="str">
        <f>IFERROR(__xludf.DUMMYFUNCTION("GOOGLETRANSLATE(B8935, ""es"", ""en"")"),"Hand mixer I bought a pack with various accessories and have proven to have good power and different levels. I use it to puree to the baby. The container comes with a handle, I'm not sure resistance to a fall, but will be careful and happy moment with pur"&amp;"chase.")</f>
        <v>Hand mixer I bought a pack with various accessories and have proven to have good power and different levels. I use it to puree to the baby. The container comes with a handle, I'm not sure resistance to a fall, but will be careful and happy moment with purchase.</v>
      </c>
    </row>
    <row r="8936">
      <c r="A8936" s="1">
        <v>5.0</v>
      </c>
      <c r="B8936" s="1" t="s">
        <v>8863</v>
      </c>
      <c r="C8936" t="str">
        <f>IFERROR(__xludf.DUMMYFUNCTION("GOOGLETRANSLATE(B8936, ""es"", ""en"")"),"All good. Excellent!")</f>
        <v>All good. Excellent!</v>
      </c>
    </row>
    <row r="8937">
      <c r="A8937" s="1">
        <v>5.0</v>
      </c>
      <c r="B8937" s="1" t="s">
        <v>8864</v>
      </c>
      <c r="C8937" t="str">
        <f>IFERROR(__xludf.DUMMYFUNCTION("GOOGLETRANSLATE(B8937, ""es"", ""en"")"),"I really like the precious rings, do not show everyone in the picture because they do not fit me in hand, is a fairly standard size I have not wet so I do not know how to react to water in general good.")</f>
        <v>I really like the precious rings, do not show everyone in the picture because they do not fit me in hand, is a fairly standard size I have not wet so I do not know how to react to water in general good.</v>
      </c>
    </row>
    <row r="8938">
      <c r="A8938" s="1">
        <v>5.0</v>
      </c>
      <c r="B8938" s="1" t="s">
        <v>8865</v>
      </c>
      <c r="C8938" t="str">
        <f>IFERROR(__xludf.DUMMYFUNCTION("GOOGLETRANSLATE(B8938, ""es"", ""en"")"),"Well quite normal perecto")</f>
        <v>Well quite normal perecto</v>
      </c>
    </row>
    <row r="8939">
      <c r="A8939" s="1">
        <v>2.0</v>
      </c>
      <c r="B8939" s="1" t="s">
        <v>8866</v>
      </c>
      <c r="C8939" t="str">
        <f>IFERROR(__xludf.DUMMYFUNCTION("GOOGLETRANSLATE(B8939, ""es"", ""en"")"),"Regular jacket looks good quality despite anke ke was with no redilla lining and what struck me ke is the tag sets made in China and the other to buy for my daughter gets made in Bangladesh.tengo doubts ke is original")</f>
        <v>Regular jacket looks good quality despite anke ke was with no redilla lining and what struck me ke is the tag sets made in China and the other to buy for my daughter gets made in Bangladesh.tengo doubts ke is original</v>
      </c>
    </row>
    <row r="8940">
      <c r="A8940" s="1">
        <v>3.0</v>
      </c>
      <c r="B8940" s="1" t="s">
        <v>8867</v>
      </c>
      <c r="C8940" t="str">
        <f>IFERROR(__xludf.DUMMYFUNCTION("GOOGLETRANSLATE(B8940, ""es"", ""en"")"),"Good capacity / price, Ruidoso, less quickly than promised q ... less quickly than he expected with its 7200rpm and 256mg cache. Put some noise. Otherwise well.")</f>
        <v>Good capacity / price, Ruidoso, less quickly than promised q ... less quickly than he expected with its 7200rpm and 256mg cache. Put some noise. Otherwise well.</v>
      </c>
    </row>
    <row r="8941">
      <c r="A8941" s="1">
        <v>3.0</v>
      </c>
      <c r="B8941" s="1" t="s">
        <v>8868</v>
      </c>
      <c r="C8941" t="str">
        <f>IFERROR(__xludf.DUMMYFUNCTION("GOOGLETRANSLATE(B8941, ""es"", ""en"")"),"Silky fabric, but transparent. Among the photo of the merchant and opinions, all confused. Let's see, it is a very pleasant, silky fabric cool and comfortable for those who do not mind to move him with certain transparency, especially on sunny days. MI ph"&amp;"oto was taken on a cloudy day and indoors, it is not very noticeable, but the pockets are my shorts and striped too. I did not want that picture up close for obvious reasons. It is loose, as it appears in my Fotol not tight and firm as one would think to "&amp;"see her in the ad. They applied air and that confuses buyers. It would not have been the same if we saw a model. The pockets are long, are transparent. And woe to those who use other color underpants. Too much for me, a guy in quarantine.")</f>
        <v>Silky fabric, but transparent. Among the photo of the merchant and opinions, all confused. Let's see, it is a very pleasant, silky fabric cool and comfortable for those who do not mind to move him with certain transparency, especially on sunny days. MI photo was taken on a cloudy day and indoors, it is not very noticeable, but the pockets are my shorts and striped too. I did not want that picture up close for obvious reasons. It is loose, as it appears in my Fotol not tight and firm as one would think to see her in the ad. They applied air and that confuses buyers. It would not have been the same if we saw a model. The pockets are long, are transparent. And woe to those who use other color underpants. Too much for me, a guy in quarantine.</v>
      </c>
    </row>
    <row r="8942">
      <c r="A8942" s="1">
        <v>1.0</v>
      </c>
      <c r="B8942" s="1" t="s">
        <v>8869</v>
      </c>
      <c r="C8942" t="str">
        <f>IFERROR(__xludf.DUMMYFUNCTION("GOOGLETRANSLATE(B8942, ""es"", ""en"")"),"A month and little disjointed toe seam not understand how after a month and soon, without excessive use, have been the two leading descoserse.")</f>
        <v>A month and little disjointed toe seam not understand how after a month and soon, without excessive use, have been the two leading descoserse.</v>
      </c>
    </row>
    <row r="8943">
      <c r="A8943" s="1">
        <v>1.0</v>
      </c>
      <c r="B8943" s="1" t="s">
        <v>8870</v>
      </c>
      <c r="C8943" t="str">
        <f>IFERROR(__xludf.DUMMYFUNCTION("GOOGLETRANSLATE(B8943, ""es"", ""en"")"),"Malisima blenders have used it 5 times and started to smoke. And reluctantly me again. It is clear that this mixer deserves nothing worth. At the end you have to spend money on something good once, but more money is spent.")</f>
        <v>Malisima blenders have used it 5 times and started to smoke. And reluctantly me again. It is clear that this mixer deserves nothing worth. At the end you have to spend money on something good once, but more money is spent.</v>
      </c>
    </row>
    <row r="8944">
      <c r="A8944" s="1">
        <v>4.0</v>
      </c>
      <c r="B8944" s="1" t="s">
        <v>8871</v>
      </c>
      <c r="C8944" t="str">
        <f>IFERROR(__xludf.DUMMYFUNCTION("GOOGLETRANSLATE(B8944, ""es"", ""en"")"),"New Balance shoes All right. As seen in the ad")</f>
        <v>New Balance shoes All right. As seen in the ad</v>
      </c>
    </row>
    <row r="8945">
      <c r="A8945" s="1">
        <v>4.0</v>
      </c>
      <c r="B8945" s="1" t="s">
        <v>8872</v>
      </c>
      <c r="C8945" t="str">
        <f>IFERROR(__xludf.DUMMYFUNCTION("GOOGLETRANSLATE(B8945, ""es"", ""en"")"),"Good product good product quality. I've tested on a day with no breeze very high and works well clarifying the air noise. Perfect for DSLR microphones Rode brand. The only downside that I give is that you have to remove the black antipop and put the Deadc"&amp;"at. NO can overlap to refine more. Otherwise, perfect.")</f>
        <v>Good product good product quality. I've tested on a day with no breeze very high and works well clarifying the air noise. Perfect for DSLR microphones Rode brand. The only downside that I give is that you have to remove the black antipop and put the Deadcat. NO can overlap to refine more. Otherwise, perfect.</v>
      </c>
    </row>
    <row r="8946">
      <c r="A8946" s="1">
        <v>4.0</v>
      </c>
      <c r="B8946" s="1" t="s">
        <v>8873</v>
      </c>
      <c r="C8946" t="str">
        <f>IFERROR(__xludf.DUMMYFUNCTION("GOOGLETRANSLATE(B8946, ""es"", ""en"")"),"A cash drawer unbeatable value! It works perfectly, we arrived in perfect condition and quite fast. It is fully compatible with our ticket printer.")</f>
        <v>A cash drawer unbeatable value! It works perfectly, we arrived in perfect condition and quite fast. It is fully compatible with our ticket printer.</v>
      </c>
    </row>
    <row r="8947">
      <c r="A8947" s="1">
        <v>4.0</v>
      </c>
      <c r="B8947" s="1" t="s">
        <v>8874</v>
      </c>
      <c r="C8947" t="str">
        <f>IFERROR(__xludf.DUMMYFUNCTION("GOOGLETRANSLATE(B8947, ""es"", ""en"")"),"It makes your paper tape ideal for LED strips. I use a change of room and had to replace the tape. A little pricey, but perfect.")</f>
        <v>It makes your paper tape ideal for LED strips. I use a change of room and had to replace the tape. A little pricey, but perfect.</v>
      </c>
    </row>
    <row r="8948">
      <c r="A8948" s="1">
        <v>5.0</v>
      </c>
      <c r="B8948" s="1" t="s">
        <v>8875</v>
      </c>
      <c r="C8948" t="str">
        <f>IFERROR(__xludf.DUMMYFUNCTION("GOOGLETRANSLATE(B8948, ""es"", ""en"")"),"cunple the expectations is what it says. A pendrive 32gb with USB3.0. Nothing to add")</f>
        <v>cunple the expectations is what it says. A pendrive 32gb with USB3.0. Nothing to add</v>
      </c>
    </row>
    <row r="8949">
      <c r="A8949" s="1">
        <v>5.0</v>
      </c>
      <c r="B8949" s="1" t="s">
        <v>8876</v>
      </c>
      <c r="C8949" t="str">
        <f>IFERROR(__xludf.DUMMYFUNCTION("GOOGLETRANSLATE(B8949, ""es"", ""en"")"),"I like a lot and my baby too! They are well, I come to use the Doctor Brown and I prefer these, from 3-4 months no longer need the anti-colic")</f>
        <v>I like a lot and my baby too! They are well, I come to use the Doctor Brown and I prefer these, from 3-4 months no longer need the anti-colic</v>
      </c>
    </row>
    <row r="8950">
      <c r="A8950" s="1">
        <v>5.0</v>
      </c>
      <c r="B8950" s="1" t="s">
        <v>8877</v>
      </c>
      <c r="C8950" t="str">
        <f>IFERROR(__xludf.DUMMYFUNCTION("GOOGLETRANSLATE(B8950, ""es"", ""en"")"),"Recomendables to 101% are very comfortable and not ostentatious Timberland")</f>
        <v>Recomendables to 101% are very comfortable and not ostentatious Timberland</v>
      </c>
    </row>
    <row r="8951">
      <c r="A8951" s="1">
        <v>5.0</v>
      </c>
      <c r="B8951" s="1" t="s">
        <v>8878</v>
      </c>
      <c r="C8951" t="str">
        <f>IFERROR(__xludf.DUMMYFUNCTION("GOOGLETRANSLATE(B8951, ""es"", ""en"")"),"Quick and easy is the first kettle I have and the truth is I am very satisfied with the purchase. Very easy and quick to use. Concerning the aesthetic, I love the blue LED lights while the water boils. It is certainly a wise purchase, I recommend 100%.")</f>
        <v>Quick and easy is the first kettle I have and the truth is I am very satisfied with the purchase. Very easy and quick to use. Concerning the aesthetic, I love the blue LED lights while the water boils. It is certainly a wise purchase, I recommend 100%.</v>
      </c>
    </row>
    <row r="8952">
      <c r="A8952" s="1">
        <v>5.0</v>
      </c>
      <c r="B8952" s="1" t="s">
        <v>8879</v>
      </c>
      <c r="C8952" t="str">
        <f>IFERROR(__xludf.DUMMYFUNCTION("GOOGLETRANSLATE(B8952, ""es"", ""en"")"),"Delivery Meets every perfect perfect everything promised")</f>
        <v>Delivery Meets every perfect perfect everything promised</v>
      </c>
    </row>
    <row r="8953">
      <c r="A8953" s="1">
        <v>5.0</v>
      </c>
      <c r="B8953" s="1" t="s">
        <v>8880</v>
      </c>
      <c r="C8953" t="str">
        <f>IFERROR(__xludf.DUMMYFUNCTION("GOOGLETRANSLATE(B8953, ""es"", ""en"")"),"Clara Valley of the Beautiful! I am delighted with them, very comfortable and go with almost all the clothes, money and unbeatable stuff! I recommend 100%")</f>
        <v>Clara Valley of the Beautiful! I am delighted with them, very comfortable and go with almost all the clothes, money and unbeatable stuff! I recommend 100%</v>
      </c>
    </row>
    <row r="8954">
      <c r="A8954" s="1">
        <v>5.0</v>
      </c>
      <c r="B8954" s="1" t="s">
        <v>8881</v>
      </c>
      <c r="C8954" t="str">
        <f>IFERROR(__xludf.DUMMYFUNCTION("GOOGLETRANSLATE(B8954, ""es"", ""en"")"),"quality design are perfect brand I used to play sports and dress weekdays are very comfortable value for money")</f>
        <v>quality design are perfect brand I used to play sports and dress weekdays are very comfortable value for money</v>
      </c>
    </row>
    <row r="8955">
      <c r="A8955" s="1">
        <v>5.0</v>
      </c>
      <c r="B8955" s="1" t="s">
        <v>8882</v>
      </c>
      <c r="C8955" t="str">
        <f>IFERROR(__xludf.DUMMYFUNCTION("GOOGLETRANSLATE(B8955, ""es"", ""en"")"),"Excellent. I am very happy with this purchase. I tried other products in the same category in the past, and no doubt I'll take this. Deep cleansing for anywhere where you need it. I use it even for clothes, remove all dirt, hardly it produces foam at all "&amp;"damaged garments. Just noticed a strong smell (my particular perception), so it is very easy to use unlike other similar detergents. As I was running out, I will repeat purchase.")</f>
        <v>Excellent. I am very happy with this purchase. I tried other products in the same category in the past, and no doubt I'll take this. Deep cleansing for anywhere where you need it. I use it even for clothes, remove all dirt, hardly it produces foam at all damaged garments. Just noticed a strong smell (my particular perception), so it is very easy to use unlike other similar detergents. As I was running out, I will repeat purchase.</v>
      </c>
    </row>
    <row r="8956">
      <c r="A8956" s="1">
        <v>5.0</v>
      </c>
      <c r="B8956" s="1" t="s">
        <v>8883</v>
      </c>
      <c r="C8956" t="str">
        <f>IFERROR(__xludf.DUMMYFUNCTION("GOOGLETRANSLATE(B8956, ""es"", ""en"")"),"Pilar The clock is impeccable, clear quality. The bezel something hard, just because missing a button closure safety belt.")</f>
        <v>Pilar The clock is impeccable, clear quality. The bezel something hard, just because missing a button closure safety belt.</v>
      </c>
    </row>
    <row r="8957">
      <c r="A8957" s="1">
        <v>5.0</v>
      </c>
      <c r="B8957" s="1" t="s">
        <v>8884</v>
      </c>
      <c r="C8957" t="str">
        <f>IFERROR(__xludf.DUMMYFUNCTION("GOOGLETRANSLATE(B8957, ""es"", ""en"")"),"Incredible am super proud com my sneakers. completely original are and are very cool. They came to me in 7 days, considering that coming from Ceuta. I usually use 41 and this model I took a chance with 40 2/3 and me are perfect, and hair. I recommend them"&amp;".")</f>
        <v>Incredible am super proud com my sneakers. completely original are and are very cool. They came to me in 7 days, considering that coming from Ceuta. I usually use 41 and this model I took a chance with 40 2/3 and me are perfect, and hair. I recommend them.</v>
      </c>
    </row>
    <row r="8958">
      <c r="A8958" s="1">
        <v>5.0</v>
      </c>
      <c r="B8958" s="1" t="s">
        <v>8885</v>
      </c>
      <c r="C8958" t="str">
        <f>IFERROR(__xludf.DUMMYFUNCTION("GOOGLETRANSLATE(B8958, ""es"", ""en"")"),"Light comfortable")</f>
        <v>Light comfortable</v>
      </c>
    </row>
    <row r="8959">
      <c r="A8959" s="1">
        <v>5.0</v>
      </c>
      <c r="B8959" s="1" t="s">
        <v>8886</v>
      </c>
      <c r="C8959" t="str">
        <f>IFERROR(__xludf.DUMMYFUNCTION("GOOGLETRANSLATE(B8959, ""es"", ""en"")"),"Calida supererior perfect Numer are mui comfortable weigh nothing fits minds perfet note that are of excellent warm and precione best recommended mui in warm comodida")</f>
        <v>Calida supererior perfect Numer are mui comfortable weigh nothing fits minds perfet note that are of excellent warm and precione best recommended mui in warm comodida</v>
      </c>
    </row>
    <row r="8960">
      <c r="A8960" s="1">
        <v>5.0</v>
      </c>
      <c r="B8960" s="1" t="s">
        <v>8887</v>
      </c>
      <c r="C8960" t="str">
        <f>IFERROR(__xludf.DUMMYFUNCTION("GOOGLETRANSLATE(B8960, ""es"", ""en"")"),"People are looking for extreme comfort in a bluetooth helmets crisp sound on par with some severe conditions. Like these to the other helmets or full me with that. But what makes them different is the battery life within its lightness, give enough autonom"&amp;"y for a trip of about 4 hours (depending on volume). When you just can connect the cable is included but the best we have is comfort. ""Foams"" or the material which is made. Does not notice that the cam positions. They fit perfectly. The protective cover"&amp;" in coming helmets are of a semi-rigid material, to carry it comfortably and save even prevent damage.")</f>
        <v>People are looking for extreme comfort in a bluetooth helmets crisp sound on par with some severe conditions. Like these to the other helmets or full me with that. But what makes them different is the battery life within its lightness, give enough autonomy for a trip of about 4 hours (depending on volume). When you just can connect the cable is included but the best we have is comfort. "Foams" or the material which is made. Does not notice that the cam positions. They fit perfectly. The protective cover in coming helmets are of a semi-rigid material, to carry it comfortably and save even prevent damage.</v>
      </c>
    </row>
    <row r="8961">
      <c r="A8961" s="1">
        <v>5.0</v>
      </c>
      <c r="B8961" s="1" t="s">
        <v>8888</v>
      </c>
      <c r="C8961" t="str">
        <f>IFERROR(__xludf.DUMMYFUNCTION("GOOGLETRANSLATE(B8961, ""es"", ""en"")"),"Is, we are happy! Product described Product highly recommended, we have a baby of 1 month and are delighted with this bottle !!! Certainly a great purchase.")</f>
        <v>Is, we are happy! Product described Product highly recommended, we have a baby of 1 month and are delighted with this bottle !!! Certainly a great purchase.</v>
      </c>
    </row>
    <row r="8962">
      <c r="A8962" s="1">
        <v>5.0</v>
      </c>
      <c r="B8962" s="1" t="s">
        <v>8889</v>
      </c>
      <c r="C8962" t="str">
        <f>IFERROR(__xludf.DUMMYFUNCTION("GOOGLETRANSLATE(B8962, ""es"", ""en"")"),"Perfect very good like the picture, I advise everyone, cheap and good quality")</f>
        <v>Perfect very good like the picture, I advise everyone, cheap and good quality</v>
      </c>
    </row>
    <row r="8963">
      <c r="A8963" s="1">
        <v>5.0</v>
      </c>
      <c r="B8963" s="1" t="s">
        <v>8890</v>
      </c>
      <c r="C8963" t="str">
        <f>IFERROR(__xludf.DUMMYFUNCTION("GOOGLETRANSLATE(B8963, ""es"", ""en"")"),"Monica Moreno am very happy, does not raise dust to pass, as the opposite happens with traditional broom.")</f>
        <v>Monica Moreno am very happy, does not raise dust to pass, as the opposite happens with traditional broom.</v>
      </c>
    </row>
    <row r="8964">
      <c r="A8964" s="1">
        <v>5.0</v>
      </c>
      <c r="B8964" s="1" t="s">
        <v>8891</v>
      </c>
      <c r="C8964" t="str">
        <f>IFERROR(__xludf.DUMMYFUNCTION("GOOGLETRANSLATE(B8964, ""es"", ""en"")"),"Comfortable light, light and look good manufactured. They do not seem to safety but carry reinforced toe. Do not Sweat the foot")</f>
        <v>Comfortable light, light and look good manufactured. They do not seem to safety but carry reinforced toe. Do not Sweat the foot</v>
      </c>
    </row>
    <row r="8965">
      <c r="A8965" s="1">
        <v>5.0</v>
      </c>
      <c r="B8965" s="1" t="s">
        <v>8892</v>
      </c>
      <c r="C8965" t="str">
        <f>IFERROR(__xludf.DUMMYFUNCTION("GOOGLETRANSLATE(B8965, ""es"", ""en"")"),"Price / quality ratio excellent The hard drive is of good quality. The transfer rate is the expected USB 3.0. However, he put two drawbacks: the first is how short it is the cable (about 40cm), and the second is that the real capacity of 3.63 TB (is what "&amp;"you have to sell 4TB as if they were 4,000,000,000. 000 bytes).")</f>
        <v>Price / quality ratio excellent The hard drive is of good quality. The transfer rate is the expected USB 3.0. However, he put two drawbacks: the first is how short it is the cable (about 40cm), and the second is that the real capacity of 3.63 TB (is what you have to sell 4TB as if they were 4,000,000,000. 000 bytes).</v>
      </c>
    </row>
    <row r="8966">
      <c r="A8966" s="1">
        <v>5.0</v>
      </c>
      <c r="B8966" s="1" t="s">
        <v>8893</v>
      </c>
      <c r="C8966" t="str">
        <f>IFERROR(__xludf.DUMMYFUNCTION("GOOGLETRANSLATE(B8966, ""es"", ""en"")"),"They are tiny and fit well Conform to the good ear, you isolated from the outside enough and the sound is clear. Charger / box to store it has good size to carry in a pocket of pants so great q")</f>
        <v>They are tiny and fit well Conform to the good ear, you isolated from the outside enough and the sound is clear. Charger / box to store it has good size to carry in a pocket of pants so great q</v>
      </c>
    </row>
    <row r="8967">
      <c r="A8967" s="1">
        <v>2.0</v>
      </c>
      <c r="B8967" s="1" t="s">
        <v>8894</v>
      </c>
      <c r="C8967" t="str">
        <f>IFERROR(__xludf.DUMMYFUNCTION("GOOGLETRANSLATE(B8967, ""es"", ""en"")"),"Graciosa arrived folded and now costs Smooth put to use, it is graceful and soft and comfortable support, it takes too long to arrive. Price very good.")</f>
        <v>Graciosa arrived folded and now costs Smooth put to use, it is graceful and soft and comfortable support, it takes too long to arrive. Price very good.</v>
      </c>
    </row>
    <row r="8968">
      <c r="A8968" s="1">
        <v>3.0</v>
      </c>
      <c r="B8968" s="1" t="s">
        <v>8895</v>
      </c>
      <c r="C8968" t="str">
        <f>IFERROR(__xludf.DUMMYFUNCTION("GOOGLETRANSLATE(B8968, ""es"", ""en"")"),"Relations good money good packaging speed and service. Bad as some aspect adjustment puezas")</f>
        <v>Relations good money good packaging speed and service. Bad as some aspect adjustment puezas</v>
      </c>
    </row>
    <row r="8969">
      <c r="A8969" s="1">
        <v>3.0</v>
      </c>
      <c r="B8969" s="1" t="s">
        <v>8896</v>
      </c>
      <c r="C8969" t="str">
        <f>IFERROR(__xludf.DUMMYFUNCTION("GOOGLETRANSLATE(B8969, ""es"", ""en"")"),"Not bad .... I ordered a size too")</f>
        <v>Not bad .... I ordered a size too</v>
      </c>
    </row>
    <row r="8970">
      <c r="A8970" s="1">
        <v>1.0</v>
      </c>
      <c r="B8970" s="1" t="s">
        <v>8897</v>
      </c>
      <c r="C8970" t="str">
        <f>IFERROR(__xludf.DUMMYFUNCTION("GOOGLETRANSLATE(B8970, ""es"", ""en"")"),"I bought does not work well to connect headphones with mic on the phone to the computer and does not connect well affecting the quality of the sound and fubncionalidad of the mic.")</f>
        <v>I bought does not work well to connect headphones with mic on the phone to the computer and does not connect well affecting the quality of the sound and fubncionalidad of the mic.</v>
      </c>
    </row>
    <row r="8971">
      <c r="A8971" s="1">
        <v>1.0</v>
      </c>
      <c r="B8971" s="1" t="s">
        <v>8898</v>
      </c>
      <c r="C8971" t="str">
        <f>IFERROR(__xludf.DUMMYFUNCTION("GOOGLETRANSLATE(B8971, ""es"", ""en"")"),"Crappy quality. I do not recommend it. Crappy quality, the clock has lasted one month, we have taken the watchmaker if the stack but was told no. I do not recommend it")</f>
        <v>Crappy quality. I do not recommend it. Crappy quality, the clock has lasted one month, we have taken the watchmaker if the stack but was told no. I do not recommend it</v>
      </c>
    </row>
    <row r="8972">
      <c r="A8972" s="1">
        <v>4.0</v>
      </c>
      <c r="B8972" s="1" t="s">
        <v>8899</v>
      </c>
      <c r="C8972" t="str">
        <f>IFERROR(__xludf.DUMMYFUNCTION("GOOGLETRANSLATE(B8972, ""es"", ""en"")"),"Product acceptable. For the price it is an acceptable product ...")</f>
        <v>Product acceptable. For the price it is an acceptable product ...</v>
      </c>
    </row>
    <row r="8973">
      <c r="A8973" s="1">
        <v>4.0</v>
      </c>
      <c r="B8973" s="1" t="s">
        <v>8900</v>
      </c>
      <c r="C8973" t="str">
        <f>IFERROR(__xludf.DUMMYFUNCTION("GOOGLETRANSLATE(B8973, ""es"", ""en"")"),"They are fine but are not totally white")</f>
        <v>They are fine but are not totally white</v>
      </c>
    </row>
    <row r="8974">
      <c r="A8974" s="1">
        <v>4.0</v>
      </c>
      <c r="B8974" s="1" t="s">
        <v>8901</v>
      </c>
      <c r="C8974" t="str">
        <f>IFERROR(__xludf.DUMMYFUNCTION("GOOGLETRANSLATE(B8974, ""es"", ""en"")"),"Q I asked my son expected him to start that. You can and all. For now, e But last all year")</f>
        <v>Q I asked my son expected him to start that. You can and all. For now, e But last all year</v>
      </c>
    </row>
    <row r="8975">
      <c r="A8975" s="1">
        <v>4.0</v>
      </c>
      <c r="B8975" s="1" t="s">
        <v>8902</v>
      </c>
      <c r="C8975" t="str">
        <f>IFERROR(__xludf.DUMMYFUNCTION("GOOGLETRANSLATE(B8975, ""es"", ""en"")"),"Comfortable and warm comfortable fabric")</f>
        <v>Comfortable and warm comfortable fabric</v>
      </c>
    </row>
    <row r="8976">
      <c r="A8976" s="1">
        <v>4.0</v>
      </c>
      <c r="B8976" s="1" t="s">
        <v>8903</v>
      </c>
      <c r="C8976" t="str">
        <f>IFERROR(__xludf.DUMMYFUNCTION("GOOGLETRANSLATE(B8976, ""es"", ""en"")"),"Excellent value for money I am very satisfied with the watch. The only downside, as noted in other reviews, is that the display numbers are very small, and not distinguished well at night or turning on the light. Otherwise, very good watch.")</f>
        <v>Excellent value for money I am very satisfied with the watch. The only downside, as noted in other reviews, is that the display numbers are very small, and not distinguished well at night or turning on the light. Otherwise, very good watch.</v>
      </c>
    </row>
    <row r="8977">
      <c r="A8977" s="1">
        <v>5.0</v>
      </c>
      <c r="B8977" s="1" t="s">
        <v>8904</v>
      </c>
      <c r="C8977" t="str">
        <f>IFERROR(__xludf.DUMMYFUNCTION("GOOGLETRANSLATE(B8977, ""es"", ""en"")"),"Excellent product and seller Les wrote to arrive before and attended my request, the product is great, he had tried another and this blows it away. I used to line the footrest a baby stroller cover and prevent staining. A great product and good seller")</f>
        <v>Excellent product and seller Les wrote to arrive before and attended my request, the product is great, he had tried another and this blows it away. I used to line the footrest a baby stroller cover and prevent staining. A great product and good seller</v>
      </c>
    </row>
    <row r="8978">
      <c r="A8978" s="1">
        <v>5.0</v>
      </c>
      <c r="B8978" s="1" t="s">
        <v>8905</v>
      </c>
      <c r="C8978" t="str">
        <f>IFERROR(__xludf.DUMMYFUNCTION("GOOGLETRANSLATE(B8978, ""es"", ""en"")"),"very good &lt;div id = ""video-block-R2C536OU7ZV54R"" class = ""a-section a-spacing-small a-spacing-top mini video-block""&gt; &lt;div tabindex = ""0"" class = ""airy airy-svg vmin-unsupported airy-skin-beacon ""style ="" background-color: rgb (0, 0, 0) position: "&amp;"relative; width: 100%; height: 100%; font-size: 0px; overflow: hidden; outline : none; ""&gt; &lt;div class ="" airy-renderer-container ""style ="" position: relative; height: 100%; width: 100%; ""&gt; &lt;video id ="" 47 ""preload ="" auto ""src ="" https://images-e"&amp;"u.ssl-images-amazon.com/images/I/71yyHjVjkGS.mp4 ""style ="" position: absolute; left: 0px; top: 0px; overflow: hidden; height: 1px; width: 1px ; ""&gt; &lt;/ video&gt; &lt;/ div&gt; &lt;div id ="" airy-slate-preload ""style ="" background-color: rgb (0, 0, 0); background-"&amp;"image: url (&amp; quot; https: // images-eu.ssl-images-amazon.com/images/I/71mYtC+XjLS.png&amp;quot;); background-size: Contain; background-position: center center; background-repeat: no-repeat; position: absolute; top : 0px; left: 0px; visibility: visible; width"&amp;": 100%; height: 100%; ""&gt; &lt;/ div&gt; &lt;iframe scrolling ="" no "" frameborder = ""0"" src = ""about: blank"" style = ""display: none;""&gt; &lt;/ iframe&gt; &lt;div tabindex = ""- 1"" class = ""airy-controls-container"" style = ""opacity: 0; visibility: hidden; ""&gt; &lt;div "&amp;"tabindex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air"&amp;"y-on ""&gt; &lt;/ div&gt; &lt;div tabindex ="" - 1 ""class ="" airy-audio-container ""style = ""opacity: 0; visibility: hidden; ""&gt; &lt;div tabindex ="" - 1 ""class ="" airy-audio-track-bar ""style ="" height: 80%; ""&gt; &lt;div tabindex ="" - 1 ""class ="" airy-audio- Scrub"&amp;"ber-bar ""style ="" height: 85%; ""&gt; &lt;/ div&gt; &lt;div tabindex ="" - 1 ""class ="" airy-audio-scrubber ""style ="" height: 12px; bottom: 85% ""&gt; &lt;/ div&gt; &lt;/ div&gt; &lt;/ div&gt; &lt;/ div&gt; &lt;div tabindex ="" - 1 ""class ="" airy-duration-label ""style ="" float: right; wi"&amp;"dth: 26px; margin-right: 4px; text-align: center; ""&gt; 0:00 &lt;/ div&gt; &lt;div tabindex ="" - 1 ""class ="" airy-track-bar-spacer-right ""style ="" float: right; width: 11px; ""&gt; &lt;/ div&gt; &lt;div tabindex ="" - 1 ""class ="" airy-track-bar-container ""style ="" marg"&amp;"in-left: 35px; margin-right: 75px; ""&gt; &lt;div tabindex ="" - 1 ""class ="" airy-airy-track-bar vertically-centering-table ""&gt; &lt;div tabindex ="" - 1 ""class ="" airy-Vertical-centering- table-cell ""&gt; &lt;div tabindex ="" - 1 ""class ="" airy-track-bar-elements"&amp;" ""&gt; &lt;div tabindex ="" - 1 ""class ="" airy-progress-bar ""&gt; &lt;/ div&gt; &lt;div tabindex = ""- 1"" class = ""airy-scrubber-bar""&gt; &lt;/ div&gt; &lt;div tabindex = ""- 1"" class = ""airy-scrubber""&gt; &lt;div tabindex = ""- 1"" class = ""airy-scrubber- icon ""&gt; &lt;/ div&gt; &lt;div t"&amp;"abindex ="" - 1 ""class ="" airy-adjusted-AUI-tooltip ""style ="" opacity: 0; visibility: hidden; ""&gt; &lt;div tabindex ="" - 1 ""class ="" airy-adjusted-aui-tooltip-inner ""&gt; &lt;div tabindex ="" - 1 ""class ="" airy-current-time-label ""&gt; 0: 00 &lt;/ div&gt; &lt;/ div&gt;"&amp;" &lt;div tabindex = ""- 1"" class = ""airy-adjusted-AUI-arrow-border""&gt; &lt;div tabindex = ""- 1"" class = ""airy-adjusted-AUI-arrow"" &gt; &lt;/ div&gt; &lt;/ div&gt; &lt;/ div&gt; &lt;/ div&gt; &lt;/ div&gt; &lt;/ div&gt; &lt;/ div&gt; &lt;/ div&gt; &lt;/ div&gt; &lt;/ div&gt; &lt;div tabindex = ""- 1"" class = ""airy-age-g"&amp;"ate airy-stage airy-Vertical-centering-table airy-dialog"" style = ""opacity: 0; visibility: hidden; ""&gt; &lt;div tabindex ="" - 1 ""class ="" airy-age-gate-Vertical-centering-table-cell airy-Vertical-centering-table-cell ""&gt; &lt;div tabindex ="" - 1 ""class = "&amp;"""airy-Vertical-centering-wrapper airy-age-gate-elements-wrapper""&gt; &lt;div tabindex = ""- 1"" class = ""airy-age-gate-elements airy-dialog-elements""&gt; &lt;div tabindex = "" -1 ""class ="" airy-age-gate-prompt ""&gt; This video is not Intended for all audiences Wh"&amp;"at date were you born &lt;/ div&gt; &lt;div tabindex =.?"" - 1 ""class ="" airy-age-gate -inputs airy-dialog-inner-elements ""&gt; &lt;select tabindex ="" - 1 ""class ="" airy-age-gate-month ""&gt; &lt;option value ="" 1 ""&gt; January &lt;/ option&gt; &lt;option value ="" 2 ""&gt; February"&amp;" &lt;/ option&gt; &lt;option value ="" 3 ""&gt; March &lt;/ option&gt; &lt;option value ="" 4 ""&gt; April &lt;/ option&gt; &lt;option value ="" 5 ""&gt; May &lt;/ option&gt; &lt;option value = ""6""&gt; June &lt;/ option&gt; &lt;option value = ""7""&gt; July &lt;/ option&gt; &lt;option value = ""8""&gt; August &lt;/ option&gt; &lt;op"&amp;"tion value = ""9""&gt; September &lt;/ option&gt; &lt;option value = ""10""&gt; October &lt;/ option&gt; &lt;option value = ""11""&gt; November &lt;/ option&gt; &lt;option value = ""12""&gt; December &lt;/ option&gt; &lt;/ select&gt; &lt;select tabindex = ""- 1"" class = ""airy-age-gate-day""&gt; &lt;opti on value"&amp;" = ""1""&gt; 1 &lt;/ option&gt; &lt;option value = ""2""&gt; 2 &lt;/ option&gt; &lt;option value = ""3""&gt; 3 &lt;/ option&gt; &lt;option value = ""4""&gt; 4 &lt;/ option &gt; &lt;option value = ""5""&gt; 5 &lt;/ option&gt; &lt;option value = ""6""&gt; 6 &lt;/ option&gt; &lt;option value = ""7""&gt; 7 &lt;/ option&gt; &lt;option value ="&amp;" ""8""&gt; 8 &lt; / option&gt; &lt;option value = ""9""&gt; 9 &lt;/ option&gt; &lt;option value = ""10""&gt; 10 &lt;/ option&gt; &lt;option value = ""11""&gt; 11 &lt;/ option&gt; &lt;option value = ""12""&gt; 12 &lt;/ option&gt; &lt;option value = ""13""&gt; 13 &lt;/ option&gt; &lt;option value = ""14""&gt; 14 &lt;/ option&gt; &lt;option"&amp;" value = ""15""&gt; 15 &lt;/ option&gt; &lt;option value = ""16 ""&gt; 16 &lt;/ option&gt; &lt;option value ="" 17 ""&gt; 17 &lt;/ option&gt; &lt;option value ="" 18 ""&gt; 18 &lt;/ option&gt; &lt;option value ="" 19 ""&gt; 19 &lt;/ option&gt; &lt;option value = ""20""&gt; 20 &lt;/ option&gt; &lt;option value = ""21""&gt; 21 &lt;/ "&amp;"option&gt; &lt;option value = ""22""&gt; 22 &lt;/ option&gt; &lt;option value = ""23""&gt; 23 &lt;/ option&gt; &lt;option value = ""24""&gt; 24 &lt;/ option&gt; &lt;option value = ""25""&gt; 25 &lt;/ option&gt; &lt;option value = ""26""&gt; 26 &lt;/ option&gt; &lt;option value = ""27""&gt; 27 &lt;/ option&gt; &lt;option value = ""2"&amp;"8""&gt; 28 &lt;/ option&gt; &lt;option value = ""29""&gt; 29 &lt;/ option&gt; &lt;option value = ""30""&gt; 30 &lt;/ option&gt; &lt;option value = ""31""&gt; 31 &lt;/ option&gt; &lt;/ select&gt; &lt;select tabindex = ""- 1"" class = ""airy-age-gate-year""&gt; &lt;option value = ""2019""&gt; 2019 &lt;/ option&gt; &lt; option v"&amp;"alue = ""2018""&gt; 2018 &lt;/ option&gt; &lt;option value = ""2017""&gt; 2017 &lt;/ option&gt; &lt;option value = ""2016""&gt; ​​2016 &lt;/ option&gt; &lt;option value = ""2015""&gt; 2015 &lt;/ option &gt; &lt;option value = ""2014""&gt; 2014 &lt;/ option&gt; &lt;option value = ""2013""&gt; 2013 &lt;/ option&gt; &lt;option v"&amp;"alue = ""2012""&gt; 2012 &lt;/ option&gt; &lt;option value = ""2011""&gt; 2011 &lt; / option&gt; &lt;option value = ""2010""&gt; 2010 &lt;/ option&gt; &lt;option value = ""2009""&gt; 2009 &lt;/ option&gt; &lt;option value = ""2008""&gt; 2008 &lt;/ option&gt; &lt;option value = ""2007""&gt; 2007 &lt;/ option&gt; &lt;option val"&amp;"ue = ""2006""&gt; 2006 &lt;/ option&gt; &lt;option value = ""2005""&gt; 2005 &lt;/ option&gt; &lt;option value = ""2004""&gt; 2004 &lt;/ option&gt; &lt;option value = ""2003 ""&gt; 2003 &lt;/ option&gt; &lt;option value ="" 2002 ""&gt; 2002 &lt;/ option&gt; &lt;option value ="" 2001 ""&gt; 2001 &lt;/ option&gt; &lt;option val"&amp;"ue ="" 2000 ""&gt; 2000 &lt;/ option&gt; &lt;option value = ""1999""&gt; 1999 &lt;/ option&gt; &lt;option value = ""1998""&gt; 1998 &lt;/ option&gt; &lt;option value = ""1997""&gt; 1997 &lt;/ option&gt; &lt;option value = ""1996""&gt; 1996 &lt;/ option&gt; &lt;option value = ""1995""&gt; 1995 &lt;/ option&gt; &lt;option value"&amp;" = ""1994""&gt;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"&amp;"= ""1982""&gt; 1982 &lt;/ option&gt; &lt; option value = ""1981""&gt; 1981 &lt;/ option&gt; &lt;option value = ""1980""&gt; 1980 &lt;/ option&gt; &lt;option value = ""1979""&gt; 1979 &lt;/ option&gt; &lt;option value = ""1978""&gt; 1978 &lt;/ option &gt; &lt;option value = ""1977""&gt; 1977 &lt;/ option&gt; &lt;option value ="&amp;" ""1976""&gt;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 "&amp;"""1958""&gt; 1958 &lt;/ option&gt; &lt;option value = ""1957""&gt; 1957 &lt;/ option&gt; &lt;option value = ""1956""&gt; 1956 &lt;/ option&gt; &lt;option value = ""1955""&gt; 1955 &lt;/ option&gt; &lt;option value = ""1954""&gt; 1954 &lt;/ option&gt; &lt;option value = ""1953""&gt; 1953 &lt;/ option&gt; &lt;option value = ""1"&amp;"952"" &gt; 1952 &lt;/ option&gt; &lt;option value = ""1951""&gt; 1951 &lt;/ option&gt; &lt;option value = ""1950""&gt; 1950 &lt;/ option&gt; &lt;option value = ""1949""&gt; 1949 &lt;/ option&gt; &lt;option value = "" 1948 ""&gt; 1948 &lt;/ option&gt; &lt;option value ="" 1947 ""&gt; 1947 &lt;/ option&gt; &lt;option value ="" "&amp;"1946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""19"&amp;"34""&gt; 1934 &lt;/ option&gt; &lt;option value = ""1933""&gt; 1933 &lt; / option&gt; &lt;option value = ""1932""&gt; 1932 &lt;/ option&gt; &lt;option value = ""1931""&gt; 1931 &lt;/ option&gt; &lt;option v alue = ""1930""&gt; 1930 &lt;/ option&gt; &lt;option value = ""1929""&gt; 1929 &lt;/ option&gt; &lt;option value = ""192"&amp;"8""&gt;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 1"&amp;"916 &lt;/ option&gt; &lt;option value = ""1915"" &gt; 1915 &lt;/ option&gt; &lt;option value = ""1914""&gt; 1914 &lt;/ option&gt; &lt;option value = ""1913""&gt; 1913 &lt;/ option&gt; &lt;option value = ""1912""&gt; 1912 &lt;/ option&gt; &lt;option value = "" 1911 ""&gt; 1911 &lt;/ option&gt; &lt;option value ="" 1910 ""&gt; "&amp;"1910 &lt;/ option&gt; &lt;option value ="" 1909 ""&gt; 1909 &lt;/ option&gt; &lt;option value ="" 1908 ""&gt; 1908 &lt;/ option&gt; &lt;value option = ""1907""&gt; 1907 &lt;/ option&gt; &lt;option value = ""1906""&gt; 1906 &lt;/ option&gt; &lt;option value = ""1905""&gt; 1905 &lt;/ option&gt; &lt;option value = ""1904""&gt; 1"&amp;"904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tabindex =."" - 1 ""class ="" airy-install-flash-"&amp;"button-wrapper airy -dialog-inner-elements ""&gt; &lt;div tabindex ="" - 1 ""class ="" airy-install-flash-button airy-button ""&gt; install Flash Player &lt;/ div&gt; &lt;/ div&gt; &lt;/ div&gt; &lt;/ div&gt; &lt;/ div&gt; &lt;/ div&gt; &lt;div tabindex = ""- 1"" class = ""airy-video-unsupported-dialog"&amp;" 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71yyHjVjkGS.mp4 ""Class ="" video-url ""&gt; &lt;input type ="" hidden ""name ="" ""value ="" https://images-eu.ssl-images-amazon.com/images/I/71mYtC+XjLS.png ""class = ""video-slate-img-url""&gt; &amp; nbsp; I bought it as a gift for my father. S"&amp;"he suffers a lot of his feet and was looking for something. The material is good, plastic but not cheap it is very thin and then breaks. It does not weigh much and is easy to carry, if you stick water and got there if it weighs more. She is happy with the"&amp;" gift and I also")</f>
        <v>very good &lt;div id = "video-block-R2C536OU7ZV54R"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47 "preload =" auto "src =" https://images-eu.ssl-images-amazon.com/images/I/71yyHjVjkGS.mp4 "style =" position: absolute; left: 0px; top: 0px; overflow: hidden; height: 1px; width: 1px ; "&gt; &lt;/ video&gt; &lt;/ div&gt; &lt;div id =" airy-slate-preload "style =" background-color: rgb (0, 0, 0); background-image: url (&amp; quot; https: // images-eu.ssl-images-amazon.com/images/I/71mYtC+XjLS.png&amp;quot;); background-size: Contain; background-position: center center; background-repeat: no-repeat; position: absolute; top : 0px; left: 0px; visibility: visible; width: 100%; height: 100%; "&gt; &lt;/ div&gt; &lt;iframe scrolling =" no "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71yyHjVjkGS.mp4 "Class =" video-url "&gt; &lt;input type =" hidden "name =" "value =" https://images-eu.ssl-images-amazon.com/images/I/71mYtC+XjLS.png "class = "video-slate-img-url"&gt; &amp; nbsp; I bought it as a gift for my father. She suffers a lot of his feet and was looking for something. The material is good, plastic but not cheap it is very thin and then breaks. It does not weigh much and is easy to carry, if you stick water and got there if it weighs more. She is happy with the gift and I also</v>
      </c>
    </row>
    <row r="8979">
      <c r="A8979" s="1">
        <v>5.0</v>
      </c>
      <c r="B8979" s="1" t="s">
        <v>8906</v>
      </c>
      <c r="C8979" t="str">
        <f>IFERROR(__xludf.DUMMYFUNCTION("GOOGLETRANSLATE(B8979, ""es"", ""en"")"),"Quality / price was for a gift and the recipient loved it. Comfortable and combinable, it is a good buy at a great price.")</f>
        <v>Quality / price was for a gift and the recipient loved it. Comfortable and combinable, it is a good buy at a great price.</v>
      </c>
    </row>
    <row r="8980">
      <c r="A8980" s="1">
        <v>5.0</v>
      </c>
      <c r="B8980" s="1" t="s">
        <v>8907</v>
      </c>
      <c r="C8980" t="str">
        <f>IFERROR(__xludf.DUMMYFUNCTION("GOOGLETRANSLATE(B8980, ""es"", ""en"")"),"The quality of the priducto and sending Rapudez extent and quality del.producto expected.")</f>
        <v>The quality of the priducto and sending Rapudez extent and quality del.producto expected.</v>
      </c>
    </row>
    <row r="8981">
      <c r="A8981" s="1">
        <v>5.0</v>
      </c>
      <c r="B8981" s="1" t="s">
        <v>8908</v>
      </c>
      <c r="C8981" t="str">
        <f>IFERROR(__xludf.DUMMYFUNCTION("GOOGLETRANSLATE(B8981, ""es"", ""en"")"),"Good product I really like good buy and fast delivery")</f>
        <v>Good product I really like good buy and fast delivery</v>
      </c>
    </row>
    <row r="8982">
      <c r="A8982" s="1">
        <v>5.0</v>
      </c>
      <c r="B8982" s="1" t="s">
        <v>8909</v>
      </c>
      <c r="C8982" t="str">
        <f>IFERROR(__xludf.DUMMYFUNCTION("GOOGLETRANSLATE(B8982, ""es"", ""en"")"),"Very happy Sound is decent but not great. Connects seamlessly. I bought white and afternoon of the same day put amazon black headphones offer flash. I bought the black tmb. 5 € cheaper, thinking back whites. No, I was the tmb.No white isolated from ambien"&amp;"t noise (I see it as an advantage especially when jogging, skating or bike, because then you find out what's going on around you), but this does not short stay in the hearing. Very happy.")</f>
        <v>Very happy Sound is decent but not great. Connects seamlessly. I bought white and afternoon of the same day put amazon black headphones offer flash. I bought the black tmb. 5 € cheaper, thinking back whites. No, I was the tmb.No white isolated from ambient noise (I see it as an advantage especially when jogging, skating or bike, because then you find out what's going on around you), but this does not short stay in the hearing. Very happy.</v>
      </c>
    </row>
    <row r="8983">
      <c r="A8983" s="1">
        <v>5.0</v>
      </c>
      <c r="B8983" s="1" t="s">
        <v>8910</v>
      </c>
      <c r="C8983" t="str">
        <f>IFERROR(__xludf.DUMMYFUNCTION("GOOGLETRANSLATE(B8983, ""es"", ""en"")"),"Good value recommended purchase price. They can be easily separated for use independently. They have the right size without being too long nor too short.")</f>
        <v>Good value recommended purchase price. They can be easily separated for use independently. They have the right size without being too long nor too short.</v>
      </c>
    </row>
    <row r="8984">
      <c r="A8984" s="1">
        <v>5.0</v>
      </c>
      <c r="B8984" s="1" t="s">
        <v>8911</v>
      </c>
      <c r="C8984" t="str">
        <f>IFERROR(__xludf.DUMMYFUNCTION("GOOGLETRANSLATE(B8984, ""es"", ""en"")"),"perfect right all fast and well")</f>
        <v>perfect right all fast and well</v>
      </c>
    </row>
    <row r="8985">
      <c r="A8985" s="1">
        <v>5.0</v>
      </c>
      <c r="B8985" s="1" t="s">
        <v>8912</v>
      </c>
      <c r="C8985" t="str">
        <f>IFERROR(__xludf.DUMMYFUNCTION("GOOGLETRANSLATE(B8985, ""es"", ""en"")"),"Very useful and versatile, good sound quality very good product. Keep in mind that the connector at first glance it seems that does not fit, if necessary, tighten a little finger, perfect anger")</f>
        <v>Very useful and versatile, good sound quality very good product. Keep in mind that the connector at first glance it seems that does not fit, if necessary, tighten a little finger, perfect anger</v>
      </c>
    </row>
    <row r="8986">
      <c r="A8986" s="1">
        <v>5.0</v>
      </c>
      <c r="B8986" s="1" t="s">
        <v>8913</v>
      </c>
      <c r="C8986" t="str">
        <f>IFERROR(__xludf.DUMMYFUNCTION("GOOGLETRANSLATE(B8986, ""es"", ""en"")"),"All right. Practical shoulder bag bag very complete. Zipped brings different departments. Also he brought a gift opener. Metal. It is one of the most complete bags I bought. The material is faded khaki canvas but looks good. proper packaging. Thank you")</f>
        <v>All right. Practical shoulder bag bag very complete. Zipped brings different departments. Also he brought a gift opener. Metal. It is one of the most complete bags I bought. The material is faded khaki canvas but looks good. proper packaging. Thank you</v>
      </c>
    </row>
    <row r="8987">
      <c r="A8987" s="1">
        <v>5.0</v>
      </c>
      <c r="B8987" s="1" t="s">
        <v>8914</v>
      </c>
      <c r="C8987" t="str">
        <f>IFERROR(__xludf.DUMMYFUNCTION("GOOGLETRANSLATE(B8987, ""es"", ""en"")"),"Super purchase I loved the style, no noise, expectacular, law opinions and encouraged me cn the product and was not disappointed, very happy purchase cn")</f>
        <v>Super purchase I loved the style, no noise, expectacular, law opinions and encouraged me cn the product and was not disappointed, very happy purchase cn</v>
      </c>
    </row>
    <row r="8988">
      <c r="A8988" s="1">
        <v>5.0</v>
      </c>
      <c r="B8988" s="1" t="s">
        <v>8915</v>
      </c>
      <c r="C8988" t="str">
        <f>IFERROR(__xludf.DUMMYFUNCTION("GOOGLETRANSLATE(B8988, ""es"", ""en"")"),"Color well as is in the photo, comfortable, really he liked it a lot, the sole gets dirty and can be cleaned easily, I am very satisfied with the purchase and the price")</f>
        <v>Color well as is in the photo, comfortable, really he liked it a lot, the sole gets dirty and can be cleaned easily, I am very satisfied with the purchase and the price</v>
      </c>
    </row>
    <row r="8989">
      <c r="A8989" s="1">
        <v>5.0</v>
      </c>
      <c r="B8989" s="1" t="s">
        <v>8916</v>
      </c>
      <c r="C8989" t="str">
        <f>IFERROR(__xludf.DUMMYFUNCTION("GOOGLETRANSLATE(B8989, ""es"", ""en"")"),"Magnificas quality boots, an deperminados items pays money but this is an example of this, robust, good skin, comfortable, isolated from water and cold .... I recommend !!")</f>
        <v>Magnificas quality boots, an deperminados items pays money but this is an example of this, robust, good skin, comfortable, isolated from water and cold .... I recommend !!</v>
      </c>
    </row>
    <row r="8990">
      <c r="A8990" s="1">
        <v>5.0</v>
      </c>
      <c r="B8990" s="1" t="s">
        <v>8917</v>
      </c>
      <c r="C8990" t="str">
        <f>IFERROR(__xludf.DUMMYFUNCTION("GOOGLETRANSLATE(B8990, ""es"", ""en"")"),"No instructions or recipes in Spanish Nothing in Spanish: the cookbook and instructions are in French and German. But a word of Spanish.")</f>
        <v>No instructions or recipes in Spanish Nothing in Spanish: the cookbook and instructions are in French and German. But a word of Spanish.</v>
      </c>
    </row>
    <row r="8991">
      <c r="A8991" s="1">
        <v>5.0</v>
      </c>
      <c r="B8991" s="1" t="s">
        <v>8918</v>
      </c>
      <c r="C8991" t="str">
        <f>IFERROR(__xludf.DUMMYFUNCTION("GOOGLETRANSLATE(B8991, ""es"", ""en"")"),"Good quality good")</f>
        <v>Good quality good</v>
      </c>
    </row>
    <row r="8992">
      <c r="A8992" s="1">
        <v>5.0</v>
      </c>
      <c r="B8992" s="1" t="s">
        <v>8919</v>
      </c>
      <c r="C8992" t="str">
        <f>IFERROR(__xludf.DUMMYFUNCTION("GOOGLETRANSLATE(B8992, ""es"", ""en"")"),"Headphones run my taste I tried headband headphones and in-ear ... and none was well suited. These are very comfortable and the price / quality ratio is very good. I do not need so much sound quality is sufficient. The details of the cover and foam parts "&amp;"make me consider it a good product. Connectivity with my Xiaomi MI6 is immediate, and English voiceovers connection, unlike similar products that only this in Chinese. I highly recommend it.")</f>
        <v>Headphones run my taste I tried headband headphones and in-ear ... and none was well suited. These are very comfortable and the price / quality ratio is very good. I do not need so much sound quality is sufficient. The details of the cover and foam parts make me consider it a good product. Connectivity with my Xiaomi MI6 is immediate, and English voiceovers connection, unlike similar products that only this in Chinese. I highly recommend it.</v>
      </c>
    </row>
    <row r="8993">
      <c r="A8993" s="1">
        <v>5.0</v>
      </c>
      <c r="B8993" s="1" t="s">
        <v>8920</v>
      </c>
      <c r="C8993" t="str">
        <f>IFERROR(__xludf.DUMMYFUNCTION("GOOGLETRANSLATE(B8993, ""es"", ""en"")"),"Well well. I've used for several fixing elements on different surfaces and the working time. I hope to continue the same time.")</f>
        <v>Well well. I've used for several fixing elements on different surfaces and the working time. I hope to continue the same time.</v>
      </c>
    </row>
    <row r="8994">
      <c r="A8994" s="1">
        <v>5.0</v>
      </c>
      <c r="B8994" s="1" t="s">
        <v>8921</v>
      </c>
      <c r="C8994" t="str">
        <f>IFERROR(__xludf.DUMMYFUNCTION("GOOGLETRANSLATE(B8994, ""es"", ""en"")"),"estrellasIdeal to relax and tone. I bought it for my wife, was looking much and decide to buy this model after reading several reviews and other similar items. I must say that my wife is delighted, use it every night for a while when you sit on the sofa t"&amp;"o rest. Advise the feet and clean before each roller. It has a very pleasant feeling of freshness at room temperature. I must say that on the same page of the ad, explains perfectly how you have to use in detail.")</f>
        <v>estrellasIdeal to relax and tone. I bought it for my wife, was looking much and decide to buy this model after reading several reviews and other similar items. I must say that my wife is delighted, use it every night for a while when you sit on the sofa to rest. Advise the feet and clean before each roller. It has a very pleasant feeling of freshness at room temperature. I must say that on the same page of the ad, explains perfectly how you have to use in detail.</v>
      </c>
    </row>
    <row r="8995">
      <c r="A8995" s="1">
        <v>2.0</v>
      </c>
      <c r="B8995" s="1" t="s">
        <v>8922</v>
      </c>
      <c r="C8995" t="str">
        <f>IFERROR(__xludf.DUMMYFUNCTION("GOOGLETRANSLATE(B8995, ""es"", ""en"")"),"I lasted 4 months I changed the score by a few months unstitched. Yes, I've handled a lot, but for that price you can not expect anything better.")</f>
        <v>I lasted 4 months I changed the score by a few months unstitched. Yes, I've handled a lot, but for that price you can not expect anything better.</v>
      </c>
    </row>
    <row r="8996">
      <c r="A8996" s="1">
        <v>3.0</v>
      </c>
      <c r="B8996" s="1" t="s">
        <v>8923</v>
      </c>
      <c r="C8996" t="str">
        <f>IFERROR(__xludf.DUMMYFUNCTION("GOOGLETRANSLATE(B8996, ""es"", ""en"")"),"battery loose battery is exhausted soon desamasiado")</f>
        <v>battery loose battery is exhausted soon desamasiado</v>
      </c>
    </row>
    <row r="8997">
      <c r="A8997" s="1">
        <v>3.0</v>
      </c>
      <c r="B8997" s="1" t="s">
        <v>8924</v>
      </c>
      <c r="C8997" t="str">
        <f>IFERROR(__xludf.DUMMYFUNCTION("GOOGLETRANSLATE(B8997, ""es"", ""en"")"),"Well It is very good for the price. I think I have to organize cables for life. Pelucilla loose and black pisquillos when handled, but once put no problem. (You can link two or more cover a larger radius if necessary)")</f>
        <v>Well It is very good for the price. I think I have to organize cables for life. Pelucilla loose and black pisquillos when handled, but once put no problem. (You can link two or more cover a larger radius if necessary)</v>
      </c>
    </row>
    <row r="8998">
      <c r="A8998" s="1">
        <v>1.0</v>
      </c>
      <c r="B8998" s="1" t="s">
        <v>8925</v>
      </c>
      <c r="C8998" t="str">
        <f>IFERROR(__xludf.DUMMYFUNCTION("GOOGLETRANSLATE(B8998, ""es"", ""en"")"),"hector 1 day of use broke the mechanism inside is plastic and worthless rubbish")</f>
        <v>hector 1 day of use broke the mechanism inside is plastic and worthless rubbish</v>
      </c>
    </row>
    <row r="8999">
      <c r="A8999" s="1">
        <v>1.0</v>
      </c>
      <c r="B8999" s="1" t="s">
        <v>8926</v>
      </c>
      <c r="C8999" t="str">
        <f>IFERROR(__xludf.DUMMYFUNCTION("GOOGLETRANSLATE(B8999, ""es"", ""en"")"),"Does not have too fine quality and puny broke a week not recommend it, both the chain that broke like the pendant fell stones seem to me a poor quality")</f>
        <v>Does not have too fine quality and puny broke a week not recommend it, both the chain that broke like the pendant fell stones seem to me a poor quality</v>
      </c>
    </row>
    <row r="9000">
      <c r="A9000" s="1">
        <v>4.0</v>
      </c>
      <c r="B9000" s="1" t="s">
        <v>8927</v>
      </c>
      <c r="C9000" t="str">
        <f>IFERROR(__xludf.DUMMYFUNCTION("GOOGLETRANSLATE(B9000, ""es"", ""en"")"),"Telescopic steel scraper back, Anself ... In my opinion, all right, arrive on time and was very happy with this product thanks. Nothing to say")</f>
        <v>Telescopic steel scraper back, Anself ... In my opinion, all right, arrive on time and was very happy with this product thanks. Nothing to say</v>
      </c>
    </row>
    <row r="9001">
      <c r="A9001" s="1">
        <v>4.0</v>
      </c>
      <c r="B9001" s="1" t="s">
        <v>8928</v>
      </c>
      <c r="C9001" t="str">
        <f>IFERROR(__xludf.DUMMYFUNCTION("GOOGLETRANSLATE(B9001, ""es"", ""en"")"),"Merrell Comodas")</f>
        <v>Merrell Comodas</v>
      </c>
    </row>
    <row r="9002">
      <c r="A9002" s="1">
        <v>4.0</v>
      </c>
      <c r="B9002" s="1" t="s">
        <v>8929</v>
      </c>
      <c r="C9002" t="str">
        <f>IFERROR(__xludf.DUMMYFUNCTION("GOOGLETRANSLATE(B9002, ""es"", ""en"")"),"The purchase for effective work, we used two to three times a day, with the variant of different amounts of water, and works very well so far. It is quite fast, and very easy to clean. The finishes are good and beautiful, the truth is that it was a good b"&amp;"uy and a good price.")</f>
        <v>The purchase for effective work, we used two to three times a day, with the variant of different amounts of water, and works very well so far. It is quite fast, and very easy to clean. The finishes are good and beautiful, the truth is that it was a good buy and a good price.</v>
      </c>
    </row>
    <row r="9003">
      <c r="A9003" s="1">
        <v>4.0</v>
      </c>
      <c r="B9003" s="1" t="s">
        <v>8930</v>
      </c>
      <c r="C9003" t="str">
        <f>IFERROR(__xludf.DUMMYFUNCTION("GOOGLETRANSLATE(B9003, ""es"", ""en"")"),"Comfortable and durable good fit and ergonomics. Good value for money")</f>
        <v>Comfortable and durable good fit and ergonomics. Good value for money</v>
      </c>
    </row>
    <row r="9004">
      <c r="A9004" s="1">
        <v>4.0</v>
      </c>
      <c r="B9004" s="1" t="s">
        <v>8931</v>
      </c>
      <c r="C9004" t="str">
        <f>IFERROR(__xludf.DUMMYFUNCTION("GOOGLETRANSLATE(B9004, ""es"", ""en"")"),"healthy skin and the environment for over 10 years using the soap nuts. They are ideal for skin of the baby, and for everyone, but they are not good stain. If specific stains have to put baking soda or other remover product - but for ordinary soaps should"&amp;" also be put stain remover anyway. this brand is fine but my favorite is Maggie's.")</f>
        <v>healthy skin and the environment for over 10 years using the soap nuts. They are ideal for skin of the baby, and for everyone, but they are not good stain. If specific stains have to put baking soda or other remover product - but for ordinary soaps should also be put stain remover anyway. this brand is fine but my favorite is Maggie's.</v>
      </c>
    </row>
    <row r="9005">
      <c r="A9005" s="1">
        <v>5.0</v>
      </c>
      <c r="B9005" s="1" t="s">
        <v>8932</v>
      </c>
      <c r="C9005" t="str">
        <f>IFERROR(__xludf.DUMMYFUNCTION("GOOGLETRANSLATE(B9005, ""es"", ""en"")"),"It meets perfect what I wanted")</f>
        <v>It meets perfect what I wanted</v>
      </c>
    </row>
    <row r="9006">
      <c r="A9006" s="1">
        <v>5.0</v>
      </c>
      <c r="B9006" s="1" t="s">
        <v>8933</v>
      </c>
      <c r="C9006" t="str">
        <f>IFERROR(__xludf.DUMMYFUNCTION("GOOGLETRANSLATE(B9006, ""es"", ""en"")"),"Good content and quality product price seems a bargain. Already I had one that lasted about 5 years and used to work in construction. Let that I trot all kinds and yet still functioning. Happy")</f>
        <v>Good content and quality product price seems a bargain. Already I had one that lasted about 5 years and used to work in construction. Let that I trot all kinds and yet still functioning. Happy</v>
      </c>
    </row>
    <row r="9007">
      <c r="A9007" s="1">
        <v>5.0</v>
      </c>
      <c r="B9007" s="1" t="s">
        <v>8934</v>
      </c>
      <c r="C9007" t="str">
        <f>IFERROR(__xludf.DUMMYFUNCTION("GOOGLETRANSLATE(B9007, ""es"", ""en"")"),"I like good quality for money ratio")</f>
        <v>I like good quality for money ratio</v>
      </c>
    </row>
    <row r="9008">
      <c r="A9008" s="1">
        <v>5.0</v>
      </c>
      <c r="B9008" s="1" t="s">
        <v>8935</v>
      </c>
      <c r="C9008" t="str">
        <f>IFERROR(__xludf.DUMMYFUNCTION("GOOGLETRANSLATE(B9008, ""es"", ""en"")"),"They discharge their responsibilities discharge their responsibilities")</f>
        <v>They discharge their responsibilities discharge their responsibilities</v>
      </c>
    </row>
    <row r="9009">
      <c r="A9009" s="1">
        <v>5.0</v>
      </c>
      <c r="B9009" s="1" t="s">
        <v>8936</v>
      </c>
      <c r="C9009" t="str">
        <f>IFERROR(__xludf.DUMMYFUNCTION("GOOGLETRANSLATE(B9009, ""es"", ""en"")"),"Very good buy I bought it to give children on the birthday of my kids and it really is very good buy. Children very happy.")</f>
        <v>Very good buy I bought it to give children on the birthday of my kids and it really is very good buy. Children very happy.</v>
      </c>
    </row>
    <row r="9010">
      <c r="A9010" s="1">
        <v>5.0</v>
      </c>
      <c r="B9010" s="1" t="s">
        <v>8937</v>
      </c>
      <c r="C9010" t="str">
        <f>IFERROR(__xludf.DUMMYFUNCTION("GOOGLETRANSLATE(B9010, ""es"", ""en"")"),"Beautiful but narrow ring. It is very nice but somewhat narrow. Tantaa not fit plastic covers Omo needed.")</f>
        <v>Beautiful but narrow ring. It is very nice but somewhat narrow. Tantaa not fit plastic covers Omo needed.</v>
      </c>
    </row>
    <row r="9011">
      <c r="A9011" s="1">
        <v>5.0</v>
      </c>
      <c r="B9011" s="1" t="s">
        <v>8938</v>
      </c>
      <c r="C9011" t="str">
        <f>IFERROR(__xludf.DUMMYFUNCTION("GOOGLETRANSLATE(B9011, ""es"", ""en"")"),"Calentitaa and soft slippers 📦CONTIENE📦 -Par ⭐DESCRIPCIÓN⭐ The shoes come in a plastic bag packed well. They have a sole quite fat and winter lining to keep feet warm. In addition, you can if you want to bend the fabric of the ankle to be like a sock. T"&amp;"hey are very comfortable, especially the foam having within them to be blandito 👍ME HA GUSTADO👍 ✔️Diseño ✔️Calidad / price ✔️Muy 🤔OPINION PERSONAL🤔 comfortable sneakers I liked a lot. Harbor quite well and so you can have your feet warm at home. I als"&amp;"o liked your comfort and are soft on the inside 👋Un s Greetings to everyone and I hope you find it useful 🤞")</f>
        <v>Calentitaa and soft slippers 📦CONTIENE📦 -Par ⭐DESCRIPCIÓN⭐ The shoes come in a plastic bag packed well. They have a sole quite fat and winter lining to keep feet warm. In addition, you can if you want to bend the fabric of the ankle to be like a sock. They are very comfortable, especially the foam having within them to be blandito 👍ME HA GUSTADO👍 ✔️Diseño ✔️Calidad / price ✔️Muy 🤔OPINION PERSONAL🤔 comfortable sneakers I liked a lot. Harbor quite well and so you can have your feet warm at home. I also liked your comfort and are soft on the inside 👋Un s Greetings to everyone and I hope you find it useful 🤞</v>
      </c>
    </row>
    <row r="9012">
      <c r="A9012" s="1">
        <v>5.0</v>
      </c>
      <c r="B9012" s="1" t="s">
        <v>8939</v>
      </c>
      <c r="C9012" t="str">
        <f>IFERROR(__xludf.DUMMYFUNCTION("GOOGLETRANSLATE(B9012, ""es"", ""en"")"),"Good-value &lt;div id = ""video-block-RSKDPAMH3Z28"" class = ""a-section a-spacing-small a-spacing-top mini video-block""&gt; &lt;div tabindex = ""0"" class = ""airy airy -svg vmin-supported airy-skin-beacon ""style ="" background-color: rgb (0, 0, 0) position: re"&amp;"lative; width: 100%; height: 100%; font-size: 0px; overflow: hidden ; outline: none; ""&gt; &lt;div class ="" airy-renderer-container ""style ="" position: relative; height: 100%; width: 100%; ""&gt; &lt;video id ="" 15 ""preload ="" auto ""src = ""https://images-eu."&amp;"ssl-images-amazon.com/images/I/C1vja+53zNS.mp4"" style = ""position: absolute; left: 0px; top: 0px; overflow: hidden; height: 1px ; width: 1px; ""&gt; &lt;/ video&gt; &lt;/ div&gt; &lt;div id ="" airy-slate-preload ""style ="" background-color: rgb (0, 0, 0); background-im"&amp;"age: url (&amp; quot; https://images-eu.ssl-images-amazon.com/images/I/91r+ABiOk9S.png&amp;quot;); background-size: Contain; background-position: center center; background-repeat: no-repeat; position : absolute; top: 0px; left: 0px; visibility: visible; width: 10"&amp;"0%; height: 100%; ""&gt; &lt;/ div&gt; &lt;ifra I scrolling = ""no"" frameborder = ""0"" src = ""about: blank"" style = ""display: none;""&gt; &lt;/ iframe&gt; &lt;div tabindex = ""- 1"" class = ""airy-controls-container"" style = ""opacity: 0; visibility: hidden; ""&gt; &lt;div tabin"&amp;"dex ="" - 1 ""class ="" airy-screen-size-toggle airy-fullscreen ""&gt; &lt;/ div&gt; &lt;div tabindex ="" - 1 ""class ="" airy-container-bottom "" &gt; &lt;div tabindex = ""- 1"" class = ""airy-track-bar-spacer-left"" style = ""width: 11px;""&gt; &lt;/ div&gt; &lt;div tabindex = ""- 1"&amp;""" class = ""airy-play- airy toggle-play ""style ="" width: 12px; margin-right: 12px; ""&gt; &lt;/ div&gt; &lt;div tabindex ="" - 1 ""class ="" airy-audio-elements ""style ="" float: right; width: 34px; ""&gt; &lt;div tabindex ="" - 1 ""class ="" airy-audio-toggle airy-on "&amp;"""&gt; &lt;/ div&gt; &lt;div tabindex ="" - 1 ""class ="" airy-audio-container ""style = ""opacity: 0; visibility: hidden; ""&gt; &lt;div tabindex ="" - 1 ""class ="" airy-audio-track-bar ""style ="" height: 80%; ""&gt; &lt;div tabindex ="" - 1 ""class ="" airy-audio- Scrubber-b"&amp;"ar ""style ="" height: 85%; ""&gt; &lt;/ div&gt; &lt;div tabindex ="" - 1 ""class ="" airy-audio-scrubber ""style ="" height: 12px; bottom: 85% ""&gt; &lt;/ div&gt; &lt;/ div&gt; &lt;/ div&gt; &lt;/ div&gt; &lt;div tabindex ="" - 1 ""class ="" airy-duration-label ""style ="" float: right; width: "&amp;"26px; margin-right: 4px; text-align: center; ""&gt; 0:00 &lt;/ div&gt; &lt;div tabindex ="" - 1 ""class ="" airy-track-bar-spacer-right ""style ="" float: right; width: 11px; ""&gt; &lt;/ div&gt; &lt;div tabindex ="" - 1 ""class ="" airy-track-bar-container ""style ="" margin-le"&amp;"ft: 35px; margin-right: 75px; ""&gt; &lt;div tabindex ="" - 1 ""class ="" airy-airy-track-bar vertically-centering-table ""&gt; &lt;div tabindex ="" - 1 ""class ="" airy-Vertical-centering- table-cell ""&gt; &lt;div tabindex ="" - 1 ""class ="" airy-track-bar-elements ""&gt; "&amp;"&lt;div tabindex ="" - 1 ""class ="" airy-progress-bar ""&gt; &lt;/ div&gt; &lt;div tabindex = ""- 1"" class = ""airy-scrubber-bar""&gt; &lt;/ div&gt; &lt;div tabindex = ""- 1"" class = ""airy-scrubber""&gt; &lt;div tabindex = ""- 1"" class = ""airy-scrubber- icon ""&gt; &lt;/ div&gt; &lt;div tabind"&amp;"ex ="" - 1 ""class ="" airy-adjusted-AUI-tooltip ""style ="" opacity: 0; visibility: hidden; ""&gt; &lt;div tabindex ="" - 1 ""class ="" airy-adjusted-aui-tooltip-inner ""&gt; &lt;div tabindex ="" - 1 ""class ="" airy-current-time-label ""&gt; 0: 00 &lt;/ div&gt; &lt;/ div&gt; &lt;div"&amp;" tabindex = ""- 1"" class = ""airy-adjusted-AUI-arrow-border""&gt; &lt;div tabindex = ""- 1"" class = ""airy-adjusted-AUI-arrow"" &gt; &lt;/ div&gt; &lt;/ div&gt; &lt;/ div&gt; &lt;/ div&gt; &lt;/ div&gt; &lt;/ div&gt; &lt;/ div&gt; &lt;/ div&gt; &lt;/ div&gt; &lt;/ div&gt; &lt;div tabindex = ""- 1"" class = ""airy-age-gate a"&amp;"iry-stage airy-Vertical-centering-table airy-dialog"" style = ""opacity: 0; visibility: hidden; ""&gt; &lt;div tabindex ="" - 1 ""class ="" airy-age-gate-Vertical-centering-table-cell airy-Vertical-centering-table-cell ""&gt; &lt;div tabindex ="" - 1 ""class = ""airy"&amp;"-Vertical-centering-wrapper airy-age-gate-elements-wrapper""&gt; &lt;div tabindex = ""- 1"" class = ""airy-age-gate-elements airy-dialog-elements""&gt; &lt;div tabindex = "" -1 ""class ="" airy-age-gate-prompt ""&gt; This video is not Intended for all audiences What dat"&amp;"e were you born &lt;/ div&gt; &lt;div tabindex =.?"" - 1 ""class ="" airy-age-gate -inputs airy-dialog-inner-elements ""&gt; &lt;select tabindex ="" - 1 ""class ="" airy-age-gate-month ""&gt; &lt;option value ="" 1 ""&gt; January &lt;/ option&gt; &lt;option value ="" 2 ""&gt; February &lt;/ op"&amp;"tion&gt; &lt;option value ="" 3 ""&gt; March &lt;/ option&gt; &lt;option value ="" 4 ""&gt; April &lt;/ option&gt; &lt;option value ="" 5 ""&gt; May &lt;/ option&gt; &lt;option value = ""6""&gt; June &lt;/ option&gt; &lt;option value = ""7""&gt; July &lt;/ option&gt; &lt;option value = ""8""&gt; August &lt;/ option&gt; &lt;option v"&amp;"alue = ""9""&gt; September &lt;/ option&gt; &lt;option value = ""10""&gt; October &lt;/ option&gt; &lt;option value = ""11""&gt; November &lt;/ option&gt; &lt;option value = ""12""&gt; December &lt;/ option&gt; &lt;/ select&gt; &lt;select tabindex = ""- 1"" class = ""airy-age-gate-day""&gt; &lt;opti on value = ""1"&amp;"""&gt; 1 &lt;/ option&gt; &lt;option value = ""2""&gt; 2 &lt;/ option&gt; &lt;option value = ""3""&gt; 3 &lt;/ option&gt; &lt;option value = ""4""&gt; 4 &lt;/ option &gt; &lt;option value = ""5""&gt; 5 &lt;/ option&gt; &lt;option value = ""6""&gt; 6 &lt;/ option&gt; &lt;option value = ""7""&gt; 7 &lt;/ option&gt; &lt;option value = ""8"""&amp;"&gt; 8 &lt; / option&gt; &lt;option value = ""9""&gt; 9 &lt;/ option&gt; &lt;option value = ""10""&gt; 10 &lt;/ option&gt; &lt;option value = ""11""&gt; 11 &lt;/ option&gt; &lt;option value = ""12""&gt; 12 &lt;/ option&gt; &lt;option value = ""13""&gt; 13 &lt;/ option&gt; &lt;option value = ""14""&gt; 14 &lt;/ option&gt; &lt;option value"&amp;" = ""15""&gt; 15 &lt;/ option&gt; &lt;option value = ""16 ""&gt; 16 &lt;/ option&gt; &lt;option value ="" 17 ""&gt; 17 &lt;/ option&gt; &lt;option value ="" 18 ""&gt; 18 &lt;/ option&gt; &lt;option value ="" 19 ""&gt; 19 &lt;/ option&gt; &lt;option value = ""20""&gt; 20 &lt;/ option&gt; &lt;option value = ""21""&gt; 21 &lt;/ option"&amp;"&gt; &lt;option value = ""22""&gt; 22 &lt;/ option&gt; &lt;option value = ""23""&gt; 23 &lt;/ option&gt; &lt;option value = ""24""&gt; 24 &lt;/ option&gt; &lt;option value = ""25""&gt; 25 &lt;/ option&gt; &lt;option value = ""26""&gt; 26 &lt;/ option&gt; &lt;option value = ""27""&gt; 27 &lt;/ option&gt; &lt;option value = ""28""&gt; 2"&amp;"8 &lt;/ option&gt; &lt;option value = ""29""&gt; 29 &lt;/ option&gt; &lt;option value = ""30""&gt; 30 &lt;/ option&gt; &lt;option value = ""31""&gt; 31 &lt;/ option&gt; &lt;/ select&gt; &lt;select tabindex = ""- 1"" class = ""airy-age-gate-year""&gt; &lt;option value = ""2019""&gt; 2019 &lt;/ option&gt; &lt; option value ="&amp;" ""2018""&gt; 2018 &lt;/ option&gt; &lt;option value = ""2017""&gt; 2017 &lt;/ option&gt; &lt;option value = ""2016""&gt; ​​2016 &lt;/ option&gt; &lt;option value = ""2015""&gt; 2015 &lt;/ option &gt; &lt;option value = ""2014""&gt; 2014 &lt;/ option&gt; &lt;option value = ""2013""&gt; 2013 &lt;/ option&gt; &lt;option value ="&amp;" ""2012""&gt; 2012 &lt;/ option&gt; &lt;option value = ""2011""&gt; 2011 &lt; / option&gt; &lt;option value = ""2010""&gt; 2010 &lt;/ option&gt; &lt;option value = ""2009""&gt; 2009 &lt;/ option&gt; &lt;option value = ""2008""&gt; 2008 &lt;/ option&gt; &lt;option value = ""2007""&gt; 2007 &lt;/ option&gt; &lt;option value = "&amp;"""2006""&gt; 2006 &lt;/ option&gt; &lt;option value = ""2005""&gt; 2005 &lt;/ option&gt; &lt;option value = ""2004""&gt; 2004 &lt;/ option&gt; &lt;option value = ""2003 ""&gt; 2003 &lt;/ option&gt; &lt;option value ="" 2002 ""&gt; 2002 &lt;/ option&gt; &lt;option value ="" 2001 ""&gt; 2001 &lt;/ option&gt; &lt;option value ="&amp;""" 2000 ""&gt; 2000 &lt;/ option&gt; &lt;option value = ""1999""&gt; 1999 &lt;/ option&gt; &lt;option value = ""1998""&gt; 1998 &lt;/ option&gt; &lt;option value = ""1997""&gt; 1997 &lt;/ option&gt; &lt;option value = ""1996""&gt; 1996 &lt;/ option&gt; &lt;option value = ""1995""&gt; 1995 &lt;/ option&gt; &lt;option value = "&amp;"""1994""&gt;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 "&amp;"""1982""&gt;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&lt;value option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&lt;value option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visib"&amp;"ility: hidden; ""&gt; &lt;div tabindex ="" - 1 ""class ="" airy-install-flash-Vertical-centering-table-cell airy-Vertical-centering-table-cell ""&gt; &lt;div tabindex ="" - 1 ""class = ""airy-Vertical-centering-wrapper airy-install-flash-elements-wrapper""&gt; &lt;div tabi"&amp;"ndex = ""- 1"" class = ""airy-install-flash-elements airy-dialog-elements""&gt; &lt;div tabindex = "" -1 ""class ="" airy-install-flash-prompt ""&gt; Adobe Flash Player is required to watch this video &lt;/ div&gt; &lt;div tabindex =."" - 1 ""class ="" airy-install-flash-b"&amp;"utton-wrapper airy -dialog-inner-elements ""&gt; &lt;div tabindex ="" - 1 ""class ="" airy-install-flash-button airy-button ""&gt; install Flash Player &lt;/ div&gt; &lt;/ div&gt; &lt;/ div&gt; &lt;/ div&gt; &lt;/ div&gt; &lt;/ div&gt; &lt;div tabindex = ""- 1"" class = ""airy-video-unsupported-dialog "&amp;"airy-stage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C1vja + 53zNS.mp4 ""Class ="" video-url ""&gt; &lt;input type ="" hidden ""name ="" ""value ="" https://images-eu.ssl-images-amazon.com/images/I/91r+ABiOk9S.png ""class = ""video-slate-img-url""&gt; &amp; nbsp; Blender 800 watts, comes with access"&amp;"ories such as rods, mincing steps and glass. Button has normal speed and turbo speed, and speed control. The value is good, since we are talking of an economic battery. Happy with purchase")</f>
        <v>Good-value &lt;div id = "video-block-RSKDPAMH3Z28" class = "a-section a-spacing-small a-spacing-top mini video-block"&gt; &lt;div tabindex = "0" class = "airy airy -svg vmin-supported airy-skin-beacon "style =" background-color: rgb (0, 0, 0) position: relative; width: 100%; height: 100%; font-size: 0px; overflow: hidden ; outline: none; "&gt; &lt;div class =" airy-renderer-container "style =" position: relative; height: 100%; width: 100%; "&gt; &lt;video id =" 15 "preload =" auto "src = "https://images-eu.ssl-images-amazon.com/images/I/C1vja+53zNS.mp4" style = "position: absolute; left: 0px; top: 0px; overflow: hidden; height: 1px ; width: 1px; "&gt; &lt;/ video&gt; &lt;/ div&gt; &lt;div id =" airy-slate-preload "style =" background-color: rgb (0, 0, 0); background-image: url (&amp; quot; https://images-eu.ssl-images-amazon.com/images/I/91r+ABiOk9S.png&amp;quot;); background-size: Contain; background-position: center center; background-repeat: no-repeat; position : absolute; top: 0px; left: 0px; visibility: visible; width: 100%; height: 100%; "&gt; &lt;/ div&gt; &lt;ifra I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C1vja + 53zNS.mp4 "Class =" video-url "&gt; &lt;input type =" hidden "name =" "value =" https://images-eu.ssl-images-amazon.com/images/I/91r+ABiOk9S.png "class = "video-slate-img-url"&gt; &amp; nbsp; Blender 800 watts, comes with accessories such as rods, mincing steps and glass. Button has normal speed and turbo speed, and speed control. The value is good, since we are talking of an economic battery. Happy with purchase</v>
      </c>
    </row>
    <row r="9013">
      <c r="A9013" s="1">
        <v>5.0</v>
      </c>
      <c r="B9013" s="1" t="s">
        <v>8940</v>
      </c>
      <c r="C9013" t="str">
        <f>IFERROR(__xludf.DUMMYFUNCTION("GOOGLETRANSLATE(B9013, ""es"", ""en"")"),"It shows that good quality is a quality material. Quick to heat and very easy to simply clean boiling vinegar. It's cute. highly recommended")</f>
        <v>It shows that good quality is a quality material. Quick to heat and very easy to simply clean boiling vinegar. It's cute. highly recommended</v>
      </c>
    </row>
    <row r="9014">
      <c r="A9014" s="1">
        <v>5.0</v>
      </c>
      <c r="B9014" s="1" t="s">
        <v>8941</v>
      </c>
      <c r="C9014" t="str">
        <f>IFERROR(__xludf.DUMMYFUNCTION("GOOGLETRANSLATE(B9014, ""es"", ""en"")"),"A comprehensive product content with different sound to wake, radio, various colors and intensities of light, good quality, cable for operation and charging your small battery and USB port for charging mobile while you sleep.")</f>
        <v>A comprehensive product content with different sound to wake, radio, various colors and intensities of light, good quality, cable for operation and charging your small battery and USB port for charging mobile while you sleep.</v>
      </c>
    </row>
    <row r="9015">
      <c r="A9015" s="1">
        <v>5.0</v>
      </c>
      <c r="B9015" s="1" t="s">
        <v>8942</v>
      </c>
      <c r="C9015" t="str">
        <f>IFERROR(__xludf.DUMMYFUNCTION("GOOGLETRANSLATE(B9015, ""es"", ""en"")"),"Vans old school 10 years using vans and remain equally perfect. Of my favorite definitely comfortable and original to wear.")</f>
        <v>Vans old school 10 years using vans and remain equally perfect. Of my favorite definitely comfortable and original to wear.</v>
      </c>
    </row>
    <row r="9016">
      <c r="A9016" s="1">
        <v>5.0</v>
      </c>
      <c r="B9016" s="1" t="s">
        <v>8943</v>
      </c>
      <c r="C9016" t="str">
        <f>IFERROR(__xludf.DUMMYFUNCTION("GOOGLETRANSLATE(B9016, ""es"", ""en"")"),"Perfect works thank you very much")</f>
        <v>Perfect works thank you very much</v>
      </c>
    </row>
    <row r="9017">
      <c r="A9017" s="1">
        <v>5.0</v>
      </c>
      <c r="B9017" s="1" t="s">
        <v>8944</v>
      </c>
      <c r="C9017" t="str">
        <f>IFERROR(__xludf.DUMMYFUNCTION("GOOGLETRANSLATE(B9017, ""es"", ""en"")"),"Very good Everything Excellent")</f>
        <v>Very good Everything Excellent</v>
      </c>
    </row>
    <row r="9018">
      <c r="A9018" s="1">
        <v>5.0</v>
      </c>
      <c r="B9018" s="1" t="s">
        <v>8945</v>
      </c>
      <c r="C9018" t="str">
        <f>IFERROR(__xludf.DUMMYFUNCTION("GOOGLETRANSLATE(B9018, ""es"", ""en"")"),"Vicente Shipping on the date indicated. They were outstanding gift for detail and the truth you liked a lot. They are very pretty")</f>
        <v>Vicente Shipping on the date indicated. They were outstanding gift for detail and the truth you liked a lot. They are very pretty</v>
      </c>
    </row>
    <row r="9019">
      <c r="A9019" s="1">
        <v>5.0</v>
      </c>
      <c r="B9019" s="1" t="s">
        <v>8946</v>
      </c>
      <c r="C9019" t="str">
        <f>IFERROR(__xludf.DUMMYFUNCTION("GOOGLETRANSLATE(B9019, ""es"", ""en"")"),"Great so far I do not desepciona these ssd")</f>
        <v>Great so far I do not desepciona these ssd</v>
      </c>
    </row>
    <row r="9020">
      <c r="A9020" s="1">
        <v>5.0</v>
      </c>
      <c r="B9020" s="1" t="s">
        <v>8947</v>
      </c>
      <c r="C9020" t="str">
        <f>IFERROR(__xludf.DUMMYFUNCTION("GOOGLETRANSLATE(B9020, ""es"", ""en"")"),"I love this photo album I love this album! and I love that you have the accessories, so the stickers and pens colores.es just what he wanted. I'll use it for photos of nustros travel.")</f>
        <v>I love this photo album I love this album! and I love that you have the accessories, so the stickers and pens colores.es just what he wanted. I'll use it for photos of nustros travel.</v>
      </c>
    </row>
    <row r="9021">
      <c r="A9021" s="1">
        <v>5.0</v>
      </c>
      <c r="B9021" s="1" t="s">
        <v>8948</v>
      </c>
      <c r="C9021" t="str">
        <f>IFERROR(__xludf.DUMMYFUNCTION("GOOGLETRANSLATE(B9021, ""es"", ""en"")"),"Excellent gem is perfect for a gift because it is very elegant, striking and above all very well priced taking over parts of svarosky. Very happy with the purchase.")</f>
        <v>Excellent gem is perfect for a gift because it is very elegant, striking and above all very well priced taking over parts of svarosky. Very happy with the purchase.</v>
      </c>
    </row>
    <row r="9022">
      <c r="A9022" s="1">
        <v>5.0</v>
      </c>
      <c r="B9022" s="1" t="s">
        <v>8949</v>
      </c>
      <c r="C9022" t="str">
        <f>IFERROR(__xludf.DUMMYFUNCTION("GOOGLETRANSLATE(B9022, ""es"", ""en"")"),"Excellent choice for money. I bought it for office, and filled every day several times. He has given no problem, always has malfunctioned. The material is plastic, it is not pretty, but perfectly fulfills its mission. It makes some noise.")</f>
        <v>Excellent choice for money. I bought it for office, and filled every day several times. He has given no problem, always has malfunctioned. The material is plastic, it is not pretty, but perfectly fulfills its mission. It makes some noise.</v>
      </c>
    </row>
    <row r="9023">
      <c r="A9023" s="1">
        <v>5.0</v>
      </c>
      <c r="B9023" s="1" t="s">
        <v>8950</v>
      </c>
      <c r="C9023" t="str">
        <f>IFERROR(__xludf.DUMMYFUNCTION("GOOGLETRANSLATE(B9023, ""es"", ""en"")"),"WRIST WATCH very aesthetically pleasing and lightweight.")</f>
        <v>WRIST WATCH very aesthetically pleasing and lightweight.</v>
      </c>
    </row>
    <row r="9024">
      <c r="A9024" s="1">
        <v>2.0</v>
      </c>
      <c r="B9024" s="1" t="s">
        <v>8951</v>
      </c>
      <c r="C9024" t="str">
        <f>IFERROR(__xludf.DUMMYFUNCTION("GOOGLETRANSLATE(B9024, ""es"", ""en"")"),"Unsuitable for young children not suitable for babies and children 1-3 years at least. Too fat wire earring with respect to the ear hole of a baby. Not even for children 1 to 3 years. At least in my case.")</f>
        <v>Unsuitable for young children not suitable for babies and children 1-3 years at least. Too fat wire earring with respect to the ear hole of a baby. Not even for children 1 to 3 years. At least in my case.</v>
      </c>
    </row>
    <row r="9025">
      <c r="A9025" s="1">
        <v>3.0</v>
      </c>
      <c r="B9025" s="1" t="s">
        <v>8952</v>
      </c>
      <c r="C9025" t="str">
        <f>IFERROR(__xludf.DUMMYFUNCTION("GOOGLETRANSLATE(B9025, ""es"", ""en"")"),"good article good watch, not very good price")</f>
        <v>good article good watch, not very good price</v>
      </c>
    </row>
    <row r="9026">
      <c r="A9026" s="1">
        <v>1.0</v>
      </c>
      <c r="B9026" s="1" t="s">
        <v>8953</v>
      </c>
      <c r="C9026" t="str">
        <f>IFERROR(__xludf.DUMMYFUNCTION("GOOGLETRANSLATE(B9026, ""es"", ""en"")"),"Cardboard are too expensive for what they were most calidad.algunos son.Pensaba were coming doblados.no would buy.")</f>
        <v>Cardboard are too expensive for what they were most calidad.algunos son.Pensaba were coming doblados.no would buy.</v>
      </c>
    </row>
    <row r="9027">
      <c r="A9027" s="1">
        <v>1.0</v>
      </c>
      <c r="B9027" s="1" t="s">
        <v>8954</v>
      </c>
      <c r="C9027" t="str">
        <f>IFERROR(__xludf.DUMMYFUNCTION("GOOGLETRANSLATE(B9027, ""es"", ""en"")"),"Total transparent do not understand the good reviews ... ye have seen from behind ?? Opposite me is beautiful, comfortable and beautifully designed but the fabric is so extremely thin that all transpires ass ... and note that this rather sueltecito me, if"&amp;" it be already set to ... 12 € garbage")</f>
        <v>Total transparent do not understand the good reviews ... ye have seen from behind ?? Opposite me is beautiful, comfortable and beautifully designed but the fabric is so extremely thin that all transpires ass ... and note that this rather sueltecito me, if it be already set to ... 12 € garbage</v>
      </c>
    </row>
    <row r="9028">
      <c r="A9028" s="1">
        <v>1.0</v>
      </c>
      <c r="B9028" s="1" t="s">
        <v>8955</v>
      </c>
      <c r="C9028" t="str">
        <f>IFERROR(__xludf.DUMMYFUNCTION("GOOGLETRANSLATE(B9028, ""es"", ""en"")"),"Oil essentially disappointing After trying several essential oils of tea tree we decided on this because your certificate Ecocert, size and dosage. The oil is not thick as it should be, appear to be lowered with another tip liquid and smell is far from be"&amp;"ing the one true tea tree oil. Little intense and fragrant. Simply disappointing.")</f>
        <v>Oil essentially disappointing After trying several essential oils of tea tree we decided on this because your certificate Ecocert, size and dosage. The oil is not thick as it should be, appear to be lowered with another tip liquid and smell is far from being the one true tea tree oil. Little intense and fragrant. Simply disappointing.</v>
      </c>
    </row>
    <row r="9029">
      <c r="A9029" s="1">
        <v>4.0</v>
      </c>
      <c r="B9029" s="1" t="s">
        <v>8956</v>
      </c>
      <c r="C9029" t="str">
        <f>IFERROR(__xludf.DUMMYFUNCTION("GOOGLETRANSLATE(B9029, ""es"", ""en"")"),"They're very good good !!! Are tight without being uncomfortable and fabric, which is very nice, gently it adheres to the skin. I liked and would use. Yes, they are short-waisted, but very nice. I recommend it.")</f>
        <v>They're very good good !!! Are tight without being uncomfortable and fabric, which is very nice, gently it adheres to the skin. I liked and would use. Yes, they are short-waisted, but very nice. I recommend it.</v>
      </c>
    </row>
    <row r="9030">
      <c r="A9030" s="1">
        <v>4.0</v>
      </c>
      <c r="B9030" s="1" t="s">
        <v>8957</v>
      </c>
      <c r="C9030" t="str">
        <f>IFERROR(__xludf.DUMMYFUNCTION("GOOGLETRANSLATE(B9030, ""es"", ""en"")"),"Overall a good product. The truth is a good speaker, has enough power, quality also perfect for indoors or outdoors too, but if there is a lot of noise outside power excaso stays. Battery pretty hard, but if you upload a lot of volume consumed much, takes"&amp;" too long to load. In short, good speaker inside, if only rings also outside, but with a plug nearby.")</f>
        <v>Overall a good product. The truth is a good speaker, has enough power, quality also perfect for indoors or outdoors too, but if there is a lot of noise outside power excaso stays. Battery pretty hard, but if you upload a lot of volume consumed much, takes too long to load. In short, good speaker inside, if only rings also outside, but with a plug nearby.</v>
      </c>
    </row>
    <row r="9031">
      <c r="A9031" s="1">
        <v>4.0</v>
      </c>
      <c r="B9031" s="1" t="s">
        <v>8958</v>
      </c>
      <c r="C9031" t="str">
        <f>IFERROR(__xludf.DUMMYFUNCTION("GOOGLETRANSLATE(B9031, ""es"", ""en"")"),"No subject much lower quality")</f>
        <v>No subject much lower quality</v>
      </c>
    </row>
    <row r="9032">
      <c r="A9032" s="1">
        <v>4.0</v>
      </c>
      <c r="B9032" s="1" t="s">
        <v>8959</v>
      </c>
      <c r="C9032" t="str">
        <f>IFERROR(__xludf.DUMMYFUNCTION("GOOGLETRANSLATE(B9032, ""es"", ""en"")"),"Good buy've tried all accessories and have been quite happy. Just what I expected. Durability can not comment. It washes well, nothing cumbersome.")</f>
        <v>Good buy've tried all accessories and have been quite happy. Just what I expected. Durability can not comment. It washes well, nothing cumbersome.</v>
      </c>
    </row>
    <row r="9033">
      <c r="A9033" s="1">
        <v>4.0</v>
      </c>
      <c r="B9033" s="1" t="s">
        <v>8960</v>
      </c>
      <c r="C9033" t="str">
        <f>IFERROR(__xludf.DUMMYFUNCTION("GOOGLETRANSLATE(B9033, ""es"", ""en"")"),"It is fine and comfortable but maybe good is something Olgado")</f>
        <v>It is fine and comfortable but maybe good is something Olgado</v>
      </c>
    </row>
    <row r="9034">
      <c r="A9034" s="1">
        <v>5.0</v>
      </c>
      <c r="B9034" s="1" t="s">
        <v>8961</v>
      </c>
      <c r="C9034" t="str">
        <f>IFERROR(__xludf.DUMMYFUNCTION("GOOGLETRANSLATE(B9034, ""es"", ""en"")"),"Okay, how well I expected, as expected")</f>
        <v>Okay, how well I expected, as expected</v>
      </c>
    </row>
    <row r="9035">
      <c r="A9035" s="1">
        <v>5.0</v>
      </c>
      <c r="B9035" s="1" t="s">
        <v>8962</v>
      </c>
      <c r="C9035" t="str">
        <f>IFERROR(__xludf.DUMMYFUNCTION("GOOGLETRANSLATE(B9035, ""es"", ""en"")"),"Very nice and cheap. It is a very nice, reliable, large and cheap watch. A good choice when you want a watch for all. The black color makes it unobtrusive and above can use it forever.")</f>
        <v>Very nice and cheap. It is a very nice, reliable, large and cheap watch. A good choice when you want a watch for all. The black color makes it unobtrusive and above can use it forever.</v>
      </c>
    </row>
    <row r="9036">
      <c r="A9036" s="1">
        <v>5.0</v>
      </c>
      <c r="B9036" s="1" t="s">
        <v>8963</v>
      </c>
      <c r="C9036" t="str">
        <f>IFERROR(__xludf.DUMMYFUNCTION("GOOGLETRANSLATE(B9036, ""es"", ""en"")"),"Simple but beautiful I bought them several times")</f>
        <v>Simple but beautiful I bought them several times</v>
      </c>
    </row>
    <row r="9037">
      <c r="A9037" s="1">
        <v>5.0</v>
      </c>
      <c r="B9037" s="1" t="s">
        <v>8964</v>
      </c>
      <c r="C9037" t="str">
        <f>IFERROR(__xludf.DUMMYFUNCTION("GOOGLETRANSLATE(B9037, ""es"", ""en"")"),"I recommend it 100% Awesome karaoke microphone to have a good time with friends. It is perfect, as in the photo. Has a sound loud and clear, not distorted at all, the Bluetooth connection is not cut at all, the battery lasts long.")</f>
        <v>I recommend it 100% Awesome karaoke microphone to have a good time with friends. It is perfect, as in the photo. Has a sound loud and clear, not distorted at all, the Bluetooth connection is not cut at all, the battery lasts long.</v>
      </c>
    </row>
    <row r="9038">
      <c r="A9038" s="1">
        <v>5.0</v>
      </c>
      <c r="B9038" s="1" t="s">
        <v>8965</v>
      </c>
      <c r="C9038" t="str">
        <f>IFERROR(__xludf.DUMMYFUNCTION("GOOGLETRANSLATE(B9038, ""es"", ""en"")"),"USB All good")</f>
        <v>USB All good</v>
      </c>
    </row>
    <row r="9039">
      <c r="A9039" s="1">
        <v>5.0</v>
      </c>
      <c r="B9039" s="1" t="s">
        <v>8966</v>
      </c>
      <c r="C9039" t="str">
        <f>IFERROR(__xludf.DUMMYFUNCTION("GOOGLETRANSLATE(B9039, ""es"", ""en"")"),"Buenísimo exfoliates, moisturizes and smells good. What more could you want? Good quality. The use twice x week. I recommend it.")</f>
        <v>Buenísimo exfoliates, moisturizes and smells good. What more could you want? Good quality. The use twice x week. I recommend it.</v>
      </c>
    </row>
    <row r="9040">
      <c r="A9040" s="1">
        <v>5.0</v>
      </c>
      <c r="B9040" s="1" t="s">
        <v>8967</v>
      </c>
      <c r="C9040" t="str">
        <f>IFERROR(__xludf.DUMMYFUNCTION("GOOGLETRANSLATE(B9040, ""es"", ""en"")"),"I verified purchase order again a Bluetooth headset as I have others and the truth I am very happy with the result. Say they are very comfortable and lightweight, fit perfectly into the ear and ease of taking in its case and loaded with is very useful. As"&amp;" well as lead magnet to place on the case makes you easier to keep them. and remove them. Its use is very simple, yet comes with manual but the pairing with the device is easy and simple. It seeks Bluetooth device and the time begins to pair well on mobil"&amp;"e as on TV. The battery is durable, have exhausted bringing loading and its resistance is durable. The fact of incorporating Bluetooth 5.0 make you have a better battery optimization, so you put up enough. The quality of the sound is clear and clean, have"&amp;" good sound quality, and distance of Bluetooth is very good as it can move freely without carrying the mobile above. And finally indicate that the material they are echos is tough and the coupling Albo make withstand gone and will not fall, but if it happ"&amp;"ens, are resistant. Very good quality.")</f>
        <v>I verified purchase order again a Bluetooth headset as I have others and the truth I am very happy with the result. Say they are very comfortable and lightweight, fit perfectly into the ear and ease of taking in its case and loaded with is very useful. As well as lead magnet to place on the case makes you easier to keep them. and remove them. Its use is very simple, yet comes with manual but the pairing with the device is easy and simple. It seeks Bluetooth device and the time begins to pair well on mobile as on TV. The battery is durable, have exhausted bringing loading and its resistance is durable. The fact of incorporating Bluetooth 5.0 make you have a better battery optimization, so you put up enough. The quality of the sound is clear and clean, have good sound quality, and distance of Bluetooth is very good as it can move freely without carrying the mobile above. And finally indicate that the material they are echos is tough and the coupling Albo make withstand gone and will not fall, but if it happens, are resistant. Very good quality.</v>
      </c>
    </row>
    <row r="9041">
      <c r="A9041" s="1">
        <v>5.0</v>
      </c>
      <c r="B9041" s="1" t="s">
        <v>8968</v>
      </c>
      <c r="C9041" t="str">
        <f>IFERROR(__xludf.DUMMYFUNCTION("GOOGLETRANSLATE(B9041, ""es"", ""en"")"),"Fulfills its function. Fulfills its function.")</f>
        <v>Fulfills its function. Fulfills its function.</v>
      </c>
    </row>
    <row r="9042">
      <c r="A9042" s="1">
        <v>5.0</v>
      </c>
      <c r="B9042" s="1" t="s">
        <v>8969</v>
      </c>
      <c r="C9042" t="str">
        <f>IFERROR(__xludf.DUMMYFUNCTION("GOOGLETRANSLATE(B9042, ""es"", ""en"")"),"Quality Very easy to use. Good quality. I am satisfied with the product. I will buy more when you finish the package. I recommend it")</f>
        <v>Quality Very easy to use. Good quality. I am satisfied with the product. I will buy more when you finish the package. I recommend it</v>
      </c>
    </row>
    <row r="9043">
      <c r="A9043" s="1">
        <v>5.0</v>
      </c>
      <c r="B9043" s="1" t="s">
        <v>8970</v>
      </c>
      <c r="C9043" t="str">
        <f>IFERROR(__xludf.DUMMYFUNCTION("GOOGLETRANSLATE(B9043, ""es"", ""en"")"),"Fulfills the promise perfectly &lt;div id = ""video-block-R31386PGS97JXS"" class = ""a-section a-spacing-small a-spacing-top mini video-block""&gt; &lt;/ div&gt; &lt;input type = ""hidden"" name = """" value = ""https://images-eu.ssl-images-amazon.com/images/I/B1iX+08YH"&amp;"fS.mp4"" class = ""video-url""&gt; &lt;input type = ""hidden"" name = "" ""value ="" https://images-eu.ssl-images-amazon.com/images/I/91asHiJMWJS.png ""class ="" video-slate-img-url ""&gt; &amp; nbsp; Ideal for those cold days that are to come, or areas that a little "&amp;"tired could do great heat. Heat up quickly and in a uniform manner. The touch is soft and pleasant. It also includes a tape with velcro to adjust the blanket over different areas of the body without being moved. You have different temperature levels to ch"&amp;"oose what suits your tastes and 4 different timers. Good value for money. Highly recommended.")</f>
        <v>Fulfills the promise perfectly &lt;div id = "video-block-R31386PGS97JXS" class = "a-section a-spacing-small a-spacing-top mini video-block"&gt; &lt;/ div&gt; &lt;input type = "hidden" name = "" value = "https://images-eu.ssl-images-amazon.com/images/I/B1iX+08YHfS.mp4" class = "video-url"&gt; &lt;input type = "hidden" name = " "value =" https://images-eu.ssl-images-amazon.com/images/I/91asHiJMWJS.png "class =" video-slate-img-url "&gt; &amp; nbsp; Ideal for those cold days that are to come, or areas that a little tired could do great heat. Heat up quickly and in a uniform manner. The touch is soft and pleasant. It also includes a tape with velcro to adjust the blanket over different areas of the body without being moved. You have different temperature levels to choose what suits your tastes and 4 different timers. Good value for money. Highly recommended.</v>
      </c>
    </row>
    <row r="9044">
      <c r="A9044" s="1">
        <v>5.0</v>
      </c>
      <c r="B9044" s="1" t="s">
        <v>8971</v>
      </c>
      <c r="C9044" t="str">
        <f>IFERROR(__xludf.DUMMYFUNCTION("GOOGLETRANSLATE(B9044, ""es"", ""en"")"),"Silver earrings elegant earrings wanted to give away. These are fine because they are silver, with small zircons hanging in the stars, and are very elegant. They are nut (also of silver) and carry, in addition, plastic nuts for added security. Stars can b"&amp;"e removed and replaced whenever you want, seeming to have 2 pairs of earrings instead of one. They come in a blue box with velvet lined interior, so the presentation is excellent.")</f>
        <v>Silver earrings elegant earrings wanted to give away. These are fine because they are silver, with small zircons hanging in the stars, and are very elegant. They are nut (also of silver) and carry, in addition, plastic nuts for added security. Stars can be removed and replaced whenever you want, seeming to have 2 pairs of earrings instead of one. They come in a blue box with velvet lined interior, so the presentation is excellent.</v>
      </c>
    </row>
    <row r="9045">
      <c r="A9045" s="1">
        <v>5.0</v>
      </c>
      <c r="B9045" s="1" t="s">
        <v>8972</v>
      </c>
      <c r="C9045" t="str">
        <f>IFERROR(__xludf.DUMMYFUNCTION("GOOGLETRANSLATE(B9045, ""es"", ""en"")"),"Everything perfect, right size and good quality complies perfectly with what I needed, take things (wallet, mobile, snuff, glasses, keys ...). For my taste, it is the right size and I was looking for. Comfortable and good quality. Excellent shipping.")</f>
        <v>Everything perfect, right size and good quality complies perfectly with what I needed, take things (wallet, mobile, snuff, glasses, keys ...). For my taste, it is the right size and I was looking for. Comfortable and good quality. Excellent shipping.</v>
      </c>
    </row>
    <row r="9046">
      <c r="A9046" s="1">
        <v>5.0</v>
      </c>
      <c r="B9046" s="1" t="s">
        <v>8973</v>
      </c>
      <c r="C9046" t="str">
        <f>IFERROR(__xludf.DUMMYFUNCTION("GOOGLETRANSLATE(B9046, ""es"", ""en"")"),"Quality competitively priced supreme quality at a very competent. But at the moment no. He arrived earlier than expected and everything came by post. He hears everything with a lot of sharpness and the microphone picks up the sound perfectly. It is a high"&amp;"ly recommended purchase if you need a headset.")</f>
        <v>Quality competitively priced supreme quality at a very competent. But at the moment no. He arrived earlier than expected and everything came by post. He hears everything with a lot of sharpness and the microphone picks up the sound perfectly. It is a highly recommended purchase if you need a headset.</v>
      </c>
    </row>
    <row r="9047">
      <c r="A9047" s="1">
        <v>5.0</v>
      </c>
      <c r="B9047" s="1" t="s">
        <v>8974</v>
      </c>
      <c r="C9047" t="str">
        <f>IFERROR(__xludf.DUMMYFUNCTION("GOOGLETRANSLATE(B9047, ""es"", ""en"")"),"Zero problems, zero mistakes Today little to tell the Verbatim brand with very good value and good performance. Fully satisfied with the purchase. I've been using them more than 10 years and podira say I have not had any problem with them. As stated in th"&amp;"e title of valuation .. zero problems, zero errors. And insuperable appreciation.")</f>
        <v>Zero problems, zero mistakes Today little to tell the Verbatim brand with very good value and good performance. Fully satisfied with the purchase. I've been using them more than 10 years and podira say I have not had any problem with them. As stated in the title of valuation .. zero problems, zero errors. And insuperable appreciation.</v>
      </c>
    </row>
    <row r="9048">
      <c r="A9048" s="1">
        <v>5.0</v>
      </c>
      <c r="B9048" s="1" t="s">
        <v>8975</v>
      </c>
      <c r="C9048" t="str">
        <f>IFERROR(__xludf.DUMMYFUNCTION("GOOGLETRANSLATE(B9048, ""es"", ""en"")"),"A hand Recommended product for all kinds of joint pain")</f>
        <v>A hand Recommended product for all kinds of joint pain</v>
      </c>
    </row>
    <row r="9049">
      <c r="A9049" s="1">
        <v>5.0</v>
      </c>
      <c r="B9049" s="1" t="s">
        <v>8976</v>
      </c>
      <c r="C9049" t="str">
        <f>IFERROR(__xludf.DUMMYFUNCTION("GOOGLETRANSLATE(B9049, ""es"", ""en"")"),"Perfect shipping in a day and such a product which is shown, October 1")</f>
        <v>Perfect shipping in a day and such a product which is shown, October 1</v>
      </c>
    </row>
    <row r="9050">
      <c r="A9050" s="1">
        <v>5.0</v>
      </c>
      <c r="B9050" s="1" t="s">
        <v>8977</v>
      </c>
      <c r="C9050" t="str">
        <f>IFERROR(__xludf.DUMMYFUNCTION("GOOGLETRANSLATE(B9050, ""es"", ""en"")"),"The fast and practical acquired in late October, since I use it daily at least twice a day, I am delighted. The flat base includes practically the cable, the size just over a liter for me is perfect. By putting some but ... the steel can be burned if you "&amp;"touch this surface in use.")</f>
        <v>The fast and practical acquired in late October, since I use it daily at least twice a day, I am delighted. The flat base includes practically the cable, the size just over a liter for me is perfect. By putting some but ... the steel can be burned if you touch this surface in use.</v>
      </c>
    </row>
    <row r="9051">
      <c r="A9051" s="1">
        <v>5.0</v>
      </c>
      <c r="B9051" s="1" t="s">
        <v>8978</v>
      </c>
      <c r="C9051" t="str">
        <f>IFERROR(__xludf.DUMMYFUNCTION("GOOGLETRANSLATE(B9051, ""es"", ""en"")"),"Highly recommended highly recommended by the various options available. For enclosed spaces 10 and open spaces 7")</f>
        <v>Highly recommended highly recommended by the various options available. For enclosed spaces 10 and open spaces 7</v>
      </c>
    </row>
    <row r="9052">
      <c r="A9052" s="1">
        <v>5.0</v>
      </c>
      <c r="B9052" s="1" t="s">
        <v>8979</v>
      </c>
      <c r="C9052" t="str">
        <f>IFERROR(__xludf.DUMMYFUNCTION("GOOGLETRANSLATE(B9052, ""es"", ""en"")"),"Fast and powerful maximum power for sauces and mayonnaise, fast and ergonomic. The only thing that is a little uncomfortable is the assembly of the arms half thread, but overall it is a great buy for me, I use it a lot.")</f>
        <v>Fast and powerful maximum power for sauces and mayonnaise, fast and ergonomic. The only thing that is a little uncomfortable is the assembly of the arms half thread, but overall it is a great buy for me, I use it a lot.</v>
      </c>
    </row>
    <row r="9053">
      <c r="A9053" s="1">
        <v>2.0</v>
      </c>
      <c r="B9053" s="1" t="s">
        <v>8980</v>
      </c>
      <c r="C9053" t="str">
        <f>IFERROR(__xludf.DUMMYFUNCTION("GOOGLETRANSLATE(B9053, ""es"", ""en"")"),"A little disappointed Today I received the package, yet I could try all accessories, but the box has come as show in the photo, the corners battered and bent and broken instructions. Which it made me think that was already used. The mixer that is all that"&amp;" I could try for now, holds for what I needed. Accessories such as rod mincer and I have pretty disappointed because they are very small and look like toys. I'll wait to see if everything works properly or not, because they expected it to be better.")</f>
        <v>A little disappointed Today I received the package, yet I could try all accessories, but the box has come as show in the photo, the corners battered and bent and broken instructions. Which it made me think that was already used. The mixer that is all that I could try for now, holds for what I needed. Accessories such as rod mincer and I have pretty disappointed because they are very small and look like toys. I'll wait to see if everything works properly or not, because they expected it to be better.</v>
      </c>
    </row>
    <row r="9054">
      <c r="A9054" s="1">
        <v>3.0</v>
      </c>
      <c r="B9054" s="1" t="s">
        <v>8981</v>
      </c>
      <c r="C9054" t="str">
        <f>IFERROR(__xludf.DUMMYFUNCTION("GOOGLETRANSLATE(B9054, ""es"", ""en"")"),"Util is losing strength")</f>
        <v>Util is losing strength</v>
      </c>
    </row>
    <row r="9055">
      <c r="A9055" s="1">
        <v>3.0</v>
      </c>
      <c r="B9055" s="1" t="s">
        <v>8982</v>
      </c>
      <c r="C9055" t="str">
        <f>IFERROR(__xludf.DUMMYFUNCTION("GOOGLETRANSLATE(B9055, ""es"", ""en"")"),"Asking eye size. Eye sizes. Double check the measures on the table and if it is fair Gather the top size immediately.")</f>
        <v>Asking eye size. Eye sizes. Double check the measures on the table and if it is fair Gather the top size immediately.</v>
      </c>
    </row>
    <row r="9056">
      <c r="A9056" s="1">
        <v>3.0</v>
      </c>
      <c r="B9056" s="1" t="s">
        <v>8983</v>
      </c>
      <c r="C9056" t="str">
        <f>IFERROR(__xludf.DUMMYFUNCTION("GOOGLETRANSLATE(B9056, ""es"", ""en"")"),"Right, but I think the end is not worth it. He had a bottle of a previous child, these sample, and the other son decided to come way to continue this brand for its ""benefits"". When the bottle is a great use of the beam with normal milk. The problem come"&amp;"s when you use it with thicker milks, anti-colic in my case. At the end, an outlay of several bottles, nipples highest ranking to try to come out milk, multiple tests ... at the end all you have is me to spend more money without success. There I contacted"&amp;" the manufacturer and from it I get home remedies; certainly they are not intended their teats for such formulations. Solution, go to the supermarket and buy 3 positions Teats with their respective bottles 4 €. The small support them well, out milk and ov"&amp;"er, can use teats that are not from Dr Brown in their bottles (not say marks), that if, without the inner contraption (this does is equalize the pressure inside the bottle with the outside, while the other valve is necessary in silicone get it).")</f>
        <v>Right, but I think the end is not worth it. He had a bottle of a previous child, these sample, and the other son decided to come way to continue this brand for its "benefits". When the bottle is a great use of the beam with normal milk. The problem comes when you use it with thicker milks, anti-colic in my case. At the end, an outlay of several bottles, nipples highest ranking to try to come out milk, multiple tests ... at the end all you have is me to spend more money without success. There I contacted the manufacturer and from it I get home remedies; certainly they are not intended their teats for such formulations. Solution, go to the supermarket and buy 3 positions Teats with their respective bottles 4 €. The small support them well, out milk and over, can use teats that are not from Dr Brown in their bottles (not say marks), that if, without the inner contraption (this does is equalize the pressure inside the bottle with the outside, while the other valve is necessary in silicone get it).</v>
      </c>
    </row>
    <row r="9057">
      <c r="A9057" s="1">
        <v>1.0</v>
      </c>
      <c r="B9057" s="1" t="s">
        <v>8984</v>
      </c>
      <c r="C9057" t="str">
        <f>IFERROR(__xludf.DUMMYFUNCTION("GOOGLETRANSLATE(B9057, ""es"", ""en"")"),"Poor value for money I bought smothies and not worth pureeing. It does not fulfill its function.")</f>
        <v>Poor value for money I bought smothies and not worth pureeing. It does not fulfill its function.</v>
      </c>
    </row>
    <row r="9058">
      <c r="A9058" s="1">
        <v>1.0</v>
      </c>
      <c r="B9058" s="1" t="s">
        <v>8985</v>
      </c>
      <c r="C9058" t="str">
        <f>IFERROR(__xludf.DUMMYFUNCTION("GOOGLETRANSLATE(B9058, ""es"", ""en"")"),"Purchase failure I bought thinking I could use them for sport, and have not lasted me anything. Suddenly he stopped listening. Now I have to pull and dandy. Do not buy them, would not recommend. Better to take other even if they cost more, I now owe buy o"&amp;"ther.")</f>
        <v>Purchase failure I bought thinking I could use them for sport, and have not lasted me anything. Suddenly he stopped listening. Now I have to pull and dandy. Do not buy them, would not recommend. Better to take other even if they cost more, I now owe buy other.</v>
      </c>
    </row>
    <row r="9059">
      <c r="A9059" s="1">
        <v>4.0</v>
      </c>
      <c r="B9059" s="1" t="s">
        <v>8986</v>
      </c>
      <c r="C9059" t="str">
        <f>IFERROR(__xludf.DUMMYFUNCTION("GOOGLETRANSLATE(B9059, ""es"", ""en"")"),"A quality product, but great! Headphones are high quality, easy to ""pair"" with which type of mobile or tablet but so large and difficult to place in the ear (if you have big ears). I do not trust you not to fall anytime if I'm walking. Sitting no proble"&amp;"m.")</f>
        <v>A quality product, but great! Headphones are high quality, easy to "pair" with which type of mobile or tablet but so large and difficult to place in the ear (if you have big ears). I do not trust you not to fall anytime if I'm walking. Sitting no problem.</v>
      </c>
    </row>
    <row r="9060">
      <c r="A9060" s="1">
        <v>4.0</v>
      </c>
      <c r="B9060" s="1" t="s">
        <v>8987</v>
      </c>
      <c r="C9060" t="str">
        <f>IFERROR(__xludf.DUMMYFUNCTION("GOOGLETRANSLATE(B9060, ""es"", ""en"")"),"Well but it has a little something crumples and then is very difficult to regain. The car works well off but the heat it provides is limited. He had another that was more heat.")</f>
        <v>Well but it has a little something crumples and then is very difficult to regain. The car works well off but the heat it provides is limited. He had another that was more heat.</v>
      </c>
    </row>
    <row r="9061">
      <c r="A9061" s="1">
        <v>4.0</v>
      </c>
      <c r="B9061" s="1" t="s">
        <v>8988</v>
      </c>
      <c r="C9061" t="str">
        <f>IFERROR(__xludf.DUMMYFUNCTION("GOOGLETRANSLATE(B9061, ""es"", ""en"")"),"But good idea fragile hand Racks of Solta very easy. Rest is fine.")</f>
        <v>But good idea fragile hand Racks of Solta very easy. Rest is fine.</v>
      </c>
    </row>
    <row r="9062">
      <c r="A9062" s="1">
        <v>4.0</v>
      </c>
      <c r="B9062" s="1" t="s">
        <v>8989</v>
      </c>
      <c r="C9062" t="str">
        <f>IFERROR(__xludf.DUMMYFUNCTION("GOOGLETRANSLATE(B9062, ""es"", ""en"")"),"Good product good aroma and meets the relaxing function, sometimes I also put a few drops on the temples to sleep.")</f>
        <v>Good product good aroma and meets the relaxing function, sometimes I also put a few drops on the temples to sleep.</v>
      </c>
    </row>
    <row r="9063">
      <c r="A9063" s="1">
        <v>5.0</v>
      </c>
      <c r="B9063" s="1" t="s">
        <v>8990</v>
      </c>
      <c r="C9063" t="str">
        <f>IFERROR(__xludf.DUMMYFUNCTION("GOOGLETRANSLATE(B9063, ""es"", ""en"")"),"Everything ok Okay all a bit small in size, but expected bigger is perfect!")</f>
        <v>Everything ok Okay all a bit small in size, but expected bigger is perfect!</v>
      </c>
    </row>
    <row r="9064">
      <c r="A9064" s="1">
        <v>5.0</v>
      </c>
      <c r="B9064" s="1" t="s">
        <v>8991</v>
      </c>
      <c r="C9064" t="str">
        <f>IFERROR(__xludf.DUMMYFUNCTION("GOOGLETRANSLATE(B9064, ""es"", ""en"")"),"Excellent quality. What is expected of Adidas. Buy another black.")</f>
        <v>Excellent quality. What is expected of Adidas. Buy another black.</v>
      </c>
    </row>
    <row r="9065">
      <c r="A9065" s="1">
        <v>5.0</v>
      </c>
      <c r="B9065" s="1" t="s">
        <v>8992</v>
      </c>
      <c r="C9065" t="str">
        <f>IFERROR(__xludf.DUMMYFUNCTION("GOOGLETRANSLATE(B9065, ""es"", ""en"")"),"Everything smells great !! I like everything, design, smell the aromas great and works perfectly, I use it in my living room and is all filled with the smell, I love it !!")</f>
        <v>Everything smells great !! I like everything, design, smell the aromas great and works perfectly, I use it in my living room and is all filled with the smell, I love it !!</v>
      </c>
    </row>
    <row r="9066">
      <c r="A9066" s="1">
        <v>5.0</v>
      </c>
      <c r="B9066" s="1" t="s">
        <v>8993</v>
      </c>
      <c r="C9066" t="str">
        <f>IFERROR(__xludf.DUMMYFUNCTION("GOOGLETRANSLATE(B9066, ""es"", ""en"")"),"esxelente as described vendedorsuper reliable 100% positive")</f>
        <v>esxelente as described vendedorsuper reliable 100% positive</v>
      </c>
    </row>
    <row r="9067">
      <c r="A9067" s="1">
        <v>5.0</v>
      </c>
      <c r="B9067" s="1" t="s">
        <v>8994</v>
      </c>
      <c r="C9067" t="str">
        <f>IFERROR(__xludf.DUMMYFUNCTION("GOOGLETRANSLATE(B9067, ""es"", ""en"")"),"Good double-sided tape Double-sided tape high grip and durability. Able to withstand a lot of weight. For lots of tools and easy to use.")</f>
        <v>Good double-sided tape Double-sided tape high grip and durability. Able to withstand a lot of weight. For lots of tools and easy to use.</v>
      </c>
    </row>
    <row r="9068">
      <c r="A9068" s="1">
        <v>5.0</v>
      </c>
      <c r="B9068" s="1" t="s">
        <v>8995</v>
      </c>
      <c r="C9068" t="str">
        <f>IFERROR(__xludf.DUMMYFUNCTION("GOOGLETRANSLATE(B9068, ""es"", ""en"")"),"Excellent so far to have good storage we should think of desktop drives that require to be plugged into the network. The future through the USB 3.0 conexciones without network connection. Furthermore, as I have understood, portable drives are much more re"&amp;"sistant than desktop. It is also true that will lower speeds ... but the truth is it does not matter in most applications. I said. The future is in them and are much more practical.")</f>
        <v>Excellent so far to have good storage we should think of desktop drives that require to be plugged into the network. The future through the USB 3.0 conexciones without network connection. Furthermore, as I have understood, portable drives are much more resistant than desktop. It is also true that will lower speeds ... but the truth is it does not matter in most applications. I said. The future is in them and are much more practical.</v>
      </c>
    </row>
    <row r="9069">
      <c r="A9069" s="1">
        <v>5.0</v>
      </c>
      <c r="B9069" s="1" t="s">
        <v>8996</v>
      </c>
      <c r="C9069" t="str">
        <f>IFERROR(__xludf.DUMMYFUNCTION("GOOGLETRANSLATE(B9069, ""es"", ""en"")"),"Very entertaining great part of a good way to start small in music, my nephews loved")</f>
        <v>Very entertaining great part of a good way to start small in music, my nephews loved</v>
      </c>
    </row>
    <row r="9070">
      <c r="A9070" s="1">
        <v>5.0</v>
      </c>
      <c r="B9070" s="1" t="s">
        <v>8997</v>
      </c>
      <c r="C9070" t="str">
        <f>IFERROR(__xludf.DUMMYFUNCTION("GOOGLETRANSLATE(B9070, ""es"", ""en"")"),"Excellent and at a great price. I recommend the article. Good quality.")</f>
        <v>Excellent and at a great price. I recommend the article. Good quality.</v>
      </c>
    </row>
    <row r="9071">
      <c r="A9071" s="1">
        <v>5.0</v>
      </c>
      <c r="B9071" s="1" t="s">
        <v>8998</v>
      </c>
      <c r="C9071" t="str">
        <f>IFERROR(__xludf.DUMMYFUNCTION("GOOGLETRANSLATE(B9071, ""es"", ""en"")"),"Very efficient and very fast cool")</f>
        <v>Very efficient and very fast cool</v>
      </c>
    </row>
    <row r="9072">
      <c r="A9072" s="1">
        <v>5.0</v>
      </c>
      <c r="B9072" s="1" t="s">
        <v>8999</v>
      </c>
      <c r="C9072" t="str">
        <f>IFERROR(__xludf.DUMMYFUNCTION("GOOGLETRANSLATE(B9072, ""es"", ""en"")"),"😍 I love, ideal for unmarked belly look good, I bought in another color")</f>
        <v>😍 I love, ideal for unmarked belly look good, I bought in another color</v>
      </c>
    </row>
    <row r="9073">
      <c r="A9073" s="1">
        <v>5.0</v>
      </c>
      <c r="B9073" s="1" t="s">
        <v>9000</v>
      </c>
      <c r="C9073" t="str">
        <f>IFERROR(__xludf.DUMMYFUNCTION("GOOGLETRANSLATE(B9073, ""es"", ""en"")"),"Value, 399 € or less perfect perfect simply very happy with your purchase, to see if updated software iOS and give me option to do the house in Vertica or horizontally (x layout d my house is the most efficient) Amazon ultrafast")</f>
        <v>Value, 399 € or less perfect perfect simply very happy with your purchase, to see if updated software iOS and give me option to do the house in Vertica or horizontally (x layout d my house is the most efficient) Amazon ultrafast</v>
      </c>
    </row>
    <row r="9074">
      <c r="A9074" s="1">
        <v>5.0</v>
      </c>
      <c r="B9074" s="1" t="s">
        <v>9001</v>
      </c>
      <c r="C9074" t="str">
        <f>IFERROR(__xludf.DUMMYFUNCTION("GOOGLETRANSLATE(B9074, ""es"", ""en"")"),"Very good memory. The product arrived before the stipulated period and corresponds exactly to that reported in the sales prospectus. in terms of quality, time works well and I have no complaints.")</f>
        <v>Very good memory. The product arrived before the stipulated period and corresponds exactly to that reported in the sales prospectus. in terms of quality, time works well and I have no complaints.</v>
      </c>
    </row>
    <row r="9075">
      <c r="A9075" s="1">
        <v>5.0</v>
      </c>
      <c r="B9075" s="1" t="s">
        <v>9002</v>
      </c>
      <c r="C9075" t="str">
        <f>IFERROR(__xludf.DUMMYFUNCTION("GOOGLETRANSLATE(B9075, ""es"", ""en"")"),"Price and unbeatable design quality super 👌🏻 fabric, cut with, feel like a glove, very cool designs, best price very recomendables👍🏼")</f>
        <v>Price and unbeatable design quality super 👌🏻 fabric, cut with, feel like a glove, very cool designs, best price very recomendables👍🏼</v>
      </c>
    </row>
    <row r="9076">
      <c r="A9076" s="1">
        <v>5.0</v>
      </c>
      <c r="B9076" s="1" t="s">
        <v>9003</v>
      </c>
      <c r="C9076" t="str">
        <f>IFERROR(__xludf.DUMMYFUNCTION("GOOGLETRANSLATE(B9076, ""es"", ""en"")"),"Que bonita is very nice !!! It brings all your stones perfectly placed, brings to engage with hair, perfectly placed, it's beautiful !!")</f>
        <v>Que bonita is very nice !!! It brings all your stones perfectly placed, brings to engage with hair, perfectly placed, it's beautiful !!</v>
      </c>
    </row>
    <row r="9077">
      <c r="A9077" s="1">
        <v>5.0</v>
      </c>
      <c r="B9077" s="1" t="s">
        <v>9004</v>
      </c>
      <c r="C9077" t="str">
        <f>IFERROR(__xludf.DUMMYFUNCTION("GOOGLETRANSLATE(B9077, ""es"", ""en"")"),"Good neck massager The product is ideal for those who want a massage after a hard day. I recommend purchase. Good quality")</f>
        <v>Good neck massager The product is ideal for those who want a massage after a hard day. I recommend purchase. Good quality</v>
      </c>
    </row>
    <row r="9078">
      <c r="A9078" s="1">
        <v>5.0</v>
      </c>
      <c r="B9078" s="1" t="s">
        <v>9005</v>
      </c>
      <c r="C9078" t="str">
        <f>IFERROR(__xludf.DUMMYFUNCTION("GOOGLETRANSLATE(B9078, ""es"", ""en"")"),"Genial very cool, very nice. Good and good price. You should take one size smaller. The sizing is great.")</f>
        <v>Genial very cool, very nice. Good and good price. You should take one size smaller. The sizing is great.</v>
      </c>
    </row>
    <row r="9079">
      <c r="A9079" s="1">
        <v>5.0</v>
      </c>
      <c r="B9079" s="1" t="s">
        <v>9006</v>
      </c>
      <c r="C9079" t="str">
        <f>IFERROR(__xludf.DUMMYFUNCTION("GOOGLETRANSLATE(B9079, ""es"", ""en"")"),"A perfect pasada.diseño very moderno.puntas of goma.se can desarmar.muy good and recommendable")</f>
        <v>A perfect pasada.diseño very moderno.puntas of goma.se can desarmar.muy good and recommendable</v>
      </c>
    </row>
    <row r="9080">
      <c r="A9080" s="1">
        <v>5.0</v>
      </c>
      <c r="B9080" s="1" t="s">
        <v>9007</v>
      </c>
      <c r="C9080" t="str">
        <f>IFERROR(__xludf.DUMMYFUNCTION("GOOGLETRANSLATE(B9080, ""es"", ""en"")"),"Small and easy to use My sister teaches courses in aesthetics and comes in handy at work. It is very small and lightweight (fits in any pocket without problems) has laser pointer and USB receiver (plug &amp; amp; play) can be stored in the rear cover which is"&amp;" compartment for the AAA battery you need (not supplied included), works properly and not appreciated delay, you find convenient and easy to use. I miss a protective rubber to prevent breakage by blows or handle muñaca to avoid falls. Very satisfied with "&amp;"the purchase")</f>
        <v>Small and easy to use My sister teaches courses in aesthetics and comes in handy at work. It is very small and lightweight (fits in any pocket without problems) has laser pointer and USB receiver (plug &amp; amp; play) can be stored in the rear cover which is compartment for the AAA battery you need (not supplied included), works properly and not appreciated delay, you find convenient and easy to use. I miss a protective rubber to prevent breakage by blows or handle muñaca to avoid falls. Very satisfied with the purchase</v>
      </c>
    </row>
    <row r="9081">
      <c r="A9081" s="1">
        <v>2.0</v>
      </c>
      <c r="B9081" s="1" t="s">
        <v>9008</v>
      </c>
      <c r="C9081" t="str">
        <f>IFERROR(__xludf.DUMMYFUNCTION("GOOGLETRANSLATE(B9081, ""es"", ""en"")"),"Slow as the horse of the bad disk is slower this category I've seen in my life, and that replacing a WD Green which is saying something. As second disc or for use as an external disk well, but as the system disk is nuts (about 2 min. To boot Windows 10 me"&amp;"dium and exactly the same system (Clone WD in this disc) in WD 1.20 min .)")</f>
        <v>Slow as the horse of the bad disk is slower this category I've seen in my life, and that replacing a WD Green which is saying something. As second disc or for use as an external disk well, but as the system disk is nuts (about 2 min. To boot Windows 10 medium and exactly the same system (Clone WD in this disc) in WD 1.20 min .)</v>
      </c>
    </row>
    <row r="9082">
      <c r="A9082" s="1">
        <v>3.0</v>
      </c>
      <c r="B9082" s="1" t="s">
        <v>9009</v>
      </c>
      <c r="C9082" t="str">
        <f>IFERROR(__xludf.DUMMYFUNCTION("GOOGLETRANSLATE(B9082, ""es"", ""en"")"),"I expected more. After 6 months of use I think its function is right for a quick sweep of the floor but with a mop before and you just get to more places. For no good background cleaning. Not bad but not would buy.")</f>
        <v>I expected more. After 6 months of use I think its function is right for a quick sweep of the floor but with a mop before and you just get to more places. For no good background cleaning. Not bad but not would buy.</v>
      </c>
    </row>
    <row r="9083">
      <c r="A9083" s="1">
        <v>1.0</v>
      </c>
      <c r="B9083" s="1" t="s">
        <v>9010</v>
      </c>
      <c r="C9083" t="str">
        <f>IFERROR(__xludf.DUMMYFUNCTION("GOOGLETRANSLATE(B9083, ""es"", ""en"")"),"Connection problems see I've been dead with these headphones, the battery is good, decent sound quality, but the reason they are returned and I was no pasasdo ever with atrial product is for use in a lg tv after match them whenever you want conectsrlos ha"&amp;"ve to enter menu as if it were the first time, menu, sound, blueton, search, matching, incredible, when any handset once paired turn it on and you get a little sign (is detected elemnto blueton wants to connect) and whether or not ok and when you give to "&amp;"turn off the TV speaker is connected with these headphones when you connect have to do it like the first time INCREDIBLE !!!!!!!!!!! ! RETURNED 10 for Amazon")</f>
        <v>Connection problems see I've been dead with these headphones, the battery is good, decent sound quality, but the reason they are returned and I was no pasasdo ever with atrial product is for use in a lg tv after match them whenever you want conectsrlos have to enter menu as if it were the first time, menu, sound, blueton, search, matching, incredible, when any handset once paired turn it on and you get a little sign (is detected elemnto blueton wants to connect) and whether or not ok and when you give to turn off the TV speaker is connected with these headphones when you connect have to do it like the first time INCREDIBLE !!!!!!!!!!! ! RETURNED 10 for Amazon</v>
      </c>
    </row>
    <row r="9084">
      <c r="A9084" s="1">
        <v>1.0</v>
      </c>
      <c r="B9084" s="1" t="s">
        <v>9011</v>
      </c>
      <c r="C9084" t="str">
        <f>IFERROR(__xludf.DUMMYFUNCTION("GOOGLETRANSLATE(B9084, ""es"", ""en"")"),"I ordered in black and white sent I ordered in black and white sent, I do not think you have to give more details.")</f>
        <v>I ordered in black and white sent I ordered in black and white sent, I do not think you have to give more details.</v>
      </c>
    </row>
    <row r="9085">
      <c r="A9085" s="1">
        <v>4.0</v>
      </c>
      <c r="B9085" s="1" t="s">
        <v>9012</v>
      </c>
      <c r="C9085" t="str">
        <f>IFERROR(__xludf.DUMMYFUNCTION("GOOGLETRANSLATE(B9085, ""es"", ""en"")"),"Posted quality products fast. I like the anti-colic mam with removable base but the fact that the mam bottles are fine. Teat 3. Suitable for milk and consistency (pulp)")</f>
        <v>Posted quality products fast. I like the anti-colic mam with removable base but the fact that the mam bottles are fine. Teat 3. Suitable for milk and consistency (pulp)</v>
      </c>
    </row>
    <row r="9086">
      <c r="A9086" s="1">
        <v>4.0</v>
      </c>
      <c r="B9086" s="1" t="s">
        <v>9013</v>
      </c>
      <c r="C9086" t="str">
        <f>IFERROR(__xludf.DUMMYFUNCTION("GOOGLETRANSLATE(B9086, ""es"", ""en"")"),"They are the best I've tasted I have two of these cards in my D750 and work very well in burst mode. What usually happens is with all cards write speed is not what gets. In this case I made the measurement using Blackmagic Disk Speed ​​Test and gave me a "&amp;"value of between 75 and 80 MB / s, for my quite acceptable considering that the last I bought another brand that put 150 MB / s were less than 60 MB / s.")</f>
        <v>They are the best I've tasted I have two of these cards in my D750 and work very well in burst mode. What usually happens is with all cards write speed is not what gets. In this case I made the measurement using Blackmagic Disk Speed ​​Test and gave me a value of between 75 and 80 MB / s, for my quite acceptable considering that the last I bought another brand that put 150 MB / s were less than 60 MB / s.</v>
      </c>
    </row>
    <row r="9087">
      <c r="A9087" s="1">
        <v>4.0</v>
      </c>
      <c r="B9087" s="1" t="s">
        <v>9014</v>
      </c>
      <c r="C9087" t="str">
        <f>IFERROR(__xludf.DUMMYFUNCTION("GOOGLETRANSLATE(B9087, ""es"", ""en"")"),"Comfortable shoes and warm polar")</f>
        <v>Comfortable shoes and warm polar</v>
      </c>
    </row>
    <row r="9088">
      <c r="A9088" s="1">
        <v>4.0</v>
      </c>
      <c r="B9088" s="1" t="s">
        <v>9015</v>
      </c>
      <c r="C9088" t="str">
        <f>IFERROR(__xludf.DUMMYFUNCTION("GOOGLETRANSLATE(B9088, ""es"", ""en"")"),"Very happy very handy and easy to use, powerful for how small it is very practical and glasses with cover for tranaportarlos")</f>
        <v>Very happy very handy and easy to use, powerful for how small it is very practical and glasses with cover for tranaportarlos</v>
      </c>
    </row>
    <row r="9089">
      <c r="A9089" s="1">
        <v>4.0</v>
      </c>
      <c r="B9089" s="1" t="s">
        <v>9016</v>
      </c>
      <c r="C9089" t="str">
        <f>IFERROR(__xludf.DUMMYFUNCTION("GOOGLETRANSLATE(B9089, ""es"", ""en"")"),"Comfortable is a very gentle and nice design pad. Heated fair. It was for a gift and really liked")</f>
        <v>Comfortable is a very gentle and nice design pad. Heated fair. It was for a gift and really liked</v>
      </c>
    </row>
    <row r="9090">
      <c r="A9090" s="1">
        <v>5.0</v>
      </c>
      <c r="B9090" s="1" t="s">
        <v>9017</v>
      </c>
      <c r="C9090" t="str">
        <f>IFERROR(__xludf.DUMMYFUNCTION("GOOGLETRANSLATE(B9090, ""es"", ""en"")"),"good I really like the Medela brand so I opted for this bottle, it is comfortable, has a perfect nipple for my 3 months. The only downside is that you put the cap that is put into the bottle to move it does not quite fit, so when agito have to be careful "&amp;"because he leaves milk")</f>
        <v>good I really like the Medela brand so I opted for this bottle, it is comfortable, has a perfect nipple for my 3 months. The only downside is that you put the cap that is put into the bottle to move it does not quite fit, so when agito have to be careful because he leaves milk</v>
      </c>
    </row>
    <row r="9091">
      <c r="A9091" s="1">
        <v>5.0</v>
      </c>
      <c r="B9091" s="1" t="s">
        <v>9018</v>
      </c>
      <c r="C9091" t="str">
        <f>IFERROR(__xludf.DUMMYFUNCTION("GOOGLETRANSLATE(B9091, ""es"", ""en"")"),"Very happy with the purchase. I recommend very happy with the purchase. The smell is super nice with a few drops much noticeable. I recommend it 100% 100 Love")</f>
        <v>Very happy with the purchase. I recommend very happy with the purchase. The smell is super nice with a few drops much noticeable. I recommend it 100% 100 Love</v>
      </c>
    </row>
    <row r="9092">
      <c r="A9092" s="1">
        <v>5.0</v>
      </c>
      <c r="B9092" s="1" t="s">
        <v>9019</v>
      </c>
      <c r="C9092" t="str">
        <f>IFERROR(__xludf.DUMMYFUNCTION("GOOGLETRANSLATE(B9092, ""es"", ""en"")"),"Good quality at a great price Excellent pants that can be used both indoors and to go out on an errand. Even as pajama pants, cold weather, it is useful. For the money, it's a great investment.")</f>
        <v>Good quality at a great price Excellent pants that can be used both indoors and to go out on an errand. Even as pajama pants, cold weather, it is useful. For the money, it's a great investment.</v>
      </c>
    </row>
    <row r="9093">
      <c r="A9093" s="1">
        <v>5.0</v>
      </c>
      <c r="B9093" s="1" t="s">
        <v>9020</v>
      </c>
      <c r="C9093" t="str">
        <f>IFERROR(__xludf.DUMMYFUNCTION("GOOGLETRANSLATE(B9093, ""es"", ""en"")"),"Glisten much look great, you have loved.")</f>
        <v>Glisten much look great, you have loved.</v>
      </c>
    </row>
    <row r="9094">
      <c r="A9094" s="1">
        <v>5.0</v>
      </c>
      <c r="B9094" s="1" t="s">
        <v>9021</v>
      </c>
      <c r="C9094" t="str">
        <f>IFERROR(__xludf.DUMMYFUNCTION("GOOGLETRANSLATE(B9094, ""es"", ""en"")"),"Very happy all perfect, precious gift.")</f>
        <v>Very happy all perfect, precious gift.</v>
      </c>
    </row>
    <row r="9095">
      <c r="A9095" s="1">
        <v>5.0</v>
      </c>
      <c r="B9095" s="1" t="s">
        <v>9022</v>
      </c>
      <c r="C9095" t="str">
        <f>IFERROR(__xludf.DUMMYFUNCTION("GOOGLETRANSLATE(B9095, ""es"", ""en"")"),"Highly recommended. Excellent finish. Excellent functional and practical completion and finishing. Suitable dimensions. Secure closure with good performance. Very functional and practical.")</f>
        <v>Highly recommended. Excellent finish. Excellent functional and practical completion and finishing. Suitable dimensions. Secure closure with good performance. Very functional and practical.</v>
      </c>
    </row>
    <row r="9096">
      <c r="A9096" s="1">
        <v>5.0</v>
      </c>
      <c r="B9096" s="1" t="s">
        <v>9023</v>
      </c>
      <c r="C9096" t="str">
        <f>IFERROR(__xludf.DUMMYFUNCTION("GOOGLETRANSLATE(B9096, ""es"", ""en"")"),"Very nice and quality! The shoes are very nice, are as seen in the ad, are very comfortable, really very happy with the purchase, and if Gift going to be very well I recommend 100%")</f>
        <v>Very nice and quality! The shoes are very nice, are as seen in the ad, are very comfortable, really very happy with the purchase, and if Gift going to be very well I recommend 100%</v>
      </c>
    </row>
    <row r="9097">
      <c r="A9097" s="1">
        <v>5.0</v>
      </c>
      <c r="B9097" s="1" t="s">
        <v>9024</v>
      </c>
      <c r="C9097" t="str">
        <f>IFERROR(__xludf.DUMMYFUNCTION("GOOGLETRANSLATE(B9097, ""es"", ""en"")"),"super good kettle kettle is fine. very practical. not mess is easy to wash. the lid opening is wide and fits hand to clean the inside of the kettle. very affordable price. I recommend it.")</f>
        <v>super good kettle kettle is fine. very practical. not mess is easy to wash. the lid opening is wide and fits hand to clean the inside of the kettle. very affordable price. I recommend it.</v>
      </c>
    </row>
    <row r="9098">
      <c r="A9098" s="1">
        <v>5.0</v>
      </c>
      <c r="B9098" s="1" t="s">
        <v>9025</v>
      </c>
      <c r="C9098" t="str">
        <f>IFERROR(__xludf.DUMMYFUNCTION("GOOGLETRANSLATE(B9098, ""es"", ""en"")"),"Good quality / price ratio Pedidas a couple of cards for a couple of smartphones that basically manage applications and content in Full HD, fulfill their duties to spare. 4K recording should be sought faster memories.")</f>
        <v>Good quality / price ratio Pedidas a couple of cards for a couple of smartphones that basically manage applications and content in Full HD, fulfill their duties to spare. 4K recording should be sought faster memories.</v>
      </c>
    </row>
    <row r="9099">
      <c r="A9099" s="1">
        <v>5.0</v>
      </c>
      <c r="B9099" s="1" t="s">
        <v>9026</v>
      </c>
      <c r="C9099" t="str">
        <f>IFERROR(__xludf.DUMMYFUNCTION("GOOGLETRANSLATE(B9099, ""es"", ""en"")"),"Excellent! Product excellent in sound and quality. Very satisfied, when you use them and can not stop.")</f>
        <v>Excellent! Product excellent in sound and quality. Very satisfied, when you use them and can not stop.</v>
      </c>
    </row>
    <row r="9100">
      <c r="A9100" s="1">
        <v>5.0</v>
      </c>
      <c r="B9100" s="1" t="s">
        <v>9027</v>
      </c>
      <c r="C9100" t="str">
        <f>IFERROR(__xludf.DUMMYFUNCTION("GOOGLETRANSLATE(B9100, ""es"", ""en"")"),"They fit very comfortable than expected. The number is somewhat tight, I had to ask one more than you normally use after the reviews I read to respect, and I still will not loose anything. But in general very good.")</f>
        <v>They fit very comfortable than expected. The number is somewhat tight, I had to ask one more than you normally use after the reviews I read to respect, and I still will not loose anything. But in general very good.</v>
      </c>
    </row>
    <row r="9101">
      <c r="A9101" s="1">
        <v>5.0</v>
      </c>
      <c r="B9101" s="1" t="s">
        <v>9028</v>
      </c>
      <c r="C9101" t="str">
        <f>IFERROR(__xludf.DUMMYFUNCTION("GOOGLETRANSLATE(B9101, ""es"", ""en"")"),"nice and efficient is a kettle retro look that looks good. Its design is very nice with an air of old but with modern touches. It seems ordinary but has a large capacity. With 1.5 liters I can use it for when guests come home and sobrarme if anyone repeat"&amp;"s. Its power is also quite high. You can warm the full capacity very quickly due to its 2300 w. Has a protection system if operated unintentionally without liquid inside (water having within such evaporate) automatically deactivates and stops heating. The"&amp;" cover can be removed easily. Its interior has easy access and is comfortable washing. We are pleased with this particular kettle.")</f>
        <v>nice and efficient is a kettle retro look that looks good. Its design is very nice with an air of old but with modern touches. It seems ordinary but has a large capacity. With 1.5 liters I can use it for when guests come home and sobrarme if anyone repeats. Its power is also quite high. You can warm the full capacity very quickly due to its 2300 w. Has a protection system if operated unintentionally without liquid inside (water having within such evaporate) automatically deactivates and stops heating. The cover can be removed easily. Its interior has easy access and is comfortable washing. We are pleased with this particular kettle.</v>
      </c>
    </row>
    <row r="9102">
      <c r="A9102" s="1">
        <v>5.0</v>
      </c>
      <c r="B9102" s="1" t="s">
        <v>9029</v>
      </c>
      <c r="C9102" t="str">
        <f>IFERROR(__xludf.DUMMYFUNCTION("GOOGLETRANSLATE(B9102, ""es"", ""en"")"),"Quality and comfort very comfortable and nicer than the pictures as all Puma shoes")</f>
        <v>Quality and comfort very comfortable and nicer than the pictures as all Puma shoes</v>
      </c>
    </row>
    <row r="9103">
      <c r="A9103" s="1">
        <v>5.0</v>
      </c>
      <c r="B9103" s="1" t="s">
        <v>9030</v>
      </c>
      <c r="C9103" t="str">
        <f>IFERROR(__xludf.DUMMYFUNCTION("GOOGLETRANSLATE(B9103, ""es"", ""en"")"),"100% recommended Very good watch")</f>
        <v>100% recommended Very good watch</v>
      </c>
    </row>
    <row r="9104">
      <c r="A9104" s="1">
        <v>5.0</v>
      </c>
      <c r="B9104" s="1" t="s">
        <v>9031</v>
      </c>
      <c r="C9104" t="str">
        <f>IFERROR(__xludf.DUMMYFUNCTION("GOOGLETRANSLATE(B9104, ""es"", ""en"")"),"essential Velcro strips are Velcro strips 100 presented in a drawtape bag and bound with a rubber band. For the price they are perfect. Velcro works perfectly and gives length for most cables everyday. Indispensable for use on trips, to shorten too long c"&amp;"able, etc. Shipping was very fast, I recommend the product and the seller.")</f>
        <v>essential Velcro strips are Velcro strips 100 presented in a drawtape bag and bound with a rubber band. For the price they are perfect. Velcro works perfectly and gives length for most cables everyday. Indispensable for use on trips, to shorten too long cable, etc. Shipping was very fast, I recommend the product and the seller.</v>
      </c>
    </row>
    <row r="9105">
      <c r="A9105" s="1">
        <v>5.0</v>
      </c>
      <c r="B9105" s="1" t="s">
        <v>9032</v>
      </c>
      <c r="C9105" t="str">
        <f>IFERROR(__xludf.DUMMYFUNCTION("GOOGLETRANSLATE(B9105, ""es"", ""en"")"),"Good item and great seller Very good. Very happy with the purchase and especially after sales support. I had a problem and I solved completely. Article and selling 100% recommended.")</f>
        <v>Good item and great seller Very good. Very happy with the purchase and especially after sales support. I had a problem and I solved completely. Article and selling 100% recommended.</v>
      </c>
    </row>
    <row r="9106">
      <c r="A9106" s="1">
        <v>5.0</v>
      </c>
      <c r="B9106" s="1" t="s">
        <v>9033</v>
      </c>
      <c r="C9106" t="str">
        <f>IFERROR(__xludf.DUMMYFUNCTION("GOOGLETRANSLATE(B9106, ""es"", ""en"")"),"Fantastic alarm clock. It is easy to use and can function as a lamp. Relaxes see how sunrise or sunset inside the room, it's even fun.")</f>
        <v>Fantastic alarm clock. It is easy to use and can function as a lamp. Relaxes see how sunrise or sunset inside the room, it's even fun.</v>
      </c>
    </row>
    <row r="9107">
      <c r="A9107" s="1">
        <v>5.0</v>
      </c>
      <c r="B9107" s="1" t="s">
        <v>9034</v>
      </c>
      <c r="C9107" t="str">
        <f>IFERROR(__xludf.DUMMYFUNCTION("GOOGLETRANSLATE(B9107, ""es"", ""en"")"),"Good product good product, excellent value for money. Very comfortable and as described and shown in the photos. The truth is that very satisfied.")</f>
        <v>Good product good product, excellent value for money. Very comfortable and as described and shown in the photos. The truth is that very satisfied.</v>
      </c>
    </row>
    <row r="9108">
      <c r="A9108" s="1">
        <v>5.0</v>
      </c>
      <c r="B9108" s="1" t="s">
        <v>9035</v>
      </c>
      <c r="C9108" t="str">
        <f>IFERROR(__xludf.DUMMYFUNCTION("GOOGLETRANSLATE(B9108, ""es"", ""en"")"),"I caught a full size sandals already had well and asked for a full size and are perfect. So comfortable, to jog with them, and eson a little dressed. I recommend")</f>
        <v>I caught a full size sandals already had well and asked for a full size and are perfect. So comfortable, to jog with them, and eson a little dressed. I recommend</v>
      </c>
    </row>
    <row r="9109">
      <c r="A9109" s="1">
        <v>2.0</v>
      </c>
      <c r="B9109" s="1" t="s">
        <v>9036</v>
      </c>
      <c r="C9109" t="str">
        <f>IFERROR(__xludf.DUMMYFUNCTION("GOOGLETRANSLATE(B9109, ""es"", ""en"")"),"I would not buy it again not buy. There are oils like lavender that does not smell almost, and the others have to take a lot of quantity to last the smell.")</f>
        <v>I would not buy it again not buy. There are oils like lavender that does not smell almost, and the others have to take a lot of quantity to last the smell.</v>
      </c>
    </row>
    <row r="9110">
      <c r="A9110" s="1">
        <v>3.0</v>
      </c>
      <c r="B9110" s="1" t="s">
        <v>9037</v>
      </c>
      <c r="C9110" t="str">
        <f>IFERROR(__xludf.DUMMYFUNCTION("GOOGLETRANSLATE(B9110, ""es"", ""en"")"),"All good, except manufacturing. It is very practical and useful for convenient ordering office supplies diverse but making leaves to be desired, since it came with some edges on top and drawer slightly uneven, hence not so good my assessment.")</f>
        <v>All good, except manufacturing. It is very practical and useful for convenient ordering office supplies diverse but making leaves to be desired, since it came with some edges on top and drawer slightly uneven, hence not so good my assessment.</v>
      </c>
    </row>
    <row r="9111">
      <c r="A9111" s="1">
        <v>3.0</v>
      </c>
      <c r="B9111" s="1" t="s">
        <v>9038</v>
      </c>
      <c r="C9111" t="str">
        <f>IFERROR(__xludf.DUMMYFUNCTION("GOOGLETRANSLATE(B9111, ""es"", ""en"")"),"Good watch. I was slightly disappointed color, very dark for my taste, but the clock works perfect and has some very good finishes.")</f>
        <v>Good watch. I was slightly disappointed color, very dark for my taste, but the clock works perfect and has some very good finishes.</v>
      </c>
    </row>
    <row r="9112">
      <c r="A9112" s="1">
        <v>1.0</v>
      </c>
      <c r="B9112" s="1" t="s">
        <v>9039</v>
      </c>
      <c r="C9112" t="str">
        <f>IFERROR(__xludf.DUMMYFUNCTION("GOOGLETRANSLATE(B9112, ""es"", ""en"")"),"Nice but a shame Very nice, really more than the picture, peeeerooo, I broke my second day wear it. a shame the truth")</f>
        <v>Nice but a shame Very nice, really more than the picture, peeeerooo, I broke my second day wear it. a shame the truth</v>
      </c>
    </row>
    <row r="9113">
      <c r="A9113" s="1">
        <v>1.0</v>
      </c>
      <c r="B9113" s="1" t="s">
        <v>9040</v>
      </c>
      <c r="C9113" t="str">
        <f>IFERROR(__xludf.DUMMYFUNCTION("GOOGLETRANSLATE(B9113, ""es"", ""en"")"),"Unreliable Delivered 07/22/2019 09/01/2017 stops functioning.")</f>
        <v>Unreliable Delivered 07/22/2019 09/01/2017 stops functioning.</v>
      </c>
    </row>
    <row r="9114">
      <c r="A9114" s="1">
        <v>4.0</v>
      </c>
      <c r="B9114" s="1" t="s">
        <v>9041</v>
      </c>
      <c r="C9114" t="str">
        <f>IFERROR(__xludf.DUMMYFUNCTION("GOOGLETRANSLATE(B9114, ""es"", ""en"")"),"Practical Okay for the price I think it is practical and robust for day to day")</f>
        <v>Practical Okay for the price I think it is practical and robust for day to day</v>
      </c>
    </row>
    <row r="9115">
      <c r="A9115" s="1">
        <v>4.0</v>
      </c>
      <c r="B9115" s="1" t="s">
        <v>9042</v>
      </c>
      <c r="C9115" t="str">
        <f>IFERROR(__xludf.DUMMYFUNCTION("GOOGLETRANSLATE(B9115, ""es"", ""en"")"),"Value property is good, meets what he wanted")</f>
        <v>Value property is good, meets what he wanted</v>
      </c>
    </row>
    <row r="9116">
      <c r="A9116" s="1">
        <v>4.0</v>
      </c>
      <c r="B9116" s="1" t="s">
        <v>9043</v>
      </c>
      <c r="C9116" t="str">
        <f>IFERROR(__xludf.DUMMYFUNCTION("GOOGLETRANSLATE(B9116, ""es"", ""en"")"),"Relationship small room for money very well, and it is functioning properly. But it is for small rooms as it is not very big and does not last many hours")</f>
        <v>Relationship small room for money very well, and it is functioning properly. But it is for small rooms as it is not very big and does not last many hours</v>
      </c>
    </row>
    <row r="9117">
      <c r="A9117" s="1">
        <v>4.0</v>
      </c>
      <c r="B9117" s="1" t="s">
        <v>9044</v>
      </c>
      <c r="C9117" t="str">
        <f>IFERROR(__xludf.DUMMYFUNCTION("GOOGLETRANSLATE(B9117, ""es"", ""en"")"),"difficult to measure size I love these flip-flops, but be careful asking size. Never Hit or too big or too small.")</f>
        <v>difficult to measure size I love these flip-flops, but be careful asking size. Never Hit or too big or too small.</v>
      </c>
    </row>
    <row r="9118">
      <c r="A9118" s="1">
        <v>4.0</v>
      </c>
      <c r="B9118" s="1" t="s">
        <v>9045</v>
      </c>
      <c r="C9118" t="str">
        <f>IFERROR(__xludf.DUMMYFUNCTION("GOOGLETRANSLATE(B9118, ""es"", ""en"")"),"Genial same description of the seller as the description. Just carving something, otherwise all good in general. Need to see that this responds to the washed.")</f>
        <v>Genial same description of the seller as the description. Just carving something, otherwise all good in general. Need to see that this responds to the washed.</v>
      </c>
    </row>
    <row r="9119">
      <c r="A9119" s="1">
        <v>5.0</v>
      </c>
      <c r="B9119" s="1" t="s">
        <v>9046</v>
      </c>
      <c r="C9119" t="str">
        <f>IFERROR(__xludf.DUMMYFUNCTION("GOOGLETRANSLATE(B9119, ""es"", ""en"")"),"As he expected comfortable comfortable and appropriate to their size, neither more nor less.")</f>
        <v>As he expected comfortable comfortable and appropriate to their size, neither more nor less.</v>
      </c>
    </row>
    <row r="9120">
      <c r="A9120" s="1">
        <v>5.0</v>
      </c>
      <c r="B9120" s="1" t="s">
        <v>9047</v>
      </c>
      <c r="C9120" t="str">
        <f>IFERROR(__xludf.DUMMYFUNCTION("GOOGLETRANSLATE(B9120, ""es"", ""en"")"),"Perfect good product as described. The sizes given are correct. Mido 1.89 and the XL is perfect.")</f>
        <v>Perfect good product as described. The sizes given are correct. Mido 1.89 and the XL is perfect.</v>
      </c>
    </row>
    <row r="9121">
      <c r="A9121" s="1">
        <v>5.0</v>
      </c>
      <c r="B9121" s="1" t="s">
        <v>9048</v>
      </c>
      <c r="C9121" t="str">
        <f>IFERROR(__xludf.DUMMYFUNCTION("GOOGLETRANSLATE(B9121, ""es"", ""en"")"),"They are well are flexible and comfortable the expected more good (rigid sole) but hey if you will spend a lot but you hang out with them, are cool.")</f>
        <v>They are well are flexible and comfortable the expected more good (rigid sole) but hey if you will spend a lot but you hang out with them, are cool.</v>
      </c>
    </row>
    <row r="9122">
      <c r="A9122" s="1">
        <v>5.0</v>
      </c>
      <c r="B9122" s="1" t="s">
        <v>9049</v>
      </c>
      <c r="C9122" t="str">
        <f>IFERROR(__xludf.DUMMYFUNCTION("GOOGLETRANSLATE(B9122, ""es"", ""en"")"),"Very handy I was surprised, in a few seconds ago a great and smooth milkshakes. Ideal for eating healthy at work")</f>
        <v>Very handy I was surprised, in a few seconds ago a great and smooth milkshakes. Ideal for eating healthy at work</v>
      </c>
    </row>
    <row r="9123">
      <c r="A9123" s="1">
        <v>5.0</v>
      </c>
      <c r="B9123" s="1" t="s">
        <v>9050</v>
      </c>
      <c r="C9123" t="str">
        <f>IFERROR(__xludf.DUMMYFUNCTION("GOOGLETRANSLATE(B9123, ""es"", ""en"")"),"Very good quality Quick assembly for small corners is very good value for money")</f>
        <v>Very good quality Quick assembly for small corners is very good value for money</v>
      </c>
    </row>
    <row r="9124">
      <c r="A9124" s="1">
        <v>5.0</v>
      </c>
      <c r="B9124" s="1" t="s">
        <v>9051</v>
      </c>
      <c r="C9124" t="str">
        <f>IFERROR(__xludf.DUMMYFUNCTION("GOOGLETRANSLATE(B9124, ""es"", ""en"")"),"Great! For the price it works perfectly. You hear everyone in a meeting room without having to approach perfectly. That if two things to keep in mind, you first need a sound card USB to connect to the laptop if you have the separate headphone jack and mic"&amp;"rophone and second you have to adjust the level of the microphone configuration windows for further be sensitive.")</f>
        <v>Great! For the price it works perfectly. You hear everyone in a meeting room without having to approach perfectly. That if two things to keep in mind, you first need a sound card USB to connect to the laptop if you have the separate headphone jack and microphone and second you have to adjust the level of the microphone configuration windows for further be sensitive.</v>
      </c>
    </row>
    <row r="9125">
      <c r="A9125" s="1">
        <v>5.0</v>
      </c>
      <c r="B9125" s="1" t="s">
        <v>9052</v>
      </c>
      <c r="C9125" t="str">
        <f>IFERROR(__xludf.DUMMYFUNCTION("GOOGLETRANSLATE(B9125, ""es"", ""en"")"),"The quality and robustness. Although the thickness is handled fairly high quality bien.Tiene audicion.Los I used to connect two speakers.")</f>
        <v>The quality and robustness. Although the thickness is handled fairly high quality bien.Tiene audicion.Los I used to connect two speakers.</v>
      </c>
    </row>
    <row r="9126">
      <c r="A9126" s="1">
        <v>5.0</v>
      </c>
      <c r="B9126" s="1" t="s">
        <v>9053</v>
      </c>
      <c r="C9126" t="str">
        <f>IFERROR(__xludf.DUMMYFUNCTION("GOOGLETRANSLATE(B9126, ""es"", ""en"")"),"Amazing Experience!")</f>
        <v>Amazing Experience!</v>
      </c>
    </row>
    <row r="9127">
      <c r="A9127" s="1">
        <v>5.0</v>
      </c>
      <c r="B9127" s="1" t="s">
        <v>9054</v>
      </c>
      <c r="C9127" t="str">
        <f>IFERROR(__xludf.DUMMYFUNCTION("GOOGLETRANSLATE(B9127, ""es"", ""en"")"),"GOOD RELATIONSHIP QUALITY / PRICE Casio brand never disappoints. Is a very basic clock but the price has is also low. But it is a watch that will be used at work, to the outdoors. Therefore, it meets expectations. If you want a basic clock, it's a good pr"&amp;"oduct.")</f>
        <v>GOOD RELATIONSHIP QUALITY / PRICE Casio brand never disappoints. Is a very basic clock but the price has is also low. But it is a watch that will be used at work, to the outdoors. Therefore, it meets expectations. If you want a basic clock, it's a good product.</v>
      </c>
    </row>
    <row r="9128">
      <c r="A9128" s="1">
        <v>5.0</v>
      </c>
      <c r="B9128" s="1" t="s">
        <v>9055</v>
      </c>
      <c r="C9128" t="str">
        <f>IFERROR(__xludf.DUMMYFUNCTION("GOOGLETRANSLATE(B9128, ""es"", ""en"")"),"It's magnificent than I expected and a good price")</f>
        <v>It's magnificent than I expected and a good price</v>
      </c>
    </row>
    <row r="9129">
      <c r="A9129" s="1">
        <v>5.0</v>
      </c>
      <c r="B9129" s="1" t="s">
        <v>9056</v>
      </c>
      <c r="C9129" t="str">
        <f>IFERROR(__xludf.DUMMYFUNCTION("GOOGLETRANSLATE(B9129, ""es"", ""en"")"),"Very cool I bought a number of previous reviews and I was great. For me, the number is correct. Are light, love. They do not carry any brand anywhere")</f>
        <v>Very cool I bought a number of previous reviews and I was great. For me, the number is correct. Are light, love. They do not carry any brand anywhere</v>
      </c>
    </row>
    <row r="9130">
      <c r="A9130" s="1">
        <v>5.0</v>
      </c>
      <c r="B9130" s="1" t="s">
        <v>9057</v>
      </c>
      <c r="C9130" t="str">
        <f>IFERROR(__xludf.DUMMYFUNCTION("GOOGLETRANSLATE(B9130, ""es"", ""en"")"),"Very professional, 10 sound quality of materials is very good, the condenser microphone gives bodied vocals and sound quality high and stereo. Performs quality recordings of 10. Also, if you retouch a little sound, you is almost like a professional record"&amp;"ing. The whole pack in general is very professional with a steel arm adjustable clamp for mounting on a table, pop filter, windscreen foam and of course USB cable. Very easy time to use, as it connects can be used as a new audio device on your PC. If you "&amp;"have proved useful my comment I would appreciate you to vote as useful my comment below, thanks! :)")</f>
        <v>Very professional, 10 sound quality of materials is very good, the condenser microphone gives bodied vocals and sound quality high and stereo. Performs quality recordings of 10. Also, if you retouch a little sound, you is almost like a professional recording. The whole pack in general is very professional with a steel arm adjustable clamp for mounting on a table, pop filter, windscreen foam and of course USB cable. Very easy time to use, as it connects can be used as a new audio device on your PC. If you have proved useful my comment I would appreciate you to vote as useful my comment below, thanks! :)</v>
      </c>
    </row>
    <row r="9131">
      <c r="A9131" s="1">
        <v>5.0</v>
      </c>
      <c r="B9131" s="1" t="s">
        <v>9058</v>
      </c>
      <c r="C9131" t="str">
        <f>IFERROR(__xludf.DUMMYFUNCTION("GOOGLETRANSLATE(B9131, ""es"", ""en"")"),"Very effective Finally I could find a degreasing paste to clean my hands when I do odd jobs in my car. It's like workshops")</f>
        <v>Very effective Finally I could find a degreasing paste to clean my hands when I do odd jobs in my car. It's like workshops</v>
      </c>
    </row>
    <row r="9132">
      <c r="A9132" s="1">
        <v>5.0</v>
      </c>
      <c r="B9132" s="1" t="s">
        <v>9059</v>
      </c>
      <c r="C9132" t="str">
        <f>IFERROR(__xludf.DUMMYFUNCTION("GOOGLETRANSLATE(B9132, ""es"", ""en"")"),"FABULOUS !! As escuchannnnnn !!!! It is amazing !!! I had thousands and none of these Super sounded as good .... !!! I LOVE")</f>
        <v>FABULOUS !! As escuchannnnnn !!!! It is amazing !!! I had thousands and none of these Super sounded as good .... !!! I LOVE</v>
      </c>
    </row>
    <row r="9133">
      <c r="A9133" s="1">
        <v>5.0</v>
      </c>
      <c r="B9133" s="1" t="s">
        <v>9060</v>
      </c>
      <c r="C9133" t="str">
        <f>IFERROR(__xludf.DUMMYFUNCTION("GOOGLETRANSLATE(B9133, ""es"", ""en"")"),"perfect audio helmets pc controller dj, movies, and sound professional clear")</f>
        <v>perfect audio helmets pc controller dj, movies, and sound professional clear</v>
      </c>
    </row>
    <row r="9134">
      <c r="A9134" s="1">
        <v>5.0</v>
      </c>
      <c r="B9134" s="1" t="s">
        <v>9061</v>
      </c>
      <c r="C9134" t="str">
        <f>IFERROR(__xludf.DUMMYFUNCTION("GOOGLETRANSLATE(B9134, ""es"", ""en"")"),"The wonderful truth is that I thought would be good, but I was wrong, doing very well, the battery lasts which puts very comfortable and easy to use perfect to take to the field or picnic if you fancy a freshly made smoothie")</f>
        <v>The wonderful truth is that I thought would be good, but I was wrong, doing very well, the battery lasts which puts very comfortable and easy to use perfect to take to the field or picnic if you fancy a freshly made smoothie</v>
      </c>
    </row>
    <row r="9135">
      <c r="A9135" s="1">
        <v>5.0</v>
      </c>
      <c r="B9135" s="1" t="s">
        <v>9062</v>
      </c>
      <c r="C9135" t="str">
        <f>IFERROR(__xludf.DUMMYFUNCTION("GOOGLETRANSLATE(B9135, ""es"", ""en"")"),"ORIGINALITY A TOPE A model original, comfortable, waterproof, weighs q say ..... everything will be positive :)")</f>
        <v>ORIGINALITY A TOPE A model original, comfortable, waterproof, weighs q say ..... everything will be positive :)</v>
      </c>
    </row>
    <row r="9136">
      <c r="A9136" s="1">
        <v>5.0</v>
      </c>
      <c r="B9136" s="1" t="s">
        <v>9063</v>
      </c>
      <c r="C9136" t="str">
        <f>IFERROR(__xludf.DUMMYFUNCTION("GOOGLETRANSLATE(B9136, ""es"", ""en"")"),"Elegant fine but very finite but is original!")</f>
        <v>Elegant fine but very finite but is original!</v>
      </c>
    </row>
    <row r="9137">
      <c r="A9137" s="1">
        <v>5.0</v>
      </c>
      <c r="B9137" s="1" t="s">
        <v>9064</v>
      </c>
      <c r="C9137" t="str">
        <f>IFERROR(__xludf.DUMMYFUNCTION("GOOGLETRANSLATE(B9137, ""es"", ""en"")"),"Very comfortable and perfect size. Perfect. Very good genre. Perfect size, very fast. Buy very positive.")</f>
        <v>Very comfortable and perfect size. Perfect. Very good genre. Perfect size, very fast. Buy very positive.</v>
      </c>
    </row>
    <row r="9138">
      <c r="A9138" s="1">
        <v>2.0</v>
      </c>
      <c r="B9138" s="1" t="s">
        <v>9065</v>
      </c>
      <c r="C9138" t="str">
        <f>IFERROR(__xludf.DUMMYFUNCTION("GOOGLETRANSLATE(B9138, ""es"", ""en"")"),"Has flaws is very nice, also knew that only comes one but came without some small stones and not to say that he fell because they were neither in the bag so they came well from the beginning, how rubbish selling when they have failures")</f>
        <v>Has flaws is very nice, also knew that only comes one but came without some small stones and not to say that he fell because they were neither in the bag so they came well from the beginning, how rubbish selling when they have failures</v>
      </c>
    </row>
    <row r="9139">
      <c r="A9139" s="1">
        <v>3.0</v>
      </c>
      <c r="B9139" s="1" t="s">
        <v>9066</v>
      </c>
      <c r="C9139" t="str">
        <f>IFERROR(__xludf.DUMMYFUNCTION("GOOGLETRANSLATE(B9139, ""es"", ""en"")"),"You can not adjust the width. It is very wide for me specifically and does not allow regulate any strip; on the other hand, the tissue template is fiber.")</f>
        <v>You can not adjust the width. It is very wide for me specifically and does not allow regulate any strip; on the other hand, the tissue template is fiber.</v>
      </c>
    </row>
    <row r="9140">
      <c r="A9140" s="1">
        <v>3.0</v>
      </c>
      <c r="B9140" s="1" t="s">
        <v>9067</v>
      </c>
      <c r="C9140" t="str">
        <f>IFERROR(__xludf.DUMMYFUNCTION("GOOGLETRANSLATE(B9140, ""es"", ""en"")"),"Stylish watch made in china baratito to give a stylish touch to your look at low cost. The sphere is resistant to impact at low altitude (I know because right out of the box I fell through the floor ...). Supposedly it is water resistant to 30m but just i"&amp;"n case I would not recommend anyone to shower or go swimming with the job. Deference has to accompany the tool relojeria to put the pin correilla if leaving through one end, and by the other end can adjust the desired position. To my belt this big fucking"&amp;" me well so if you adjust will just barely. A negative I have is that the area is very dark and time is not good, unless you master the analog time, although seems foolish at this stage of XXI century, there are many people who have not known the time not"&amp;"hing more than in digital version and this is choking fabric. See to believe, but true. It incorporates a second hand that is not much utlidad. To set the time nothing more need pull out a little and turn the handle until it is in time. So little it costs"&amp;" not bad for as I say, give it a stylish touch to your look at low cost. But do not expect much from it.")</f>
        <v>Stylish watch made in china baratito to give a stylish touch to your look at low cost. The sphere is resistant to impact at low altitude (I know because right out of the box I fell through the floor ...). Supposedly it is water resistant to 30m but just in case I would not recommend anyone to shower or go swimming with the job. Deference has to accompany the tool relojeria to put the pin correilla if leaving through one end, and by the other end can adjust the desired position. To my belt this big fucking me well so if you adjust will just barely. A negative I have is that the area is very dark and time is not good, unless you master the analog time, although seems foolish at this stage of XXI century, there are many people who have not known the time nothing more than in digital version and this is choking fabric. See to believe, but true. It incorporates a second hand that is not much utlidad. To set the time nothing more need pull out a little and turn the handle until it is in time. So little it costs not bad for as I say, give it a stylish touch to your look at low cost. But do not expect much from it.</v>
      </c>
    </row>
    <row r="9141">
      <c r="A9141" s="1">
        <v>1.0</v>
      </c>
      <c r="B9141" s="1" t="s">
        <v>9068</v>
      </c>
      <c r="C9141" t="str">
        <f>IFERROR(__xludf.DUMMYFUNCTION("GOOGLETRANSLATE(B9141, ""es"", ""en"")"),"cable bad connection cable connection too thick when you connect the cpu to pass data nullifies my wireless mouse as it sounds does not the mouse I tried to change the cable and do work both hard disk and mouse . Conclusion cable or is damaged or is too f"&amp;"at for that hard drive (and no, I'm afraid, similar) as to the hard drive'm finishing shove data and still do not know if it works well (I hope so) if I do not have to return it and switch brands.")</f>
        <v>cable bad connection cable connection too thick when you connect the cpu to pass data nullifies my wireless mouse as it sounds does not the mouse I tried to change the cable and do work both hard disk and mouse . Conclusion cable or is damaged or is too fat for that hard drive (and no, I'm afraid, similar) as to the hard drive'm finishing shove data and still do not know if it works well (I hope so) if I do not have to return it and switch brands.</v>
      </c>
    </row>
    <row r="9142">
      <c r="A9142" s="1">
        <v>1.0</v>
      </c>
      <c r="B9142" s="1" t="s">
        <v>9069</v>
      </c>
      <c r="C9142" t="str">
        <f>IFERROR(__xludf.DUMMYFUNCTION("GOOGLETRANSLATE(B9142, ""es"", ""en"")"),"The product is damaged damaged")</f>
        <v>The product is damaged damaged</v>
      </c>
    </row>
    <row r="9143">
      <c r="A9143" s="1">
        <v>1.0</v>
      </c>
      <c r="B9143" s="1" t="s">
        <v>9070</v>
      </c>
      <c r="C9143" t="str">
        <f>IFERROR(__xludf.DUMMYFUNCTION("GOOGLETRANSLATE(B9143, ""es"", ""en"")"),"The jar product loss comes in a cardboard box lined with plastic. The carton had a deteriorated appearance crushed. A plastic withdrawing it was observed that the liquid had gone and that had softened cardboard. I did not returned because he had already r"&amp;"emoved the plastic and thus ended up breaking box. I keep it in the fridge, in the morning I cut the shape of the patches that will use and apply in the eye area with clean, dry skin and leave it on for at the least 20 minutes. It is not clear from the sk"&amp;"in and I can make my morning routine with them on. I have little time using this product and did not notice anything at the moment, I do not know if it is due to product loss.")</f>
        <v>The jar product loss comes in a cardboard box lined with plastic. The carton had a deteriorated appearance crushed. A plastic withdrawing it was observed that the liquid had gone and that had softened cardboard. I did not returned because he had already removed the plastic and thus ended up breaking box. I keep it in the fridge, in the morning I cut the shape of the patches that will use and apply in the eye area with clean, dry skin and leave it on for at the least 20 minutes. It is not clear from the skin and I can make my morning routine with them on. I have little time using this product and did not notice anything at the moment, I do not know if it is due to product loss.</v>
      </c>
    </row>
    <row r="9144">
      <c r="A9144" s="1">
        <v>4.0</v>
      </c>
      <c r="B9144" s="1" t="s">
        <v>9071</v>
      </c>
      <c r="C9144" t="str">
        <f>IFERROR(__xludf.DUMMYFUNCTION("GOOGLETRANSLATE(B9144, ""es"", ""en"")"),"Limited which is good because it is using riot and paste m4sonic the only one that put him alone this esque optimized for Ableton")</f>
        <v>Limited which is good because it is using riot and paste m4sonic the only one that put him alone this esque optimized for Ableton</v>
      </c>
    </row>
    <row r="9145">
      <c r="A9145" s="1">
        <v>4.0</v>
      </c>
      <c r="B9145" s="1" t="s">
        <v>9072</v>
      </c>
      <c r="C9145" t="str">
        <f>IFERROR(__xludf.DUMMYFUNCTION("GOOGLETRANSLATE(B9145, ""es"", ""en"")"),"Not bad but ... The microphone, for that price and everything it brings, from my point of view is very good buy but which is why he does not get all the stars is that to get the most power will need to match Extra so that it reaches the voltage of 48V, su"&amp;"ch as phantom power for 21 €. I have it recently so I keep tinkering with it, of course it is much better than the microphone that came with helmets. Recommended.")</f>
        <v>Not bad but ... The microphone, for that price and everything it brings, from my point of view is very good buy but which is why he does not get all the stars is that to get the most power will need to match Extra so that it reaches the voltage of 48V, such as phantom power for 21 €. I have it recently so I keep tinkering with it, of course it is much better than the microphone that came with helmets. Recommended.</v>
      </c>
    </row>
    <row r="9146">
      <c r="A9146" s="1">
        <v>4.0</v>
      </c>
      <c r="B9146" s="1" t="s">
        <v>9073</v>
      </c>
      <c r="C9146" t="str">
        <f>IFERROR(__xludf.DUMMYFUNCTION("GOOGLETRANSLATE(B9146, ""es"", ""en"")"),"Not bad L bracelet gives quite the trick now is quite stiff and sometimes that is uncomfortable. It can be adapted to the size of the wrist, in fact mine is quite small but can not remove the surplus with which to close the Correa now is a little ostentat"&amp;"ious")</f>
        <v>Not bad L bracelet gives quite the trick now is quite stiff and sometimes that is uncomfortable. It can be adapted to the size of the wrist, in fact mine is quite small but can not remove the surplus with which to close the Correa now is a little ostentatious</v>
      </c>
    </row>
    <row r="9147">
      <c r="A9147" s="1">
        <v>4.0</v>
      </c>
      <c r="B9147" s="1" t="s">
        <v>9074</v>
      </c>
      <c r="C9147" t="str">
        <f>IFERROR(__xludf.DUMMYFUNCTION("GOOGLETRANSLATE(B9147, ""es"", ""en"")"),"Good quality / price Cable job done. Not particularly noisy and finishes are not bad. If you want a relatively short cable is a good choice.")</f>
        <v>Good quality / price Cable job done. Not particularly noisy and finishes are not bad. If you want a relatively short cable is a good choice.</v>
      </c>
    </row>
    <row r="9148">
      <c r="A9148" s="1">
        <v>5.0</v>
      </c>
      <c r="B9148" s="1" t="s">
        <v>9075</v>
      </c>
      <c r="C9148" t="str">
        <f>IFERROR(__xludf.DUMMYFUNCTION("GOOGLETRANSLATE(B9148, ""es"", ""en"")"),"perfect'm assiduous of this brand, and when I buy another arrrepiento me and I return to this .The led for all, I have a 100B and I find it very comfortable to wear chest subject but, inconvenience caused me other brands")</f>
        <v>perfect'm assiduous of this brand, and when I buy another arrrepiento me and I return to this .The led for all, I have a 100B and I find it very comfortable to wear chest subject but, inconvenience caused me other brands</v>
      </c>
    </row>
    <row r="9149">
      <c r="A9149" s="1">
        <v>5.0</v>
      </c>
      <c r="B9149" s="1" t="s">
        <v>9076</v>
      </c>
      <c r="C9149" t="str">
        <f>IFERROR(__xludf.DUMMYFUNCTION("GOOGLETRANSLATE(B9149, ""es"", ""en"")"),"Ideal Preciosos")</f>
        <v>Ideal Preciosos</v>
      </c>
    </row>
    <row r="9150">
      <c r="A9150" s="1">
        <v>5.0</v>
      </c>
      <c r="B9150" s="1" t="s">
        <v>9077</v>
      </c>
      <c r="C9150" t="str">
        <f>IFERROR(__xludf.DUMMYFUNCTION("GOOGLETRANSLATE(B9150, ""es"", ""en"")"),"Very good gift, she loved")</f>
        <v>Very good gift, she loved</v>
      </c>
    </row>
    <row r="9151">
      <c r="A9151" s="1">
        <v>5.0</v>
      </c>
      <c r="B9151" s="1" t="s">
        <v>9078</v>
      </c>
      <c r="C9151" t="str">
        <f>IFERROR(__xludf.DUMMYFUNCTION("GOOGLETRANSLATE(B9151, ""es"", ""en"")"),"Calidada Est mubien")</f>
        <v>Calidada Est mubien</v>
      </c>
    </row>
    <row r="9152">
      <c r="A9152" s="1">
        <v>5.0</v>
      </c>
      <c r="B9152" s="1" t="s">
        <v>9079</v>
      </c>
      <c r="C9152" t="str">
        <f>IFERROR(__xludf.DUMMYFUNCTION("GOOGLETRANSLATE(B9152, ""es"", ""en"")"),"Great great work, you need to download the app brand")</f>
        <v>Great great work, you need to download the app brand</v>
      </c>
    </row>
    <row r="9153">
      <c r="A9153" s="1">
        <v>5.0</v>
      </c>
      <c r="B9153" s="1" t="s">
        <v>9080</v>
      </c>
      <c r="C9153" t="str">
        <f>IFERROR(__xludf.DUMMYFUNCTION("GOOGLETRANSLATE(B9153, ""es"", ""en"")"),"Such turbans which looked at the page, good quality and good hair hold")</f>
        <v>Such turbans which looked at the page, good quality and good hair hold</v>
      </c>
    </row>
    <row r="9154">
      <c r="A9154" s="1">
        <v>5.0</v>
      </c>
      <c r="B9154" s="1" t="s">
        <v>9081</v>
      </c>
      <c r="C9154" t="str">
        <f>IFERROR(__xludf.DUMMYFUNCTION("GOOGLETRANSLATE(B9154, ""es"", ""en"")"),"a very fine detail gift arrived on time. It was a gift and liked it. I recommend it. It looks great on the neck. Seeketh similar details when you have to give")</f>
        <v>a very fine detail gift arrived on time. It was a gift and liked it. I recommend it. It looks great on the neck. Seeketh similar details when you have to give</v>
      </c>
    </row>
    <row r="9155">
      <c r="A9155" s="1">
        <v>5.0</v>
      </c>
      <c r="B9155" s="1" t="s">
        <v>9082</v>
      </c>
      <c r="C9155" t="str">
        <f>IFERROR(__xludf.DUMMYFUNCTION("GOOGLETRANSLATE(B9155, ""es"", ""en"")"),"Super I've been amazed at the quality and beauty of the bag. Is a big bag, super good for work, you can save a lot. I'm happy with the purchase.")</f>
        <v>Super I've been amazed at the quality and beauty of the bag. Is a big bag, super good for work, you can save a lot. I'm happy with the purchase.</v>
      </c>
    </row>
    <row r="9156">
      <c r="A9156" s="1">
        <v>5.0</v>
      </c>
      <c r="B9156" s="1" t="s">
        <v>9083</v>
      </c>
      <c r="C9156" t="str">
        <f>IFERROR(__xludf.DUMMYFUNCTION("GOOGLETRANSLATE(B9156, ""es"", ""en"")"),"FAST AND EFFICIENT works perfectly and is very fast. It's been a couple of months I bought HAS GIVEN ME AND NO NO PROBLEM. It has a great capacity")</f>
        <v>FAST AND EFFICIENT works perfectly and is very fast. It's been a couple of months I bought HAS GIVEN ME AND NO NO PROBLEM. It has a great capacity</v>
      </c>
    </row>
    <row r="9157">
      <c r="A9157" s="1">
        <v>5.0</v>
      </c>
      <c r="B9157" s="1" t="s">
        <v>9084</v>
      </c>
      <c r="C9157" t="str">
        <f>IFERROR(__xludf.DUMMYFUNCTION("GOOGLETRANSLATE(B9157, ""es"", ""en"")"),"WATCH VERY GOOD QUALITY A watch extraordinary, my boy has loved, super stylish and functional, very easy to adjust the strap through the tool they include Na box of the Clock! I'm super happy with the purchase, very good quality, and price category !!! It"&amp;" looks like a much more expensive watch for quality. Thank you!")</f>
        <v>WATCH VERY GOOD QUALITY A watch extraordinary, my boy has loved, super stylish and functional, very easy to adjust the strap through the tool they include Na box of the Clock! I'm super happy with the purchase, very good quality, and price category !!! It looks like a much more expensive watch for quality. Thank you!</v>
      </c>
    </row>
    <row r="9158">
      <c r="A9158" s="1">
        <v>5.0</v>
      </c>
      <c r="B9158" s="1" t="s">
        <v>9085</v>
      </c>
      <c r="C9158" t="str">
        <f>IFERROR(__xludf.DUMMYFUNCTION("GOOGLETRANSLATE(B9158, ""es"", ""en"")"),"Formidable after 4 years of use I decided to buy this USB 3.0 pen because of the good reviews I saw about in his day and what I see I was right. I remember that was the first to use the speed standard 3.0 with very good results. To this day about 3/4 year"&amp;"s later giving almost daily use, continues to maintain transfer rates of 100 / 150MB / s reading and about 60/70 MB / s in writing. I have it clear, that breaks the day I bought another equal but more capacity. As against could put the price as it cost me"&amp;" in his day about 30/35 €, but like any technology that takes little time to market is paid nowadays much more profitable consider, although nothing I regret his purchase. Victor Seca.")</f>
        <v>Formidable after 4 years of use I decided to buy this USB 3.0 pen because of the good reviews I saw about in his day and what I see I was right. I remember that was the first to use the speed standard 3.0 with very good results. To this day about 3/4 years later giving almost daily use, continues to maintain transfer rates of 100 / 150MB / s reading and about 60/70 MB / s in writing. I have it clear, that breaks the day I bought another equal but more capacity. As against could put the price as it cost me in his day about 30/35 €, but like any technology that takes little time to market is paid nowadays much more profitable consider, although nothing I regret his purchase. Victor Seca.</v>
      </c>
    </row>
    <row r="9159">
      <c r="A9159" s="1">
        <v>5.0</v>
      </c>
      <c r="B9159" s="1" t="s">
        <v>9086</v>
      </c>
      <c r="C9159" t="str">
        <f>IFERROR(__xludf.DUMMYFUNCTION("GOOGLETRANSLATE(B9159, ""es"", ""en"")"),"I LOVE are the best, whenever I break me back to buy!")</f>
        <v>I LOVE are the best, whenever I break me back to buy!</v>
      </c>
    </row>
    <row r="9160">
      <c r="A9160" s="1">
        <v>5.0</v>
      </c>
      <c r="B9160" s="1" t="s">
        <v>9087</v>
      </c>
      <c r="C9160" t="str">
        <f>IFERROR(__xludf.DUMMYFUNCTION("GOOGLETRANSLATE(B9160, ""es"", ""en"")"),"A good solution &lt;div id = ""video-block-RBFRAAINXJAKK"" class = ""section a-a-a-spacing-small spacing-top-video mini-block""&gt; &lt;div tabindex = ""0"" class = ""airy airy- svg vmin-unsupported airy-skin-beacon ""style ="" background-color: rgb (0, 0, 0) posi"&amp;"tion: relative; width: 100%; height: 100%; font-size: 0px; overflow: hidden; outline: none; ""&gt; &lt;div class ="" airy-renderer-container ""style ="" position: relative; height: 100%; width: 100%; ""&gt; &lt;video id ="" 7 ""preload ="" auto ""src = ""https://imag"&amp;"es-eu.ssl-images-amazon.com/images/I/C1efkMDN-7S.mp4"" style = ""position: absolute; left: 0px; top: 0px; overflow: hidden; height: 1px; width: 1px; ""&gt; &lt;/ video&gt; &lt;/ div&gt; &lt;div id ="" airy-slate-preload ""style ="" background-color: rgb (0, 0, 0); backgrou"&amp;"nd-image: url (&amp; quot; https : //images-eu.ssl-images-amazon.com/images/I/91tlMpOKsLS.png&amp;quot;); background-size: Contain; background-position: center center; background-repeat: no-repeat; position: absolute; top: 0px; left: 0px; visibility: visible; wid"&amp;"th: 100%; height: 100%; ""&gt; &lt;/ div&gt; &lt;iframe scroll ing = ""no"" frameborder = ""0"" src = ""about: blank"" style = ""display: none;""&gt; &lt;/ iframe&gt; &lt;div tabindex = ""- 1"" class = ""airy-controls-container"" style = "" opacity: 0; visibility: hidden; ""&gt; &lt;d"&amp;"iv tabindex ="" - 1 ""class ="" airy-screen-size-toggle airy-fullscreen ""&gt; &lt;/ div&gt; &lt;div tabindex ="" - 1 ""class ="" airy-container-bottom "" &gt; &lt;div tabindex = ""- 1"" class = ""airy-track-bar-spacer-left"" style = ""width: 11px;""&gt; &lt;/ div&gt; &lt;div tabindex"&amp;" = ""- 1"" class = ""airy-play- airy toggle-play ""style ="" width: 12px; margin-right: 12px; ""&gt; &lt;/ div&gt; &lt;div tabindex ="" - 1 ""class ="" airy-audio-elements ""style ="" float: right; width: 34px; ""&gt; &lt;div tabindex ="" - 1 ""class ="" airy-audio-toggle "&amp;"airy-on ""&gt; &lt;/ div&gt; &lt;div tabindex ="" - 1 ""class ="" airy-audio-container ""style = ""opacity: 0; visibility: hidden; ""&gt; &lt;div tabindex ="" - 1 ""class ="" airy-audio-track-bar ""style ="" height: 80%; ""&gt; &lt;div tabindex ="" - 1 ""class ="" airy-audio- Sc"&amp;"rubber-bar ""style ="" height: 85%; ""&gt; &lt;/ div&gt; &lt;div tabindex ="" - 1 ""class ="" airy-audio-scrubber ""style ="" height: 12px; bottom: 85% ""&gt; &lt;/ div&gt; &lt;/ div&gt; &lt;/ div&gt; &lt;/ div&gt; &lt;div tabindex ="" - 1 ""class ="" airy-duration-label ""style ="" float: right;"&amp;" width: 26px; margin-right: 4px; text-align: center; ""&gt; 1:00 &lt;/ div&gt; &lt;div tabindex ="" - 1 ""class ="" airy-track-bar-spacer-right ""style ="" float: right; width: 11px; ""&gt; &lt;/ div&gt; &lt;div tabindex ="" - 1 ""class ="" airy-track-bar-container ""style ="" m"&amp;"argin-left: 35px; margin-right: 75px; ""&gt; &lt;div tabindex ="" - 1 ""class ="" airy-airy-track-bar vertically-centering-table ""&gt; &lt;div tabindex ="" - 1 ""class ="" airy-Vertical-centering- table-cell ""&gt; &lt;div tabindex ="" - 1 ""class ="" airy-track-bar-eleme"&amp;"nts ""&gt; &lt;div tabindex ="" - 1 ""class ="" airy-progress-bar ""style ="" width: 8.73266%; ""&gt; &lt;/ div&gt; &lt;div tabindex ="" - 1 ""class ="" airy-scrubber-bar ""&gt; &lt;/ div&gt; &lt;div tabindex ="" - 1 ""class ="" airy-scrubber ""&gt; &lt;div tabindex ="" - 1 ""class ="" airy"&amp;"-scrubber-icon ""&gt; &lt;/ div&gt; &lt;div tabindex ="" - 1 ""class ="" airy-adjusted-AUI-tooltip ""style ="" opacity: 0; visibility: hidden; ""&gt; &lt;div tabindex ="" - 1 ""class ="" airy-adjusted-aui-tooltip-inner ""&gt; &lt;div tabindex ="" - 1 ""class ="" airy-current-tim"&amp;"e-label ""&gt; 0: 00 &lt;/ div&gt; &lt;/ div&gt; &lt;div tabindex = ""- 1"" class = ""airy-adjusted-AUI-arrow-border""&gt; &lt;div tabindex = ""- 1"" class = ""airy-adjusted-AUI-arrow"" &gt; &lt;/ div&gt; &lt;/ div&gt; &lt;/ div&gt; &lt;/ div&gt; &lt;/ div&gt; &lt;/ div&gt; &lt;/ div&gt; &lt;/ div&gt; &lt;/ div&gt; &lt;/ div&gt; &lt;div tabind"&amp;"ex = ""- 1"" class = ""airy-age-gate airy-stage airy-Vertical-centering-table airy-dialog"" style = ""opacity: 0; visibility: hidden; ""&gt; &lt;div tabindex ="" - 1 ""class ="" airy-age-gate-Vertical-centering-table-cell airy-Vertical-centering-table-cell ""&gt; "&amp;"&lt;div tabindex ="" - 1 ""class = ""airy-Vertical-centering-wrapper airy-age-gate-elements-wrapper""&gt; &lt;div tabindex = ""- 1"" class = ""airy-age-gate-elements airy-dialog-elements""&gt; &lt;div tabindex = "" -1 ""class ="" airy-age-gate-prompt ""&gt; This video is n"&amp;"ot Intended for all audiences What date were you born &lt;/ div&gt; &lt;div tabindex =.?"" - 1 ""class ="" airy-age-gate -inputs airy-dialog-inner-elements ""&gt; &lt;select tabindex ="" - 1 ""class ="" airy-age-gate-month ""&gt; &lt;option value ="" 1 ""&gt; January &lt;/ option&gt; "&amp;"&lt;option value ="" 2 ""&gt; February &lt;/ option&gt; &lt;option value ="" 3 ""&gt; March &lt;/ option&gt; &lt;option value ="" 4 ""&gt; April &lt;/ option&gt; &lt;option value ="" 5 ""&gt; May &lt;/ option&gt; &lt;option value = ""6""&gt; June &lt;/ option&gt; &lt;option value = ""7""&gt; July &lt;/ option&gt; &lt;option valu"&amp;"e = ""8""&gt; August &lt;/ option&gt; &lt;option value = ""9""&gt; September &lt;/ option&gt; &lt;option value = ""10""&gt; October &lt;/ option&gt; &lt;option value = ""11""&gt; November &lt;/ option&gt; &lt;option value = ""12""&gt; December &lt;/ option&gt; &lt;/ select&gt; &lt;select tabindex = ""- 1"" class = ""air"&amp;"y-age-gate-day""&gt; &lt;opti on value = ""1""&gt; 1 &lt;/ option&gt; &lt;option value = ""2""&gt; 2 &lt;/ option&gt; &lt;option value = ""3""&gt; 3 &lt;/ option&gt; &lt;option value = ""4""&gt; 4 &lt;/ option &gt; &lt;option value = ""5""&gt; 5 &lt;/ option&gt; &lt;option value = ""6""&gt; 6 &lt;/ option&gt; &lt;option value = ""7"&amp;"""&gt; 7 &lt;/ option&gt; &lt;option value = ""8""&gt; 8 &lt; / option&gt; &lt;option value = ""9""&gt; 9 &lt;/ option&gt; &lt;option value = ""10""&gt; 10 &lt;/ option&gt; &lt;option value = ""11""&gt; 11 &lt;/ option&gt; &lt;option value = ""12""&gt; 12 &lt;/ option&gt; &lt;option value = ""13""&gt; 13 &lt;/ option&gt; &lt;option value"&amp;" = ""14""&gt; 14 &lt;/ option&gt; &lt;option value = ""15""&gt; 15 &lt;/ option&gt; &lt;option value = ""16 ""&gt; 16 &lt;/ option&gt; &lt;option value ="" 17 ""&gt; 17 &lt;/ option&gt; &lt;option value ="" 18 ""&gt; 18 &lt;/ option&gt; &lt;option value ="" 19 ""&gt; 19 &lt;/ option&gt; &lt;option value = ""20""&gt; 20 &lt;/ option"&amp;"&gt; &lt;option value = ""21""&gt; 21 &lt;/ option&gt; &lt;option value = ""22""&gt; 22 &lt;/ option&gt; &lt;option value = ""23""&gt; 23 &lt;/ option&gt; &lt;option value = ""24""&gt; 24 &lt;/ option&gt; &lt;option value = ""25""&gt; 25 &lt;/ option&gt; &lt;option value = ""26""&gt; 26 &lt;/ option&gt; &lt;option value = ""27""&gt; 2"&amp;"7 &lt;/ option&gt; &lt;option value = ""28""&gt; 28 &lt;/ option&gt; &lt;option value = ""29""&gt; 29 &lt;/ option&gt; &lt;option value = ""30""&gt; 30 &lt;/ option&gt; &lt;option value = ""31""&gt; 31 &lt;/ option&gt; &lt;/ select&gt; &lt;select tabindex = ""- 1"" class = ""airy-age-gate-year""&gt; &lt;option value = ""20"&amp;"19""&gt; 2019 &lt;/ option&gt; &lt; option value = ""2018""&gt; 2018 &lt;/ option&gt; &lt;option value = ""2017""&gt; 2017 &lt;/ option&gt; &lt;option value = ""2016""&gt; ​​2016 &lt;/ option&gt; &lt;option value = ""2015""&gt; 2015 &lt;/ option &gt; &lt;option value = ""2014""&gt; 2014 &lt;/ option&gt; &lt;option value = ""2"&amp;"013""&gt; 2013 &lt;/ option&gt; &lt;option value = ""2012""&gt; 2012 &lt;/ option&gt; &lt;option value = ""2011""&gt; 2011 &lt; / option&gt; &lt;option value = ""2010""&gt; 2010 &lt;/ option&gt; &lt;option value = ""2009""&gt; 2009 &lt;/ option&gt; &lt;option value = ""2008""&gt; 2008 &lt;/ option&gt; &lt;option value = ""200"&amp;"7""&gt; 2007 &lt;/ option&gt; &lt;option value = ""2006""&gt; 2006 &lt;/ option&gt; &lt;option value = ""2005""&gt; 2005 &lt;/ option&gt; &lt;option value = ""2004""&gt; 2004 &lt;/ option&gt; &lt;option value = ""2003 ""&gt; 2003 &lt;/ option&gt; &lt;option value ="" 2002 ""&gt; 2002 &lt;/ option&gt; &lt;option value ="" 2001"&amp;" ""&gt;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"&amp;"""&gt; 1989 &lt;/ option&gt; &lt;option value ="" 1988 ""&gt; 1988 &lt;/ option&gt; &lt;option value ="" 1987 ""&gt; 1987 &lt;/ option&gt; &lt;option value ="" 1986 ""&gt; 1986 &lt;/ option&gt; &lt;value option = ""1985""&gt; 1985 &lt;/ option&gt; &lt;option value = ""1984""&gt; 1984 &lt;/ option&gt; &lt;option value = ""1983"&amp;"""&gt; 1983 &lt;/ option&gt; &lt;option value = ""1982""&gt; 1982 &lt;/ option&gt; &lt; option value = ""1981""&gt; 1981 &lt;/ option&gt; &lt;option value = ""1980""&gt; 1980 &lt;/ option&gt; &lt;option value = ""1979""&gt; 1979 &lt;/ option&gt; &lt;option value = ""1978""&gt; 1978 &lt;/ option &gt; &lt;option value = ""1977"&amp;"""&gt; 1977 &lt;/ option&gt; &lt;option value = ""1976""&gt; 1976 &lt;/ option&gt; &lt;option value = ""1975""&gt; 1975 &lt;/ option&gt; &lt;option value = ""1974""&gt; 1974 &lt; / option&gt; &lt;option value = ""1973""&gt; 1973 &lt;/ option&gt; &lt;option value = ""1972""&gt; 1972 &lt;/ option&gt; &lt;option value = ""1971"""&amp;"&gt; 1971 &lt;/ option&gt; &lt;option value = ""1970""&gt; 1970 &lt;/ option&gt; &lt;option value = ""1969""&gt; 1969 &lt;/ option&gt; &lt;option value = ""1968""&gt; 1968 &lt;/ option&gt; &lt;option value = ""1967""&gt; 1967 &lt;/ option&gt; &lt;option value = ""1966 ""&gt; 1966 &lt;/ option&gt; &lt;option value ="" 1965 ""&gt;"&amp;" 1965 &lt;/ option&gt; &lt;option value ="" 1964 ""&gt; 1964 &lt;/ option&gt; &lt;option value ="" 1963 ""&gt; 1963 &lt;/ option&gt; &lt;option value = ""1962""&gt; 1962 &lt;/ option&gt; &lt;option value = ""1961""&gt; 1961 &lt;/ option&gt; &lt;option value = ""1960""&gt; 1960 &lt;/ op tion&gt; &lt;option value = ""1959""&gt;"&amp;" 1959 &lt;/ option&gt; &lt;option value = ""1958""&gt; 1958 &lt;/ option&gt; &lt;option value = ""1957""&gt; 1957 &lt;/ option&gt; &lt;option value = ""1956""&gt; 1956 &lt;/ option&gt; &lt;option value = ""1955""&gt; 1955 &lt;/ option&gt; &lt;option value = ""1954""&gt; 1954 &lt;/ option&gt; &lt;option value = ""1953""&gt; 19"&amp;"53 &lt;/ option&gt; &lt;option value = ""1952"" &gt; 1952 &lt;/ option&gt; &lt;option value = ""1951""&gt; 1951 &lt;/ option&gt; &lt;option value = ""1950""&gt; 1950 &lt;/ option&gt; &lt;option value = ""1949""&gt; 1949 &lt;/ option&gt; &lt;option value = "" 1948 ""&gt; 1948 &lt;/ option&gt; &lt;option value ="" 1947 ""&gt; 1"&amp;"947 &lt;/ option&gt; &lt;option value ="" 1946 ""&gt; 1946 &lt;/ option&gt; &lt;option value ="" 1945 ""&gt; 1945 &lt;/ option&gt; &lt;value option = ""1944""&gt; 1944 &lt;/ option&gt; &lt;option value = ""1943""&gt; 1943 &lt;/ option&gt; &lt;option value = ""1942""&gt; 1942 &lt;/ option&gt; &lt;option value = ""1941""&gt; 19"&amp;"41 &lt;/ option&gt; &lt; option value = ""1940""&gt; 1940 &lt;/ option&gt; &lt;option value = ""1939""&gt; 1939 &lt;/ option&gt; &lt;option value = ""1938""&gt; 1938 &lt;/ option&gt; &lt;option value = ""1937""&gt; 1937 &lt;/ option &gt; &lt;option value = ""1936""&gt; 1936 &lt;/ option&gt; &lt;option value = ""1935""&gt; 193"&amp;"5 &lt;/ option&gt; &lt;option value = ""1934""&gt; 1934 &lt;/ option&gt; &lt;option value = ""1933""&gt; 1933 &lt; / option&gt; &lt;option value = ""1932""&gt; 1932 &lt;/ option&gt; &lt;option value = ""1931""&gt; 1931 &lt;/ option&gt; &lt;option v alue = ""1930""&gt; 1930 &lt;/ option&gt; &lt;option value = ""1929""&gt; 1929"&amp;" &lt;/ option&gt; &lt;option value = ""1928""&gt; 1928 &lt;/ option&gt; &lt;option value = ""1927""&gt; 1927 &lt;/ option&gt; &lt;option value = ""1926""&gt; 1926 &lt;/ option&gt; &lt;option value = ""1925""&gt; 1925 &lt;/ option&gt; &lt;option value = ""1924""&gt; 1924 &lt;/ option&gt; &lt;option value = ""1923""&gt; 1923 &lt;/"&amp;" option&gt; &lt;option value = ""1922""&gt; 1922 &lt;/ option&gt; &lt;option value = ""1921""&gt; 1921 &lt;/ option&gt; &lt;option value = ""1920""&gt; 1920 &lt;/ option&gt; &lt;option value = ""1919""&gt; 1919 &lt;/ option&gt; &lt;option value = ""1918""&gt; 1918 &lt;/ option&gt; &lt;option value = ""1917""&gt; 1917 &lt;/ op"&amp;"tion&gt; &lt;option value = ""1916""&gt; 1916 &lt;/ option&gt; &lt;option value = ""1915"" &gt; 1915 &lt;/ option&gt; &lt;option value = ""1914""&gt; 1914 &lt;/ option&gt; &lt;option value = ""1913""&gt; 1913 &lt;/ option&gt; &lt;option value = ""1912""&gt; 1912 &lt;/ option&gt; &lt;option value = "" 1911 ""&gt; 1911 &lt;/ op"&amp;"tion&gt; &lt;option value ="" 1910 ""&gt; 1910 &lt;/ option&gt; &lt;option value ="" 1909 ""&gt; 1909 &lt;/ option&gt; &lt;option value ="" 1908 ""&gt; 1908 &lt;/ option&gt; &lt;value option = ""1907""&gt; 1907 &lt;/ option&gt; &lt;option value = ""1906""&gt; 1906 &lt;/ option&gt; &lt;option value = ""1905""&gt; 1905 &lt;/ op"&amp;"tion&gt; &lt;option value = ""1904""&gt; 1904 &lt;/ option&gt; &lt; option value = ""1903""&gt; 1903 &lt;/ option&gt; &lt;option value = ""1902""&gt; 1902 &lt;/ option&gt; &lt;option value = ""1901""&gt; 19 01 &lt;/ option&gt; &lt;option value = ""1900""&gt; 1900 &lt;/ option&gt; &lt;/ select&gt; &lt;div tabindex = ""- 1"" cl"&amp;"ass = ""airy-age-gate-submit airy-submit-button airy airy-submit- disabled ""&gt; Submit &lt;/ div&gt; &lt;/ div&gt; &lt;/ div&gt; &lt;/ div&gt; &lt;/ div&gt; &lt;/ div&gt; &lt;div tabindex ="" - 1 ""class ="" airy-install-flash-dialog airy-stage airy -vertical-centering-table-dialog airy airy-de"&amp;"nied ""style ="" opacity: 0; visibility: hidden; ""&gt; &lt;div tabindex ="" - 1 ""class ="" airy-install-flash-Vertical-centering-table-cell airy-Vertical-centering-table-cell ""&gt; &lt;div tabindex ="" - 1 ""class = ""airy-Vertical-centering-wrapper airy-install-f"&amp;"lash-elements-wrapper""&gt; &lt;div tabindex = ""- 1"" class = ""airy-install-flash-elements airy-dialog-elements""&gt; &lt;div tabindex = "" -1 ""class ="" airy-install-flash-prompt ""&gt; Adobe Flash Player is required to watch this video &lt;/ div&gt; &lt;div tabindex =."" - "&amp;"1 ""class ="" airy-install-flash-button-wrapper airy -dialog-inner-elements ""&gt; &lt;div tabindex ="" - 1 ""class ="" airy-install-flash-button airy-button ""&gt; install Flash Player &lt;/ div&gt; &lt;/ div&gt; &lt;/ div&gt; &lt;/ div&gt; &lt;/ div&gt; &lt;/ div&gt; &lt;div tabindex = ""- 1"" class "&amp;"= ""airy-video-unsupported-dialog airy-stage airy-Vertical-centering-table airy-dialog airy-denied"" style = ""opacity: 0; visibility: hidden; ""&gt; &lt;div tabindex ="" - 1 ""class ="" airy-video-unsupported-Vertical-centering-table-cell airy-Vertical-centeri"&amp;"ng-table-cell ""&gt; &lt;div tabindex ="" - 1 ""class = ""airy-Vertical-centering-wrapper airy-video-unsupported-elements-wrapper""&gt; &lt;div tabindex = ""- 1"" class = ""airy-video-unsupported-elements airy-dialog-elements""&gt; &lt;div tabindex = "" -1 ""class ="" airy"&amp;"-video-unsupported-prompt ""&gt; &lt;/ div&gt; &lt;/ div&gt; &lt;/ div&gt; &lt;/ div&gt; &lt;/ div&gt; &lt;div tabindex ="" - 1 ""class ="" airy-loading- spinner-stage airy-stage ""&gt; &lt;div tabindex ="" - 1 ""class ="" airy-loading-spinner-Vertical-centering-table-cell airy-Vertical-centering"&amp;"-table-cell ""&gt; &lt;div tabindex ="" - 1 ""class ="" airy-loading-spinner-container airy-scalable-hint-container ""&gt; &lt;div tabindex ="" - 1 ""class ="" airy-loading-spinner-dummy airy-scalable-dummy ""&gt; &lt;/ div&gt; &lt; div tabindex = ""- 1"" class = ""airy-loading-"&amp;"spinner airy-hint"" style = ""visibility: hidden;""&gt; &lt;/ div&gt; &lt;/ div&gt; &lt;/ div&gt; &lt;/ div&gt; &lt;div tabindex = ""- 1 ""class ="" airy-ads-screen-size-toggle airy-screen-size-toggle-fullscreen airy ""style ="" visibility: hidden; ""&gt; &lt;/ div&gt; &lt;div tabindex = ""-1"" c"&amp;"lass = ""airy-ad-prompt-container"" style = ""visibility: hidden;""&gt; &lt;div tabindex = ""- 1"" class = ""airy-ad-prompt-Vertical-centering-table-vertically airy centering-table ""&gt; &lt;div tabindex ="" - 1 ""class ="" airy-ad-prompt-Vertical-centering-table-ce"&amp;"ll airy-Vertical-centering-table-cell ""&gt; &lt;div tabindex ="" - 1 ""class = ""airy-ad-prompt-label""&gt; &lt;/ div&gt; &lt;/ div&gt; &lt;/ div&gt; &lt;/ div&gt; &lt;div tabindex = ""- 1"" class = ""airy-ads-controls-container"" style = ""visibility: hidden; ""&gt; &lt;div tabindex ="" - 1 ""c"&amp;"lass ="" airy-ads-audio-toggle airy-audio-toggle airy-on ""style ="" visibility: hidden; ""&gt; &lt;/ div&gt; &lt;div tabindex ="" - 1 ""class ="" airy-time-remaining-label-container ""&gt; &lt;div tabindex ="" - 1 ""class ="" airy-time-remaining-Vertical-centering-table a"&amp;"iry-Vertical-centering-table ""&gt; &lt;div tabindex = ""- 1"" class = ""airy-time-remaining-Vertical-centering-table-cell airy-Vertical-centering-table-cell""&gt; &lt;div tabindex = ""- 1"" class = ""airy-Vertical-centering-wrapper airy-time-remaining-label-wrapper "&amp;"""&gt; &lt;div tabindex ="" - 1 ""class ="" airy-time-remaining-label ""style ="" visibility: hidden; ""&gt; &lt;/ div&gt; &lt;div tabi ndex = ""- 1"" class = ""airy-ad-skip"" style = ""visibility: hidden;""&gt; &lt;/ div&gt; &lt;div tabindex = ""- 1"" class = ""airy-ad-end"" style = "&amp;"""visibility: hidden ""&gt; &lt;/ div&gt; &lt;/ div&gt; &lt;/ div&gt; &lt;/ div&gt; &lt;/ div&gt; &lt;div tabindex ="" - 1 ""class ="" airy-learn-more ""style ="" visibility: hidden; ""&gt; &lt;/ div&gt; &lt;/ div&gt; &lt;div tabindex = ""- 1"" class = ""airy-play-toggle-hint-stage airy-stage airy-cursor""&gt; "&amp;"&lt;div tabindex = ""- 1"" class = ""airy-play -toggle-hint-Vertical-centering-table-cell airy-Vertical-centering-table-cell airy-cursor ""&gt; &lt;div tabindex ="" - 1 ""class ="" airy-play-toggle-hint-container airy-scalable- Hint-container ""&gt; &lt;div tabindex ="""&amp;" - 1 ""class ="" airy-play-toggle-hint-dummy airy-scalable-dummy ""&gt; &lt;/ div&gt; &lt;div tabindex ="" - 1 ""class ="" airy-play -toggle-hint hint airy-airy-play-hint ""style ="" opacity: 1; visibility: visible; ""&gt; &lt;/ div&gt; &lt;/ div&gt; &lt;/ div&gt; &lt;/ div&gt; &lt;div tabindex ="&amp;""" - 1 ""class ="" airy-replay-hint-stage airy-stage ""style ="" visibility: hidden ; ""&gt; &lt;div tabindex ="" - 1 ""class ="" airy-replay-hint-Vertical-centering-table-cell airy-Vertical-centering-table-cell airy-cursor ""&gt; &lt;div tabindex ="" - 1 ""class = "&amp;"""airy-replay-hint-container airy-scalable-hint-container""&gt; &lt;div tabindex = ""- 1"" class = ""airy-replay-hint-dummy airy-scalable-dummy""&gt; &lt;/ div&gt; &lt;div tabindex = ""- 1"" class = ""airy-replay-hint airy-hint""&gt; &lt;/ div&gt; &lt;/ div&gt; &lt;/ div&gt; &lt;/ div&gt; &lt;div tabin"&amp;"dex = ""- 1"" class = ""airy-autoplay-hint -stage airy-stage ""style ="" visibility: hidden; ""&gt; &lt;div tabindex ="" - 1 ""class ="" airy-autoplay-hint-Vertical-centering-table-cell airy-Vertical-centering-table-cell airy- cursor ""&gt; &lt;div tabindex ="" - 1 "&amp;"""class ="" autoplay airy-airy-hint-container-scalable-hint-container ""&gt; &lt;div tabindex ="" - 1 ""class ="" airy-autoplay-hint-dummy airy- scalable-dummy ""&gt; &lt;/ div&gt; &lt;/ div&gt; &lt;/ div&gt; &lt;/ div&gt; &lt;/ div&gt; &lt;/ div&gt; &lt;input type ="" hidden ""name ="" ""value ="" htt"&amp;"ps: // images-eu .ssl-images-amazon.com / images / I / C1efkMDN-7S.mp4 ""Class ="" video-url ""&gt; &lt;input type ="" hidden ""name ="" ""value ="" https://images-eu.ssl-images-amazon.com/images/I/91tlMpOKsLS.png ""class ="" video-slate-img-url ""&gt; &amp; nbsp; I n"&amp;"eeded to give some life to my old laptop. After being investigating in I concluded that the SSD might be the simple and cheap solution network. Installation is very easy, and improved startup and substantial performance. Thanks to the record my laptop and"&amp;" we have to endure more than a few years old.")</f>
        <v>A good solution &lt;div id = "video-block-RBFRAAINXJAKK" class = "section a-a-a-spacing-small spacing-top-video mini-block"&gt; &lt;div tabindex = "0" class = "airy airy- svg vmin-unsupported airy-skin-beacon "style =" background-color: rgb (0, 0, 0) position: relative; width: 100%; height: 100%; font-size: 0px; overflow: hidden; outline: none; "&gt; &lt;div class =" airy-renderer-container "style =" position: relative; height: 100%; width: 100%; "&gt; &lt;video id =" 7 "preload =" auto "src = "https://images-eu.ssl-images-amazon.com/images/I/C1efkMDN-7S.mp4" style = "position: absolute; left: 0px; top: 0px; overflow: hidden; height: 1px; width: 1px; "&gt; &lt;/ video&gt; &lt;/ div&gt; &lt;div id =" airy-slate-preload "style =" background-color: rgb (0, 0, 0); background-image: url (&amp; quot; https : //images-eu.ssl-images-amazon.com/images/I/91tlMpOKsLS.png&amp;quot;); background-size: Contain; background-position: center center; background-repeat: no-repeat; position: absolute; top: 0px; left: 0px; visibility: visible; width: 100%; height: 100%; "&gt; &lt;/ div&gt; &lt;iframe scroll 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1:00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8.73266%;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C1efkMDN-7S.mp4 "Class =" video-url "&gt; &lt;input type =" hidden "name =" "value =" https://images-eu.ssl-images-amazon.com/images/I/91tlMpOKsLS.png "class =" video-slate-img-url "&gt; &amp; nbsp; I needed to give some life to my old laptop. After being investigating in I concluded that the SSD might be the simple and cheap solution network. Installation is very easy, and improved startup and substantial performance. Thanks to the record my laptop and we have to endure more than a few years old.</v>
      </c>
    </row>
    <row r="9161">
      <c r="A9161" s="1">
        <v>5.0</v>
      </c>
      <c r="B9161" s="1" t="s">
        <v>9088</v>
      </c>
      <c r="C9161" t="str">
        <f>IFERROR(__xludf.DUMMYFUNCTION("GOOGLETRANSLATE(B9161, ""es"", ""en"")"),"Good headphones It took me 4 days to come. They're good quality (original) It works for all devices He heard loud It's like ear (not fall)")</f>
        <v>Good headphones It took me 4 days to come. They're good quality (original) It works for all devices He heard loud It's like ear (not fall)</v>
      </c>
    </row>
    <row r="9162">
      <c r="A9162" s="1">
        <v>5.0</v>
      </c>
      <c r="B9162" s="1" t="s">
        <v>9089</v>
      </c>
      <c r="C9162" t="str">
        <f>IFERROR(__xludf.DUMMYFUNCTION("GOOGLETRANSLATE(B9162, ""es"", ""en"")"),"I bought precious pendant pendant gift and is very nice and fine. It comes beautifully presented in its box and bag.")</f>
        <v>I bought precious pendant pendant gift and is very nice and fine. It comes beautifully presented in its box and bag.</v>
      </c>
    </row>
    <row r="9163">
      <c r="A9163" s="1">
        <v>5.0</v>
      </c>
      <c r="B9163" s="1" t="s">
        <v>9090</v>
      </c>
      <c r="C9163" t="str">
        <f>IFERROR(__xludf.DUMMYFUNCTION("GOOGLETRANSLATE(B9163, ""es"", ""en"")"),"Quality precio👍 very comfortable the verdad.Los I bought to work since I am many hours of feet.")</f>
        <v>Quality precio👍 very comfortable the verdad.Los I bought to work since I am many hours of feet.</v>
      </c>
    </row>
    <row r="9164">
      <c r="A9164" s="1">
        <v>5.0</v>
      </c>
      <c r="B9164" s="1" t="s">
        <v>9091</v>
      </c>
      <c r="C9164" t="str">
        <f>IFERROR(__xludf.DUMMYFUNCTION("GOOGLETRANSLATE(B9164, ""es"", ""en"")"),"I buy precious Very good value for money a ten, it is very elegant.")</f>
        <v>I buy precious Very good value for money a ten, it is very elegant.</v>
      </c>
    </row>
    <row r="9165">
      <c r="A9165" s="1">
        <v>5.0</v>
      </c>
      <c r="B9165" s="1" t="s">
        <v>9092</v>
      </c>
      <c r="C9165" t="str">
        <f>IFERROR(__xludf.DUMMYFUNCTION("GOOGLETRANSLATE(B9165, ""es"", ""en"")"),"Phenomenal That said, phenomenal. But I share an experience, if someone serves it ... I had to return some Crocs city lane because they were making me dust the feet especially in the area of ​​the instep. Nothing to do with the crocs classics lane city. T"&amp;"he material of the city lane is harder, and has yields less mold closer (lower rather). The city lane I could not endure the great classics.")</f>
        <v>Phenomenal That said, phenomenal. But I share an experience, if someone serves it ... I had to return some Crocs city lane because they were making me dust the feet especially in the area of ​​the instep. Nothing to do with the crocs classics lane city. The material of the city lane is harder, and has yields less mold closer (lower rather). The city lane I could not endure the great classics.</v>
      </c>
    </row>
    <row r="9166">
      <c r="A9166" s="1">
        <v>2.0</v>
      </c>
      <c r="B9166" s="1" t="s">
        <v>9093</v>
      </c>
      <c r="C9166" t="str">
        <f>IFERROR(__xludf.DUMMYFUNCTION("GOOGLETRANSLATE(B9166, ""es"", ""en"")"),"WHY WE TRICK WITH SD? I do not understand why no cards meet the description, nor, to serve the documents coming from 7.5GB SD, can they be removed? If anyone knows please respond. But what would the actual speed read and write are: 70 mb / s and 54 and th"&amp;"e total storage capacity of 111.6. A non unless they are removed 7.5 coming from a document, which would 119,1GB. If you can answer me questions, thank you.")</f>
        <v>WHY WE TRICK WITH SD? I do not understand why no cards meet the description, nor, to serve the documents coming from 7.5GB SD, can they be removed? If anyone knows please respond. But what would the actual speed read and write are: 70 mb / s and 54 and the total storage capacity of 111.6. A non unless they are removed 7.5 coming from a document, which would 119,1GB. If you can answer me questions, thank you.</v>
      </c>
    </row>
    <row r="9167">
      <c r="A9167" s="1">
        <v>3.0</v>
      </c>
      <c r="B9167" s="1" t="s">
        <v>9094</v>
      </c>
      <c r="C9167" t="str">
        <f>IFERROR(__xludf.DUMMYFUNCTION("GOOGLETRANSLATE(B9167, ""es"", ""en"")"),"Very Good quality bad q q what takes inside exits")</f>
        <v>Very Good quality bad q q what takes inside exits</v>
      </c>
    </row>
    <row r="9168">
      <c r="A9168" s="1">
        <v>3.0</v>
      </c>
      <c r="B9168" s="1" t="s">
        <v>9095</v>
      </c>
      <c r="C9168" t="str">
        <f>IFERROR(__xludf.DUMMYFUNCTION("GOOGLETRANSLATE(B9168, ""es"", ""en"")"),"Very fast and good power good shake ... but in the second raid three minutes smells overheating ..")</f>
        <v>Very fast and good power good shake ... but in the second raid three minutes smells overheating ..</v>
      </c>
    </row>
    <row r="9169">
      <c r="A9169" s="1">
        <v>1.0</v>
      </c>
      <c r="B9169" s="1" t="s">
        <v>9096</v>
      </c>
      <c r="C9169" t="str">
        <f>IFERROR(__xludf.DUMMYFUNCTION("GOOGLETRANSLATE(B9169, ""es"", ""en"")"),"Failures in duplicate I acquired more than a year, this hard drive to a NAS Synology and little time, began to malfunction, some sectors were damaged and lost very important data, some of them as bloody as photos and videos of my sons. I returned to the s"&amp;"eller through Amazon (chapó for their return policy) and the amount repaid me. I made the mistake of purchasing a model like thinking that I was unlucky with the first. I have exactly the same thing happened, he has begun to fail, despite making normal us"&amp;"e of the disc, although this time I lost data. WD, a disaster!")</f>
        <v>Failures in duplicate I acquired more than a year, this hard drive to a NAS Synology and little time, began to malfunction, some sectors were damaged and lost very important data, some of them as bloody as photos and videos of my sons. I returned to the seller through Amazon (chapó for their return policy) and the amount repaid me. I made the mistake of purchasing a model like thinking that I was unlucky with the first. I have exactly the same thing happened, he has begun to fail, despite making normal use of the disc, although this time I lost data. WD, a disaster!</v>
      </c>
    </row>
    <row r="9170">
      <c r="A9170" s="1">
        <v>4.0</v>
      </c>
      <c r="B9170" s="1" t="s">
        <v>9097</v>
      </c>
      <c r="C9170" t="str">
        <f>IFERROR(__xludf.DUMMYFUNCTION("GOOGLETRANSLATE(B9170, ""es"", ""en"")"),"It covers my expectations I loved the product. The only bad thing is that it came with a problem and did not carry the batteries. In the comment, it has not taken even two hours to solve it. I have drawn very carefully, I have sent email, and have come fo"&amp;"r the speaker to cambiarmelo other. Now we just hope that this change will also be as effective.")</f>
        <v>It covers my expectations I loved the product. The only bad thing is that it came with a problem and did not carry the batteries. In the comment, it has not taken even two hours to solve it. I have drawn very carefully, I have sent email, and have come for the speaker to cambiarmelo other. Now we just hope that this change will also be as effective.</v>
      </c>
    </row>
    <row r="9171">
      <c r="A9171" s="1">
        <v>4.0</v>
      </c>
      <c r="B9171" s="1" t="s">
        <v>9098</v>
      </c>
      <c r="C9171" t="str">
        <f>IFERROR(__xludf.DUMMYFUNCTION("GOOGLETRANSLATE(B9171, ""es"", ""en"")"),"FunciónEl fulfills its plastic could be of better quality.")</f>
        <v>FunciónEl fulfills its plastic could be of better quality.</v>
      </c>
    </row>
    <row r="9172">
      <c r="A9172" s="1">
        <v>4.0</v>
      </c>
      <c r="B9172" s="1" t="s">
        <v>9099</v>
      </c>
      <c r="C9172" t="str">
        <f>IFERROR(__xludf.DUMMYFUNCTION("GOOGLETRANSLATE(B9172, ""es"", ""en"")"),"Angels Roda very comfortable and light .... or notes wedge and you can walk kilometers you are not tired feet and legs ... to being on the side of regilla not sweat the foot ... m very fond")</f>
        <v>Angels Roda very comfortable and light .... or notes wedge and you can walk kilometers you are not tired feet and legs ... to being on the side of regilla not sweat the foot ... m very fond</v>
      </c>
    </row>
    <row r="9173">
      <c r="A9173" s="1">
        <v>4.0</v>
      </c>
      <c r="B9173" s="1" t="s">
        <v>9100</v>
      </c>
      <c r="C9173" t="str">
        <f>IFERROR(__xludf.DUMMYFUNCTION("GOOGLETRANSLATE(B9173, ""es"", ""en"")"),"For now recommended going well and seem original, plus it is the cheapest price I found!")</f>
        <v>For now recommended going well and seem original, plus it is the cheapest price I found!</v>
      </c>
    </row>
    <row r="9174">
      <c r="A9174" s="1">
        <v>4.0</v>
      </c>
      <c r="B9174" s="1" t="s">
        <v>9101</v>
      </c>
      <c r="C9174" t="str">
        <f>IFERROR(__xludf.DUMMYFUNCTION("GOOGLETRANSLATE(B9174, ""es"", ""en"")"),"Good buy! Great value for the price. Fulfills its mission. The shipping was very fast and arrived in perfect condition. I can finally enjoy tea without having to boil water in the pot !!! :))")</f>
        <v>Good buy! Great value for the price. Fulfills its mission. The shipping was very fast and arrived in perfect condition. I can finally enjoy tea without having to boil water in the pot !!! :))</v>
      </c>
    </row>
    <row r="9175">
      <c r="A9175" s="1">
        <v>5.0</v>
      </c>
      <c r="B9175" s="1" t="s">
        <v>9102</v>
      </c>
      <c r="C9175" t="str">
        <f>IFERROR(__xludf.DUMMYFUNCTION("GOOGLETRANSLATE(B9175, ""es"", ""en"")"),"Comfort and beautiful are very comfortable to walk and stay beautiful feet. My wife are delighted.")</f>
        <v>Comfort and beautiful are very comfortable to walk and stay beautiful feet. My wife are delighted.</v>
      </c>
    </row>
    <row r="9176">
      <c r="A9176" s="1">
        <v>5.0</v>
      </c>
      <c r="B9176" s="1" t="s">
        <v>9103</v>
      </c>
      <c r="C9176" t="str">
        <f>IFERROR(__xludf.DUMMYFUNCTION("GOOGLETRANSLATE(B9176, ""es"", ""en"")"),"Speed ​​and exclusivity was a gift and actually loved it, great quality as always on the mark")</f>
        <v>Speed ​​and exclusivity was a gift and actually loved it, great quality as always on the mark</v>
      </c>
    </row>
    <row r="9177">
      <c r="A9177" s="1">
        <v>5.0</v>
      </c>
      <c r="B9177" s="1" t="s">
        <v>9104</v>
      </c>
      <c r="C9177" t="str">
        <f>IFERROR(__xludf.DUMMYFUNCTION("GOOGLETRANSLATE(B9177, ""es"", ""en"")"),"Correct composition of low diversity. Present")</f>
        <v>Correct composition of low diversity. Present</v>
      </c>
    </row>
    <row r="9178">
      <c r="A9178" s="1">
        <v>5.0</v>
      </c>
      <c r="B9178" s="1" t="s">
        <v>9105</v>
      </c>
      <c r="C9178" t="str">
        <f>IFERROR(__xludf.DUMMYFUNCTION("GOOGLETRANSLATE(B9178, ""es"", ""en"")"),"It fits perfectly satisfied my needs.")</f>
        <v>It fits perfectly satisfied my needs.</v>
      </c>
    </row>
    <row r="9179">
      <c r="A9179" s="1">
        <v>5.0</v>
      </c>
      <c r="B9179" s="1" t="s">
        <v>9106</v>
      </c>
      <c r="C9179" t="str">
        <f>IFERROR(__xludf.DUMMYFUNCTION("GOOGLETRANSLATE(B9179, ""es"", ""en"")"),"Just what I expected work in different places and this kettle allows me to carry with me always. No emits strange odors, can be filled almost 3 cups, and is quite pleasing to the eye despite being plastic and not being able to separate the jug from the ba"&amp;"se. Fantastic for the price you have and pleased with the purchase.")</f>
        <v>Just what I expected work in different places and this kettle allows me to carry with me always. No emits strange odors, can be filled almost 3 cups, and is quite pleasing to the eye despite being plastic and not being able to separate the jug from the base. Fantastic for the price you have and pleased with the purchase.</v>
      </c>
    </row>
    <row r="9180">
      <c r="A9180" s="1">
        <v>5.0</v>
      </c>
      <c r="B9180" s="1" t="s">
        <v>9107</v>
      </c>
      <c r="C9180" t="str">
        <f>IFERROR(__xludf.DUMMYFUNCTION("GOOGLETRANSLATE(B9180, ""es"", ""en"")"),"Weigh nothing and are very comfortable is as expected, they are nice and most importantly they are very comfortable and do not weigh anything, it is appreciated when moving")</f>
        <v>Weigh nothing and are very comfortable is as expected, they are nice and most importantly they are very comfortable and do not weigh anything, it is appreciated when moving</v>
      </c>
    </row>
    <row r="9181">
      <c r="A9181" s="1">
        <v>5.0</v>
      </c>
      <c r="B9181" s="1" t="s">
        <v>9108</v>
      </c>
      <c r="C9181" t="str">
        <f>IFERROR(__xludf.DUMMYFUNCTION("GOOGLETRANSLATE(B9181, ""es"", ""en"")"),"Very good've always used this brand of baby bottles and I decided to buy glass for not using plástico.El result can not be better, more hygienic, no odors or changes color.Muy remain strong and even leaving children to q take it alone has more weight roto"&amp;".Tiene but comfortable to use.")</f>
        <v>Very good've always used this brand of baby bottles and I decided to buy glass for not using plástico.El result can not be better, more hygienic, no odors or changes color.Muy remain strong and even leaving children to q take it alone has more weight roto.Tiene but comfortable to use.</v>
      </c>
    </row>
    <row r="9182">
      <c r="A9182" s="1">
        <v>5.0</v>
      </c>
      <c r="B9182" s="1" t="s">
        <v>9109</v>
      </c>
      <c r="C9182" t="str">
        <f>IFERROR(__xludf.DUMMYFUNCTION("GOOGLETRANSLATE(B9182, ""es"", ""en"")"),"good quality quality product made of quality materials performs its functions perfectly the hole in the nipple is quite large")</f>
        <v>good quality quality product made of quality materials performs its functions perfectly the hole in the nipple is quite large</v>
      </c>
    </row>
    <row r="9183">
      <c r="A9183" s="1">
        <v>5.0</v>
      </c>
      <c r="B9183" s="1" t="s">
        <v>9110</v>
      </c>
      <c r="C9183" t="str">
        <f>IFERROR(__xludf.DUMMYFUNCTION("GOOGLETRANSLATE(B9183, ""es"", ""en"")"),"What else? cheap watch, precise, beautiful ... It's a great choice for a single day and watch your retro touch that has become fashionable now, but has never really ceased to be used as a standard model perfect.")</f>
        <v>What else? cheap watch, precise, beautiful ... It's a great choice for a single day and watch your retro touch that has become fashionable now, but has never really ceased to be used as a standard model perfect.</v>
      </c>
    </row>
    <row r="9184">
      <c r="A9184" s="1">
        <v>5.0</v>
      </c>
      <c r="B9184" s="1" t="s">
        <v>9111</v>
      </c>
      <c r="C9184" t="str">
        <f>IFERROR(__xludf.DUMMYFUNCTION("GOOGLETRANSLATE(B9184, ""es"", ""en"")"),"Slingbag is a fairly large shoulder bag with large sections inside and outside. Order and deal with the seller was excellent. It has leather-like material, is quite sturdy. It can be used to bring the tablet and mobile travel.")</f>
        <v>Slingbag is a fairly large shoulder bag with large sections inside and outside. Order and deal with the seller was excellent. It has leather-like material, is quite sturdy. It can be used to bring the tablet and mobile travel.</v>
      </c>
    </row>
    <row r="9185">
      <c r="A9185" s="1">
        <v>5.0</v>
      </c>
      <c r="B9185" s="1" t="s">
        <v>9112</v>
      </c>
      <c r="C9185" t="str">
        <f>IFERROR(__xludf.DUMMYFUNCTION("GOOGLETRANSLATE(B9185, ""es"", ""en"")"),"Very useful for preoarar shakes and carry. Very useful for milkshakes and bring preoarar")</f>
        <v>Very useful for preoarar shakes and carry. Very useful for milkshakes and bring preoarar</v>
      </c>
    </row>
    <row r="9186">
      <c r="A9186" s="1">
        <v>5.0</v>
      </c>
      <c r="B9186" s="1" t="s">
        <v>9113</v>
      </c>
      <c r="C9186" t="str">
        <f>IFERROR(__xludf.DUMMYFUNCTION("GOOGLETRANSLATE(B9186, ""es"", ""en"")"),"100x10pñ0 recommended Fits all ... Good volume ... Ergonomics ..")</f>
        <v>100x10pñ0 recommended Fits all ... Good volume ... Ergonomics ..</v>
      </c>
    </row>
    <row r="9187">
      <c r="A9187" s="1">
        <v>5.0</v>
      </c>
      <c r="B9187" s="1" t="s">
        <v>9114</v>
      </c>
      <c r="C9187" t="str">
        <f>IFERROR(__xludf.DUMMYFUNCTION("GOOGLETRANSLATE(B9187, ""es"", ""en"")"),"I tried several brands unsurpassable bottles and no doubt these are my favorites. Philips AVENT has several models and sizes of bottle, which is very comfortable for the different ages of the baby. In addition, unlike other does not cover needed to shake "&amp;"inside, which makes fewer handling of milk.")</f>
        <v>I tried several brands unsurpassable bottles and no doubt these are my favorites. Philips AVENT has several models and sizes of bottle, which is very comfortable for the different ages of the baby. In addition, unlike other does not cover needed to shake inside, which makes fewer handling of milk.</v>
      </c>
    </row>
    <row r="9188">
      <c r="A9188" s="1">
        <v>5.0</v>
      </c>
      <c r="B9188" s="1" t="s">
        <v>9115</v>
      </c>
      <c r="C9188" t="str">
        <f>IFERROR(__xludf.DUMMYFUNCTION("GOOGLETRANSLATE(B9188, ""es"", ""en"")"),"It was very good for a gift, so I have not tried that myself, but as I have said do their job very well have been a success. A couple of minutes at the microwave and perfect!")</f>
        <v>It was very good for a gift, so I have not tried that myself, but as I have said do their job very well have been a success. A couple of minutes at the microwave and perfect!</v>
      </c>
    </row>
    <row r="9189">
      <c r="A9189" s="1">
        <v>5.0</v>
      </c>
      <c r="B9189" s="1" t="s">
        <v>9116</v>
      </c>
      <c r="C9189" t="str">
        <f>IFERROR(__xludf.DUMMYFUNCTION("GOOGLETRANSLATE(B9189, ""es"", ""en"")"),"Do not fall very comfortable ear pads thanks to different sizes to fit, they can be used both as both individually and are easy to synchronize.")</f>
        <v>Do not fall very comfortable ear pads thanks to different sizes to fit, they can be used both as both individually and are easy to synchronize.</v>
      </c>
    </row>
    <row r="9190">
      <c r="A9190" s="1">
        <v>5.0</v>
      </c>
      <c r="B9190" s="1" t="s">
        <v>9117</v>
      </c>
      <c r="C9190" t="str">
        <f>IFERROR(__xludf.DUMMYFUNCTION("GOOGLETRANSLATE(B9190, ""es"", ""en"")"),"A fundamental SSD cable required if you want to change the drive of your MacBook for SSD because if not the speed that comes standard can lead to problems")</f>
        <v>A fundamental SSD cable required if you want to change the drive of your MacBook for SSD because if not the speed that comes standard can lead to problems</v>
      </c>
    </row>
    <row r="9191">
      <c r="A9191" s="1">
        <v>5.0</v>
      </c>
      <c r="B9191" s="1" t="s">
        <v>9118</v>
      </c>
      <c r="C9191" t="str">
        <f>IFERROR(__xludf.DUMMYFUNCTION("GOOGLETRANSLATE(B9191, ""es"", ""en"")"),"Casio watch was for Christmas gift My nephew was very happy with the watch. It is a very wise purchase. I recommend it.")</f>
        <v>Casio watch was for Christmas gift My nephew was very happy with the watch. It is a very wise purchase. I recommend it.</v>
      </c>
    </row>
    <row r="9192">
      <c r="A9192" s="1">
        <v>5.0</v>
      </c>
      <c r="B9192" s="1" t="s">
        <v>9119</v>
      </c>
      <c r="C9192" t="str">
        <f>IFERROR(__xludf.DUMMYFUNCTION("GOOGLETRANSLATE(B9192, ""es"", ""en"")"),"Very own wireless headphones for use with your mobile phone when playing sports, without annoying cables. Very comfortable and are well suited to hate, they come with several parts of other colors. Bluetooth syncs well and smoothly. It lacks nothing, exce"&amp;"llent sound quality, and can be used one but want both.")</f>
        <v>Very own wireless headphones for use with your mobile phone when playing sports, without annoying cables. Very comfortable and are well suited to hate, they come with several parts of other colors. Bluetooth syncs well and smoothly. It lacks nothing, excellent sound quality, and can be used one but want both.</v>
      </c>
    </row>
    <row r="9193">
      <c r="A9193" s="1">
        <v>5.0</v>
      </c>
      <c r="B9193" s="1" t="s">
        <v>9120</v>
      </c>
      <c r="C9193" t="str">
        <f>IFERROR(__xludf.DUMMYFUNCTION("GOOGLETRANSLATE(B9193, ""es"", ""en"")"),"Good finish, please. Good detail for a gift")</f>
        <v>Good finish, please. Good detail for a gift</v>
      </c>
    </row>
    <row r="9194">
      <c r="A9194" s="1">
        <v>2.0</v>
      </c>
      <c r="B9194" s="1" t="s">
        <v>9121</v>
      </c>
      <c r="C9194" t="str">
        <f>IFERROR(__xludf.DUMMYFUNCTION("GOOGLETRANSLATE(B9194, ""es"", ""en"")"),"Sorry for not color because the color is too dark, I would have preferred more of a sand color, it would have been a good product. I'm not going to use.")</f>
        <v>Sorry for not color because the color is too dark, I would have preferred more of a sand color, it would have been a good product. I'm not going to use.</v>
      </c>
    </row>
    <row r="9195">
      <c r="A9195" s="1">
        <v>3.0</v>
      </c>
      <c r="B9195" s="1" t="s">
        <v>9122</v>
      </c>
      <c r="C9195" t="str">
        <f>IFERROR(__xludf.DUMMYFUNCTION("GOOGLETRANSLATE(B9195, ""es"", ""en"")"),"Functional but deafening noise mixer easy to use, beautiful and all its components very functional. My problem is that the package has arrived I unpacked, not even with a security seal. Anyone can have opened. It has also come up with a kind of green dust"&amp;" on the surface of the box, the type shown in lemons when get moldy. The product inside was well packaged and brought all its components. To the taste it makes a high-pitched squeal, even during the two / three seconds after stop her. Finally, after only "&amp;"one trial use for 5 seconds, you can see very visible marks on the metal core of the hitch to the motor. In the blade much sharper and darker than the right blade left. At the arrival, new, they were totally metal. Attached pictures of everything.")</f>
        <v>Functional but deafening noise mixer easy to use, beautiful and all its components very functional. My problem is that the package has arrived I unpacked, not even with a security seal. Anyone can have opened. It has also come up with a kind of green dust on the surface of the box, the type shown in lemons when get moldy. The product inside was well packaged and brought all its components. To the taste it makes a high-pitched squeal, even during the two / three seconds after stop her. Finally, after only one trial use for 5 seconds, you can see very visible marks on the metal core of the hitch to the motor. In the blade much sharper and darker than the right blade left. At the arrival, new, they were totally metal. Attached pictures of everything.</v>
      </c>
    </row>
    <row r="9196">
      <c r="A9196" s="1">
        <v>1.0</v>
      </c>
      <c r="B9196" s="1" t="s">
        <v>9123</v>
      </c>
      <c r="C9196" t="str">
        <f>IFERROR(__xludf.DUMMYFUNCTION("GOOGLETRANSLATE(B9196, ""es"", ""en"")"),"Ineffective In my case to no avail. The baby was very baba.")</f>
        <v>Ineffective In my case to no avail. The baby was very baba.</v>
      </c>
    </row>
    <row r="9197">
      <c r="A9197" s="1">
        <v>1.0</v>
      </c>
      <c r="B9197" s="1" t="s">
        <v>9124</v>
      </c>
      <c r="C9197" t="str">
        <f>IFERROR(__xludf.DUMMYFUNCTION("GOOGLETRANSLATE(B9197, ""es"", ""en"")"),"I'm not happy with this machine does not comply with what was said by the manufacturer mixing the juice with pulp and getting into small pieces the back is stuck on the same day have other products from the same manufacturer and good but this type of s ma"&amp;"chine will not ba right the first pieces of plastic is off from the filter and this mixture the juice and pulp buscare other machinery thanks")</f>
        <v>I'm not happy with this machine does not comply with what was said by the manufacturer mixing the juice with pulp and getting into small pieces the back is stuck on the same day have other products from the same manufacturer and good but this type of s machine will not ba right the first pieces of plastic is off from the filter and this mixture the juice and pulp buscare other machinery thanks</v>
      </c>
    </row>
    <row r="9198">
      <c r="A9198" s="1">
        <v>1.0</v>
      </c>
      <c r="B9198" s="1" t="s">
        <v>9125</v>
      </c>
      <c r="C9198" t="str">
        <f>IFERROR(__xludf.DUMMYFUNCTION("GOOGLETRANSLATE(B9198, ""es"", ""en"")"),"Color Blue navy After a week there are areas that have lost color, very upset with the duration of the color. Is there no solution? Another week and gum inside has taken off and rubs me the finger. I not recommend anyone")</f>
        <v>Color Blue navy After a week there are areas that have lost color, very upset with the duration of the color. Is there no solution? Another week and gum inside has taken off and rubs me the finger. I not recommend anyone</v>
      </c>
    </row>
    <row r="9199">
      <c r="A9199" s="1">
        <v>4.0</v>
      </c>
      <c r="B9199" s="1" t="s">
        <v>9126</v>
      </c>
      <c r="C9199" t="str">
        <f>IFERROR(__xludf.DUMMYFUNCTION("GOOGLETRANSLATE(B9199, ""es"", ""en"")"),"Gift good price Something big but my son is 14 and insurance in two months and be super good to suit you liked the gift")</f>
        <v>Gift good price Something big but my son is 14 and insurance in two months and be super good to suit you liked the gift</v>
      </c>
    </row>
    <row r="9200">
      <c r="A9200" s="1">
        <v>4.0</v>
      </c>
      <c r="B9200" s="1" t="s">
        <v>9127</v>
      </c>
      <c r="C9200" t="str">
        <f>IFERROR(__xludf.DUMMYFUNCTION("GOOGLETRANSLATE(B9200, ""es"", ""en"")"),"Quality standard is likely to be not of the best quality possible, but serve perfectly for a network installation in an office for small / medium enterprises. Assembly is simple and robust. I tried connectors supposedly higher quality and yield difference"&amp;"s are nonexistent or negligible (in a high performance environment you may note, do not know). Installation on some connectors more expensive very tedious because of the difficulty in crimping the wires in these grimpan easily change being securely fasten"&amp;"ed. Mounted to the first and no fault checking with a tester network.")</f>
        <v>Quality standard is likely to be not of the best quality possible, but serve perfectly for a network installation in an office for small / medium enterprises. Assembly is simple and robust. I tried connectors supposedly higher quality and yield differences are nonexistent or negligible (in a high performance environment you may note, do not know). Installation on some connectors more expensive very tedious because of the difficulty in crimping the wires in these grimpan easily change being securely fastened. Mounted to the first and no fault checking with a tester network.</v>
      </c>
    </row>
    <row r="9201">
      <c r="A9201" s="1">
        <v>4.0</v>
      </c>
      <c r="B9201" s="1" t="s">
        <v>9128</v>
      </c>
      <c r="C9201" t="str">
        <f>IFERROR(__xludf.DUMMYFUNCTION("GOOGLETRANSLATE(B9201, ""es"", ""en"")"),"Three fragrances. Hello combination of the three fragrances make an intense but unpleasant smell. Greetings and thank you.")</f>
        <v>Three fragrances. Hello combination of the three fragrances make an intense but unpleasant smell. Greetings and thank you.</v>
      </c>
    </row>
    <row r="9202">
      <c r="A9202" s="1">
        <v>4.0</v>
      </c>
      <c r="B9202" s="1" t="s">
        <v>9129</v>
      </c>
      <c r="C9202" t="str">
        <f>IFERROR(__xludf.DUMMYFUNCTION("GOOGLETRANSLATE(B9202, ""es"", ""en"")"),"Great, but warms much all perfect, it works perfectly. Comfortable, versatile and very fast. However, it is heated much even a few minutes of use. I hope this does not affect the performance or life of the USB.")</f>
        <v>Great, but warms much all perfect, it works perfectly. Comfortable, versatile and very fast. However, it is heated much even a few minutes of use. I hope this does not affect the performance or life of the USB.</v>
      </c>
    </row>
    <row r="9203">
      <c r="A9203" s="1">
        <v>4.0</v>
      </c>
      <c r="B9203" s="1" t="s">
        <v>9130</v>
      </c>
      <c r="C9203" t="str">
        <f>IFERROR(__xludf.DUMMYFUNCTION("GOOGLETRANSLATE(B9203, ""es"", ""en"")"),"Good watch at a good price! I think it's a good watch, modern design, very good price, it is also very durable for athletes of all kinds!")</f>
        <v>Good watch at a good price! I think it's a good watch, modern design, very good price, it is also very durable for athletes of all kinds!</v>
      </c>
    </row>
    <row r="9204">
      <c r="A9204" s="1">
        <v>5.0</v>
      </c>
      <c r="B9204" s="1" t="s">
        <v>9131</v>
      </c>
      <c r="C9204" t="str">
        <f>IFERROR(__xludf.DUMMYFUNCTION("GOOGLETRANSLATE(B9204, ""es"", ""en"")"),"Good model super model, fast delivery, loose my size model but looks good. excellent quality New Balance, horma tight and narrow but perfect for what I wanted.")</f>
        <v>Good model super model, fast delivery, loose my size model but looks good. excellent quality New Balance, horma tight and narrow but perfect for what I wanted.</v>
      </c>
    </row>
    <row r="9205">
      <c r="A9205" s="1">
        <v>5.0</v>
      </c>
      <c r="B9205" s="1" t="s">
        <v>9132</v>
      </c>
      <c r="C9205" t="str">
        <f>IFERROR(__xludf.DUMMYFUNCTION("GOOGLETRANSLATE(B9205, ""es"", ""en"")"),"Clean well recommended purchase computer screens and all kinds of crystals. Do not use the product for photographic lenses.")</f>
        <v>Clean well recommended purchase computer screens and all kinds of crystals. Do not use the product for photographic lenses.</v>
      </c>
    </row>
    <row r="9206">
      <c r="A9206" s="1">
        <v>5.0</v>
      </c>
      <c r="B9206" s="1" t="s">
        <v>9133</v>
      </c>
      <c r="C9206" t="str">
        <f>IFERROR(__xludf.DUMMYFUNCTION("GOOGLETRANSLATE(B9206, ""es"", ""en"")"),"Perfect chain is what I expected. Perfect, the only downside to put some is that the closure is too small ... O my fingers too clumsy")</f>
        <v>Perfect chain is what I expected. Perfect, the only downside to put some is that the closure is too small ... O my fingers too clumsy</v>
      </c>
    </row>
    <row r="9207">
      <c r="A9207" s="1">
        <v>5.0</v>
      </c>
      <c r="B9207" s="1" t="s">
        <v>9134</v>
      </c>
      <c r="C9207" t="str">
        <f>IFERROR(__xludf.DUMMYFUNCTION("GOOGLETRANSLATE(B9207, ""es"", ""en"")"),"It gives light to the face Diadem is beautiful and you can put any kind of clothes")</f>
        <v>It gives light to the face Diadem is beautiful and you can put any kind of clothes</v>
      </c>
    </row>
    <row r="9208">
      <c r="A9208" s="1">
        <v>5.0</v>
      </c>
      <c r="B9208" s="1" t="s">
        <v>9135</v>
      </c>
      <c r="C9208" t="str">
        <f>IFERROR(__xludf.DUMMYFUNCTION("GOOGLETRANSLATE(B9208, ""es"", ""en"")"),"Nothing moves and very soft Good design and size")</f>
        <v>Nothing moves and very soft Good design and size</v>
      </c>
    </row>
    <row r="9209">
      <c r="A9209" s="1">
        <v>5.0</v>
      </c>
      <c r="B9209" s="1" t="s">
        <v>9136</v>
      </c>
      <c r="C9209" t="str">
        <f>IFERROR(__xludf.DUMMYFUNCTION("GOOGLETRANSLATE(B9209, ""es"", ""en"")"),"JMP The shoulder is fine the problem is when you put weight on the front zipper is off the hook that looks ugly part t ...")</f>
        <v>JMP The shoulder is fine the problem is when you put weight on the front zipper is off the hook that looks ugly part t ...</v>
      </c>
    </row>
    <row r="9210">
      <c r="A9210" s="1">
        <v>5.0</v>
      </c>
      <c r="B9210" s="1" t="s">
        <v>9137</v>
      </c>
      <c r="C9210" t="str">
        <f>IFERROR(__xludf.DUMMYFUNCTION("GOOGLETRANSLATE(B9210, ""es"", ""en"")"),"Comply perfectly. Meets to perfection and is also very useful to have different magnifications. The only but would have to improve is that putting the magnifying glass and batteries, glasses just dripping off your face by weight. But its function perfectl"&amp;"y fulfilled and that I put them on my glasses ...")</f>
        <v>Comply perfectly. Meets to perfection and is also very useful to have different magnifications. The only but would have to improve is that putting the magnifying glass and batteries, glasses just dripping off your face by weight. But its function perfectly fulfilled and that I put them on my glasses ...</v>
      </c>
    </row>
    <row r="9211">
      <c r="A9211" s="1">
        <v>5.0</v>
      </c>
      <c r="B9211" s="1" t="s">
        <v>9138</v>
      </c>
      <c r="C9211" t="str">
        <f>IFERROR(__xludf.DUMMYFUNCTION("GOOGLETRANSLATE(B9211, ""es"", ""en"")"),"Excellent quality / price Pleasantly surprised. Great value for the price. Definitely recommend it!")</f>
        <v>Excellent quality / price Pleasantly surprised. Great value for the price. Definitely recommend it!</v>
      </c>
    </row>
    <row r="9212">
      <c r="A9212" s="1">
        <v>5.0</v>
      </c>
      <c r="B9212" s="1" t="s">
        <v>9139</v>
      </c>
      <c r="C9212" t="str">
        <f>IFERROR(__xludf.DUMMYFUNCTION("GOOGLETRANSLATE(B9212, ""es"", ""en"")"),"Economic fashion shoes sneakers are now at a price much cheaper than anywhere. Shipping quickly and smoothly. Ideal and comfortable shoes like everything that makes the Vans brand. I recommend it 100%.")</f>
        <v>Economic fashion shoes sneakers are now at a price much cheaper than anywhere. Shipping quickly and smoothly. Ideal and comfortable shoes like everything that makes the Vans brand. I recommend it 100%.</v>
      </c>
    </row>
    <row r="9213">
      <c r="A9213" s="1">
        <v>5.0</v>
      </c>
      <c r="B9213" s="1" t="s">
        <v>9140</v>
      </c>
      <c r="C9213" t="str">
        <f>IFERROR(__xludf.DUMMYFUNCTION("GOOGLETRANSLATE(B9213, ""es"", ""en"")"),"Great great for walking")</f>
        <v>Great great for walking</v>
      </c>
    </row>
    <row r="9214">
      <c r="A9214" s="1">
        <v>5.0</v>
      </c>
      <c r="B9214" s="1" t="s">
        <v>9141</v>
      </c>
      <c r="C9214" t="str">
        <f>IFERROR(__xludf.DUMMYFUNCTION("GOOGLETRANSLATE(B9214, ""es"", ""en"")"),"Very good sport pants sport shorts, I bought a size M and measure 173 and weight 70kgs and me is perfect.")</f>
        <v>Very good sport pants sport shorts, I bought a size M and measure 173 and weight 70kgs and me is perfect.</v>
      </c>
    </row>
    <row r="9215">
      <c r="A9215" s="1">
        <v>5.0</v>
      </c>
      <c r="B9215" s="1" t="s">
        <v>9142</v>
      </c>
      <c r="C9215" t="str">
        <f>IFERROR(__xludf.DUMMYFUNCTION("GOOGLETRANSLATE(B9215, ""es"", ""en"")"),"We buy these socks are delighted for our teenager and is delighted. He says caletines are very soft and comfortable and best of all is that have significantly reduced odor producing feet. Our son shoes 48 and is not always easy to find socks that fit well"&amp;". These disciples measure up. The shipment arrived super fast and everything as expected. Thank you!")</f>
        <v>We buy these socks are delighted for our teenager and is delighted. He says caletines are very soft and comfortable and best of all is that have significantly reduced odor producing feet. Our son shoes 48 and is not always easy to find socks that fit well. These disciples measure up. The shipment arrived super fast and everything as expected. Thank you!</v>
      </c>
    </row>
    <row r="9216">
      <c r="A9216" s="1">
        <v>5.0</v>
      </c>
      <c r="B9216" s="1" t="s">
        <v>9143</v>
      </c>
      <c r="C9216" t="str">
        <f>IFERROR(__xludf.DUMMYFUNCTION("GOOGLETRANSLATE(B9216, ""es"", ""en"")"),"Great. Such. And as in. picture Perfect")</f>
        <v>Great. Such. And as in. picture Perfect</v>
      </c>
    </row>
    <row r="9217">
      <c r="A9217" s="1">
        <v>5.0</v>
      </c>
      <c r="B9217" s="1" t="s">
        <v>9144</v>
      </c>
      <c r="C9217" t="str">
        <f>IFERROR(__xludf.DUMMYFUNCTION("GOOGLETRANSLATE(B9217, ""es"", ""en"")"),"Article highly recommended Excellent product and price")</f>
        <v>Article highly recommended Excellent product and price</v>
      </c>
    </row>
    <row r="9218">
      <c r="A9218" s="1">
        <v>5.0</v>
      </c>
      <c r="B9218" s="1" t="s">
        <v>9145</v>
      </c>
      <c r="C9218" t="str">
        <f>IFERROR(__xludf.DUMMYFUNCTION("GOOGLETRANSLATE(B9218, ""es"", ""en"")"),"Well priced right, arrive early, the value fantastic and come a lot, the truth is that I am very happy with this purchase.")</f>
        <v>Well priced right, arrive early, the value fantastic and come a lot, the truth is that I am very happy with this purchase.</v>
      </c>
    </row>
    <row r="9219">
      <c r="A9219" s="1">
        <v>5.0</v>
      </c>
      <c r="B9219" s="1" t="s">
        <v>9146</v>
      </c>
      <c r="C9219" t="str">
        <f>IFERROR(__xludf.DUMMYFUNCTION("GOOGLETRANSLATE(B9219, ""es"", ""en"")"),"To relax the cervical spend many hours in front of the computer and my back hurts. This massager has been good to me to help me with the problem. It has different intensities. You can make it rotate in one direction or another. You can also activate the h"&amp;"eat. Perfect for every day wear it for a while.")</f>
        <v>To relax the cervical spend many hours in front of the computer and my back hurts. This massager has been good to me to help me with the problem. It has different intensities. You can make it rotate in one direction or another. You can also activate the heat. Perfect for every day wear it for a while.</v>
      </c>
    </row>
    <row r="9220">
      <c r="A9220" s="1">
        <v>5.0</v>
      </c>
      <c r="B9220" s="1" t="s">
        <v>9147</v>
      </c>
      <c r="C9220" t="str">
        <f>IFERROR(__xludf.DUMMYFUNCTION("GOOGLETRANSLATE(B9220, ""es"", ""en"")"),"Is perfect is perfect meets all the expectations I had, elegant, very flat, if you like watches can not miss")</f>
        <v>Is perfect is perfect meets all the expectations I had, elegant, very flat, if you like watches can not miss</v>
      </c>
    </row>
    <row r="9221">
      <c r="A9221" s="1">
        <v>5.0</v>
      </c>
      <c r="B9221" s="1" t="s">
        <v>9148</v>
      </c>
      <c r="C9221" t="str">
        <f>IFERROR(__xludf.DUMMYFUNCTION("GOOGLETRANSLATE(B9221, ""es"", ""en"")"),"Good price This very well priced for the amount of flashcards that brings.")</f>
        <v>Good price This very well priced for the amount of flashcards that brings.</v>
      </c>
    </row>
    <row r="9222">
      <c r="A9222" s="1">
        <v>5.0</v>
      </c>
      <c r="B9222" s="1" t="s">
        <v>9149</v>
      </c>
      <c r="C9222" t="str">
        <f>IFERROR(__xludf.DUMMYFUNCTION("GOOGLETRANSLATE(B9222, ""es"", ""en"")"),"Matreiles very good quality connectors very good quality. In reality they look better than in pictures. Very easy assembly. I am very happy with the product.")</f>
        <v>Matreiles very good quality connectors very good quality. In reality they look better than in pictures. Very easy assembly. I am very happy with the product.</v>
      </c>
    </row>
    <row r="9223">
      <c r="A9223" s="1">
        <v>2.0</v>
      </c>
      <c r="B9223" s="1" t="s">
        <v>9150</v>
      </c>
      <c r="C9223" t="str">
        <f>IFERROR(__xludf.DUMMYFUNCTION("GOOGLETRANSLATE(B9223, ""es"", ""en"")"),"Quality Very small")</f>
        <v>Quality Very small</v>
      </c>
    </row>
    <row r="9224">
      <c r="A9224" s="1">
        <v>3.0</v>
      </c>
      <c r="B9224" s="1" t="s">
        <v>9151</v>
      </c>
      <c r="C9224" t="str">
        <f>IFERROR(__xludf.DUMMYFUNCTION("GOOGLETRANSLATE(B9224, ""es"", ""en"")"),"It is a robust resistant watch the numbers look great screen has a very rare at this price you can not ask for more value for very good price")</f>
        <v>It is a robust resistant watch the numbers look great screen has a very rare at this price you can not ask for more value for very good price</v>
      </c>
    </row>
    <row r="9225">
      <c r="A9225" s="1">
        <v>3.0</v>
      </c>
      <c r="B9225" s="1" t="s">
        <v>9152</v>
      </c>
      <c r="C9225" t="str">
        <f>IFERROR(__xludf.DUMMYFUNCTION("GOOGLETRANSLATE(B9225, ""es"", ""en"")"),"Bonitos are super nice and a bit small. It shows that quality is a little bad but are very economical.")</f>
        <v>Bonitos are super nice and a bit small. It shows that quality is a little bad but are very economical.</v>
      </c>
    </row>
    <row r="9226">
      <c r="A9226" s="1">
        <v>1.0</v>
      </c>
      <c r="B9226" s="1" t="s">
        <v>9153</v>
      </c>
      <c r="C9226" t="str">
        <f>IFERROR(__xludf.DUMMYFUNCTION("GOOGLETRANSLATE(B9226, ""es"", ""en"")"),"Defect in leather and Amazon does not answer I bought these boots in late November and after three months of use I appeared a defect in the leather. I wrote to Amazon (because Panama Jack tells me that they do not take care as it is a product sold by Amaz"&amp;"on) and no one answers me. Not back to buy some boots Panama Jack. I thought that buying a quality brand would also have a service to the customer and quality has not. Timberland boots the next without hesitation.")</f>
        <v>Defect in leather and Amazon does not answer I bought these boots in late November and after three months of use I appeared a defect in the leather. I wrote to Amazon (because Panama Jack tells me that they do not take care as it is a product sold by Amazon) and no one answers me. Not back to buy some boots Panama Jack. I thought that buying a quality brand would also have a service to the customer and quality has not. Timberland boots the next without hesitation.</v>
      </c>
    </row>
    <row r="9227">
      <c r="A9227" s="1">
        <v>1.0</v>
      </c>
      <c r="B9227" s="1" t="s">
        <v>9154</v>
      </c>
      <c r="C9227" t="str">
        <f>IFERROR(__xludf.DUMMYFUNCTION("GOOGLETRANSLATE(B9227, ""es"", ""en"")"),"The fabric is too thin finisimo")</f>
        <v>The fabric is too thin finisimo</v>
      </c>
    </row>
    <row r="9228">
      <c r="A9228" s="1">
        <v>4.0</v>
      </c>
      <c r="B9228" s="1" t="s">
        <v>9155</v>
      </c>
      <c r="C9228" t="str">
        <f>IFERROR(__xludf.DUMMYFUNCTION("GOOGLETRANSLATE(B9228, ""es"", ""en"")"),"Soled ""something soft"" arrived within established, as expected. Identical to images. Sole ""a little soft"" to the walking surfaces footnotes reliefs or zones which are not flat. They are very comfortable.")</f>
        <v>Soled "something soft" arrived within established, as expected. Identical to images. Sole "a little soft" to the walking surfaces footnotes reliefs or zones which are not flat. They are very comfortable.</v>
      </c>
    </row>
    <row r="9229">
      <c r="A9229" s="1">
        <v>4.0</v>
      </c>
      <c r="B9229" s="1" t="s">
        <v>9156</v>
      </c>
      <c r="C9229" t="str">
        <f>IFERROR(__xludf.DUMMYFUNCTION("GOOGLETRANSLATE(B9229, ""es"", ""en"")"),"Good quality good Item")</f>
        <v>Good quality good Item</v>
      </c>
    </row>
    <row r="9230">
      <c r="A9230" s="1">
        <v>4.0</v>
      </c>
      <c r="B9230" s="1" t="s">
        <v>9157</v>
      </c>
      <c r="C9230" t="str">
        <f>IFERROR(__xludf.DUMMYFUNCTION("GOOGLETRANSLATE(B9230, ""es"", ""en"")"),"Gift Good value for money")</f>
        <v>Gift Good value for money</v>
      </c>
    </row>
    <row r="9231">
      <c r="A9231" s="1">
        <v>4.0</v>
      </c>
      <c r="B9231" s="1" t="s">
        <v>9158</v>
      </c>
      <c r="C9231" t="str">
        <f>IFERROR(__xludf.DUMMYFUNCTION("GOOGLETRANSLATE(B9231, ""es"", ""en"")"),"Enter many outstanding Is good article")</f>
        <v>Enter many outstanding Is good article</v>
      </c>
    </row>
    <row r="9232">
      <c r="A9232" s="1">
        <v>4.0</v>
      </c>
      <c r="B9232" s="1" t="s">
        <v>9159</v>
      </c>
      <c r="C9232" t="str">
        <f>IFERROR(__xludf.DUMMYFUNCTION("GOOGLETRANSLATE(B9232, ""es"", ""en"")"),"They are super soft good good, you like everything has a comfortable but is q find it very narrow olgadas not say how lucky my foot is thin, I do not advise to a foot wide.")</f>
        <v>They are super soft good good, you like everything has a comfortable but is q find it very narrow olgadas not say how lucky my foot is thin, I do not advise to a foot wide.</v>
      </c>
    </row>
    <row r="9233">
      <c r="A9233" s="1">
        <v>5.0</v>
      </c>
      <c r="B9233" s="1" t="s">
        <v>9160</v>
      </c>
      <c r="C9233" t="str">
        <f>IFERROR(__xludf.DUMMYFUNCTION("GOOGLETRANSLATE(B9233, ""es"", ""en"")"),"Very good very good, fast, easy and convenient. It remains to their degree of precision why until now I still have not found that any detected counterfeit bill")</f>
        <v>Very good very good, fast, easy and convenient. It remains to their degree of precision why until now I still have not found that any detected counterfeit bill</v>
      </c>
    </row>
    <row r="9234">
      <c r="A9234" s="1">
        <v>5.0</v>
      </c>
      <c r="B9234" s="1" t="s">
        <v>9161</v>
      </c>
      <c r="C9234" t="str">
        <f>IFERROR(__xludf.DUMMYFUNCTION("GOOGLETRANSLATE(B9234, ""es"", ""en"")"),"Good buy at the moment If you are not originals, are very similar. Now, to see what last.")</f>
        <v>Good buy at the moment If you are not originals, are very similar. Now, to see what last.</v>
      </c>
    </row>
    <row r="9235">
      <c r="A9235" s="1">
        <v>5.0</v>
      </c>
      <c r="B9235" s="1" t="s">
        <v>9162</v>
      </c>
      <c r="C9235" t="str">
        <f>IFERROR(__xludf.DUMMYFUNCTION("GOOGLETRANSLATE(B9235, ""es"", ""en"")"),"nice watch very good product, the area is large, it is very nice, delivered on schedule, all right, the colors are pictured as they come")</f>
        <v>nice watch very good product, the area is large, it is very nice, delivered on schedule, all right, the colors are pictured as they come</v>
      </c>
    </row>
    <row r="9236">
      <c r="A9236" s="1">
        <v>5.0</v>
      </c>
      <c r="B9236" s="1" t="s">
        <v>9163</v>
      </c>
      <c r="C9236" t="str">
        <f>IFERROR(__xludf.DUMMYFUNCTION("GOOGLETRANSLATE(B9236, ""es"", ""en"")"),"Very good Perfect Product")</f>
        <v>Very good Perfect Product</v>
      </c>
    </row>
    <row r="9237">
      <c r="A9237" s="1">
        <v>5.0</v>
      </c>
      <c r="B9237" s="1" t="s">
        <v>9164</v>
      </c>
      <c r="C9237" t="str">
        <f>IFERROR(__xludf.DUMMYFUNCTION("GOOGLETRANSLATE(B9237, ""es"", ""en"")"),"Good shoes good shoes at a good price")</f>
        <v>Good shoes good shoes at a good price</v>
      </c>
    </row>
    <row r="9238">
      <c r="A9238" s="1">
        <v>5.0</v>
      </c>
      <c r="B9238" s="1" t="s">
        <v>9165</v>
      </c>
      <c r="C9238" t="str">
        <f>IFERROR(__xludf.DUMMYFUNCTION("GOOGLETRANSLATE(B9238, ""es"", ""en"")"),"Pedro South Africa is very nice and came fairly quickly. Only the color is a little different from the photo. Still, I recommend it 100%. It seems that is best for you like swimming in the deep.")</f>
        <v>Pedro South Africa is very nice and came fairly quickly. Only the color is a little different from the photo. Still, I recommend it 100%. It seems that is best for you like swimming in the deep.</v>
      </c>
    </row>
    <row r="9239">
      <c r="A9239" s="1">
        <v>5.0</v>
      </c>
      <c r="B9239" s="1" t="s">
        <v>9166</v>
      </c>
      <c r="C9239" t="str">
        <f>IFERROR(__xludf.DUMMYFUNCTION("GOOGLETRANSLATE(B9239, ""es"", ""en"")"),"Super good! They have surprised me a lot, easy synchronization with iPhone and iPad, very good quality for movies and series, great for sports, I have small and do not fall off me ear, are perfect.")</f>
        <v>Super good! They have surprised me a lot, easy synchronization with iPhone and iPad, very good quality for movies and series, great for sports, I have small and do not fall off me ear, are perfect.</v>
      </c>
    </row>
    <row r="9240">
      <c r="A9240" s="1">
        <v>5.0</v>
      </c>
      <c r="B9240" s="1" t="s">
        <v>9167</v>
      </c>
      <c r="C9240" t="str">
        <f>IFERROR(__xludf.DUMMYFUNCTION("GOOGLETRANSLATE(B9240, ""es"", ""en"")"),"And am like a glove user Asics Gel Nimbus with 19, and if they go well why change? 21 are perfect.")</f>
        <v>And am like a glove user Asics Gel Nimbus with 19, and if they go well why change? 21 are perfect.</v>
      </c>
    </row>
    <row r="9241">
      <c r="A9241" s="1">
        <v>5.0</v>
      </c>
      <c r="B9241" s="1" t="s">
        <v>9168</v>
      </c>
      <c r="C9241" t="str">
        <f>IFERROR(__xludf.DUMMYFUNCTION("GOOGLETRANSLATE(B9241, ""es"", ""en"")"),"Good product Great mixer, powerful and practical")</f>
        <v>Good product Great mixer, powerful and practical</v>
      </c>
    </row>
    <row r="9242">
      <c r="A9242" s="1">
        <v>5.0</v>
      </c>
      <c r="B9242" s="1" t="s">
        <v>9169</v>
      </c>
      <c r="C9242" t="str">
        <f>IFERROR(__xludf.DUMMYFUNCTION("GOOGLETRANSLATE(B9242, ""es"", ""en"")"),"Very good I watch arrived at the estimated time and in perfect condition, looks perfectly that it is original. Cassius're never wrong. It is a very nice and original watch.")</f>
        <v>Very good I watch arrived at the estimated time and in perfect condition, looks perfectly that it is original. Cassius're never wrong. It is a very nice and original watch.</v>
      </c>
    </row>
    <row r="9243">
      <c r="A9243" s="1">
        <v>5.0</v>
      </c>
      <c r="B9243" s="1" t="s">
        <v>9170</v>
      </c>
      <c r="C9243" t="str">
        <f>IFERROR(__xludf.DUMMYFUNCTION("GOOGLETRANSLATE(B9243, ""es"", ""en"")"),"Comfort Very comfortable and very good subject. Since the first time I tried this brand have not returned to use another")</f>
        <v>Comfort Very comfortable and very good subject. Since the first time I tried this brand have not returned to use another</v>
      </c>
    </row>
    <row r="9244">
      <c r="A9244" s="1">
        <v>5.0</v>
      </c>
      <c r="B9244" s="1" t="s">
        <v>9171</v>
      </c>
      <c r="C9244" t="str">
        <f>IFERROR(__xludf.DUMMYFUNCTION("GOOGLETRANSLATE(B9244, ""es"", ""en"")"),"The quality of the album and the accessories that come in I am a girl who loves traveling me and I'm gathering my best trips and leaving a mark on each album in the future to remember and those moments deserve, I decided on this album because I saw that i"&amp;"t was quite full, have small scissors, adhesive tapes, stickers, makes the album remains more fun, the leaves inside are black, it gives a more elegant touch to the album, now I can only decide which of my trips made will reflected on this album, good qua"&amp;"lity - price")</f>
        <v>The quality of the album and the accessories that come in I am a girl who loves traveling me and I'm gathering my best trips and leaving a mark on each album in the future to remember and those moments deserve, I decided on this album because I saw that it was quite full, have small scissors, adhesive tapes, stickers, makes the album remains more fun, the leaves inside are black, it gives a more elegant touch to the album, now I can only decide which of my trips made will reflected on this album, good quality - price</v>
      </c>
    </row>
    <row r="9245">
      <c r="A9245" s="1">
        <v>5.0</v>
      </c>
      <c r="B9245" s="1" t="s">
        <v>9172</v>
      </c>
      <c r="C9245" t="str">
        <f>IFERROR(__xludf.DUMMYFUNCTION("GOOGLETRANSLATE(B9245, ""es"", ""en"")"),"Quality and price. It looks good, but you have to take a number or a half because it gives a lot of size.")</f>
        <v>Quality and price. It looks good, but you have to take a number or a half because it gives a lot of size.</v>
      </c>
    </row>
    <row r="9246">
      <c r="A9246" s="1">
        <v>5.0</v>
      </c>
      <c r="B9246" s="1" t="s">
        <v>9173</v>
      </c>
      <c r="C9246" t="str">
        <f>IFERROR(__xludf.DUMMYFUNCTION("GOOGLETRANSLATE(B9246, ""es"", ""en"")"),"It fits nicely Buy headphones for sports, and the truth is that very well and always had problems with adapting to the ear and the truth is that I have no complaints at all well")</f>
        <v>It fits nicely Buy headphones for sports, and the truth is that very well and always had problems with adapting to the ear and the truth is that I have no complaints at all well</v>
      </c>
    </row>
    <row r="9247">
      <c r="A9247" s="1">
        <v>5.0</v>
      </c>
      <c r="B9247" s="1" t="s">
        <v>9174</v>
      </c>
      <c r="C9247" t="str">
        <f>IFERROR(__xludf.DUMMYFUNCTION("GOOGLETRANSLATE(B9247, ""es"", ""en"")"),"Lightweight and comfortable The sound of these headphones is good in the case of a Bluetooth headset and although not what is indicated is its scope, not stutter even if we turn away a few meters from the device, this is partly because it uses a Bluetooth"&amp;" version 5.0. Are comfortable, they do not weigh almost nothing and do not fall or move to the movements or tilt the head. It has pads in three different sizes. We can do sports with them, like jogging. Both headsets allow us to control the volume, pause "&amp;"music or answer and hang up a call. The charging time of headphones is approximately one hour. The instructions we are told that we use a charger for charging less than 5V / 2A. You have to be careful because the mobile phone chargers and tablets today if"&amp;" not all, most often of that power. We can always load connecting them to the USB port of your computer. The metal box that brings and we can perform three loads, is small and light, so it fits anywhere to take.")</f>
        <v>Lightweight and comfortable The sound of these headphones is good in the case of a Bluetooth headset and although not what is indicated is its scope, not stutter even if we turn away a few meters from the device, this is partly because it uses a Bluetooth version 5.0. Are comfortable, they do not weigh almost nothing and do not fall or move to the movements or tilt the head. It has pads in three different sizes. We can do sports with them, like jogging. Both headsets allow us to control the volume, pause music or answer and hang up a call. The charging time of headphones is approximately one hour. The instructions we are told that we use a charger for charging less than 5V / 2A. You have to be careful because the mobile phone chargers and tablets today if not all, most often of that power. We can always load connecting them to the USB port of your computer. The metal box that brings and we can perform three loads, is small and light, so it fits anywhere to take.</v>
      </c>
    </row>
    <row r="9248">
      <c r="A9248" s="1">
        <v>5.0</v>
      </c>
      <c r="B9248" s="1" t="s">
        <v>9175</v>
      </c>
      <c r="C9248" t="str">
        <f>IFERROR(__xludf.DUMMYFUNCTION("GOOGLETRANSLATE(B9248, ""es"", ""en"")"),"As my son Sweatshirt expected youthful as pictured fits perfect size grabbed her using money usually very good we repeated in another color.")</f>
        <v>As my son Sweatshirt expected youthful as pictured fits perfect size grabbed her using money usually very good we repeated in another color.</v>
      </c>
    </row>
    <row r="9249">
      <c r="A9249" s="1">
        <v>5.0</v>
      </c>
      <c r="B9249" s="1" t="s">
        <v>9176</v>
      </c>
      <c r="C9249" t="str">
        <f>IFERROR(__xludf.DUMMYFUNCTION("GOOGLETRANSLATE(B9249, ""es"", ""en"")"),"It came fast very nice, it's nice and cheap. All perfect")</f>
        <v>It came fast very nice, it's nice and cheap. All perfect</v>
      </c>
    </row>
    <row r="9250">
      <c r="A9250" s="1">
        <v>5.0</v>
      </c>
      <c r="B9250" s="1" t="s">
        <v>9177</v>
      </c>
      <c r="C9250" t="str">
        <f>IFERROR(__xludf.DUMMYFUNCTION("GOOGLETRANSLATE(B9250, ""es"", ""en"")"),"Perfect all right. Shoes for my daughter which I have saved something about physical store. They are original. I've looked through different videos where you compare original and fake, and certainly are original.")</f>
        <v>Perfect all right. Shoes for my daughter which I have saved something about physical store. They are original. I've looked through different videos where you compare original and fake, and certainly are original.</v>
      </c>
    </row>
    <row r="9251">
      <c r="A9251" s="1">
        <v>2.0</v>
      </c>
      <c r="B9251" s="1" t="s">
        <v>9178</v>
      </c>
      <c r="C9251" t="str">
        <f>IFERROR(__xludf.DUMMYFUNCTION("GOOGLETRANSLATE(B9251, ""es"", ""en"")"),"The quality I like and I are fine, but the first day of colocarmelos peeled a bit in the back. They are very cheap shoes so that the quality is so bad")</f>
        <v>The quality I like and I are fine, but the first day of colocarmelos peeled a bit in the back. They are very cheap shoes so that the quality is so bad</v>
      </c>
    </row>
    <row r="9252">
      <c r="A9252" s="1">
        <v>3.0</v>
      </c>
      <c r="B9252" s="1" t="s">
        <v>9179</v>
      </c>
      <c r="C9252" t="str">
        <f>IFERROR(__xludf.DUMMYFUNCTION("GOOGLETRANSLATE(B9252, ""es"", ""en"")"),"It does not fit No fit well to the table 80 and is very fine, to the turn around is released from the stretcher")</f>
        <v>It does not fit No fit well to the table 80 and is very fine, to the turn around is released from the stretcher</v>
      </c>
    </row>
    <row r="9253">
      <c r="A9253" s="1">
        <v>3.0</v>
      </c>
      <c r="B9253" s="1" t="s">
        <v>9180</v>
      </c>
      <c r="C9253" t="str">
        <f>IFERROR(__xludf.DUMMYFUNCTION("GOOGLETRANSLATE(B9253, ""es"", ""en"")"),"Quality / normal price I bought them to sleep with them and go well. I bought to the absence of the Sennheiser CX 150 model were those who had and they are much better at all. They are fine but the next look for another alternative. Yes, the color is beau"&amp;"tiful.")</f>
        <v>Quality / normal price I bought them to sleep with them and go well. I bought to the absence of the Sennheiser CX 150 model were those who had and they are much better at all. They are fine but the next look for another alternative. Yes, the color is beautiful.</v>
      </c>
    </row>
    <row r="9254">
      <c r="A9254" s="1">
        <v>1.0</v>
      </c>
      <c r="B9254" s="1" t="s">
        <v>9181</v>
      </c>
      <c r="C9254" t="str">
        <f>IFERROR(__xludf.DUMMYFUNCTION("GOOGLETRANSLATE(B9254, ""es"", ""en"")"),"Uncomfortable Very uncomfortable for sewing with up to the ankle.")</f>
        <v>Uncomfortable Very uncomfortable for sewing with up to the ankle.</v>
      </c>
    </row>
    <row r="9255">
      <c r="A9255" s="1">
        <v>1.0</v>
      </c>
      <c r="B9255" s="1" t="s">
        <v>9182</v>
      </c>
      <c r="C9255" t="str">
        <f>IFERROR(__xludf.DUMMYFUNCTION("GOOGLETRANSLATE(B9255, ""es"", ""en"")"),"very badly broken wine take long and brush pa is not worth pinipon not to look")</f>
        <v>very badly broken wine take long and brush pa is not worth pinipon not to look</v>
      </c>
    </row>
    <row r="9256">
      <c r="A9256" s="1">
        <v>1.0</v>
      </c>
      <c r="B9256" s="1" t="s">
        <v>9183</v>
      </c>
      <c r="C9256" t="str">
        <f>IFERROR(__xludf.DUMMYFUNCTION("GOOGLETRANSLATE(B9256, ""es"", ""en"")"),"Buy half will not work because the 30 was going to need .... I failed three on the second box cogi, and now that I took the third box I was missing not go more than uno.UN disaster !!")</f>
        <v>Buy half will not work because the 30 was going to need .... I failed three on the second box cogi, and now that I took the third box I was missing not go more than uno.UN disaster !!</v>
      </c>
    </row>
    <row r="9257">
      <c r="A9257" s="1">
        <v>4.0</v>
      </c>
      <c r="B9257" s="1" t="s">
        <v>9184</v>
      </c>
      <c r="C9257" t="str">
        <f>IFERROR(__xludf.DUMMYFUNCTION("GOOGLETRANSLATE(B9257, ""es"", ""en"")"),"Good product good product suited to what I expected ... I asked thinking it was poor quality but I was wrong ... it's perfect")</f>
        <v>Good product good product suited to what I expected ... I asked thinking it was poor quality but I was wrong ... it's perfect</v>
      </c>
    </row>
    <row r="9258">
      <c r="A9258" s="1">
        <v>4.0</v>
      </c>
      <c r="B9258" s="1" t="s">
        <v>9185</v>
      </c>
      <c r="C9258" t="str">
        <f>IFERROR(__xludf.DUMMYFUNCTION("GOOGLETRANSLATE(B9258, ""es"", ""en"")"),"Very nice and comfortable I left a little loose but not great, I prefer that I have as 39.5, or sometimes I do well sometimes 39 and 40 depending on the shoe. 40. I hope right up buying it useful when buying Convers for people with this problem. Otherwise"&amp;" very happy.")</f>
        <v>Very nice and comfortable I left a little loose but not great, I prefer that I have as 39.5, or sometimes I do well sometimes 39 and 40 depending on the shoe. 40. I hope right up buying it useful when buying Convers for people with this problem. Otherwise very happy.</v>
      </c>
    </row>
    <row r="9259">
      <c r="A9259" s="1">
        <v>4.0</v>
      </c>
      <c r="B9259" s="1" t="s">
        <v>9186</v>
      </c>
      <c r="C9259" t="str">
        <f>IFERROR(__xludf.DUMMYFUNCTION("GOOGLETRANSLATE(B9259, ""es"", ""en"")"),"Ok everything is correct. They are held perfectly and not overtightened")</f>
        <v>Ok everything is correct. They are held perfectly and not overtightened</v>
      </c>
    </row>
    <row r="9260">
      <c r="A9260" s="1">
        <v>4.0</v>
      </c>
      <c r="B9260" s="1" t="s">
        <v>9187</v>
      </c>
      <c r="C9260" t="str">
        <f>IFERROR(__xludf.DUMMYFUNCTION("GOOGLETRANSLATE(B9260, ""es"", ""en"")"),"Power I tried the ice, but for fruit smoothies is great !!")</f>
        <v>Power I tried the ice, but for fruit smoothies is great !!</v>
      </c>
    </row>
    <row r="9261">
      <c r="A9261" s="1">
        <v>5.0</v>
      </c>
      <c r="B9261" s="1" t="s">
        <v>9188</v>
      </c>
      <c r="C9261" t="str">
        <f>IFERROR(__xludf.DUMMYFUNCTION("GOOGLETRANSLATE(B9261, ""es"", ""en"")"),"It is very nice as expected")</f>
        <v>It is very nice as expected</v>
      </c>
    </row>
    <row r="9262">
      <c r="A9262" s="1">
        <v>5.0</v>
      </c>
      <c r="B9262" s="1" t="s">
        <v>9189</v>
      </c>
      <c r="C9262" t="str">
        <f>IFERROR(__xludf.DUMMYFUNCTION("GOOGLETRANSLATE(B9262, ""es"", ""en"")"),"Termo perfect Aguanta hot water all night without problem. We cold have not tried. We have it in bottles for comfortable night without going to the kitchen and to the street all perfect. Not out water. The only thing is that there is only pink and blue, l"&amp;"ike everything, pink or blue ... But good. And that can only be 500ml, having twins is scarce.")</f>
        <v>Termo perfect Aguanta hot water all night without problem. We cold have not tried. We have it in bottles for comfortable night without going to the kitchen and to the street all perfect. Not out water. The only thing is that there is only pink and blue, like everything, pink or blue ... But good. And that can only be 500ml, having twins is scarce.</v>
      </c>
    </row>
    <row r="9263">
      <c r="A9263" s="1">
        <v>5.0</v>
      </c>
      <c r="B9263" s="1" t="s">
        <v>9190</v>
      </c>
      <c r="C9263" t="str">
        <f>IFERROR(__xludf.DUMMYFUNCTION("GOOGLETRANSLATE(B9263, ""es"", ""en"")"),"Pack bags absorbs odors looking for a solution to bad odors cabinets and so decided to try this product. It is a 6 pack linen bags in its brings inner active carbon, being a completely natural without toxicant. The product does not smell like anything, it"&amp;" was what I wanted, and I must say that the second day already noticed that the closet opening no musty or strange odor. I placed one in each cabinet home and we are happy that at the opening, or smells bad, nor artificial smells like air freshener that w"&amp;"as what happened to us before. I placed a bag in the trunk of the car and climb it to the atmosphere less stuffy odor is noticed. Happy with the result.")</f>
        <v>Pack bags absorbs odors looking for a solution to bad odors cabinets and so decided to try this product. It is a 6 pack linen bags in its brings inner active carbon, being a completely natural without toxicant. The product does not smell like anything, it was what I wanted, and I must say that the second day already noticed that the closet opening no musty or strange odor. I placed one in each cabinet home and we are happy that at the opening, or smells bad, nor artificial smells like air freshener that was what happened to us before. I placed a bag in the trunk of the car and climb it to the atmosphere less stuffy odor is noticed. Happy with the result.</v>
      </c>
    </row>
    <row r="9264">
      <c r="A9264" s="1">
        <v>5.0</v>
      </c>
      <c r="B9264" s="1" t="s">
        <v>9191</v>
      </c>
      <c r="C9264" t="str">
        <f>IFERROR(__xludf.DUMMYFUNCTION("GOOGLETRANSLATE(B9264, ""es"", ""en"")"),"Very comfortable I've given this 5 stars because I think it is a quality product according to its price. Helmets come in a round zippered and hard to carry both bags, pockets, etc .... plus also brings a difefente gums and size spare to fit your ears, it "&amp;"also brings the cable to be loaded, it note that is charged 100% in just 2 hours and lasts music listening to 8 hours. The first time you switch it on very easily paired with your device either a smartphone, tablet, .... It is very comfortable to wear bec"&amp;"ause neither you find out that you put on the ears, down the street, playing sports .. . and it is resistant to sweat and water. It also serves as a handsfree if you receive a call you can answer because it has built-in microphone, I've tried and hear aud"&amp;"io and hear me very well. In defintiva, good product, I am very happy.")</f>
        <v>Very comfortable I've given this 5 stars because I think it is a quality product according to its price. Helmets come in a round zippered and hard to carry both bags, pockets, etc .... plus also brings a difefente gums and size spare to fit your ears, it also brings the cable to be loaded, it note that is charged 100% in just 2 hours and lasts music listening to 8 hours. The first time you switch it on very easily paired with your device either a smartphone, tablet, .... It is very comfortable to wear because neither you find out that you put on the ears, down the street, playing sports .. . and it is resistant to sweat and water. It also serves as a handsfree if you receive a call you can answer because it has built-in microphone, I've tried and hear audio and hear me very well. In defintiva, good product, I am very happy.</v>
      </c>
    </row>
    <row r="9265">
      <c r="A9265" s="1">
        <v>5.0</v>
      </c>
      <c r="B9265" s="1" t="s">
        <v>9192</v>
      </c>
      <c r="C9265" t="str">
        <f>IFERROR(__xludf.DUMMYFUNCTION("GOOGLETRANSLATE(B9265, ""es"", ""en"")"),"Excellent stapler metal body, intense but sober color at the same time elegance in its black head and a stapling mechanism gentle but powerful. I can only say that I am delighted with this product that, within what is, provides additional aesthetic and wo"&amp;"nderful functionality. Very satisfied.")</f>
        <v>Excellent stapler metal body, intense but sober color at the same time elegance in its black head and a stapling mechanism gentle but powerful. I can only say that I am delighted with this product that, within what is, provides additional aesthetic and wonderful functionality. Very satisfied.</v>
      </c>
    </row>
    <row r="9266">
      <c r="A9266" s="1">
        <v>5.0</v>
      </c>
      <c r="B9266" s="1" t="s">
        <v>9193</v>
      </c>
      <c r="C9266" t="str">
        <f>IFERROR(__xludf.DUMMYFUNCTION("GOOGLETRANSLATE(B9266, ""es"", ""en"")"),"It is a quality product. The brand does not guarantee. The great price. No objection. It is a quality product. The brand does not guarantee. The great price. No objection. Highly recommended for prospective buyers.")</f>
        <v>It is a quality product. The brand does not guarantee. The great price. No objection. It is a quality product. The brand does not guarantee. The great price. No objection. Highly recommended for prospective buyers.</v>
      </c>
    </row>
    <row r="9267">
      <c r="A9267" s="1">
        <v>5.0</v>
      </c>
      <c r="B9267" s="1" t="s">
        <v>9194</v>
      </c>
      <c r="C9267" t="str">
        <f>IFERROR(__xludf.DUMMYFUNCTION("GOOGLETRANSLATE(B9267, ""es"", ""en"")"),"Ask for a size greater than yours ask for a bigger size ... and it means notifies the manufacturer ... As for the rest good value for money and well")</f>
        <v>Ask for a size greater than yours ask for a bigger size ... and it means notifies the manufacturer ... As for the rest good value for money and well</v>
      </c>
    </row>
    <row r="9268">
      <c r="A9268" s="1">
        <v>5.0</v>
      </c>
      <c r="B9268" s="1" t="s">
        <v>9195</v>
      </c>
      <c r="C9268" t="str">
        <f>IFERROR(__xludf.DUMMYFUNCTION("GOOGLETRANSLATE(B9268, ""es"", ""en"")"),"Sound Good product. Having gone to the washing machine by mistake, still working perfectly.")</f>
        <v>Sound Good product. Having gone to the washing machine by mistake, still working perfectly.</v>
      </c>
    </row>
    <row r="9269">
      <c r="A9269" s="1">
        <v>5.0</v>
      </c>
      <c r="B9269" s="1" t="s">
        <v>9196</v>
      </c>
      <c r="C9269" t="str">
        <f>IFERROR(__xludf.DUMMYFUNCTION("GOOGLETRANSLATE(B9269, ""es"", ""en"")"),"THE BEST OF THE WORLD MAYONNAISE 10 seconds I love, to me has come out great first mayonnaise. The rest no objection ... Pica VERDURAS IF YOU KNOW WELL UTILZIARLO gives good results")</f>
        <v>THE BEST OF THE WORLD MAYONNAISE 10 seconds I love, to me has come out great first mayonnaise. The rest no objection ... Pica VERDURAS IF YOU KNOW WELL UTILZIARLO gives good results</v>
      </c>
    </row>
    <row r="9270">
      <c r="A9270" s="1">
        <v>5.0</v>
      </c>
      <c r="B9270" s="1" t="s">
        <v>9197</v>
      </c>
      <c r="C9270" t="str">
        <f>IFERROR(__xludf.DUMMYFUNCTION("GOOGLETRANSLATE(B9270, ""es"", ""en"")"),"To top super sports")</f>
        <v>To top super sports</v>
      </c>
    </row>
    <row r="9271">
      <c r="A9271" s="1">
        <v>5.0</v>
      </c>
      <c r="B9271" s="1" t="s">
        <v>9198</v>
      </c>
      <c r="C9271" t="str">
        <f>IFERROR(__xludf.DUMMYFUNCTION("GOOGLETRANSLATE(B9271, ""es"", ""en"")"),"How easy it is applied Very good product")</f>
        <v>How easy it is applied Very good product</v>
      </c>
    </row>
    <row r="9272">
      <c r="A9272" s="1">
        <v>5.0</v>
      </c>
      <c r="B9272" s="1" t="s">
        <v>9199</v>
      </c>
      <c r="C9272" t="str">
        <f>IFERROR(__xludf.DUMMYFUNCTION("GOOGLETRANSLATE(B9272, ""es"", ""en"")"),"Good product good product. It makes its function. It is compatible with micro video Rodec pro Rycote mic. Aunq recommend buying your product is expensive.")</f>
        <v>Good product good product. It makes its function. It is compatible with micro video Rodec pro Rycote mic. Aunq recommend buying your product is expensive.</v>
      </c>
    </row>
    <row r="9273">
      <c r="A9273" s="1">
        <v>5.0</v>
      </c>
      <c r="B9273" s="1" t="s">
        <v>9200</v>
      </c>
      <c r="C9273" t="str">
        <f>IFERROR(__xludf.DUMMYFUNCTION("GOOGLETRANSLATE(B9273, ""es"", ""en"")"),"Nice bracelet, nice bracelet and pretty price, and nice price")</f>
        <v>Nice bracelet, nice bracelet and pretty price, and nice price</v>
      </c>
    </row>
    <row r="9274">
      <c r="A9274" s="1">
        <v>5.0</v>
      </c>
      <c r="B9274" s="1" t="s">
        <v>9201</v>
      </c>
      <c r="C9274" t="str">
        <f>IFERROR(__xludf.DUMMYFUNCTION("GOOGLETRANSLATE(B9274, ""es"", ""en"")"),"I loved it! I loved both the design that is most precious ... like everything else that comes with remote I feel great and comfy truth !! It is also very decorative! Is well where you put !! It was a gift for my mother and she also loved it.")</f>
        <v>I loved it! I loved both the design that is most precious ... like everything else that comes with remote I feel great and comfy truth !! It is also very decorative! Is well where you put !! It was a gift for my mother and she also loved it.</v>
      </c>
    </row>
    <row r="9275">
      <c r="A9275" s="1">
        <v>5.0</v>
      </c>
      <c r="B9275" s="1" t="s">
        <v>9202</v>
      </c>
      <c r="C9275" t="str">
        <f>IFERROR(__xludf.DUMMYFUNCTION("GOOGLETRANSLATE(B9275, ""es"", ""en"")"),"Ok Comfortable and well suited for walking")</f>
        <v>Ok Comfortable and well suited for walking</v>
      </c>
    </row>
    <row r="9276">
      <c r="A9276" s="1">
        <v>5.0</v>
      </c>
      <c r="B9276" s="1" t="s">
        <v>9203</v>
      </c>
      <c r="C9276" t="str">
        <f>IFERROR(__xludf.DUMMYFUNCTION("GOOGLETRANSLATE(B9276, ""es"", ""en"")"),"I rectify the bad opinion I gave. I made a first request for these headphones, very cool and very comfortable for children (they are heavily padded). But they quickly broke down. It stopped working one side. Contact the seller explaining the problem and s"&amp;"ent me other immediately. I was not even asked to return the first. Perfect work now (hopefully last).")</f>
        <v>I rectify the bad opinion I gave. I made a first request for these headphones, very cool and very comfortable for children (they are heavily padded). But they quickly broke down. It stopped working one side. Contact the seller explaining the problem and sent me other immediately. I was not even asked to return the first. Perfect work now (hopefully last).</v>
      </c>
    </row>
    <row r="9277">
      <c r="A9277" s="1">
        <v>5.0</v>
      </c>
      <c r="B9277" s="1" t="s">
        <v>9204</v>
      </c>
      <c r="C9277" t="str">
        <f>IFERROR(__xludf.DUMMYFUNCTION("GOOGLETRANSLATE(B9277, ""es"", ""en"")"),"much more handsome with gorgeous natural than the picture. They are a wonderful detail to baptism. You can put in candy and gumdrops or are very cool.")</f>
        <v>much more handsome with gorgeous natural than the picture. They are a wonderful detail to baptism. You can put in candy and gumdrops or are very cool.</v>
      </c>
    </row>
    <row r="9278">
      <c r="A9278" s="1">
        <v>5.0</v>
      </c>
      <c r="B9278" s="1" t="s">
        <v>9205</v>
      </c>
      <c r="C9278" t="str">
        <f>IFERROR(__xludf.DUMMYFUNCTION("GOOGLETRANSLATE(B9278, ""es"", ""en"")"),"Good watch good watch.")</f>
        <v>Good watch good watch.</v>
      </c>
    </row>
    <row r="9279">
      <c r="A9279" s="1">
        <v>5.0</v>
      </c>
      <c r="B9279" s="1" t="s">
        <v>9206</v>
      </c>
      <c r="C9279" t="str">
        <f>IFERROR(__xludf.DUMMYFUNCTION("GOOGLETRANSLATE(B9279, ""es"", ""en"")"),"Electronic drill brushes These brushes are fine for many things. For rims serve the great car but for many other things too.")</f>
        <v>Electronic drill brushes These brushes are fine for many things. For rims serve the great car but for many other things too.</v>
      </c>
    </row>
    <row r="9280">
      <c r="A9280" s="1">
        <v>2.0</v>
      </c>
      <c r="B9280" s="1" t="s">
        <v>9207</v>
      </c>
      <c r="C9280" t="str">
        <f>IFERROR(__xludf.DUMMYFUNCTION("GOOGLETRANSLATE(B9280, ""es"", ""en"")"),"No product corresponds to the description to this product believing it color 'black' according description. I received the item in blue as shown in the image. What to raw image or description ....? Cheers")</f>
        <v>No product corresponds to the description to this product believing it color 'black' according description. I received the item in blue as shown in the image. What to raw image or description ....? Cheers</v>
      </c>
    </row>
    <row r="9281">
      <c r="A9281" s="1">
        <v>3.0</v>
      </c>
      <c r="B9281" s="1" t="s">
        <v>9208</v>
      </c>
      <c r="C9281" t="str">
        <f>IFERROR(__xludf.DUMMYFUNCTION("GOOGLETRANSLATE(B9281, ""es"", ""en"")"),"I would not buy. No pays off. fabric breaks very easily which is hooked command.")</f>
        <v>I would not buy. No pays off. fabric breaks very easily which is hooked command.</v>
      </c>
    </row>
    <row r="9282">
      <c r="A9282" s="1">
        <v>3.0</v>
      </c>
      <c r="B9282" s="1" t="s">
        <v>9209</v>
      </c>
      <c r="C9282" t="str">
        <f>IFERROR(__xludf.DUMMYFUNCTION("GOOGLETRANSLATE(B9282, ""es"", ""en"")"),"Small sized The size considerably smaller than indicated. Very good quality. Shame not to order another to the same price for the offer to be over flash")</f>
        <v>Small sized The size considerably smaller than indicated. Very good quality. Shame not to order another to the same price for the offer to be over flash</v>
      </c>
    </row>
    <row r="9283">
      <c r="A9283" s="1">
        <v>1.0</v>
      </c>
      <c r="B9283" s="1" t="s">
        <v>9210</v>
      </c>
      <c r="C9283" t="str">
        <f>IFERROR(__xludf.DUMMYFUNCTION("GOOGLETRANSLATE(B9283, ""es"", ""en"")"),"Rare, looks better in the photo would not buy, quality does not fit what I expected")</f>
        <v>Rare, looks better in the photo would not buy, quality does not fit what I expected</v>
      </c>
    </row>
    <row r="9284">
      <c r="A9284" s="1">
        <v>4.0</v>
      </c>
      <c r="B9284" s="1" t="s">
        <v>9211</v>
      </c>
      <c r="C9284" t="str">
        <f>IFERROR(__xludf.DUMMYFUNCTION("GOOGLETRANSLATE(B9284, ""es"", ""en"")"),"Good buy good buy, easy to use")</f>
        <v>Good buy good buy, easy to use</v>
      </c>
    </row>
    <row r="9285">
      <c r="A9285" s="1">
        <v>4.0</v>
      </c>
      <c r="B9285" s="1" t="s">
        <v>9212</v>
      </c>
      <c r="C9285" t="str">
        <f>IFERROR(__xludf.DUMMYFUNCTION("GOOGLETRANSLATE(B9285, ""es"", ""en"")"),"Value very good My intention was not to seek a professional cable high performance and price, if not something that, despite economic being, I do not give noise problems and would fit well in all connections and was well done. This cable meets perfectly t"&amp;"he two premises. conforms to my interface, my ID and my electric guitar to perfection. The issue of noise I can not judge as I would like, since, despite going smoothly in my electric guitar, acoustic guitar in my notice some noise. I can assure it of the"&amp;" cable, since I changed the run recently and could be that does not correspond well. Given that it has not given me problems connected to anything else, I doubt the problem is cable, but hey, I'll leave.")</f>
        <v>Value very good My intention was not to seek a professional cable high performance and price, if not something that, despite economic being, I do not give noise problems and would fit well in all connections and was well done. This cable meets perfectly the two premises. conforms to my interface, my ID and my electric guitar to perfection. The issue of noise I can not judge as I would like, since, despite going smoothly in my electric guitar, acoustic guitar in my notice some noise. I can assure it of the cable, since I changed the run recently and could be that does not correspond well. Given that it has not given me problems connected to anything else, I doubt the problem is cable, but hey, I'll leave.</v>
      </c>
    </row>
    <row r="9286">
      <c r="A9286" s="1">
        <v>4.0</v>
      </c>
      <c r="B9286" s="1" t="s">
        <v>9213</v>
      </c>
      <c r="C9286" t="str">
        <f>IFERROR(__xludf.DUMMYFUNCTION("GOOGLETRANSLATE(B9286, ""es"", ""en"")"),"I like the design right is bantante soft touch and very comfortable.")</f>
        <v>I like the design right is bantante soft touch and very comfortable.</v>
      </c>
    </row>
    <row r="9287">
      <c r="A9287" s="1">
        <v>4.0</v>
      </c>
      <c r="B9287" s="1" t="s">
        <v>9214</v>
      </c>
      <c r="C9287" t="str">
        <f>IFERROR(__xludf.DUMMYFUNCTION("GOOGLETRANSLATE(B9287, ""es"", ""en"")"),"Meets perfectly. Employee in a move of about 70 boxes. Paste enough traction and resists enough. Do not expect a ribbon super-mega-plus, because it is not what is sought with the product. I have purchased 2 times, I recommend it.")</f>
        <v>Meets perfectly. Employee in a move of about 70 boxes. Paste enough traction and resists enough. Do not expect a ribbon super-mega-plus, because it is not what is sought with the product. I have purchased 2 times, I recommend it.</v>
      </c>
    </row>
    <row r="9288">
      <c r="A9288" s="1">
        <v>4.0</v>
      </c>
      <c r="B9288" s="1" t="s">
        <v>9215</v>
      </c>
      <c r="C9288" t="str">
        <f>IFERROR(__xludf.DUMMYFUNCTION("GOOGLETRANSLATE(B9288, ""es"", ""en"")"),"Perfect fits perfectly this very well.")</f>
        <v>Perfect fits perfectly this very well.</v>
      </c>
    </row>
    <row r="9289">
      <c r="A9289" s="1">
        <v>5.0</v>
      </c>
      <c r="B9289" s="1" t="s">
        <v>9216</v>
      </c>
      <c r="C9289" t="str">
        <f>IFERROR(__xludf.DUMMYFUNCTION("GOOGLETRANSLATE(B9289, ""es"", ""en"")"),"Very good quality product. The pad keyboard a little high, not very flat keyboards. Of the mouse very well")</f>
        <v>Very good quality product. The pad keyboard a little high, not very flat keyboards. Of the mouse very well</v>
      </c>
    </row>
    <row r="9290">
      <c r="A9290" s="1">
        <v>5.0</v>
      </c>
      <c r="B9290" s="1" t="s">
        <v>9217</v>
      </c>
      <c r="C9290" t="str">
        <f>IFERROR(__xludf.DUMMYFUNCTION("GOOGLETRANSLATE(B9290, ""es"", ""en"")"),"Perfect for the gym These headphones are perfect for the gym. And saw people take and the truth is they are super cool. The good thing about cable is not necessary to match them and you are not going to lose ever, also does not bother because the cable go"&amp;"es behind the neck, and no hooks. A luxury, and also cheap.")</f>
        <v>Perfect for the gym These headphones are perfect for the gym. And saw people take and the truth is they are super cool. The good thing about cable is not necessary to match them and you are not going to lose ever, also does not bother because the cable goes behind the neck, and no hooks. A luxury, and also cheap.</v>
      </c>
    </row>
    <row r="9291">
      <c r="A9291" s="1">
        <v>5.0</v>
      </c>
      <c r="B9291" s="1" t="s">
        <v>9218</v>
      </c>
      <c r="C9291" t="str">
        <f>IFERROR(__xludf.DUMMYFUNCTION("GOOGLETRANSLATE(B9291, ""es"", ""en"")"),"Perfect good buy, as seen in the images. They are thin but strong, perfectly fulfill their function. I recommend craft not intended to bear a burden of considerable weight.")</f>
        <v>Perfect good buy, as seen in the images. They are thin but strong, perfectly fulfill their function. I recommend craft not intended to bear a burden of considerable weight.</v>
      </c>
    </row>
    <row r="9292">
      <c r="A9292" s="1">
        <v>5.0</v>
      </c>
      <c r="B9292" s="1" t="s">
        <v>9219</v>
      </c>
      <c r="C9292" t="str">
        <f>IFERROR(__xludf.DUMMYFUNCTION("GOOGLETRANSLATE(B9292, ""es"", ""en"")"),"For details Special is a very nice box, assembly takes time but the result is very original and romantic, my partner liked more detail what the box contained ':)")</f>
        <v>For details Special is a very nice box, assembly takes time but the result is very original and romantic, my partner liked more detail what the box contained ':)</v>
      </c>
    </row>
    <row r="9293">
      <c r="A9293" s="1">
        <v>5.0</v>
      </c>
      <c r="B9293" s="1" t="s">
        <v>9220</v>
      </c>
      <c r="C9293" t="str">
        <f>IFERROR(__xludf.DUMMYFUNCTION("GOOGLETRANSLATE(B9293, ""es"", ""en"")"),"They are ideal for perfect live sound recording, which is the role to be played when bought")</f>
        <v>They are ideal for perfect live sound recording, which is the role to be played when bought</v>
      </c>
    </row>
    <row r="9294">
      <c r="A9294" s="1">
        <v>5.0</v>
      </c>
      <c r="B9294" s="1" t="s">
        <v>9221</v>
      </c>
      <c r="C9294" t="str">
        <f>IFERROR(__xludf.DUMMYFUNCTION("GOOGLETRANSLATE(B9294, ""es"", ""en"")"),"I'm not a good headphones sound expert but I know the kind of sound that I like. The truth is that the sound of any earphone, speaker ... depnediendo varies both of the player I do not think it helps much respect an opinion, but hey ... its serious Much h"&amp;"as been said and truth that has , but not sacrificael other tones. Treble are bright and crystalline. Very good sound and ultimately put them ahead of the Senheiser hd598 which are also good headphones, only a equalized once these are closer to the sound "&amp;"I want.")</f>
        <v>I'm not a good headphones sound expert but I know the kind of sound that I like. The truth is that the sound of any earphone, speaker ... depnediendo varies both of the player I do not think it helps much respect an opinion, but hey ... its serious Much has been said and truth that has , but not sacrificael other tones. Treble are bright and crystalline. Very good sound and ultimately put them ahead of the Senheiser hd598 which are also good headphones, only a equalized once these are closer to the sound I want.</v>
      </c>
    </row>
    <row r="9295">
      <c r="A9295" s="1">
        <v>5.0</v>
      </c>
      <c r="B9295" s="1" t="s">
        <v>9222</v>
      </c>
      <c r="C9295" t="str">
        <f>IFERROR(__xludf.DUMMYFUNCTION("GOOGLETRANSLATE(B9295, ""es"", ""en"")"),"Pandora original is great, original pandora, super nice and a clasp that closes perfectly and does not open. Worth paying a little more but have quality as it is a safe buy another bracelet ... it was a bit cheaper than other brand and had to return becau"&amp;"se the clasp opened and risked losing the charm")</f>
        <v>Pandora original is great, original pandora, super nice and a clasp that closes perfectly and does not open. Worth paying a little more but have quality as it is a safe buy another bracelet ... it was a bit cheaper than other brand and had to return because the clasp opened and risked losing the charm</v>
      </c>
    </row>
    <row r="9296">
      <c r="A9296" s="1">
        <v>5.0</v>
      </c>
      <c r="B9296" s="1" t="s">
        <v>9223</v>
      </c>
      <c r="C9296" t="str">
        <f>IFERROR(__xludf.DUMMYFUNCTION("GOOGLETRANSLATE(B9296, ""es"", ""en"")"),"Very good but noisy works very well but it would be better if they avoid vibration to reduce noise.")</f>
        <v>Very good but noisy works very well but it would be better if they avoid vibration to reduce noise.</v>
      </c>
    </row>
    <row r="9297">
      <c r="A9297" s="1">
        <v>5.0</v>
      </c>
      <c r="B9297" s="1" t="s">
        <v>9224</v>
      </c>
      <c r="C9297" t="str">
        <f>IFERROR(__xludf.DUMMYFUNCTION("GOOGLETRANSLATE(B9297, ""es"", ""en"")"),"I made a precious gift and happy ha. Very pretty")</f>
        <v>I made a precious gift and happy ha. Very pretty</v>
      </c>
    </row>
    <row r="9298">
      <c r="A9298" s="1">
        <v>5.0</v>
      </c>
      <c r="B9298" s="1" t="s">
        <v>9225</v>
      </c>
      <c r="C9298" t="str">
        <f>IFERROR(__xludf.DUMMYFUNCTION("GOOGLETRANSLATE(B9298, ""es"", ""en"")"),"I like so much great work. They are like the photo, all that if you're not very much to knead in the bowl rods do not reach down to the whole and to the end just doing it by hand like me ami past.")</f>
        <v>I like so much great work. They are like the photo, all that if you're not very much to knead in the bowl rods do not reach down to the whole and to the end just doing it by hand like me ami past.</v>
      </c>
    </row>
    <row r="9299">
      <c r="A9299" s="1">
        <v>5.0</v>
      </c>
      <c r="B9299" s="1" t="s">
        <v>9226</v>
      </c>
      <c r="C9299" t="str">
        <f>IFERROR(__xludf.DUMMYFUNCTION("GOOGLETRANSLATE(B9299, ""es"", ""en"")"),"I watch automatic Very good product, recommended by quality and price. Precious watch. Its mechanical similiar to other higher end.")</f>
        <v>I watch automatic Very good product, recommended by quality and price. Precious watch. Its mechanical similiar to other higher end.</v>
      </c>
    </row>
    <row r="9300">
      <c r="A9300" s="1">
        <v>5.0</v>
      </c>
      <c r="B9300" s="1" t="s">
        <v>9227</v>
      </c>
      <c r="C9300" t="str">
        <f>IFERROR(__xludf.DUMMYFUNCTION("GOOGLETRANSLATE(B9300, ""es"", ""en"")"),"Kendra Very good quality very comfortable I love standing Aug 39 but I recommend q less bone may be able 1 issue I 38")</f>
        <v>Kendra Very good quality very comfortable I love standing Aug 39 but I recommend q less bone may be able 1 issue I 38</v>
      </c>
    </row>
    <row r="9301">
      <c r="A9301" s="1">
        <v>5.0</v>
      </c>
      <c r="B9301" s="1" t="s">
        <v>9228</v>
      </c>
      <c r="C9301" t="str">
        <f>IFERROR(__xludf.DUMMYFUNCTION("GOOGLETRANSLATE(B9301, ""es"", ""en"")"),"Complete package perfect ear, is very well protected, trying different headphones, to see q such")</f>
        <v>Complete package perfect ear, is very well protected, trying different headphones, to see q such</v>
      </c>
    </row>
    <row r="9302">
      <c r="A9302" s="1">
        <v>5.0</v>
      </c>
      <c r="B9302" s="1" t="s">
        <v>9229</v>
      </c>
      <c r="C9302" t="str">
        <f>IFERROR(__xludf.DUMMYFUNCTION("GOOGLETRANSLATE(B9302, ""es"", ""en"")"),"Comfortable and useful are very comfortable, I have big ears, by've enters into the foam and do not bother if you have to wear glasses. If you want to exercise ... Do not directly recommend these, as you leave all sweaty and maybe is not what interests yo"&amp;"u but for everything else, quite insulates the sound of the outside when you are playing something. Speaking of battery, you can be more than one day of using it followed with bluetooth")</f>
        <v>Comfortable and useful are very comfortable, I have big ears, by've enters into the foam and do not bother if you have to wear glasses. If you want to exercise ... Do not directly recommend these, as you leave all sweaty and maybe is not what interests you but for everything else, quite insulates the sound of the outside when you are playing something. Speaking of battery, you can be more than one day of using it followed with bluetooth</v>
      </c>
    </row>
    <row r="9303">
      <c r="A9303" s="1">
        <v>5.0</v>
      </c>
      <c r="B9303" s="1" t="s">
        <v>9230</v>
      </c>
      <c r="C9303" t="str">
        <f>IFERROR(__xludf.DUMMYFUNCTION("GOOGLETRANSLATE(B9303, ""es"", ""en"")"),"Perfect set set is perfect and much cheaper than elsewhere. In my case, buying a nipple to higher was enough to have a good pack to get me milk and store small; and giving bibe match to the child because there is always plenty bottles")</f>
        <v>Perfect set set is perfect and much cheaper than elsewhere. In my case, buying a nipple to higher was enough to have a good pack to get me milk and store small; and giving bibe match to the child because there is always plenty bottles</v>
      </c>
    </row>
    <row r="9304">
      <c r="A9304" s="1">
        <v>5.0</v>
      </c>
      <c r="B9304" s="1" t="s">
        <v>9231</v>
      </c>
      <c r="C9304" t="str">
        <f>IFERROR(__xludf.DUMMYFUNCTION("GOOGLETRANSLATE(B9304, ""es"", ""en"")"),"E Good quality")</f>
        <v>E Good quality</v>
      </c>
    </row>
    <row r="9305">
      <c r="A9305" s="1">
        <v>5.0</v>
      </c>
      <c r="B9305" s="1" t="s">
        <v>9232</v>
      </c>
      <c r="C9305" t="str">
        <f>IFERROR(__xludf.DUMMYFUNCTION("GOOGLETRANSLATE(B9305, ""es"", ""en"")"),"Per Restraint is perfect")</f>
        <v>Per Restraint is perfect</v>
      </c>
    </row>
    <row r="9306">
      <c r="A9306" s="1">
        <v>5.0</v>
      </c>
      <c r="B9306" s="1" t="s">
        <v>9233</v>
      </c>
      <c r="C9306" t="str">
        <f>IFERROR(__xludf.DUMMYFUNCTION("GOOGLETRANSLATE(B9306, ""es"", ""en"")"),"Really good! Are the seconds that I exclusively for training. The first lasted me two years of intensive train, and just let go of the structure and continue to operate. The sound for me, is quite balanced between treble and bass giving outstanding sound "&amp;"quality. The battery easily hold me 5 days a week of hard training. Happy with purchase. So I repeated! a greeting")</f>
        <v>Really good! Are the seconds that I exclusively for training. The first lasted me two years of intensive train, and just let go of the structure and continue to operate. The sound for me, is quite balanced between treble and bass giving outstanding sound quality. The battery easily hold me 5 days a week of hard training. Happy with purchase. So I repeated! a greeting</v>
      </c>
    </row>
    <row r="9307">
      <c r="A9307" s="1">
        <v>5.0</v>
      </c>
      <c r="B9307" s="1" t="s">
        <v>9234</v>
      </c>
      <c r="C9307" t="str">
        <f>IFERROR(__xludf.DUMMYFUNCTION("GOOGLETRANSLATE(B9307, ""es"", ""en"")"),"Good very transparent covers are not the cheapest I've seen, but they seem good quality and are very transparent.")</f>
        <v>Good very transparent covers are not the cheapest I've seen, but they seem good quality and are very transparent.</v>
      </c>
    </row>
    <row r="9308">
      <c r="A9308" s="1">
        <v>2.0</v>
      </c>
      <c r="B9308" s="1" t="s">
        <v>9235</v>
      </c>
      <c r="C9308" t="str">
        <f>IFERROR(__xludf.DUMMYFUNCTION("GOOGLETRANSLATE(B9308, ""es"", ""en"")"),"I blocks the explorer Hello everyone, buy one and the transferring data was caught and did not quite pass the data, apart from that was very slow (I have USB 3.0) and let me fool pc. I returned it and ordered another believing that I received a defective "&amp;"one. The second makes feints as the first but hey at least in most cases leave me to transfer data even if the speed is random. And the use that I will give is not returned it everyday but I stopped short. In short I do not know if I had the bad batch of "&amp;"Verbatim but not recommended. 1 greeting")</f>
        <v>I blocks the explorer Hello everyone, buy one and the transferring data was caught and did not quite pass the data, apart from that was very slow (I have USB 3.0) and let me fool pc. I returned it and ordered another believing that I received a defective one. The second makes feints as the first but hey at least in most cases leave me to transfer data even if the speed is random. And the use that I will give is not returned it everyday but I stopped short. In short I do not know if I had the bad batch of Verbatim but not recommended. 1 greeting</v>
      </c>
    </row>
    <row r="9309">
      <c r="A9309" s="1">
        <v>3.0</v>
      </c>
      <c r="B9309" s="1" t="s">
        <v>9236</v>
      </c>
      <c r="C9309" t="str">
        <f>IFERROR(__xludf.DUMMYFUNCTION("GOOGLETRANSLATE(B9309, ""es"", ""en"")"),"Large size is very large as my size is very well rest")</f>
        <v>Large size is very large as my size is very well rest</v>
      </c>
    </row>
    <row r="9310">
      <c r="A9310" s="1">
        <v>1.0</v>
      </c>
      <c r="B9310" s="1" t="s">
        <v>9237</v>
      </c>
      <c r="C9310" t="str">
        <f>IFERROR(__xludf.DUMMYFUNCTION("GOOGLETRANSLATE(B9310, ""es"", ""en"")"),"without sealing Hello. The package came without wrapping and sealing the open")</f>
        <v>without sealing Hello. The package came without wrapping and sealing the open</v>
      </c>
    </row>
    <row r="9311">
      <c r="A9311" s="1">
        <v>1.0</v>
      </c>
      <c r="B9311" s="1" t="s">
        <v>9238</v>
      </c>
      <c r="C9311" t="str">
        <f>IFERROR(__xludf.DUMMYFUNCTION("GOOGLETRANSLATE(B9311, ""es"", ""en"")"),"original gift to the naked eye pendant is original, but for the price, I think it's just as simple and fragile that one of 12 € .. hard to see the letters and the string broke little to have it hanging. Do not change because since Antler buy the regale, s"&amp;"tep ample time. When received, only I opened the box to see what it was, and not even the reach out of the box because it comes very well presented and would not stir much. I repeat that as a gift is very original!")</f>
        <v>original gift to the naked eye pendant is original, but for the price, I think it's just as simple and fragile that one of 12 € .. hard to see the letters and the string broke little to have it hanging. Do not change because since Antler buy the regale, step ample time. When received, only I opened the box to see what it was, and not even the reach out of the box because it comes very well presented and would not stir much. I repeat that as a gift is very original!</v>
      </c>
    </row>
    <row r="9312">
      <c r="A9312" s="1">
        <v>1.0</v>
      </c>
      <c r="B9312" s="1" t="s">
        <v>9239</v>
      </c>
      <c r="C9312" t="str">
        <f>IFERROR(__xludf.DUMMYFUNCTION("GOOGLETRANSLATE(B9312, ""es"", ""en"")"),"Bad quality within one year of use Ni and already have one hole in each foot and I have 5 models. Not if ever the quality is worse but should strengthen the toes on the inside. Other vans have acquired this year and wear inside and put them with socks. Or"&amp;" Amazon sells products that are not 100% quality Vans or do not understand that wear")</f>
        <v>Bad quality within one year of use Ni and already have one hole in each foot and I have 5 models. Not if ever the quality is worse but should strengthen the toes on the inside. Other vans have acquired this year and wear inside and put them with socks. Or Amazon sells products that are not 100% quality Vans or do not understand that wear</v>
      </c>
    </row>
    <row r="9313">
      <c r="A9313" s="1">
        <v>4.0</v>
      </c>
      <c r="B9313" s="1" t="s">
        <v>9240</v>
      </c>
      <c r="C9313" t="str">
        <f>IFERROR(__xludf.DUMMYFUNCTION("GOOGLETRANSLATE(B9313, ""es"", ""en"")"),"Portable ""rejuvenated"" Greatly improved (x8) reading / writing for the original HDD and the processing speed on an Acer laptop with i5. An update highly recommended if your computer allows.")</f>
        <v>Portable "rejuvenated" Greatly improved (x8) reading / writing for the original HDD and the processing speed on an Acer laptop with i5. An update highly recommended if your computer allows.</v>
      </c>
    </row>
    <row r="9314">
      <c r="A9314" s="1">
        <v>4.0</v>
      </c>
      <c r="B9314" s="1" t="s">
        <v>9241</v>
      </c>
      <c r="C9314" t="str">
        <f>IFERROR(__xludf.DUMMYFUNCTION("GOOGLETRANSLATE(B9314, ""es"", ""en"")"),"Was expected was what I expected. I used to repair the floor of a tent and overcome task. Now it remains to see what lasts.")</f>
        <v>Was expected was what I expected. I used to repair the floor of a tent and overcome task. Now it remains to see what lasts.</v>
      </c>
    </row>
    <row r="9315">
      <c r="A9315" s="1">
        <v>4.0</v>
      </c>
      <c r="B9315" s="1" t="s">
        <v>9242</v>
      </c>
      <c r="C9315" t="str">
        <f>IFERROR(__xludf.DUMMYFUNCTION("GOOGLETRANSLATE(B9315, ""es"", ""en"")"),"Precious are wonderful, I put today and are wonderful, I hope they are durable because I love and see that I was afraid it was a bad material, but is just as pictured and very comfortable recommend")</f>
        <v>Precious are wonderful, I put today and are wonderful, I hope they are durable because I love and see that I was afraid it was a bad material, but is just as pictured and very comfortable recommend</v>
      </c>
    </row>
    <row r="9316">
      <c r="A9316" s="1">
        <v>4.0</v>
      </c>
      <c r="B9316" s="1" t="s">
        <v>9243</v>
      </c>
      <c r="C9316" t="str">
        <f>IFERROR(__xludf.DUMMYFUNCTION("GOOGLETRANSLATE(B9316, ""es"", ""en"")"),"It is a cable and it works whether you need a cable Canon Canon this meets all the requirements. I've seen better finishes but that does not mean that this be bad. I have a month and now I not broken, but not give much tute. Nothing negative to say, I rec"&amp;"ommend it.")</f>
        <v>It is a cable and it works whether you need a cable Canon Canon this meets all the requirements. I've seen better finishes but that does not mean that this be bad. I have a month and now I not broken, but not give much tute. Nothing negative to say, I recommend it.</v>
      </c>
    </row>
    <row r="9317">
      <c r="A9317" s="1">
        <v>4.0</v>
      </c>
      <c r="B9317" s="1" t="s">
        <v>9244</v>
      </c>
      <c r="C9317" t="str">
        <f>IFERROR(__xludf.DUMMYFUNCTION("GOOGLETRANSLATE(B9317, ""es"", ""en"")"),"Good quality product Good quality / price ratio. Rigid product with good housing, good quality feel. The only improvable is the sliding skid regulation of the cutting area, which is plastic.")</f>
        <v>Good quality product Good quality / price ratio. Rigid product with good housing, good quality feel. The only improvable is the sliding skid regulation of the cutting area, which is plastic.</v>
      </c>
    </row>
    <row r="9318">
      <c r="A9318" s="1">
        <v>5.0</v>
      </c>
      <c r="B9318" s="1" t="s">
        <v>9245</v>
      </c>
      <c r="C9318" t="str">
        <f>IFERROR(__xludf.DUMMYFUNCTION("GOOGLETRANSLATE(B9318, ""es"", ""en"")"),"Comfortable and light has been a success by buying this bracelet because I use it at any time, for any single sport have to change mode on the screen according to the exercise you want to perform, what I did not like esque else anyway you have to incorpor"&amp;"ate them from the application, as it only supports 3 modes maximum bracelet.")</f>
        <v>Comfortable and light has been a success by buying this bracelet because I use it at any time, for any single sport have to change mode on the screen according to the exercise you want to perform, what I did not like esque else anyway you have to incorporate them from the application, as it only supports 3 modes maximum bracelet.</v>
      </c>
    </row>
    <row r="9319">
      <c r="A9319" s="1">
        <v>5.0</v>
      </c>
      <c r="B9319" s="1" t="s">
        <v>9246</v>
      </c>
      <c r="C9319" t="str">
        <f>IFERROR(__xludf.DUMMYFUNCTION("GOOGLETRANSLATE(B9319, ""es"", ""en"")"),"All right for classes esporadixas buy a full size and everything great. The shoe has very good relationship warm price for a weekly flamenco class")</f>
        <v>All right for classes esporadixas buy a full size and everything great. The shoe has very good relationship warm price for a weekly flamenco class</v>
      </c>
    </row>
    <row r="9320">
      <c r="A9320" s="1">
        <v>5.0</v>
      </c>
      <c r="B9320" s="1" t="s">
        <v>9247</v>
      </c>
      <c r="C9320" t="str">
        <f>IFERROR(__xludf.DUMMYFUNCTION("GOOGLETRANSLATE(B9320, ""es"", ""en"")"),"Delighted with her. Not much more to say on a memory card. But in the short time that I've used a lot and I am very happy. Not a single mistake and gave me trouble. Recommendable!")</f>
        <v>Delighted with her. Not much more to say on a memory card. But in the short time that I've used a lot and I am very happy. Not a single mistake and gave me trouble. Recommendable!</v>
      </c>
    </row>
    <row r="9321">
      <c r="A9321" s="1">
        <v>5.0</v>
      </c>
      <c r="B9321" s="1" t="s">
        <v>9248</v>
      </c>
      <c r="C9321" t="str">
        <f>IFERROR(__xludf.DUMMYFUNCTION("GOOGLETRANSLATE(B9321, ""es"", ""en"")"),"Helmets are easy to buy a headset good quality at a good price. The best thing that brings plug that can be connected seamlessly to a phone or tablet without removing the case. It not as with other headphones plug is large. To improve, using a single cabl"&amp;"e headset instead of the two.")</f>
        <v>Helmets are easy to buy a headset good quality at a good price. The best thing that brings plug that can be connected seamlessly to a phone or tablet without removing the case. It not as with other headphones plug is large. To improve, using a single cable headset instead of the two.</v>
      </c>
    </row>
    <row r="9322">
      <c r="A9322" s="1">
        <v>5.0</v>
      </c>
      <c r="B9322" s="1" t="s">
        <v>9249</v>
      </c>
      <c r="C9322" t="str">
        <f>IFERROR(__xludf.DUMMYFUNCTION("GOOGLETRANSLATE(B9322, ""es"", ""en"")"),"It works perfectly matches descripcoon")</f>
        <v>It works perfectly matches descripcoon</v>
      </c>
    </row>
    <row r="9323">
      <c r="A9323" s="1">
        <v>5.0</v>
      </c>
      <c r="B9323" s="1" t="s">
        <v>9250</v>
      </c>
      <c r="C9323" t="str">
        <f>IFERROR(__xludf.DUMMYFUNCTION("GOOGLETRANSLATE(B9323, ""es"", ""en"")"),"Very useful for extracting exclusive boats have been great since I do LME but bottle and is very comfortable extract and calm tetina directly but was disappointed ... my baby pulled away so much milk that he drowned ... plus Mogollon that swallowed air wi"&amp;"th its consequences so we stopped using it for other bottle that we do better .. but the little boat d use them daily and is what I take when we go to the street.")</f>
        <v>Very useful for extracting exclusive boats have been great since I do LME but bottle and is very comfortable extract and calm tetina directly but was disappointed ... my baby pulled away so much milk that he drowned ... plus Mogollon that swallowed air with its consequences so we stopped using it for other bottle that we do better .. but the little boat d use them daily and is what I take when we go to the street.</v>
      </c>
    </row>
    <row r="9324">
      <c r="A9324" s="1">
        <v>5.0</v>
      </c>
      <c r="B9324" s="1" t="s">
        <v>9251</v>
      </c>
      <c r="C9324" t="str">
        <f>IFERROR(__xludf.DUMMYFUNCTION("GOOGLETRANSLATE(B9324, ""es"", ""en"")"),"Nothing for kids")</f>
        <v>Nothing for kids</v>
      </c>
    </row>
    <row r="9325">
      <c r="A9325" s="1">
        <v>5.0</v>
      </c>
      <c r="B9325" s="1" t="s">
        <v>9252</v>
      </c>
      <c r="C9325" t="str">
        <f>IFERROR(__xludf.DUMMYFUNCTION("GOOGLETRANSLATE(B9325, ""es"", ""en"")"),"I love I love the Adidas Superstar model and had between his eyebrows these blue. They are very comfortable and look great with jeans typical. Chock 43 and 43 1/3 adidas me is perfect.")</f>
        <v>I love I love the Adidas Superstar model and had between his eyebrows these blue. They are very comfortable and look great with jeans typical. Chock 43 and 43 1/3 adidas me is perfect.</v>
      </c>
    </row>
    <row r="9326">
      <c r="A9326" s="1">
        <v>5.0</v>
      </c>
      <c r="B9326" s="1" t="s">
        <v>9253</v>
      </c>
      <c r="C9326" t="str">
        <f>IFERROR(__xludf.DUMMYFUNCTION("GOOGLETRANSLATE(B9326, ""es"", ""en"")"),"Practical is very comfortable and functional, it adapts perfectly to the body.")</f>
        <v>Practical is very comfortable and functional, it adapts perfectly to the body.</v>
      </c>
    </row>
    <row r="9327">
      <c r="A9327" s="1">
        <v>5.0</v>
      </c>
      <c r="B9327" s="1" t="s">
        <v>9254</v>
      </c>
      <c r="C9327" t="str">
        <f>IFERROR(__xludf.DUMMYFUNCTION("GOOGLETRANSLATE(B9327, ""es"", ""en"")"),"Perfect. Purchased for GoPro Hero 4 and works perfectly. Video gave me a reading error, was blamed know if the card or camera but 99% of the other videos are faultless. Data transfer to the computer is quite fast and the price / quality ratio is unbeatabl"&amp;"e taking into account how much do gigas offered. Happy with purchase.")</f>
        <v>Perfect. Purchased for GoPro Hero 4 and works perfectly. Video gave me a reading error, was blamed know if the card or camera but 99% of the other videos are faultless. Data transfer to the computer is quite fast and the price / quality ratio is unbeatable taking into account how much do gigas offered. Happy with purchase.</v>
      </c>
    </row>
    <row r="9328">
      <c r="A9328" s="1">
        <v>5.0</v>
      </c>
      <c r="B9328" s="1" t="s">
        <v>9255</v>
      </c>
      <c r="C9328" t="str">
        <f>IFERROR(__xludf.DUMMYFUNCTION("GOOGLETRANSLATE(B9328, ""es"", ""en"")"),"Efficient Fast and efficient")</f>
        <v>Efficient Fast and efficient</v>
      </c>
    </row>
    <row r="9329">
      <c r="A9329" s="1">
        <v>5.0</v>
      </c>
      <c r="B9329" s="1" t="s">
        <v>9256</v>
      </c>
      <c r="C9329" t="str">
        <f>IFERROR(__xludf.DUMMYFUNCTION("GOOGLETRANSLATE(B9329, ""es"", ""en"")"),"Alvaro G's very good packaging and fast. These shoes are very simple but sturdy, does not smell like cheap rubber, price-quality are very good, it is worth comprarselas👍, that if there is to be ordered one size smaller because this usually marks them lar"&amp;"ger, I use 41.5, I I asked 41 because that means you and I could not go luxury.")</f>
        <v>Alvaro G's very good packaging and fast. These shoes are very simple but sturdy, does not smell like cheap rubber, price-quality are very good, it is worth comprarselas👍, that if there is to be ordered one size smaller because this usually marks them larger, I use 41.5, I I asked 41 because that means you and I could not go luxury.</v>
      </c>
    </row>
    <row r="9330">
      <c r="A9330" s="1">
        <v>5.0</v>
      </c>
      <c r="B9330" s="1" t="s">
        <v>9257</v>
      </c>
      <c r="C9330" t="str">
        <f>IFERROR(__xludf.DUMMYFUNCTION("GOOGLETRANSLATE(B9330, ""es"", ""en"")"),"Super useful and recommended I liked for design and 3 types of connectors, capacity is adequate and the way you can hang a pen carries everything I need right now, without using more adapters.")</f>
        <v>Super useful and recommended I liked for design and 3 types of connectors, capacity is adequate and the way you can hang a pen carries everything I need right now, without using more adapters.</v>
      </c>
    </row>
    <row r="9331">
      <c r="A9331" s="1">
        <v>5.0</v>
      </c>
      <c r="B9331" s="1" t="s">
        <v>9258</v>
      </c>
      <c r="C9331" t="str">
        <f>IFERROR(__xludf.DUMMYFUNCTION("GOOGLETRANSLATE(B9331, ""es"", ""en"")"),"Great success this purchase !! I bought the 64GB, once formatted and lets you take advantage of the maximum capacity, unlike other products (which returned them for being weak), this is robust, has two caps for grooves iPad and PC. It works great and the "&amp;"service Att 10 !! Fast and very attentive. totally recommend purchase. Much better than others something cheaper. Acertáis with this !!")</f>
        <v>Great success this purchase !! I bought the 64GB, once formatted and lets you take advantage of the maximum capacity, unlike other products (which returned them for being weak), this is robust, has two caps for grooves iPad and PC. It works great and the service Att 10 !! Fast and very attentive. totally recommend purchase. Much better than others something cheaper. Acertáis with this !!</v>
      </c>
    </row>
    <row r="9332">
      <c r="A9332" s="1">
        <v>5.0</v>
      </c>
      <c r="B9332" s="1" t="s">
        <v>9259</v>
      </c>
      <c r="C9332" t="str">
        <f>IFERROR(__xludf.DUMMYFUNCTION("GOOGLETRANSLATE(B9332, ""es"", ""en"")"),"PERFECTO RECOMENDABLE")</f>
        <v>PERFECTO RECOMENDABLE</v>
      </c>
    </row>
    <row r="9333">
      <c r="A9333" s="1">
        <v>5.0</v>
      </c>
      <c r="B9333" s="1" t="s">
        <v>9260</v>
      </c>
      <c r="C9333" t="str">
        <f>IFERROR(__xludf.DUMMYFUNCTION("GOOGLETRANSLATE(B9333, ""es"", ""en"")"),"Perfect as perfect as expected")</f>
        <v>Perfect as perfect as expected</v>
      </c>
    </row>
    <row r="9334">
      <c r="A9334" s="1">
        <v>5.0</v>
      </c>
      <c r="B9334" s="1" t="s">
        <v>9261</v>
      </c>
      <c r="C9334" t="str">
        <f>IFERROR(__xludf.DUMMYFUNCTION("GOOGLETRANSLATE(B9334, ""es"", ""en"")"),"Comfortable. Perfect.")</f>
        <v>Comfortable. Perfect.</v>
      </c>
    </row>
    <row r="9335">
      <c r="A9335" s="1">
        <v>5.0</v>
      </c>
      <c r="B9335" s="1" t="s">
        <v>9262</v>
      </c>
      <c r="C9335" t="str">
        <f>IFERROR(__xludf.DUMMYFUNCTION("GOOGLETRANSLATE(B9335, ""es"", ""en"")"),"Fast shipping Fast shipping, arrived earlier than previsto.buena quality.")</f>
        <v>Fast shipping Fast shipping, arrived earlier than previsto.buena quality.</v>
      </c>
    </row>
    <row r="9336">
      <c r="A9336" s="1">
        <v>2.0</v>
      </c>
      <c r="B9336" s="1" t="s">
        <v>9263</v>
      </c>
      <c r="C9336" t="str">
        <f>IFERROR(__xludf.DUMMYFUNCTION("GOOGLETRANSLATE(B9336, ""es"", ""en"")"),"I'm very disappointed Roomba consumer. It had a 520, it cost 700 € almost 10 years ago. and they spent gears and sensors failed in theme wheel from time to time. Of this, I was surprised by their speed and noise level, much better than I had. Note first t"&amp;"hat is just a sweeping robot, because it has no bottom and only aspires aspiration through the brushes. (Beware spare parts because, as you need special brushes which incorporate isolators plastic that help ensure suction) No is programmable, one should b"&amp;"e present when clean. Comparisons are odious but this team does not handle big help to move it from site. Nor he has soil detector or by noise or by volume. Within half an hour of operation, and are looking for the base to charge. Speed ​​is also a proble"&amp;"m, as it is sometimes nailed to the stairs before falling (there is no time to brake i Inertia drops it on the front wheel) and does it reflect well the thick dirt, crumbs, etc .. I guess also the same, it goes too fast. I do not know the type of gear tha"&amp;"t carries the brushes, no improvement in noise level but when it stops, you hear a thud as it has a quarter turn the brushes are free. I do not think it's good in the long run. More ""stubborn"" than his old comrade, the old, when he saw an impossible gap"&amp;", trying a bit i would give up and VAT to something else, he insists until i blocks stays stuck. A little smaller than the 520, I think that's why you can not save a drop of 1.5 cm change parquet floor, the other if he could without difficulty. No longer "&amp;"a Roomba, ensuring durability and quality of its components, such as the ease of finding spare parts. He had great confidence in the brand with my previous experience, but I made a bad purchase. For the same price there are other brands with better filter"&amp;"s, more sensors even with UVA lamps. I think lower quality to compete with cheaper brands is not the way. ______________________________________________ Two weeks later: A having stairs, I can not leave him alone; not fall down stairs but is stranded. If "&amp;"I put it in the previous position, he continues, if not, mistake 6 and stays locked. Regarding correcarente not clean, I researched a bit more, as seen in the photos, the center roll does not touch the ground! 2 mm is separated. front brush either, or jus"&amp;"t the tip. Impossible to clean well, not the least brushes will be spent. To my regret, it back and buy another brand at the same price and better performance.")</f>
        <v>I'm very disappointed Roomba consumer. It had a 520, it cost 700 € almost 10 years ago. and they spent gears and sensors failed in theme wheel from time to time. Of this, I was surprised by their speed and noise level, much better than I had. Note first that is just a sweeping robot, because it has no bottom and only aspires aspiration through the brushes. (Beware spare parts because, as you need special brushes which incorporate isolators plastic that help ensure suction) No is programmable, one should be present when clean. Comparisons are odious but this team does not handle big help to move it from site. Nor he has soil detector or by noise or by volume. Within half an hour of operation, and are looking for the base to charge. Speed ​​is also a problem, as it is sometimes nailed to the stairs before falling (there is no time to brake i Inertia drops it on the front wheel) and does it reflect well the thick dirt, crumbs, etc .. I guess also the same, it goes too fast. I do not know the type of gear that carries the brushes, no improvement in noise level but when it stops, you hear a thud as it has a quarter turn the brushes are free. I do not think it's good in the long run. More "stubborn" than his old comrade, the old, when he saw an impossible gap, trying a bit i would give up and VAT to something else, he insists until i blocks stays stuck. A little smaller than the 520, I think that's why you can not save a drop of 1.5 cm change parquet floor, the other if he could without difficulty. No longer a Roomba, ensuring durability and quality of its components, such as the ease of finding spare parts. He had great confidence in the brand with my previous experience, but I made a bad purchase. For the same price there are other brands with better filters, more sensors even with UVA lamps. I think lower quality to compete with cheaper brands is not the way. ______________________________________________ Two weeks later: A having stairs, I can not leave him alone; not fall down stairs but is stranded. If I put it in the previous position, he continues, if not, mistake 6 and stays locked. Regarding correcarente not clean, I researched a bit more, as seen in the photos, the center roll does not touch the ground! 2 mm is separated. front brush either, or just the tip. Impossible to clean well, not the least brushes will be spent. To my regret, it back and buy another brand at the same price and better performance.</v>
      </c>
    </row>
    <row r="9337">
      <c r="A9337" s="1">
        <v>3.0</v>
      </c>
      <c r="B9337" s="1" t="s">
        <v>9264</v>
      </c>
      <c r="C9337" t="str">
        <f>IFERROR(__xludf.DUMMYFUNCTION("GOOGLETRANSLATE(B9337, ""es"", ""en"")"),"Pretty model, logistical problems Initially the first to arrive were broken me, I ordered the replacement and all good. Despite the wait, the model is very beautiful!")</f>
        <v>Pretty model, logistical problems Initially the first to arrive were broken me, I ordered the replacement and all good. Despite the wait, the model is very beautiful!</v>
      </c>
    </row>
    <row r="9338">
      <c r="A9338" s="1">
        <v>3.0</v>
      </c>
      <c r="B9338" s="1" t="s">
        <v>9265</v>
      </c>
      <c r="C9338" t="str">
        <f>IFERROR(__xludf.DUMMYFUNCTION("GOOGLETRANSLATE(B9338, ""es"", ""en"")"),"Very cheap bluetooth headsets are not comparable with other 30 or 40 euros, but quite acceptable for how cheap they are.")</f>
        <v>Very cheap bluetooth headsets are not comparable with other 30 or 40 euros, but quite acceptable for how cheap they are.</v>
      </c>
    </row>
    <row r="9339">
      <c r="A9339" s="1">
        <v>3.0</v>
      </c>
      <c r="B9339" s="1" t="s">
        <v>9266</v>
      </c>
      <c r="C9339" t="str">
        <f>IFERROR(__xludf.DUMMYFUNCTION("GOOGLETRANSLATE(B9339, ""es"", ""en"")"),"Good but bad system board wall attachment to magnetic blackboard good price adjusted. But it is the only system wall attachment leads 2 hooks at the top but the bottom is loose so that the magnetic catch the draft sometimes you also bring the board. In so"&amp;"me opinions and answers to questions he indicated that they could fasten with screws in the 4 corners, but this is the new model and at least I have not seen that can be removed caps corners for better hold.")</f>
        <v>Good but bad system board wall attachment to magnetic blackboard good price adjusted. But it is the only system wall attachment leads 2 hooks at the top but the bottom is loose so that the magnetic catch the draft sometimes you also bring the board. In some opinions and answers to questions he indicated that they could fasten with screws in the 4 corners, but this is the new model and at least I have not seen that can be removed caps corners for better hold.</v>
      </c>
    </row>
    <row r="9340">
      <c r="A9340" s="1">
        <v>1.0</v>
      </c>
      <c r="B9340" s="1" t="s">
        <v>9267</v>
      </c>
      <c r="C9340" t="str">
        <f>IFERROR(__xludf.DUMMYFUNCTION("GOOGLETRANSLATE(B9340, ""es"", ""en"")"),"The cable system and lavalier microphones is HORRIBLE Buy 6 for less than 1 year, treat them with care and 3 of the cables that connect the microphone to the issuer does not work properly. Lots of noise and bad connection. I do not recommend.")</f>
        <v>The cable system and lavalier microphones is HORRIBLE Buy 6 for less than 1 year, treat them with care and 3 of the cables that connect the microphone to the issuer does not work properly. Lots of noise and bad connection. I do not recommend.</v>
      </c>
    </row>
    <row r="9341">
      <c r="A9341" s="1">
        <v>1.0</v>
      </c>
      <c r="B9341" s="1" t="s">
        <v>9268</v>
      </c>
      <c r="C9341" t="str">
        <f>IFERROR(__xludf.DUMMYFUNCTION("GOOGLETRANSLATE(B9341, ""es"", ""en"")"),"Malo The clamp is nothing left first use.")</f>
        <v>Malo The clamp is nothing left first use.</v>
      </c>
    </row>
    <row r="9342">
      <c r="A9342" s="1">
        <v>4.0</v>
      </c>
      <c r="B9342" s="1" t="s">
        <v>9269</v>
      </c>
      <c r="C9342" t="str">
        <f>IFERROR(__xludf.DUMMYFUNCTION("GOOGLETRANSLATE(B9342, ""es"", ""en"")"),"Good value for money, a product suitable for the price it has. The only downside is that with Android not only works for phone calls. It is not connected as audio device with which to listen to audio. This was solved with BTMono software for Android.")</f>
        <v>Good value for money, a product suitable for the price it has. The only downside is that with Android not only works for phone calls. It is not connected as audio device with which to listen to audio. This was solved with BTMono software for Android.</v>
      </c>
    </row>
    <row r="9343">
      <c r="A9343" s="1">
        <v>4.0</v>
      </c>
      <c r="B9343" s="1" t="s">
        <v>9270</v>
      </c>
      <c r="C9343" t="str">
        <f>IFERROR(__xludf.DUMMYFUNCTION("GOOGLETRANSLATE(B9343, ""es"", ""en"")"),"Well equal the photo, look good and are very comfortable. The sizes are different, I think small, so you have to ask more than a number.")</f>
        <v>Well equal the photo, look good and are very comfortable. The sizes are different, I think small, so you have to ask more than a number.</v>
      </c>
    </row>
    <row r="9344">
      <c r="A9344" s="1">
        <v>4.0</v>
      </c>
      <c r="B9344" s="1" t="s">
        <v>9271</v>
      </c>
      <c r="C9344" t="str">
        <f>IFERROR(__xludf.DUMMYFUNCTION("GOOGLETRANSLATE(B9344, ""es"", ""en"")"),"It looks correct sencillita, but the price is very good.")</f>
        <v>It looks correct sencillita, but the price is very good.</v>
      </c>
    </row>
    <row r="9345">
      <c r="A9345" s="1">
        <v>4.0</v>
      </c>
      <c r="B9345" s="1" t="s">
        <v>9272</v>
      </c>
      <c r="C9345" t="str">
        <f>IFERROR(__xludf.DUMMYFUNCTION("GOOGLETRANSLATE(B9345, ""es"", ""en"")"),"Did you like The person who would have given him much liked. It's nice.")</f>
        <v>Did you like The person who would have given him much liked. It's nice.</v>
      </c>
    </row>
    <row r="9346">
      <c r="A9346" s="1">
        <v>5.0</v>
      </c>
      <c r="B9346" s="1" t="s">
        <v>9273</v>
      </c>
      <c r="C9346" t="str">
        <f>IFERROR(__xludf.DUMMYFUNCTION("GOOGLETRANSLATE(B9346, ""es"", ""en"")"),"Cash used it to try a little on the arm .. and I lasted all night long .. and that got me a little cap that was left over .. makes their task, I bought it for my mother who has fibromyalgia, she he was now fine ... But beware, spread sparingly.")</f>
        <v>Cash used it to try a little on the arm .. and I lasted all night long .. and that got me a little cap that was left over .. makes their task, I bought it for my mother who has fibromyalgia, she he was now fine ... But beware, spread sparingly.</v>
      </c>
    </row>
    <row r="9347">
      <c r="A9347" s="1">
        <v>5.0</v>
      </c>
      <c r="B9347" s="1" t="s">
        <v>9274</v>
      </c>
      <c r="C9347" t="str">
        <f>IFERROR(__xludf.DUMMYFUNCTION("GOOGLETRANSLATE(B9347, ""es"", ""en"")"),"nice very nice !!")</f>
        <v>nice very nice !!</v>
      </c>
    </row>
    <row r="9348">
      <c r="A9348" s="1">
        <v>5.0</v>
      </c>
      <c r="B9348" s="1" t="s">
        <v>9275</v>
      </c>
      <c r="C9348" t="str">
        <f>IFERROR(__xludf.DUMMYFUNCTION("GOOGLETRANSLATE(B9348, ""es"", ""en"")"),"Good functional and according to its price")</f>
        <v>Good functional and according to its price</v>
      </c>
    </row>
    <row r="9349">
      <c r="A9349" s="1">
        <v>5.0</v>
      </c>
      <c r="B9349" s="1" t="s">
        <v>9276</v>
      </c>
      <c r="C9349" t="str">
        <f>IFERROR(__xludf.DUMMYFUNCTION("GOOGLETRANSLATE(B9349, ""es"", ""en"")"),"Pendrive absence of test looks good, I'll leave additional comments when testing with on my television and movie storage.")</f>
        <v>Pendrive absence of test looks good, I'll leave additional comments when testing with on my television and movie storage.</v>
      </c>
    </row>
    <row r="9350">
      <c r="A9350" s="1">
        <v>5.0</v>
      </c>
      <c r="B9350" s="1" t="s">
        <v>1425</v>
      </c>
      <c r="C9350" t="str">
        <f>IFERROR(__xludf.DUMMYFUNCTION("GOOGLETRANSLATE(B9350, ""es"", ""en"")"),"perfect perfect")</f>
        <v>perfect perfect</v>
      </c>
    </row>
    <row r="9351">
      <c r="A9351" s="1">
        <v>5.0</v>
      </c>
      <c r="B9351" s="1" t="s">
        <v>9277</v>
      </c>
      <c r="C9351" t="str">
        <f>IFERROR(__xludf.DUMMYFUNCTION("GOOGLETRANSLATE(B9351, ""es"", ""en"")"),"Carlos Pérez Very good product and price unbeatable quality, all bad, but it put the noise they make. Delivery in a day and they have not given problems")</f>
        <v>Carlos Pérez Very good product and price unbeatable quality, all bad, but it put the noise they make. Delivery in a day and they have not given problems</v>
      </c>
    </row>
    <row r="9352">
      <c r="A9352" s="1">
        <v>5.0</v>
      </c>
      <c r="B9352" s="1" t="s">
        <v>9278</v>
      </c>
      <c r="C9352" t="str">
        <f>IFERROR(__xludf.DUMMYFUNCTION("GOOGLETRANSLATE(B9352, ""es"", ""en"")"),"Comodidad..ligero.perfecto to run Perfecto.vo")</f>
        <v>Comodidad..ligero.perfecto to run Perfecto.vo</v>
      </c>
    </row>
    <row r="9353">
      <c r="A9353" s="1">
        <v>5.0</v>
      </c>
      <c r="B9353" s="1" t="s">
        <v>9279</v>
      </c>
      <c r="C9353" t="str">
        <f>IFERROR(__xludf.DUMMYFUNCTION("GOOGLETRANSLATE(B9353, ""es"", ""en"")"),"Perfect silver is equal to the announcement and have the same silver anklet is finite but is very nice, fast shipping 👍")</f>
        <v>Perfect silver is equal to the announcement and have the same silver anklet is finite but is very nice, fast shipping 👍</v>
      </c>
    </row>
    <row r="9354">
      <c r="A9354" s="1">
        <v>5.0</v>
      </c>
      <c r="B9354" s="1" t="s">
        <v>9280</v>
      </c>
      <c r="C9354" t="str">
        <f>IFERROR(__xludf.DUMMYFUNCTION("GOOGLETRANSLATE(B9354, ""es"", ""en"")"),"Comfortable and good sound caught my atencioln price, and once you've tried them, I can only say that they are pretty good. Headphones connect via bluetooth and are very easy to use, and its size is perfect to take anywhere. Of note is the sound, it certa"&amp;"inly is very good. Another aspect to consider is comfort, because it fits perfectly and makes you listen very well.")</f>
        <v>Comfortable and good sound caught my atencioln price, and once you've tried them, I can only say that they are pretty good. Headphones connect via bluetooth and are very easy to use, and its size is perfect to take anywhere. Of note is the sound, it certainly is very good. Another aspect to consider is comfort, because it fits perfectly and makes you listen very well.</v>
      </c>
    </row>
    <row r="9355">
      <c r="A9355" s="1">
        <v>5.0</v>
      </c>
      <c r="B9355" s="1" t="s">
        <v>9281</v>
      </c>
      <c r="C9355" t="str">
        <f>IFERROR(__xludf.DUMMYFUNCTION("GOOGLETRANSLATE(B9355, ""es"", ""en"")"),"A success to the little he has loved. It is very easy to use. Only color is changing and you can decide the alarm tune by choosing between music and natural sounds like waves or birds (great sounds for children to wake up without much shock). Bear's face "&amp;"is a success because it apart from other alarm clocks. Also it is changing as bedtime or play :) Also included charging cable, which prefer the batteries to avoid having to be constantly buying new.")</f>
        <v>A success to the little he has loved. It is very easy to use. Only color is changing and you can decide the alarm tune by choosing between music and natural sounds like waves or birds (great sounds for children to wake up without much shock). Bear's face is a success because it apart from other alarm clocks. Also it is changing as bedtime or play :) Also included charging cable, which prefer the batteries to avoid having to be constantly buying new.</v>
      </c>
    </row>
    <row r="9356">
      <c r="A9356" s="1">
        <v>5.0</v>
      </c>
      <c r="B9356" s="1" t="s">
        <v>9282</v>
      </c>
      <c r="C9356" t="str">
        <f>IFERROR(__xludf.DUMMYFUNCTION("GOOGLETRANSLATE(B9356, ""es"", ""en"")"),"Very nice and perfect Everything perfect, my favorite zapataos. Now half a year to use my Todavia as new shoes, wash machine wash and dry and place. It is to buy more of them")</f>
        <v>Very nice and perfect Everything perfect, my favorite zapataos. Now half a year to use my Todavia as new shoes, wash machine wash and dry and place. It is to buy more of them</v>
      </c>
    </row>
    <row r="9357">
      <c r="A9357" s="1">
        <v>5.0</v>
      </c>
      <c r="B9357" s="1" t="s">
        <v>9283</v>
      </c>
      <c r="C9357" t="str">
        <f>IFERROR(__xludf.DUMMYFUNCTION("GOOGLETRANSLATE(B9357, ""es"", ""en"")"),"Excellent acoustic sound quality is very good. It connects to the bluetooth very easily. I use them for work and for the gym and I go really well. The battery lasts a lot. Very good buy. Recommended.")</f>
        <v>Excellent acoustic sound quality is very good. It connects to the bluetooth very easily. I use them for work and for the gym and I go really well. The battery lasts a lot. Very good buy. Recommended.</v>
      </c>
    </row>
    <row r="9358">
      <c r="A9358" s="1">
        <v>5.0</v>
      </c>
      <c r="B9358" s="1" t="s">
        <v>9284</v>
      </c>
      <c r="C9358" t="str">
        <f>IFERROR(__xludf.DUMMYFUNCTION("GOOGLETRANSLATE(B9358, ""es"", ""en"")"),"Easy to use has the right capacity for a small gathering. Comfortable and manageable. The best: design with independent power base.")</f>
        <v>Easy to use has the right capacity for a small gathering. Comfortable and manageable. The best: design with independent power base.</v>
      </c>
    </row>
    <row r="9359">
      <c r="A9359" s="1">
        <v>5.0</v>
      </c>
      <c r="B9359" s="1" t="s">
        <v>9285</v>
      </c>
      <c r="C9359" t="str">
        <f>IFERROR(__xludf.DUMMYFUNCTION("GOOGLETRANSLATE(B9359, ""es"", ""en"")"),"Charmed. I am delighted, easy to configure, great hopes. We have it connected to Google gome and works perfectly with the voz..despues 3 months of use I have no hits.")</f>
        <v>Charmed. I am delighted, easy to configure, great hopes. We have it connected to Google gome and works perfectly with the voz..despues 3 months of use I have no hits.</v>
      </c>
    </row>
    <row r="9360">
      <c r="A9360" s="1">
        <v>5.0</v>
      </c>
      <c r="B9360" s="1" t="s">
        <v>9286</v>
      </c>
      <c r="C9360" t="str">
        <f>IFERROR(__xludf.DUMMYFUNCTION("GOOGLETRANSLATE(B9360, ""es"", ""en"")"),"The value is not bad I like the design functionality, difficult to beat if no bottom liquid, for gazpacho will not blow water only vegetables, but with it if you do not put some water not bat")</f>
        <v>The value is not bad I like the design functionality, difficult to beat if no bottom liquid, for gazpacho will not blow water only vegetables, but with it if you do not put some water not bat</v>
      </c>
    </row>
    <row r="9361">
      <c r="A9361" s="1">
        <v>5.0</v>
      </c>
      <c r="B9361" s="1" t="s">
        <v>9287</v>
      </c>
      <c r="C9361" t="str">
        <f>IFERROR(__xludf.DUMMYFUNCTION("GOOGLETRANSLATE(B9361, ""es"", ""en"")"),"Casio analog cheap and it works very well. We are at the Casio F-91W is a simple analog clock without any pretensions that performs well and at a good price, I have almost a year and goes great time for its price. And weighs just strap is very nice and de"&amp;"sign.")</f>
        <v>Casio analog cheap and it works very well. We are at the Casio F-91W is a simple analog clock without any pretensions that performs well and at a good price, I have almost a year and goes great time for its price. And weighs just strap is very nice and design.</v>
      </c>
    </row>
    <row r="9362">
      <c r="A9362" s="1">
        <v>5.0</v>
      </c>
      <c r="B9362" s="1" t="s">
        <v>9288</v>
      </c>
      <c r="C9362" t="str">
        <f>IFERROR(__xludf.DUMMYFUNCTION("GOOGLETRANSLATE(B9362, ""es"", ""en"")"),"Better than expected Very good. Better than espeba.")</f>
        <v>Better than expected Very good. Better than espeba.</v>
      </c>
    </row>
    <row r="9363">
      <c r="A9363" s="1">
        <v>5.0</v>
      </c>
      <c r="B9363" s="1" t="s">
        <v>9289</v>
      </c>
      <c r="C9363" t="str">
        <f>IFERROR(__xludf.DUMMYFUNCTION("GOOGLETRANSLATE(B9363, ""es"", ""en"")"),"Like everything good product we bought Avent, a wonder")</f>
        <v>Like everything good product we bought Avent, a wonder</v>
      </c>
    </row>
    <row r="9364">
      <c r="A9364" s="1">
        <v>5.0</v>
      </c>
      <c r="B9364" s="1" t="s">
        <v>9290</v>
      </c>
      <c r="C9364" t="str">
        <f>IFERROR(__xludf.DUMMYFUNCTION("GOOGLETRANSLATE(B9364, ""es"", ""en"")"),"Casio digital watch lightweight, simple and the reliability of Casio. It is a good watch because it is lightweight and comfortable. Something small for those who like the rugged watches. It is versatile because the same goes for adults, children. I recomm"&amp;"end it and above all for quality / price.")</f>
        <v>Casio digital watch lightweight, simple and the reliability of Casio. It is a good watch because it is lightweight and comfortable. Something small for those who like the rugged watches. It is versatile because the same goes for adults, children. I recommend it and above all for quality / price.</v>
      </c>
    </row>
    <row r="9365">
      <c r="A9365" s="1">
        <v>2.0</v>
      </c>
      <c r="B9365" s="1" t="s">
        <v>9291</v>
      </c>
      <c r="C9365" t="str">
        <f>IFERROR(__xludf.DUMMYFUNCTION("GOOGLETRANSLATE(B9365, ""es"", ""en"")"),"Not what I expected The could use a week to q gave conflict detection and poor quality mov pc")</f>
        <v>Not what I expected The could use a week to q gave conflict detection and poor quality mov pc</v>
      </c>
    </row>
    <row r="9366">
      <c r="A9366" s="1">
        <v>3.0</v>
      </c>
      <c r="B9366" s="1" t="s">
        <v>9292</v>
      </c>
      <c r="C9366" t="str">
        <f>IFERROR(__xludf.DUMMYFUNCTION("GOOGLETRANSLATE(B9366, ""es"", ""en"")"),"Well Headphones comfortable, although the sound quality could be improved a lot.")</f>
        <v>Well Headphones comfortable, although the sound quality could be improved a lot.</v>
      </c>
    </row>
    <row r="9367">
      <c r="A9367" s="1">
        <v>1.0</v>
      </c>
      <c r="B9367" s="1" t="s">
        <v>9293</v>
      </c>
      <c r="C9367" t="str">
        <f>IFERROR(__xludf.DUMMYFUNCTION("GOOGLETRANSLATE(B9367, ""es"", ""en"")"),"Defective product defective. It has already been damaged and is unusable")</f>
        <v>Defective product defective. It has already been damaged and is unusable</v>
      </c>
    </row>
    <row r="9368">
      <c r="A9368" s="1">
        <v>1.0</v>
      </c>
      <c r="B9368" s="1" t="s">
        <v>9294</v>
      </c>
      <c r="C9368" t="str">
        <f>IFERROR(__xludf.DUMMYFUNCTION("GOOGLETRANSLATE(B9368, ""es"", ""en"")"),"Loses water, and lots ... lose a lot of water and had all the earmarks of being a product that had already tried to ""sneak"" before. Did not appear again ... Return to Amazon very comfortable and quick yes")</f>
        <v>Loses water, and lots ... lose a lot of water and had all the earmarks of being a product that had already tried to "sneak" before. Did not appear again ... Return to Amazon very comfortable and quick yes</v>
      </c>
    </row>
    <row r="9369">
      <c r="A9369" s="1">
        <v>4.0</v>
      </c>
      <c r="B9369" s="1" t="s">
        <v>9295</v>
      </c>
      <c r="C9369" t="str">
        <f>IFERROR(__xludf.DUMMYFUNCTION("GOOGLETRANSLATE(B9369, ""es"", ""en"")"),"Portable, powerful and easy to use and bought it to bring in our camper van and have breakfast fruit smoothies. The battery lasts enough and the blender has enough power to crush a lot of fruit, we used to gather blueberries and banana with chocolate prot"&amp;"ein and never gave a failure. Sometimes you should start to beat with mixer inverted, so that the propeller is free, and then turn it so that the fruit fall on the blades already underway. Otherwise you can not have the strength to start, but it's not for"&amp;" lack of power because this way just mashing.")</f>
        <v>Portable, powerful and easy to use and bought it to bring in our camper van and have breakfast fruit smoothies. The battery lasts enough and the blender has enough power to crush a lot of fruit, we used to gather blueberries and banana with chocolate protein and never gave a failure. Sometimes you should start to beat with mixer inverted, so that the propeller is free, and then turn it so that the fruit fall on the blades already underway. Otherwise you can not have the strength to start, but it's not for lack of power because this way just mashing.</v>
      </c>
    </row>
    <row r="9370">
      <c r="A9370" s="1">
        <v>4.0</v>
      </c>
      <c r="B9370" s="1" t="s">
        <v>9296</v>
      </c>
      <c r="C9370" t="str">
        <f>IFERROR(__xludf.DUMMYFUNCTION("GOOGLETRANSLATE(B9370, ""es"", ""en"")"),"Very nice beautiful and comfortable slippers. Arc or top is slightly adjusted. Just right. But must be taken into account. I am 45 and I ordered a 46. Otherwise they are very comfortable.")</f>
        <v>Very nice beautiful and comfortable slippers. Arc or top is slightly adjusted. Just right. But must be taken into account. I am 45 and I ordered a 46. Otherwise they are very comfortable.</v>
      </c>
    </row>
    <row r="9371">
      <c r="A9371" s="1">
        <v>4.0</v>
      </c>
      <c r="B9371" s="1" t="s">
        <v>9297</v>
      </c>
      <c r="C9371" t="str">
        <f>IFERROR(__xludf.DUMMYFUNCTION("GOOGLETRANSLATE(B9371, ""es"", ""en"")"),"I get well I expected a bit warmer, it is very thin")</f>
        <v>I get well I expected a bit warmer, it is very thin</v>
      </c>
    </row>
    <row r="9372">
      <c r="A9372" s="1">
        <v>4.0</v>
      </c>
      <c r="B9372" s="1" t="s">
        <v>9298</v>
      </c>
      <c r="C9372" t="str">
        <f>IFERROR(__xludf.DUMMYFUNCTION("GOOGLETRANSLATE(B9372, ""es"", ""en"")"),"The person acceptable was delighted with them without a good size for him lobe, adequate value, with good brightness hopefully not too go with time")</f>
        <v>The person acceptable was delighted with them without a good size for him lobe, adequate value, with good brightness hopefully not too go with time</v>
      </c>
    </row>
    <row r="9373">
      <c r="A9373" s="1">
        <v>4.0</v>
      </c>
      <c r="B9373" s="1" t="s">
        <v>9299</v>
      </c>
      <c r="C9373" t="str">
        <f>IFERROR(__xludf.DUMMYFUNCTION("GOOGLETRANSLATE(B9373, ""es"", ""en"")"),"With the quality / price. I bought the offer of the iRobot Roomba 615 and so far, after a charge has made several hours cleaning that I consider normal but not back to the base. Can anyone tell me to serve the buttons carrying the machine ""SPOT"" and ""D"&amp;"OCK""? Not find you in your manual 600 series to serve. Moment and initially just used me look good machine. Thank you")</f>
        <v>With the quality / price. I bought the offer of the iRobot Roomba 615 and so far, after a charge has made several hours cleaning that I consider normal but not back to the base. Can anyone tell me to serve the buttons carrying the machine "SPOT" and "DOCK"? Not find you in your manual 600 series to serve. Moment and initially just used me look good machine. Thank you</v>
      </c>
    </row>
    <row r="9374">
      <c r="A9374" s="1">
        <v>5.0</v>
      </c>
      <c r="B9374" s="1" t="s">
        <v>9300</v>
      </c>
      <c r="C9374" t="str">
        <f>IFERROR(__xludf.DUMMYFUNCTION("GOOGLETRANSLATE(B9374, ""es"", ""en"")"),"A very nice watch at a great price took some time eager to have this watch but whenever I looked, there was no stock, (referring to physical stores) I decided to seek and pillármelo online, in this case here on Amazon, and I do not regret at all of purcha"&amp;"se. 33 euros at the time I bought it, original 100% and a day earlier than planned delivered. What more could you want? Well, maybe this casio make you breakfast in the morning but I get that and will be more complicated it happens, xD. I highly recommend"&amp;" your purchase, even if you like it retro style that characterizes this watch, personally, I love it.")</f>
        <v>A very nice watch at a great price took some time eager to have this watch but whenever I looked, there was no stock, (referring to physical stores) I decided to seek and pillármelo online, in this case here on Amazon, and I do not regret at all of purchase. 33 euros at the time I bought it, original 100% and a day earlier than planned delivered. What more could you want? Well, maybe this casio make you breakfast in the morning but I get that and will be more complicated it happens, xD. I highly recommend your purchase, even if you like it retro style that characterizes this watch, personally, I love it.</v>
      </c>
    </row>
    <row r="9375">
      <c r="A9375" s="1">
        <v>5.0</v>
      </c>
      <c r="B9375" s="1" t="s">
        <v>9301</v>
      </c>
      <c r="C9375" t="str">
        <f>IFERROR(__xludf.DUMMYFUNCTION("GOOGLETRANSLATE(B9375, ""es"", ""en"")"),"Good buy. Nice, quality shows.")</f>
        <v>Good buy. Nice, quality shows.</v>
      </c>
    </row>
    <row r="9376">
      <c r="A9376" s="1">
        <v>5.0</v>
      </c>
      <c r="B9376" s="1" t="s">
        <v>9302</v>
      </c>
      <c r="C9376" t="str">
        <f>IFERROR(__xludf.DUMMYFUNCTION("GOOGLETRANSLATE(B9376, ""es"", ""en"")"),"Good headphones good value for money. They met for the price they have. Are comfortable weigh little.")</f>
        <v>Good headphones good value for money. They met for the price they have. Are comfortable weigh little.</v>
      </c>
    </row>
    <row r="9377">
      <c r="A9377" s="1">
        <v>5.0</v>
      </c>
      <c r="B9377" s="1" t="s">
        <v>9303</v>
      </c>
      <c r="C9377" t="str">
        <f>IFERROR(__xludf.DUMMYFUNCTION("GOOGLETRANSLATE(B9377, ""es"", ""en"")"),"Recommended! Very good product, good quality, works corrextamente, look very good, and easy to use.")</f>
        <v>Recommended! Very good product, good quality, works corrextamente, look very good, and easy to use.</v>
      </c>
    </row>
    <row r="9378">
      <c r="A9378" s="1">
        <v>5.0</v>
      </c>
      <c r="B9378" s="1" t="s">
        <v>9304</v>
      </c>
      <c r="C9378" t="str">
        <f>IFERROR(__xludf.DUMMYFUNCTION("GOOGLETRANSLATE(B9378, ""es"", ""en"")"),"Puma As in the description thanks very good thanks")</f>
        <v>Puma As in the description thanks very good thanks</v>
      </c>
    </row>
    <row r="9379">
      <c r="A9379" s="1">
        <v>5.0</v>
      </c>
      <c r="B9379" s="1" t="s">
        <v>9305</v>
      </c>
      <c r="C9379" t="str">
        <f>IFERROR(__xludf.DUMMYFUNCTION("GOOGLETRANSLATE(B9379, ""es"", ""en"")"),"Is an original clock &lt;div id = ""video-block-RQN8403N7ZFSL"" class = ""a-section a-spacing-small a-spacing-top mini video-block""&gt; &lt;div tabindex = ""0"" class = ""airy airy-svg vmin-supported airy-skin-beacon ""style ="" background-color: rgb (0, 0, 0) po"&amp;"sition: relative; width: 100%; height: 100%; font-size: 0px; overflow: hidden; outline: none; ""&gt; &lt;div class ="" airy-renderer-container ""style ="" position: relative; height: 100%; width: 100%; ""&gt; &lt;video id ="" 15 ""preload ="" auto "" src = ""https://"&amp;"images-eu.ssl-images-amazon.com/images/I/B1RUzehMTNS.mp4"" style = ""position: absolute; left: 0px; top: 0px; overflow: hidden; height: 1px; width: 1px; ""&gt; &lt;/ video&gt; &lt;/ div&gt; &lt;div id ="" airy-slate-preload ""style ="" background-color: rgb (0, 0, 0); back"&amp;"ground-image: url (&amp; quot; https : //images-eu.ssl-images-amazon.com/images/I/81b6Mf3HV4S.png&amp;quot;); background-size: Contain; background-position: center center; background-repeat: no-repeat; position: absolute; top: 0px; left: 0px; visibility: visible;"&amp;" width: 100%; height: 100%; ""&gt; &lt;/ div&gt; &lt;iframe sc rolling = ""no"" frameborder = ""0"" src = ""about: blank"" style = ""display: none;""&gt; &lt;/ iframe&gt; &lt;div tabindex = ""- 1"" class = ""airy-controls-container"" style = "" opacity: 0; visibility: hidden; """&amp;"&gt; &lt;div tabindex ="" - 1 ""class ="" airy-screen-size-toggle airy-fullscreen ""&gt; &lt;/ div&gt; &lt;div tabindex ="" - 1 ""class ="" airy-container-bottom "" &gt; &lt;div tabindex = ""- 1"" class = ""airy-track-bar-spacer-left"" style = ""width: 11px;""&gt; &lt;/ div&gt; &lt;div tabi"&amp;"ndex = ""- 1"" class = ""airy-play- airy toggle-play ""style ="" width: 12px; margin-right: 12px; ""&gt; &lt;/ div&gt; &lt;div tabindex ="" - 1 ""class ="" airy-audio-elements ""style ="" float: right; width: 34px; ""&gt; &lt;div tabindex ="" - 1 ""class ="" airy-audio-tog"&amp;"gle airy-on ""&gt; &lt;/ div&gt; &lt;div tabindex ="" - 1 ""class ="" airy-audio-container ""style = ""opacity: 0; visibility: hidden; ""&gt; &lt;div tabindex ="" - 1 ""class ="" airy-audio-track-bar ""style ="" height: 80%; ""&gt; &lt;div tabindex ="" - 1 ""class ="" airy-audio"&amp;"- Scrubber-bar ""style ="" height: 85%; ""&gt; &lt;/ div&gt; &lt;div tabindex ="" - 1 ""class ="" airy-audio-scrubber ""style ="" height: 12px; bottom: 85% ""&gt; &lt;/ div&gt; &lt;/ div&gt; &lt;/ div&gt; &lt;/ div&gt; &lt;div tabindex ="" - 1 ""class ="" airy-duration-label ""style ="" float: ri"&amp;"ght; width: 26px; margin-right: 4px; text-align: center; ""&gt; 0:00 &lt;/ div&gt; &lt;div tabindex ="" - 1 ""class ="" airy-track-bar-spacer-right ""style ="" float: right; width: 11px; ""&gt; &lt;/ div&gt; &lt;div tabindex ="" - 1 ""class ="" airy-track-bar-container ""style ="&amp;""" margin-left: 35px; margin-right: 75px; ""&gt; &lt;div tabindex ="" - 1 ""class ="" airy-airy-track-bar vertically-centering-table ""&gt; &lt;div tabindex ="" - 1 ""class ="" airy-Vertical-centering- table-cell ""&gt; &lt;div tabindex ="" - 1 ""class ="" airy-track-bar-e"&amp;"lements ""&gt; &lt;div tabindex ="" - 1 ""class ="" airy-progress-bar ""&gt; &lt;/ div&gt; &lt;div tabindex = ""- 1"" class = ""airy-scrubber-bar""&gt; &lt;/ div&gt; &lt;div tabindex = ""- 1"" class = ""airy-scrubber""&gt; &lt;div tabindex = ""- 1"" class = ""airy-scrubber- icon ""&gt; &lt;/ div&gt;"&amp;" &lt;div tabindex ="" - 1 ""class ="" airy-adjusted-AUI-tooltip ""style ="" opacity: 0; visibility: hidden; ""&gt; &lt;div tabindex ="" - 1 ""class ="" airy-adjusted-aui-tooltip-inner ""&gt; &lt;div tabindex ="" - 1 ""class ="" airy-current-time-label ""&gt; 0: 00 &lt;/ div&gt; "&amp;"&lt;/ div&gt; &lt;div tabindex = ""- 1"" class = ""airy-adjusted-AUI-arrow-border""&gt; &lt;div tabindex = ""- 1"" class = ""airy-adjusted-AUI-arrow"" &gt; &lt;/ div&gt; &lt;/ div&gt; &lt;/ div&gt; &lt;/ div&gt; &lt;/ div&gt; &lt;/ div&gt; &lt;/ div&gt; &lt;/ div&gt; &lt;/ div&gt; &lt;/ div&gt; &lt;div tabindex = ""- 1"" class = ""air"&amp;"y-age-gate airy-stage airy-Vertical-centering-table airy-dialog"" style = ""opacity: 0; visibility: hidden; ""&gt; &lt;div tabindex ="" - 1 ""class ="" airy-age-gate-Vertical-centering-table-cell airy-Vertical-centering-table-cell ""&gt; &lt;div tabindex ="" - 1 ""cl"&amp;"ass = ""airy-Vertical-centering-wrapper airy-age-gate-elements-wrapper""&gt; &lt;div tabindex = ""- 1"" class = ""airy-age-gate-elements airy-dialog-elements""&gt; &lt;div tabindex = "" -1 ""class ="" airy-age-gate-prompt ""&gt; This video is not Intended for all audien"&amp;"ces What date were you born &lt;/ div&gt; &lt;div tabindex =.?"" - 1 ""class ="" airy-age-gate -inputs airy-dialog-inner-elements ""&gt; &lt;select tabindex ="" - 1 ""class ="" airy-age-gate-month ""&gt; &lt;option value ="" 1 ""&gt; January &lt;/ option&gt; &lt;option value ="" 2 ""&gt; Fe"&amp;"bruary &lt;/ option&gt; &lt;option value ="" 3 ""&gt; March &lt;/ option&gt; &lt;option value ="" 4 ""&gt; April &lt;/ option&gt; &lt;option value ="" 5 ""&gt; May &lt;/ option&gt; &lt;option value = ""6""&gt; June &lt;/ option&gt; &lt;option value = ""7""&gt; July &lt;/ option&gt; &lt;option value = ""8""&gt; August &lt;/ optio"&amp;"n&gt; &lt;option value = ""9""&gt; September &lt;/ option&gt; &lt;option value = ""10""&gt; October &lt;/ option&gt; &lt;option value = ""11""&gt; November &lt;/ option&gt; &lt;option value = ""12""&gt; December &lt;/ option&gt; &lt;/ select&gt; &lt;select tabindex = ""- 1"" class = ""airy-age-gate-day""&gt; &lt;opti on"&amp;" value = ""1""&gt; 1 &lt;/ option&gt; &lt;option value = ""2""&gt; 2 &lt;/ option&gt; &lt;option value = ""3""&gt; 3 &lt;/ option&gt; &lt;option value = ""4""&gt; 4 &lt;/ option &gt; &lt;option value = ""5""&gt; 5 &lt;/ option&gt; &lt;option value = ""6""&gt; 6 &lt;/ option&gt; &lt;option value = ""7""&gt; 7 &lt;/ option&gt; &lt;option v"&amp;"alue = ""8""&gt; 8 &lt; / option&gt; &lt;option value = ""9""&gt; 9 &lt;/ option&gt; &lt;option value = ""10""&gt; 10 &lt;/ option&gt; &lt;option value = ""11""&gt; 11 &lt;/ option&gt; &lt;option value = ""12""&gt; 12 &lt;/ option&gt; &lt;option value = ""13""&gt; 13 &lt;/ option&gt; &lt;option value = ""14""&gt; 14 &lt;/ option&gt; &lt;"&amp;"option value = ""15""&gt; 15 &lt;/ option&gt; &lt;option value = ""16 ""&gt; 16 &lt;/ option&gt; &lt;option value ="" 17 ""&gt; 17 &lt;/ option&gt; &lt;option value ="" 18 ""&gt; 18 &lt;/ option&gt; &lt;option value ="" 19 ""&gt; 19 &lt;/ option&gt; &lt;option value = ""20""&gt; 20 &lt;/ option&gt; &lt;option value = ""21""&gt; "&amp;"21 &lt;/ option&gt; &lt;option value = ""22""&gt; 22 &lt;/ option&gt; &lt;option value = ""23""&gt; 23 &lt;/ option&gt; &lt;option value = ""24""&gt; 24 &lt;/ option&gt; &lt;option value = ""25""&gt; 25 &lt;/ option&gt; &lt;option value = ""26""&gt; 26 &lt;/ option&gt; &lt;option value = ""27""&gt; 27 &lt;/ option&gt; &lt;option value"&amp;" = ""28""&gt; 28 &lt;/ option&gt; &lt;option value = ""29""&gt; 29 &lt;/ option&gt; &lt;option value = ""30""&gt; 30 &lt;/ option&gt; &lt;option value = ""31""&gt; 31 &lt;/ option&gt; &lt;/ select&gt; &lt;select tabindex = ""- 1"" class = ""airy-age-gate-year""&gt; &lt;option value = ""2019""&gt; 2019 &lt;/ option&gt; &lt; op"&amp;"tion value = ""2018""&gt; 2018 &lt;/ option&gt; &lt;option value = ""2017""&gt; 2017 &lt;/ option&gt; &lt;option value = ""2016""&gt; ​​2016 &lt;/ option&gt; &lt;option value = ""2015""&gt; 2015 &lt;/ option &gt; &lt;option value = ""2014""&gt; 2014 &lt;/ option&gt; &lt;option value = ""2013""&gt; 2013 &lt;/ option&gt; &lt;op"&amp;"tion value = ""2012""&gt; 2012 &lt;/ option&gt; &lt;option value = ""2011""&gt; 2011 &lt; / option&gt; &lt;option value = ""2010""&gt; 2010 &lt;/ option&gt; &lt;option value = ""2009""&gt; 2009 &lt;/ option&gt; &lt;option value = ""2008""&gt; 2008 &lt;/ option&gt; &lt;option value = ""2007""&gt; 2007 &lt;/ option&gt; &lt;opti"&amp;"on value = ""2006""&gt; 2006 &lt;/ option&gt; &lt;option value = ""2005""&gt; 2005 &lt;/ option&gt; &lt;option value = ""2004""&gt; 2004 &lt;/ option&gt; &lt;option value = ""2003 ""&gt; 2003 &lt;/ option&gt; &lt;option value ="" 2002 ""&gt; 2002 &lt;/ option&gt; &lt;option value ="" 2001 ""&gt; 2001 &lt;/ option&gt; &lt;opti"&amp;"on value ="" 2000 ""&gt; 2000 &lt;/ option&gt; &lt;option value = ""1999""&gt; 1999 &lt;/ option&gt; &lt;option value = ""1998""&gt; 1998 &lt;/ option&gt; &lt;option value = ""1997""&gt; 1997 &lt;/ option&gt; &lt;option value = ""1996""&gt; 1996 &lt;/ option&gt; &lt;option value = ""1995""&gt; 1995 &lt;/ option&gt; &lt;option"&amp;" value = ""1994""&gt; 1994 &lt;/ option&gt; &lt;option value = ""1993""&gt; 1993 &lt;/ option&gt; &lt;option value = ""1992""&gt; 1992 &lt;/ option&gt; &lt;option value = ""1991""&gt; 1991 &lt;/ option&gt; &lt;option value = ""1990""&gt; 1990 &lt;/ option&gt; &lt;option value = "" 1989 ""&gt; 1989 &lt;/ option&gt; &lt;option "&amp;"value ="" 1988 ""&gt; 1988 &lt;/ option&gt; &lt;option value ="" 1987 ""&gt; 1987 &lt;/ option&gt; &lt;option value ="" 1986 ""&gt; 1986 &lt;/ option&gt; &lt;value option = ""1985""&gt; 1985 &lt;/ option&gt; &lt;option value = ""1984""&gt; 1984 &lt;/ option&gt; &lt;option value = ""1983""&gt; 1983 &lt;/ option&gt; &lt;option "&amp;"value = ""1982""&gt; 1982 &lt;/ option&gt; &lt; option value = ""1981""&gt; 1981 &lt;/ option&gt; &lt;option value = ""1980""&gt; 1980 &lt;/ option&gt; &lt;option value = ""1979""&gt; 1979 &lt;/ option&gt; &lt;option value = ""1978""&gt; 1978 &lt;/ option &gt; &lt;option value = ""1977""&gt; 1977 &lt;/ option&gt; &lt;option v"&amp;"alue = ""1976""&gt; 1976 &lt;/ option&gt; &lt;option value = ""1975""&gt; 1975 &lt;/ option&gt; &lt;option value = ""1974""&gt; 1974 &lt; / option&gt; &lt;option value = ""1973""&gt; 1973 &lt;/ option&gt; &lt;option value = ""1972""&gt; 1972 &lt;/ option&gt; &lt;option value = ""1971""&gt; 1971 &lt;/ option&gt; &lt;option val"&amp;"ue = ""1970""&gt; 1970 &lt;/ option&gt; &lt;option value = ""1969""&gt; 1969 &lt;/ option&gt; &lt;option value = ""1968""&gt; 1968 &lt;/ option&gt; &lt;option value = ""1967""&gt; 1967 &lt;/ option&gt; &lt;option value = ""1966 ""&gt; 1966 &lt;/ option&gt; &lt;option value ="" 1965 ""&gt; 1965 &lt;/ option&gt; &lt;option valu"&amp;"e ="" 1964 ""&gt; 1964 &lt;/ option&gt; &lt;option value ="" 1963 ""&gt; 1963 &lt;/ option&gt; &lt;option value = ""1962""&gt; 1962 &lt;/ option&gt; &lt;option value = ""1961""&gt; 1961 &lt;/ option&gt; &lt;option value = ""1960""&gt; 1960 &lt;/ op tion&gt; &lt;option value = ""1959""&gt; 1959 &lt;/ option&gt; &lt;option valu"&amp;"e = ""1958""&gt; 1958 &lt;/ option&gt; &lt;option value = ""1957""&gt; 1957 &lt;/ option&gt; &lt;option value = ""1956""&gt; 1956 &lt;/ option&gt; &lt;option value = ""1955""&gt; 1955 &lt;/ option&gt; &lt;option value = ""1954""&gt; 1954 &lt;/ option&gt; &lt;option value = ""1953""&gt; 1953 &lt;/ option&gt; &lt;option value ="&amp;" ""1952""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"&amp;"= ""1940""&gt;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&lt;value option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airy-stage airy -vertical-centering-table-dialog airy airy-denied ""style ="" opacity: 0;"&amp;" visibility: hidden; ""&gt; &lt;div tabindex ="" - 1 ""class ="" airy-install-flash-Vertical-centering-table-cell airy-Vertical-centering-table-cell ""&gt; &lt;div tabindex ="" - 1 ""class = ""airy-Vertical-centering-wrapper airy-install-flash-elements-wrapper""&gt; &lt;di"&amp;"v tabindex = ""- 1"" class = ""airy-install-flash-elements airy-dialog-elements""&gt; &lt;div tabindex = "" -1 ""class ="" airy-install-flash-prompt ""&gt; Adobe Flash Player is required to watch this video &lt;/ div&gt; &lt;div tabindex =."" - 1 ""class ="" airy-install-f"&amp;"lash-button-wrapper airy -dialog-inner-elements ""&gt; &lt;div tabindex ="" - 1 ""class ="" airy-install-flash-button airy-button ""&gt; install Flash Player &lt;/ div&gt; &lt;/ div&gt; &lt;/ div&gt; &lt;/ div&gt; &lt;/ div&gt; &lt;/ div&gt; &lt;div tabindex = ""- 1"" class = ""airy-video-unsupported-d"&amp;"ialog airy-stage airy-Vertical-centering-table airy-dialog airy-denied"" style = ""opacity: 0; visibility: hidden; ""&gt; &lt;div tabindex ="" - 1 ""class ="" airy-video-unsupported-Vertical-centering-table-cell airy-Vertical-centering-table-cell ""&gt; &lt;div tabin"&amp;"dex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tabinde"&amp;"x ="" - 1 ""class ="" airy-loading-spinner-container airy-scalable-hint-container ""&gt; &lt;div tabindex ="" - 1 ""class ="" airy-loading-spinner-dummy airy-scalable-dummy ""&gt; &lt;/ div&gt; &lt; div tabindex = ""- 1"" class = ""airy-loading-spinner airy-hint"" style = "&amp;"""visibility: hidden;""&gt; &lt;/ div&gt; &lt;/ div&gt; &lt;/ div&gt; &lt;/ div&gt; &lt;div tabindex = ""- 1 ""class ="" airy-ads-screen-size-toggle airy-screen-size-toggle-fullscreen airy ""style ="" visibility: hidden; ""&gt; &lt;/ div&gt; &lt;div tabindex = ""-1"" class = ""airy-ad-prompt-cont"&amp;"ainer"" style = ""visibility: hidden;""&gt; &lt;div tabindex = ""- 1"" class = ""airy-ad-prompt-Vertical-centering-table-vertically airy centering-table ""&gt; &lt;div tabindex ="" - 1 ""class ="" airy-ad-prompt-Vertical-centering-table-cell airy-Vertical-centering-t"&amp;"able-cell ""&gt; &lt;div tabindex ="" - 1 ""class = ""airy-ad-prompt-label""&gt; &lt;/ div&gt; &lt;/ div&gt; &lt;/ div&gt; &lt;/ div&gt; &lt;div tabindex = ""- 1"" class = ""airy-ads-controls-container"" style = ""visibility: hidden; ""&gt; &lt;div tabindex ="" - 1 ""class ="" airy-ads-audio-togg"&amp;"le airy-audio-toggle airy-on ""style ="" visibility: hidden; ""&gt; &lt;/ div&gt; &lt;div tabindex ="" - 1 ""class ="" airy-time-remaining-label-container ""&gt; &lt;div tabindex ="" - 1 ""class ="" airy-time-remaining-Vertical-centering-table airy-Vertical-centering-table"&amp;"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&lt;/ "&amp;"div&gt; &lt;/ div&gt; &lt;/ div&gt; &lt;/ div&gt; &lt;/ div&gt; &lt;div tabindex ="" - 1 ""class ="" airy-learn-more ""style ="" visibility: hidden; ""&gt; &lt;/ div&gt; &lt;/ div&gt; &lt;div tabindex = ""- 1"" class = ""airy-play-toggle-hint-stage airy-stage airy-cursor""&gt; &lt;div tabindex = ""- 1"" clas"&amp;"s = ""airy-play -toggle-hint-Vertical-centering-table-cell airy-Vertical-centering-table-cell airy-cursor ""&gt; &lt;div tabindex ="" - 1 ""class ="" airy-play-toggle-hint-container airy-scalable- Hint-container ""&gt; &lt;div tabindex ="" - 1 ""class ="" airy-play-t"&amp;"oggle-hint-dummy airy-scalable-dummy ""&gt; &lt;/ div&gt; &lt;div tabindex ="" - 1 ""class ="" airy-play -toggle-hint hint airy-airy-play-hint ""style ="" opacity: 1; visibility: visible; ""&gt; &lt;/ div&gt; &lt;/ div&gt; &lt;/ div&gt; &lt;/ div&gt; &lt;div tabindex ="" - 1 ""class ="" airy-repl"&amp;"ay-hint-stage airy-stage ""style ="" visibility: hidden ; ""&gt; &lt;div tabindex ="" - 1 ""class ="" airy-replay-hint-Vertical-centering-Table-cell airy-Vertical-centering-Table-cell airy-cursor ""&gt; &lt;div tabindex ="" - 1 ""class = ""airy-replay-hint-container "&amp;"airy-scalable-hint-container""&gt; &lt;div tabindex = ""- 1"" class = ""airy-replay-hint-dummy airy-scalable-dummy""&gt; &lt;/ div&gt; &lt;div tabindex = ""- 1"" class = ""airy-replay-hint airy-hint""&gt; &lt;/ div&gt; &lt;/ div&gt; &lt;/ div&gt; &lt;/ div&gt; &lt;div tabindex = ""- 1"" class = ""airy-"&amp;"autoplay-hint -stage-stage airy ""style ="" visibility: hidden; ""&gt; &lt;div tabindex ="" - 1 ""class ="" airy-autoplay-hint-Vertical-centering-table-cell airy-Vertical-centering-table-cell airy- cursor ""&gt; &lt;div tabindex ="" - 1 ""class ="" autoplay airy-airy"&amp;"-hint-container-scalable-hint-container ""&gt; &lt;div tabindex ="" - 1 ""class ="" airy-autoplay-hint-dummy airy- scalable-dummy ""&gt; &lt;/ div&gt; &lt;/ div&gt; &lt;/ div&gt; &lt;/ div&gt; &lt;/ div&gt; &lt;/ div&gt; &lt;input type ="" hidden ""name ="" ""value ="" https: // images-eu .ssl-images-a"&amp;"mazon.com / images / I / B1RUzehMTNS.mp4 ""Class ="" video-url ""&gt; &lt;input type ="" hidden ""name ="" ""value ="" https://images-eu.ssl-images-amazon.com/images/I/81b6Mf3HV4S.png ""class ="" video-slate-img-url ""&gt; &amp; nbsp; an alarm is very suitable for chi"&amp;"ldren, has an alarm to wake you go half an hour before turning on the lights and another to warn them for bedtime. It has three soothing sounds and three stronger. It is very beautiful and original. Recommended 100%. As a gift is very original")</f>
        <v>Is an original clock &lt;div id = "video-block-RQN8403N7ZFSL" class = "a-section a-spacing-small a-spacing-top mini video-block"&gt; &lt;div tabindex = "0" class = "airy airy-svg vmin-supported airy-skin-beacon "style =" background-color: rgb (0, 0, 0) position: relative; width: 100%; height: 100%; font-size: 0px; overflow: hidden; outline: none; "&gt; &lt;div class =" airy-renderer-container "style =" position: relative; height: 100%; width: 100%; "&gt; &lt;video id =" 15 "preload =" auto " src = "https://images-eu.ssl-images-amazon.com/images/I/B1RUzehMTNS.mp4" style = "position: absolute; left: 0px; top: 0px; overflow: hidden; height: 1px; width: 1px; "&gt; &lt;/ video&gt; &lt;/ div&gt; &lt;div id =" airy-slate-preload "style =" background-color: rgb (0, 0, 0); background-image: url (&amp; quot; https : //images-eu.ssl-images-amazon.com/images/I/81b6Mf3HV4S.png&amp;quot;); background-size: Contain; background-position: center center; background-repeat: no-repeat; position: absolute; top: 0px; left: 0px; visibility: visible; width: 100%; height: 100%; "&gt; &lt;/ div&gt; &lt;iframe sc rolling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-stage-stage airy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B1RUzehMTNS.mp4 "Class =" video-url "&gt; &lt;input type =" hidden "name =" "value =" https://images-eu.ssl-images-amazon.com/images/I/81b6Mf3HV4S.png "class =" video-slate-img-url "&gt; &amp; nbsp; an alarm is very suitable for children, has an alarm to wake you go half an hour before turning on the lights and another to warn them for bedtime. It has three soothing sounds and three stronger. It is very beautiful and original. Recommended 100%. As a gift is very original</v>
      </c>
    </row>
    <row r="9380">
      <c r="A9380" s="1">
        <v>5.0</v>
      </c>
      <c r="B9380" s="1" t="s">
        <v>9306</v>
      </c>
      <c r="C9380" t="str">
        <f>IFERROR(__xludf.DUMMYFUNCTION("GOOGLETRANSLATE(B9380, ""es"", ""en"")"),"Adaptation and sound great. I've given my wife these bluetooth helmets to do sport because it has always used with cable and was very reluctant to this type of device because I thought it would be heard worse or would fall every now and ears .. . and now "&amp;"no longer remove them all. These specifically fit your ears very well and have a great sound. They are nothing annoying since the fastening system used is very natural and very easy to match. A great buy.")</f>
        <v>Adaptation and sound great. I've given my wife these bluetooth helmets to do sport because it has always used with cable and was very reluctant to this type of device because I thought it would be heard worse or would fall every now and ears .. . and now no longer remove them all. These specifically fit your ears very well and have a great sound. They are nothing annoying since the fastening system used is very natural and very easy to match. A great buy.</v>
      </c>
    </row>
    <row r="9381">
      <c r="A9381" s="1">
        <v>5.0</v>
      </c>
      <c r="B9381" s="1" t="s">
        <v>9307</v>
      </c>
      <c r="C9381" t="str">
        <f>IFERROR(__xludf.DUMMYFUNCTION("GOOGLETRANSLATE(B9381, ""es"", ""en"")"),"Robust price and good quality So I let myself be guided by the good reviews and the final has been a triunfazo !! everyone at home has loved it. Easy to install. Everything about him is metallic which gives it strength. I tasted a little sound and good no"&amp;" color recording with this microphone to one of headphones used before, so if advise you not to do them very close to the tower computer and if it is old because however good it is the micro miracles does hehe comes with a USB for example I'll use it to p"&amp;"ut it on the laptop and connect to the microphone and headphones so you can edit with it.")</f>
        <v>Robust price and good quality So I let myself be guided by the good reviews and the final has been a triunfazo !! everyone at home has loved it. Easy to install. Everything about him is metallic which gives it strength. I tasted a little sound and good no color recording with this microphone to one of headphones used before, so if advise you not to do them very close to the tower computer and if it is old because however good it is the micro miracles does hehe comes with a USB for example I'll use it to put it on the laptop and connect to the microphone and headphones so you can edit with it.</v>
      </c>
    </row>
    <row r="9382">
      <c r="A9382" s="1">
        <v>5.0</v>
      </c>
      <c r="B9382" s="1" t="s">
        <v>9308</v>
      </c>
      <c r="C9382" t="str">
        <f>IFERROR(__xludf.DUMMYFUNCTION("GOOGLETRANSLATE(B9382, ""es"", ""en"")"),"The comfort is very comfortable and feel good is what I wanted")</f>
        <v>The comfort is very comfortable and feel good is what I wanted</v>
      </c>
    </row>
    <row r="9383">
      <c r="A9383" s="1">
        <v>5.0</v>
      </c>
      <c r="B9383" s="1" t="s">
        <v>9309</v>
      </c>
      <c r="C9383" t="str">
        <f>IFERROR(__xludf.DUMMYFUNCTION("GOOGLETRANSLATE(B9383, ""es"", ""en"")"),"Convenient to use and a good price. A classic in every office. It works well and its price is more than reasonable. It comes only dispenser, not the tape is included.")</f>
        <v>Convenient to use and a good price. A classic in every office. It works well and its price is more than reasonable. It comes only dispenser, not the tape is included.</v>
      </c>
    </row>
    <row r="9384">
      <c r="A9384" s="1">
        <v>5.0</v>
      </c>
      <c r="B9384" s="1" t="s">
        <v>9310</v>
      </c>
      <c r="C9384" t="str">
        <f>IFERROR(__xludf.DUMMYFUNCTION("GOOGLETRANSLATE(B9384, ""es"", ""en"")"),"Very good in the manual puts that if you register in which you extended to 5 years warranty and only give me 2 otherwise magnificent")</f>
        <v>Very good in the manual puts that if you register in which you extended to 5 years warranty and only give me 2 otherwise magnificent</v>
      </c>
    </row>
    <row r="9385">
      <c r="A9385" s="1">
        <v>5.0</v>
      </c>
      <c r="B9385" s="1" t="s">
        <v>9311</v>
      </c>
      <c r="C9385" t="str">
        <f>IFERROR(__xludf.DUMMYFUNCTION("GOOGLETRANSLATE(B9385, ""es"", ""en"")"),"Good value I got the product correctly state and time, glass bottle. 100% pure and natural, good value for money, I'll buy.")</f>
        <v>Good value I got the product correctly state and time, glass bottle. 100% pure and natural, good value for money, I'll buy.</v>
      </c>
    </row>
    <row r="9386">
      <c r="A9386" s="1">
        <v>5.0</v>
      </c>
      <c r="B9386" s="1" t="s">
        <v>9312</v>
      </c>
      <c r="C9386" t="str">
        <f>IFERROR(__xludf.DUMMYFUNCTION("GOOGLETRANSLATE(B9386, ""es"", ""en"")"),"A 577 👍 never fail.")</f>
        <v>A 577 👍 never fail.</v>
      </c>
    </row>
    <row r="9387">
      <c r="A9387" s="1">
        <v>5.0</v>
      </c>
      <c r="B9387" s="1" t="s">
        <v>9313</v>
      </c>
      <c r="C9387" t="str">
        <f>IFERROR(__xludf.DUMMYFUNCTION("GOOGLETRANSLATE(B9387, ""es"", ""en"")"),"Very comfortable comfort")</f>
        <v>Very comfortable comfort</v>
      </c>
    </row>
    <row r="9388">
      <c r="A9388" s="1">
        <v>5.0</v>
      </c>
      <c r="B9388" s="1" t="s">
        <v>9314</v>
      </c>
      <c r="C9388" t="str">
        <f>IFERROR(__xludf.DUMMYFUNCTION("GOOGLETRANSLATE(B9388, ""es"", ""en"")"),"Very practical practice")</f>
        <v>Very practical practice</v>
      </c>
    </row>
    <row r="9389">
      <c r="A9389" s="1">
        <v>5.0</v>
      </c>
      <c r="B9389" s="1" t="s">
        <v>9315</v>
      </c>
      <c r="C9389" t="str">
        <f>IFERROR(__xludf.DUMMYFUNCTION("GOOGLETRANSLATE(B9389, ""es"", ""en"")"),"The best is the best")</f>
        <v>The best is the best</v>
      </c>
    </row>
    <row r="9390">
      <c r="A9390" s="1">
        <v>5.0</v>
      </c>
      <c r="B9390" s="1" t="s">
        <v>9316</v>
      </c>
      <c r="C9390" t="str">
        <f>IFERROR(__xludf.DUMMYFUNCTION("GOOGLETRANSLATE(B9390, ""es"", ""en"")"),"Perfect Perfect, no fault. Weighs little, nice, simple and functional. G look of shock. ideal, neither small nor large. Great")</f>
        <v>Perfect Perfect, no fault. Weighs little, nice, simple and functional. G look of shock. ideal, neither small nor large. Great</v>
      </c>
    </row>
    <row r="9391">
      <c r="A9391" s="1">
        <v>5.0</v>
      </c>
      <c r="B9391" s="1" t="s">
        <v>9317</v>
      </c>
      <c r="C9391" t="str">
        <f>IFERROR(__xludf.DUMMYFUNCTION("GOOGLETRANSLATE(B9391, ""es"", ""en"")"),"Great for privacy Often when I saw porn at home, my neighbors used to call attention. It turned out to be somewhat annoying having to open the door with straw half. These helmets have been perfect for me to have that much needed privacy. Even now I can wa"&amp;"tch porn on mobile.")</f>
        <v>Great for privacy Often when I saw porn at home, my neighbors used to call attention. It turned out to be somewhat annoying having to open the door with straw half. These helmets have been perfect for me to have that much needed privacy. Even now I can watch porn on mobile.</v>
      </c>
    </row>
    <row r="9392">
      <c r="A9392" s="1">
        <v>5.0</v>
      </c>
      <c r="B9392" s="1" t="s">
        <v>9318</v>
      </c>
      <c r="C9392" t="str">
        <f>IFERROR(__xludf.DUMMYFUNCTION("GOOGLETRANSLATE(B9392, ""es"", ""en"")"),"It is recommended good catch more a size. It's good quality.")</f>
        <v>It is recommended good catch more a size. It's good quality.</v>
      </c>
    </row>
    <row r="9393">
      <c r="A9393" s="1">
        <v>2.0</v>
      </c>
      <c r="B9393" s="1" t="s">
        <v>9319</v>
      </c>
      <c r="C9393" t="str">
        <f>IFERROR(__xludf.DUMMYFUNCTION("GOOGLETRANSLATE(B9393, ""es"", ""en"")"),"Good not loose liked the scent of vanilla and wood, it seems too loose even putting more of the account, is hardly noticeable in the environment and not whether the machine or the aroma itself.")</f>
        <v>Good not loose liked the scent of vanilla and wood, it seems too loose even putting more of the account, is hardly noticeable in the environment and not whether the machine or the aroma itself.</v>
      </c>
    </row>
    <row r="9394">
      <c r="A9394" s="1">
        <v>3.0</v>
      </c>
      <c r="B9394" s="1" t="s">
        <v>9320</v>
      </c>
      <c r="C9394" t="str">
        <f>IFERROR(__xludf.DUMMYFUNCTION("GOOGLETRANSLATE(B9394, ""es"", ""en"")"),"small are smaller .leimos in the comments that came large and took a less .but now too small")</f>
        <v>small are smaller .leimos in the comments that came large and took a less .but now too small</v>
      </c>
    </row>
    <row r="9395">
      <c r="A9395" s="1">
        <v>3.0</v>
      </c>
      <c r="B9395" s="1" t="s">
        <v>9321</v>
      </c>
      <c r="C9395" t="str">
        <f>IFERROR(__xludf.DUMMYFUNCTION("GOOGLETRANSLATE(B9395, ""es"", ""en"")"),"Flipflops flipflops as normal as normal. The size is a bit smaller than q sets. Good finish. For the price it's fine.")</f>
        <v>Flipflops flipflops as normal as normal. The size is a bit smaller than q sets. Good finish. For the price it's fine.</v>
      </c>
    </row>
    <row r="9396">
      <c r="A9396" s="1">
        <v>1.0</v>
      </c>
      <c r="B9396" s="1" t="s">
        <v>9322</v>
      </c>
      <c r="C9396" t="str">
        <f>IFERROR(__xludf.DUMMYFUNCTION("GOOGLETRANSLATE(B9396, ""es"", ""en"")"),"With battery obsolescence. Logitech, does not supply battery when it is damaged or out. The battery has a limited life and Logitech, has decided that when you have no battery, tires command. Very expensive for this situation. So either you take out much g"&amp;"ame as long as the battery or you run out of control in a few years (2-4 years). Command decided to return because I do not want it under these conditions. I want a command to last long and can replace the battery at any time. I do not recommend this comm"&amp;"and if you want it to last. If you want it for a year or two, you can buy it.")</f>
        <v>With battery obsolescence. Logitech, does not supply battery when it is damaged or out. The battery has a limited life and Logitech, has decided that when you have no battery, tires command. Very expensive for this situation. So either you take out much game as long as the battery or you run out of control in a few years (2-4 years). Command decided to return because I do not want it under these conditions. I want a command to last long and can replace the battery at any time. I do not recommend this command if you want it to last. If you want it for a year or two, you can buy it.</v>
      </c>
    </row>
    <row r="9397">
      <c r="A9397" s="1">
        <v>1.0</v>
      </c>
      <c r="B9397" s="1" t="s">
        <v>9323</v>
      </c>
      <c r="C9397" t="str">
        <f>IFERROR(__xludf.DUMMYFUNCTION("GOOGLETRANSLATE(B9397, ""es"", ""en"")"),"Sound disappointing to be AKG sound is disappointing. I expected more from a brand like AKG. The sound is canned and very unnatural. I do not recommend at all.")</f>
        <v>Sound disappointing to be AKG sound is disappointing. I expected more from a brand like AKG. The sound is canned and very unnatural. I do not recommend at all.</v>
      </c>
    </row>
    <row r="9398">
      <c r="A9398" s="1">
        <v>4.0</v>
      </c>
      <c r="B9398" s="1" t="s">
        <v>9324</v>
      </c>
      <c r="C9398" t="str">
        <f>IFERROR(__xludf.DUMMYFUNCTION("GOOGLETRANSLATE(B9398, ""es"", ""en"")"),"Warms quickly highly recommended. I stick it in a bucket of water and within 10 minutes seems like a sauna bath also has a bulge handle to hook into the bucket and not to touch.")</f>
        <v>Warms quickly highly recommended. I stick it in a bucket of water and within 10 minutes seems like a sauna bath also has a bulge handle to hook into the bucket and not to touch.</v>
      </c>
    </row>
    <row r="9399">
      <c r="A9399" s="1">
        <v>4.0</v>
      </c>
      <c r="B9399" s="1" t="s">
        <v>9325</v>
      </c>
      <c r="C9399" t="str">
        <f>IFERROR(__xludf.DUMMYFUNCTION("GOOGLETRANSLATE(B9399, ""es"", ""en"")"),"Nice and big pelín The chancla is very nice and light. Although it is a big deal, especially in width. The width of the mold is pretty and does not touch tape firmly above the instep. In sneakers I chock 43.1 / 3 or 43.5 with thick sock. Here I have asked"&amp;" for a 43 and I are a little big. I attach a photo. I bought another, this time a 42, and 43 I have given. There is not much difference in size with 43. 42 I was very fair, but over time has given way ... It is as if, weight, soles was expanding. They are"&amp;" very comfortable. I recommend 100%.")</f>
        <v>Nice and big pelín The chancla is very nice and light. Although it is a big deal, especially in width. The width of the mold is pretty and does not touch tape firmly above the instep. In sneakers I chock 43.1 / 3 or 43.5 with thick sock. Here I have asked for a 43 and I are a little big. I attach a photo. I bought another, this time a 42, and 43 I have given. There is not much difference in size with 43. 42 I was very fair, but over time has given way ... It is as if, weight, soles was expanding. They are very comfortable. I recommend 100%.</v>
      </c>
    </row>
    <row r="9400">
      <c r="A9400" s="1">
        <v>4.0</v>
      </c>
      <c r="B9400" s="1" t="s">
        <v>9326</v>
      </c>
      <c r="C9400" t="str">
        <f>IFERROR(__xludf.DUMMYFUNCTION("GOOGLETRANSLATE(B9400, ""es"", ""en"")"),"Ideal Yes very good for the sport")</f>
        <v>Ideal Yes very good for the sport</v>
      </c>
    </row>
    <row r="9401">
      <c r="A9401" s="1">
        <v>4.0</v>
      </c>
      <c r="B9401" s="1" t="s">
        <v>9327</v>
      </c>
      <c r="C9401" t="str">
        <f>IFERROR(__xludf.DUMMYFUNCTION("GOOGLETRANSLATE(B9401, ""es"", ""en"")"),"Quality / Price 10 The product itself is nothing mañ. It serves perfectly for podcast recording and small acoustic guitar models. The only bad Seri Aque record them in the time of a low pilla not very well, and in my case, is a big problem. For the rest, "&amp;"perfect and recommended. P.S. Coriente the transformer of the NW-100 makes noise but leave it connected to the phantom box is turned off.")</f>
        <v>Quality / Price 10 The product itself is nothing mañ. It serves perfectly for podcast recording and small acoustic guitar models. The only bad Seri Aque record them in the time of a low pilla not very well, and in my case, is a big problem. For the rest, perfect and recommended. P.S. Coriente the transformer of the NW-100 makes noise but leave it connected to the phantom box is turned off.</v>
      </c>
    </row>
    <row r="9402">
      <c r="A9402" s="1">
        <v>4.0</v>
      </c>
      <c r="B9402" s="1" t="s">
        <v>9328</v>
      </c>
      <c r="C9402" t="str">
        <f>IFERROR(__xludf.DUMMYFUNCTION("GOOGLETRANSLATE(B9402, ""es"", ""en"")"),"Great sound quality We love the product, the sound exceeds our expectations. Well with two microphones, one wireless and one wired. Although handling is somewhat confusing, when balancing the sound of music with microphones, finally we got to balance ever"&amp;"ything for use as karaoke. Very good product.")</f>
        <v>Great sound quality We love the product, the sound exceeds our expectations. Well with two microphones, one wireless and one wired. Although handling is somewhat confusing, when balancing the sound of music with microphones, finally we got to balance everything for use as karaoke. Very good product.</v>
      </c>
    </row>
    <row r="9403">
      <c r="A9403" s="1">
        <v>5.0</v>
      </c>
      <c r="B9403" s="1" t="s">
        <v>9329</v>
      </c>
      <c r="C9403" t="str">
        <f>IFERROR(__xludf.DUMMYFUNCTION("GOOGLETRANSLATE(B9403, ""es"", ""en"")"),"Simply happy is a lightweight, comfortable and with some style clock. Good value for money. I've gotten into the pool a couple of times without problems.")</f>
        <v>Simply happy is a lightweight, comfortable and with some style clock. Good value for money. I've gotten into the pool a couple of times without problems.</v>
      </c>
    </row>
    <row r="9404">
      <c r="A9404" s="1">
        <v>5.0</v>
      </c>
      <c r="B9404" s="1" t="s">
        <v>9330</v>
      </c>
      <c r="C9404" t="str">
        <f>IFERROR(__xludf.DUMMYFUNCTION("GOOGLETRANSLATE(B9404, ""es"", ""en"")"),"Marcos75've had several brands and Seagate for me is the best, maker of a lifetime of hard disks. Install a minute and it works like a charm, fast and very reliable I have one 5 years thus giving cane 10.")</f>
        <v>Marcos75've had several brands and Seagate for me is the best, maker of a lifetime of hard disks. Install a minute and it works like a charm, fast and very reliable I have one 5 years thus giving cane 10.</v>
      </c>
    </row>
    <row r="9405">
      <c r="A9405" s="1">
        <v>5.0</v>
      </c>
      <c r="B9405" s="1" t="s">
        <v>9331</v>
      </c>
      <c r="C9405" t="str">
        <f>IFERROR(__xludf.DUMMYFUNCTION("GOOGLETRANSLATE(B9405, ""es"", ""en"")"),"Maybe less than 40 rupees for less than 40 € There is no more reliable brand. My Computer (newly formatted with Windows 10) is turning past the HDD 30 seconds to do with the ssd in about 8-10 seconds. In addition everything goes smooth and fast.")</f>
        <v>Maybe less than 40 rupees for less than 40 € There is no more reliable brand. My Computer (newly formatted with Windows 10) is turning past the HDD 30 seconds to do with the ssd in about 8-10 seconds. In addition everything goes smooth and fast.</v>
      </c>
    </row>
    <row r="9406">
      <c r="A9406" s="1">
        <v>5.0</v>
      </c>
      <c r="B9406" s="1" t="s">
        <v>9332</v>
      </c>
      <c r="C9406" t="str">
        <f>IFERROR(__xludf.DUMMYFUNCTION("GOOGLETRANSLATE(B9406, ""es"", ""en"")"),"Great not getting them anywhere and these were good, nice and cheap")</f>
        <v>Great not getting them anywhere and these were good, nice and cheap</v>
      </c>
    </row>
    <row r="9407">
      <c r="A9407" s="1">
        <v>5.0</v>
      </c>
      <c r="B9407" s="1" t="s">
        <v>9333</v>
      </c>
      <c r="C9407" t="str">
        <f>IFERROR(__xludf.DUMMYFUNCTION("GOOGLETRANSLATE(B9407, ""es"", ""en"")"),"It does not come with Ableton Live Lite puts in the description that comes with Ableton Live Lite. Not true, you have to download it from the Internet. I would not be more to come with an installation disk. Regarding the keyboard, I am very glad I made th"&amp;"is purchase. It is tough and highly functional. outstanding deserves.")</f>
        <v>It does not come with Ableton Live Lite puts in the description that comes with Ableton Live Lite. Not true, you have to download it from the Internet. I would not be more to come with an installation disk. Regarding the keyboard, I am very glad I made this purchase. It is tough and highly functional. outstanding deserves.</v>
      </c>
    </row>
    <row r="9408">
      <c r="A9408" s="1">
        <v>5.0</v>
      </c>
      <c r="B9408" s="1" t="s">
        <v>9334</v>
      </c>
      <c r="C9408" t="str">
        <f>IFERROR(__xludf.DUMMYFUNCTION("GOOGLETRANSLATE(B9408, ""es"", ""en"")"),"Very light, very beautiful they are very nice and weigh nothing. They perfect and in time they arrived.")</f>
        <v>Very light, very beautiful they are very nice and weigh nothing. They perfect and in time they arrived.</v>
      </c>
    </row>
    <row r="9409">
      <c r="A9409" s="1">
        <v>5.0</v>
      </c>
      <c r="B9409" s="1" t="s">
        <v>9335</v>
      </c>
      <c r="C9409" t="str">
        <f>IFERROR(__xludf.DUMMYFUNCTION("GOOGLETRANSLATE(B9409, ""es"", ""en"")"),"Beautifully designed with perfect value for money good balance of weight, good suction, does not move to the function. Premium appearance, good design. Works great value for money.")</f>
        <v>Beautifully designed with perfect value for money good balance of weight, good suction, does not move to the function. Premium appearance, good design. Works great value for money.</v>
      </c>
    </row>
    <row r="9410">
      <c r="A9410" s="1">
        <v>5.0</v>
      </c>
      <c r="B9410" s="1" t="s">
        <v>9336</v>
      </c>
      <c r="C9410" t="str">
        <f>IFERROR(__xludf.DUMMYFUNCTION("GOOGLETRANSLATE(B9410, ""es"", ""en"")"),"Perfect This is great, in my house are very coffee and this is ideal. We have separate capsules herbal teas, decaffeinated, coffee ... Etc")</f>
        <v>Perfect This is great, in my house are very coffee and this is ideal. We have separate capsules herbal teas, decaffeinated, coffee ... Etc</v>
      </c>
    </row>
    <row r="9411">
      <c r="A9411" s="1">
        <v>5.0</v>
      </c>
      <c r="B9411" s="1" t="s">
        <v>9337</v>
      </c>
      <c r="C9411" t="str">
        <f>IFERROR(__xludf.DUMMYFUNCTION("GOOGLETRANSLATE(B9411, ""es"", ""en"")"),"Perfect perfect fixation and invisible to stick and fix boxes lightweight in smooth walls with perlite. I hope you hold but for now is great and above and is transparent or if you notice")</f>
        <v>Perfect perfect fixation and invisible to stick and fix boxes lightweight in smooth walls with perlite. I hope you hold but for now is great and above and is transparent or if you notice</v>
      </c>
    </row>
    <row r="9412">
      <c r="A9412" s="1">
        <v>5.0</v>
      </c>
      <c r="B9412" s="1" t="s">
        <v>9338</v>
      </c>
      <c r="C9412" t="str">
        <f>IFERROR(__xludf.DUMMYFUNCTION("GOOGLETRANSLATE(B9412, ""es"", ""en"")"),"Ideal atmosphere for a stay Easy to use, creates a good environment whenever it is used correctly. Fill the tank and put those recommended by the manufacturer of the essence and adjust to taste drops. Change the water every two days if you have not spent "&amp;"the reservoir, but the essence and water tends to decompose and smell bad. Not add more drops if you stop smell is normal, we got used to it and stop to smell but still works. Do not put more drops if we spent some of the water because it generates odor. "&amp;"Thoroughly clean well if we are to change the essence, but will mix and can give a funny smell.")</f>
        <v>Ideal atmosphere for a stay Easy to use, creates a good environment whenever it is used correctly. Fill the tank and put those recommended by the manufacturer of the essence and adjust to taste drops. Change the water every two days if you have not spent the reservoir, but the essence and water tends to decompose and smell bad. Not add more drops if you stop smell is normal, we got used to it and stop to smell but still works. Do not put more drops if we spent some of the water because it generates odor. Thoroughly clean well if we are to change the essence, but will mix and can give a funny smell.</v>
      </c>
    </row>
    <row r="9413">
      <c r="A9413" s="1">
        <v>5.0</v>
      </c>
      <c r="B9413" s="1" t="s">
        <v>9339</v>
      </c>
      <c r="C9413" t="str">
        <f>IFERROR(__xludf.DUMMYFUNCTION("GOOGLETRANSLATE(B9413, ""es"", ""en"")"),"Great perfect, superlight and comfortable, ideal for running")</f>
        <v>Great perfect, superlight and comfortable, ideal for running</v>
      </c>
    </row>
    <row r="9414">
      <c r="A9414" s="1">
        <v>5.0</v>
      </c>
      <c r="B9414" s="1" t="s">
        <v>9340</v>
      </c>
      <c r="C9414" t="str">
        <f>IFERROR(__xludf.DUMMYFUNCTION("GOOGLETRANSLATE(B9414, ""es"", ""en"")"),"Expetaculars lovely, great price, plus the prime day a bargain")</f>
        <v>Expetaculars lovely, great price, plus the prime day a bargain</v>
      </c>
    </row>
    <row r="9415">
      <c r="A9415" s="1">
        <v>5.0</v>
      </c>
      <c r="B9415" s="1" t="s">
        <v>9341</v>
      </c>
      <c r="C9415" t="str">
        <f>IFERROR(__xludf.DUMMYFUNCTION("GOOGLETRANSLATE(B9415, ""es"", ""en"")"),"I love Feel very well in the ear and the sound quality is fine. The load is very fast and the battery lasts enough. I recommend it.")</f>
        <v>I love Feel very well in the ear and the sound quality is fine. The load is very fast and the battery lasts enough. I recommend it.</v>
      </c>
    </row>
    <row r="9416">
      <c r="A9416" s="1">
        <v>5.0</v>
      </c>
      <c r="B9416" s="1" t="s">
        <v>9342</v>
      </c>
      <c r="C9416" t="str">
        <f>IFERROR(__xludf.DUMMYFUNCTION("GOOGLETRANSLATE(B9416, ""es"", ""en"")"),"Fulfill their function Good value for money, I will buy them.")</f>
        <v>Fulfill their function Good value for money, I will buy them.</v>
      </c>
    </row>
    <row r="9417">
      <c r="A9417" s="1">
        <v>5.0</v>
      </c>
      <c r="B9417" s="1" t="s">
        <v>9343</v>
      </c>
      <c r="C9417" t="str">
        <f>IFERROR(__xludf.DUMMYFUNCTION("GOOGLETRANSLATE(B9417, ""es"", ""en"")"),"Beautiful and very comfortable Super soft, perfectly they fit my feet and felt I firmly holds the ankle important thing when we talk about sports like athletics or running. They perspire quite well what is appreciated. And the unbeatable price. I love.")</f>
        <v>Beautiful and very comfortable Super soft, perfectly they fit my feet and felt I firmly holds the ankle important thing when we talk about sports like athletics or running. They perspire quite well what is appreciated. And the unbeatable price. I love.</v>
      </c>
    </row>
    <row r="9418">
      <c r="A9418" s="1">
        <v>5.0</v>
      </c>
      <c r="B9418" s="1" t="s">
        <v>9344</v>
      </c>
      <c r="C9418" t="str">
        <f>IFERROR(__xludf.DUMMYFUNCTION("GOOGLETRANSLATE(B9418, ""es"", ""en"")"),"Robot vacuum cleaner Rowenta been a perfect gift. Aspira well, scrubbing is done with the mop and water initially seemed understaffed, but just enough to leave the phenomenal ground, I never thought I was going to take so much work. I'm delighted.")</f>
        <v>Robot vacuum cleaner Rowenta been a perfect gift. Aspira well, scrubbing is done with the mop and water initially seemed understaffed, but just enough to leave the phenomenal ground, I never thought I was going to take so much work. I'm delighted.</v>
      </c>
    </row>
    <row r="9419">
      <c r="A9419" s="1">
        <v>5.0</v>
      </c>
      <c r="B9419" s="1" t="s">
        <v>9345</v>
      </c>
      <c r="C9419" t="str">
        <f>IFERROR(__xludf.DUMMYFUNCTION("GOOGLETRANSLATE(B9419, ""es"", ""en"")"),"Great great! They are the original but an incredible imprecio !! It really worth buying them online because they have the discount is nothing like the stores! Hopefully lasting enough!")</f>
        <v>Great great! They are the original but an incredible imprecio !! It really worth buying them online because they have the discount is nothing like the stores! Hopefully lasting enough!</v>
      </c>
    </row>
    <row r="9420">
      <c r="A9420" s="1">
        <v>5.0</v>
      </c>
      <c r="B9420" s="1" t="s">
        <v>9346</v>
      </c>
      <c r="C9420" t="str">
        <f>IFERROR(__xludf.DUMMYFUNCTION("GOOGLETRANSLATE(B9420, ""es"", ""en"")"),"Very clean Be careful when removing the plastic protector and remove more qeu not necessary to rub the hair, if you take away too can be released. Clean, clean surprisingly excellently.")</f>
        <v>Very clean Be careful when removing the plastic protector and remove more qeu not necessary to rub the hair, if you take away too can be released. Clean, clean surprisingly excellently.</v>
      </c>
    </row>
    <row r="9421">
      <c r="A9421" s="1">
        <v>2.0</v>
      </c>
      <c r="B9421" s="1" t="s">
        <v>9347</v>
      </c>
      <c r="C9421" t="str">
        <f>IFERROR(__xludf.DUMMYFUNCTION("GOOGLETRANSLATE(B9421, ""es"", ""en"")"),"OK but ... is small and the theme of light is good, the bad is that it comes with file system, exFAT (default) and NTFS, no FAT32, at the least that I have received. The trouble is that I can no longer return to break the wrapping to open it.")</f>
        <v>OK but ... is small and the theme of light is good, the bad is that it comes with file system, exFAT (default) and NTFS, no FAT32, at the least that I have received. The trouble is that I can no longer return to break the wrapping to open it.</v>
      </c>
    </row>
    <row r="9422">
      <c r="A9422" s="1">
        <v>3.0</v>
      </c>
      <c r="B9422" s="1" t="s">
        <v>9348</v>
      </c>
      <c r="C9422" t="str">
        <f>IFERROR(__xludf.DUMMYFUNCTION("GOOGLETRANSLATE(B9422, ""es"", ""en"")"),"Not what I expected I get problems on mobile")</f>
        <v>Not what I expected I get problems on mobile</v>
      </c>
    </row>
    <row r="9423">
      <c r="A9423" s="1">
        <v>3.0</v>
      </c>
      <c r="B9423" s="1" t="s">
        <v>9349</v>
      </c>
      <c r="C9423" t="str">
        <f>IFERROR(__xludf.DUMMYFUNCTION("GOOGLETRANSLATE(B9423, ""es"", ""en"")"),"It is simple than I expected, and had given them one more star but one with zipper came misplaced and can not be close to everything. I caught a number more by the recommendations read to and I was right.")</f>
        <v>It is simple than I expected, and had given them one more star but one with zipper came misplaced and can not be close to everything. I caught a number more by the recommendations read to and I was right.</v>
      </c>
    </row>
    <row r="9424">
      <c r="A9424" s="1">
        <v>1.0</v>
      </c>
      <c r="B9424" s="1" t="s">
        <v>9350</v>
      </c>
      <c r="C9424" t="str">
        <f>IFERROR(__xludf.DUMMYFUNCTION("GOOGLETRANSLATE(B9424, ""es"", ""en"")"),"Disgraceful The screen has come Grated me .... a shame for the price it has")</f>
        <v>Disgraceful The screen has come Grated me .... a shame for the price it has</v>
      </c>
    </row>
    <row r="9425">
      <c r="A9425" s="1">
        <v>1.0</v>
      </c>
      <c r="B9425" s="1" t="s">
        <v>9351</v>
      </c>
      <c r="C9425" t="str">
        <f>IFERROR(__xludf.DUMMYFUNCTION("GOOGLETRANSLATE(B9425, ""es"", ""en"")"),"Vinegar is not worth buying this product. Vinegar is 0.4 degrees. Better to buy a white label white vinegar 0.4 degrees and it will do the same.")</f>
        <v>Vinegar is not worth buying this product. Vinegar is 0.4 degrees. Better to buy a white label white vinegar 0.4 degrees and it will do the same.</v>
      </c>
    </row>
    <row r="9426">
      <c r="A9426" s="1">
        <v>1.0</v>
      </c>
      <c r="B9426" s="1" t="s">
        <v>9352</v>
      </c>
      <c r="C9426" t="str">
        <f>IFERROR(__xludf.DUMMYFUNCTION("GOOGLETRANSLATE(B9426, ""es"", ""en"")"),"Oh no no no it seems like nothing pants photography.")</f>
        <v>Oh no no no it seems like nothing pants photography.</v>
      </c>
    </row>
    <row r="9427">
      <c r="A9427" s="1">
        <v>4.0</v>
      </c>
      <c r="B9427" s="1" t="s">
        <v>9353</v>
      </c>
      <c r="C9427" t="str">
        <f>IFERROR(__xludf.DUMMYFUNCTION("GOOGLETRANSLATE(B9427, ""es"", ""en"")"),"Quality on a good size I bought this kettle for work, to have water for tea or infusion. We use two people, well, give 3-4 cups. The quality of the product is good, it looks strong and finishes are also good. Has a filter in the nozzle, I guess if you wan"&amp;"t to infuse what is inside directly. This filter is easily removed for cleaning. Cleaning is easy and convenient thanks to the entire lid opens and fits the hand. The size is ideal for not having a contraption there on the table, takes a cable which is in"&amp;"cluded in the base itself to occupy the just, and operation is simple as could be, with a lever on and off. Heats, no water very quickly takes a minute, and has a meter to see how much you're throwing. The only fault I find is the noise. Not that it's unb"&amp;"earable, but rather is heard, and in the office when we are all quietly, so the use or early or when there is more noise because if I'm not ashamed. But very happy with the purchase, it is good and Kookie, see if I did not take away the prevention of occu"&amp;"pational hazards.")</f>
        <v>Quality on a good size I bought this kettle for work, to have water for tea or infusion. We use two people, well, give 3-4 cups. The quality of the product is good, it looks strong and finishes are also good. Has a filter in the nozzle, I guess if you want to infuse what is inside directly. This filter is easily removed for cleaning. Cleaning is easy and convenient thanks to the entire lid opens and fits the hand. The size is ideal for not having a contraption there on the table, takes a cable which is included in the base itself to occupy the just, and operation is simple as could be, with a lever on and off. Heats, no water very quickly takes a minute, and has a meter to see how much you're throwing. The only fault I find is the noise. Not that it's unbearable, but rather is heard, and in the office when we are all quietly, so the use or early or when there is more noise because if I'm not ashamed. But very happy with the purchase, it is good and Kookie, see if I did not take away the prevention of occupational hazards.</v>
      </c>
    </row>
    <row r="9428">
      <c r="A9428" s="1">
        <v>4.0</v>
      </c>
      <c r="B9428" s="1" t="s">
        <v>9354</v>
      </c>
      <c r="C9428" t="str">
        <f>IFERROR(__xludf.DUMMYFUNCTION("GOOGLETRANSLATE(B9428, ""es"", ""en"")"),"Well all right")</f>
        <v>Well all right</v>
      </c>
    </row>
    <row r="9429">
      <c r="A9429" s="1">
        <v>4.0</v>
      </c>
      <c r="B9429" s="1" t="s">
        <v>9355</v>
      </c>
      <c r="C9429" t="str">
        <f>IFERROR(__xludf.DUMMYFUNCTION("GOOGLETRANSLATE(B9429, ""es"", ""en"")"),"Excellent access option gshock good value for money. Excellent choice for access to gshock. right lighting to check the time at night, but only see the needles. Improve in touch buttons. I do not give it 5 stars because we had to ask for a replacement not"&amp;" come with the battery. In less than 24 hours I was solved with the new order in my house.")</f>
        <v>Excellent access option gshock good value for money. Excellent choice for access to gshock. right lighting to check the time at night, but only see the needles. Improve in touch buttons. I do not give it 5 stars because we had to ask for a replacement not come with the battery. In less than 24 hours I was solved with the new order in my house.</v>
      </c>
    </row>
    <row r="9430">
      <c r="A9430" s="1">
        <v>4.0</v>
      </c>
      <c r="B9430" s="1" t="s">
        <v>9356</v>
      </c>
      <c r="C9430" t="str">
        <f>IFERROR(__xludf.DUMMYFUNCTION("GOOGLETRANSLATE(B9430, ""es"", ""en"")"),"I chose these good buy, which were the most expensive, because I had so many papers to file and preferred to buy some more quality. The quality of the material is very good (they are firm, not easily bend) but are slightly opaque, as if they were dust, ar"&amp;"e not transparent 100% but I do not care too much.")</f>
        <v>I chose these good buy, which were the most expensive, because I had so many papers to file and preferred to buy some more quality. The quality of the material is very good (they are firm, not easily bend) but are slightly opaque, as if they were dust, are not transparent 100% but I do not care too much.</v>
      </c>
    </row>
    <row r="9431">
      <c r="A9431" s="1">
        <v>5.0</v>
      </c>
      <c r="B9431" s="1" t="s">
        <v>9357</v>
      </c>
      <c r="C9431" t="str">
        <f>IFERROR(__xludf.DUMMYFUNCTION("GOOGLETRANSLATE(B9431, ""es"", ""en"")"),"comfortable and manageable is very manageable and clean phenomenal the remains of the blades")</f>
        <v>comfortable and manageable is very manageable and clean phenomenal the remains of the blades</v>
      </c>
    </row>
    <row r="9432">
      <c r="A9432" s="1">
        <v>5.0</v>
      </c>
      <c r="B9432" s="1" t="s">
        <v>9358</v>
      </c>
      <c r="C9432" t="str">
        <f>IFERROR(__xludf.DUMMYFUNCTION("GOOGLETRANSLATE(B9432, ""es"", ""en"")"),"Great buy! He came well packaged, it is beautiful, the perfect spot to cool beer and not cast too much foam beer if you know how to shoot. A great buy.")</f>
        <v>Great buy! He came well packaged, it is beautiful, the perfect spot to cool beer and not cast too much foam beer if you know how to shoot. A great buy.</v>
      </c>
    </row>
    <row r="9433">
      <c r="A9433" s="1">
        <v>5.0</v>
      </c>
      <c r="B9433" s="1" t="s">
        <v>9354</v>
      </c>
      <c r="C9433" t="str">
        <f>IFERROR(__xludf.DUMMYFUNCTION("GOOGLETRANSLATE(B9433, ""es"", ""en"")"),"Well all right")</f>
        <v>Well all right</v>
      </c>
    </row>
    <row r="9434">
      <c r="A9434" s="1">
        <v>5.0</v>
      </c>
      <c r="B9434" s="1" t="s">
        <v>9359</v>
      </c>
      <c r="C9434" t="str">
        <f>IFERROR(__xludf.DUMMYFUNCTION("GOOGLETRANSLATE(B9434, ""es"", ""en"")"),"Nice and comfortable. Correct size. We comfy and very bonitas.Buen washing. I recommend them.")</f>
        <v>Nice and comfortable. Correct size. We comfy and very bonitas.Buen washing. I recommend them.</v>
      </c>
    </row>
    <row r="9435">
      <c r="A9435" s="1">
        <v>5.0</v>
      </c>
      <c r="B9435" s="1" t="s">
        <v>9360</v>
      </c>
      <c r="C9435" t="str">
        <f>IFERROR(__xludf.DUMMYFUNCTION("GOOGLETRANSLATE(B9435, ""es"", ""en"")"),"Work does not slip into a kitchen and does not slip what he wanted. They are quite comfortable")</f>
        <v>Work does not slip into a kitchen and does not slip what he wanted. They are quite comfortable</v>
      </c>
    </row>
    <row r="9436">
      <c r="A9436" s="1">
        <v>5.0</v>
      </c>
      <c r="B9436" s="1" t="s">
        <v>9361</v>
      </c>
      <c r="C9436" t="str">
        <f>IFERROR(__xludf.DUMMYFUNCTION("GOOGLETRANSLATE(B9436, ""es"", ""en"")"),"Juan Carlos I love, I had doubts about whether they were originals but are original, maybe I should have taken the 41, he gives a lot of size, good for next time")</f>
        <v>Juan Carlos I love, I had doubts about whether they were originals but are original, maybe I should have taken the 41, he gives a lot of size, good for next time</v>
      </c>
    </row>
    <row r="9437">
      <c r="A9437" s="1">
        <v>5.0</v>
      </c>
      <c r="B9437" s="1" t="s">
        <v>9362</v>
      </c>
      <c r="C9437" t="str">
        <f>IFERROR(__xludf.DUMMYFUNCTION("GOOGLETRANSLATE(B9437, ""es"", ""en"")"),"Read about 31MB / s and writes to 11Mb / s. Standard Class 10 card is a Class 10 UHS-I, and meets the standards that are required. No errors read / write since I bought it, and this a long time ago, so you can not ask for more. The brand has always been t"&amp;"he least reliable since I've known and can not be any objection. What he describes, it is what gives. Perfect but today, there are other purchase options better positioned. Cheers,")</f>
        <v>Read about 31MB / s and writes to 11Mb / s. Standard Class 10 card is a Class 10 UHS-I, and meets the standards that are required. No errors read / write since I bought it, and this a long time ago, so you can not ask for more. The brand has always been the least reliable since I've known and can not be any objection. What he describes, it is what gives. Perfect but today, there are other purchase options better positioned. Cheers,</v>
      </c>
    </row>
    <row r="9438">
      <c r="A9438" s="1">
        <v>5.0</v>
      </c>
      <c r="B9438" s="1" t="s">
        <v>9363</v>
      </c>
      <c r="C9438" t="str">
        <f>IFERROR(__xludf.DUMMYFUNCTION("GOOGLETRANSLATE(B9438, ""es"", ""en"")"),"Great perfect truth")</f>
        <v>Great perfect truth</v>
      </c>
    </row>
    <row r="9439">
      <c r="A9439" s="1">
        <v>5.0</v>
      </c>
      <c r="B9439" s="1" t="s">
        <v>9364</v>
      </c>
      <c r="C9439" t="str">
        <f>IFERROR(__xludf.DUMMYFUNCTION("GOOGLETRANSLATE(B9439, ""es"", ""en"")"),"Xuji this mixer is very good for homes, machine is very strong whatever you want to use, easy to use and easy to clean.")</f>
        <v>Xuji this mixer is very good for homes, machine is very strong whatever you want to use, easy to use and easy to clean.</v>
      </c>
    </row>
    <row r="9440">
      <c r="A9440" s="1">
        <v>5.0</v>
      </c>
      <c r="B9440" s="1" t="s">
        <v>9365</v>
      </c>
      <c r="C9440" t="str">
        <f>IFERROR(__xludf.DUMMYFUNCTION("GOOGLETRANSLATE(B9440, ""es"", ""en"")"),"Resistant !! Resistant !! It was for a moving and has not taken off or a box !!")</f>
        <v>Resistant !! Resistant !! It was for a moving and has not taken off or a box !!</v>
      </c>
    </row>
    <row r="9441">
      <c r="A9441" s="1">
        <v>5.0</v>
      </c>
      <c r="B9441" s="1" t="s">
        <v>9366</v>
      </c>
      <c r="C9441" t="str">
        <f>IFERROR(__xludf.DUMMYFUNCTION("GOOGLETRANSLATE(B9441, ""es"", ""en"")"),"Small and practical is smaller than one that had the same capacity and I like and what I like most is the remote, I have it on a shelf away from the table and works great and also command, even if it is turned off I can only use the light when I wake up a"&amp;"t midnight without disturbing my partner")</f>
        <v>Small and practical is smaller than one that had the same capacity and I like and what I like most is the remote, I have it on a shelf away from the table and works great and also command, even if it is turned off I can only use the light when I wake up at midnight without disturbing my partner</v>
      </c>
    </row>
    <row r="9442">
      <c r="A9442" s="1">
        <v>5.0</v>
      </c>
      <c r="B9442" s="1" t="s">
        <v>9367</v>
      </c>
      <c r="C9442" t="str">
        <f>IFERROR(__xludf.DUMMYFUNCTION("GOOGLETRANSLATE(B9442, ""es"", ""en"")"),"Very happy with my purchase. Excellent quality / price Good all! The truth is that this purchase was a pleasant surprise. The sound quality is very good, during calls seamlessly listen as the sharpness of the sound is impeccable. In addition the device co"&amp;"nnectivity is very easy. The charging time is approximately one hour, while very small considering the duration of the battery. I've been using various helmets days and I have not had to reload As for the versatility of helmets, allow both listen to easy "&amp;"music, how to use them in the gym during exercise as they adapt perfectly to the ear. In short, I am enchanted with these headphones =) and I recommend it 100%.")</f>
        <v>Very happy with my purchase. Excellent quality / price Good all! The truth is that this purchase was a pleasant surprise. The sound quality is very good, during calls seamlessly listen as the sharpness of the sound is impeccable. In addition the device connectivity is very easy. The charging time is approximately one hour, while very small considering the duration of the battery. I've been using various helmets days and I have not had to reload As for the versatility of helmets, allow both listen to easy music, how to use them in the gym during exercise as they adapt perfectly to the ear. In short, I am enchanted with these headphones =) and I recommend it 100%.</v>
      </c>
    </row>
    <row r="9443">
      <c r="A9443" s="1">
        <v>5.0</v>
      </c>
      <c r="B9443" s="1" t="s">
        <v>9368</v>
      </c>
      <c r="C9443" t="str">
        <f>IFERROR(__xludf.DUMMYFUNCTION("GOOGLETRANSLATE(B9443, ""es"", ""en"")"),"Fabulous location very crisp sound and a lot of battery.")</f>
        <v>Fabulous location very crisp sound and a lot of battery.</v>
      </c>
    </row>
    <row r="9444">
      <c r="A9444" s="1">
        <v>5.0</v>
      </c>
      <c r="B9444" s="1" t="s">
        <v>9369</v>
      </c>
      <c r="C9444" t="str">
        <f>IFERROR(__xludf.DUMMYFUNCTION("GOOGLETRANSLATE(B9444, ""es"", ""en"")"),"Perfect as is expected")</f>
        <v>Perfect as is expected</v>
      </c>
    </row>
    <row r="9445">
      <c r="A9445" s="1">
        <v>5.0</v>
      </c>
      <c r="B9445" s="1" t="s">
        <v>9370</v>
      </c>
      <c r="C9445" t="str">
        <f>IFERROR(__xludf.DUMMYFUNCTION("GOOGLETRANSLATE(B9445, ""es"", ""en"")"),"I love them very comfortable, super comfortable, nicer in reality than in the photos, best price, were in oversupply. Use 42 sports but I like to buy more because average number use thick socks, so perfect !!")</f>
        <v>I love them very comfortable, super comfortable, nicer in reality than in the photos, best price, were in oversupply. Use 42 sports but I like to buy more because average number use thick socks, so perfect !!</v>
      </c>
    </row>
    <row r="9446">
      <c r="A9446" s="1">
        <v>5.0</v>
      </c>
      <c r="B9446" s="1" t="s">
        <v>9371</v>
      </c>
      <c r="C9446" t="str">
        <f>IFERROR(__xludf.DUMMYFUNCTION("GOOGLETRANSLATE(B9446, ""es"", ""en"")"),"Fantastic!! To practice at home without disturbing anyone, to move around the house and play anywhere, and good sound quality. Perfect. I came very quickly.")</f>
        <v>Fantastic!! To practice at home without disturbing anyone, to move around the house and play anywhere, and good sound quality. Perfect. I came very quickly.</v>
      </c>
    </row>
    <row r="9447">
      <c r="A9447" s="1">
        <v>5.0</v>
      </c>
      <c r="B9447" s="1" t="s">
        <v>9372</v>
      </c>
      <c r="C9447" t="str">
        <f>IFERROR(__xludf.DUMMYFUNCTION("GOOGLETRANSLATE(B9447, ""es"", ""en"")"),"Perfect Good buy! recommended")</f>
        <v>Perfect Good buy! recommended</v>
      </c>
    </row>
    <row r="9448">
      <c r="A9448" s="1">
        <v>5.0</v>
      </c>
      <c r="B9448" s="1" t="s">
        <v>9373</v>
      </c>
      <c r="C9448" t="str">
        <f>IFERROR(__xludf.DUMMYFUNCTION("GOOGLETRANSLATE(B9448, ""es"", ""en"")"),"Perfect for working great product to work .. I've purchased also in physical store and even Amazon biene better packaged with your papers and everything")</f>
        <v>Perfect for working great product to work .. I've purchased also in physical store and even Amazon biene better packaged with your papers and everything</v>
      </c>
    </row>
    <row r="9449">
      <c r="A9449" s="1">
        <v>5.0</v>
      </c>
      <c r="B9449" s="1" t="s">
        <v>9374</v>
      </c>
      <c r="C9449" t="str">
        <f>IFERROR(__xludf.DUMMYFUNCTION("GOOGLETRANSLATE(B9449, ""es"", ""en"")"),"I love Maybe a little smaller than I expected; not of what they offer, there's my fault for not measure before asking. Still, I love it.")</f>
        <v>I love Maybe a little smaller than I expected; not of what they offer, there's my fault for not measure before asking. Still, I love it.</v>
      </c>
    </row>
    <row r="9450">
      <c r="A9450" s="1">
        <v>2.0</v>
      </c>
      <c r="B9450" s="1" t="s">
        <v>9375</v>
      </c>
      <c r="C9450" t="str">
        <f>IFERROR(__xludf.DUMMYFUNCTION("GOOGLETRANSLATE(B9450, ""es"", ""en"")"),"Bluetooth headset. It is a great invention despite how small it is. I use it daily both to go biking to sleep. I do not like the touch sensitivity and sound quality. I had a couple of very similar headset button and I have seemed that the sound quality is"&amp;" better.")</f>
        <v>Bluetooth headset. It is a great invention despite how small it is. I use it daily both to go biking to sleep. I do not like the touch sensitivity and sound quality. I had a couple of very similar headset button and I have seemed that the sound quality is better.</v>
      </c>
    </row>
    <row r="9451">
      <c r="A9451" s="1">
        <v>3.0</v>
      </c>
      <c r="B9451" s="1" t="s">
        <v>9376</v>
      </c>
      <c r="C9451" t="str">
        <f>IFERROR(__xludf.DUMMYFUNCTION("GOOGLETRANSLATE(B9451, ""es"", ""en"")"),"I recommend it describes and what I asked, is better than I imagined, I give three-star not because it is bad, I give because slow to arrive and punctuality is very supporting for (my) if you come faster would be better and ask for more things to this sup"&amp;"plier! But I recommend it, both for themselves and for the people that amount will not wait a little longer.")</f>
        <v>I recommend it describes and what I asked, is better than I imagined, I give three-star not because it is bad, I give because slow to arrive and punctuality is very supporting for (my) if you come faster would be better and ask for more things to this supplier! But I recommend it, both for themselves and for the people that amount will not wait a little longer.</v>
      </c>
    </row>
    <row r="9452">
      <c r="A9452" s="1">
        <v>3.0</v>
      </c>
      <c r="B9452" s="1" t="s">
        <v>9377</v>
      </c>
      <c r="C9452" t="str">
        <f>IFERROR(__xludf.DUMMYFUNCTION("GOOGLETRANSLATE(B9452, ""es"", ""en"")"),"Pruduct IMPROVABLE VACUUM QUALITY MEDIA-BAJA, NOT ME IN CONDITION has lasted even a year, with little use. Underpowered and durability. I DO NOT RECOMMEND")</f>
        <v>Pruduct IMPROVABLE VACUUM QUALITY MEDIA-BAJA, NOT ME IN CONDITION has lasted even a year, with little use. Underpowered and durability. I DO NOT RECOMMEND</v>
      </c>
    </row>
    <row r="9453">
      <c r="A9453" s="1">
        <v>1.0</v>
      </c>
      <c r="B9453" s="1" t="s">
        <v>9378</v>
      </c>
      <c r="C9453" t="str">
        <f>IFERROR(__xludf.DUMMYFUNCTION("GOOGLETRANSLATE(B9453, ""es"", ""en"")"),"blender worst I've had &lt;div id = ""video-block-R2K5LWF3AVP9EG"" class = ""a-section a-spacing-small a-spacing-top mini video-block""&gt; &lt;/ div&gt; &lt;input type = ""hidden ""name ="" ""value ="" https://images-eu.ssl-images-amazon.com/images/I/B1VccN6htpS.mp4 """&amp;"class ="" video-url ""&gt; &lt;input type ="" hidden ""name ="" ""value ="" https://images-eu.ssl-images-amazon.com/images/I/91ii3DQksjS.png ""class ="" video-slate-img-url ""&gt; &amp; nbsp; A real crap, first try salmorejo almost 45 min to get something acceptable m"&amp;"edium, although the end had to take the hand. Second attempt, a smoothie, has stopped directly, watch video.")</f>
        <v>blender worst I've had &lt;div id = "video-block-R2K5LWF3AVP9EG" class = "a-section a-spacing-small a-spacing-top mini video-block"&gt; &lt;/ div&gt; &lt;input type = "hidden "name =" "value =" https://images-eu.ssl-images-amazon.com/images/I/B1VccN6htpS.mp4 "class =" video-url "&gt; &lt;input type =" hidden "name =" "value =" https://images-eu.ssl-images-amazon.com/images/I/91ii3DQksjS.png "class =" video-slate-img-url "&gt; &amp; nbsp; A real crap, first try salmorejo almost 45 min to get something acceptable medium, although the end had to take the hand. Second attempt, a smoothie, has stopped directly, watch video.</v>
      </c>
    </row>
    <row r="9454">
      <c r="A9454" s="1">
        <v>1.0</v>
      </c>
      <c r="B9454" s="1" t="s">
        <v>9379</v>
      </c>
      <c r="C9454" t="str">
        <f>IFERROR(__xludf.DUMMYFUNCTION("GOOGLETRANSLATE(B9454, ""es"", ""en"")"),"OPINION low quality and very expensive. small size. I will return today")</f>
        <v>OPINION low quality and very expensive. small size. I will return today</v>
      </c>
    </row>
    <row r="9455">
      <c r="A9455" s="1">
        <v>4.0</v>
      </c>
      <c r="B9455" s="1" t="s">
        <v>9380</v>
      </c>
      <c r="C9455" t="str">
        <f>IFERROR(__xludf.DUMMYFUNCTION("GOOGLETRANSLATE(B9455, ""es"", ""en"")"),"Very good. The great belt. The drawback is not to bring the key to the small screws.")</f>
        <v>Very good. The great belt. The drawback is not to bring the key to the small screws.</v>
      </c>
    </row>
    <row r="9456">
      <c r="A9456" s="1">
        <v>4.0</v>
      </c>
      <c r="B9456" s="1" t="s">
        <v>9381</v>
      </c>
      <c r="C9456" t="str">
        <f>IFERROR(__xludf.DUMMYFUNCTION("GOOGLETRANSLATE(B9456, ""es"", ""en"")"),"Money well watch for everyday, work, etc without worrying if it breaks. It is comfortable and fits well. Money very well.")</f>
        <v>Money well watch for everyday, work, etc without worrying if it breaks. It is comfortable and fits well. Money very well.</v>
      </c>
    </row>
    <row r="9457">
      <c r="A9457" s="1">
        <v>4.0</v>
      </c>
      <c r="B9457" s="1" t="s">
        <v>9382</v>
      </c>
      <c r="C9457" t="str">
        <f>IFERROR(__xludf.DUMMYFUNCTION("GOOGLETRANSLATE(B9457, ""es"", ""en"")"),"expectations fulfilled I bought because I had seen it work, pick up hair, dust and pelusas.La battery lasts long enough to pass through my whole house (140 m2). It has little height, which allows you to pass under low tables, sofas, etc. I've been using i"&amp;"t about 1 month. It has fulfilled my expectations. Good value for money. I've already recommended it to several friends, I have bought and are happy")</f>
        <v>expectations fulfilled I bought because I had seen it work, pick up hair, dust and pelusas.La battery lasts long enough to pass through my whole house (140 m2). It has little height, which allows you to pass under low tables, sofas, etc. I've been using it about 1 month. It has fulfilled my expectations. Good value for money. I've already recommended it to several friends, I have bought and are happy</v>
      </c>
    </row>
    <row r="9458">
      <c r="A9458" s="1">
        <v>4.0</v>
      </c>
      <c r="B9458" s="1" t="s">
        <v>9383</v>
      </c>
      <c r="C9458" t="str">
        <f>IFERROR(__xludf.DUMMYFUNCTION("GOOGLETRANSLATE(B9458, ""es"", ""en"")"),"Top quality price after looking at about 500 watches and looking for characteristics in relaccion to free time and it was economical I opted for the Casio brand and this particular model, very light and quite reliable accuracies hardly notice it on the wr"&amp;"ist, have come to return up to three clocks thoroughly after testing did not give the .this is a erloj agran expectations and am very happy to buy it would return again and again thanks and clear through Amazon are serious and are pleased Compare here")</f>
        <v>Top quality price after looking at about 500 watches and looking for characteristics in relaccion to free time and it was economical I opted for the Casio brand and this particular model, very light and quite reliable accuracies hardly notice it on the wrist, have come to return up to three clocks thoroughly after testing did not give the .this is a erloj agran expectations and am very happy to buy it would return again and again thanks and clear through Amazon are serious and are pleased Compare here</v>
      </c>
    </row>
    <row r="9459">
      <c r="A9459" s="1">
        <v>4.0</v>
      </c>
      <c r="B9459" s="1" t="s">
        <v>9384</v>
      </c>
      <c r="C9459" t="str">
        <f>IFERROR(__xludf.DUMMYFUNCTION("GOOGLETRANSLATE(B9459, ""es"", ""en"")"),"Very comfortable and flexible, they weigh nothing. Only point that fit very tight, use 40, I asked the M and I squeezed in the fingers, better to order size bigger.")</f>
        <v>Very comfortable and flexible, they weigh nothing. Only point that fit very tight, use 40, I asked the M and I squeezed in the fingers, better to order size bigger.</v>
      </c>
    </row>
    <row r="9460">
      <c r="A9460" s="1">
        <v>5.0</v>
      </c>
      <c r="B9460" s="1" t="s">
        <v>9385</v>
      </c>
      <c r="C9460" t="str">
        <f>IFERROR(__xludf.DUMMYFUNCTION("GOOGLETRANSLATE(B9460, ""es"", ""en"")"),"Comfortable and spacious Despite its size, and the material it is made, I find it very comfortable and very spacious to carry my laptop, books, external drives, etc. I think the weight is distributed well and not heavy. I am very happy with the purchase.")</f>
        <v>Comfortable and spacious Despite its size, and the material it is made, I find it very comfortable and very spacious to carry my laptop, books, external drives, etc. I think the weight is distributed well and not heavy. I am very happy with the purchase.</v>
      </c>
    </row>
    <row r="9461">
      <c r="A9461" s="1">
        <v>5.0</v>
      </c>
      <c r="B9461" s="1" t="s">
        <v>9386</v>
      </c>
      <c r="C9461" t="str">
        <f>IFERROR(__xludf.DUMMYFUNCTION("GOOGLETRANSLATE(B9461, ""es"", ""en"")"),"Phenomenal delighted with the kitchen")</f>
        <v>Phenomenal delighted with the kitchen</v>
      </c>
    </row>
    <row r="9462">
      <c r="A9462" s="1">
        <v>5.0</v>
      </c>
      <c r="B9462" s="1" t="s">
        <v>9387</v>
      </c>
      <c r="C9462" t="str">
        <f>IFERROR(__xludf.DUMMYFUNCTION("GOOGLETRANSLATE(B9462, ""es"", ""en"")"),"Very nice I love the aroma of these essential oils. The use in an air purifier and leave a pleasant smell in the room.")</f>
        <v>Very nice I love the aroma of these essential oils. The use in an air purifier and leave a pleasant smell in the room.</v>
      </c>
    </row>
    <row r="9463">
      <c r="A9463" s="1">
        <v>5.0</v>
      </c>
      <c r="B9463" s="1" t="s">
        <v>9388</v>
      </c>
      <c r="C9463" t="str">
        <f>IFERROR(__xludf.DUMMYFUNCTION("GOOGLETRANSLATE(B9463, ""es"", ""en"")"),"Ok moment goes well'm glad this producto.lo recommended")</f>
        <v>Ok moment goes well'm glad this producto.lo recommended</v>
      </c>
    </row>
    <row r="9464">
      <c r="A9464" s="1">
        <v>5.0</v>
      </c>
      <c r="B9464" s="1" t="s">
        <v>9389</v>
      </c>
      <c r="C9464" t="str">
        <f>IFERROR(__xludf.DUMMYFUNCTION("GOOGLETRANSLATE(B9464, ""es"", ""en"")"),"Super I've had a good surprise with the perfect camisetas.Quedan and the fabric is very good quality 100 percent cotton volvere to buy other colors seller Thank you")</f>
        <v>Super I've had a good surprise with the perfect camisetas.Quedan and the fabric is very good quality 100 percent cotton volvere to buy other colors seller Thank you</v>
      </c>
    </row>
    <row r="9465">
      <c r="A9465" s="1">
        <v>5.0</v>
      </c>
      <c r="B9465" s="1" t="s">
        <v>9390</v>
      </c>
      <c r="C9465" t="str">
        <f>IFERROR(__xludf.DUMMYFUNCTION("GOOGLETRANSLATE(B9465, ""es"", ""en"")"),"I love is great, sounds perfectly, and my daughters delighted I recommend it to one hundred X hundred! Would buy it without hesitation, it is good.")</f>
        <v>I love is great, sounds perfectly, and my daughters delighted I recommend it to one hundred X hundred! Would buy it without hesitation, it is good.</v>
      </c>
    </row>
    <row r="9466">
      <c r="A9466" s="1">
        <v>5.0</v>
      </c>
      <c r="B9466" s="1" t="s">
        <v>9391</v>
      </c>
      <c r="C9466" t="str">
        <f>IFERROR(__xludf.DUMMYFUNCTION("GOOGLETRANSLATE(B9466, ""es"", ""en"")"),"Very cool Encantada with buying and cheap")</f>
        <v>Very cool Encantada with buying and cheap</v>
      </c>
    </row>
    <row r="9467">
      <c r="A9467" s="1">
        <v>5.0</v>
      </c>
      <c r="B9467" s="1" t="s">
        <v>9392</v>
      </c>
      <c r="C9467" t="str">
        <f>IFERROR(__xludf.DUMMYFUNCTION("GOOGLETRANSLATE(B9467, ""es"", ""en"")"),"SD2VITA MA AGRADAT PERQUE MOLT MES Volia was what TOT MON Volia LES DUES IN GENERAL THE SCOOBY DOO COSES I SD2VITA GRACIES THE AMAZON")</f>
        <v>SD2VITA MA AGRADAT PERQUE MOLT MES Volia was what TOT MON Volia LES DUES IN GENERAL THE SCOOBY DOO COSES I SD2VITA GRACIES THE AMAZON</v>
      </c>
    </row>
    <row r="9468">
      <c r="A9468" s="1">
        <v>5.0</v>
      </c>
      <c r="B9468" s="1" t="s">
        <v>9393</v>
      </c>
      <c r="C9468" t="str">
        <f>IFERROR(__xludf.DUMMYFUNCTION("GOOGLETRANSLATE(B9468, ""es"", ""en"")"),"very pleasant smell'm happy with this product neutralizes odors quite highly effective wc and leaves a good smell. Carafe is large so that value would recommend. For me the best I've bought and will definitely do it again.")</f>
        <v>very pleasant smell'm happy with this product neutralizes odors quite highly effective wc and leaves a good smell. Carafe is large so that value would recommend. For me the best I've bought and will definitely do it again.</v>
      </c>
    </row>
    <row r="9469">
      <c r="A9469" s="1">
        <v>5.0</v>
      </c>
      <c r="B9469" s="1" t="s">
        <v>9394</v>
      </c>
      <c r="C9469" t="str">
        <f>IFERROR(__xludf.DUMMYFUNCTION("GOOGLETRANSLATE(B9469, ""es"", ""en"")"),"Are great are great, are very good and does the job. I bought two lots of 24 for my studio and think of me with another to finish")</f>
        <v>Are great are great, are very good and does the job. I bought two lots of 24 for my studio and think of me with another to finish</v>
      </c>
    </row>
    <row r="9470">
      <c r="A9470" s="1">
        <v>5.0</v>
      </c>
      <c r="B9470" s="1" t="s">
        <v>9395</v>
      </c>
      <c r="C9470" t="str">
        <f>IFERROR(__xludf.DUMMYFUNCTION("GOOGLETRANSLATE(B9470, ""es"", ""en"")"),"Headphones recommended for sports have several Bluetooth headsets but buy these for sports, to being wired are more difficult to lose. They also have a different shape than other headphones allowing better attachment to the pinna. It lets you hear ambient"&amp;" noise so they are perfect to go down the street, avoiding the risk of any possible accident.")</f>
        <v>Headphones recommended for sports have several Bluetooth headsets but buy these for sports, to being wired are more difficult to lose. They also have a different shape than other headphones allowing better attachment to the pinna. It lets you hear ambient noise so they are perfect to go down the street, avoiding the risk of any possible accident.</v>
      </c>
    </row>
    <row r="9471">
      <c r="A9471" s="1">
        <v>5.0</v>
      </c>
      <c r="B9471" s="1" t="s">
        <v>9396</v>
      </c>
      <c r="C9471" t="str">
        <f>IFERROR(__xludf.DUMMYFUNCTION("GOOGLETRANSLATE(B9471, ""es"", ""en"")"),"POWERFUL did not expect such a cheap headphones send so much. It has a sound quality without noise. The power line is very soft, easy to bend and any storage is good. I am very happy to have him!")</f>
        <v>POWERFUL did not expect such a cheap headphones send so much. It has a sound quality without noise. The power line is very soft, easy to bend and any storage is good. I am very happy to have him!</v>
      </c>
    </row>
    <row r="9472">
      <c r="A9472" s="1">
        <v>5.0</v>
      </c>
      <c r="B9472" s="1" t="s">
        <v>9397</v>
      </c>
      <c r="C9472" t="str">
        <f>IFERROR(__xludf.DUMMYFUNCTION("GOOGLETRANSLATE(B9472, ""es"", ""en"")"),"Maite are very comfortable and very nice, I will spend every day and I go very well.")</f>
        <v>Maite are very comfortable and very nice, I will spend every day and I go very well.</v>
      </c>
    </row>
    <row r="9473">
      <c r="A9473" s="1">
        <v>5.0</v>
      </c>
      <c r="B9473" s="1" t="s">
        <v>9398</v>
      </c>
      <c r="C9473" t="str">
        <f>IFERROR(__xludf.DUMMYFUNCTION("GOOGLETRANSLATE(B9473, ""es"", ""en"")"),"unbeatable price, excellent service, shoe as expected. Justito sizing very competitive price, but considering what you get without leaving home. The sizing is true that it is a fair bit, as pointed out some opinions. Shim 43 and 43 is just 44 but would be"&amp;" too large. Given that is a shoe over the summer I have no problem with the 43. Excellent service. Vovleria to buy certainly through Amazon.")</f>
        <v>unbeatable price, excellent service, shoe as expected. Justito sizing very competitive price, but considering what you get without leaving home. The sizing is true that it is a fair bit, as pointed out some opinions. Shim 43 and 43 is just 44 but would be too large. Given that is a shoe over the summer I have no problem with the 43. Excellent service. Vovleria to buy certainly through Amazon.</v>
      </c>
    </row>
    <row r="9474">
      <c r="A9474" s="1">
        <v>5.0</v>
      </c>
      <c r="B9474" s="1" t="s">
        <v>9399</v>
      </c>
      <c r="C9474" t="str">
        <f>IFERROR(__xludf.DUMMYFUNCTION("GOOGLETRANSLATE(B9474, ""es"", ""en"")"),"Amazing. For the price you have the micro, it has an impressive quality. I've tried it directly to the PC without phantom power, you must force a little volume up and put some background noise, but nothing that audacity not fix. Box content: 1 Microfono N"&amp;"eewe NW-700 1 Spider (antivibration support for micro) 1 Windscreen filter (Typical foam is placed on top of the micro) 1 Thread adapter from small to large. For me personally I wish the thread adapter is metal and not plastic. The micro has very good fin"&amp;"ishes and amazing audio quality (Speaking of mid-range micros me study). Pros: Strongly recommended, very clear and crisp sound. Against: to reduce noise enough, you can include phantom power supply. (The same brand sells one of about 20 €)")</f>
        <v>Amazing. For the price you have the micro, it has an impressive quality. I've tried it directly to the PC without phantom power, you must force a little volume up and put some background noise, but nothing that audacity not fix. Box content: 1 Microfono Neewe NW-700 1 Spider (antivibration support for micro) 1 Windscreen filter (Typical foam is placed on top of the micro) 1 Thread adapter from small to large. For me personally I wish the thread adapter is metal and not plastic. The micro has very good finishes and amazing audio quality (Speaking of mid-range micros me study). Pros: Strongly recommended, very clear and crisp sound. Against: to reduce noise enough, you can include phantom power supply. (The same brand sells one of about 20 €)</v>
      </c>
    </row>
    <row r="9475">
      <c r="A9475" s="1">
        <v>5.0</v>
      </c>
      <c r="B9475" s="1" t="s">
        <v>9400</v>
      </c>
      <c r="C9475" t="str">
        <f>IFERROR(__xludf.DUMMYFUNCTION("GOOGLETRANSLATE(B9475, ""es"", ""en"")"),"Great! With many details to customize, flowers, ribbon to close .. It comes with stickers to the outside of the box and extra cardboards crowd to get inside.")</f>
        <v>Great! With many details to customize, flowers, ribbon to close .. It comes with stickers to the outside of the box and extra cardboards crowd to get inside.</v>
      </c>
    </row>
    <row r="9476">
      <c r="A9476" s="1">
        <v>5.0</v>
      </c>
      <c r="B9476" s="1" t="s">
        <v>9401</v>
      </c>
      <c r="C9476" t="str">
        <f>IFERROR(__xludf.DUMMYFUNCTION("GOOGLETRANSLATE(B9476, ""es"", ""en"")"),"VERY GOOD MY BABY LOVES, THE ONLY THING WE HAD TO EXTEND SOME HOLLOW Nipples, shorter FLOW AND agonized NOT LEAVE ALMOST MILK, DL REST SUPER PRACTICAL QUICK AND EASY D LAUNDERING AND COLORS DRAW ATTENTION OF THE BABY :)")</f>
        <v>VERY GOOD MY BABY LOVES, THE ONLY THING WE HAD TO EXTEND SOME HOLLOW Nipples, shorter FLOW AND agonized NOT LEAVE ALMOST MILK, DL REST SUPER PRACTICAL QUICK AND EASY D LAUNDERING AND COLORS DRAW ATTENTION OF THE BABY :)</v>
      </c>
    </row>
    <row r="9477">
      <c r="A9477" s="1">
        <v>5.0</v>
      </c>
      <c r="B9477" s="1" t="s">
        <v>9402</v>
      </c>
      <c r="C9477" t="str">
        <f>IFERROR(__xludf.DUMMYFUNCTION("GOOGLETRANSLATE(B9477, ""es"", ""en"")"),"Very good Good product")</f>
        <v>Very good Good product</v>
      </c>
    </row>
    <row r="9478">
      <c r="A9478" s="1">
        <v>5.0</v>
      </c>
      <c r="B9478" s="1" t="s">
        <v>9403</v>
      </c>
      <c r="C9478" t="str">
        <f>IFERROR(__xludf.DUMMYFUNCTION("GOOGLETRANSLATE(B9478, ""es"", ""en"")"),"Good Cinta Good Value this tape if you want to paste something and last, just grab it, super durable")</f>
        <v>Good Cinta Good Value this tape if you want to paste something and last, just grab it, super durable</v>
      </c>
    </row>
    <row r="9479">
      <c r="A9479" s="1">
        <v>2.0</v>
      </c>
      <c r="B9479" s="1" t="s">
        <v>9404</v>
      </c>
      <c r="C9479" t="str">
        <f>IFERROR(__xludf.DUMMYFUNCTION("GOOGLETRANSLATE(B9479, ""es"", ""en"")"),"Mal arrived crushed. Poor quality. I bought them because blacks had bought and liked. These took the triple to arrive and fatal.")</f>
        <v>Mal arrived crushed. Poor quality. I bought them because blacks had bought and liked. These took the triple to arrive and fatal.</v>
      </c>
    </row>
    <row r="9480">
      <c r="A9480" s="1">
        <v>3.0</v>
      </c>
      <c r="B9480" s="1" t="s">
        <v>9405</v>
      </c>
      <c r="C9480" t="str">
        <f>IFERROR(__xludf.DUMMYFUNCTION("GOOGLETRANSLATE(B9480, ""es"", ""en"")"),"Work well and the quality is good as point against say it does not work the microphone headphones iPhone 6s that's what I wanted. If anyone knows operate it would be nice to know.")</f>
        <v>Work well and the quality is good as point against say it does not work the microphone headphones iPhone 6s that's what I wanted. If anyone knows operate it would be nice to know.</v>
      </c>
    </row>
    <row r="9481">
      <c r="A9481" s="1">
        <v>3.0</v>
      </c>
      <c r="B9481" s="1" t="s">
        <v>9406</v>
      </c>
      <c r="C9481" t="str">
        <f>IFERROR(__xludf.DUMMYFUNCTION("GOOGLETRANSLATE(B9481, ""es"", ""en"")"),"Size small is strange because I bought them in gray and black are these me a little small compared to the gray that fit me perfect ... Otherwise, they are sooo light and comfortable.")</f>
        <v>Size small is strange because I bought them in gray and black are these me a little small compared to the gray that fit me perfect ... Otherwise, they are sooo light and comfortable.</v>
      </c>
    </row>
    <row r="9482">
      <c r="A9482" s="1">
        <v>1.0</v>
      </c>
      <c r="B9482" s="1" t="s">
        <v>9407</v>
      </c>
      <c r="C9482" t="str">
        <f>IFERROR(__xludf.DUMMYFUNCTION("GOOGLETRANSLATE(B9482, ""es"", ""en"")"),"are not original sports, even you put the certificates I have compared with others that you have bought adidas and there is a lot of difference")</f>
        <v>are not original sports, even you put the certificates I have compared with others that you have bought adidas and there is a lot of difference</v>
      </c>
    </row>
    <row r="9483">
      <c r="A9483" s="1">
        <v>1.0</v>
      </c>
      <c r="B9483" s="1" t="s">
        <v>9408</v>
      </c>
      <c r="C9483" t="str">
        <f>IFERROR(__xludf.DUMMYFUNCTION("GOOGLETRANSLATE(B9483, ""es"", ""en"")"),"A hoax A total disappointment super small watch strap child, specifying that it is not universal belt, feel cheated me")</f>
        <v>A hoax A total disappointment super small watch strap child, specifying that it is not universal belt, feel cheated me</v>
      </c>
    </row>
    <row r="9484">
      <c r="A9484" s="1">
        <v>4.0</v>
      </c>
      <c r="B9484" s="1" t="s">
        <v>9409</v>
      </c>
      <c r="C9484" t="str">
        <f>IFERROR(__xludf.DUMMYFUNCTION("GOOGLETRANSLATE(B9484, ""es"", ""en"")"),"Good buy, give all you can offer your price. Buy them and load them, take them to train and everything went pretty well, they hold well even without having tested the various adapters for oreja.No are wrong.")</f>
        <v>Good buy, give all you can offer your price. Buy them and load them, take them to train and everything went pretty well, they hold well even without having tested the various adapters for oreja.No are wrong.</v>
      </c>
    </row>
    <row r="9485">
      <c r="A9485" s="1">
        <v>4.0</v>
      </c>
      <c r="B9485" s="1" t="s">
        <v>9410</v>
      </c>
      <c r="C9485" t="str">
        <f>IFERROR(__xludf.DUMMYFUNCTION("GOOGLETRANSLATE(B9485, ""es"", ""en"")"),"It is what was needed, neither more nor less is a USB 3.1 memory rather plain-Jane, plastic simple pulling back a little at first you have it in hand (then you get used), black in color without a light that tells you it's working. But does well what to do"&amp;" and that's what me in this case I care. I'll keep all power there, so I'm happy with it.")</f>
        <v>It is what was needed, neither more nor less is a USB 3.1 memory rather plain-Jane, plastic simple pulling back a little at first you have it in hand (then you get used), black in color without a light that tells you it's working. But does well what to do and that's what me in this case I care. I'll keep all power there, so I'm happy with it.</v>
      </c>
    </row>
    <row r="9486">
      <c r="A9486" s="1">
        <v>4.0</v>
      </c>
      <c r="B9486" s="1" t="s">
        <v>9411</v>
      </c>
      <c r="C9486" t="str">
        <f>IFERROR(__xludf.DUMMYFUNCTION("GOOGLETRANSLATE(B9486, ""es"", ""en"")"),"Adidas Superstar Very nice and comfortable. Very good experience, I remain just as expected, chose the size I normally use and I had no problem. They arrived quickly, within its shipping time in the box. Are a classic shoes that have turned into fashion, "&amp;"they look great with any kind of clothes and style. They are comfortable and made great to resist for long.")</f>
        <v>Adidas Superstar Very nice and comfortable. Very good experience, I remain just as expected, chose the size I normally use and I had no problem. They arrived quickly, within its shipping time in the box. Are a classic shoes that have turned into fashion, they look great with any kind of clothes and style. They are comfortable and made great to resist for long.</v>
      </c>
    </row>
    <row r="9487">
      <c r="A9487" s="1">
        <v>4.0</v>
      </c>
      <c r="B9487" s="1" t="s">
        <v>9412</v>
      </c>
      <c r="C9487" t="str">
        <f>IFERROR(__xludf.DUMMYFUNCTION("GOOGLETRANSLATE(B9487, ""es"", ""en"")"),"I like to the beginning could not connect and looked like it was broken because there is no indication. As it worked I think it is very good: it is very beautiful, it has a lot of water capacity and heats up very fast.")</f>
        <v>I like to the beginning could not connect and looked like it was broken because there is no indication. As it worked I think it is very good: it is very beautiful, it has a lot of water capacity and heats up very fast.</v>
      </c>
    </row>
    <row r="9488">
      <c r="A9488" s="1">
        <v>4.0</v>
      </c>
      <c r="B9488" s="1" t="s">
        <v>9413</v>
      </c>
      <c r="C9488" t="str">
        <f>IFERROR(__xludf.DUMMYFUNCTION("GOOGLETRANSLATE(B9488, ""es"", ""en"")"),"It has good quality very warm, inside is plush and plump. I recommend ordering a size more than usual and carving a fair bit")</f>
        <v>It has good quality very warm, inside is plush and plump. I recommend ordering a size more than usual and carving a fair bit</v>
      </c>
    </row>
    <row r="9489">
      <c r="A9489" s="1">
        <v>5.0</v>
      </c>
      <c r="B9489" s="1" t="s">
        <v>9414</v>
      </c>
      <c r="C9489" t="str">
        <f>IFERROR(__xludf.DUMMYFUNCTION("GOOGLETRANSLATE(B9489, ""es"", ""en"")"),"looks good looks good, quality and fits perfectly expected. Highly recommended")</f>
        <v>looks good looks good, quality and fits perfectly expected. Highly recommended</v>
      </c>
    </row>
    <row r="9490">
      <c r="A9490" s="1">
        <v>5.0</v>
      </c>
      <c r="B9490" s="1" t="s">
        <v>9415</v>
      </c>
      <c r="C9490" t="str">
        <f>IFERROR(__xludf.DUMMYFUNCTION("GOOGLETRANSLATE(B9490, ""es"", ""en"")"),"Comfortable Good quality, is already the second pair that I have")</f>
        <v>Comfortable Good quality, is already the second pair that I have</v>
      </c>
    </row>
    <row r="9491">
      <c r="A9491" s="1">
        <v>5.0</v>
      </c>
      <c r="B9491" s="1" t="s">
        <v>9416</v>
      </c>
      <c r="C9491" t="str">
        <f>IFERROR(__xludf.DUMMYFUNCTION("GOOGLETRANSLATE(B9491, ""es"", ""en"")"),"Super comfortable 100% comfortable !! And for the kids, great !! I recommend!")</f>
        <v>Super comfortable 100% comfortable !! And for the kids, great !! I recommend!</v>
      </c>
    </row>
    <row r="9492">
      <c r="A9492" s="1">
        <v>5.0</v>
      </c>
      <c r="B9492" s="1" t="s">
        <v>9417</v>
      </c>
      <c r="C9492" t="str">
        <f>IFERROR(__xludf.DUMMYFUNCTION("GOOGLETRANSLATE(B9492, ""es"", ""en"")"),"Quality and comfort. Cushioning, the back of the sports I do not really like the diseño.Es a sport that does not weigh.")</f>
        <v>Quality and comfort. Cushioning, the back of the sports I do not really like the diseño.Es a sport that does not weigh.</v>
      </c>
    </row>
    <row r="9493">
      <c r="A9493" s="1">
        <v>5.0</v>
      </c>
      <c r="B9493" s="1" t="s">
        <v>9418</v>
      </c>
      <c r="C9493" t="str">
        <f>IFERROR(__xludf.DUMMYFUNCTION("GOOGLETRANSLATE(B9493, ""es"", ""en"")"),"Very good value elation are small, but large enough to fit a couple of pens two highlighter pens, clips ... the truth is that I am super happy with them and they are beautiful. You can not ask for more value")</f>
        <v>Very good value elation are small, but large enough to fit a couple of pens two highlighter pens, clips ... the truth is that I am super happy with them and they are beautiful. You can not ask for more value</v>
      </c>
    </row>
    <row r="9494">
      <c r="A9494" s="1">
        <v>5.0</v>
      </c>
      <c r="B9494" s="1" t="s">
        <v>9419</v>
      </c>
      <c r="C9494" t="str">
        <f>IFERROR(__xludf.DUMMYFUNCTION("GOOGLETRANSLATE(B9494, ""es"", ""en"")"),"I love very cool")</f>
        <v>I love very cool</v>
      </c>
    </row>
    <row r="9495">
      <c r="A9495" s="1">
        <v>5.0</v>
      </c>
      <c r="B9495" s="1" t="s">
        <v>9420</v>
      </c>
      <c r="C9495" t="str">
        <f>IFERROR(__xludf.DUMMYFUNCTION("GOOGLETRANSLATE(B9495, ""es"", ""en"")"),"Cable Cable Perfect very good quality for speaker installation or electrical installation of low consumption. The truth that surprised me the quality of the cable for the price you have")</f>
        <v>Cable Cable Perfect very good quality for speaker installation or electrical installation of low consumption. The truth that surprised me the quality of the cable for the price you have</v>
      </c>
    </row>
    <row r="9496">
      <c r="A9496" s="1">
        <v>5.0</v>
      </c>
      <c r="B9496" s="1" t="s">
        <v>9421</v>
      </c>
      <c r="C9496" t="str">
        <f>IFERROR(__xludf.DUMMYFUNCTION("GOOGLETRANSLATE(B9496, ""es"", ""en"")"),"Better than expected The truth is I had read that they heard very well, but did not think it was that great, but it is ... The sound is very good, has many severe and acute, and if you play with the equalizer player can get the sound you want. simple pair"&amp;"ing and the first following the directions on the box and are in many languages ​​including Spanish. Durability and battery not yet, since I have come this morning. Later I will discuss this issue when you have used more time. In my view I think they have"&amp;" a right price for quality recommend them without any hesitation. (A lack of knowing the durability of the battery and headphones)")</f>
        <v>Better than expected The truth is I had read that they heard very well, but did not think it was that great, but it is ... The sound is very good, has many severe and acute, and if you play with the equalizer player can get the sound you want. simple pairing and the first following the directions on the box and are in many languages ​​including Spanish. Durability and battery not yet, since I have come this morning. Later I will discuss this issue when you have used more time. In my view I think they have a right price for quality recommend them without any hesitation. (A lack of knowing the durability of the battery and headphones)</v>
      </c>
    </row>
    <row r="9497">
      <c r="A9497" s="1">
        <v>5.0</v>
      </c>
      <c r="B9497" s="1" t="s">
        <v>9422</v>
      </c>
      <c r="C9497" t="str">
        <f>IFERROR(__xludf.DUMMYFUNCTION("GOOGLETRANSLATE(B9497, ""es"", ""en"")"),"Very handy for two people is nice, not too big and heated 1 cup of water in less than 1 minute. It works perfectly")</f>
        <v>Very handy for two people is nice, not too big and heated 1 cup of water in less than 1 minute. It works perfectly</v>
      </c>
    </row>
    <row r="9498">
      <c r="A9498" s="1">
        <v>5.0</v>
      </c>
      <c r="B9498" s="1" t="s">
        <v>9423</v>
      </c>
      <c r="C9498" t="str">
        <f>IFERROR(__xludf.DUMMYFUNCTION("GOOGLETRANSLATE(B9498, ""es"", ""en"")"),"Great good size for table work, fast and quiet")</f>
        <v>Great good size for table work, fast and quiet</v>
      </c>
    </row>
    <row r="9499">
      <c r="A9499" s="1">
        <v>5.0</v>
      </c>
      <c r="B9499" s="1" t="s">
        <v>9424</v>
      </c>
      <c r="C9499" t="str">
        <f>IFERROR(__xludf.DUMMYFUNCTION("GOOGLETRANSLATE(B9499, ""es"", ""en"")"),"Excellent Excellent in all respects")</f>
        <v>Excellent Excellent in all respects</v>
      </c>
    </row>
    <row r="9500">
      <c r="A9500" s="1">
        <v>5.0</v>
      </c>
      <c r="B9500" s="1" t="s">
        <v>9425</v>
      </c>
      <c r="C9500" t="str">
        <f>IFERROR(__xludf.DUMMYFUNCTION("GOOGLETRANSLATE(B9500, ""es"", ""en"")"),"Encantada very light and very comfortable. I have always problems with clocks because I have very thin wrist but this I just can not adjust well and feel, not nailed me anything.")</f>
        <v>Encantada very light and very comfortable. I have always problems with clocks because I have very thin wrist but this I just can not adjust well and feel, not nailed me anything.</v>
      </c>
    </row>
    <row r="9501">
      <c r="A9501" s="1">
        <v>5.0</v>
      </c>
      <c r="B9501" s="1" t="s">
        <v>9426</v>
      </c>
      <c r="C9501" t="str">
        <f>IFERROR(__xludf.DUMMYFUNCTION("GOOGLETRANSLATE(B9501, ""es"", ""en"")"),"Well great, as it is described. It was a gift and the girl was delighted.")</f>
        <v>Well great, as it is described. It was a gift and the girl was delighted.</v>
      </c>
    </row>
    <row r="9502">
      <c r="A9502" s="1">
        <v>5.0</v>
      </c>
      <c r="B9502" s="1" t="s">
        <v>9427</v>
      </c>
      <c r="C9502" t="str">
        <f>IFERROR(__xludf.DUMMYFUNCTION("GOOGLETRANSLATE(B9502, ""es"", ""en"")"),"Insuperable dirt cheap price in a classic sneaker")</f>
        <v>Insuperable dirt cheap price in a classic sneaker</v>
      </c>
    </row>
    <row r="9503">
      <c r="A9503" s="1">
        <v>5.0</v>
      </c>
      <c r="B9503" s="1" t="s">
        <v>9428</v>
      </c>
      <c r="C9503" t="str">
        <f>IFERROR(__xludf.DUMMYFUNCTION("GOOGLETRANSLATE(B9503, ""es"", ""en"")"),"100% recommended package has arrived safely and fast, packaging impeccable, I love my pocket that comes along with earrings, and earrings are very pretty, as shown, encantaaaa me!")</f>
        <v>100% recommended package has arrived safely and fast, packaging impeccable, I love my pocket that comes along with earrings, and earrings are very pretty, as shown, encantaaaa me!</v>
      </c>
    </row>
    <row r="9504">
      <c r="A9504" s="1">
        <v>5.0</v>
      </c>
      <c r="B9504" s="1" t="s">
        <v>9429</v>
      </c>
      <c r="C9504" t="str">
        <f>IFERROR(__xludf.DUMMYFUNCTION("GOOGLETRANSLATE(B9504, ""es"", ""en"")"),"Perfect I love very comfortable and light.")</f>
        <v>Perfect I love very comfortable and light.</v>
      </c>
    </row>
    <row r="9505">
      <c r="A9505" s="1">
        <v>5.0</v>
      </c>
      <c r="B9505" s="1" t="s">
        <v>9430</v>
      </c>
      <c r="C9505" t="str">
        <f>IFERROR(__xludf.DUMMYFUNCTION("GOOGLETRANSLATE(B9505, ""es"", ""en"")"),"Powerful blender with many accessories The mixer itself is magnificent. We can say that the new system to favor mixtures whipped products a tad difficult cleaning. Tod quality is superb except the axis on which the accessories are placed in the grinder, w"&amp;"hich is plastic and easily deteriorate if used intensively and heated.")</f>
        <v>Powerful blender with many accessories The mixer itself is magnificent. We can say that the new system to favor mixtures whipped products a tad difficult cleaning. Tod quality is superb except the axis on which the accessories are placed in the grinder, which is plastic and easily deteriorate if used intensively and heated.</v>
      </c>
    </row>
    <row r="9506">
      <c r="A9506" s="1">
        <v>5.0</v>
      </c>
      <c r="B9506" s="1" t="s">
        <v>9431</v>
      </c>
      <c r="C9506" t="str">
        <f>IFERROR(__xludf.DUMMYFUNCTION("GOOGLETRANSLATE(B9506, ""es"", ""en"")"),"Very good are very good, good clidad and cleaned easily")</f>
        <v>Very good are very good, good clidad and cleaned easily</v>
      </c>
    </row>
    <row r="9507">
      <c r="A9507" s="1">
        <v>2.0</v>
      </c>
      <c r="B9507" s="1" t="s">
        <v>9432</v>
      </c>
      <c r="C9507" t="str">
        <f>IFERROR(__xludf.DUMMYFUNCTION("GOOGLETRANSLATE(B9507, ""es"", ""en"")"),"VERY LOW-waisted trousers is a very nice but for my taste is very low waist. The sizing is correct.")</f>
        <v>VERY LOW-waisted trousers is a very nice but for my taste is very low waist. The sizing is correct.</v>
      </c>
    </row>
    <row r="9508">
      <c r="A9508" s="1">
        <v>3.0</v>
      </c>
      <c r="B9508" s="1" t="s">
        <v>9433</v>
      </c>
      <c r="C9508" t="str">
        <f>IFERROR(__xludf.DUMMYFUNCTION("GOOGLETRANSLATE(B9508, ""es"", ""en"")"),"Nice but short with the brightness of the principle is very pretty and looks very much the beginning but the end of a couple of weeks loses shine")</f>
        <v>Nice but short with the brightness of the principle is very pretty and looks very much the beginning but the end of a couple of weeks loses shine</v>
      </c>
    </row>
    <row r="9509">
      <c r="A9509" s="1">
        <v>1.0</v>
      </c>
      <c r="B9509" s="1" t="s">
        <v>9434</v>
      </c>
      <c r="C9509" t="str">
        <f>IFERROR(__xludf.DUMMYFUNCTION("GOOGLETRANSLATE(B9509, ""es"", ""en"")"),"DIFFICULT TO USE FOR AVERAGE PERSON IS ALMOST IMPOSSIBLE TO USE, demasido CO0MPLEJO TO USE, AND COMES IN A MINI MANIUAL EXPLAINING ENGLISH OPERATIVE very little. Professionals only.")</f>
        <v>DIFFICULT TO USE FOR AVERAGE PERSON IS ALMOST IMPOSSIBLE TO USE, demasido CO0MPLEJO TO USE, AND COMES IN A MINI MANIUAL EXPLAINING ENGLISH OPERATIVE very little. Professionals only.</v>
      </c>
    </row>
    <row r="9510">
      <c r="A9510" s="1">
        <v>1.0</v>
      </c>
      <c r="B9510" s="1" t="s">
        <v>9435</v>
      </c>
      <c r="C9510" t="str">
        <f>IFERROR(__xludf.DUMMYFUNCTION("GOOGLETRANSLATE(B9510, ""es"", ""en"")"),"The slippery sole product is nice and good size, but the non-slip soles not fulfill its function and slips easily.")</f>
        <v>The slippery sole product is nice and good size, but the non-slip soles not fulfill its function and slips easily.</v>
      </c>
    </row>
    <row r="9511">
      <c r="A9511" s="1">
        <v>4.0</v>
      </c>
      <c r="B9511" s="1" t="s">
        <v>9436</v>
      </c>
      <c r="C9511" t="str">
        <f>IFERROR(__xludf.DUMMYFUNCTION("GOOGLETRANSLATE(B9511, ""es"", ""en"")"),"Fiabiliddad A very good kettle")</f>
        <v>Fiabiliddad A very good kettle</v>
      </c>
    </row>
    <row r="9512">
      <c r="A9512" s="1">
        <v>4.0</v>
      </c>
      <c r="B9512" s="1" t="s">
        <v>9437</v>
      </c>
      <c r="C9512" t="str">
        <f>IFERROR(__xludf.DUMMYFUNCTION("GOOGLETRANSLATE(B9512, ""es"", ""en"")"),"Working safely is a safety shoes, good quality leather and has metal toe and sole. toe with a suitable thickness and slightly thinner sole to help movements agacharse.En the ankle area also have a padding that prevents strokes in mismos.lasula is resistan"&amp;"t to water and oils are quite flexibles.la sewn tab gives more security when to stop being earth, water, etc .... all sewn boot excepting the sole is attached.")</f>
        <v>Working safely is a safety shoes, good quality leather and has metal toe and sole. toe with a suitable thickness and slightly thinner sole to help movements agacharse.En the ankle area also have a padding that prevents strokes in mismos.lasula is resistant to water and oils are quite flexibles.la sewn tab gives more security when to stop being earth, water, etc .... all sewn boot excepting the sole is attached.</v>
      </c>
    </row>
    <row r="9513">
      <c r="A9513" s="1">
        <v>4.0</v>
      </c>
      <c r="B9513" s="1" t="s">
        <v>9438</v>
      </c>
      <c r="C9513" t="str">
        <f>IFERROR(__xludf.DUMMYFUNCTION("GOOGLETRANSLATE(B9513, ""es"", ""en"")"),"Very comfortable Just what I expected 😀")</f>
        <v>Very comfortable Just what I expected 😀</v>
      </c>
    </row>
    <row r="9514">
      <c r="A9514" s="1">
        <v>4.0</v>
      </c>
      <c r="B9514" s="1" t="s">
        <v>9439</v>
      </c>
      <c r="C9514" t="str">
        <f>IFERROR(__xludf.DUMMYFUNCTION("GOOGLETRANSLATE(B9514, ""es"", ""en"")"),"Article practical great surprise finishes and good performance.")</f>
        <v>Article practical great surprise finishes and good performance.</v>
      </c>
    </row>
    <row r="9515">
      <c r="A9515" s="1">
        <v>5.0</v>
      </c>
      <c r="B9515" s="1" t="s">
        <v>9440</v>
      </c>
      <c r="C9515" t="str">
        <f>IFERROR(__xludf.DUMMYFUNCTION("GOOGLETRANSLATE(B9515, ""es"", ""en"")"),"SanDisk SD card with a very particular design Mario Mushroom and very good for the Nintendo switch is well enough space")</f>
        <v>SanDisk SD card with a very particular design Mario Mushroom and very good for the Nintendo switch is well enough space</v>
      </c>
    </row>
    <row r="9516">
      <c r="A9516" s="1">
        <v>5.0</v>
      </c>
      <c r="B9516" s="1" t="s">
        <v>9441</v>
      </c>
      <c r="C9516" t="str">
        <f>IFERROR(__xludf.DUMMYFUNCTION("GOOGLETRANSLATE(B9516, ""es"", ""en"")"),"Its convenient quality / price is unbeatable. From day notes results. However, I do not know if the fabric is durable happened or if it breaks. Considered useful product incorporating a cover if rapidly deteriorating.")</f>
        <v>Its convenient quality / price is unbeatable. From day notes results. However, I do not know if the fabric is durable happened or if it breaks. Considered useful product incorporating a cover if rapidly deteriorating.</v>
      </c>
    </row>
    <row r="9517">
      <c r="A9517" s="1">
        <v>5.0</v>
      </c>
      <c r="B9517" s="1" t="s">
        <v>9442</v>
      </c>
      <c r="C9517" t="str">
        <f>IFERROR(__xludf.DUMMYFUNCTION("GOOGLETRANSLATE(B9517, ""es"", ""en"")"),"Highly recommended Very good")</f>
        <v>Highly recommended Very good</v>
      </c>
    </row>
    <row r="9518">
      <c r="A9518" s="1">
        <v>5.0</v>
      </c>
      <c r="B9518" s="1" t="s">
        <v>9443</v>
      </c>
      <c r="C9518" t="str">
        <f>IFERROR(__xludf.DUMMYFUNCTION("GOOGLETRANSLATE(B9518, ""es"", ""en"")"),"perfect for carrying in your key ring and connect it to the phone anywhere or if you do not bring USB cable, put the computer information on the skewer and then pass it to the phone, ............ ami me works very well for what most use is for when I down"&amp;"load movies from the mobile through apps, I hooked skewer to the mobile I transfer the movie to skewer and then connect the skewer to your TV and enjoy without having to move just the couch")</f>
        <v>perfect for carrying in your key ring and connect it to the phone anywhere or if you do not bring USB cable, put the computer information on the skewer and then pass it to the phone, ............ ami me works very well for what most use is for when I download movies from the mobile through apps, I hooked skewer to the mobile I transfer the movie to skewer and then connect the skewer to your TV and enjoy without having to move just the couch</v>
      </c>
    </row>
    <row r="9519">
      <c r="A9519" s="1">
        <v>5.0</v>
      </c>
      <c r="B9519" s="1" t="s">
        <v>9444</v>
      </c>
      <c r="C9519" t="str">
        <f>IFERROR(__xludf.DUMMYFUNCTION("GOOGLETRANSLATE(B9519, ""es"", ""en"")"),"Beautiful, elegant and understated. Very nice and bright, the size must be less than you normally do you use, I saw on the opinions and so I did and perfect (take the 18 and took the 17) ... It is very fine and elegant, came the day after asking for it. I"&amp;"t is in a velvet bag ideal gift. It bears the mark of silver. A great buy at a great price.")</f>
        <v>Beautiful, elegant and understated. Very nice and bright, the size must be less than you normally do you use, I saw on the opinions and so I did and perfect (take the 18 and took the 17) ... It is very fine and elegant, came the day after asking for it. It is in a velvet bag ideal gift. It bears the mark of silver. A great buy at a great price.</v>
      </c>
    </row>
    <row r="9520">
      <c r="A9520" s="1">
        <v>5.0</v>
      </c>
      <c r="B9520" s="1" t="s">
        <v>9445</v>
      </c>
      <c r="C9520" t="str">
        <f>IFERROR(__xludf.DUMMYFUNCTION("GOOGLETRANSLATE(B9520, ""es"", ""en"")"),"Is very good! I love her, came buenisima, I have no buts. I humus, juices, purees, creams. It has been a great buy. It has a lot of power. I just do not get to even use the whisk is, so do not think about it. Now, as chipper shredder and a 10!")</f>
        <v>Is very good! I love her, came buenisima, I have no buts. I humus, juices, purees, creams. It has been a great buy. It has a lot of power. I just do not get to even use the whisk is, so do not think about it. Now, as chipper shredder and a 10!</v>
      </c>
    </row>
    <row r="9521">
      <c r="A9521" s="1">
        <v>5.0</v>
      </c>
      <c r="B9521" s="1" t="s">
        <v>9446</v>
      </c>
      <c r="C9521" t="str">
        <f>IFERROR(__xludf.DUMMYFUNCTION("GOOGLETRANSLATE(B9521, ""es"", ""en"")"),"They are authentic very nice and comfortable,")</f>
        <v>They are authentic very nice and comfortable,</v>
      </c>
    </row>
    <row r="9522">
      <c r="A9522" s="1">
        <v>5.0</v>
      </c>
      <c r="B9522" s="1" t="s">
        <v>9447</v>
      </c>
      <c r="C9522" t="str">
        <f>IFERROR(__xludf.DUMMYFUNCTION("GOOGLETRANSLATE(B9522, ""es"", ""en"")"),"Mac and AKG D5 microphone works perfect perfect works, at the least MacBook (GarageBand app and Skype) and AKG D5 mic. I had problem with the cable of another brand and I have returned but this is fine.")</f>
        <v>Mac and AKG D5 microphone works perfect perfect works, at the least MacBook (GarageBand app and Skype) and AKG D5 mic. I had problem with the cable of another brand and I have returned but this is fine.</v>
      </c>
    </row>
    <row r="9523">
      <c r="A9523" s="1">
        <v>5.0</v>
      </c>
      <c r="B9523" s="1" t="s">
        <v>9448</v>
      </c>
      <c r="C9523" t="str">
        <f>IFERROR(__xludf.DUMMYFUNCTION("GOOGLETRANSLATE(B9523, ""es"", ""en"")"),"Product fully complies fully recommended. At the moment it connects seamlessly to the radio to update the time, but the real difference is very low. Easy to use and very comfortable to wear, sapphire crystal, so far does the job. Sending both parcels, ter"&amp;"ms, product fully met expectations.")</f>
        <v>Product fully complies fully recommended. At the moment it connects seamlessly to the radio to update the time, but the real difference is very low. Easy to use and very comfortable to wear, sapphire crystal, so far does the job. Sending both parcels, terms, product fully met expectations.</v>
      </c>
    </row>
    <row r="9524">
      <c r="A9524" s="1">
        <v>5.0</v>
      </c>
      <c r="B9524" s="1" t="s">
        <v>9449</v>
      </c>
      <c r="C9524" t="str">
        <f>IFERROR(__xludf.DUMMYFUNCTION("GOOGLETRANSLATE(B9524, ""es"", ""en"")"),"Good sound Headphone sound good quality and price. It has good bass. It also comes with spare silicone headphones.")</f>
        <v>Good sound Headphone sound good quality and price. It has good bass. It also comes with spare silicone headphones.</v>
      </c>
    </row>
    <row r="9525">
      <c r="A9525" s="1">
        <v>5.0</v>
      </c>
      <c r="B9525" s="1" t="s">
        <v>9450</v>
      </c>
      <c r="C9525" t="str">
        <f>IFERROR(__xludf.DUMMYFUNCTION("GOOGLETRANSLATE(B9525, ""es"", ""en"")"),"Highly recommended I am very happy with helmets. The value think unbeatable. Noise cancellation with music playing is very effective, not heard virtually nothing from the environment. The sound quality very good. Overall I recommend")</f>
        <v>Highly recommended I am very happy with helmets. The value think unbeatable. Noise cancellation with music playing is very effective, not heard virtually nothing from the environment. The sound quality very good. Overall I recommend</v>
      </c>
    </row>
    <row r="9526">
      <c r="A9526" s="1">
        <v>5.0</v>
      </c>
      <c r="B9526" s="1" t="s">
        <v>9451</v>
      </c>
      <c r="C9526" t="str">
        <f>IFERROR(__xludf.DUMMYFUNCTION("GOOGLETRANSLATE(B9526, ""es"", ""en"")"),"A good bottle is fine, being glass cleaning and hygiene is better. It is easy to assemble and disassemble. For now it does not cause cramps. And the retina seems more comfortable for the baby.")</f>
        <v>A good bottle is fine, being glass cleaning and hygiene is better. It is easy to assemble and disassemble. For now it does not cause cramps. And the retina seems more comfortable for the baby.</v>
      </c>
    </row>
    <row r="9527">
      <c r="A9527" s="1">
        <v>5.0</v>
      </c>
      <c r="B9527" s="1" t="s">
        <v>9452</v>
      </c>
      <c r="C9527" t="str">
        <f>IFERROR(__xludf.DUMMYFUNCTION("GOOGLETRANSLATE(B9527, ""es"", ""en"")"),"PERFECT works perfectly. I checked in several establishments and being INSIDE COVER IS IMPOSSIBLE YOU DO charge.")</f>
        <v>PERFECT works perfectly. I checked in several establishments and being INSIDE COVER IS IMPOSSIBLE YOU DO charge.</v>
      </c>
    </row>
    <row r="9528">
      <c r="A9528" s="1">
        <v>5.0</v>
      </c>
      <c r="B9528" s="1" t="s">
        <v>9453</v>
      </c>
      <c r="C9528" t="str">
        <f>IFERROR(__xludf.DUMMYFUNCTION("GOOGLETRANSLATE(B9528, ""es"", ""en"")"),"Quality is a USB 3.0 good quality, with its 32 gb has large storage capacity (not a hard drive, obviously) and fast enough to copy files. It also has double connection, USB and micro USB, which gives a lot of play with mobile and tablet, both being well p"&amp;"rotected. It is much better than it replaces.")</f>
        <v>Quality is a USB 3.0 good quality, with its 32 gb has large storage capacity (not a hard drive, obviously) and fast enough to copy files. It also has double connection, USB and micro USB, which gives a lot of play with mobile and tablet, both being well protected. It is much better than it replaces.</v>
      </c>
    </row>
    <row r="9529">
      <c r="A9529" s="1">
        <v>5.0</v>
      </c>
      <c r="B9529" s="1" t="s">
        <v>9454</v>
      </c>
      <c r="C9529" t="str">
        <f>IFERROR(__xludf.DUMMYFUNCTION("GOOGLETRANSLATE(B9529, ""es"", ""en"")"),"Comfortable comfortable, size is appropriate. They arrived at the estimated date")</f>
        <v>Comfortable comfortable, size is appropriate. They arrived at the estimated date</v>
      </c>
    </row>
    <row r="9530">
      <c r="A9530" s="1">
        <v>5.0</v>
      </c>
      <c r="B9530" s="1" t="s">
        <v>9455</v>
      </c>
      <c r="C9530" t="str">
        <f>IFERROR(__xludf.DUMMYFUNCTION("GOOGLETRANSLATE(B9530, ""es"", ""en"")"),"The book is correct known and easy to read for both children from 8/10 years and adults and very entertaining. As for shipping, very fast and in perfect condition")</f>
        <v>The book is correct known and easy to read for both children from 8/10 years and adults and very entertaining. As for shipping, very fast and in perfect condition</v>
      </c>
    </row>
    <row r="9531">
      <c r="A9531" s="1">
        <v>5.0</v>
      </c>
      <c r="B9531" s="1" t="s">
        <v>9456</v>
      </c>
      <c r="C9531" t="str">
        <f>IFERROR(__xludf.DUMMYFUNCTION("GOOGLETRANSLATE(B9531, ""es"", ""en"")"),"Practical. The works keyboard very well, the keys have good sensitivity, and includes Ableton Live 9 Lite (music production software) I use both Live 9 as with FL 12 and two great works, also thanks to its size allows it to be transported easily.")</f>
        <v>Practical. The works keyboard very well, the keys have good sensitivity, and includes Ableton Live 9 Lite (music production software) I use both Live 9 as with FL 12 and two great works, also thanks to its size allows it to be transported easily.</v>
      </c>
    </row>
    <row r="9532">
      <c r="A9532" s="1">
        <v>5.0</v>
      </c>
      <c r="B9532" s="1" t="s">
        <v>9457</v>
      </c>
      <c r="C9532" t="str">
        <f>IFERROR(__xludf.DUMMYFUNCTION("GOOGLETRANSLATE(B9532, ""es"", ""en"")"),"Headphones Professional studio quality at a good price. If you're looking for good headphones playing without disturbing or mixtures do not hesitate.")</f>
        <v>Headphones Professional studio quality at a good price. If you're looking for good headphones playing without disturbing or mixtures do not hesitate.</v>
      </c>
    </row>
    <row r="9533">
      <c r="A9533" s="1">
        <v>5.0</v>
      </c>
      <c r="B9533" s="1" t="s">
        <v>9458</v>
      </c>
      <c r="C9533" t="str">
        <f>IFERROR(__xludf.DUMMYFUNCTION("GOOGLETRANSLATE(B9533, ""es"", ""en"")"),"Tools for cleaning bottles clean bottles and things do not get there by hand. Comprehensive and effective. I would buy without hesitation.")</f>
        <v>Tools for cleaning bottles clean bottles and things do not get there by hand. Comprehensive and effective. I would buy without hesitation.</v>
      </c>
    </row>
    <row r="9534">
      <c r="A9534" s="1">
        <v>2.0</v>
      </c>
      <c r="B9534" s="1" t="s">
        <v>9459</v>
      </c>
      <c r="C9534" t="str">
        <f>IFERROR(__xludf.DUMMYFUNCTION("GOOGLETRANSLATE(B9534, ""es"", ""en"")"),"Mediocre. I bought a size XL and I was fine. XL bought another other color, and oddly enough is smaller .. me being the same size !. Poor quality of the buttons have been off the hook several ... Seams poorly made little symmetrical, etc ...")</f>
        <v>Mediocre. I bought a size XL and I was fine. XL bought another other color, and oddly enough is smaller .. me being the same size !. Poor quality of the buttons have been off the hook several ... Seams poorly made little symmetrical, etc ...</v>
      </c>
    </row>
    <row r="9535">
      <c r="A9535" s="1">
        <v>3.0</v>
      </c>
      <c r="B9535" s="1" t="s">
        <v>9460</v>
      </c>
      <c r="C9535" t="str">
        <f>IFERROR(__xludf.DUMMYFUNCTION("GOOGLETRANSLATE(B9535, ""es"", ""en"")"),"Do not ask xl Too Big")</f>
        <v>Do not ask xl Too Big</v>
      </c>
    </row>
    <row r="9536">
      <c r="A9536" s="1">
        <v>3.0</v>
      </c>
      <c r="B9536" s="1" t="s">
        <v>9461</v>
      </c>
      <c r="C9536" t="str">
        <f>IFERROR(__xludf.DUMMYFUNCTION("GOOGLETRANSLATE(B9536, ""es"", ""en"")"),"The power is good buy, a lot of power, the worst containers for carrying are very bulky and unhelpful, they should be much smaller because they occupy a lot of space, large blender great")</f>
        <v>The power is good buy, a lot of power, the worst containers for carrying are very bulky and unhelpful, they should be much smaller because they occupy a lot of space, large blender great</v>
      </c>
    </row>
    <row r="9537">
      <c r="A9537" s="1">
        <v>1.0</v>
      </c>
      <c r="B9537" s="1" t="s">
        <v>9462</v>
      </c>
      <c r="C9537" t="str">
        <f>IFERROR(__xludf.DUMMYFUNCTION("GOOGLETRANSLATE(B9537, ""es"", ""en"")"),"Sizes are not correct The fabric is glossy, does not fit well to the body. and the second I ask the same brand and the first one was a smaller size left me very tight and this is a very large size makes wrinkles more and is, so I tramitaré return.")</f>
        <v>Sizes are not correct The fabric is glossy, does not fit well to the body. and the second I ask the same brand and the first one was a smaller size left me very tight and this is a very large size makes wrinkles more and is, so I tramitaré return.</v>
      </c>
    </row>
    <row r="9538">
      <c r="A9538" s="1">
        <v>1.0</v>
      </c>
      <c r="B9538" s="1" t="s">
        <v>9463</v>
      </c>
      <c r="C9538" t="str">
        <f>IFERROR(__xludf.DUMMYFUNCTION("GOOGLETRANSLATE(B9538, ""es"", ""en"")"),"Very tacky crap, color is steel and glass looks old plastic")</f>
        <v>Very tacky crap, color is steel and glass looks old plastic</v>
      </c>
    </row>
    <row r="9539">
      <c r="A9539" s="1">
        <v>4.0</v>
      </c>
      <c r="B9539" s="1" t="s">
        <v>9464</v>
      </c>
      <c r="C9539" t="str">
        <f>IFERROR(__xludf.DUMMYFUNCTION("GOOGLETRANSLATE(B9539, ""es"", ""en"")"),"As expected !! I like so much how it fit. It gives a more elegant look at the clock!")</f>
        <v>As expected !! I like so much how it fit. It gives a more elegant look at the clock!</v>
      </c>
    </row>
    <row r="9540">
      <c r="A9540" s="1">
        <v>4.0</v>
      </c>
      <c r="B9540" s="1" t="s">
        <v>9465</v>
      </c>
      <c r="C9540" t="str">
        <f>IFERROR(__xludf.DUMMYFUNCTION("GOOGLETRANSLATE(B9540, ""es"", ""en"")"),"It works well The only flaw is that sometimes quick looks and when, is not well distinguishes the needle with the bottom of the clock.")</f>
        <v>It works well The only flaw is that sometimes quick looks and when, is not well distinguishes the needle with the bottom of the clock.</v>
      </c>
    </row>
    <row r="9541">
      <c r="A9541" s="1">
        <v>4.0</v>
      </c>
      <c r="B9541" s="1" t="s">
        <v>9466</v>
      </c>
      <c r="C9541" t="str">
        <f>IFERROR(__xludf.DUMMYFUNCTION("GOOGLETRANSLATE(B9541, ""es"", ""en"")"),"Comfortable and insulating breaks comfortable and Cconfortables. I was good utility. Does not cross the cold, or water. Better than I expected.")</f>
        <v>Comfortable and insulating breaks comfortable and Cconfortables. I was good utility. Does not cross the cold, or water. Better than I expected.</v>
      </c>
    </row>
    <row r="9542">
      <c r="A9542" s="1">
        <v>4.0</v>
      </c>
      <c r="B9542" s="1" t="s">
        <v>9467</v>
      </c>
      <c r="C9542" t="str">
        <f>IFERROR(__xludf.DUMMYFUNCTION("GOOGLETRANSLATE(B9542, ""es"", ""en"")"),"They are very practical cable hard enough before one of the two handsets no longer hear it loses the connection. The sound is good, with powerful bass. very convenient and comfortable, you can fall asleep with them on.")</f>
        <v>They are very practical cable hard enough before one of the two handsets no longer hear it loses the connection. The sound is good, with powerful bass. very convenient and comfortable, you can fall asleep with them on.</v>
      </c>
    </row>
    <row r="9543">
      <c r="A9543" s="1">
        <v>4.0</v>
      </c>
      <c r="B9543" s="1" t="s">
        <v>9468</v>
      </c>
      <c r="C9543" t="str">
        <f>IFERROR(__xludf.DUMMYFUNCTION("GOOGLETRANSLATE(B9543, ""es"", ""en"")"),"A little small. They were for a gift and was very satisfied the person who received excellent acabado.No cause allergies of any kind.")</f>
        <v>A little small. They were for a gift and was very satisfied the person who received excellent acabado.No cause allergies of any kind.</v>
      </c>
    </row>
    <row r="9544">
      <c r="A9544" s="1">
        <v>5.0</v>
      </c>
      <c r="B9544" s="1" t="s">
        <v>9469</v>
      </c>
      <c r="C9544" t="str">
        <f>IFERROR(__xludf.DUMMYFUNCTION("GOOGLETRANSLATE(B9544, ""es"", ""en"")"),"Highly recommended for a gift I bought it and liked it. Good quality and ideal size. Functional and stylish")</f>
        <v>Highly recommended for a gift I bought it and liked it. Good quality and ideal size. Functional and stylish</v>
      </c>
    </row>
    <row r="9545">
      <c r="A9545" s="1">
        <v>5.0</v>
      </c>
      <c r="B9545" s="1" t="s">
        <v>9470</v>
      </c>
      <c r="C9545" t="str">
        <f>IFERROR(__xludf.DUMMYFUNCTION("GOOGLETRANSLATE(B9545, ""es"", ""en"")"),"Best Super comfortable sandals is that they are super comfortable and also are nice. Calzan a bit small, so I had to buy another number.")</f>
        <v>Best Super comfortable sandals is that they are super comfortable and also are nice. Calzan a bit small, so I had to buy another number.</v>
      </c>
    </row>
    <row r="9546">
      <c r="A9546" s="1">
        <v>5.0</v>
      </c>
      <c r="B9546" s="1" t="s">
        <v>9471</v>
      </c>
      <c r="C9546" t="str">
        <f>IFERROR(__xludf.DUMMYFUNCTION("GOOGLETRANSLATE(B9546, ""es"", ""en"")"),"Perfect safety boots")</f>
        <v>Perfect safety boots</v>
      </c>
    </row>
    <row r="9547">
      <c r="A9547" s="1">
        <v>5.0</v>
      </c>
      <c r="B9547" s="1" t="s">
        <v>9472</v>
      </c>
      <c r="C9547" t="str">
        <f>IFERROR(__xludf.DUMMYFUNCTION("GOOGLETRANSLATE(B9547, ""es"", ""en"")"),"Comfortable on all surfaces. The best I've had if doubt. Perfect for Trail, comfortable and light on any surface. I would buy them without any hesitation. They are the perfect shoes.")</f>
        <v>Comfortable on all surfaces. The best I've had if doubt. Perfect for Trail, comfortable and light on any surface. I would buy them without any hesitation. They are the perfect shoes.</v>
      </c>
    </row>
    <row r="9548">
      <c r="A9548" s="1">
        <v>5.0</v>
      </c>
      <c r="B9548" s="1" t="s">
        <v>9473</v>
      </c>
      <c r="C9548" t="str">
        <f>IFERROR(__xludf.DUMMYFUNCTION("GOOGLETRANSLATE(B9548, ""es"", ""en"")"),"Well Buenos bottles. As described")</f>
        <v>Well Buenos bottles. As described</v>
      </c>
    </row>
    <row r="9549">
      <c r="A9549" s="1">
        <v>5.0</v>
      </c>
      <c r="B9549" s="1" t="s">
        <v>9474</v>
      </c>
      <c r="C9549" t="str">
        <f>IFERROR(__xludf.DUMMYFUNCTION("GOOGLETRANSLATE(B9549, ""es"", ""en"")"),"Highly recommended very comfortable.")</f>
        <v>Highly recommended very comfortable.</v>
      </c>
    </row>
    <row r="9550">
      <c r="A9550" s="1">
        <v>5.0</v>
      </c>
      <c r="B9550" s="1" t="s">
        <v>9475</v>
      </c>
      <c r="C9550" t="str">
        <f>IFERROR(__xludf.DUMMYFUNCTION("GOOGLETRANSLATE(B9550, ""es"", ""en"")"),"Interface Pocket First Class For years, I have been using products from IK Multimedia, never disappoints, started with iRig, which connects to the headphone input of the iPad, then iRig HD, which was much really notice the difference in as for quality, us"&amp;"e since leaving this release. Now with the new version Irig HD 2, this product has greatly improved the quality, especially Gain, Gain, because I have a guitar with active pickups, so with iRig HD had to lower profit because it should not have peaks, and "&amp;"active up more gain guitar, this Irig HD 2 solves this detail that only happens with guitars active pickups, has much room for profit, besides having output amplifier and headphones, this makes more practical and not be filled with cables and adapters whe"&amp;"n you want to connect to an amplifier or power amp. I am very happy, have good sound quality, gain perfomance. You can connect with Powerbridge Ik Multimedia and the IPad or IPhone or IPod will not lose energy use.")</f>
        <v>Interface Pocket First Class For years, I have been using products from IK Multimedia, never disappoints, started with iRig, which connects to the headphone input of the iPad, then iRig HD, which was much really notice the difference in as for quality, use since leaving this release. Now with the new version Irig HD 2, this product has greatly improved the quality, especially Gain, Gain, because I have a guitar with active pickups, so with iRig HD had to lower profit because it should not have peaks, and active up more gain guitar, this Irig HD 2 solves this detail that only happens with guitars active pickups, has much room for profit, besides having output amplifier and headphones, this makes more practical and not be filled with cables and adapters when you want to connect to an amplifier or power amp. I am very happy, have good sound quality, gain perfomance. You can connect with Powerbridge Ik Multimedia and the IPad or IPhone or IPod will not lose energy use.</v>
      </c>
    </row>
    <row r="9551">
      <c r="A9551" s="1">
        <v>5.0</v>
      </c>
      <c r="B9551" s="1" t="s">
        <v>9476</v>
      </c>
      <c r="C9551" t="str">
        <f>IFERROR(__xludf.DUMMYFUNCTION("GOOGLETRANSLATE(B9551, ""es"", ""en"")"),"A very nice and sturdy shoes for the time being durable, my son loved")</f>
        <v>A very nice and sturdy shoes for the time being durable, my son loved</v>
      </c>
    </row>
    <row r="9552">
      <c r="A9552" s="1">
        <v>5.0</v>
      </c>
      <c r="B9552" s="1" t="s">
        <v>9477</v>
      </c>
      <c r="C9552" t="str">
        <f>IFERROR(__xludf.DUMMYFUNCTION("GOOGLETRANSLATE(B9552, ""es"", ""en"")"),"Good quality. They are small sizes, when in doubt throw most.")</f>
        <v>Good quality. They are small sizes, when in doubt throw most.</v>
      </c>
    </row>
    <row r="9553">
      <c r="A9553" s="1">
        <v>5.0</v>
      </c>
      <c r="B9553" s="1" t="s">
        <v>9478</v>
      </c>
      <c r="C9553" t="str">
        <f>IFERROR(__xludf.DUMMYFUNCTION("GOOGLETRANSLATE(B9553, ""es"", ""en"")"),"Compatible with Mac👍 already had another evo 970 nvme 250Gb. But I needed to install windows for an application so I bought the 970 plus 500Gb for my macbook pro in late 2013. gave me any errors or pantallazo. Surely have the new firmware compatible with"&amp;" Mac. Problem now solved in a box to use the above.")</f>
        <v>Compatible with Mac👍 already had another evo 970 nvme 250Gb. But I needed to install windows for an application so I bought the 970 plus 500Gb for my macbook pro in late 2013. gave me any errors or pantallazo. Surely have the new firmware compatible with Mac. Problem now solved in a box to use the above.</v>
      </c>
    </row>
    <row r="9554">
      <c r="A9554" s="1">
        <v>5.0</v>
      </c>
      <c r="B9554" s="1" t="s">
        <v>9479</v>
      </c>
      <c r="C9554" t="str">
        <f>IFERROR(__xludf.DUMMYFUNCTION("GOOGLETRANSLATE(B9554, ""es"", ""en"")"),"Effective was a little leary about their use but we works great. We add a few drops of essential oil to scent clothes and give great. It would be nice to not put plastic packaging")</f>
        <v>Effective was a little leary about their use but we works great. We add a few drops of essential oil to scent clothes and give great. It would be nice to not put plastic packaging</v>
      </c>
    </row>
    <row r="9555">
      <c r="A9555" s="1">
        <v>5.0</v>
      </c>
      <c r="B9555" s="1" t="s">
        <v>9480</v>
      </c>
      <c r="C9555" t="str">
        <f>IFERROR(__xludf.DUMMYFUNCTION("GOOGLETRANSLATE(B9555, ""es"", ""en"")"),"A chulada I use it daily I like everything")</f>
        <v>A chulada I use it daily I like everything</v>
      </c>
    </row>
    <row r="9556">
      <c r="A9556" s="1">
        <v>5.0</v>
      </c>
      <c r="B9556" s="1" t="s">
        <v>9481</v>
      </c>
      <c r="C9556" t="str">
        <f>IFERROR(__xludf.DUMMYFUNCTION("GOOGLETRANSLATE(B9556, ""es"", ""en"")"),"Buenos bottles bottles NUK good and at a good price.")</f>
        <v>Buenos bottles bottles NUK good and at a good price.</v>
      </c>
    </row>
    <row r="9557">
      <c r="A9557" s="1">
        <v>5.0</v>
      </c>
      <c r="B9557" s="1" t="s">
        <v>9482</v>
      </c>
      <c r="C9557" t="str">
        <f>IFERROR(__xludf.DUMMYFUNCTION("GOOGLETRANSLATE(B9557, ""es"", ""en"")"),"Large comfortable but more than 20 years ago I did not have a and are super comfortable. I should have caught one size smaller, but the boot be subject well. It makes some noise the plastic walking")</f>
        <v>Large comfortable but more than 20 years ago I did not have a and are super comfortable. I should have caught one size smaller, but the boot be subject well. It makes some noise the plastic walking</v>
      </c>
    </row>
    <row r="9558">
      <c r="A9558" s="1">
        <v>5.0</v>
      </c>
      <c r="B9558" s="1" t="s">
        <v>9483</v>
      </c>
      <c r="C9558" t="str">
        <f>IFERROR(__xludf.DUMMYFUNCTION("GOOGLETRANSLATE(B9558, ""es"", ""en"")"),"good sound quality In the description put this (Stereo Sound 3D and Deep Bass. Technology noise cancellation reduces background noise and echo, provides a truly sound natural, authentic and powerful bass performance regardless of calls or time music.) And"&amp;" the truth is that sound very well. Also perfectly fit and exercise are good, because sweat does not affect them. Right out of the box are coupled to the mobile")</f>
        <v>good sound quality In the description put this (Stereo Sound 3D and Deep Bass. Technology noise cancellation reduces background noise and echo, provides a truly sound natural, authentic and powerful bass performance regardless of calls or time music.) And the truth is that sound very well. Also perfectly fit and exercise are good, because sweat does not affect them. Right out of the box are coupled to the mobile</v>
      </c>
    </row>
    <row r="9559">
      <c r="A9559" s="1">
        <v>5.0</v>
      </c>
      <c r="B9559" s="1" t="s">
        <v>9484</v>
      </c>
      <c r="C9559" t="str">
        <f>IFERROR(__xludf.DUMMYFUNCTION("GOOGLETRANSLATE(B9559, ""es"", ""en"")"),"Very easy use and time has not been taken off me any and everything I've plasticized is intact.")</f>
        <v>Very easy use and time has not been taken off me any and everything I've plasticized is intact.</v>
      </c>
    </row>
    <row r="9560">
      <c r="A9560" s="1">
        <v>5.0</v>
      </c>
      <c r="B9560" s="1" t="s">
        <v>9485</v>
      </c>
      <c r="C9560" t="str">
        <f>IFERROR(__xludf.DUMMYFUNCTION("GOOGLETRANSLATE(B9560, ""es"", ""en"")"),"Perfect're great")</f>
        <v>Perfect're great</v>
      </c>
    </row>
    <row r="9561">
      <c r="A9561" s="1">
        <v>5.0</v>
      </c>
      <c r="B9561" s="1" t="s">
        <v>9486</v>
      </c>
      <c r="C9561" t="str">
        <f>IFERROR(__xludf.DUMMYFUNCTION("GOOGLETRANSLATE(B9561, ""es"", ""en"")"),"Perfect for Sport Product beautifully finished, durable and washable. 👍")</f>
        <v>Perfect for Sport Product beautifully finished, durable and washable. 👍</v>
      </c>
    </row>
    <row r="9562">
      <c r="A9562" s="1">
        <v>5.0</v>
      </c>
      <c r="B9562" s="1" t="s">
        <v>9487</v>
      </c>
      <c r="C9562" t="str">
        <f>IFERROR(__xludf.DUMMYFUNCTION("GOOGLETRANSLATE(B9562, ""es"", ""en"")"),"Double-sided tape If you need a double-sided tape to stick really well, this is the tuya.La have used on tile and about as titanium and pasted, there continues.")</f>
        <v>Double-sided tape If you need a double-sided tape to stick really well, this is the tuya.La have used on tile and about as titanium and pasted, there continues.</v>
      </c>
    </row>
    <row r="9563">
      <c r="A9563" s="1">
        <v>2.0</v>
      </c>
      <c r="B9563" s="1" t="s">
        <v>9488</v>
      </c>
      <c r="C9563" t="str">
        <f>IFERROR(__xludf.DUMMYFUNCTION("GOOGLETRANSLATE(B9563, ""es"", ""en"")"),"Celeste I expected more from this watch, if it is nice, but the area seems plastiquete and strap toy box arrived ... and open !!")</f>
        <v>Celeste I expected more from this watch, if it is nice, but the area seems plastiquete and strap toy box arrived ... and open !!</v>
      </c>
    </row>
    <row r="9564">
      <c r="A9564" s="1">
        <v>3.0</v>
      </c>
      <c r="B9564" s="1" t="s">
        <v>9489</v>
      </c>
      <c r="C9564" t="str">
        <f>IFERROR(__xludf.DUMMYFUNCTION("GOOGLETRANSLATE(B9564, ""es"", ""en"")"),"Small small and narrow")</f>
        <v>Small small and narrow</v>
      </c>
    </row>
    <row r="9565">
      <c r="A9565" s="1">
        <v>1.0</v>
      </c>
      <c r="B9565" s="1" t="s">
        <v>9490</v>
      </c>
      <c r="C9565" t="str">
        <f>IFERROR(__xludf.DUMMYFUNCTION("GOOGLETRANSLATE(B9565, ""es"", ""en"")"),"Not recommend it for anything the bottle is nice but the milk is spilled all the time we have tried everything they say on the Internet if the same problem (do not put hot milk, not shake, make the mixture with a spoon, etc .. .) and nothing worked out. W"&amp;"e have 2 versions of this bottle big and small .... I still do not understand how people can recommend these bottles ...?")</f>
        <v>Not recommend it for anything the bottle is nice but the milk is spilled all the time we have tried everything they say on the Internet if the same problem (do not put hot milk, not shake, make the mixture with a spoon, etc .. .) and nothing worked out. We have 2 versions of this bottle big and small .... I still do not understand how people can recommend these bottles ...?</v>
      </c>
    </row>
    <row r="9566">
      <c r="A9566" s="1">
        <v>1.0</v>
      </c>
      <c r="B9566" s="1" t="s">
        <v>9491</v>
      </c>
      <c r="C9566" t="str">
        <f>IFERROR(__xludf.DUMMYFUNCTION("GOOGLETRANSLATE(B9566, ""es"", ""en"")"),"The battery lasts a short time. Heard pretty good, the problem is the battery only lasts an hour and 15 minutes, I'm very disappointed I would not buy it.")</f>
        <v>The battery lasts a short time. Heard pretty good, the problem is the battery only lasts an hour and 15 minutes, I'm very disappointed I would not buy it.</v>
      </c>
    </row>
    <row r="9567">
      <c r="A9567" s="1">
        <v>1.0</v>
      </c>
      <c r="B9567" s="1" t="s">
        <v>9492</v>
      </c>
      <c r="C9567" t="str">
        <f>IFERROR(__xludf.DUMMYFUNCTION("GOOGLETRANSLATE(B9567, ""es"", ""en"")"),"AN AUTHENTIC crud shoddy shoes. They are fabric with reinforced hardened plastic toe. In three weeks they lie waste and that work in a warehouse, a logistics zone. It does not meet at all the EC. I asked for a 41 and gives birth to a 43. The seller does n"&amp;"ot allow returns. EYE FLEE !!!")</f>
        <v>AN AUTHENTIC crud shoddy shoes. They are fabric with reinforced hardened plastic toe. In three weeks they lie waste and that work in a warehouse, a logistics zone. It does not meet at all the EC. I asked for a 41 and gives birth to a 43. The seller does not allow returns. EYE FLEE !!!</v>
      </c>
    </row>
    <row r="9568">
      <c r="A9568" s="1">
        <v>4.0</v>
      </c>
      <c r="B9568" s="1" t="s">
        <v>9493</v>
      </c>
      <c r="C9568" t="str">
        <f>IFERROR(__xludf.DUMMYFUNCTION("GOOGLETRANSLATE(B9568, ""es"", ""en"")"),"Piece Red All right but fie me an opinion saying that the red part where spare parts fits and NO leads also included. I warn you pass to not like me.")</f>
        <v>Piece Red All right but fie me an opinion saying that the red part where spare parts fits and NO leads also included. I warn you pass to not like me.</v>
      </c>
    </row>
    <row r="9569">
      <c r="A9569" s="1">
        <v>4.0</v>
      </c>
      <c r="B9569" s="1" t="s">
        <v>9494</v>
      </c>
      <c r="C9569" t="str">
        <f>IFERROR(__xludf.DUMMYFUNCTION("GOOGLETRANSLATE(B9569, ""es"", ""en"")"),"Perfect Relationship Value The printer has adapted very well to my needs. It really is easy to install, however I have not given 5 star, because during the process did not work as expected. I had to contact the online help and the software was updated and"&amp;" from that moment, if you held the WI-FI hassle-free installation")</f>
        <v>Perfect Relationship Value The printer has adapted very well to my needs. It really is easy to install, however I have not given 5 star, because during the process did not work as expected. I had to contact the online help and the software was updated and from that moment, if you held the WI-FI hassle-free installation</v>
      </c>
    </row>
    <row r="9570">
      <c r="A9570" s="1">
        <v>4.0</v>
      </c>
      <c r="B9570" s="1" t="s">
        <v>9495</v>
      </c>
      <c r="C9570" t="str">
        <f>IFERROR(__xludf.DUMMYFUNCTION("GOOGLETRANSLATE(B9570, ""es"", ""en"")"),"Good but slow muuuuuy the shipping Cheap and correct. Sooo slow shipping.")</f>
        <v>Good but slow muuuuuy the shipping Cheap and correct. Sooo slow shipping.</v>
      </c>
    </row>
    <row r="9571">
      <c r="A9571" s="1">
        <v>4.0</v>
      </c>
      <c r="B9571" s="1" t="s">
        <v>9496</v>
      </c>
      <c r="C9571" t="str">
        <f>IFERROR(__xludf.DUMMYFUNCTION("GOOGLETRANSLATE(B9571, ""es"", ""en"")"),"For me it's okay, I like how records Well I'm using it to record ideas that occur to me with the guitar. It is true that could record something higher, but the volume is acceptable to 50 cm. What has surprised me is the frequency balance it collects. In h"&amp;"is point of media, without sharp garish or turbid save it. You also have a very acceptable level of noise that is barely hear background parasites which produces a very clear recording. Contrary also say that does not recognize Pro Tools or Cubase, you ha"&amp;"ve to record with the recorder Windows that leaves much to be desired.")</f>
        <v>For me it's okay, I like how records Well I'm using it to record ideas that occur to me with the guitar. It is true that could record something higher, but the volume is acceptable to 50 cm. What has surprised me is the frequency balance it collects. In his point of media, without sharp garish or turbid save it. You also have a very acceptable level of noise that is barely hear background parasites which produces a very clear recording. Contrary also say that does not recognize Pro Tools or Cubase, you have to record with the recorder Windows that leaves much to be desired.</v>
      </c>
    </row>
    <row r="9572">
      <c r="A9572" s="1">
        <v>4.0</v>
      </c>
      <c r="B9572" s="1" t="s">
        <v>9497</v>
      </c>
      <c r="C9572" t="str">
        <f>IFERROR(__xludf.DUMMYFUNCTION("GOOGLETRANSLATE(B9572, ""es"", ""en"")"),"Good quality headphones buy these headphones for use on television. We've tried and not bad for the price it has. It is true that the sound is a little ""canned"" but it is something that happened to me in all the headphones I've used so far. The only hig"&amp;"hlight the cable, which is short for the use you want to give. But as we have bought an extension cord, problem solved;)")</f>
        <v>Good quality headphones buy these headphones for use on television. We've tried and not bad for the price it has. It is true that the sound is a little "canned" but it is something that happened to me in all the headphones I've used so far. The only highlight the cable, which is short for the use you want to give. But as we have bought an extension cord, problem solved;)</v>
      </c>
    </row>
    <row r="9573">
      <c r="A9573" s="1">
        <v>5.0</v>
      </c>
      <c r="B9573" s="1" t="s">
        <v>9498</v>
      </c>
      <c r="C9573" t="str">
        <f>IFERROR(__xludf.DUMMYFUNCTION("GOOGLETRANSLATE(B9573, ""es"", ""en"")"),"Fast delivery blender and does the job")</f>
        <v>Fast delivery blender and does the job</v>
      </c>
    </row>
    <row r="9574">
      <c r="A9574" s="1">
        <v>5.0</v>
      </c>
      <c r="B9574" s="1" t="s">
        <v>9499</v>
      </c>
      <c r="C9574" t="str">
        <f>IFERROR(__xludf.DUMMYFUNCTION("GOOGLETRANSLATE(B9574, ""es"", ""en"")"),"Perfect I love this type of mixer. It is a useful concept and super comfortable. I like the container where bat is the glass itself. So you avoid dirtying more. Very fast, very easy to clean, good design, occupies little, you can take the glass with a lid"&amp;", dishwasher ... everything perfect. Still surprised at the low price. You can not ask for more.")</f>
        <v>Perfect I love this type of mixer. It is a useful concept and super comfortable. I like the container where bat is the glass itself. So you avoid dirtying more. Very fast, very easy to clean, good design, occupies little, you can take the glass with a lid, dishwasher ... everything perfect. Still surprised at the low price. You can not ask for more.</v>
      </c>
    </row>
    <row r="9575">
      <c r="A9575" s="1">
        <v>5.0</v>
      </c>
      <c r="B9575" s="1" t="s">
        <v>9500</v>
      </c>
      <c r="C9575" t="str">
        <f>IFERROR(__xludf.DUMMYFUNCTION("GOOGLETRANSLATE(B9575, ""es"", ""en"")"),"Highly recommended I think it's one of the best vessels in the market. The only bad thing is that you have to scrub the nozzle well. It is very convenient and my baby loves")</f>
        <v>Highly recommended I think it's one of the best vessels in the market. The only bad thing is that you have to scrub the nozzle well. It is very convenient and my baby loves</v>
      </c>
    </row>
    <row r="9576">
      <c r="A9576" s="1">
        <v>5.0</v>
      </c>
      <c r="B9576" s="1" t="s">
        <v>9501</v>
      </c>
      <c r="C9576" t="str">
        <f>IFERROR(__xludf.DUMMYFUNCTION("GOOGLETRANSLATE(B9576, ""es"", ""en"")"),"Very comfortable good article")</f>
        <v>Very comfortable good article</v>
      </c>
    </row>
    <row r="9577">
      <c r="A9577" s="1">
        <v>5.0</v>
      </c>
      <c r="B9577" s="1" t="s">
        <v>9502</v>
      </c>
      <c r="C9577" t="str">
        <f>IFERROR(__xludf.DUMMYFUNCTION("GOOGLETRANSLATE(B9577, ""es"", ""en"")"),"A bag perfect right assortment ordering cable and velcro strips good size.")</f>
        <v>A bag perfect right assortment ordering cable and velcro strips good size.</v>
      </c>
    </row>
    <row r="9578">
      <c r="A9578" s="1">
        <v>5.0</v>
      </c>
      <c r="B9578" s="1" t="s">
        <v>9503</v>
      </c>
      <c r="C9578" t="str">
        <f>IFERROR(__xludf.DUMMYFUNCTION("GOOGLETRANSLATE(B9578, ""es"", ""en"")"),"Little more can be said. Perfect is just what I needed. After being manually using one plastic, tertiary, I wanted a simple and effective juicer. It works very fast and clean luxury. Spot on Purchase")</f>
        <v>Little more can be said. Perfect is just what I needed. After being manually using one plastic, tertiary, I wanted a simple and effective juicer. It works very fast and clean luxury. Spot on Purchase</v>
      </c>
    </row>
    <row r="9579">
      <c r="A9579" s="1">
        <v>5.0</v>
      </c>
      <c r="B9579" s="1" t="s">
        <v>9504</v>
      </c>
      <c r="C9579" t="str">
        <f>IFERROR(__xludf.DUMMYFUNCTION("GOOGLETRANSLATE(B9579, ""es"", ""en"")"),"Extraordinary price quality cartridges fit perfectly works very well'm very pleased with purchase")</f>
        <v>Extraordinary price quality cartridges fit perfectly works very well'm very pleased with purchase</v>
      </c>
    </row>
    <row r="9580">
      <c r="A9580" s="1">
        <v>5.0</v>
      </c>
      <c r="B9580" s="1" t="s">
        <v>9505</v>
      </c>
      <c r="C9580" t="str">
        <f>IFERROR(__xludf.DUMMYFUNCTION("GOOGLETRANSLATE(B9580, ""es"", ""en"")"),"Good sound is the first microphone that buy so all I can say is that the sound is clean and that the scope is good (record sounds to 1.5 m).")</f>
        <v>Good sound is the first microphone that buy so all I can say is that the sound is clean and that the scope is good (record sounds to 1.5 m).</v>
      </c>
    </row>
    <row r="9581">
      <c r="A9581" s="1">
        <v>5.0</v>
      </c>
      <c r="B9581" s="1" t="s">
        <v>9506</v>
      </c>
      <c r="C9581" t="str">
        <f>IFERROR(__xludf.DUMMYFUNCTION("GOOGLETRANSLATE(B9581, ""es"", ""en"")"),"Buy this belt strap good because I had broken my own and I am very pleased with purchase, it is very comfortable, fits perfectly on the clock.")</f>
        <v>Buy this belt strap good because I had broken my own and I am very pleased with purchase, it is very comfortable, fits perfectly on the clock.</v>
      </c>
    </row>
    <row r="9582">
      <c r="A9582" s="1">
        <v>5.0</v>
      </c>
      <c r="B9582" s="1" t="s">
        <v>9507</v>
      </c>
      <c r="C9582" t="str">
        <f>IFERROR(__xludf.DUMMYFUNCTION("GOOGLETRANSLATE(B9582, ""es"", ""en"")"),"Extremely small size super slim but reliable and fast, perfect for use in USB car with music by size, but if you're reading and writing speed for that there are others of the same brand. Are always brand it bought from the kingstone gave me problems stop "&amp;"functioning without more.")</f>
        <v>Extremely small size super slim but reliable and fast, perfect for use in USB car with music by size, but if you're reading and writing speed for that there are others of the same brand. Are always brand it bought from the kingstone gave me problems stop functioning without more.</v>
      </c>
    </row>
    <row r="9583">
      <c r="A9583" s="1">
        <v>5.0</v>
      </c>
      <c r="B9583" s="1" t="s">
        <v>9508</v>
      </c>
      <c r="C9583" t="str">
        <f>IFERROR(__xludf.DUMMYFUNCTION("GOOGLETRANSLATE(B9583, ""es"", ""en"")"),"Paper cutter is exactly what I expected. I use photo paper to cut and quality of the blade is very good and safe. Fattest used to cut paper, as Eva rubber crafts for my daughter. I recommend it.")</f>
        <v>Paper cutter is exactly what I expected. I use photo paper to cut and quality of the blade is very good and safe. Fattest used to cut paper, as Eva rubber crafts for my daughter. I recommend it.</v>
      </c>
    </row>
    <row r="9584">
      <c r="A9584" s="1">
        <v>5.0</v>
      </c>
      <c r="B9584" s="1" t="s">
        <v>9509</v>
      </c>
      <c r="C9584" t="str">
        <f>IFERROR(__xludf.DUMMYFUNCTION("GOOGLETRANSLATE(B9584, ""es"", ""en"")"),"Ideal with leggings Very satisfied with the purchase, the color is very cheerful, is as it appears in the photo. I ordered a size bigger because I read other reviews and indeed is well adjusted on the side of the chest and loose underneath. It is longer t"&amp;"han expected and combine it with leggings.")</f>
        <v>Ideal with leggings Very satisfied with the purchase, the color is very cheerful, is as it appears in the photo. I ordered a size bigger because I read other reviews and indeed is well adjusted on the side of the chest and loose underneath. It is longer than expected and combine it with leggings.</v>
      </c>
    </row>
    <row r="9585">
      <c r="A9585" s="1">
        <v>5.0</v>
      </c>
      <c r="B9585" s="1" t="s">
        <v>9510</v>
      </c>
      <c r="C9585" t="str">
        <f>IFERROR(__xludf.DUMMYFUNCTION("GOOGLETRANSLATE(B9585, ""es"", ""en"")"),"Light good money, close very good, the bad is the glass that is very exposed to you scratch and protruding from the body of the clock operation than expected")</f>
        <v>Light good money, close very good, the bad is the glass that is very exposed to you scratch and protruding from the body of the clock operation than expected</v>
      </c>
    </row>
    <row r="9586">
      <c r="A9586" s="1">
        <v>5.0</v>
      </c>
      <c r="B9586" s="1" t="s">
        <v>9511</v>
      </c>
      <c r="C9586" t="str">
        <f>IFERROR(__xludf.DUMMYFUNCTION("GOOGLETRANSLATE(B9586, ""es"", ""en"")"),"Great for the price it was for my niece loved it.")</f>
        <v>Great for the price it was for my niece loved it.</v>
      </c>
    </row>
    <row r="9587">
      <c r="A9587" s="1">
        <v>5.0</v>
      </c>
      <c r="B9587" s="1" t="s">
        <v>9512</v>
      </c>
      <c r="C9587" t="str">
        <f>IFERROR(__xludf.DUMMYFUNCTION("GOOGLETRANSLATE(B9587, ""es"", ""en"")"),"Garbage. Pesimo microphone, not me nor lasted 2 months and no, I have not only used this on a table for a radio. To top the warranty is very short since it acquired in December 2015 and expired on February 28. 140 euros thrown away in a few months.")</f>
        <v>Garbage. Pesimo microphone, not me nor lasted 2 months and no, I have not only used this on a table for a radio. To top the warranty is very short since it acquired in December 2015 and expired on February 28. 140 euros thrown away in a few months.</v>
      </c>
    </row>
    <row r="9588">
      <c r="A9588" s="1">
        <v>5.0</v>
      </c>
      <c r="B9588" s="1" t="s">
        <v>9513</v>
      </c>
      <c r="C9588" t="str">
        <f>IFERROR(__xludf.DUMMYFUNCTION("GOOGLETRANSLATE(B9588, ""es"", ""en"")"),"Perfect for those who want a backpack with a handle. It's just what I wanted. For those who do not like you, like me, backpacks two handles, this is perfect with several compartments, waterproof, etc. I am delighted with my purchase. Unfit to carry much v"&amp;"olume.")</f>
        <v>Perfect for those who want a backpack with a handle. It's just what I wanted. For those who do not like you, like me, backpacks two handles, this is perfect with several compartments, waterproof, etc. I am delighted with my purchase. Unfit to carry much volume.</v>
      </c>
    </row>
    <row r="9589">
      <c r="A9589" s="1">
        <v>5.0</v>
      </c>
      <c r="B9589" s="1" t="s">
        <v>9514</v>
      </c>
      <c r="C9589" t="str">
        <f>IFERROR(__xludf.DUMMYFUNCTION("GOOGLETRANSLATE(B9589, ""es"", ""en"")"),"Nice Casio Casio watch, original, boxed, retro design.")</f>
        <v>Nice Casio Casio watch, original, boxed, retro design.</v>
      </c>
    </row>
    <row r="9590">
      <c r="A9590" s="1">
        <v>5.0</v>
      </c>
      <c r="B9590" s="1" t="s">
        <v>9515</v>
      </c>
      <c r="C9590" t="str">
        <f>IFERROR(__xludf.DUMMYFUNCTION("GOOGLETRANSLATE(B9590, ""es"", ""en"")"),"Great shipping much sooner than expected I have come much earlier than established. I've amazed. Heard of wonder am very satisfied with buying the cable is rather long. And the headphones are different from the usual are better suited to the ear and do no"&amp;"t cause discomfort. Great.")</f>
        <v>Great shipping much sooner than expected I have come much earlier than established. I've amazed. Heard of wonder am very satisfied with buying the cable is rather long. And the headphones are different from the usual are better suited to the ear and do not cause discomfort. Great.</v>
      </c>
    </row>
    <row r="9591">
      <c r="A9591" s="1">
        <v>2.0</v>
      </c>
      <c r="B9591" s="1" t="s">
        <v>9516</v>
      </c>
      <c r="C9591" t="str">
        <f>IFERROR(__xludf.DUMMYFUNCTION("GOOGLETRANSLATE(B9591, ""es"", ""en"")"),"Problems with Mac and noisy to be a portable drive I noticed very loud. The housing has good touch and it's nice, is well built. Mac has given me problems to the format it on your operating system, so at the end I returned.")</f>
        <v>Problems with Mac and noisy to be a portable drive I noticed very loud. The housing has good touch and it's nice, is well built. Mac has given me problems to the format it on your operating system, so at the end I returned.</v>
      </c>
    </row>
    <row r="9592">
      <c r="A9592" s="1">
        <v>3.0</v>
      </c>
      <c r="B9592" s="1" t="s">
        <v>9517</v>
      </c>
      <c r="C9592" t="str">
        <f>IFERROR(__xludf.DUMMYFUNCTION("GOOGLETRANSLATE(B9592, ""es"", ""en"")"),"Possible imitation Yesterday I received the shoes. Always I bought on Amazon, and this time I have the impression that they are false. They come in a box New Balance, but is different from other times, I do not know if design change or because they are no"&amp;"t authentic. Also, it does not appear anywhere the brand of ""registered"" (r inside circle). Carving I asked the usual (another number), but not me I have tried them yet if I return, as I suspect are false and I worry about the quality they have. On the "&amp;"other hand, and with respect to the first version of the classic 574 model, the color red burgundy has changed, now takes much more than the eggplant garnet, as seen in the photo. The old model I have over two years, I poniéndomelo lot, and there are endu"&amp;"ring, they are indestructible.")</f>
        <v>Possible imitation Yesterday I received the shoes. Always I bought on Amazon, and this time I have the impression that they are false. They come in a box New Balance, but is different from other times, I do not know if design change or because they are not authentic. Also, it does not appear anywhere the brand of "registered" (r inside circle). Carving I asked the usual (another number), but not me I have tried them yet if I return, as I suspect are false and I worry about the quality they have. On the other hand, and with respect to the first version of the classic 574 model, the color red burgundy has changed, now takes much more than the eggplant garnet, as seen in the photo. The old model I have over two years, I poniéndomelo lot, and there are enduring, they are indestructible.</v>
      </c>
    </row>
    <row r="9593">
      <c r="A9593" s="1">
        <v>3.0</v>
      </c>
      <c r="B9593" s="1" t="s">
        <v>9518</v>
      </c>
      <c r="C9593" t="str">
        <f>IFERROR(__xludf.DUMMYFUNCTION("GOOGLETRANSLATE(B9593, ""es"", ""en"")"),"It does not work quite right the problems with the USB Something is not right .... USB only works occasionally, I have to go changing them to work. Volume acceptable for the price is fine.")</f>
        <v>It does not work quite right the problems with the USB Something is not right .... USB only works occasionally, I have to go changing them to work. Volume acceptable for the price is fine.</v>
      </c>
    </row>
    <row r="9594">
      <c r="A9594" s="1">
        <v>3.0</v>
      </c>
      <c r="B9594" s="1" t="s">
        <v>9519</v>
      </c>
      <c r="C9594" t="str">
        <f>IFERROR(__xludf.DUMMYFUNCTION("GOOGLETRANSLATE(B9594, ""es"", ""en"")"),"Dodgy Dodgy Very belt, I do not know how long ... quality fairly regular")</f>
        <v>Dodgy Dodgy Very belt, I do not know how long ... quality fairly regular</v>
      </c>
    </row>
    <row r="9595">
      <c r="A9595" s="1">
        <v>1.0</v>
      </c>
      <c r="B9595" s="1" t="s">
        <v>9520</v>
      </c>
      <c r="C9595" t="str">
        <f>IFERROR(__xludf.DUMMYFUNCTION("GOOGLETRANSLATE(B9595, ""es"", ""en"")"),"Defrauded a disappointment. Only works a helmet")</f>
        <v>Defrauded a disappointment. Only works a helmet</v>
      </c>
    </row>
    <row r="9596">
      <c r="A9596" s="1">
        <v>1.0</v>
      </c>
      <c r="B9596" s="1" t="s">
        <v>9521</v>
      </c>
      <c r="C9596" t="str">
        <f>IFERROR(__xludf.DUMMYFUNCTION("GOOGLETRANSLATE(B9596, ""es"", ""en"")"),"Thick fabric mesh")</f>
        <v>Thick fabric mesh</v>
      </c>
    </row>
    <row r="9597">
      <c r="A9597" s="1">
        <v>4.0</v>
      </c>
      <c r="B9597" s="1" t="s">
        <v>9522</v>
      </c>
      <c r="C9597" t="str">
        <f>IFERROR(__xludf.DUMMYFUNCTION("GOOGLETRANSLATE(B9597, ""es"", ""en"")"),"Good value The product is exactly as it appears in the ad. It comes well protected, with their labels and warranty documents. In my case it is for a gift, if you like big watches like this has l sphere an tad small but in any case as measured by the annou"&amp;"ncement. All that is now coming on and not take so much time. In any case are two-year warranty and specification said stack of 7 years. The only thing the box as seen in the photos has come a little touched, Amazon came boxed with another product but see"&amp;"m more damage to transport handling.")</f>
        <v>Good value The product is exactly as it appears in the ad. It comes well protected, with their labels and warranty documents. In my case it is for a gift, if you like big watches like this has l sphere an tad small but in any case as measured by the announcement. All that is now coming on and not take so much time. In any case are two-year warranty and specification said stack of 7 years. The only thing the box as seen in the photos has come a little touched, Amazon came boxed with another product but seem more damage to transport handling.</v>
      </c>
    </row>
    <row r="9598">
      <c r="A9598" s="1">
        <v>4.0</v>
      </c>
      <c r="B9598" s="1" t="s">
        <v>9523</v>
      </c>
      <c r="C9598" t="str">
        <f>IFERROR(__xludf.DUMMYFUNCTION("GOOGLETRANSLATE(B9598, ""es"", ""en"")"),"Useful for those who continue Par vinyls vinyls heard this is a good and inexpensive tool, brush needle I have not used but it is a complement")</f>
        <v>Useful for those who continue Par vinyls vinyls heard this is a good and inexpensive tool, brush needle I have not used but it is a complement</v>
      </c>
    </row>
    <row r="9599">
      <c r="A9599" s="1">
        <v>4.0</v>
      </c>
      <c r="B9599" s="1" t="s">
        <v>9524</v>
      </c>
      <c r="C9599" t="str">
        <f>IFERROR(__xludf.DUMMYFUNCTION("GOOGLETRANSLATE(B9599, ""es"", ""en"")"),"ok all A's like the rest of Converse that I used, I ordered a half size smaller than commonly use: about 44 and usually use 44.5. I go perfect. The have sent in their box. I am not an expert on forgeries but I swear are authentic ...")</f>
        <v>ok all A's like the rest of Converse that I used, I ordered a half size smaller than commonly use: about 44 and usually use 44.5. I go perfect. The have sent in their box. I am not an expert on forgeries but I swear are authentic ...</v>
      </c>
    </row>
    <row r="9600">
      <c r="A9600" s="1">
        <v>4.0</v>
      </c>
      <c r="B9600" s="1" t="s">
        <v>9525</v>
      </c>
      <c r="C9600" t="str">
        <f>IFERROR(__xludf.DUMMYFUNCTION("GOOGLETRANSLATE(B9600, ""es"", ""en"")"),"Beautiful, practical and elegant bag for men. Beautiful, practical and stylish bag man. To have things always at hand without having to carry them in their pockets.")</f>
        <v>Beautiful, practical and elegant bag for men. Beautiful, practical and stylish bag man. To have things always at hand without having to carry them in their pockets.</v>
      </c>
    </row>
    <row r="9601">
      <c r="A9601" s="1">
        <v>4.0</v>
      </c>
      <c r="B9601" s="1" t="s">
        <v>9526</v>
      </c>
      <c r="C9601" t="str">
        <f>IFERROR(__xludf.DUMMYFUNCTION("GOOGLETRANSLATE(B9601, ""es"", ""en"")"),"Then came the order works perfectly correctly and meets expectations. Reusable packaging is opened for when you want to keep the cable again. The thickness of the wire is thin. It has a soft texture but is working perfectly. Good value for money")</f>
        <v>Then came the order works perfectly correctly and meets expectations. Reusable packaging is opened for when you want to keep the cable again. The thickness of the wire is thin. It has a soft texture but is working perfectly. Good value for money</v>
      </c>
    </row>
    <row r="9602">
      <c r="A9602" s="1">
        <v>5.0</v>
      </c>
      <c r="B9602" s="1" t="s">
        <v>9527</v>
      </c>
      <c r="C9602" t="str">
        <f>IFERROR(__xludf.DUMMYFUNCTION("GOOGLETRANSLATE(B9602, ""es"", ""en"")"),"Fantastic leggings are super good and super comfortable leggings to the gym. A repeat purchase for sure.")</f>
        <v>Fantastic leggings are super good and super comfortable leggings to the gym. A repeat purchase for sure.</v>
      </c>
    </row>
    <row r="9603">
      <c r="A9603" s="1">
        <v>5.0</v>
      </c>
      <c r="B9603" s="1" t="s">
        <v>9528</v>
      </c>
      <c r="C9603" t="str">
        <f>IFERROR(__xludf.DUMMYFUNCTION("GOOGLETRANSLATE(B9603, ""es"", ""en"")"),"Bluetooth headset sound good very compact, comfortable and good battery Duracon as detailed in the specifications. Good sound quality and audio. Easy to use and quickly when enlacarse with the device in question")</f>
        <v>Bluetooth headset sound good very compact, comfortable and good battery Duracon as detailed in the specifications. Good sound quality and audio. Easy to use and quickly when enlacarse with the device in question</v>
      </c>
    </row>
    <row r="9604">
      <c r="A9604" s="1">
        <v>5.0</v>
      </c>
      <c r="B9604" s="1" t="s">
        <v>9529</v>
      </c>
      <c r="C9604" t="str">
        <f>IFERROR(__xludf.DUMMYFUNCTION("GOOGLETRANSLATE(B9604, ""es"", ""en"")"),"Satisfied. Quality sweatshirt, comfortable and slightly fitted. As seen in the photo.")</f>
        <v>Satisfied. Quality sweatshirt, comfortable and slightly fitted. As seen in the photo.</v>
      </c>
    </row>
    <row r="9605">
      <c r="A9605" s="1">
        <v>5.0</v>
      </c>
      <c r="B9605" s="1" t="s">
        <v>9530</v>
      </c>
      <c r="C9605" t="str">
        <f>IFERROR(__xludf.DUMMYFUNCTION("GOOGLETRANSLATE(B9605, ""es"", ""en"")"),"Value unbeatable arrived before the deadline and all very comfortable and effective and easy to use, covers espectativas")</f>
        <v>Value unbeatable arrived before the deadline and all very comfortable and effective and easy to use, covers espectativas</v>
      </c>
    </row>
    <row r="9606">
      <c r="A9606" s="1">
        <v>5.0</v>
      </c>
      <c r="B9606" s="1" t="s">
        <v>9531</v>
      </c>
      <c r="C9606" t="str">
        <f>IFERROR(__xludf.DUMMYFUNCTION("GOOGLETRANSLATE(B9606, ""es"", ""en"")"),"Yodo good mixer liked")</f>
        <v>Yodo good mixer liked</v>
      </c>
    </row>
    <row r="9607">
      <c r="A9607" s="1">
        <v>5.0</v>
      </c>
      <c r="B9607" s="1" t="s">
        <v>9532</v>
      </c>
      <c r="C9607" t="str">
        <f>IFERROR(__xludf.DUMMYFUNCTION("GOOGLETRANSLATE(B9607, ""es"", ""en"")"),"Correct functional and useful is a memory card adapter works as you would expect with no errors. Right.")</f>
        <v>Correct functional and useful is a memory card adapter works as you would expect with no errors. Right.</v>
      </c>
    </row>
    <row r="9608">
      <c r="A9608" s="1">
        <v>5.0</v>
      </c>
      <c r="B9608" s="1" t="s">
        <v>9533</v>
      </c>
      <c r="C9608" t="str">
        <f>IFERROR(__xludf.DUMMYFUNCTION("GOOGLETRANSLATE(B9608, ""es"", ""en"")"),"It is the rellotge 'that volia Metalic, submergible, Comptador enrrere i amb timed. Enfi, recomanable i bonic molt. Is lleuger i d'una semblant measure als altres")</f>
        <v>It is the rellotge 'that volia Metalic, submergible, Comptador enrrere i amb timed. Enfi, recomanable i bonic molt. Is lleuger i d'una semblant measure als altres</v>
      </c>
    </row>
    <row r="9609">
      <c r="A9609" s="1">
        <v>5.0</v>
      </c>
      <c r="B9609" s="1" t="s">
        <v>9534</v>
      </c>
      <c r="C9609" t="str">
        <f>IFERROR(__xludf.DUMMYFUNCTION("GOOGLETRANSLATE(B9609, ""es"", ""en"")"),"It is essential incredibly good")</f>
        <v>It is essential incredibly good</v>
      </c>
    </row>
    <row r="9610">
      <c r="A9610" s="1">
        <v>5.0</v>
      </c>
      <c r="B9610" s="1" t="s">
        <v>9535</v>
      </c>
      <c r="C9610" t="str">
        <f>IFERROR(__xludf.DUMMYFUNCTION("GOOGLETRANSLATE(B9610, ""es"", ""en"")"),"Use simple and true that I personally have given him is to hide my cables below the desk. So far I have tried one to see how it behaved glue itself, and seems to hold very well, I even tried to force it a bit to see if he fell easily, and nothing has happ"&amp;"ened. Once you have finished my desk, I will picture and you will see that with the simplicity of the product, it is perfectly valid to order well several cables. I recommend it 100%.")</f>
        <v>Use simple and true that I personally have given him is to hide my cables below the desk. So far I have tried one to see how it behaved glue itself, and seems to hold very well, I even tried to force it a bit to see if he fell easily, and nothing has happened. Once you have finished my desk, I will picture and you will see that with the simplicity of the product, it is perfectly valid to order well several cables. I recommend it 100%.</v>
      </c>
    </row>
    <row r="9611">
      <c r="A9611" s="1">
        <v>5.0</v>
      </c>
      <c r="B9611" s="1" t="s">
        <v>9536</v>
      </c>
      <c r="C9611" t="str">
        <f>IFERROR(__xludf.DUMMYFUNCTION("GOOGLETRANSLATE(B9611, ""es"", ""en"")"),"I love!!! the best mask probe !! I really noticed a difference in my skin since I'm using it !! I have oily skin and pimples and blemishes less noticed! super recommend !!")</f>
        <v>I love!!! the best mask probe !! I really noticed a difference in my skin since I'm using it !! I have oily skin and pimples and blemishes less noticed! super recommend !!</v>
      </c>
    </row>
    <row r="9612">
      <c r="A9612" s="1">
        <v>5.0</v>
      </c>
      <c r="B9612" s="1" t="s">
        <v>9537</v>
      </c>
      <c r="C9612" t="str">
        <f>IFERROR(__xludf.DUMMYFUNCTION("GOOGLETRANSLATE(B9612, ""es"", ""en"")"),"Bought a large hard drive to install a Synology NAS, I have not had any problems. Rapid and correct shipping. I hope it lasts more than the disk which has replaced.")</f>
        <v>Bought a large hard drive to install a Synology NAS, I have not had any problems. Rapid and correct shipping. I hope it lasts more than the disk which has replaced.</v>
      </c>
    </row>
    <row r="9613">
      <c r="A9613" s="1">
        <v>5.0</v>
      </c>
      <c r="B9613" s="1" t="s">
        <v>9538</v>
      </c>
      <c r="C9613" t="str">
        <f>IFERROR(__xludf.DUMMYFUNCTION("GOOGLETRANSLATE(B9613, ""es"", ""en"")"),"Extreme Card SanDisk wanted a memory card with average ability and above all speed, buy it for camera, needed especially quickly in writing, at the moment it is perfect and both writing and no delays perfect reading anything into the camera, the test in v"&amp;"ideo recording in 1080 very well now to try as advocated in 4K, highly recommended card")</f>
        <v>Extreme Card SanDisk wanted a memory card with average ability and above all speed, buy it for camera, needed especially quickly in writing, at the moment it is perfect and both writing and no delays perfect reading anything into the camera, the test in video recording in 1080 very well now to try as advocated in 4K, highly recommended card</v>
      </c>
    </row>
    <row r="9614">
      <c r="A9614" s="1">
        <v>5.0</v>
      </c>
      <c r="B9614" s="1" t="s">
        <v>9539</v>
      </c>
      <c r="C9614" t="str">
        <f>IFERROR(__xludf.DUMMYFUNCTION("GOOGLETRANSLATE(B9614, ""es"", ""en"")"),"Good quality. Nike sports, good and very light, perfectly fit the foot. They are very comfortable.")</f>
        <v>Good quality. Nike sports, good and very light, perfectly fit the foot. They are very comfortable.</v>
      </c>
    </row>
    <row r="9615">
      <c r="A9615" s="1">
        <v>5.0</v>
      </c>
      <c r="B9615" s="1" t="s">
        <v>9540</v>
      </c>
      <c r="C9615" t="str">
        <f>IFERROR(__xludf.DUMMYFUNCTION("GOOGLETRANSLATE(B9615, ""es"", ""en"")"),"Large capacity and operation very quickly I found it very good product. I did not expect such a start steaming as fast but nothing is instant plug. It works only with two buttons, one for light and one to set a timer.")</f>
        <v>Large capacity and operation very quickly I found it very good product. I did not expect such a start steaming as fast but nothing is instant plug. It works only with two buttons, one for light and one to set a timer.</v>
      </c>
    </row>
    <row r="9616">
      <c r="A9616" s="1">
        <v>5.0</v>
      </c>
      <c r="B9616" s="1" t="s">
        <v>9541</v>
      </c>
      <c r="C9616" t="str">
        <f>IFERROR(__xludf.DUMMYFUNCTION("GOOGLETRANSLATE(B9616, ""es"", ""en"")"),"🌟🌟 Very nice and looks great")</f>
        <v>🌟🌟 Very nice and looks great</v>
      </c>
    </row>
    <row r="9617">
      <c r="A9617" s="1">
        <v>5.0</v>
      </c>
      <c r="B9617" s="1" t="s">
        <v>9542</v>
      </c>
      <c r="C9617" t="str">
        <f>IFERROR(__xludf.DUMMYFUNCTION("GOOGLETRANSLATE(B9617, ""es"", ""en"")"),"See the artist in you. It was what we needed for meetings with friends, since we removed has stopped working there is always someone wanting to sing or say something. It is linked to the phone and to sing! The battery lasts long.")</f>
        <v>See the artist in you. It was what we needed for meetings with friends, since we removed has stopped working there is always someone wanting to sing or say something. It is linked to the phone and to sing! The battery lasts long.</v>
      </c>
    </row>
    <row r="9618">
      <c r="A9618" s="1">
        <v>5.0</v>
      </c>
      <c r="B9618" s="1" t="s">
        <v>9543</v>
      </c>
      <c r="C9618" t="str">
        <f>IFERROR(__xludf.DUMMYFUNCTION("GOOGLETRANSLATE(B9618, ""es"", ""en"")"),"Perfect delivery. All well and fast delivery")</f>
        <v>Perfect delivery. All well and fast delivery</v>
      </c>
    </row>
    <row r="9619">
      <c r="A9619" s="1">
        <v>5.0</v>
      </c>
      <c r="B9619" s="1" t="s">
        <v>9544</v>
      </c>
      <c r="C9619" t="str">
        <f>IFERROR(__xludf.DUMMYFUNCTION("GOOGLETRANSLATE(B9619, ""es"", ""en"")"),"It meets weighs nothing works well and looks good otherwise the temperature must take the relog but gives a mixture of temperature and body ja ja but good")</f>
        <v>It meets weighs nothing works well and looks good otherwise the temperature must take the relog but gives a mixture of temperature and body ja ja but good</v>
      </c>
    </row>
    <row r="9620">
      <c r="A9620" s="1">
        <v>5.0</v>
      </c>
      <c r="B9620" s="1" t="s">
        <v>9545</v>
      </c>
      <c r="C9620" t="str">
        <f>IFERROR(__xludf.DUMMYFUNCTION("GOOGLETRANSLATE(B9620, ""es"", ""en"")"),"Suitable Comfortable, fulfills its function")</f>
        <v>Suitable Comfortable, fulfills its function</v>
      </c>
    </row>
    <row r="9621">
      <c r="A9621" s="1">
        <v>2.0</v>
      </c>
      <c r="B9621" s="1" t="s">
        <v>9546</v>
      </c>
      <c r="C9621" t="str">
        <f>IFERROR(__xludf.DUMMYFUNCTION("GOOGLETRANSLATE(B9621, ""es"", ""en"")"),"Quality second floor are models besides Quality not be in the same plastic as those of the English Court, have been long in the store or display case because the packaging had lost its original color. But do work and are Cheap hotels")</f>
        <v>Quality second floor are models besides Quality not be in the same plastic as those of the English Court, have been long in the store or display case because the packaging had lost its original color. But do work and are Cheap hotels</v>
      </c>
    </row>
    <row r="9622">
      <c r="A9622" s="1">
        <v>3.0</v>
      </c>
      <c r="B9622" s="1" t="s">
        <v>9547</v>
      </c>
      <c r="C9622" t="str">
        <f>IFERROR(__xludf.DUMMYFUNCTION("GOOGLETRANSLATE(B9622, ""es"", ""en"")"),"good quality but something just for the table normal quality fabric, not too thin nor too gruesa.66 percent cotton and other poliester.Queda tight so get one or 2 sizes mas.Yo ordered one more and still he had some just")</f>
        <v>good quality but something just for the table normal quality fabric, not too thin nor too gruesa.66 percent cotton and other poliester.Queda tight so get one or 2 sizes mas.Yo ordered one more and still he had some just</v>
      </c>
    </row>
    <row r="9623">
      <c r="A9623" s="1">
        <v>3.0</v>
      </c>
      <c r="B9623" s="1" t="s">
        <v>9548</v>
      </c>
      <c r="C9623" t="str">
        <f>IFERROR(__xludf.DUMMYFUNCTION("GOOGLETRANSLATE(B9623, ""es"", ""en"")"),"Sleazy The drawing is very cool, but the quality of the sweatshirt pretty bad. And I thought q behind had nothing but repeat the same pattern with which it cargante. Would not buy")</f>
        <v>Sleazy The drawing is very cool, but the quality of the sweatshirt pretty bad. And I thought q behind had nothing but repeat the same pattern with which it cargante. Would not buy</v>
      </c>
    </row>
    <row r="9624">
      <c r="A9624" s="1">
        <v>1.0</v>
      </c>
      <c r="B9624" s="1" t="s">
        <v>9549</v>
      </c>
      <c r="C9624" t="str">
        <f>IFERROR(__xludf.DUMMYFUNCTION("GOOGLETRANSLATE(B9624, ""es"", ""en"")"),"Ugly ugly wildly behind are plated and are not at all well on them and look")</f>
        <v>Ugly ugly wildly behind are plated and are not at all well on them and look</v>
      </c>
    </row>
    <row r="9625">
      <c r="A9625" s="1">
        <v>1.0</v>
      </c>
      <c r="B9625" s="1" t="s">
        <v>9550</v>
      </c>
      <c r="C9625" t="str">
        <f>IFERROR(__xludf.DUMMYFUNCTION("GOOGLETRANSLATE(B9625, ""es"", ""en"")"),"Not what I expected takes a lot to heat to maximum # 6, I had better blankets.")</f>
        <v>Not what I expected takes a lot to heat to maximum # 6, I had better blankets.</v>
      </c>
    </row>
    <row r="9626">
      <c r="A9626" s="1">
        <v>4.0</v>
      </c>
      <c r="B9626" s="1" t="s">
        <v>9551</v>
      </c>
      <c r="C9626" t="str">
        <f>IFERROR(__xludf.DUMMYFUNCTION("GOOGLETRANSLATE(B9626, ""es"", ""en"")"),"Well Vien")</f>
        <v>Well Vien</v>
      </c>
    </row>
    <row r="9627">
      <c r="A9627" s="1">
        <v>4.0</v>
      </c>
      <c r="B9627" s="1" t="s">
        <v>9552</v>
      </c>
      <c r="C9627" t="str">
        <f>IFERROR(__xludf.DUMMYFUNCTION("GOOGLETRANSLATE(B9627, ""es"", ""en"")"),"Smells clean smells great and lasts long enough with a few drops. Contenta")</f>
        <v>Smells clean smells great and lasts long enough with a few drops. Contenta</v>
      </c>
    </row>
    <row r="9628">
      <c r="A9628" s="1">
        <v>4.0</v>
      </c>
      <c r="B9628" s="1" t="s">
        <v>9553</v>
      </c>
      <c r="C9628" t="str">
        <f>IFERROR(__xludf.DUMMYFUNCTION("GOOGLETRANSLATE(B9628, ""es"", ""en"")"),"Too much comfort white")</f>
        <v>Too much comfort white</v>
      </c>
    </row>
    <row r="9629">
      <c r="A9629" s="1">
        <v>4.0</v>
      </c>
      <c r="B9629" s="1" t="s">
        <v>9554</v>
      </c>
      <c r="C9629" t="str">
        <f>IFERROR(__xludf.DUMMYFUNCTION("GOOGLETRANSLATE(B9629, ""es"", ""en"")"),"High quality and reliability. Buy this disc to expand the capacity of my Synology NAS. They are very quiet, more than the Green series, and the operating temperature is also lower resulting in a longer life. Startup time is minimal so it responds immediat"&amp;"ely. Network disks series are usually 15 to 20 euros more expensive than others but worth it if you're using them on a NAS or on computers that are powered much time. They are the most reliable disks, if you want your data safe discs comprate Network seri"&amp;"es. The only downside is the start to the packaging, I came in an envelope of single carton protected with some bubble wrap for my inadequate for this product, and even the disc was not damaged and worked perfectly.")</f>
        <v>High quality and reliability. Buy this disc to expand the capacity of my Synology NAS. They are very quiet, more than the Green series, and the operating temperature is also lower resulting in a longer life. Startup time is minimal so it responds immediately. Network disks series are usually 15 to 20 euros more expensive than others but worth it if you're using them on a NAS or on computers that are powered much time. They are the most reliable disks, if you want your data safe discs comprate Network series. The only downside is the start to the packaging, I came in an envelope of single carton protected with some bubble wrap for my inadequate for this product, and even the disc was not damaged and worked perfectly.</v>
      </c>
    </row>
    <row r="9630">
      <c r="A9630" s="1">
        <v>5.0</v>
      </c>
      <c r="B9630" s="1" t="s">
        <v>9555</v>
      </c>
      <c r="C9630" t="str">
        <f>IFERROR(__xludf.DUMMYFUNCTION("GOOGLETRANSLATE(B9630, ""es"", ""en"")"),"Very economical unbeatable price-quality, very stable tremendous base iron, the rest gives the feeling of not being very tough but it does perfectly. At this price it is totally recommended.")</f>
        <v>Very economical unbeatable price-quality, very stable tremendous base iron, the rest gives the feeling of not being very tough but it does perfectly. At this price it is totally recommended.</v>
      </c>
    </row>
    <row r="9631">
      <c r="A9631" s="1">
        <v>5.0</v>
      </c>
      <c r="B9631" s="1" t="s">
        <v>9556</v>
      </c>
      <c r="C9631" t="str">
        <f>IFERROR(__xludf.DUMMYFUNCTION("GOOGLETRANSLATE(B9631, ""es"", ""en"")"),"Comodo, effective, discreet and durable They have a band with a small velcro that fits great. It is perfect for warmth in the lumbar region work without having to walk in the micro heating bags or putting electric blankets. It is more discreet and allows "&amp;"you mobility. Also last a lot.")</f>
        <v>Comodo, effective, discreet and durable They have a band with a small velcro that fits great. It is perfect for warmth in the lumbar region work without having to walk in the micro heating bags or putting electric blankets. It is more discreet and allows you mobility. Also last a lot.</v>
      </c>
    </row>
    <row r="9632">
      <c r="A9632" s="1">
        <v>5.0</v>
      </c>
      <c r="B9632" s="1" t="s">
        <v>9557</v>
      </c>
      <c r="C9632" t="str">
        <f>IFERROR(__xludf.DUMMYFUNCTION("GOOGLETRANSLATE(B9632, ""es"", ""en"")"),"To my van me great with plasticized dora cheap My van me perfect in laminator 35 € olympia A3 .. is perfect for pictures and stick them in a carton pen excess with a knife or shears and client super happy, letters and marks carrying water perfectly go onc"&amp;"e plasticized do not understand those people who say they are not going that bad or they have left mine being a laminator of the most economical, When I stay a few buy back the same")</f>
        <v>To my van me great with plasticized dora cheap My van me perfect in laminator 35 € olympia A3 .. is perfect for pictures and stick them in a carton pen excess with a knife or shears and client super happy, letters and marks carrying water perfectly go once plasticized do not understand those people who say they are not going that bad or they have left mine being a laminator of the most economical, When I stay a few buy back the same</v>
      </c>
    </row>
    <row r="9633">
      <c r="A9633" s="1">
        <v>5.0</v>
      </c>
      <c r="B9633" s="1" t="s">
        <v>9558</v>
      </c>
      <c r="C9633" t="str">
        <f>IFERROR(__xludf.DUMMYFUNCTION("GOOGLETRANSLATE(B9633, ""es"", ""en"")"),"Recommended Very good value. Chest subject very well and is very comfortable. In addition I managed well with the size. I have a bra size 95C in and I caught an L and is the size that corresponds me. I recommend it.")</f>
        <v>Recommended Very good value. Chest subject very well and is very comfortable. In addition I managed well with the size. I have a bra size 95C in and I caught an L and is the size that corresponds me. I recommend it.</v>
      </c>
    </row>
    <row r="9634">
      <c r="A9634" s="1">
        <v>5.0</v>
      </c>
      <c r="B9634" s="1" t="s">
        <v>9559</v>
      </c>
      <c r="C9634" t="str">
        <f>IFERROR(__xludf.DUMMYFUNCTION("GOOGLETRANSLATE(B9634, ""es"", ""en"")"),"It attentive to skin contact with your son Metal cumplepero good quality paint peeling in contact with skin jajajajajajajajajaj 😂 as a decorative or atrezzo is nice")</f>
        <v>It attentive to skin contact with your son Metal cumplepero good quality paint peeling in contact with skin jajajajajajajajajaj 😂 as a decorative or atrezzo is nice</v>
      </c>
    </row>
    <row r="9635">
      <c r="A9635" s="1">
        <v>5.0</v>
      </c>
      <c r="B9635" s="1" t="s">
        <v>9560</v>
      </c>
      <c r="C9635" t="str">
        <f>IFERROR(__xludf.DUMMYFUNCTION("GOOGLETRANSLATE(B9635, ""es"", ""en"")"),"Rafael Alburquerque Llorens This cable has allowed me to connect two monitors to study the output of an AM-FM receiver, just as I had imagined ...... thanks")</f>
        <v>Rafael Alburquerque Llorens This cable has allowed me to connect two monitors to study the output of an AM-FM receiver, just as I had imagined ...... thanks</v>
      </c>
    </row>
    <row r="9636">
      <c r="A9636" s="1">
        <v>5.0</v>
      </c>
      <c r="B9636" s="1" t="s">
        <v>524</v>
      </c>
      <c r="C9636" t="str">
        <f>IFERROR(__xludf.DUMMYFUNCTION("GOOGLETRANSLATE(B9636, ""es"", ""en"")"),"Brilliant brilliant")</f>
        <v>Brilliant brilliant</v>
      </c>
    </row>
    <row r="9637">
      <c r="A9637" s="1">
        <v>5.0</v>
      </c>
      <c r="B9637" s="1" t="s">
        <v>9561</v>
      </c>
      <c r="C9637" t="str">
        <f>IFERROR(__xludf.DUMMYFUNCTION("GOOGLETRANSLATE(B9637, ""es"", ""en"")"),"Super would buy Mea liked")</f>
        <v>Super would buy Mea liked</v>
      </c>
    </row>
    <row r="9638">
      <c r="A9638" s="1">
        <v>5.0</v>
      </c>
      <c r="B9638" s="1" t="s">
        <v>9562</v>
      </c>
      <c r="C9638" t="str">
        <f>IFERROR(__xludf.DUMMYFUNCTION("GOOGLETRANSLATE(B9638, ""es"", ""en"")"),"Very good headphones very good headphones, comfortable to wear, with a perfect fit to the ear, which comes with 3 sizes of pad and with great sound quality. The box serves them well kept and charger also comes magnetized so as not to leave its place and t"&amp;"he truth that the design is very attractive. I have several Sony, Sennheiser, JBL headphones but I wanted a small and bluetooh and the truth is that it has nothing to envy these brands")</f>
        <v>Very good headphones very good headphones, comfortable to wear, with a perfect fit to the ear, which comes with 3 sizes of pad and with great sound quality. The box serves them well kept and charger also comes magnetized so as not to leave its place and the truth that the design is very attractive. I have several Sony, Sennheiser, JBL headphones but I wanted a small and bluetooh and the truth is that it has nothing to envy these brands</v>
      </c>
    </row>
    <row r="9639">
      <c r="A9639" s="1">
        <v>5.0</v>
      </c>
      <c r="B9639" s="1" t="s">
        <v>9563</v>
      </c>
      <c r="C9639" t="str">
        <f>IFERROR(__xludf.DUMMYFUNCTION("GOOGLETRANSLATE(B9639, ""es"", ""en"")"),"Highly recommended perfect and comfortable,")</f>
        <v>Highly recommended perfect and comfortable,</v>
      </c>
    </row>
    <row r="9640">
      <c r="A9640" s="1">
        <v>5.0</v>
      </c>
      <c r="B9640" s="1" t="s">
        <v>9564</v>
      </c>
      <c r="C9640" t="str">
        <f>IFERROR(__xludf.DUMMYFUNCTION("GOOGLETRANSLATE(B9640, ""es"", ""en"")"),"Incredible power that allows great versatility, also chose accessories including a powerful blender that the former had to go very carefully. This can crush and pass everything. It has lots of accessories allowing great versatility although not all have g"&amp;"reat sense. I bought it with 500 ml sting but only ql have blade at the base and not other half of the package just not bite well, especially that you usually use for non-liquid food and have to whet and moving. Barilla mixing / ride seems great. The secu"&amp;"rity measure (button on top) ends up being uncomfortable. But the only thing that would improve it to be wireless, that would be the next requirement would ask my future blender but still hope even take long to buy it.")</f>
        <v>Incredible power that allows great versatility, also chose accessories including a powerful blender that the former had to go very carefully. This can crush and pass everything. It has lots of accessories allowing great versatility although not all have great sense. I bought it with 500 ml sting but only ql have blade at the base and not other half of the package just not bite well, especially that you usually use for non-liquid food and have to whet and moving. Barilla mixing / ride seems great. The security measure (button on top) ends up being uncomfortable. But the only thing that would improve it to be wireless, that would be the next requirement would ask my future blender but still hope even take long to buy it.</v>
      </c>
    </row>
    <row r="9641">
      <c r="A9641" s="1">
        <v>5.0</v>
      </c>
      <c r="B9641" s="1" t="s">
        <v>9565</v>
      </c>
      <c r="C9641" t="str">
        <f>IFERROR(__xludf.DUMMYFUNCTION("GOOGLETRANSLATE(B9641, ""es"", ""en"")"),"Almudena A product suitable for feeding my baby because it simulates the breast and after trying other products in the market is the only one that worked me this")</f>
        <v>Almudena A product suitable for feeding my baby because it simulates the breast and after trying other products in the market is the only one that worked me this</v>
      </c>
    </row>
    <row r="9642">
      <c r="A9642" s="1">
        <v>5.0</v>
      </c>
      <c r="B9642" s="1" t="s">
        <v>9566</v>
      </c>
      <c r="C9642" t="str">
        <f>IFERROR(__xludf.DUMMYFUNCTION("GOOGLETRANSLATE(B9642, ""es"", ""en"")"),"Perfect good presentation")</f>
        <v>Perfect good presentation</v>
      </c>
    </row>
    <row r="9643">
      <c r="A9643" s="1">
        <v>5.0</v>
      </c>
      <c r="B9643" s="1" t="s">
        <v>9567</v>
      </c>
      <c r="C9643" t="str">
        <f>IFERROR(__xludf.DUMMYFUNCTION("GOOGLETRANSLATE(B9643, ""es"", ""en"")"),"its mission ago its mission and economical. It is easy to install and is lightweight. Little more to say. Amazon perfect as ever.")</f>
        <v>its mission ago its mission and economical. It is easy to install and is lightweight. Little more to say. Amazon perfect as ever.</v>
      </c>
    </row>
    <row r="9644">
      <c r="A9644" s="1">
        <v>5.0</v>
      </c>
      <c r="B9644" s="1" t="s">
        <v>9568</v>
      </c>
      <c r="C9644" t="str">
        <f>IFERROR(__xludf.DUMMYFUNCTION("GOOGLETRANSLATE(B9644, ""es"", ""en"")"),"Excellent!!!! I love them, they are super comfortable")</f>
        <v>Excellent!!!! I love them, they are super comfortable</v>
      </c>
    </row>
    <row r="9645">
      <c r="A9645" s="1">
        <v>5.0</v>
      </c>
      <c r="B9645" s="1" t="s">
        <v>9569</v>
      </c>
      <c r="C9645" t="str">
        <f>IFERROR(__xludf.DUMMYFUNCTION("GOOGLETRANSLATE(B9645, ""es"", ""en"")"),"They comfortable and light holes for breathability, very light.")</f>
        <v>They comfortable and light holes for breathability, very light.</v>
      </c>
    </row>
    <row r="9646">
      <c r="A9646" s="1">
        <v>5.0</v>
      </c>
      <c r="B9646" s="1" t="s">
        <v>9570</v>
      </c>
      <c r="C9646" t="str">
        <f>IFERROR(__xludf.DUMMYFUNCTION("GOOGLETRANSLATE(B9646, ""es"", ""en"")"),"Unbeatable value for money hotel with the quality that we have acostubrado Verbatim, these DVD's commonly used behave perfectly, more than half of the pot of 25 units recorded and not just a failure or error recording. unbeatable price, perfect packing an"&amp;"d just two days from the completion of the order to receipt. Recommended purchase completely.")</f>
        <v>Unbeatable value for money hotel with the quality that we have acostubrado Verbatim, these DVD's commonly used behave perfectly, more than half of the pot of 25 units recorded and not just a failure or error recording. unbeatable price, perfect packing and just two days from the completion of the order to receipt. Recommended purchase completely.</v>
      </c>
    </row>
    <row r="9647">
      <c r="A9647" s="1">
        <v>5.0</v>
      </c>
      <c r="B9647" s="1" t="s">
        <v>9571</v>
      </c>
      <c r="C9647" t="str">
        <f>IFERROR(__xludf.DUMMYFUNCTION("GOOGLETRANSLATE(B9647, ""es"", ""en"")"),"Very comfortable very comfortable")</f>
        <v>Very comfortable very comfortable</v>
      </c>
    </row>
    <row r="9648">
      <c r="A9648" s="1">
        <v>5.0</v>
      </c>
      <c r="B9648" s="1" t="s">
        <v>9572</v>
      </c>
      <c r="C9648" t="str">
        <f>IFERROR(__xludf.DUMMYFUNCTION("GOOGLETRANSLATE(B9648, ""es"", ""en"")"),"good quality good quality, very good finish, is not the typical velcro clothes and long hair tips.")</f>
        <v>good quality good quality, very good finish, is not the typical velcro clothes and long hair tips.</v>
      </c>
    </row>
    <row r="9649">
      <c r="A9649" s="1">
        <v>2.0</v>
      </c>
      <c r="B9649" s="1" t="s">
        <v>9573</v>
      </c>
      <c r="C9649" t="str">
        <f>IFERROR(__xludf.DUMMYFUNCTION("GOOGLETRANSLATE(B9649, ""es"", ""en"")"),"Blender has little power to crush.")</f>
        <v>Blender has little power to crush.</v>
      </c>
    </row>
    <row r="9650">
      <c r="A9650" s="1">
        <v>3.0</v>
      </c>
      <c r="B9650" s="1" t="s">
        <v>9574</v>
      </c>
      <c r="C9650" t="str">
        <f>IFERROR(__xludf.DUMMYFUNCTION("GOOGLETRANSLATE(B9650, ""es"", ""en"")"),"A All products have few pictures, if I can not play should do more pictures ....")</f>
        <v>A All products have few pictures, if I can not play should do more pictures ....</v>
      </c>
    </row>
    <row r="9651">
      <c r="A9651" s="1">
        <v>1.0</v>
      </c>
      <c r="B9651" s="1" t="s">
        <v>9575</v>
      </c>
      <c r="C9651" t="str">
        <f>IFERROR(__xludf.DUMMYFUNCTION("GOOGLETRANSLATE(B9651, ""es"", ""en"")"),"Three sizes nothing more. I have returned. I ordered a 43 and a 41. It's a simple shoe.")</f>
        <v>Three sizes nothing more. I have returned. I ordered a 43 and a 41. It's a simple shoe.</v>
      </c>
    </row>
    <row r="9652">
      <c r="A9652" s="1">
        <v>1.0</v>
      </c>
      <c r="B9652" s="1" t="s">
        <v>9576</v>
      </c>
      <c r="C9652" t="str">
        <f>IFERROR(__xludf.DUMMYFUNCTION("GOOGLETRANSLATE(B9652, ""es"", ""en"")"),"Quickly broke down bought 2, I use to puncture and the first time I went with them horrible. It takes a long time to pass the format documents .... several times and nothing ... you can barely hear the music in the car with them. Be DJing with them was im"&amp;"possible. Evil.")</f>
        <v>Quickly broke down bought 2, I use to puncture and the first time I went with them horrible. It takes a long time to pass the format documents .... several times and nothing ... you can barely hear the music in the car with them. Be DJing with them was impossible. Evil.</v>
      </c>
    </row>
    <row r="9653">
      <c r="A9653" s="1">
        <v>4.0</v>
      </c>
      <c r="B9653" s="1" t="s">
        <v>9577</v>
      </c>
      <c r="C9653" t="str">
        <f>IFERROR(__xludf.DUMMYFUNCTION("GOOGLETRANSLATE(B9653, ""es"", ""en"")"),"Works The small footprint and what not to justado me is that plastic containers are used for juice shakes it and breakfast")</f>
        <v>Works The small footprint and what not to justado me is that plastic containers are used for juice shakes it and breakfast</v>
      </c>
    </row>
    <row r="9654">
      <c r="A9654" s="1">
        <v>4.0</v>
      </c>
      <c r="B9654" s="1" t="s">
        <v>9578</v>
      </c>
      <c r="C9654" t="str">
        <f>IFERROR(__xludf.DUMMYFUNCTION("GOOGLETRANSLATE(B9654, ""es"", ""en"")"),"Very good, nice and with quality details is beautiful and very comfortable, has plenty of room to put things. As it paste perhaps the fact that it is ""theft"" makes it difficult both meter and remove the contents of the backpack up for you, as well as no"&amp;"t having top and one lateral overture.")</f>
        <v>Very good, nice and with quality details is beautiful and very comfortable, has plenty of room to put things. As it paste perhaps the fact that it is "theft" makes it difficult both meter and remove the contents of the backpack up for you, as well as not having top and one lateral overture.</v>
      </c>
    </row>
    <row r="9655">
      <c r="A9655" s="1">
        <v>4.0</v>
      </c>
      <c r="B9655" s="1" t="s">
        <v>9579</v>
      </c>
      <c r="C9655" t="str">
        <f>IFERROR(__xludf.DUMMYFUNCTION("GOOGLETRANSLATE(B9655, ""es"", ""en"")"),"Sound medium - high comfort The sound quality is average. Certain styles of music like house / techno will not get their best quality but remains at an acceptable level for the price. Battery to me hard enough (more than specifications) and distance of th"&amp;"e bluetooth is also good, I can move around the house without problems with the phone in the other part of the house.")</f>
        <v>Sound medium - high comfort The sound quality is average. Certain styles of music like house / techno will not get their best quality but remains at an acceptable level for the price. Battery to me hard enough (more than specifications) and distance of the bluetooth is also good, I can move around the house without problems with the phone in the other part of the house.</v>
      </c>
    </row>
    <row r="9656">
      <c r="A9656" s="1">
        <v>4.0</v>
      </c>
      <c r="B9656" s="1" t="s">
        <v>9580</v>
      </c>
      <c r="C9656" t="str">
        <f>IFERROR(__xludf.DUMMYFUNCTION("GOOGLETRANSLATE(B9656, ""es"", ""en"")"),"Good are those who use since taking AVENT bottle with hays successful ..if it is true that the price does not accompany it remains plastic and nothing special and you have to constantly change but good")</f>
        <v>Good are those who use since taking AVENT bottle with hays successful ..if it is true that the price does not accompany it remains plastic and nothing special and you have to constantly change but good</v>
      </c>
    </row>
    <row r="9657">
      <c r="A9657" s="1">
        <v>4.0</v>
      </c>
      <c r="B9657" s="1" t="s">
        <v>9581</v>
      </c>
      <c r="C9657" t="str">
        <f>IFERROR(__xludf.DUMMYFUNCTION("GOOGLETRANSLATE(B9657, ""es"", ""en"")"),"Good coffee and good price / quality ratio is very easy to use, for the price it is great, but the coffee that brings out the see something watered down.")</f>
        <v>Good coffee and good price / quality ratio is very easy to use, for the price it is great, but the coffee that brings out the see something watered down.</v>
      </c>
    </row>
    <row r="9658">
      <c r="A9658" s="1">
        <v>5.0</v>
      </c>
      <c r="B9658" s="1" t="s">
        <v>9582</v>
      </c>
      <c r="C9658" t="str">
        <f>IFERROR(__xludf.DUMMYFUNCTION("GOOGLETRANSLATE(B9658, ""es"", ""en"")"),"Biberon 330ml Avent had two more at home so I knew how it was both bibe as the nipple, buy it because of precio.con was great compared to other sites")</f>
        <v>Biberon 330ml Avent had two more at home so I knew how it was both bibe as the nipple, buy it because of precio.con was great compared to other sites</v>
      </c>
    </row>
    <row r="9659">
      <c r="A9659" s="1">
        <v>5.0</v>
      </c>
      <c r="B9659" s="1" t="s">
        <v>9583</v>
      </c>
      <c r="C9659" t="str">
        <f>IFERROR(__xludf.DUMMYFUNCTION("GOOGLETRANSLATE(B9659, ""es"", ""en"")"),"Toaster Very comfortable with it")</f>
        <v>Toaster Very comfortable with it</v>
      </c>
    </row>
    <row r="9660">
      <c r="A9660" s="1">
        <v>5.0</v>
      </c>
      <c r="B9660" s="1" t="s">
        <v>9584</v>
      </c>
      <c r="C9660" t="str">
        <f>IFERROR(__xludf.DUMMYFUNCTION("GOOGLETRANSLATE(B9660, ""es"", ""en"")"),"Buy recommended for me the best blender Blender certainly exceptional in the texture of the shakes and ice itches buy genial..buena recommend how powerful is")</f>
        <v>Buy recommended for me the best blender Blender certainly exceptional in the texture of the shakes and ice itches buy genial..buena recommend how powerful is</v>
      </c>
    </row>
    <row r="9661">
      <c r="A9661" s="1">
        <v>5.0</v>
      </c>
      <c r="B9661" s="1" t="s">
        <v>9585</v>
      </c>
      <c r="C9661" t="str">
        <f>IFERROR(__xludf.DUMMYFUNCTION("GOOGLETRANSLATE(B9661, ""es"", ""en"")"),"Excellent watch design, very good value")</f>
        <v>Excellent watch design, very good value</v>
      </c>
    </row>
    <row r="9662">
      <c r="A9662" s="1">
        <v>5.0</v>
      </c>
      <c r="B9662" s="1" t="s">
        <v>9586</v>
      </c>
      <c r="C9662" t="str">
        <f>IFERROR(__xludf.DUMMYFUNCTION("GOOGLETRANSLATE(B9662, ""es"", ""en"")"),"is nice and comfortable pants are better than I expected for the price, the fabric is of a reasonable quality and very cool drawing. S size is a little holgadita (I'm short and weight 57 kgs) but rather than tight, so for me are great, I recommend")</f>
        <v>is nice and comfortable pants are better than I expected for the price, the fabric is of a reasonable quality and very cool drawing. S size is a little holgadita (I'm short and weight 57 kgs) but rather than tight, so for me are great, I recommend</v>
      </c>
    </row>
    <row r="9663">
      <c r="A9663" s="1">
        <v>5.0</v>
      </c>
      <c r="B9663" s="1" t="s">
        <v>9587</v>
      </c>
      <c r="C9663" t="str">
        <f>IFERROR(__xludf.DUMMYFUNCTION("GOOGLETRANSLATE(B9663, ""es"", ""en"")"),"Good buy Meets")</f>
        <v>Good buy Meets</v>
      </c>
    </row>
    <row r="9664">
      <c r="A9664" s="1">
        <v>5.0</v>
      </c>
      <c r="B9664" s="1" t="s">
        <v>9588</v>
      </c>
      <c r="C9664" t="str">
        <f>IFERROR(__xludf.DUMMYFUNCTION("GOOGLETRANSLATE(B9664, ""es"", ""en"")"),"After 14 months of use, I'm satisfied May 2018 Excellent cutting power and very good for salads, snack cheeses, vegetables, make creams and waffle mix ... Padras do everything ... Although theoretically a bit strange beater . August 2019: still works like"&amp;" the first day, I use 5 times a week for creams and pancakes, no noise or failure, I've dropped once 1.5MTS ... Very satisfied.")</f>
        <v>After 14 months of use, I'm satisfied May 2018 Excellent cutting power and very good for salads, snack cheeses, vegetables, make creams and waffle mix ... Padras do everything ... Although theoretically a bit strange beater . August 2019: still works like the first day, I use 5 times a week for creams and pancakes, no noise or failure, I've dropped once 1.5MTS ... Very satisfied.</v>
      </c>
    </row>
    <row r="9665">
      <c r="A9665" s="1">
        <v>5.0</v>
      </c>
      <c r="B9665" s="1" t="s">
        <v>9589</v>
      </c>
      <c r="C9665" t="str">
        <f>IFERROR(__xludf.DUMMYFUNCTION("GOOGLETRANSLATE(B9665, ""es"", ""en"")"),"Very comfortable and fairly comprehensive testing took several days bracelet and I think I successful with the purchase after looking at many products and compare prices. The truth is that had looked many bracelets such activity, both Amazon and physical "&amp;"electronics stores. In the end I decided on this so complete he saw as the description and the opinions of other customers. The only thing that worried me was that I will not fit on the wrist or me prove uncomfortable, since I've never been to wear a watc"&amp;"h or anything and always these things struck me as pretty uncomfortable, but the end I feel very good on the wrist !!")</f>
        <v>Very comfortable and fairly comprehensive testing took several days bracelet and I think I successful with the purchase after looking at many products and compare prices. The truth is that had looked many bracelets such activity, both Amazon and physical electronics stores. In the end I decided on this so complete he saw as the description and the opinions of other customers. The only thing that worried me was that I will not fit on the wrist or me prove uncomfortable, since I've never been to wear a watch or anything and always these things struck me as pretty uncomfortable, but the end I feel very good on the wrist !!</v>
      </c>
    </row>
    <row r="9666">
      <c r="A9666" s="1">
        <v>5.0</v>
      </c>
      <c r="B9666" s="1" t="s">
        <v>9590</v>
      </c>
      <c r="C9666" t="str">
        <f>IFERROR(__xludf.DUMMYFUNCTION("GOOGLETRANSLATE(B9666, ""es"", ""en"")"),"Good buy Very nice and sturdy.")</f>
        <v>Good buy Very nice and sturdy.</v>
      </c>
    </row>
    <row r="9667">
      <c r="A9667" s="1">
        <v>5.0</v>
      </c>
      <c r="B9667" s="1" t="s">
        <v>9591</v>
      </c>
      <c r="C9667" t="str">
        <f>IFERROR(__xludf.DUMMYFUNCTION("GOOGLETRANSLATE(B9667, ""es"", ""en"")"),"A real success My baby has not had colic and although we tried other brands, is the only one who gusta.muy practical and easy to clean because it is completely disassembled, perfect to carry in your bag stroller")</f>
        <v>A real success My baby has not had colic and although we tried other brands, is the only one who gusta.muy practical and easy to clean because it is completely disassembled, perfect to carry in your bag stroller</v>
      </c>
    </row>
    <row r="9668">
      <c r="A9668" s="1">
        <v>5.0</v>
      </c>
      <c r="B9668" s="1" t="s">
        <v>9592</v>
      </c>
      <c r="C9668" t="str">
        <f>IFERROR(__xludf.DUMMYFUNCTION("GOOGLETRANSLATE(B9668, ""es"", ""en"")"),"Elegant, light and quality is also the role of it. That it is, heat water efficiently, for now, it does ...")</f>
        <v>Elegant, light and quality is also the role of it. That it is, heat water efficiently, for now, it does ...</v>
      </c>
    </row>
    <row r="9669">
      <c r="A9669" s="1">
        <v>5.0</v>
      </c>
      <c r="B9669" s="1" t="s">
        <v>9593</v>
      </c>
      <c r="C9669" t="str">
        <f>IFERROR(__xludf.DUMMYFUNCTION("GOOGLETRANSLATE(B9669, ""es"", ""en"")"),"Great perfect, like Description all. It arrived 2 days earlier than planned.")</f>
        <v>Great perfect, like Description all. It arrived 2 days earlier than planned.</v>
      </c>
    </row>
    <row r="9670">
      <c r="A9670" s="1">
        <v>5.0</v>
      </c>
      <c r="B9670" s="1" t="s">
        <v>9594</v>
      </c>
      <c r="C9670" t="str">
        <f>IFERROR(__xludf.DUMMYFUNCTION("GOOGLETRANSLATE(B9670, ""es"", ""en"")"),"great've already started using this oil smells good, it is immediately absorbed only time I've used it putting a few drops on my shampoo and my moisturizer for the body and the result is good, hopefully more results. drip bottle carries, and is glass. Pac"&amp;"kaging very well.")</f>
        <v>great've already started using this oil smells good, it is immediately absorbed only time I've used it putting a few drops on my shampoo and my moisturizer for the body and the result is good, hopefully more results. drip bottle carries, and is glass. Packaging very well.</v>
      </c>
    </row>
    <row r="9671">
      <c r="A9671" s="1">
        <v>5.0</v>
      </c>
      <c r="B9671" s="1" t="s">
        <v>9595</v>
      </c>
      <c r="C9671" t="str">
        <f>IFERROR(__xludf.DUMMYFUNCTION("GOOGLETRANSLATE(B9671, ""es"", ""en"")"),"Comfort Very comfortable")</f>
        <v>Comfort Very comfortable</v>
      </c>
    </row>
    <row r="9672">
      <c r="A9672" s="1">
        <v>5.0</v>
      </c>
      <c r="B9672" s="1" t="s">
        <v>9596</v>
      </c>
      <c r="C9672" t="str">
        <f>IFERROR(__xludf.DUMMYFUNCTION("GOOGLETRANSLATE(B9672, ""es"", ""en"")"),"I love: D 100% recommend buy it again.")</f>
        <v>I love: D 100% recommend buy it again.</v>
      </c>
    </row>
    <row r="9673">
      <c r="A9673" s="1">
        <v>5.0</v>
      </c>
      <c r="B9673" s="1" t="s">
        <v>9597</v>
      </c>
      <c r="C9673" t="str">
        <f>IFERROR(__xludf.DUMMYFUNCTION("GOOGLETRANSLATE(B9673, ""es"", ""en"")"),"I am very happy using it After a time, I'm very happy with this keyboard, I do not have much workspace and this product has simplified my life greatly.")</f>
        <v>I am very happy using it After a time, I'm very happy with this keyboard, I do not have much workspace and this product has simplified my life greatly.</v>
      </c>
    </row>
    <row r="9674">
      <c r="A9674" s="1">
        <v>5.0</v>
      </c>
      <c r="B9674" s="1" t="s">
        <v>9598</v>
      </c>
      <c r="C9674" t="str">
        <f>IFERROR(__xludf.DUMMYFUNCTION("GOOGLETRANSLATE(B9674, ""es"", ""en"")"),"Original arrived on time and perfect")</f>
        <v>Original arrived on time and perfect</v>
      </c>
    </row>
    <row r="9675">
      <c r="A9675" s="1">
        <v>5.0</v>
      </c>
      <c r="B9675" s="1" t="s">
        <v>9599</v>
      </c>
      <c r="C9675" t="str">
        <f>IFERROR(__xludf.DUMMYFUNCTION("GOOGLETRANSLATE(B9675, ""es"", ""en"")"),"Stapler professional. Stapler very good quality. Perfect for use in protective plastic closures.")</f>
        <v>Stapler professional. Stapler very good quality. Perfect for use in protective plastic closures.</v>
      </c>
    </row>
    <row r="9676">
      <c r="A9676" s="1">
        <v>2.0</v>
      </c>
      <c r="B9676" s="1" t="s">
        <v>9600</v>
      </c>
      <c r="C9676" t="str">
        <f>IFERROR(__xludf.DUMMYFUNCTION("GOOGLETRANSLATE(B9676, ""es"", ""en"")"),"BUT HAS MANY FLAVORS PRACTICED NOT CONSITENTES AND HAS PUT MORE THAN YOU RECOMMEND TO HAVE A GOOD FLAVOR.")</f>
        <v>BUT HAS MANY FLAVORS PRACTICED NOT CONSITENTES AND HAS PUT MORE THAN YOU RECOMMEND TO HAVE A GOOD FLAVOR.</v>
      </c>
    </row>
    <row r="9677">
      <c r="A9677" s="1">
        <v>3.0</v>
      </c>
      <c r="B9677" s="1" t="s">
        <v>9601</v>
      </c>
      <c r="C9677" t="str">
        <f>IFERROR(__xludf.DUMMYFUNCTION("GOOGLETRANSLATE(B9677, ""es"", ""en"")"),"Cheap blender a little loose is a very large blender. The impression given is that it is quite loose, plastic and will not last long .I think if I had known it was so loose q I would have spent more money on better. It costs a bit to fit the jar and scary"&amp;" force much if it breaks. fairly it hums but I guess they do all.")</f>
        <v>Cheap blender a little loose is a very large blender. The impression given is that it is quite loose, plastic and will not last long .I think if I had known it was so loose q I would have spent more money on better. It costs a bit to fit the jar and scary force much if it breaks. fairly it hums but I guess they do all.</v>
      </c>
    </row>
    <row r="9678">
      <c r="A9678" s="1">
        <v>3.0</v>
      </c>
      <c r="B9678" s="1" t="s">
        <v>9602</v>
      </c>
      <c r="C9678" t="str">
        <f>IFERROR(__xludf.DUMMYFUNCTION("GOOGLETRANSLATE(B9678, ""es"", ""en"")"),"Nice but small The clock is as shown in the pictures, but he did not put it next to a match, I have arrived and the size seems too small for my wrist. There is no size slightly larger yellow ???")</f>
        <v>Nice but small The clock is as shown in the pictures, but he did not put it next to a match, I have arrived and the size seems too small for my wrist. There is no size slightly larger yellow ???</v>
      </c>
    </row>
    <row r="9679">
      <c r="A9679" s="1">
        <v>1.0</v>
      </c>
      <c r="B9679" s="1" t="s">
        <v>9603</v>
      </c>
      <c r="C9679" t="str">
        <f>IFERROR(__xludf.DUMMYFUNCTION("GOOGLETRANSLATE(B9679, ""es"", ""en"")"),"NO WORK blades do not pick up the pieces of fruit / vegetables for liquefy")</f>
        <v>NO WORK blades do not pick up the pieces of fruit / vegetables for liquefy</v>
      </c>
    </row>
    <row r="9680">
      <c r="A9680" s="1">
        <v>1.0</v>
      </c>
      <c r="B9680" s="1" t="s">
        <v>9604</v>
      </c>
      <c r="C9680" t="str">
        <f>IFERROR(__xludf.DUMMYFUNCTION("GOOGLETRANSLATE(B9680, ""es"", ""en"")"),"fake products. The product is not original. It is a replica of the Adidas Originals Stan Smith. Compared with an original pair purchased at an official Adidas store. You do not buy.")</f>
        <v>fake products. The product is not original. It is a replica of the Adidas Originals Stan Smith. Compared with an original pair purchased at an official Adidas store. You do not buy.</v>
      </c>
    </row>
    <row r="9681">
      <c r="A9681" s="1">
        <v>1.0</v>
      </c>
      <c r="B9681" s="1" t="s">
        <v>9605</v>
      </c>
      <c r="C9681" t="str">
        <f>IFERROR(__xludf.DUMMYFUNCTION("GOOGLETRANSLATE(B9681, ""es"", ""en"")"),"One year has gone on I bought to replace the system disk of my laptop and lasted one year and three months. It worked perfectly until one day left to start the notebook, luckily had backup of my important documents. I returned to reinstall my old SATA dri"&amp;"ve and my computer run smoothly again. I tried to clone the SSD but gives errors E / S, the disc is completely useless.")</f>
        <v>One year has gone on I bought to replace the system disk of my laptop and lasted one year and three months. It worked perfectly until one day left to start the notebook, luckily had backup of my important documents. I returned to reinstall my old SATA drive and my computer run smoothly again. I tried to clone the SSD but gives errors E / S, the disc is completely useless.</v>
      </c>
    </row>
    <row r="9682">
      <c r="A9682" s="1">
        <v>4.0</v>
      </c>
      <c r="B9682" s="1" t="s">
        <v>9606</v>
      </c>
      <c r="C9682" t="str">
        <f>IFERROR(__xludf.DUMMYFUNCTION("GOOGLETRANSLATE(B9682, ""es"", ""en"")"),"Suitable for students Size is good for conceptual summaries, no extensive developments. A Please comment that after remove the writing on it, there is no shade or other the same, so after each deletion is clean again without trace. In contrast, the wooden"&amp;" frame was much guarrea and anti-aesthetic results, because the support fist writing gets a little shade of color marker. To place it on the wall I chose double-sided tape extra strong selling at any stationery, because the pieces that came to hang me wer"&amp;"e not anything useful (had to pierce the wall to hang it, and could not afford it). Obviad any type of hanger hook plastic not remember the name, but does nothing. With regard to the drawing board again, good material for home study group, as an engineeri"&amp;"ng student significantly helps to clarify concepts to power them big.")</f>
        <v>Suitable for students Size is good for conceptual summaries, no extensive developments. A Please comment that after remove the writing on it, there is no shade or other the same, so after each deletion is clean again without trace. In contrast, the wooden frame was much guarrea and anti-aesthetic results, because the support fist writing gets a little shade of color marker. To place it on the wall I chose double-sided tape extra strong selling at any stationery, because the pieces that came to hang me were not anything useful (had to pierce the wall to hang it, and could not afford it). Obviad any type of hanger hook plastic not remember the name, but does nothing. With regard to the drawing board again, good material for home study group, as an engineering student significantly helps to clarify concepts to power them big.</v>
      </c>
    </row>
    <row r="9683">
      <c r="A9683" s="1">
        <v>4.0</v>
      </c>
      <c r="B9683" s="1" t="s">
        <v>9607</v>
      </c>
      <c r="C9683" t="str">
        <f>IFERROR(__xludf.DUMMYFUNCTION("GOOGLETRANSLATE(B9683, ""es"", ""en"")"),"Good product works very well to make milkshakes at a time. The only downside is that the mouth of the glass is small and there you go putting the pieces of fruit or whatever gradually.")</f>
        <v>Good product works very well to make milkshakes at a time. The only downside is that the mouth of the glass is small and there you go putting the pieces of fruit or whatever gradually.</v>
      </c>
    </row>
    <row r="9684">
      <c r="A9684" s="1">
        <v>4.0</v>
      </c>
      <c r="B9684" s="1" t="s">
        <v>9608</v>
      </c>
      <c r="C9684" t="str">
        <f>IFERROR(__xludf.DUMMYFUNCTION("GOOGLETRANSLATE(B9684, ""es"", ""en"")"),"Hooded sweatshirt good good Adidas. The fabric is quite thick, for use in between time gives too much heat. Red garment is somewhat darker than in the photos. larger than normal size (if you use a M normally this will serve in an S)")</f>
        <v>Hooded sweatshirt good good Adidas. The fabric is quite thick, for use in between time gives too much heat. Red garment is somewhat darker than in the photos. larger than normal size (if you use a M normally this will serve in an S)</v>
      </c>
    </row>
    <row r="9685">
      <c r="A9685" s="1">
        <v>4.0</v>
      </c>
      <c r="B9685" s="1" t="s">
        <v>9609</v>
      </c>
      <c r="C9685" t="str">
        <f>IFERROR(__xludf.DUMMYFUNCTION("GOOGLETRANSLATE(B9685, ""es"", ""en"")"),"Good description and size corecta")</f>
        <v>Good description and size corecta</v>
      </c>
    </row>
    <row r="9686">
      <c r="A9686" s="1">
        <v>4.0</v>
      </c>
      <c r="B9686" s="1" t="s">
        <v>9610</v>
      </c>
      <c r="C9686" t="str">
        <f>IFERROR(__xludf.DUMMYFUNCTION("GOOGLETRANSLATE(B9686, ""es"", ""en"")"),"@ Deiviit89's a little heavier than plastic but top quality, maybe a little pricey but good for him everyday use")</f>
        <v>@ Deiviit89's a little heavier than plastic but top quality, maybe a little pricey but good for him everyday use</v>
      </c>
    </row>
    <row r="9687">
      <c r="A9687" s="1">
        <v>5.0</v>
      </c>
      <c r="B9687" s="1" t="s">
        <v>9611</v>
      </c>
      <c r="C9687" t="str">
        <f>IFERROR(__xludf.DUMMYFUNCTION("GOOGLETRANSLATE(B9687, ""es"", ""en"")"),"Good quality and purchase details. The resistant material is not deformed; colors, attractive and detail of the card holder, very convenient.")</f>
        <v>Good quality and purchase details. The resistant material is not deformed; colors, attractive and detail of the card holder, very convenient.</v>
      </c>
    </row>
    <row r="9688">
      <c r="A9688" s="1">
        <v>5.0</v>
      </c>
      <c r="B9688" s="1" t="s">
        <v>9612</v>
      </c>
      <c r="C9688" t="str">
        <f>IFERROR(__xludf.DUMMYFUNCTION("GOOGLETRANSLATE(B9688, ""es"", ""en"")"),"I sought. Discreet. The earrings were for my 16 year old son. I wanted small and light weight. Only uses one. But it is not removed at all times and remains the first day. It is what he wanted.")</f>
        <v>I sought. Discreet. The earrings were for my 16 year old son. I wanted small and light weight. Only uses one. But it is not removed at all times and remains the first day. It is what he wanted.</v>
      </c>
    </row>
    <row r="9689">
      <c r="A9689" s="1">
        <v>5.0</v>
      </c>
      <c r="B9689" s="1" t="s">
        <v>9613</v>
      </c>
      <c r="C9689" t="str">
        <f>IFERROR(__xludf.DUMMYFUNCTION("GOOGLETRANSLATE(B9689, ""es"", ""en"")"),"The flies have an HP computer with i7 pporátil about three or four years. But it was very slow, especially when switching on. Almost he chose to have it on all day so that was available quickly. Now, with this solid disc, fly laptop. It lights in seconds."&amp;" So puedesapagar or hibernate because if you need it takes very little to start. The installation was simple but have helped me. We've only had to double the disk that had, open the laptop, replace the disk and run. Without any problem. You need to boot t"&amp;"he notebook from a USB.")</f>
        <v>The flies have an HP computer with i7 pporátil about three or four years. But it was very slow, especially when switching on. Almost he chose to have it on all day so that was available quickly. Now, with this solid disc, fly laptop. It lights in seconds. So puedesapagar or hibernate because if you need it takes very little to start. The installation was simple but have helped me. We've only had to double the disk that had, open the laptop, replace the disk and run. Without any problem. You need to boot the notebook from a USB.</v>
      </c>
    </row>
    <row r="9690">
      <c r="A9690" s="1">
        <v>5.0</v>
      </c>
      <c r="B9690" s="1" t="s">
        <v>9614</v>
      </c>
      <c r="C9690" t="str">
        <f>IFERROR(__xludf.DUMMYFUNCTION("GOOGLETRANSLATE(B9690, ""es"", ""en"")"),"Great is fine. So it it is great. Like the other times I bought in store and much more expensive.")</f>
        <v>Great is fine. So it it is great. Like the other times I bought in store and much more expensive.</v>
      </c>
    </row>
    <row r="9691">
      <c r="A9691" s="1">
        <v>5.0</v>
      </c>
      <c r="B9691" s="1" t="s">
        <v>9615</v>
      </c>
      <c r="C9691" t="str">
        <f>IFERROR(__xludf.DUMMYFUNCTION("GOOGLETRANSLATE(B9691, ""es"", ""en"")"),"Good choice is good and strong and good quality fabric, like everything this brand.")</f>
        <v>Good choice is good and strong and good quality fabric, like everything this brand.</v>
      </c>
    </row>
    <row r="9692">
      <c r="A9692" s="1">
        <v>5.0</v>
      </c>
      <c r="B9692" s="1" t="s">
        <v>9616</v>
      </c>
      <c r="C9692" t="str">
        <f>IFERROR(__xludf.DUMMYFUNCTION("GOOGLETRANSLATE(B9692, ""es"", ""en"")"),"Connects happy very easily via Bluetooth. Much better sound quality than I expected. You can use it wirelessly or wired. The order arrived successfully without any kind of problem.")</f>
        <v>Connects happy very easily via Bluetooth. Much better sound quality than I expected. You can use it wirelessly or wired. The order arrived successfully without any kind of problem.</v>
      </c>
    </row>
    <row r="9693">
      <c r="A9693" s="1">
        <v>5.0</v>
      </c>
      <c r="B9693" s="1" t="s">
        <v>9617</v>
      </c>
      <c r="C9693" t="str">
        <f>IFERROR(__xludf.DUMMYFUNCTION("GOOGLETRANSLATE(B9693, ""es"", ""en"")"),"Great perfect without any problems I love the audio and especially to discuss options")</f>
        <v>Great perfect without any problems I love the audio and especially to discuss options</v>
      </c>
    </row>
    <row r="9694">
      <c r="A9694" s="1">
        <v>5.0</v>
      </c>
      <c r="B9694" s="1" t="s">
        <v>9618</v>
      </c>
      <c r="C9694" t="str">
        <f>IFERROR(__xludf.DUMMYFUNCTION("GOOGLETRANSLATE(B9694, ""es"", ""en"")"),"Bosch electric kettle expected.Boils Just as Quickly remove, not too noisy, good capacity, easy to fill, very visible light When heating, does not take up based too much space. Seems good quality and spout pours well. Good value and looks like it last a f"&amp;"air while Should.")</f>
        <v>Bosch electric kettle expected.Boils Just as Quickly remove, not too noisy, good capacity, easy to fill, very visible light When heating, does not take up based too much space. Seems good quality and spout pours well. Good value and looks like it last a fair while Should.</v>
      </c>
    </row>
    <row r="9695">
      <c r="A9695" s="1">
        <v>5.0</v>
      </c>
      <c r="B9695" s="1" t="s">
        <v>9619</v>
      </c>
      <c r="C9695" t="str">
        <f>IFERROR(__xludf.DUMMYFUNCTION("GOOGLETRANSLATE(B9695, ""es"", ""en"")"),"2 meters reversible excellence for less than 3 € Amazing value-benefits: less than 3 € you get a 2 meter cable with USB connector reversible, ie no need to look out which side you plug it, like the Lightning. It is perfect load and data transfer is least "&amp;"like the originals.")</f>
        <v>2 meters reversible excellence for less than 3 € Amazing value-benefits: less than 3 € you get a 2 meter cable with USB connector reversible, ie no need to look out which side you plug it, like the Lightning. It is perfect load and data transfer is least like the originals.</v>
      </c>
    </row>
    <row r="9696">
      <c r="A9696" s="1">
        <v>5.0</v>
      </c>
      <c r="B9696" s="1" t="s">
        <v>9620</v>
      </c>
      <c r="C9696" t="str">
        <f>IFERROR(__xludf.DUMMYFUNCTION("GOOGLETRANSLATE(B9696, ""es"", ""en"")"),"It fits very well and not too tight fits nicely")</f>
        <v>It fits very well and not too tight fits nicely</v>
      </c>
    </row>
    <row r="9697">
      <c r="A9697" s="1">
        <v>5.0</v>
      </c>
      <c r="B9697" s="1" t="s">
        <v>9621</v>
      </c>
      <c r="C9697" t="str">
        <f>IFERROR(__xludf.DUMMYFUNCTION("GOOGLETRANSLATE(B9697, ""es"", ""en"")"),"Good shoes and comfortable")</f>
        <v>Good shoes and comfortable</v>
      </c>
    </row>
    <row r="9698">
      <c r="A9698" s="1">
        <v>5.0</v>
      </c>
      <c r="B9698" s="1" t="s">
        <v>9622</v>
      </c>
      <c r="C9698" t="str">
        <f>IFERROR(__xludf.DUMMYFUNCTION("GOOGLETRANSLATE(B9698, ""es"", ""en"")"),"Overall good &lt;div id = ""video-block-R1B8ZEKOJWHIVV"" class = ""a-section a-spacing-small a-spacing-top mini video-block""&gt; &lt;div tabindex = ""0"" class = ""airy airy -svg vmin-unsupported airy-skin-beacon ""style ="" background-color: rgb (0, 0, 0) positi"&amp;"on: relative; width: 100%; height: 100%; font-size: 0px; overflow: hidden ; outline: none; ""&gt; &lt;div class ="" airy-renderer-container ""style ="" position: relative; height: 100%; width: 100%; ""&gt; &lt;video id ="" 7 ""preload ="" auto ""src = ""https://image"&amp;"s-eu.ssl-images-amazon.com/images/I/B10XgsCkY3S.mp4"" style = ""position: absolute; left: 0px; top: 0px; overflow: hidden; height: 1px; width : 1px; ""&gt; &lt;/ video&gt; &lt;/ div&gt; &lt;div id ="" airy-slate-preload ""style ="" background-color: rgb (0, 0, 0); backgrou"&amp;"nd-image: url (&amp; quot; https: //images-eu.ssl-images-amazon.com/images/I/91evFOIRL-S.png&amp;quot;); background-size: Contain; background-position: center center; background-repeat: no-repeat; position: absolute ; top: 0px; left: 0px; visibility: visible; wid"&amp;"th: 100%; height: 100%; ""&gt; &lt;/ div&gt; &lt;iframe scro lling = ""no"" frameborder = ""0"" src = ""about: blank"" style = ""display: none;""&gt; &lt;/ iframe&gt; &lt;div tabindex = ""- 1"" class = ""airy-controls-container"" style = "" opacity: 0; visibility: hidden; ""&gt; &lt;d"&amp;"iv tabindex ="" - 1 ""class ="" airy-screen-size-toggle airy-fullscreen ""&gt; &lt;/ div&gt; &lt;div tabindex ="" - 1 ""class ="" airy-container-bottom "" &gt; &lt;div tabindex = ""- 1"" class = ""airy-track-bar-spacer-left"" style = ""width: 11px;""&gt; &lt;/ div&gt; &lt;div tabindex"&amp;" = ""- 1"" class = ""airy-play- airy toggle-play ""style ="" width: 12px; margin-right: 12px; ""&gt; &lt;/ div&gt; &lt;div tabindex ="" - 1 ""class ="" airy-audio-elements ""style ="" float: right; width: 34px; ""&gt; &lt;div tabindex ="" - 1 ""class ="" airy-audio-toggle "&amp;"airy-on ""&gt; &lt;/ div&gt; &lt;div tabindex ="" - 1 ""class ="" airy-audio-container ""style = ""opacity: 0; visibility: hidden; ""&gt; &lt;div tabindex ="" - 1 ""class ="" airy-audio-track-bar ""style ="" height: 80%; ""&gt; &lt;div tabindex ="" - 1 ""class ="" airy-audio- Sc"&amp;"rubber-bar ""style ="" height: 85%; ""&gt; &lt;/ div&gt; &lt;div tabindex ="" - 1 ""class ="" airy-audio-scrubber ""style ="" height: 12px; bottom: 85% ""&gt; &lt;/ div&gt; &lt;/ div&gt; &lt;/ div&gt; &lt;/ div&gt; &lt;div tabindex ="" - 1 ""class ="" airy-duration-label ""style ="" float: right;"&amp;" width: 26px; margin-right: 4px; text-align: center; ""&gt; 0:00 &lt;/ div&gt; &lt;div tabindex ="" - 1 ""class ="" airy-track-bar-spacer-right ""style ="" float: right; width: 11px; ""&gt; &lt;/ div&gt; &lt;div tabindex ="" - 1 ""class ="" airy-track-bar-container ""style ="" m"&amp;"argin-left: 35px; margin-right: 75px; ""&gt; &lt;div tabindex ="" - 1 ""class ="" airy-airy-track-bar vertically-centering-table ""&gt; &lt;div tabindex ="" - 1 ""class ="" airy-Vertical-centering- table-cell ""&gt; &lt;div tabindex ="" - 1 ""class ="" airy-track-bar-eleme"&amp;"nts ""&gt; &lt;div tabindex ="" - 1 ""class ="" airy-progress-bar ""&gt; &lt;/ div&gt; &lt;div tabindex = ""- 1"" class = ""airy-scrubber-bar""&gt; &lt;/ div&gt; &lt;div tabindex = ""- 1"" class = ""airy-scrubber""&gt; &lt;div tabindex = ""- 1"" class = ""airy-scrubber- icon ""&gt; &lt;/ div&gt; &lt;di"&amp;"v tabindex ="" - 1 ""class ="" airy-adjusted-AUI-tooltip ""style ="" opacity: 0; visibility: hidden; ""&gt; &lt;div tabindex ="" - 1 ""class ="" airy-adjusted-aui-tooltip-inner ""&gt; &lt;div tabindex ="" - 1 ""class ="" airy-current-time-label ""&gt; 0: 00 &lt;/ div&gt; &lt;/ d"&amp;"iv&gt; &lt;div tabindex = ""- 1"" class = ""airy-adjusted-AUI-arrow-border""&gt; &lt;div tabindex = ""- 1"" class = ""airy-adjusted-AUI-arrow"" &gt; &lt;/ div&gt; &lt;/ div&gt; &lt;/ div&gt; &lt;/ div&gt; &lt;/ div&gt; &lt;/ div&gt; &lt;/ div&gt; &lt;/ div&gt; &lt;/ div&gt; &lt;/ div&gt; &lt;div tabindex = ""- 1"" class = ""airy-ag"&amp;"e-gate airy-stage airy-Vertical-centering-table airy-dialog"" style = ""opacity: 0; visibility: hidden; ""&gt; &lt;div tabindex ="" - 1 ""class ="" airy-age-gate-Vertical-centering-table-cell airy-Vertical-centering-table-cell ""&gt; &lt;div tabindex ="" - 1 ""class "&amp;"= ""airy-Vertical-centering-wrapper airy-age-gate-elements-wrapper""&gt; &lt;div tabindex = ""- 1"" class = ""airy-age-gate-elements airy-dialog-elements""&gt; &lt;div tabindex = "" -1 ""class ="" airy-age-gate-prompt ""&gt; This video is not Intended for all audiences "&amp;"What date were you born &lt;/ div&gt; &lt;div tabindex =.?"" - 1 ""class ="" airy-age-gate -inputs airy-dialog-inner-elements ""&gt; &lt;select tabindex ="" - 1 ""class ="" airy-age-gate-month ""&gt; &lt;option value ="" 1 ""&gt; January &lt;/ option&gt; &lt;option value ="" 2 ""&gt; Februa"&amp;"ry &lt;/ option&gt; &lt;option value ="" 3 ""&gt; March &lt;/ option&gt; &lt;option value ="" 4 ""&gt; April &lt;/ option&gt; &lt;option value ="" 5 ""&gt; May &lt;/ option&gt; &lt;option value = ""6""&gt; June &lt;/ option&gt; &lt;option value = ""7""&gt; July &lt;/ option&gt; &lt;option value = ""8""&gt; August &lt;/ option&gt; &lt;"&amp;"option value = ""9""&gt; September &lt;/ option&gt; &lt;option value = ""10""&gt; October &lt;/ option&gt; &lt;option value = ""11""&gt; November &lt;/ option&gt; &lt;option value = ""12""&gt; December &lt;/ option&gt; &lt;/ select&gt; &lt;select tabindex = ""- 1"" class = ""airy-age-gate-day""&gt; &lt;opti on val"&amp;"ue = ""1""&gt; 1 &lt;/ option&gt; &lt;option value = ""2""&gt; 2 &lt;/ option&gt; &lt;option value = ""3""&gt; 3 &lt;/ option&gt; &lt;option value = ""4""&gt; 4 &lt;/ option &gt; &lt;option value = ""5""&gt; 5 &lt;/ option&gt; &lt;option value = ""6""&gt; 6 &lt;/ option&gt; &lt;option value = ""7""&gt; 7 &lt;/ option&gt; &lt;option value"&amp;" = ""8""&gt; 8 &lt; / option&gt; &lt;option value = ""9""&gt; 9 &lt;/ option&gt; &lt;option value = ""10""&gt; 10 &lt;/ option&gt; &lt;option value = ""11""&gt; 11 &lt;/ option&gt; &lt;option value = ""12""&gt; 12 &lt;/ option&gt; &lt;option value = ""13""&gt; 13 &lt;/ option&gt; &lt;option value = ""14""&gt; 14 &lt;/ option&gt; &lt;opti"&amp;"on value = ""15""&gt; 15 &lt;/ option&gt; &lt;option value = ""16 ""&gt; 16 &lt;/ option&gt; &lt;option value ="" 17 ""&gt; 17 &lt;/ option&gt; &lt;option value ="" 18 ""&gt; 18 &lt;/ option&gt; &lt;option value ="" 19 ""&gt; 19 &lt;/ option&gt; &lt;option value = ""20""&gt; 20 &lt;/ option&gt; &lt;option value = ""21""&gt; 21 &lt;"&amp;"/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optio"&amp;"n value = ""2018""&gt; 2018 &lt;/ option&gt; &lt;option value = ""2017""&gt; 2017 &lt;/ option&gt; &lt;option value = ""2016""&gt; ​​2016 &lt;/ option&gt; &lt;option value = ""2015""&gt; 2015 &lt;/ option &gt; &lt;option value = ""2014""&gt; 2014 &lt;/ option&gt; &lt;option value = ""2013""&gt; 2013 &lt;/ option&gt; &lt;optio"&amp;"n value = ""2012""&gt; 2012 &lt;/ option&gt; &lt;option value = ""2011""&gt; 2011 &lt; / option&gt; &lt;option value = ""2010""&gt; 2010 &lt;/ option&gt; &lt;option value = ""2009""&gt; 2009 &lt;/ option&gt; &lt;option value = ""2008""&gt; 2008 &lt;/ option&gt; &lt;option value = ""2007""&gt; 2007 &lt;/ option&gt; &lt;option "&amp;"value = ""2006""&gt; 2006 &lt;/ option&gt; &lt;option value = ""2005""&gt; 2005 &lt;/ option&gt; &lt;option value = ""2004""&gt; 2004 &lt;/ option&gt; &lt;option value = ""2003 ""&gt; 2003 &lt;/ option&gt; &lt;option value ="" 2002 ""&gt; 2002 &lt;/ option&gt; &lt;option value ="" 2001 ""&gt; 2001 &lt;/ option&gt; &lt;option "&amp;"value ="" 2000 ""&gt; 2000 &lt;/ option&gt; &lt;option value = ""1999""&gt; 1999 &lt;/ option&gt; &lt;option value = ""1998""&gt; 1998 &lt;/ option&gt; &lt;option value = ""1997""&gt; 1997 &lt;/ option&gt; &lt;option value = ""1996""&gt; 1996 &lt;/ option&gt; &lt;option value = ""1995""&gt; 1995 &lt;/ option&gt; &lt;option va"&amp;"lue = ""1994""&gt; 1994 &lt;/ option&gt; &lt;option value = ""1993""&gt; 1993 &lt;/ option&gt; &lt;option value = ""1992""&gt; 1992 &lt;/ option&gt; &lt;option value = ""1991""&gt; 1991 &lt;/ option&gt; &lt;option value = ""1990""&gt; 1990 &lt;/ option&gt; &lt;option value = "" 1989 ""&gt; 1989 &lt;/ option&gt; &lt;option val"&amp;"ue ="" 1988 ""&gt; 1988 &lt;/ option&gt; &lt;option value ="" 1987 ""&gt; 1987 &lt;/ option&gt; &lt;option value ="" 1986 ""&gt; 1986 &lt;/ option&gt; &lt;value option = ""1985""&gt; 1985 &lt;/ option&gt; &lt;option value = ""1984""&gt; 1984 &lt;/ option&gt; &lt;option value = ""1983""&gt; 1983 &lt;/ option&gt; &lt;option val"&amp;"ue = ""1982""&gt; 1982 &lt;/ option&gt; &lt; option value = ""1981""&gt; 1981 &lt;/ option&gt; &lt;option value = ""1980""&gt; 1980 &lt;/ option&gt; &lt;option value = ""1979""&gt; 1979 &lt;/ option&gt; &lt;option value = ""1978""&gt; 1978 &lt;/ option &gt; &lt;option value = ""1977""&gt; 1977 &lt;/ option&gt; &lt;option valu"&amp;"e = ""1976""&gt; 1976 &lt;/ option&gt; &lt;option value = ""1975""&gt; 1975 &lt;/ option&gt; &lt;option value = ""1974""&gt; 1974 &lt; / option&gt; &lt;option value = ""1973""&gt; 1973 &lt;/ option&gt; &lt;option value = ""1972""&gt; 1972 &lt;/ option&gt; &lt;option value = ""1971""&gt; 1971 &lt;/ option&gt; &lt;option value "&amp;"= ""1970""&gt;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="&amp;" ""1958""&gt; 1958 &lt;/ option&gt; &lt;option value = ""1957""&gt; 1957 &lt;/ option&gt; &lt;option value = ""1956""&gt; 1956 &lt;/ option&gt; &lt;option value = ""1955""&gt; 1955 &lt;/ option&gt; &lt;option value = ""1954""&gt; 1954 &lt;/ option&gt; &lt;option value = ""1953""&gt; 1953 &lt;/ option&gt; &lt;option value = """&amp;"1952""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""1"&amp;"928""&gt;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""1916""&gt;"&amp;" 1916 &lt;/ option&gt; &lt;option value = ""1915"" &gt; 1915 &lt;/ option&gt; &lt;option value = ""1914""&gt; 1914 &lt;/ option&gt; &lt;option value = ""1913""&gt; 1913 &lt;/ option&gt; &lt;option value = ""1912""&gt; 1912 &lt;/ option&gt; &lt;option value = "" 1911 ""&gt; 1911 &lt;/ option&gt; &lt;option value ="" 1910 """&amp;"&gt; 1910 &lt;/ option&gt; &lt;option value ="" 1909 ""&gt; 1909 &lt;/ option&gt; &lt;option value ="" 1908 ""&gt; 1908 &lt;/ option&gt; &lt;value option = ""1907""&gt; 1907 &lt;/ option&gt; &lt;option value = ""1906""&gt; 1906 &lt;/ option&gt; &lt;option value = ""1905""&gt; 1905 &lt;/ option&gt; &lt;option value = ""1904""&gt;"&amp;" 1904 &lt;/ option&gt; &lt; option value = ""1903""&gt; 1903 &lt;/ option&gt; &lt;option value = ""1902""&gt; 1902 &lt;/ option&gt; &lt;option value = ""1901""&gt; 19 01 &lt;/ option&gt; &lt;option value = ""1900""&gt; 1900 &lt;/ option&gt; &lt;/ select&gt; &lt;div tabindex = ""- 1"" class = ""airy-age-gate-submit ai"&amp;"ry-submit-button airy airy-submit- disabled ""&gt; Submit &lt;/ div&gt; &lt;/ div&gt; &lt;/ div&gt; &lt;/ div&gt; &lt;/ div&gt; &lt;/ div&gt; &lt;div tabindex ="" - 1 ""class ="" airy-install-flash-dialog airy-stage airy -vertical-centering-table-dialog airy airy-denied ""style ="" opacity: 0; vi"&amp;"sibility: hidden; ""&gt; &lt;div tabindex ="" - 1 ""class ="" airy-install-flash-Vertical-centering-table-cell airy-Vertical-centering-table-cell ""&gt; &lt;div tabindex ="" - 1 ""class = ""airy-Vertical-centering-wrapper airy-install-flash-elements-wrapper""&gt; &lt;div t"&amp;"abindex = ""- 1"" class = ""airy-install-flash-elements airy-dialog-elements""&gt; &lt;div tabindex = "" -1 ""class ="" airy-install-flash-prompt ""&gt; Adobe Flash Player is required to watch this video &lt;/ div&gt; &lt;div tabindex =."" - 1 ""class ="" airy-install-flas"&amp;"h-button-wrapper airy -dialog-inner-elements ""&gt; &lt;div tabindex ="" - 1 ""class ="" airy-install-flash-button airy-button ""&gt; install Flash Player &lt;/ div&gt; &lt;/ div&gt; &lt;/ div&gt; &lt;/ div&gt; &lt;/ div&gt; &lt;/ div&gt; &lt;div tabindex = ""- 1"" class = ""airy-video-unsupported-dial"&amp;"og airy-stage airy-Vertical-centering-table airy-dialog airy-denied"" style = ""opacity: 0; visibility: hidden; ""&gt; &lt;div tabindex ="" - 1 ""class ="" airy-video-unsupported-Vertical-centering-table-cell airy-Vertical-centering-table-cell ""&gt; &lt;div tabindex"&amp;" ="" - 1 ""class = ""airy-Vertical-centering-wrapper airy-video-unsupported-elements-wrapper""&gt; &lt;div tabindex = ""- 1"" class = ""airy-video-unsupported-elements airy-dialog-elements""&gt; &lt;div tabindex = "" -1 ""class ="" airy-video-unsupported-prompt ""&gt; &lt;"&amp;"/ 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""v"&amp;"isibility: hidden;""&gt; &lt;/ div&gt; &lt;/ div&gt; &lt;/ div&gt; &lt;/ div&gt; &lt;div tabindex = ""- 1 ""class ="" airy-ads-screen-size-toggle airy-screen-size-toggle-fullscreen airy ""style ="" visibility: hidden; ""&gt; &lt;/ div&gt; &lt;div tabindex = ""-1"" class = ""airy-ad-prompt-contain"&amp;"er"" style = ""visibility: hidden;""&gt; &lt;div tabindex = ""- 1"" class = ""airy-ad-prompt-Vertical-centering-table-vertically airy centering-table ""&gt; &lt;div tabindex ="" - 1 ""class ="" airy-ad-prompt-Vertical-centering-table-cell airy-Vertical-centering-tabl"&amp;"e-cell ""&gt; &lt;div tabindex ="" - 1 ""class = ""airy-ad-prompt-label""&gt; &lt;/ div&gt; &lt;/ div&gt; &lt;/ div&gt; &lt;/ div&gt; &lt;div tabindex = ""- 1"" class = ""airy-ads-controls-container"" style = ""visibility: hidden; ""&gt; &lt;div tabindex ="" - 1 ""class ="" airy-ads-audio-toggle "&amp;"airy-audio-toggle airy-on ""style ="" visibility: hidden; ""&gt; &lt;/ div&gt; &lt;div tabindex ="" - 1 ""class ="" airy-time-remaining-label-container ""&gt; &lt;div tabindex ="" - 1 ""class ="" airy-time-remaining-Vertical-centering-table airy-Vertical-centering-table """&amp;"&gt; &lt;div tabindex = ""- 1"" class = ""airy-time-remaining-Vertical-centering-table-cell airy-Vertical-centering-table-cell""&gt; &lt;div tabindex = ""- 1"" class = ""airy-Vertical-centering-wrapper airy-time-remaining-label-wrapper ""&gt; &lt;div tabindex ="" - 1 ""cla"&amp;"ss ="" airy-time-remaining-label ""style ="" visibility: hidden; ""&gt; &lt;/ div&gt; &lt;div tabi ndex = ""- 1"" class = ""airy-ad-skip"" style = ""visibility: hidden;""&gt; &lt;/ div&gt; &lt;div tabindex = ""- 1"" class = ""airy-ad-end"" style = ""visibility: hidden ""&gt; &lt;/ div"&amp;"&gt; &lt;/ div&gt; &lt;/ div&gt; &lt;/ div&gt; &lt;/ div&gt; &lt;div tabindex ="" - 1 ""class ="" airy-learn-more ""style ="" visibility: hidden; ""&gt; &lt;/ div&gt; &lt;/ div&gt; &lt;div tabindex = ""- 1"" class = ""airy-play-toggle-hint-stage airy-stage airy-cursor""&gt; &lt;div tabindex = ""- 1"" class ="&amp;" ""airy-play -toggle-hint-Vertical-centering-table-cell airy-Vertical-centering-table-cell airy-cursor ""&gt; &lt;div tabindex ="" - 1 ""class ="" airy-play-toggle-hint-container airy-scalable- Hint-container ""&gt; &lt;div tabindex ="" - 1 ""class ="" airy-play-togg"&amp;"le-hint-dummy airy-scalable-dummy ""&gt; &lt;/ div&gt; &lt;div tabindex ="" - 1 ""class ="" airy-play -toggle-hint hint airy-airy-play-hint ""style ="" opacity: 1; visibility: visible; ""&gt; &lt;/ div&gt; &lt;/ div&gt; &lt;/ div&gt; &lt;/ div&gt; &lt;div tabindex ="" - 1 ""class ="" airy-replay-"&amp;"hint-stage airy-stage ""style ="" visibility: hidden ; ""&gt; &lt;div tabindex ="" - 1 ""class ="" airy-replay-hint-Vertical-centering-table-cell airy-Vertical-centering-table-cell airy-cursor ""&gt; &lt;div tabindex ="" - 1 ""class = ""airy-replay-hint-container air"&amp;"y-scalable-hint-container""&gt; &lt;div tabindex = ""- 1"" class = ""airy-replay-hint-dummy airy-scalable-dummy""&gt; &lt;/ div&gt; &lt;div tabindex = ""- 1"" class = ""airy-replay-hint airy-hint""&gt; &lt;/ div&gt; &lt;/ div&gt; &lt;/ div&gt; &lt;/ div&gt; &lt;div tabindex = ""- 1"" class = ""airy-aut"&amp;"oplay-hint -stage airy-stage ""style ="" visibility: hidden; ""&gt; &lt;div tabindex ="" - 1 ""class ="" airy-autoplay-hint-Vertical-centering-table-cell airy-Vertical-centering-table-cell airy- cursor ""&gt; &lt;div tabindex ="" - 1 ""class ="" autoplay airy-airy-hi"&amp;"nt-container-scalable-hint-container ""&gt; &lt;div tabindex ="" - 1 ""class ="" airy-autoplay-hint-dummy airy- scalable-dummy ""&gt; &lt;/ div&gt; &lt;/ div&gt; &lt;/ div&gt; &lt;/ div&gt; &lt;/ div&gt; &lt;/ div&gt; &lt;input type ="" hidden ""name ="" ""value ="" https: // images-eu .ssl-images-amaz"&amp;"on.com / images / I / B10XgsCkY3S.mp4 ""Class ="" video-url ""&gt; &lt;input type ="" hidden ""name ="" ""value ="" https://images-eu.ssl-images-amazon.com/images/I/91evFOIRL-S.png ""class = ""video-slate-img-url""&gt; &amp; nbsp; you hear very well, the battery lasts"&amp;" a lot and are very easy to link, I like to bring several sizes of plug to the ear, the kit also goes very well to carry on backpack")</f>
        <v>Overall good &lt;div id = "video-block-R1B8ZEKOJWHIVV" class = "a-section a-spacing-small a-spacing-top mini video-block"&gt; &lt;div tabindex = "0" class = "airy airy -svg vmin-unsupported airy-skin-beacon "style =" background-color: rgb (0, 0, 0) position: relative; width: 100%; height: 100%; font-size: 0px; overflow: hidden ; outline: none; "&gt; &lt;div class =" airy-renderer-container "style =" position: relative; height: 100%; width: 100%; "&gt; &lt;video id =" 7 "preload =" auto "src = "https://images-eu.ssl-images-amazon.com/images/I/B10XgsCkY3S.mp4" style = "position: absolute; left: 0px; top: 0px; overflow: hidden; height: 1px; width : 1px; "&gt; &lt;/ video&gt; &lt;/ div&gt; &lt;div id =" airy-slate-preload "style =" background-color: rgb (0, 0, 0); background-image: url (&amp; quot; https: //images-eu.ssl-images-amazon.com/images/I/91evFOIRL-S.png&amp;quot;); background-size: Contain; background-position: center center; background-repeat: no-repeat; position: absolute ; top: 0px; left: 0px; visibility: visible; width: 100%; height: 100%; "&gt; &lt;/ div&gt; &lt;iframe scro lling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B10XgsCkY3S.mp4 "Class =" video-url "&gt; &lt;input type =" hidden "name =" "value =" https://images-eu.ssl-images-amazon.com/images/I/91evFOIRL-S.png "class = "video-slate-img-url"&gt; &amp; nbsp; you hear very well, the battery lasts a lot and are very easy to link, I like to bring several sizes of plug to the ear, the kit also goes very well to carry on backpack</v>
      </c>
    </row>
    <row r="9699">
      <c r="A9699" s="1">
        <v>5.0</v>
      </c>
      <c r="B9699" s="1" t="s">
        <v>9623</v>
      </c>
      <c r="C9699" t="str">
        <f>IFERROR(__xludf.DUMMYFUNCTION("GOOGLETRANSLATE(B9699, ""es"", ""en"")"),"Nice and warm jacket !! Product line with the waiting. The color is very nice!")</f>
        <v>Nice and warm jacket !! Product line with the waiting. The color is very nice!</v>
      </c>
    </row>
    <row r="9700">
      <c r="A9700" s="1">
        <v>5.0</v>
      </c>
      <c r="B9700" s="1" t="s">
        <v>9624</v>
      </c>
      <c r="C9700" t="str">
        <f>IFERROR(__xludf.DUMMYFUNCTION("GOOGLETRANSLATE(B9700, ""es"", ""en"")"),"Precious had an earlier model for several years, a decade almost and I broke the glass, was looking for another and I liked this model is very beautiful and elegant, the area is large but not exaggerated and looks good, the digital numbers They do not loo"&amp;"k dim light but no matter, weighs little and is synchronized with the atomic clock, live south of the southern peninsula :)")</f>
        <v>Precious had an earlier model for several years, a decade almost and I broke the glass, was looking for another and I liked this model is very beautiful and elegant, the area is large but not exaggerated and looks good, the digital numbers They do not look dim light but no matter, weighs little and is synchronized with the atomic clock, live south of the southern peninsula :)</v>
      </c>
    </row>
    <row r="9701">
      <c r="A9701" s="1">
        <v>5.0</v>
      </c>
      <c r="B9701" s="1" t="s">
        <v>9625</v>
      </c>
      <c r="C9701" t="str">
        <f>IFERROR(__xludf.DUMMYFUNCTION("GOOGLETRANSLATE(B9701, ""es"", ""en"")"),"Very good quality very good quality")</f>
        <v>Very good quality very good quality</v>
      </c>
    </row>
    <row r="9702">
      <c r="A9702" s="1">
        <v>5.0</v>
      </c>
      <c r="B9702" s="1" t="s">
        <v>9626</v>
      </c>
      <c r="C9702" t="str">
        <f>IFERROR(__xludf.DUMMYFUNCTION("GOOGLETRANSLATE(B9702, ""es"", ""en"")"),"J Carlos Las bought for a gift and triumph. Aesthetically are amazing and super comfortable, they tell me. highly recommended")</f>
        <v>J Carlos Las bought for a gift and triumph. Aesthetically are amazing and super comfortable, they tell me. highly recommended</v>
      </c>
    </row>
    <row r="9703">
      <c r="A9703" s="1">
        <v>5.0</v>
      </c>
      <c r="B9703" s="1" t="s">
        <v>9627</v>
      </c>
      <c r="C9703" t="str">
        <f>IFERROR(__xludf.DUMMYFUNCTION("GOOGLETRANSLATE(B9703, ""es"", ""en"")"),"Good product and right price Product good price in relation to s")</f>
        <v>Good product and right price Product good price in relation to s</v>
      </c>
    </row>
    <row r="9704">
      <c r="A9704" s="1">
        <v>5.0</v>
      </c>
      <c r="B9704" s="1" t="s">
        <v>9628</v>
      </c>
      <c r="C9704" t="str">
        <f>IFERROR(__xludf.DUMMYFUNCTION("GOOGLETRANSLATE(B9704, ""es"", ""en"")"),"Good value for money Very good product value very manageable, the only downside was expecting less noisy")</f>
        <v>Good value for money Very good product value very manageable, the only downside was expecting less noisy</v>
      </c>
    </row>
    <row r="9705">
      <c r="A9705" s="1">
        <v>5.0</v>
      </c>
      <c r="B9705" s="1" t="s">
        <v>9629</v>
      </c>
      <c r="C9705" t="str">
        <f>IFERROR(__xludf.DUMMYFUNCTION("GOOGLETRANSLATE(B9705, ""es"", ""en"")"),"Very good Good product. Easy to assemble, it must be ironed at the beginning to keep out wrinkles in the photos. Same for photos of meals")</f>
        <v>Very good Good product. Easy to assemble, it must be ironed at the beginning to keep out wrinkles in the photos. Same for photos of meals</v>
      </c>
    </row>
    <row r="9706">
      <c r="A9706" s="1">
        <v>2.0</v>
      </c>
      <c r="B9706" s="1" t="s">
        <v>9630</v>
      </c>
      <c r="C9706" t="str">
        <f>IFERROR(__xludf.DUMMYFUNCTION("GOOGLETRANSLATE(B9706, ""es"", ""en"")"),"Perhaps the price is not commensurate with the quality comply without asking for anything unusual, nor are the most durable and the most comfortable, ideal for casual shoes and go to the gym but ... 3 boxes of shoes came within a giant plastic bag without"&amp;" any protection, boxes came naturally hit, but the shoes do not suffer, the presentation leaves much to be desired")</f>
        <v>Perhaps the price is not commensurate with the quality comply without asking for anything unusual, nor are the most durable and the most comfortable, ideal for casual shoes and go to the gym but ... 3 boxes of shoes came within a giant plastic bag without any protection, boxes came naturally hit, but the shoes do not suffer, the presentation leaves much to be desired</v>
      </c>
    </row>
    <row r="9707">
      <c r="A9707" s="1">
        <v>3.0</v>
      </c>
      <c r="B9707" s="1" t="s">
        <v>9631</v>
      </c>
      <c r="C9707" t="str">
        <f>IFERROR(__xludf.DUMMYFUNCTION("GOOGLETRANSLATE(B9707, ""es"", ""en"")"),"good. barely audible alarm The alarm almost not heard. Otherwise fine. If you want the best alarm do not buy it. That's it.")</f>
        <v>good. barely audible alarm The alarm almost not heard. Otherwise fine. If you want the best alarm do not buy it. That's it.</v>
      </c>
    </row>
    <row r="9708">
      <c r="A9708" s="1">
        <v>3.0</v>
      </c>
      <c r="B9708" s="1" t="s">
        <v>9632</v>
      </c>
      <c r="C9708" t="str">
        <f>IFERROR(__xludf.DUMMYFUNCTION("GOOGLETRANSLATE(B9708, ""es"", ""en"")"),"Improvable. This good size, robustness and installation. But the key to change the batteries must be removed. They are not like those of the hotels.")</f>
        <v>Improvable. This good size, robustness and installation. But the key to change the batteries must be removed. They are not like those of the hotels.</v>
      </c>
    </row>
    <row r="9709">
      <c r="A9709" s="1">
        <v>1.0</v>
      </c>
      <c r="B9709" s="1" t="s">
        <v>9633</v>
      </c>
      <c r="C9709" t="str">
        <f>IFERROR(__xludf.DUMMYFUNCTION("GOOGLETRANSLATE(B9709, ""es"", ""en"")"),"Poor quality After a week of use off the floor !!!")</f>
        <v>Poor quality After a week of use off the floor !!!</v>
      </c>
    </row>
    <row r="9710">
      <c r="A9710" s="1">
        <v>1.0</v>
      </c>
      <c r="B9710" s="1" t="s">
        <v>9634</v>
      </c>
      <c r="C9710" t="str">
        <f>IFERROR(__xludf.DUMMYFUNCTION("GOOGLETRANSLATE(B9710, ""es"", ""en"")"),"Waste of money ... poor quality. They are sooo thin that shrivel only touch them. Not serve its purpose. A waste of money not to buy it")</f>
        <v>Waste of money ... poor quality. They are sooo thin that shrivel only touch them. Not serve its purpose. A waste of money not to buy it</v>
      </c>
    </row>
    <row r="9711">
      <c r="A9711" s="1">
        <v>4.0</v>
      </c>
      <c r="B9711" s="1" t="s">
        <v>9635</v>
      </c>
      <c r="C9711" t="str">
        <f>IFERROR(__xludf.DUMMYFUNCTION("GOOGLETRANSLATE(B9711, ""es"", ""en"")"),". It is battery operated automatic or going?")</f>
        <v>. It is battery operated automatic or going?</v>
      </c>
    </row>
    <row r="9712">
      <c r="A9712" s="1">
        <v>4.0</v>
      </c>
      <c r="B9712" s="1" t="s">
        <v>9636</v>
      </c>
      <c r="C9712" t="str">
        <f>IFERROR(__xludf.DUMMYFUNCTION("GOOGLETRANSLATE(B9712, ""es"", ""en"")"),"Well Very good but a little flimsy and makes noise muxo")</f>
        <v>Well Very good but a little flimsy and makes noise muxo</v>
      </c>
    </row>
    <row r="9713">
      <c r="A9713" s="1">
        <v>4.0</v>
      </c>
      <c r="B9713" s="1" t="s">
        <v>9637</v>
      </c>
      <c r="C9713" t="str">
        <f>IFERROR(__xludf.DUMMYFUNCTION("GOOGLETRANSLATE(B9713, ""es"", ""en"")"),"Good invention have urine leakage problems to sneezing or making an effort. The truth is I was a bit skeptical with the product, but it really works. I spent two days doing sessions and I could see that sneezing controlled much more. But that is not happe"&amp;"ning to me now do not get to do the exercises, I get not keep shrinking and not me taken for valid. Last night I was more than an hour trying and just got to do both. And frustré..ahora I do not know if it's me or the kehel not right.")</f>
        <v>Good invention have urine leakage problems to sneezing or making an effort. The truth is I was a bit skeptical with the product, but it really works. I spent two days doing sessions and I could see that sneezing controlled much more. But that is not happening to me now do not get to do the exercises, I get not keep shrinking and not me taken for valid. Last night I was more than an hour trying and just got to do both. And frustré..ahora I do not know if it's me or the kehel not right.</v>
      </c>
    </row>
    <row r="9714">
      <c r="A9714" s="1">
        <v>4.0</v>
      </c>
      <c r="B9714" s="1" t="s">
        <v>9638</v>
      </c>
      <c r="C9714" t="str">
        <f>IFERROR(__xludf.DUMMYFUNCTION("GOOGLETRANSLATE(B9714, ""es"", ""en"")"),"Jorge Perfect stripe is perfect and the boot is completely original is a hundred percent product quality and cheaper than other stores")</f>
        <v>Jorge Perfect stripe is perfect and the boot is completely original is a hundred percent product quality and cheaper than other stores</v>
      </c>
    </row>
    <row r="9715">
      <c r="A9715" s="1">
        <v>5.0</v>
      </c>
      <c r="B9715" s="1" t="s">
        <v>9639</v>
      </c>
      <c r="C9715" t="str">
        <f>IFERROR(__xludf.DUMMYFUNCTION("GOOGLETRANSLATE(B9715, ""es"", ""en"")"),"Aspirator good hand was time looking for a handheld vacuum cleaner to use at home and the truth that I loved. This vacuum cleaner rather surprised me because it has a lot of suction power which makes it perfect, it weighs nothing and has a good size which"&amp;" makes it very manageable. Brings various accessories and the battery lasts a lot. Pleased with this purchase.")</f>
        <v>Aspirator good hand was time looking for a handheld vacuum cleaner to use at home and the truth that I loved. This vacuum cleaner rather surprised me because it has a lot of suction power which makes it perfect, it weighs nothing and has a good size which makes it very manageable. Brings various accessories and the battery lasts a lot. Pleased with this purchase.</v>
      </c>
    </row>
    <row r="9716">
      <c r="A9716" s="1">
        <v>5.0</v>
      </c>
      <c r="B9716" s="1" t="s">
        <v>9640</v>
      </c>
      <c r="C9716" t="str">
        <f>IFERROR(__xludf.DUMMYFUNCTION("GOOGLETRANSLATE(B9716, ""es"", ""en"")"),"Certification mark, functional design shoe is a little small in size. It must take into account, he had never bought Skechers. Clarks usually sought, Dockers, that I have found perfect. Not so the other shoes I bought.")</f>
        <v>Certification mark, functional design shoe is a little small in size. It must take into account, he had never bought Skechers. Clarks usually sought, Dockers, that I have found perfect. Not so the other shoes I bought.</v>
      </c>
    </row>
    <row r="9717">
      <c r="A9717" s="1">
        <v>5.0</v>
      </c>
      <c r="B9717" s="1" t="s">
        <v>9641</v>
      </c>
      <c r="C9717" t="str">
        <f>IFERROR(__xludf.DUMMYFUNCTION("GOOGLETRANSLATE(B9717, ""es"", ""en"")"),"Useful &lt;div id = ""video-block-R1YFG4MN225VDU"" class = ""a-section a-spacing-small a-spacing-top mini video-block""&gt; &lt;/ div&gt; &lt;input type = ""hidden"" name = """" value = ""https://images-eu.ssl-images-amazon.com/images/I/B10wZPgh82S.mp4"" class = ""video"&amp;"-url""&gt; &lt;input type = ""hidden"" name = """" value = ""https : //images-eu.ssl-images-amazon.com/images/I/91mNqC85NiS.png ""class ="" video-slate-img-url ""&gt; &amp; nbsp; the truth that I've been wanting to buy something, I order I'll give will be for my car t"&amp;"ires, are robust brushes and mops are not bad though apparently still not in use, satisfied")</f>
        <v>Useful &lt;div id = "video-block-R1YFG4MN225VDU" class = "a-section a-spacing-small a-spacing-top mini video-block"&gt; &lt;/ div&gt; &lt;input type = "hidden" name = "" value = "https://images-eu.ssl-images-amazon.com/images/I/B10wZPgh82S.mp4" class = "video-url"&gt; &lt;input type = "hidden" name = "" value = "https : //images-eu.ssl-images-amazon.com/images/I/91mNqC85NiS.png "class =" video-slate-img-url "&gt; &amp; nbsp; the truth that I've been wanting to buy something, I order I'll give will be for my car tires, are robust brushes and mops are not bad though apparently still not in use, satisfied</v>
      </c>
    </row>
    <row r="9718">
      <c r="A9718" s="1">
        <v>5.0</v>
      </c>
      <c r="B9718" s="1" t="s">
        <v>9642</v>
      </c>
      <c r="C9718" t="str">
        <f>IFERROR(__xludf.DUMMYFUNCTION("GOOGLETRANSLATE(B9718, ""es"", ""en"")"),"Excellent product. Very good quality and price.")</f>
        <v>Excellent product. Very good quality and price.</v>
      </c>
    </row>
    <row r="9719">
      <c r="A9719" s="1">
        <v>5.0</v>
      </c>
      <c r="B9719" s="1" t="s">
        <v>9643</v>
      </c>
      <c r="C9719" t="str">
        <f>IFERROR(__xludf.DUMMYFUNCTION("GOOGLETRANSLATE(B9719, ""es"", ""en"")"),"Good design and finish. I've been pleasantly surprised with the quality of the materials used. First the cable is constructed so that only you mess, as always happens desliar can easily and in less than 5 seconds. On the other hand ear pads are quite comf"&amp;"ortable, they do not move from its place and isolate outside noise. The sound is heard claridez.")</f>
        <v>Good design and finish. I've been pleasantly surprised with the quality of the materials used. First the cable is constructed so that only you mess, as always happens desliar can easily and in less than 5 seconds. On the other hand ear pads are quite comfortable, they do not move from its place and isolate outside noise. The sound is heard claridez.</v>
      </c>
    </row>
    <row r="9720">
      <c r="A9720" s="1">
        <v>5.0</v>
      </c>
      <c r="B9720" s="1" t="s">
        <v>9644</v>
      </c>
      <c r="C9720" t="str">
        <f>IFERROR(__xludf.DUMMYFUNCTION("GOOGLETRANSLATE(B9720, ""es"", ""en"")"),"I bought good quality as JoyBox second microphone for karaoke and thought it would be a bit like a toy, but the quality is good and with the very strong and does not distort JoyBox speaker sounds. Definitely recommend purchase.")</f>
        <v>I bought good quality as JoyBox second microphone for karaoke and thought it would be a bit like a toy, but the quality is good and with the very strong and does not distort JoyBox speaker sounds. Definitely recommend purchase.</v>
      </c>
    </row>
    <row r="9721">
      <c r="A9721" s="1">
        <v>5.0</v>
      </c>
      <c r="B9721" s="1" t="s">
        <v>9645</v>
      </c>
      <c r="C9721" t="str">
        <f>IFERROR(__xludf.DUMMYFUNCTION("GOOGLETRANSLATE(B9721, ""es"", ""en"")"),"Highly recommended I really like this product because it collects so easy three things in one place and help available. The only but I put it to him the anchor on the wall. I used tape double-sided adhesive ceys, which is supposed to hold good, and to the"&amp;" principle fell several times. It is not the fault of the product, because there will be a thousand ways to put it, but if you decide not to make holes and put tape, you have to put a lot, especially in tiles. Notice to mariners! The great rest")</f>
        <v>Highly recommended I really like this product because it collects so easy three things in one place and help available. The only but I put it to him the anchor on the wall. I used tape double-sided adhesive ceys, which is supposed to hold good, and to the principle fell several times. It is not the fault of the product, because there will be a thousand ways to put it, but if you decide not to make holes and put tape, you have to put a lot, especially in tiles. Notice to mariners! The great rest</v>
      </c>
    </row>
    <row r="9722">
      <c r="A9722" s="1">
        <v>5.0</v>
      </c>
      <c r="B9722" s="1" t="s">
        <v>9646</v>
      </c>
      <c r="C9722" t="str">
        <f>IFERROR(__xludf.DUMMYFUNCTION("GOOGLETRANSLATE(B9722, ""es"", ""en"")"),"Perfect impressive design as in the film. Includes a being of stickers, adhesives to attach photos and scissors very interesting. Item quality is very good. Very happy with the purchase.")</f>
        <v>Perfect impressive design as in the film. Includes a being of stickers, adhesives to attach photos and scissors very interesting. Item quality is very good. Very happy with the purchase.</v>
      </c>
    </row>
    <row r="9723">
      <c r="A9723" s="1">
        <v>5.0</v>
      </c>
      <c r="B9723" s="1" t="s">
        <v>9647</v>
      </c>
      <c r="C9723" t="str">
        <f>IFERROR(__xludf.DUMMYFUNCTION("GOOGLETRANSLATE(B9723, ""es"", ""en"")"),"Comfort and lightweight trousers very comfortable to run. Dries quickly. I'm using it for half marathons and doing very well. I recommend it.")</f>
        <v>Comfort and lightweight trousers very comfortable to run. Dries quickly. I'm using it for half marathons and doing very well. I recommend it.</v>
      </c>
    </row>
    <row r="9724">
      <c r="A9724" s="1">
        <v>5.0</v>
      </c>
      <c r="B9724" s="1" t="s">
        <v>9648</v>
      </c>
      <c r="C9724" t="str">
        <f>IFERROR(__xludf.DUMMYFUNCTION("GOOGLETRANSLATE(B9724, ""es"", ""en"")"),"Hooded sweatshirt very comfortable Súbete is what is what a good price is better than physical stores")</f>
        <v>Hooded sweatshirt very comfortable Súbete is what is what a good price is better than physical stores</v>
      </c>
    </row>
    <row r="9725">
      <c r="A9725" s="1">
        <v>5.0</v>
      </c>
      <c r="B9725" s="1" t="s">
        <v>9649</v>
      </c>
      <c r="C9725" t="str">
        <f>IFERROR(__xludf.DUMMYFUNCTION("GOOGLETRANSLATE(B9725, ""es"", ""en"")"),"Perfect good buy. It is the second pair to buy in different color. The size was perfect and very comfortable walking")</f>
        <v>Perfect good buy. It is the second pair to buy in different color. The size was perfect and very comfortable walking</v>
      </c>
    </row>
    <row r="9726">
      <c r="A9726" s="1">
        <v>5.0</v>
      </c>
      <c r="B9726" s="1" t="s">
        <v>9650</v>
      </c>
      <c r="C9726" t="str">
        <f>IFERROR(__xludf.DUMMYFUNCTION("GOOGLETRANSLATE(B9726, ""es"", ""en"")"),"Very powerful moment is delighting me! It does very well! I have not yet tried making peanut butter, when you try the update!")</f>
        <v>Very powerful moment is delighting me! It does very well! I have not yet tried making peanut butter, when you try the update!</v>
      </c>
    </row>
    <row r="9727">
      <c r="A9727" s="1">
        <v>5.0</v>
      </c>
      <c r="B9727" s="1" t="s">
        <v>9651</v>
      </c>
      <c r="C9727" t="str">
        <f>IFERROR(__xludf.DUMMYFUNCTION("GOOGLETRANSLATE(B9727, ""es"", ""en"")"),"Product Quality Super happy Very quiet in the morning and you hear")</f>
        <v>Product Quality Super happy Very quiet in the morning and you hear</v>
      </c>
    </row>
    <row r="9728">
      <c r="A9728" s="1">
        <v>5.0</v>
      </c>
      <c r="B9728" s="1" t="s">
        <v>9652</v>
      </c>
      <c r="C9728" t="str">
        <f>IFERROR(__xludf.DUMMYFUNCTION("GOOGLETRANSLATE(B9728, ""es"", ""en"")"),"No transpires, good quality. I was pleasantly surprised by the quality / price, are comfortable, the fabric is good, the color is vivid, the size is correct and fit very well .. buy more colors for my girl without nunguna doubt.")</f>
        <v>No transpires, good quality. I was pleasantly surprised by the quality / price, are comfortable, the fabric is good, the color is vivid, the size is correct and fit very well .. buy more colors for my girl without nunguna doubt.</v>
      </c>
    </row>
    <row r="9729">
      <c r="A9729" s="1">
        <v>5.0</v>
      </c>
      <c r="B9729" s="1" t="s">
        <v>9653</v>
      </c>
      <c r="C9729" t="str">
        <f>IFERROR(__xludf.DUMMYFUNCTION("GOOGLETRANSLATE(B9729, ""es"", ""en"")"),"Very nice looking and the product as it says the advertiser")</f>
        <v>Very nice looking and the product as it says the advertiser</v>
      </c>
    </row>
    <row r="9730">
      <c r="A9730" s="1">
        <v>5.0</v>
      </c>
      <c r="B9730" s="1" t="s">
        <v>9654</v>
      </c>
      <c r="C9730" t="str">
        <f>IFERROR(__xludf.DUMMYFUNCTION("GOOGLETRANSLATE(B9730, ""es"", ""en"")"),"Excellent A nice watch at a good price, meets my expectations for training. Good quality so far. X")</f>
        <v>Excellent A nice watch at a good price, meets my expectations for training. Good quality so far. X</v>
      </c>
    </row>
    <row r="9731">
      <c r="A9731" s="1">
        <v>5.0</v>
      </c>
      <c r="B9731" s="1" t="s">
        <v>9655</v>
      </c>
      <c r="C9731" t="str">
        <f>IFERROR(__xludf.DUMMYFUNCTION("GOOGLETRANSLATE(B9731, ""es"", ""en"")"),"It is the first model to buy Although the product is not for me, I took more than five years by buying the same model. Since this model proved not want another. Shoes are very personal, in my case this model fits perfectly to the foot, height normal, I do"&amp;" not have to buy higher numbers. Grip and comfort of the shoe to be highlighted.")</f>
        <v>It is the first model to buy Although the product is not for me, I took more than five years by buying the same model. Since this model proved not want another. Shoes are very personal, in my case this model fits perfectly to the foot, height normal, I do not have to buy higher numbers. Grip and comfort of the shoe to be highlighted.</v>
      </c>
    </row>
    <row r="9732">
      <c r="A9732" s="1">
        <v>5.0</v>
      </c>
      <c r="B9732" s="1" t="s">
        <v>9656</v>
      </c>
      <c r="C9732" t="str">
        <f>IFERROR(__xludf.DUMMYFUNCTION("GOOGLETRANSLATE(B9732, ""es"", ""en"")"),"Reclaimer Very cool")</f>
        <v>Reclaimer Very cool</v>
      </c>
    </row>
    <row r="9733">
      <c r="A9733" s="1">
        <v>5.0</v>
      </c>
      <c r="B9733" s="1" t="s">
        <v>9657</v>
      </c>
      <c r="C9733" t="str">
        <f>IFERROR(__xludf.DUMMYFUNCTION("GOOGLETRANSLATE(B9733, ""es"", ""en"")"),"Asics very comfortable")</f>
        <v>Asics very comfortable</v>
      </c>
    </row>
    <row r="9734">
      <c r="A9734" s="1">
        <v>2.0</v>
      </c>
      <c r="B9734" s="1" t="s">
        <v>9658</v>
      </c>
      <c r="C9734" t="str">
        <f>IFERROR(__xludf.DUMMYFUNCTION("GOOGLETRANSLATE(B9734, ""es"", ""en"")"),"Poor attention to the customer bought 2, one for the office and one for a friend. The rubber is on the blades of my friend broke and Amazon guided us to the manufacturer, urging us to collect the parts in its facilities, which are far away for us, so I we"&amp;"nt back to contact Amazon, but this time had already expired warranty and was told they could do nothing. We not even find spare parts for new buy. The office still works fine, but if it breaks, you know. They importune at Amazon, because it seems an abus"&amp;"e that the manufacturer asks you that you go to a little accessible facilities for everyone.")</f>
        <v>Poor attention to the customer bought 2, one for the office and one for a friend. The rubber is on the blades of my friend broke and Amazon guided us to the manufacturer, urging us to collect the parts in its facilities, which are far away for us, so I went back to contact Amazon, but this time had already expired warranty and was told they could do nothing. We not even find spare parts for new buy. The office still works fine, but if it breaks, you know. They importune at Amazon, because it seems an abuse that the manufacturer asks you that you go to a little accessible facilities for everyone.</v>
      </c>
    </row>
    <row r="9735">
      <c r="A9735" s="1">
        <v>3.0</v>
      </c>
      <c r="B9735" s="1" t="s">
        <v>9659</v>
      </c>
      <c r="C9735" t="str">
        <f>IFERROR(__xludf.DUMMYFUNCTION("GOOGLETRANSLATE(B9735, ""es"", ""en"")"),"Without GPS, distances not counted after 6 months with the clock, I must say that overall I'm happy with it except that if the GPS is not used, distances marking the clock is always 10 or 20% lower that recorded by the GPS. With my 1,80mts I have to put t"&amp;"hat measure 2 meter distances to come to the reality app. On the clock there is no way that the measurement step is adjusted to approach distances GPS.")</f>
        <v>Without GPS, distances not counted after 6 months with the clock, I must say that overall I'm happy with it except that if the GPS is not used, distances marking the clock is always 10 or 20% lower that recorded by the GPS. With my 1,80mts I have to put that measure 2 meter distances to come to the reality app. On the clock there is no way that the measurement step is adjusted to approach distances GPS.</v>
      </c>
    </row>
    <row r="9736">
      <c r="A9736" s="1">
        <v>3.0</v>
      </c>
      <c r="B9736" s="1" t="s">
        <v>9660</v>
      </c>
      <c r="C9736" t="str">
        <f>IFERROR(__xludf.DUMMYFUNCTION("GOOGLETRANSLATE(B9736, ""es"", ""en"")"),"👍🏼👍🏼👍🏼😉 / Value")</f>
        <v>👍🏼👍🏼👍🏼😉 / Value</v>
      </c>
    </row>
    <row r="9737">
      <c r="A9737" s="1">
        <v>1.0</v>
      </c>
      <c r="B9737" s="1" t="s">
        <v>9661</v>
      </c>
      <c r="C9737" t="str">
        <f>IFERROR(__xludf.DUMMYFUNCTION("GOOGLETRANSLATE(B9737, ""es"", ""en"")"),"You hear hear bad is very low, very very low. When I go on the subway and people speak literally I pouedo hear all conversations better than music. They are very uncomfortable, they fall easily. A bad buy, honestly. For this price there are more interesti"&amp;"ng options.")</f>
        <v>You hear hear bad is very low, very very low. When I go on the subway and people speak literally I pouedo hear all conversations better than music. They are very uncomfortable, they fall easily. A bad buy, honestly. For this price there are more interesting options.</v>
      </c>
    </row>
    <row r="9738">
      <c r="A9738" s="1">
        <v>1.0</v>
      </c>
      <c r="B9738" s="1" t="s">
        <v>9662</v>
      </c>
      <c r="C9738" t="str">
        <f>IFERROR(__xludf.DUMMYFUNCTION("GOOGLETRANSLATE(B9738, ""es"", ""en"")"),"They do not work well on some computers do not know why they do not work")</f>
        <v>They do not work well on some computers do not know why they do not work</v>
      </c>
    </row>
    <row r="9739">
      <c r="A9739" s="1">
        <v>4.0</v>
      </c>
      <c r="B9739" s="1" t="s">
        <v>9663</v>
      </c>
      <c r="C9739" t="str">
        <f>IFERROR(__xludf.DUMMYFUNCTION("GOOGLETRANSLATE(B9739, ""es"", ""en"")"),"Fast and easy to use. At the moment I feel very good buy, value, unbeatable. If it does not spoil after a few uses, it is fast, simple and easy to clean, all part you use is removed. I tried several sizes and serves, cuts well and has plenty of capacity f"&amp;"or juice. As something negative say, that the slots to filter the pulp are very wide, but a colander and ready. 😜")</f>
        <v>Fast and easy to use. At the moment I feel very good buy, value, unbeatable. If it does not spoil after a few uses, it is fast, simple and easy to clean, all part you use is removed. I tried several sizes and serves, cuts well and has plenty of capacity for juice. As something negative say, that the slots to filter the pulp are very wide, but a colander and ready. 😜</v>
      </c>
    </row>
    <row r="9740">
      <c r="A9740" s="1">
        <v>4.0</v>
      </c>
      <c r="B9740" s="1" t="s">
        <v>9664</v>
      </c>
      <c r="C9740" t="str">
        <f>IFERROR(__xludf.DUMMYFUNCTION("GOOGLETRANSLATE(B9740, ""es"", ""en"")"),"My works well it has worked very well in a room that had a little smell. I've put it and the truth is that is noticeable from the first day")</f>
        <v>My works well it has worked very well in a room that had a little smell. I've put it and the truth is that is noticeable from the first day</v>
      </c>
    </row>
    <row r="9741">
      <c r="A9741" s="1">
        <v>4.0</v>
      </c>
      <c r="B9741" s="1" t="s">
        <v>9665</v>
      </c>
      <c r="C9741" t="str">
        <f>IFERROR(__xludf.DUMMYFUNCTION("GOOGLETRANSLATE(B9741, ""es"", ""en"")"),"I wanted good buy for its simplicity and simplicity, not heavy, is not a hindrance and works ideal perfection for everyday use.")</f>
        <v>I wanted good buy for its simplicity and simplicity, not heavy, is not a hindrance and works ideal perfection for everyday use.</v>
      </c>
    </row>
    <row r="9742">
      <c r="A9742" s="1">
        <v>4.0</v>
      </c>
      <c r="B9742" s="1" t="s">
        <v>9666</v>
      </c>
      <c r="C9742" t="str">
        <f>IFERROR(__xludf.DUMMYFUNCTION("GOOGLETRANSLATE(B9742, ""es"", ""en"")"),"To be warm in winter wear it my wife who is a whopping, you put a while in bed before going to Domir and when you arrive and have the warm site. It also goes well for muscle aches.")</f>
        <v>To be warm in winter wear it my wife who is a whopping, you put a while in bed before going to Domir and when you arrive and have the warm site. It also goes well for muscle aches.</v>
      </c>
    </row>
    <row r="9743">
      <c r="A9743" s="1">
        <v>4.0</v>
      </c>
      <c r="B9743" s="1" t="s">
        <v>9667</v>
      </c>
      <c r="C9743" t="str">
        <f>IFERROR(__xludf.DUMMYFUNCTION("GOOGLETRANSLATE(B9743, ""es"", ""en"")"),"Cibelsthetic soothing additive is suitable for eo complement although low value of oil ,,,, lk complements its additive ... not bad ,,,,,,, and heating performance to ennpersonas difficulty starting the day ,,, ,, gives the formula")</f>
        <v>Cibelsthetic soothing additive is suitable for eo complement although low value of oil ,,,, lk complements its additive ... not bad ,,,,,,, and heating performance to ennpersonas difficulty starting the day ,,, ,, gives the formula</v>
      </c>
    </row>
    <row r="9744">
      <c r="A9744" s="1">
        <v>5.0</v>
      </c>
      <c r="B9744" s="1" t="s">
        <v>9668</v>
      </c>
      <c r="C9744" t="str">
        <f>IFERROR(__xludf.DUMMYFUNCTION("GOOGLETRANSLATE(B9744, ""es"", ""en"")"),"More than recommended are wonderful, I have not had any problems to ride the coves, good material and a good finish, but highly recommended")</f>
        <v>More than recommended are wonderful, I have not had any problems to ride the coves, good material and a good finish, but highly recommended</v>
      </c>
    </row>
    <row r="9745">
      <c r="A9745" s="1">
        <v>5.0</v>
      </c>
      <c r="B9745" s="1" t="s">
        <v>9669</v>
      </c>
      <c r="C9745" t="str">
        <f>IFERROR(__xludf.DUMMYFUNCTION("GOOGLETRANSLATE(B9745, ""es"", ""en"")"),"Good stuff, tough. It's what I was looking for a small size meter keys, wallet and mobile. It is robust, with good zips and an acceptable price.")</f>
        <v>Good stuff, tough. It's what I was looking for a small size meter keys, wallet and mobile. It is robust, with good zips and an acceptable price.</v>
      </c>
    </row>
    <row r="9746">
      <c r="A9746" s="1">
        <v>5.0</v>
      </c>
      <c r="B9746" s="1" t="s">
        <v>9670</v>
      </c>
      <c r="C9746" t="str">
        <f>IFERROR(__xludf.DUMMYFUNCTION("GOOGLETRANSLATE(B9746, ""es"", ""en"")"),"Super quality, not too hot outside with previous models of the same brand I had the problem that the external structure is so hot that it was impossible to handle. Even to the problem that the toaster itself did skip the fast timer possibly due to excessi"&amp;"ve heat on the thermostat. In this model it seems to have improved and isolation and, if somewhat heated, can tinker fully operational. The slots are wide and can get thick toast, but also has superior grill for toasting without burning or thaw, as it has"&amp;" toasted mode and defrosted. It is very powerful, very much, you have to walk with eye so you do not burn the toast. Roasting has a regulator and a clock super duper super retro and indicating the time remaining to stop. Overall an exceptional toaster.")</f>
        <v>Super quality, not too hot outside with previous models of the same brand I had the problem that the external structure is so hot that it was impossible to handle. Even to the problem that the toaster itself did skip the fast timer possibly due to excessive heat on the thermostat. In this model it seems to have improved and isolation and, if somewhat heated, can tinker fully operational. The slots are wide and can get thick toast, but also has superior grill for toasting without burning or thaw, as it has toasted mode and defrosted. It is very powerful, very much, you have to walk with eye so you do not burn the toast. Roasting has a regulator and a clock super duper super retro and indicating the time remaining to stop. Overall an exceptional toaster.</v>
      </c>
    </row>
    <row r="9747">
      <c r="A9747" s="1">
        <v>5.0</v>
      </c>
      <c r="B9747" s="1" t="s">
        <v>9671</v>
      </c>
      <c r="C9747" t="str">
        <f>IFERROR(__xludf.DUMMYFUNCTION("GOOGLETRANSLATE(B9747, ""es"", ""en"")"),"Fantastic Best minipimer of the market at the best possible price! Versatile, very little noisy considering its 800 W of power, cheaper than in stores. It should acquire the means to be accessories that are given use.")</f>
        <v>Fantastic Best minipimer of the market at the best possible price! Versatile, very little noisy considering its 800 W of power, cheaper than in stores. It should acquire the means to be accessories that are given use.</v>
      </c>
    </row>
    <row r="9748">
      <c r="A9748" s="1">
        <v>5.0</v>
      </c>
      <c r="B9748" s="1" t="s">
        <v>9672</v>
      </c>
      <c r="C9748" t="str">
        <f>IFERROR(__xludf.DUMMYFUNCTION("GOOGLETRANSLATE(B9748, ""es"", ""en"")"),"Very good practice and practice, all you would have to come two chillers for two boats, but very good buy")</f>
        <v>Very good practice and practice, all you would have to come two chillers for two boats, but very good buy</v>
      </c>
    </row>
    <row r="9749">
      <c r="A9749" s="1">
        <v>5.0</v>
      </c>
      <c r="B9749" s="1" t="s">
        <v>9673</v>
      </c>
      <c r="C9749" t="str">
        <f>IFERROR(__xludf.DUMMYFUNCTION("GOOGLETRANSLATE(B9749, ""es"", ""en"")"),"Good quality and very comfortable clogs have cumplkdo with my expectations. The size is adjusted to the extent indicated. The quality is good and very comfortable.")</f>
        <v>Good quality and very comfortable clogs have cumplkdo with my expectations. The size is adjusted to the extent indicated. The quality is good and very comfortable.</v>
      </c>
    </row>
    <row r="9750">
      <c r="A9750" s="1">
        <v>5.0</v>
      </c>
      <c r="B9750" s="1" t="s">
        <v>9674</v>
      </c>
      <c r="C9750" t="str">
        <f>IFERROR(__xludf.DUMMYFUNCTION("GOOGLETRANSLATE(B9750, ""es"", ""en"")"),"It houses a perfect shopping a lot, so I'm very happy and I size is perfect, thank goodness I listened to other buyers and chose two sizes more")</f>
        <v>It houses a perfect shopping a lot, so I'm very happy and I size is perfect, thank goodness I listened to other buyers and chose two sizes more</v>
      </c>
    </row>
    <row r="9751">
      <c r="A9751" s="1">
        <v>5.0</v>
      </c>
      <c r="B9751" s="1" t="s">
        <v>9675</v>
      </c>
      <c r="C9751" t="str">
        <f>IFERROR(__xludf.DUMMYFUNCTION("GOOGLETRANSLATE(B9751, ""es"", ""en"")"),"The expected. Good look.")</f>
        <v>The expected. Good look.</v>
      </c>
    </row>
    <row r="9752">
      <c r="A9752" s="1">
        <v>5.0</v>
      </c>
      <c r="B9752" s="1" t="s">
        <v>9676</v>
      </c>
      <c r="C9752" t="str">
        <f>IFERROR(__xludf.DUMMYFUNCTION("GOOGLETRANSLATE(B9752, ""es"", ""en"")"),"Pendrive 32 gb dogleg small footprint are. But they serve their purpose. They arrived early. Excellent service")</f>
        <v>Pendrive 32 gb dogleg small footprint are. But they serve their purpose. They arrived early. Excellent service</v>
      </c>
    </row>
    <row r="9753">
      <c r="A9753" s="1">
        <v>5.0</v>
      </c>
      <c r="B9753" s="1" t="s">
        <v>9677</v>
      </c>
      <c r="C9753" t="str">
        <f>IFERROR(__xludf.DUMMYFUNCTION("GOOGLETRANSLATE(B9753, ""es"", ""en"")"),"Recommended adapter fulfills its mission")</f>
        <v>Recommended adapter fulfills its mission</v>
      </c>
    </row>
    <row r="9754">
      <c r="A9754" s="1">
        <v>5.0</v>
      </c>
      <c r="B9754" s="1" t="s">
        <v>9678</v>
      </c>
      <c r="C9754" t="str">
        <f>IFERROR(__xludf.DUMMYFUNCTION("GOOGLETRANSLATE(B9754, ""es"", ""en"")"),"Very good performance at unbeatable price very good product. He has incredible speed at a very good price. If reliability is good, it is a purchase of 10 but that until it has been a while I will not be able to itemize")</f>
        <v>Very good performance at unbeatable price very good product. He has incredible speed at a very good price. If reliability is good, it is a purchase of 10 but that until it has been a while I will not be able to itemize</v>
      </c>
    </row>
    <row r="9755">
      <c r="A9755" s="1">
        <v>5.0</v>
      </c>
      <c r="B9755" s="1" t="s">
        <v>9679</v>
      </c>
      <c r="C9755" t="str">
        <f>IFERROR(__xludf.DUMMYFUNCTION("GOOGLETRANSLATE(B9755, ""es"", ""en"")"),"Cool headphones also fit perfectly expectations. They have a very good sound quality and with respect to the battery, I have not used more than 1 hour followed, but it seems to hold the battery well. The box is perfect, very fast loading and magnets are g"&amp;"ood, you can be transported perfectly without fear of losing them. It is true that they are more expensive than other Bluetooth headset you can find, but these are really very good, quality is comparatively much higher than its price. In short, very good "&amp;"product, I recommend purchase 100%")</f>
        <v>Cool headphones also fit perfectly expectations. They have a very good sound quality and with respect to the battery, I have not used more than 1 hour followed, but it seems to hold the battery well. The box is perfect, very fast loading and magnets are good, you can be transported perfectly without fear of losing them. It is true that they are more expensive than other Bluetooth headset you can find, but these are really very good, quality is comparatively much higher than its price. In short, very good product, I recommend purchase 100%</v>
      </c>
    </row>
    <row r="9756">
      <c r="A9756" s="1">
        <v>5.0</v>
      </c>
      <c r="B9756" s="1" t="s">
        <v>9680</v>
      </c>
      <c r="C9756" t="str">
        <f>IFERROR(__xludf.DUMMYFUNCTION("GOOGLETRANSLATE(B9756, ""es"", ""en"")"),"Buenisimas Very good boots, very warm and comfortable. I live in the north and I have already tested under all conditions, water, snow, ice, bitter cold, and they've really pleasantly surprised, not expecting much for the price paid. The would buy without"&amp;" hesitation. In addition, they are nice and are very good.")</f>
        <v>Buenisimas Very good boots, very warm and comfortable. I live in the north and I have already tested under all conditions, water, snow, ice, bitter cold, and they've really pleasantly surprised, not expecting much for the price paid. The would buy without hesitation. In addition, they are nice and are very good.</v>
      </c>
    </row>
    <row r="9757">
      <c r="A9757" s="1">
        <v>5.0</v>
      </c>
      <c r="B9757" s="1" t="s">
        <v>9681</v>
      </c>
      <c r="C9757" t="str">
        <f>IFERROR(__xludf.DUMMYFUNCTION("GOOGLETRANSLATE(B9757, ""es"", ""en"")"),"I have again asked moment (a couple of washes) are fine. No tightened at the ankles and are quite comfortable. To see when summer arrives if they are also suitable")</f>
        <v>I have again asked moment (a couple of washes) are fine. No tightened at the ankles and are quite comfortable. To see when summer arrives if they are also suitable</v>
      </c>
    </row>
    <row r="9758">
      <c r="A9758" s="1">
        <v>5.0</v>
      </c>
      <c r="B9758" s="1" t="s">
        <v>9682</v>
      </c>
      <c r="C9758" t="str">
        <f>IFERROR(__xludf.DUMMYFUNCTION("GOOGLETRANSLATE(B9758, ""es"", ""en"")"),"NEW LIFE FOR LAPTOP thought to change the laptop so slow it was going and decided to try to change the drive for a SSD and the change has been tremendo.Todo goes much faster and no longer need to switch teams. Toshiba chose this because it was within a re"&amp;"asonable price which was writing faster recommended option")</f>
        <v>NEW LIFE FOR LAPTOP thought to change the laptop so slow it was going and decided to try to change the drive for a SSD and the change has been tremendo.Todo goes much faster and no longer need to switch teams. Toshiba chose this because it was within a reasonable price which was writing faster recommended option</v>
      </c>
    </row>
    <row r="9759">
      <c r="A9759" s="1">
        <v>5.0</v>
      </c>
      <c r="B9759" s="1" t="s">
        <v>9683</v>
      </c>
      <c r="C9759" t="str">
        <f>IFERROR(__xludf.DUMMYFUNCTION("GOOGLETRANSLATE(B9759, ""es"", ""en"")"),"Perfect just what I wanted")</f>
        <v>Perfect just what I wanted</v>
      </c>
    </row>
    <row r="9760">
      <c r="A9760" s="1">
        <v>5.0</v>
      </c>
      <c r="B9760" s="1" t="s">
        <v>9684</v>
      </c>
      <c r="C9760" t="str">
        <f>IFERROR(__xludf.DUMMYFUNCTION("GOOGLETRANSLATE(B9760, ""es"", ""en"")"),"something more expensive something more expensive than other model I got to the final but these details embroidered type or bright colors. good")</f>
        <v>something more expensive something more expensive than other model I got to the final but these details embroidered type or bright colors. good</v>
      </c>
    </row>
    <row r="9761">
      <c r="A9761" s="1">
        <v>5.0</v>
      </c>
      <c r="B9761" s="1" t="s">
        <v>9685</v>
      </c>
      <c r="C9761" t="str">
        <f>IFERROR(__xludf.DUMMYFUNCTION("GOOGLETRANSLATE(B9761, ""es"", ""en"")"),"PERFECT very good quality authentic love perfect skin arrival shipping even 1 day before October 1, 10")</f>
        <v>PERFECT very good quality authentic love perfect skin arrival shipping even 1 day before October 1, 10</v>
      </c>
    </row>
    <row r="9762">
      <c r="A9762" s="1">
        <v>2.0</v>
      </c>
      <c r="B9762" s="1" t="s">
        <v>9686</v>
      </c>
      <c r="C9762" t="str">
        <f>IFERROR(__xludf.DUMMYFUNCTION("GOOGLETRANSLATE(B9762, ""es"", ""en"")"),"Hi is very thin, is very thin thought it was thicker,")</f>
        <v>Hi is very thin, is very thin thought it was thicker,</v>
      </c>
    </row>
    <row r="9763">
      <c r="A9763" s="1">
        <v>3.0</v>
      </c>
      <c r="B9763" s="1" t="s">
        <v>9687</v>
      </c>
      <c r="C9763" t="str">
        <f>IFERROR(__xludf.DUMMYFUNCTION("GOOGLETRANSLATE(B9763, ""es"", ""en"")"),"Victor Their sound when put is not very good, external noises are heard too easily and lace at the end comes to bother in the ear to the time since I was having it, for example, my girlfriend does not bother so it should be according person. If you are lu"&amp;"cky you will go great, if not then bother you enough to rethink the purchase.")</f>
        <v>Victor Their sound when put is not very good, external noises are heard too easily and lace at the end comes to bother in the ear to the time since I was having it, for example, my girlfriend does not bother so it should be according person. If you are lucky you will go great, if not then bother you enough to rethink the purchase.</v>
      </c>
    </row>
    <row r="9764">
      <c r="A9764" s="1">
        <v>1.0</v>
      </c>
      <c r="B9764" s="1" t="s">
        <v>9688</v>
      </c>
      <c r="C9764" t="str">
        <f>IFERROR(__xludf.DUMMYFUNCTION("GOOGLETRANSLATE(B9764, ""es"", ""en"")"),"Very small very small and quality passable.")</f>
        <v>Very small very small and quality passable.</v>
      </c>
    </row>
    <row r="9765">
      <c r="A9765" s="1">
        <v>1.0</v>
      </c>
      <c r="B9765" s="1" t="s">
        <v>9689</v>
      </c>
      <c r="C9765" t="str">
        <f>IFERROR(__xludf.DUMMYFUNCTION("GOOGLETRANSLATE(B9765, ""es"", ""en"")"),"I shoddy have since Christmas (about 9 months) and comfortable, but they make noise walking and sole are all off. Very poor quality for me")</f>
        <v>I shoddy have since Christmas (about 9 months) and comfortable, but they make noise walking and sole are all off. Very poor quality for me</v>
      </c>
    </row>
    <row r="9766">
      <c r="A9766" s="1">
        <v>4.0</v>
      </c>
      <c r="B9766" s="1" t="s">
        <v>9690</v>
      </c>
      <c r="C9766" t="str">
        <f>IFERROR(__xludf.DUMMYFUNCTION("GOOGLETRANSLATE(B9766, ""es"", ""en"")"),"Meets Good value for money. I use them to plug the guitar to the sound card of the computer, to play foot plugged the amp becomes very small. Unstretched measures about 80 cm.")</f>
        <v>Meets Good value for money. I use them to plug the guitar to the sound card of the computer, to play foot plugged the amp becomes very small. Unstretched measures about 80 cm.</v>
      </c>
    </row>
    <row r="9767">
      <c r="A9767" s="1">
        <v>4.0</v>
      </c>
      <c r="B9767" s="1" t="s">
        <v>9691</v>
      </c>
      <c r="C9767" t="str">
        <f>IFERROR(__xludf.DUMMYFUNCTION("GOOGLETRANSLATE(B9767, ""es"", ""en"")"),"It works very well is a good product, works well, but perhaps lacks a little more RAM and processor.")</f>
        <v>It works very well is a good product, works well, but perhaps lacks a little more RAM and processor.</v>
      </c>
    </row>
    <row r="9768">
      <c r="A9768" s="1">
        <v>4.0</v>
      </c>
      <c r="B9768" s="1" t="s">
        <v>9692</v>
      </c>
      <c r="C9768" t="str">
        <f>IFERROR(__xludf.DUMMYFUNCTION("GOOGLETRANSLATE(B9768, ""es"", ""en"")"),"A little weak on a little weak material Material")</f>
        <v>A little weak on a little weak material Material</v>
      </c>
    </row>
    <row r="9769">
      <c r="A9769" s="1">
        <v>4.0</v>
      </c>
      <c r="B9769" s="1" t="s">
        <v>9693</v>
      </c>
      <c r="C9769" t="str">
        <f>IFERROR(__xludf.DUMMYFUNCTION("GOOGLETRANSLATE(B9769, ""es"", ""en"")"),"Better than I thought q better than thought, value property is very well, meets to spare the espectativas.en short, would buy!")</f>
        <v>Better than I thought q better than thought, value property is very well, meets to spare the espectativas.en short, would buy!</v>
      </c>
    </row>
    <row r="9770">
      <c r="A9770" s="1">
        <v>4.0</v>
      </c>
      <c r="B9770" s="1" t="s">
        <v>9694</v>
      </c>
      <c r="C9770" t="str">
        <f>IFERROR(__xludf.DUMMYFUNCTION("GOOGLETRANSLATE(B9770, ""es"", ""en"")"),"To quickly arrive home")</f>
        <v>To quickly arrive home</v>
      </c>
    </row>
    <row r="9771">
      <c r="A9771" s="1">
        <v>5.0</v>
      </c>
      <c r="B9771" s="1" t="s">
        <v>9695</v>
      </c>
      <c r="C9771" t="str">
        <f>IFERROR(__xludf.DUMMYFUNCTION("GOOGLETRANSLATE(B9771, ""es"", ""en"")"),"Design sweatshirt is very comfortable and soft, the tallajr is quite right too, colors are vivid and crisp drawings and photos")</f>
        <v>Design sweatshirt is very comfortable and soft, the tallajr is quite right too, colors are vivid and crisp drawings and photos</v>
      </c>
    </row>
    <row r="9772">
      <c r="A9772" s="1">
        <v>5.0</v>
      </c>
      <c r="B9772" s="1" t="s">
        <v>9696</v>
      </c>
      <c r="C9772" t="str">
        <f>IFERROR(__xludf.DUMMYFUNCTION("GOOGLETRANSLATE(B9772, ""es"", ""en"")"),"the price great price")</f>
        <v>the price great price</v>
      </c>
    </row>
    <row r="9773">
      <c r="A9773" s="1">
        <v>5.0</v>
      </c>
      <c r="B9773" s="1" t="s">
        <v>9697</v>
      </c>
      <c r="C9773" t="str">
        <f>IFERROR(__xludf.DUMMYFUNCTION("GOOGLETRANSLATE(B9773, ""es"", ""en"")"),"Functional Fits expected. I have not yet used much, but the gazpacho and allioli do very well.")</f>
        <v>Functional Fits expected. I have not yet used much, but the gazpacho and allioli do very well.</v>
      </c>
    </row>
    <row r="9774">
      <c r="A9774" s="1">
        <v>5.0</v>
      </c>
      <c r="B9774" s="1" t="s">
        <v>9698</v>
      </c>
      <c r="C9774" t="str">
        <f>IFERROR(__xludf.DUMMYFUNCTION("GOOGLETRANSLATE(B9774, ""es"", ""en"")"),"Great invention, satisfied I tried other baby bottles but it seems a great invention this model that is inside a bag and prevents the baby from swallowing air. Our newborn baby uses it beautifully at night with my mother's milk. Currently there crying for"&amp;" colicky or gases. In addition the nipple is very similar to a nipple and to release the milk the baby has to suck just as you would with my chest. We are delighted with this bottle.")</f>
        <v>Great invention, satisfied I tried other baby bottles but it seems a great invention this model that is inside a bag and prevents the baby from swallowing air. Our newborn baby uses it beautifully at night with my mother's milk. Currently there crying for colicky or gases. In addition the nipple is very similar to a nipple and to release the milk the baby has to suck just as you would with my chest. We are delighted with this bottle.</v>
      </c>
    </row>
    <row r="9775">
      <c r="A9775" s="1">
        <v>5.0</v>
      </c>
      <c r="B9775" s="1" t="s">
        <v>9699</v>
      </c>
      <c r="C9775" t="str">
        <f>IFERROR(__xludf.DUMMYFUNCTION("GOOGLETRANSLATE(B9775, ""es"", ""en"")"),"Useful sound good and they come in a zippered rigid boxes that will not get caught in your pocket")</f>
        <v>Useful sound good and they come in a zippered rigid boxes that will not get caught in your pocket</v>
      </c>
    </row>
    <row r="9776">
      <c r="A9776" s="1">
        <v>5.0</v>
      </c>
      <c r="B9776" s="1" t="s">
        <v>9700</v>
      </c>
      <c r="C9776" t="str">
        <f>IFERROR(__xludf.DUMMYFUNCTION("GOOGLETRANSLATE(B9776, ""es"", ""en"")"),"Good quality as always, this brand never disappoints, good quality material, design very like and how you should always ask for a size smaller than you usually use if your size is European")</f>
        <v>Good quality as always, this brand never disappoints, good quality material, design very like and how you should always ask for a size smaller than you usually use if your size is European</v>
      </c>
    </row>
    <row r="9777">
      <c r="A9777" s="1">
        <v>5.0</v>
      </c>
      <c r="B9777" s="1" t="s">
        <v>9701</v>
      </c>
      <c r="C9777" t="str">
        <f>IFERROR(__xludf.DUMMYFUNCTION("GOOGLETRANSLATE(B9777, ""es"", ""en"")"),"As they are beautiful, very happy")</f>
        <v>As they are beautiful, very happy</v>
      </c>
    </row>
    <row r="9778">
      <c r="A9778" s="1">
        <v>5.0</v>
      </c>
      <c r="B9778" s="1" t="s">
        <v>9702</v>
      </c>
      <c r="C9778" t="str">
        <f>IFERROR(__xludf.DUMMYFUNCTION("GOOGLETRANSLATE(B9778, ""es"", ""en"")"),"At the end I spot: As perfect as I say in the title, at the end give the spot. I have several purchased Bluetooth headset looking for ones that they were perfect, and to find them. The sound quality is excellent, does not require any equalization as I ind"&amp;"eed had to do with the previous ones had, if anything serious have strengthened them but because I like tall, but not necessary. The case is very well presented, and barely weighs at all. According to open the box find the charging case, which has given m"&amp;"e my 9 loads with its 600 mAh, each handset supports 50mAh and charges have made since the 30% or 40% battery remaining. Inside the box are the headphones, which are very comfortable (the most I've ever had), and while it is true that not bring a touch bu"&amp;"tton, yes that incorporate physical buttons to change songs. They also allow synchronized together, or only one of them hands-free (you can use handsfree equally with both synchronized). The charging case I've loaded with its cable from the PC and in just"&amp;" an hour has been loaded, providing several hours of music and multimedia. Load calculation headphones that come within three hours: two hours and I have become peak remaining 30%, I mean that's great. I understand that more volume, less battery time, I d"&amp;"o not use butt, but to 60-70% of maximum volume. Leave photos and nothing, the best purchase I have made wireless audio: 100% recommended.")</f>
        <v>At the end I spot: As perfect as I say in the title, at the end give the spot. I have several purchased Bluetooth headset looking for ones that they were perfect, and to find them. The sound quality is excellent, does not require any equalization as I indeed had to do with the previous ones had, if anything serious have strengthened them but because I like tall, but not necessary. The case is very well presented, and barely weighs at all. According to open the box find the charging case, which has given me my 9 loads with its 600 mAh, each handset supports 50mAh and charges have made since the 30% or 40% battery remaining. Inside the box are the headphones, which are very comfortable (the most I've ever had), and while it is true that not bring a touch button, yes that incorporate physical buttons to change songs. They also allow synchronized together, or only one of them hands-free (you can use handsfree equally with both synchronized). The charging case I've loaded with its cable from the PC and in just an hour has been loaded, providing several hours of music and multimedia. Load calculation headphones that come within three hours: two hours and I have become peak remaining 30%, I mean that's great. I understand that more volume, less battery time, I do not use butt, but to 60-70% of maximum volume. Leave photos and nothing, the best purchase I have made wireless audio: 100% recommended.</v>
      </c>
    </row>
    <row r="9779">
      <c r="A9779" s="1">
        <v>5.0</v>
      </c>
      <c r="B9779" s="1" t="s">
        <v>9703</v>
      </c>
      <c r="C9779" t="str">
        <f>IFERROR(__xludf.DUMMYFUNCTION("GOOGLETRANSLATE(B9779, ""es"", ""en"")"),"Good quality I like the design and do not fall very useful.")</f>
        <v>Good quality I like the design and do not fall very useful.</v>
      </c>
    </row>
    <row r="9780">
      <c r="A9780" s="1">
        <v>5.0</v>
      </c>
      <c r="B9780" s="1" t="s">
        <v>9704</v>
      </c>
      <c r="C9780" t="str">
        <f>IFERROR(__xludf.DUMMYFUNCTION("GOOGLETRANSLATE(B9780, ""es"", ""en"")"),"Perfect Perfect All")</f>
        <v>Perfect Perfect All</v>
      </c>
    </row>
    <row r="9781">
      <c r="A9781" s="1">
        <v>5.0</v>
      </c>
      <c r="B9781" s="1" t="s">
        <v>9705</v>
      </c>
      <c r="C9781" t="str">
        <f>IFERROR(__xludf.DUMMYFUNCTION("GOOGLETRANSLATE(B9781, ""es"", ""en"")"),"There is a good quality price relation. Very nice.")</f>
        <v>There is a good quality price relation. Very nice.</v>
      </c>
    </row>
    <row r="9782">
      <c r="A9782" s="1">
        <v>5.0</v>
      </c>
      <c r="B9782" s="1" t="s">
        <v>9706</v>
      </c>
      <c r="C9782" t="str">
        <f>IFERROR(__xludf.DUMMYFUNCTION("GOOGLETRANSLATE(B9782, ""es"", ""en"")"),"Buenos bottles q is the first time the taste and truth are the best, the only downside q q come nipple is the number 2 and does not leave almost nothing tap Buy Three q is used to as they grow")</f>
        <v>Buenos bottles q is the first time the taste and truth are the best, the only downside q q come nipple is the number 2 and does not leave almost nothing tap Buy Three q is used to as they grow</v>
      </c>
    </row>
    <row r="9783">
      <c r="A9783" s="1">
        <v>5.0</v>
      </c>
      <c r="B9783" s="1" t="s">
        <v>9707</v>
      </c>
      <c r="C9783" t="str">
        <f>IFERROR(__xludf.DUMMYFUNCTION("GOOGLETRANSLATE(B9783, ""es"", ""en"")"),"quality comfort shoes I like Clarks, took this model and the other in black. Garnet is fine, bring the laces in green and maroon another game to swap them. It is super comfortable and hopefully last me much like all Clarks. What I do not like so much is t"&amp;"he sole having, as I stand out much, if dark think I'd like more. Undoubtedly, when worn or put old buy other equally if still made.")</f>
        <v>quality comfort shoes I like Clarks, took this model and the other in black. Garnet is fine, bring the laces in green and maroon another game to swap them. It is super comfortable and hopefully last me much like all Clarks. What I do not like so much is the sole having, as I stand out much, if dark think I'd like more. Undoubtedly, when worn or put old buy other equally if still made.</v>
      </c>
    </row>
    <row r="9784">
      <c r="A9784" s="1">
        <v>5.0</v>
      </c>
      <c r="B9784" s="1" t="s">
        <v>9708</v>
      </c>
      <c r="C9784" t="str">
        <f>IFERROR(__xludf.DUMMYFUNCTION("GOOGLETRANSLATE(B9784, ""es"", ""en"")"),"Very nice backpack Just what I expected, a good backpack and color as it looks. My enchanted daughter and is especially convenient with the compartments, is a good brand with details that distinguishes it from others.")</f>
        <v>Very nice backpack Just what I expected, a good backpack and color as it looks. My enchanted daughter and is especially convenient with the compartments, is a good brand with details that distinguishes it from others.</v>
      </c>
    </row>
    <row r="9785">
      <c r="A9785" s="1">
        <v>5.0</v>
      </c>
      <c r="B9785" s="1" t="s">
        <v>9709</v>
      </c>
      <c r="C9785" t="str">
        <f>IFERROR(__xludf.DUMMYFUNCTION("GOOGLETRANSLATE(B9785, ""es"", ""en"")"),"The quality are very comfortable")</f>
        <v>The quality are very comfortable</v>
      </c>
    </row>
    <row r="9786">
      <c r="A9786" s="1">
        <v>5.0</v>
      </c>
      <c r="B9786" s="1" t="s">
        <v>9710</v>
      </c>
      <c r="C9786" t="str">
        <f>IFERROR(__xludf.DUMMYFUNCTION("GOOGLETRANSLATE(B9786, ""es"", ""en"")"),"I ordered the blue sky great for little more than 13 €, the color is very nice, they are very comfortable (much more than flip-flops finger) and great design, order them think in other colors. PS reading other reviews a number and asked to use regularly a"&amp;"nd which was a mistake, regular fit neither more nor less, ask your usual number.")</f>
        <v>I ordered the blue sky great for little more than 13 €, the color is very nice, they are very comfortable (much more than flip-flops finger) and great design, order them think in other colors. PS reading other reviews a number and asked to use regularly and which was a mistake, regular fit neither more nor less, ask your usual number.</v>
      </c>
    </row>
    <row r="9787">
      <c r="A9787" s="1">
        <v>5.0</v>
      </c>
      <c r="B9787" s="1" t="s">
        <v>9711</v>
      </c>
      <c r="C9787" t="str">
        <f>IFERROR(__xludf.DUMMYFUNCTION("GOOGLETRANSLATE(B9787, ""es"", ""en"")"),"The truth is very happy with this watch-despestador are super excited because it's going very, very well, fits perfectly with what we needed and wanted. A ten.")</f>
        <v>The truth is very happy with this watch-despestador are super excited because it's going very, very well, fits perfectly with what we needed and wanted. A ten.</v>
      </c>
    </row>
    <row r="9788">
      <c r="A9788" s="1">
        <v>5.0</v>
      </c>
      <c r="B9788" s="1" t="s">
        <v>9712</v>
      </c>
      <c r="C9788" t="str">
        <f>IFERROR(__xludf.DUMMYFUNCTION("GOOGLETRANSLATE(B9788, ""es"", ""en"")"),"Slipper successful birthday comfortable, lightweight and discreet with everything and can be washed in the washing machine, ideal for when approaching spring or summer.")</f>
        <v>Slipper successful birthday comfortable, lightweight and discreet with everything and can be washed in the washing machine, ideal for when approaching spring or summer.</v>
      </c>
    </row>
    <row r="9789">
      <c r="A9789" s="1">
        <v>5.0</v>
      </c>
      <c r="B9789" s="1" t="s">
        <v>9713</v>
      </c>
      <c r="C9789" t="str">
        <f>IFERROR(__xludf.DUMMYFUNCTION("GOOGLETRANSLATE(B9789, ""es"", ""en"")"),"Surprise :) &lt;div id = ""video-block-RWOJC3MMA9BKJ"" class = ""section a-a-a-spacing-small spacing-top-video mini-block""&gt; &lt;div tabindex = ""0"" class = ""airy airy- svg vmin-unsupported airy-skin-beacon ""style ="" background-color: rgb (0, 0, 0) position"&amp;": relative; width: 100%; height: 100%; font-size: 0px; overflow: hidden; outline: none; ""&gt; &lt;div class ="" airy-renderer-container ""style ="" position: relative; height: 100%; width: 100%; ""&gt; &lt;video id ="" 7 ""preload ="" auto ""src = ""https://images-e"&amp;"u.ssl-images-amazon.com/images/I/D110AFuzXwS.mp4"" style = ""position: absolute; left: 0px; top: 0px; overflow: hidden; height: 1px; width: 1px; ""&gt; &lt;/ video&gt; &lt;/ div&gt; &lt;div id ="" airy-slate-preload ""style ="" background-color: rgb (0, 0, 0); background-i"&amp;"mage: url (&amp; quot; https: / /images-eu.ssl-images-amazon.com/images/I/B1zSmv8TvcS.png&amp;quot;); background-size: Contain; background-position: center center; background-repeat: no-repeat; position: absolute; top: 0px; left: 0px; visibility: visible; width: "&amp;"100%; height: 100%; ""&gt; &lt;/ div&gt; &lt;iframe scrolling ="" no "" frameborder = ""0"" src = ""about: blank"" style = ""display: none;""&gt; &lt;/ iframe&gt; &lt;div tabindex = ""- 1"" class = ""airy-controls-container"" style = ""opacity: 0; visibility: hidden; ""&gt; &lt;div ta"&amp;"bindex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airy-"&amp;"on ""&gt; &lt;/ div&gt; &lt;div tabindex ="" - 1 ""class ="" airy-audio-container ""style = ""opacity: 0; visibility: hidden; ""&gt; &lt;div tabindex ="" - 1 ""class ="" airy-audio-track-bar ""style ="" height: 80%; ""&gt; &lt;div tabindex ="" - 1 ""class ="" airy-audio- Scrubbe"&amp;"r-bar ""style ="" height: 85%; ""&gt; &lt;/ div&gt; &lt;div tabindex ="" - 1 ""class ="" airy-audio-scrubber ""style ="" height: 12px; bottom: 85% ""&gt; &lt;/ div&gt; &lt;/ div&gt; &lt;/ div&gt; &lt;/ div&gt; &lt;div tabindex ="" - 1 ""class ="" airy-duration-label ""style ="" float: right; widt"&amp;"h: 26px; margin-right: 4px; text-align: center; ""&gt; 0:00 &lt;/ div&gt; &lt;div tabindex ="" - 1 ""class ="" airy-track-bar-spacer-right ""style ="" float: right; width: 11px; ""&gt; &lt;/ div&gt; &lt;div tabindex ="" - 1 ""class ="" airy-track-bar-container ""style ="" margin"&amp;"-left: 35px; margin-right: 75px; ""&gt; &lt;div tabindex ="" - 1 ""class ="" airy-airy-track-bar vertically-centering-table ""&gt; &lt;div tabindex ="" - 1 ""class ="" airy-Vertical-centering- table-cell ""&gt; &lt;div tabindex ="" - 1 ""class ="" airy-track-bar-elements "&amp;"""&gt; &lt;div tabindex ="" - 1 ""class ="" airy-progress-bar ""&gt; &lt;/ div&gt; &lt;div tabindex = ""- 1"" class = ""airy-scrubber-bar""&gt; &lt;/ div&gt; &lt;div tabindex = ""- 1"" class = ""airy-scrubber""&gt; &lt;div tabindex = ""- 1"" class = ""airy-scrubber- icon ""&gt; &lt;/ div&gt; &lt;div ta"&amp;"bindex ="" - 1 ""class ="" airy-adjusted-AUI-tooltip ""style ="" opacity: 0; visibility: hidden; ""&gt; &lt;div tabindex ="" - 1 ""class ="" airy-adjusted-aui-tooltip-inner ""&gt; &lt;div tabindex ="" - 1 ""class ="" airy-current-time-label ""&gt; 0: 00 &lt;/ div&gt; &lt;/ div&gt; "&amp;"&lt;div tabindex = ""- 1"" class = ""airy-adjusted-AUI-arrow-border""&gt; &lt;div tabindex = ""- 1"" class = ""airy-adjusted-AUI-arrow"" &gt; &lt;/ div&gt; &lt;/ div&gt; &lt;/ div&gt; &lt;/ div&gt; &lt;/ div&gt; &lt;/ div&gt; &lt;/ div&gt; &lt;/ div&gt; &lt;/ div&gt; &lt;/ div&gt; &lt;div tabindex = ""- 1"" class = ""airy-age-ga"&amp;"te airy-stage airy-Vertical-centering-table airy-dialog"" style = ""opacity: 0; visibility: hidden; ""&gt; &lt;div tabindex ="" - 1 ""class ="" airy-age-gate-Vertical-centering-table-cell airy-Vertical-centering-table-cell ""&gt; &lt;div tabindex ="" - 1 ""class = """&amp;"airy-Vertical-centering-wrapper airy-age-gate-elements-wrapper""&gt; &lt;div tabindex = ""- 1"" class = ""airy-age-gate-elements airy-dialog-elements""&gt; &lt;div tabindex = "" -1 ""class ="" airy-age-gate-prompt ""&gt; This video is not Intended for all audiences What"&amp;" date were you born &lt;/ div&gt; &lt;div tabindex =.?"" - 1 ""class ="" airy-age-gate -inputs airy-dialog-inner-elements ""&gt; &lt;select tabindex ="" - 1 ""class ="" airy-age-gate-month ""&gt; &lt;option value ="" 1 ""&gt; January &lt;/ option&gt; &lt;option value ="" 2 ""&gt; February &lt;"&amp;"/ option&gt; &lt;option value ="" 3 ""&gt; March &lt;/ option&gt; &lt;option value ="" 4 ""&gt; April &lt;/ option&gt; &lt;option value ="" 5 ""&gt; May &lt;/ option&gt; &lt;option value = ""6""&gt; June &lt;/ option&gt; &lt;option value = ""7""&gt; July &lt;/ option&gt; &lt;option value = ""8""&gt; August &lt;/ option&gt; &lt;opti"&amp;"on value = ""9""&gt; September &lt;/ option&gt; &lt;option value = ""10""&gt; October &lt;/ option&gt; &lt;option value = ""11""&gt; November &lt;/ option&gt; &lt;option value = ""12""&gt; December &lt;/ option&gt; &lt;/ select&gt; &lt;select tabindex = ""- 1"" class = ""airy-age-gate-day""&gt; &lt;opti on value ="&amp;" ""1""&gt; 1 &lt;/ option&gt; &lt;option value = ""2""&gt; 2 &lt;/ option&gt; &lt;option value = ""3""&gt; 3 &lt;/ option&gt; &lt;option value = ""4""&gt; 4 &lt;/ option &gt; &lt;option value = ""5""&gt; 5 &lt;/ option&gt; &lt;option value = ""6""&gt; 6 &lt;/ option&gt; &lt;option value = ""7""&gt; 7 &lt;/ option&gt; &lt;option value = "&amp;"""8""&gt; 8 &lt; / option&gt; &lt;option value = ""9""&gt; 9 &lt;/ option&gt; &lt;option value = ""10""&gt; 10 &lt;/ option&gt; &lt;option value = ""11""&gt; 11 &lt;/ option&gt; &lt;option value = ""12""&gt; 12 &lt;/ option&gt; &lt;option value = ""13""&gt; 13 &lt;/ option&gt; &lt;option value = ""14""&gt; 14 &lt;/ option&gt; &lt;option "&amp;"value = ""15""&gt; 15 &lt;/ option&gt; &lt;option value = ""16 ""&gt; 16 &lt;/ option&gt; &lt;option value ="" 17 ""&gt; 17 &lt;/ option&gt; &lt;option value ="" 18 ""&gt; 18 &lt;/ option&gt; &lt;option value ="" 19 ""&gt; 19 &lt;/ option&gt; &lt;option value = ""20""&gt; 20 &lt;/ option&gt; &lt;option value = ""21""&gt; 21 &lt;/ o"&amp;"ption&gt; &lt;option value = ""22""&gt; 22 &lt;/ option&gt; &lt;option value = ""23""&gt; 23 &lt;/ option&gt; &lt;option value = ""24""&gt; 24 &lt;/ option&gt; &lt;option value = ""25""&gt; 25 &lt;/ option&gt; &lt;option value = ""26""&gt; 26 &lt;/ option&gt; &lt;option value = ""27""&gt; 27 &lt;/ option&gt; &lt;option value = ""28"&amp;"""&gt; 28 &lt;/ option&gt; &lt;option value = ""29""&gt; 29 &lt;/ option&gt; &lt;option value = ""30""&gt; 30 &lt;/ option&gt; &lt;option value = ""31""&gt; 31 &lt;/ option&gt; &lt;/ select&gt; &lt;select tabindex = ""- 1"" class = ""airy-age-gate-year""&gt; &lt;option value = ""2019""&gt; 2019 &lt;/ option&gt; &lt; option va"&amp;"lue = ""2018""&gt; 2018 &lt;/ option&gt; &lt;option value = ""2017""&gt; 2017 &lt;/ option&gt; &lt;option value = ""2016""&gt; ​​2016 &lt;/ option&gt; &lt;option value = ""2015""&gt; 2015 &lt;/ option &gt; &lt;option value = ""2014""&gt; 2014 &lt;/ option&gt; &lt;option value = ""2013""&gt; 2013 &lt;/ option&gt; &lt;option va"&amp;"lue = ""2012""&gt; 2012 &lt;/ option&gt; &lt;option value = ""2011""&gt; 2011 &lt; / option&gt; &lt;option value = ""2010""&gt; 2010 &lt;/ option&gt; &lt;option value = ""2009""&gt; 2009 &lt;/ option&gt; &lt;option value = ""2008""&gt; 2008 &lt;/ option&gt; &lt;option value = ""2007""&gt; 2007 &lt;/ option&gt; &lt;option valu"&amp;"e = ""2006""&gt; 2006 &lt;/ option&gt; &lt;option value = ""2005""&gt; 2005 &lt;/ option&gt; &lt;option value = ""2004""&gt; 2004 &lt;/ option&gt; &lt;option value = ""2003 ""&gt; 2003 &lt;/ option&gt; &lt;option value ="" 2002 ""&gt; 2002 &lt;/ option&gt; &lt;option value ="" 2001 ""&gt; 2001 &lt;/ option&gt; &lt;option valu"&amp;"e ="" 2000 ""&gt; 2000 &lt;/ option&gt; &lt;option value = ""1999""&gt; 1999 &lt;/ option&gt; &lt;option value = ""1998""&gt; 1998 &lt;/ option&gt; &lt;option value = ""1997""&gt; 1997 &lt;/ option&gt; &lt;option value = ""1996""&gt; 1996 &lt;/ option&gt; &lt;option value = ""1995""&gt; 1995 &lt;/ option&gt; &lt;option value "&amp;"= ""1994""&gt;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="&amp;" ""1982""&gt;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&lt;value option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&lt;value option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visib"&amp;"ility: hidden; ""&gt; &lt;div tabindex ="" - 1 ""class ="" airy-install-flash-Vertical-centering-table-cell airy-Vertical-centering-table-cell ""&gt; &lt;div tabindex ="" - 1 ""class = ""airy-Vertical-centering-wrapper airy-install-flash-elements-wrapper""&gt; &lt;div tabi"&amp;"ndex = ""- 1"" class = ""airy-install-flash-elements airy-dialog-elements""&gt; &lt;div tabindex = "" -1 ""class ="" airy-install-flash-prompt ""&gt; Adobe Flash Player is required to watch this video &lt;/ div&gt; &lt;div tabindex =."" - 1 ""class ="" airy-install-flash-b"&amp;"utton-wrapper airy -dialog-inner-elements ""&gt; &lt;div tabindex ="" - 1 ""class ="" airy-install-flash-button airy-button ""&gt; install Flash Player &lt;/ div&gt; &lt;/ div&gt; &lt;/ div&gt; &lt;/ div&gt; &lt;/ div&gt; &lt;/ div&gt; &lt;div tabindex = ""- 1"" class = ""airy-video-unsupported-dialog "&amp;"airy-stage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D110AFuzXwS.mp4 ""Class ="" video-url ""&gt; &lt;input type ="" hidden ""name ="" ""value ="" https://images-eu.ssl-images-amazon.com/images/I/B1zSmv8TvcS.png ""class ="" video-slate-img-url ""&gt; &amp; nbsp; Behold, I spent years and years putti"&amp;"ng washing machines .... because I had never tried this product !! In my house while we were having a problem. I use quality products for laundry: both detergent and softener and the washing machine is about 3 years and is one brand; but he had lately clo"&amp;"thes we did not smell good after dry .... We have tried various cleaning products added to the usual and things did not improve ... I even managed to pull shirts because ""I did not smell clean"" . Because I realize now it is that perhaps what was wrong i"&amp;"s that the washing machine was dirty !! I have used only 3 or 4 washes but from the first moment I realized that the best smelling clothes (and it shows just open the washing machine) and the drum is brighter after washing. I would never have imagined tha"&amp;"t this is where the problem might be. I am delighted with the product and I'm not going to stop use him. Here are pills unidosis, to be cast in the drawer for detergent, along with it (not in the washer with clothes) and you're not there to do anything el"&amp;"se! Doses are individually packaged, for better conservation. I leave a video so you can see the product closely; hope you like: :))")</f>
        <v>Surprise :) &lt;div id = "video-block-RWOJC3MMA9BKJ" class = "section a-a-a-spacing-small spacing-top-video mini-block"&gt; &lt;div tabindex = "0" class = "airy airy- svg vmin-unsupported airy-skin-beacon "style =" background-color: rgb (0, 0, 0) position: relative; width: 100%; height: 100%; font-size: 0px; overflow: hidden; outline: none; "&gt; &lt;div class =" airy-renderer-container "style =" position: relative; height: 100%; width: 100%; "&gt; &lt;video id =" 7 "preload =" auto "src = "https://images-eu.ssl-images-amazon.com/images/I/D110AFuzXwS.mp4" style = "position: absolute; left: 0px; top: 0px; overflow: hidden; height: 1px; width: 1px; "&gt; &lt;/ video&gt; &lt;/ div&gt; &lt;div id =" airy-slate-preload "style =" background-color: rgb (0, 0, 0); background-image: url (&amp; quot; https: / /images-eu.ssl-images-amazon.com/images/I/B1zSmv8TvcS.png&amp;quot;); background-size: Contain; background-position: center center; background-repeat: no-repeat; position: absolute; top: 0px; left: 0px; visibility: visible; width: 100%; height: 100%; "&gt; &lt;/ div&gt; &lt;iframe scrolling =" no "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D110AFuzXwS.mp4 "Class =" video-url "&gt; &lt;input type =" hidden "name =" "value =" https://images-eu.ssl-images-amazon.com/images/I/B1zSmv8TvcS.png "class =" video-slate-img-url "&gt; &amp; nbsp; Behold, I spent years and years putting washing machines .... because I had never tried this product !! In my house while we were having a problem. I use quality products for laundry: both detergent and softener and the washing machine is about 3 years and is one brand; but he had lately clothes we did not smell good after dry .... We have tried various cleaning products added to the usual and things did not improve ... I even managed to pull shirts because "I did not smell clean" . Because I realize now it is that perhaps what was wrong is that the washing machine was dirty !! I have used only 3 or 4 washes but from the first moment I realized that the best smelling clothes (and it shows just open the washing machine) and the drum is brighter after washing. I would never have imagined that this is where the problem might be. I am delighted with the product and I'm not going to stop use him. Here are pills unidosis, to be cast in the drawer for detergent, along with it (not in the washer with clothes) and you're not there to do anything else! Doses are individually packaged, for better conservation. I leave a video so you can see the product closely; hope you like: :))</v>
      </c>
    </row>
    <row r="9790">
      <c r="A9790" s="1">
        <v>2.0</v>
      </c>
      <c r="B9790" s="1" t="s">
        <v>9714</v>
      </c>
      <c r="C9790" t="str">
        <f>IFERROR(__xludf.DUMMYFUNCTION("GOOGLETRANSLATE(B9790, ""es"", ""en"")"),"Marga are pure plastic, and it shows. They are cheap but does not match the description. I recommend it as a toy for kids @ s.")</f>
        <v>Marga are pure plastic, and it shows. They are cheap but does not match the description. I recommend it as a toy for kids @ s.</v>
      </c>
    </row>
    <row r="9791">
      <c r="A9791" s="1">
        <v>3.0</v>
      </c>
      <c r="B9791" s="1" t="s">
        <v>9715</v>
      </c>
      <c r="C9791" t="str">
        <f>IFERROR(__xludf.DUMMYFUNCTION("GOOGLETRANSLATE(B9791, ""es"", ""en"")"),"Poor sealing in the first row 3 sheets have been the first row I unsealed by the bottom of the cash and coins fall.")</f>
        <v>Poor sealing in the first row 3 sheets have been the first row I unsealed by the bottom of the cash and coins fall.</v>
      </c>
    </row>
    <row r="9792">
      <c r="A9792" s="1">
        <v>3.0</v>
      </c>
      <c r="B9792" s="1" t="s">
        <v>9716</v>
      </c>
      <c r="C9792" t="str">
        <f>IFERROR(__xludf.DUMMYFUNCTION("GOOGLETRANSLATE(B9792, ""es"", ""en"")"),"Heats heated but rather move to my bed a little small, gums leading sujencion should be reinforced, because if you move the blanket quite as moving, hopefully solve the problem, otherwise it is advisable")</f>
        <v>Heats heated but rather move to my bed a little small, gums leading sujencion should be reinforced, because if you move the blanket quite as moving, hopefully solve the problem, otherwise it is advisable</v>
      </c>
    </row>
    <row r="9793">
      <c r="A9793" s="1">
        <v>1.0</v>
      </c>
      <c r="B9793" s="1" t="s">
        <v>9717</v>
      </c>
      <c r="C9793" t="str">
        <f>IFERROR(__xludf.DUMMYFUNCTION("GOOGLETRANSLATE(B9793, ""es"", ""en"")"),"Not worth for my stereo I bought the car for stereo car and do not read is incompatible")</f>
        <v>Not worth for my stereo I bought the car for stereo car and do not read is incompatible</v>
      </c>
    </row>
    <row r="9794">
      <c r="A9794" s="1">
        <v>1.0</v>
      </c>
      <c r="B9794" s="1" t="s">
        <v>9718</v>
      </c>
      <c r="C9794" t="str">
        <f>IFERROR(__xludf.DUMMYFUNCTION("GOOGLETRANSLATE(B9794, ""es"", ""en"")"),"Discolour quickly Malo")</f>
        <v>Discolour quickly Malo</v>
      </c>
    </row>
    <row r="9795">
      <c r="A9795" s="1">
        <v>4.0</v>
      </c>
      <c r="B9795" s="1" t="s">
        <v>9719</v>
      </c>
      <c r="C9795" t="str">
        <f>IFERROR(__xludf.DUMMYFUNCTION("GOOGLETRANSLATE(B9795, ""es"", ""en"")"),"Meet small colorful (for me it's important to look good) The only negative point is that it seems that ability is better than promised, it is normal watch but in this case it may be more pronounced than in other products. Recommended for its value")</f>
        <v>Meet small colorful (for me it's important to look good) The only negative point is that it seems that ability is better than promised, it is normal watch but in this case it may be more pronounced than in other products. Recommended for its value</v>
      </c>
    </row>
    <row r="9796">
      <c r="A9796" s="1">
        <v>4.0</v>
      </c>
      <c r="B9796" s="1" t="s">
        <v>9720</v>
      </c>
      <c r="C9796" t="str">
        <f>IFERROR(__xludf.DUMMYFUNCTION("GOOGLETRANSLATE(B9796, ""es"", ""en"")"),"Mango and papaya The smell is very good and friendly. 3 drops per 100ml is sufficient for making the boat yet still small duration is long. The smell lasts until the exhausted container humuficador thing with other oils is difficult to achieve. Relationsh"&amp;"ip Value recommended. The only but I put him is that I have in front of a mirror and I leave it greasy thing with other oils has not happened.")</f>
        <v>Mango and papaya The smell is very good and friendly. 3 drops per 100ml is sufficient for making the boat yet still small duration is long. The smell lasts until the exhausted container humuficador thing with other oils is difficult to achieve. Relationship Value recommended. The only but I put him is that I have in front of a mirror and I leave it greasy thing with other oils has not happened.</v>
      </c>
    </row>
    <row r="9797">
      <c r="A9797" s="1">
        <v>4.0</v>
      </c>
      <c r="B9797" s="1" t="s">
        <v>9721</v>
      </c>
      <c r="C9797" t="str">
        <f>IFERROR(__xludf.DUMMYFUNCTION("GOOGLETRANSLATE(B9797, ""es"", ""en"")"),"Very good good cables cables for pedalboard")</f>
        <v>Very good good cables cables for pedalboard</v>
      </c>
    </row>
    <row r="9798">
      <c r="A9798" s="1">
        <v>4.0</v>
      </c>
      <c r="B9798" s="1" t="s">
        <v>9722</v>
      </c>
      <c r="C9798" t="str">
        <f>IFERROR(__xludf.DUMMYFUNCTION("GOOGLETRANSLATE(B9798, ""es"", ""en"")"),"Pretty good for its price but with it not eliminate background noise Micro is well constructed and is of good quality, especially for its extra features (headphone output). But for some reason I recordings are very noisy and I can not know where the probl"&amp;"em is. I think it's the microphone itself but I'm not sure.")</f>
        <v>Pretty good for its price but with it not eliminate background noise Micro is well constructed and is of good quality, especially for its extra features (headphone output). But for some reason I recordings are very noisy and I can not know where the problem is. I think it's the microphone itself but I'm not sure.</v>
      </c>
    </row>
    <row r="9799">
      <c r="A9799" s="1">
        <v>4.0</v>
      </c>
      <c r="B9799" s="1" t="s">
        <v>9723</v>
      </c>
      <c r="C9799" t="str">
        <f>IFERROR(__xludf.DUMMYFUNCTION("GOOGLETRANSLATE(B9799, ""es"", ""en"")"),"Value chords good product for home use good for the little space used, relieving tired legs note, I recommend")</f>
        <v>Value chords good product for home use good for the little space used, relieving tired legs note, I recommend</v>
      </c>
    </row>
    <row r="9800">
      <c r="A9800" s="1">
        <v>5.0</v>
      </c>
      <c r="B9800" s="1" t="s">
        <v>9724</v>
      </c>
      <c r="C9800" t="str">
        <f>IFERROR(__xludf.DUMMYFUNCTION("GOOGLETRANSLATE(B9800, ""es"", ""en"")"),"Nice and pretty cheap plastic watch, looks good quality, perfect size is not large. What I was looking for the beach. Strongly recommended")</f>
        <v>Nice and pretty cheap plastic watch, looks good quality, perfect size is not large. What I was looking for the beach. Strongly recommended</v>
      </c>
    </row>
    <row r="9801">
      <c r="A9801" s="1">
        <v>5.0</v>
      </c>
      <c r="B9801" s="1" t="s">
        <v>9725</v>
      </c>
      <c r="C9801" t="str">
        <f>IFERROR(__xludf.DUMMYFUNCTION("GOOGLETRANSLATE(B9801, ""es"", ""en"")"),"They look Zapalillas quality high quality, perfect size for me and are comfortable to wear. Maybe I chose the color, black, is dirty but would buy whenever the price is not very high as usual.")</f>
        <v>They look Zapalillas quality high quality, perfect size for me and are comfortable to wear. Maybe I chose the color, black, is dirty but would buy whenever the price is not very high as usual.</v>
      </c>
    </row>
    <row r="9802">
      <c r="A9802" s="1">
        <v>5.0</v>
      </c>
      <c r="B9802" s="1" t="s">
        <v>9726</v>
      </c>
      <c r="C9802" t="str">
        <f>IFERROR(__xludf.DUMMYFUNCTION("GOOGLETRANSLATE(B9802, ""es"", ""en"")"),"Producto.buen headbands Good hand feel and bright colors. Recommended the product.")</f>
        <v>Producto.buen headbands Good hand feel and bright colors. Recommended the product.</v>
      </c>
    </row>
    <row r="9803">
      <c r="A9803" s="1">
        <v>5.0</v>
      </c>
      <c r="B9803" s="1" t="s">
        <v>9727</v>
      </c>
      <c r="C9803" t="str">
        <f>IFERROR(__xludf.DUMMYFUNCTION("GOOGLETRANSLATE(B9803, ""es"", ""en"")"),"Besides comfortable soft it is super soft gives the feeling of wearing socks. I recommend !!!!")</f>
        <v>Besides comfortable soft it is super soft gives the feeling of wearing socks. I recommend !!!!</v>
      </c>
    </row>
    <row r="9804">
      <c r="A9804" s="1">
        <v>5.0</v>
      </c>
      <c r="B9804" s="1" t="s">
        <v>9728</v>
      </c>
      <c r="C9804" t="str">
        <f>IFERROR(__xludf.DUMMYFUNCTION("GOOGLETRANSLATE(B9804, ""es"", ""en"")"),"Magnificent. Absolutely necessary has been a pleasure; a different way of dealing with discord in the cold winter. I have not cold all winter")</f>
        <v>Magnificent. Absolutely necessary has been a pleasure; a different way of dealing with discord in the cold winter. I have not cold all winter</v>
      </c>
    </row>
    <row r="9805">
      <c r="A9805" s="1">
        <v>5.0</v>
      </c>
      <c r="B9805" s="1" t="s">
        <v>9729</v>
      </c>
      <c r="C9805" t="str">
        <f>IFERROR(__xludf.DUMMYFUNCTION("GOOGLETRANSLATE(B9805, ""es"", ""en"")"),"Great product to enjoy with your partner is great my wife is thrilled. And I tb ...")</f>
        <v>Great product to enjoy with your partner is great my wife is thrilled. And I tb ...</v>
      </c>
    </row>
    <row r="9806">
      <c r="A9806" s="1">
        <v>5.0</v>
      </c>
      <c r="B9806" s="1" t="s">
        <v>9730</v>
      </c>
      <c r="C9806" t="str">
        <f>IFERROR(__xludf.DUMMYFUNCTION("GOOGLETRANSLATE(B9806, ""es"", ""en"")"),"Bandolier very comfortable very comfortable and functional with pockets for everything. Good quality materials.")</f>
        <v>Bandolier very comfortable very comfortable and functional with pockets for everything. Good quality materials.</v>
      </c>
    </row>
    <row r="9807">
      <c r="A9807" s="1">
        <v>5.0</v>
      </c>
      <c r="B9807" s="1" t="s">
        <v>9731</v>
      </c>
      <c r="C9807" t="str">
        <f>IFERROR(__xludf.DUMMYFUNCTION("GOOGLETRANSLATE(B9807, ""es"", ""en"")"),"Practical, cheap and good quality shipping was very quick and painless, to be a drive pen 32GB capacity is small, cheap and lightweight, ademss can take it Keychain what makes it very comfortable and so not He loses, it seemed a bargain, and will no doubt"&amp;" buy 100% recommended")</f>
        <v>Practical, cheap and good quality shipping was very quick and painless, to be a drive pen 32GB capacity is small, cheap and lightweight, ademss can take it Keychain what makes it very comfortable and so not He loses, it seemed a bargain, and will no doubt buy 100% recommended</v>
      </c>
    </row>
    <row r="9808">
      <c r="A9808" s="1">
        <v>5.0</v>
      </c>
      <c r="B9808" s="1" t="s">
        <v>9732</v>
      </c>
      <c r="C9808" t="str">
        <f>IFERROR(__xludf.DUMMYFUNCTION("GOOGLETRANSLATE(B9808, ""es"", ""en"")"),"Simple and effective I bought the product to give it to my mother who had trouble falling asleep. He is very happy since I use it because it helps you reconcile quickly. I would give it away.")</f>
        <v>Simple and effective I bought the product to give it to my mother who had trouble falling asleep. He is very happy since I use it because it helps you reconcile quickly. I would give it away.</v>
      </c>
    </row>
    <row r="9809">
      <c r="A9809" s="1">
        <v>5.0</v>
      </c>
      <c r="B9809" s="1" t="s">
        <v>9733</v>
      </c>
      <c r="C9809" t="str">
        <f>IFERROR(__xludf.DUMMYFUNCTION("GOOGLETRANSLATE(B9809, ""es"", ""en"")"),"Kris Oodji I like very much is a brand q feel good and good clidad")</f>
        <v>Kris Oodji I like very much is a brand q feel good and good clidad</v>
      </c>
    </row>
    <row r="9810">
      <c r="A9810" s="1">
        <v>5.0</v>
      </c>
      <c r="B9810" s="1" t="s">
        <v>9734</v>
      </c>
      <c r="C9810" t="str">
        <f>IFERROR(__xludf.DUMMYFUNCTION("GOOGLETRANSLATE(B9810, ""es"", ""en"")"),"Best bottle Undoubtedly the best bottles.")</f>
        <v>Best bottle Undoubtedly the best bottles.</v>
      </c>
    </row>
    <row r="9811">
      <c r="A9811" s="1">
        <v>5.0</v>
      </c>
      <c r="B9811" s="1" t="s">
        <v>9735</v>
      </c>
      <c r="C9811" t="str">
        <f>IFERROR(__xludf.DUMMYFUNCTION("GOOGLETRANSLATE(B9811, ""es"", ""en"")"),"The comfort and quality product denotes quality construction, listening well and connected quickly. The controls work well, and perfect, good load purchase")</f>
        <v>The comfort and quality product denotes quality construction, listening well and connected quickly. The controls work well, and perfect, good load purchase</v>
      </c>
    </row>
    <row r="9812">
      <c r="A9812" s="1">
        <v>5.0</v>
      </c>
      <c r="B9812" s="1" t="s">
        <v>9736</v>
      </c>
      <c r="C9812" t="str">
        <f>IFERROR(__xludf.DUMMYFUNCTION("GOOGLETRANSLATE(B9812, ""es"", ""en"")"),"Very good shoes fantastic trail, and especially good grip sole comfort and cushioning. They fit perfectly to the foot.")</f>
        <v>Very good shoes fantastic trail, and especially good grip sole comfort and cushioning. They fit perfectly to the foot.</v>
      </c>
    </row>
    <row r="9813">
      <c r="A9813" s="1">
        <v>5.0</v>
      </c>
      <c r="B9813" s="1" t="s">
        <v>9737</v>
      </c>
      <c r="C9813" t="str">
        <f>IFERROR(__xludf.DUMMYFUNCTION("GOOGLETRANSLATE(B9813, ""es"", ""en"")"),"besides beautiful is very useful The design of this watch is very beautiful and elegant. I use a Samsung mobile and truth that the timing is perfect. If it's true that sometimes connects automatically, but you give i sync all sorted (this has happened 2 t"&amp;"imes in more than 1 year). You have a lot of information and functions for the day. If you want to use especially for sports must say that the watch is fine, but the meter pulse is approximate, usually it goes well in normal pulsations and when no sweat. "&amp;"But doing intense exercise and sweating sometimes pulsations are very disparate mark, reaching 235 ppm mark. For everything else works perfect and after the last update works even better. Whatsaps can read on the screen, emails, etc ... very happy with th"&amp;"e purchase of this watch")</f>
        <v>besides beautiful is very useful The design of this watch is very beautiful and elegant. I use a Samsung mobile and truth that the timing is perfect. If it's true that sometimes connects automatically, but you give i sync all sorted (this has happened 2 times in more than 1 year). You have a lot of information and functions for the day. If you want to use especially for sports must say that the watch is fine, but the meter pulse is approximate, usually it goes well in normal pulsations and when no sweat. But doing intense exercise and sweating sometimes pulsations are very disparate mark, reaching 235 ppm mark. For everything else works perfect and after the last update works even better. Whatsaps can read on the screen, emails, etc ... very happy with the purchase of this watch</v>
      </c>
    </row>
    <row r="9814">
      <c r="A9814" s="1">
        <v>5.0</v>
      </c>
      <c r="B9814" s="1" t="s">
        <v>9738</v>
      </c>
      <c r="C9814" t="str">
        <f>IFERROR(__xludf.DUMMYFUNCTION("GOOGLETRANSLATE(B9814, ""es"", ""en"")"),"The original classic ideals converse boots. Very nice. The deadline set by the seller. This brand gives more size, in my case were two numbers less than my usual number.")</f>
        <v>The original classic ideals converse boots. Very nice. The deadline set by the seller. This brand gives more size, in my case were two numbers less than my usual number.</v>
      </c>
    </row>
    <row r="9815">
      <c r="A9815" s="1">
        <v>5.0</v>
      </c>
      <c r="B9815" s="1" t="s">
        <v>9739</v>
      </c>
      <c r="C9815" t="str">
        <f>IFERROR(__xludf.DUMMYFUNCTION("GOOGLETRANSLATE(B9815, ""es"", ""en"")"),"Comfortable headphones for sports The buy gift and the truth is that it is an ideal gift if the person is an athlete. You can pair the bluetooth (lasting about 4 or 5 hours) easily with the phone and change songs or pause them with buttons that brings bui"&amp;"lt. Its shape is well suited for head and ear supports allows easy coupling with the ears.")</f>
        <v>Comfortable headphones for sports The buy gift and the truth is that it is an ideal gift if the person is an athlete. You can pair the bluetooth (lasting about 4 or 5 hours) easily with the phone and change songs or pause them with buttons that brings built. Its shape is well suited for head and ear supports allows easy coupling with the ears.</v>
      </c>
    </row>
    <row r="9816">
      <c r="A9816" s="1">
        <v>5.0</v>
      </c>
      <c r="B9816" s="1" t="s">
        <v>9740</v>
      </c>
      <c r="C9816" t="str">
        <f>IFERROR(__xludf.DUMMYFUNCTION("GOOGLETRANSLATE(B9816, ""es"", ""en"")"),"As expected quality is excellent and the perfect fit")</f>
        <v>As expected quality is excellent and the perfect fit</v>
      </c>
    </row>
    <row r="9817">
      <c r="A9817" s="1">
        <v>5.0</v>
      </c>
      <c r="B9817" s="1" t="s">
        <v>9741</v>
      </c>
      <c r="C9817" t="str">
        <f>IFERROR(__xludf.DUMMYFUNCTION("GOOGLETRANSLATE(B9817, ""es"", ""en"")"),"Very happy are comfortable some understanding has been very good buy, super happy, I caught using 36DE pants size S, super")</f>
        <v>Very happy are comfortable some understanding has been very good buy, super happy, I caught using 36DE pants size S, super</v>
      </c>
    </row>
    <row r="9818">
      <c r="A9818" s="1">
        <v>5.0</v>
      </c>
      <c r="B9818" s="1" t="s">
        <v>9742</v>
      </c>
      <c r="C9818" t="str">
        <f>IFERROR(__xludf.DUMMYFUNCTION("GOOGLETRANSLATE(B9818, ""es"", ""en"")"),"Very cool. All perfect.")</f>
        <v>Very cool. All perfect.</v>
      </c>
    </row>
    <row r="9819">
      <c r="A9819" s="1">
        <v>2.0</v>
      </c>
      <c r="B9819" s="1" t="s">
        <v>9743</v>
      </c>
      <c r="C9819" t="str">
        <f>IFERROR(__xludf.DUMMYFUNCTION("GOOGLETRANSLATE(B9819, ""es"", ""en"")"),"Clock sent with different features which I bought the watch that I received has no blue and black spheres asked this has happened to me twice with this product")</f>
        <v>Clock sent with different features which I bought the watch that I received has no blue and black spheres asked this has happened to me twice with this product</v>
      </c>
    </row>
    <row r="9820">
      <c r="A9820" s="1">
        <v>3.0</v>
      </c>
      <c r="B9820" s="1" t="s">
        <v>9744</v>
      </c>
      <c r="C9820" t="str">
        <f>IFERROR(__xludf.DUMMYFUNCTION("GOOGLETRANSLATE(B9820, ""es"", ""en"")"),"Carve large boots itself, well, than expected, but very wide ... so I do not know if there are unisex or sizing of girls and boys ... I use 38 and these are me as if it were a number plus.")</f>
        <v>Carve large boots itself, well, than expected, but very wide ... so I do not know if there are unisex or sizing of girls and boys ... I use 38 and these are me as if it were a number plus.</v>
      </c>
    </row>
    <row r="9821">
      <c r="A9821" s="1">
        <v>3.0</v>
      </c>
      <c r="B9821" s="1" t="s">
        <v>9745</v>
      </c>
      <c r="C9821" t="str">
        <f>IFERROR(__xludf.DUMMYFUNCTION("GOOGLETRANSLATE(B9821, ""es"", ""en"")"),"Large box-box charger is giant")</f>
        <v>Large box-box charger is giant</v>
      </c>
    </row>
    <row r="9822">
      <c r="A9822" s="1">
        <v>1.0</v>
      </c>
      <c r="B9822" s="1" t="s">
        <v>9746</v>
      </c>
      <c r="C9822" t="str">
        <f>IFERROR(__xludf.DUMMYFUNCTION("GOOGLETRANSLATE(B9822, ""es"", ""en"")"),"Lousy Lousy. Recomiendo.El not stick the handle doubles ... out ... out sponge ... Nothing also recommended a waste of money")</f>
        <v>Lousy Lousy. Recomiendo.El not stick the handle doubles ... out ... out sponge ... Nothing also recommended a waste of money</v>
      </c>
    </row>
    <row r="9823">
      <c r="A9823" s="1">
        <v>1.0</v>
      </c>
      <c r="B9823" s="1" t="s">
        <v>9747</v>
      </c>
      <c r="C9823" t="str">
        <f>IFERROR(__xludf.DUMMYFUNCTION("GOOGLETRANSLATE(B9823, ""es"", ""en"")"),"Nothing serves me not")</f>
        <v>Nothing serves me not</v>
      </c>
    </row>
    <row r="9824">
      <c r="A9824" s="1">
        <v>1.0</v>
      </c>
      <c r="B9824" s="1" t="s">
        <v>9748</v>
      </c>
      <c r="C9824" t="str">
        <f>IFERROR(__xludf.DUMMYFUNCTION("GOOGLETRANSLATE(B9824, ""es"", ""en"")"),"Toy is broken in a few months by beating a cream that was hot when he says ""heat-resistant"" is broken dangerously, could have cut. Glass is not heat resistant as well have been coprobar.")</f>
        <v>Toy is broken in a few months by beating a cream that was hot when he says "heat-resistant" is broken dangerously, could have cut. Glass is not heat resistant as well have been coprobar.</v>
      </c>
    </row>
    <row r="9825">
      <c r="A9825" s="1">
        <v>4.0</v>
      </c>
      <c r="B9825" s="1" t="s">
        <v>9749</v>
      </c>
      <c r="C9825" t="str">
        <f>IFERROR(__xludf.DUMMYFUNCTION("GOOGLETRANSLATE(B9825, ""es"", ""en"")"),"Very handy and good suction. &lt;Div id = ""video-block-R2ZE7UEJEEWXAZ"" class = ""section a-a-a-spacing-small spacing-top-video mini-block""&gt; &lt;div tabindex = ""0"" class = ""airy airy-svg vmin- unsupported airy-skin-beacon ""style ="" background-color: rgb "&amp;"(0, 0, 0) position: relative; width: 100%; height: 100%; font-size: 0px; overflow: hidden; outline: none ; ""&gt; &lt;div class ="" airy-renderer-container ""style ="" position: relative; height: 100%; width: 100%; ""&gt; &lt;video id ="" 7 ""preload ="" auto ""src ="&amp;""" https: //images-eu.ssl-images-amazon.com/images/I/91h2vFgzskS.mp4 ""style ="" position: absolute; left: 0px; top: 0px; overflow: hidden; height: 1px; width: 1px; "" &gt; &lt;/ video&gt; &lt;/ div&gt; &lt;div id = ""airy-slate-preload"" style = ""background-color: rgb (0"&amp;", 0, 0); background-image: url (&amp; quot; https: // images- eu.ssl-images-amazon.com/images/I/91X-NuuxDES.png&amp;quot;); background-size: Contain; background-position: center center; background-repeat: no-repeat; position: absolute; top: 0px ; left: 0px; visib"&amp;"ility: visible; width: 100%; height: 100%; ""&gt; &lt;/ div&gt; &lt;iframe scrolling ="" no ""frameborde r = ""0"" src = ""about: blank"" style = ""display: none;""&gt; &lt;/ iframe&gt; &lt;div tabindex = ""- 1"" class = ""airy-controls-container"" style = ""opacity: 0; visibili"&amp;"ty: hidden; ""&gt; &lt;div tabindex ="" - 1 ""class ="" airy-screen-size-toggle airy-fullscreen ""&gt; &lt;/ div&gt; &lt;div tabindex ="" - 1 ""class ="" airy-container-bottom "" &gt; &lt;div tabindex = ""- 1"" class = ""airy-track-bar-spacer-left"" style = ""width: 11px;""&gt; &lt;/ "&amp;"div&gt; &lt;div tabindex = ""- 1"" class = ""airy-play- airy toggle-play ""style ="" width: 12px; margin-right: 12px; ""&gt; &lt;/ div&gt; &lt;div tabindex ="" - 1 ""class ="" airy-audio-elements ""style ="" float: right; width: 34px; ""&gt; &lt;div tabindex ="" - 1 ""class ="" "&amp;"airy-audio-toggle airy-on ""&gt; &lt;/ div&gt; &lt;div tabindex ="" - 1 ""class ="" airy-audio-container ""style = ""opacity: 0; visibility: hidden; ""&gt; &lt;div tabindex ="" - 1 ""class ="" airy-audio-track-bar ""style ="" height: 80%; ""&gt; &lt;div tabindex ="" - 1 ""class "&amp;"="" airy-audio- Scrubber-bar ""style ="" height: 85%; ""&gt; &lt;/ div&gt; &lt;div tabindex ="" - 1 ""class ="" airy-audio-scrubber ""style ="" height: 12px; bottom: 85% ""&gt; &lt;/ div&gt; &lt;/ div&gt; &lt;/ div&gt; &lt;/ div&gt; &lt;div tabindex ="" - 1 ""class ="" airy-duration-label ""style"&amp;" ="" float: right; width: 26px; margin-right: 4px; text-align: center; ""&gt; 0:11 &lt;/ div&gt; &lt;div tabindex ="" - 1 ""class ="" airy-track-bar-spacer-right ""style ="" float: right; width: 11px; ""&gt; &lt;/ div&gt; &lt;div tabindex ="" - 1 ""class ="" airy-track-bar-conta"&amp;"iner ""style ="" margin-left: 35px; margin-right: 75px; ""&gt; &lt;div tabindex ="" - 1 ""class ="" airy-airy-track-bar vertically-centering-table ""&gt; &lt;div tabindex ="" - 1 ""class ="" airy-Vertical-centering- table-cell ""&gt; &lt;div tabindex ="" - 1 ""class ="" ai"&amp;"ry-track bar-elements ""&gt; &lt;div tabindex ="" - 1 ""class ="" airy-progress bar ""style ="" width: 100%; ""&gt; &lt;/ div&gt; &lt;div tabindex ="" - 1 ""class ="" airy-scrubber-bar ""&gt; &lt;/ div&gt; &lt;div tabindex ="" - 1 ""class ="" airy-scrubber ""&gt; &lt;div tabindex ="" - 1 """&amp;"class ="" airy-scrubber-icon ""&gt; &lt;/ div&gt; &lt;div tabindex ="" - 1 ""class ="" airy-adjusted-AUI-tooltip ""style ="" opacity: 0; visibility: hidden; ""&gt; &lt;div tabindex ="" - 1 ""class ="" airy-adjusted-aui-tooltip-inner ""&gt; &lt;div tabindex ="" - 1 ""class ="" ai"&amp;"ry-current-time-label ""&gt; 0: 00 &lt;/ div&gt; &lt;/ div&gt; &lt;div tabindex = ""- 1"" class = ""airy-adjusted-AUI-arrow-border""&gt; &lt;div tabindex = ""- 1"" class = ""airy-adjusted-AUI-arrow"" &gt; &lt;/ div&gt; &lt;/ div&gt; &lt;/ div&gt; &lt;/ div&gt; &lt;/ div&gt; &lt;/ div&gt; &lt;/ div&gt; &lt;/ div&gt; &lt;/ div&gt; &lt;/ di"&amp;"v&gt; &lt;div tabindex = ""- 1"" class = ""airy-age-gate airy-stage airy-Vertical-centering-table airy-dialog"" style = ""opacity: 0; visibility: hidden; ""&gt; &lt;div tabindex ="" - 1 ""class ="" airy-age-gate-Vertical-centering-table-cell airy-Vertical-centering-t"&amp;"able-cell ""&gt; &lt;div tabindex ="" - 1 ""class = ""airy-Vertical-centering-wrapper airy-age-gate-elements-wrapper""&gt; &lt;div tabindex = ""- 1"" class = ""airy-age-gate-elements airy-dialog-elements""&gt; &lt;div tabindex = "" -1 ""class ="" airy-age-gate-prompt ""&gt; T"&amp;"his video is not Intended for all audiences What date were you born &lt;/ div&gt; &lt;div tabindex =.?"" - 1 ""class ="" airy-age-gate -inputs airy-dialog-inner-elements ""&gt; &lt;select tabindex ="" - 1 ""class ="" airy-age-gate-month ""&gt; &lt;option value ="" 1 ""&gt; Janua"&amp;"ry &lt;/ option&gt; &lt;option value ="" 2 ""&gt; February &lt;/ option&gt; &lt;option value ="" 3 ""&gt; March &lt;/ option&gt; &lt;option value ="" 4 ""&gt; April &lt;/ option&gt; &lt;option value ="" 5 ""&gt; May &lt;/ option&gt; &lt;option value = ""6""&gt; June &lt;/ option&gt; &lt;option value = ""7""&gt; July &lt;/ option"&amp;"&gt; &lt;option value = ""8""&gt; August &lt;/ option&gt; &lt;option value = ""9""&gt; September &lt;/ option&gt; &lt;option value = ""10""&gt; October &lt;/ option&gt; &lt;option value = ""11""&gt; November &lt;/ option&gt; &lt;option value = ""12""&gt; December &lt;/ option&gt; &lt;/ select&gt; &lt;select tabindex = ""- 1"""&amp;" class = ""airy-age-gate-day""&gt; &lt;opti on value = ""1""&gt; 1 &lt;/ option&gt; &lt;option value = ""2""&gt; 2 &lt;/ option&gt; &lt;option value = ""3""&gt; 3 &lt;/ option&gt; &lt;option value = ""4""&gt; 4 &lt;/ option &gt; &lt;option value = ""5""&gt; 5 &lt;/ option&gt; &lt;option value = ""6""&gt; 6 &lt;/ option&gt; &lt;opti"&amp;"on value = ""7""&gt; 7 &lt;/ option&gt; &lt;option value = ""8""&gt; 8 &lt; / option&gt; &lt;option value = ""9""&gt; 9 &lt;/ option&gt; &lt;option value = ""10""&gt; 10 &lt;/ option&gt; &lt;option value = ""11""&gt; 11 &lt;/ option&gt; &lt;option value = ""12""&gt; 12 &lt;/ option&gt; &lt;option value = ""13""&gt; 13 &lt;/ option&gt;"&amp;" &lt;option value = ""14""&gt; 14 &lt;/ option&gt; &lt;option value = ""15""&gt; 15 &lt;/ option&gt; &lt;option value = ""16 ""&gt; 16 &lt;/ option&gt; &lt;option value ="" 17 ""&gt; 17 &lt;/ option&gt; &lt;option value ="" 18 ""&gt; 18 &lt;/ option&gt; &lt;option value ="" 19 ""&gt; 19 &lt;/ option&gt; &lt;option value = ""20"""&amp;"&gt; 20 &lt;/ option&gt; &lt;option value = ""21""&gt; 21 &lt;/ option&gt; &lt;option value = ""22""&gt; 22 &lt;/ option&gt; &lt;option value = ""23""&gt; 23 &lt;/ option&gt; &lt;option value = ""24""&gt; 24 &lt;/ option&gt; &lt;option value = ""25""&gt; 25 &lt;/ option&gt; &lt;option value = ""26""&gt; 26 &lt;/ option&gt; &lt;option val"&amp;"ue = ""27""&gt; 27 &lt;/ option&gt; &lt;option value = ""28""&gt; 28 &lt;/ option&gt; &lt;option value = ""29""&gt; 29 &lt;/ option&gt; &lt;option value = ""30""&gt; 30 &lt;/ option&gt; &lt;option value = ""31""&gt; 31 &lt;/ option&gt; &lt;/ select&gt; &lt;select tabindex = ""- 1"" class = ""airy-age-gate-year""&gt; &lt;optio"&amp;"n value = ""2019""&gt; 2019 &lt;/ option&gt; &lt; option value = ""2018""&gt; 2018 &lt;/ option&gt; &lt;option value = ""2017""&gt; 2017 &lt;/ option&gt; &lt;option value = ""2016""&gt; ​​2016 &lt;/ option&gt; &lt;option value = ""2015""&gt; 2015 &lt;/ option &gt; &lt;option value = ""2014""&gt; 2014 &lt;/ option&gt; &lt;opti"&amp;"on value = ""2013""&gt; 2013 &lt;/ option&gt; &lt;option value = ""2012""&gt; 2012 &lt;/ option&gt; &lt;option value = ""2011""&gt; 2011 &lt; / option&gt; &lt;option value = ""2010""&gt; 2010 &lt;/ option&gt; &lt;option value = ""2009""&gt; 2009 &lt;/ option&gt; &lt;option value = ""2008""&gt; 2008 &lt;/ option&gt; &lt;option"&amp;" value = ""2007""&gt; 2007 &lt;/ option&gt; &lt;option value = ""2006""&gt; 2006 &lt;/ option&gt; &lt;option value = ""2005""&gt; 2005 &lt;/ option&gt; &lt;option value = ""2004""&gt; 2004 &lt;/ option&gt; &lt;option value = ""2003 ""&gt; 2003 &lt;/ option&gt; &lt;option value ="" 2002 ""&gt; 2002 &lt;/ option&gt; &lt;option "&amp;"value ="" 2001 ""&gt; 2001 &lt;/ option&gt; &lt;option value ="" 2000 ""&gt; 2000 &lt;/ option&gt; &lt;option value = ""1999""&gt; 1999 &lt;/ option&gt; &lt;option value = ""1998""&gt; 1998 &lt;/ option&gt; &lt;option value = ""1997""&gt; 1997 &lt;/ option&gt; &lt;option value = ""1996""&gt; 1996 &lt;/ option&gt; &lt;option v"&amp;"alue = ""1995""&gt; 1995 &lt;/ option&gt; &lt;option value = ""1994""&gt; 1994 &lt;/ option&gt; &lt;option value = ""1993""&gt; 1993 &lt;/ option&gt; &lt;option value = ""1992""&gt; 1992 &lt;/ option&gt; &lt;option value = ""1991""&gt; 1991 &lt;/ option&gt; &lt;option value = ""1990""&gt; 1990 &lt;/ option&gt; &lt;option valu"&amp;"e = "" 1989 ""&gt; 1989 &lt;/ option&gt; &lt;option value ="" 1988 ""&gt; 1988 &lt;/ option&gt; &lt;option value ="" 1987 ""&gt; 1987 &lt;/ option&gt; &lt;option value ="" 1986 ""&gt; 1986 &lt;/ option&gt; &lt;value option = ""1985""&gt; 1985 &lt;/ option&gt; &lt;option value = ""1984""&gt; 1984 &lt;/ option&gt; &lt;option va"&amp;"lue = ""1983""&gt; 1983 &lt;/ option&gt; &lt;option value = ""1982""&gt; 1982 &lt;/ option&gt; &lt; option value = ""1981""&gt; 1981 &lt;/ option&gt; &lt;option value = ""1980""&gt; 1980 &lt;/ option&gt; &lt;option value = ""1979""&gt; 1979 &lt;/ option&gt; &lt;option value = ""1978""&gt; 1978 &lt;/ option &gt; &lt;option val"&amp;"ue = ""1977""&gt; 1977 &lt;/ option&gt; &lt;option value = ""1976""&gt; 1976 &lt;/ option&gt; &lt;option value = ""1975""&gt; 1975 &lt;/ option&gt; &lt;option value = ""1974""&gt; 1974 &lt; / option&gt; &lt;option value = ""1973""&gt; 1973 &lt;/ option&gt; &lt;option value = ""1972""&gt; 1972 &lt;/ option&gt; &lt;option value"&amp;" = ""1971""&gt; 1971 &lt;/ option&gt; &lt;option value = ""1970""&gt; 1970 &lt;/ option&gt; &lt;option value = ""1969""&gt; 1969 &lt;/ option&gt; &lt;option value = ""1968""&gt; 1968 &lt;/ option&gt; &lt;option value = ""1967""&gt; 1967 &lt;/ option&gt; &lt;option value = ""1966 ""&gt; 1966 &lt;/ option&gt; &lt;option value ="&amp;""" 1965 ""&gt; 1965 &lt;/ option&gt; &lt;option value ="" 1964 ""&gt; 1964 &lt;/ option&gt; &lt;option value ="" 1963 ""&gt; 1963 &lt;/ option&gt; &lt;option value = ""1962""&gt; 1962 &lt;/ option&gt; &lt;option value = ""1961""&gt; 1961 &lt;/ option&gt; &lt;option value = ""1960""&gt; 1960 &lt;/ op tion&gt; &lt;option value "&amp;"= ""1959""&gt; 1959 &lt;/ option&gt; &lt;option value = ""1958""&gt; 1958 &lt;/ option&gt; &lt;option value = ""1957""&gt; 1957 &lt;/ option&gt; &lt;option value = ""1956""&gt; 1956 &lt;/ option&gt; &lt;option value = ""1955""&gt; 1955 &lt;/ option&gt; &lt;option value = ""1954""&gt; 1954 &lt;/ option&gt; &lt;option value = "&amp;"""1953""&gt; 1953 &lt;/ option&gt; &lt;option value = ""1952"" &gt; 1952 &lt;/ option&gt; &lt;option value = ""1951""&gt; 1951 &lt;/ option&gt; &lt;option value = ""1950""&gt; 1950 &lt;/ option&gt; &lt;option value = ""1949""&gt; 1949 &lt;/ option&gt; &lt;option value = "" 1948 ""&gt; 1948 &lt;/ option&gt; &lt;option value ="&amp;""" 1947 ""&gt; 1947 &lt;/ option&gt; &lt;option value ="" 1946 ""&gt; 1946 &lt;/ option&gt; &lt;option value ="" 1945 ""&gt; 1945 &lt;/ option&gt; &lt;value option = ""1944""&gt; 1944 &lt;/ option&gt; &lt;option value = ""1943""&gt; 1943 &lt;/ option&gt; &lt;option value = ""1942""&gt; 1942 &lt;/ option&gt; &lt;option value ="&amp;" ""1941""&gt; 1941 &lt;/ option&gt; &lt; option value = ""1940""&gt; 1940 &lt;/ option&gt; &lt;option value = ""1939""&gt; 1939 &lt;/ option&gt; &lt;option value = ""1938""&gt; 1938 &lt;/ option&gt; &lt;option value = ""1937""&gt; 1937 &lt;/ option &gt; &lt;option value = ""1936""&gt; 1936 &lt;/ option&gt; &lt;option value = "&amp;"""1935""&gt; 1935 &lt;/ option&gt; &lt;option value = ""1934""&gt; 1934 &lt;/ option&gt; &lt;option value = ""1933""&gt; 1933 &lt; / option&gt; &lt;option value = ""1932""&gt; 1932 &lt;/ option&gt; &lt;option value = ""1931""&gt; 1931 &lt;/ option&gt; &lt;option v alue = ""1930""&gt; 1930 &lt;/ option&gt; &lt;option value = "&amp;"""1929""&gt; 1929 &lt;/ option&gt; &lt;option value = ""1928""&gt; 1928 &lt;/ option&gt; &lt;option value = ""1927""&gt; 1927 &lt;/ option&gt; &lt;option value = ""1926""&gt; 1926 &lt;/ option&gt; &lt;option value = ""1925""&gt; 1925 &lt;/ option&gt; &lt;option value = ""1924""&gt; 1924 &lt;/ option&gt; &lt;option value = ""1"&amp;"923""&gt; 1923 &lt;/ option&gt; &lt;option value = ""1922""&gt; 1922 &lt;/ option&gt; &lt;option value = ""1921""&gt; 1921 &lt;/ option&gt; &lt;option value = ""1920""&gt; 1920 &lt;/ option&gt; &lt;option value = ""1919""&gt; 1919 &lt;/ option&gt; &lt;option value = ""1918""&gt; 1918 &lt;/ option&gt; &lt;option value = ""1917"&amp;"""&gt; 1917 &lt;/ option&gt; &lt;option value = ""1916""&gt; 1916 &lt;/ option&gt; &lt;option value = ""1915"" &gt; 1915 &lt;/ option&gt; &lt;option value = ""1914""&gt; 1914 &lt;/ option&gt; &lt;option value = ""1913""&gt; 1913 &lt;/ option&gt; &lt;option value = ""1912""&gt; 1912 &lt;/ option&gt; &lt;option value = "" 1911 "&amp;"""&gt; 1911 &lt;/ option&gt; &lt;option value ="" 1910 ""&gt; 1910 &lt;/ option&gt; &lt;option value ="" 1909 ""&gt; 1909 &lt;/ option&gt; &lt;option value ="" 1908 ""&gt; 1908 &lt;/ option&gt; &lt;value option = ""1907""&gt; 1907 &lt;/ option&gt; &lt;option value = ""1906""&gt; 1906 &lt;/ option&gt; &lt;option value = ""1905"&amp;"""&gt; 1905 &lt;/ option&gt; &lt;option value = ""1904""&gt; 1904 &lt;/ option&gt; &lt; option value = ""1903""&gt; 1903 &lt;/ option&gt; &lt;option value = ""1902""&gt; 1902 &lt;/ option&gt; &lt;option value = ""1901""&gt; 19 01 &lt;/ option&gt; &lt;option value = ""1900""&gt; 1900 &lt;/ option&gt; &lt;/ select&gt; &lt;div tabinde"&amp;"x = ""- 1"" class = ""airy-age-gate-submit airy-submit-button airy airy-submit- disabled ""&gt; Submit &lt;/ div&gt; &lt;/ div&gt; &lt;/ div&gt; &lt;/ div&gt; &lt;/ div&gt; &lt;/ div&gt; &lt;div tabindex ="" - 1 ""class ="" airy-install-flash-dialog airy-stage airy -vertical-centering-table-dialo"&amp;"g airy airy-denied ""style ="" opacity: 0; visibility: hidden; ""&gt; &lt;div tabindex ="" - 1 ""class ="" airy-install-flash-Vertical-centering-table-cell airy-Vertical-centering-table-cell ""&gt; &lt;div tabindex ="" - 1 ""class = ""airy-Vertical-centering-wrapper "&amp;"airy-install-flash-elements-wrapper""&gt; &lt;div tabindex = ""- 1"" class = ""airy-install-flash-elements airy-dialog-elements""&gt; &lt;div tabindex = "" -1 ""class ="" airy-install-flash-prompt ""&gt; Adobe Flash Player is required to watch this video &lt;/ div&gt; &lt;div ta"&amp;"bindex =."" - 1 ""class ="" airy-install-flash-button-wrapper airy -dialog-inner-elements ""&gt; &lt;div tabindex ="" - 1 ""class ="" airy-install-flash-button airy-button ""&gt; install Flash Player &lt;/ div&gt; &lt;/ div&gt; &lt;/ div&gt; &lt;/ div&gt; &lt;/ div&gt; &lt;/ div&gt; &lt;div tabindex = "&amp;"""- 1"" class = ""airy-video-unsupported-dialog airy-stage airy-Vertical-centering-table airy-dialog airy-denied"" style = ""opacity: 0; visibility: hidden; ""&gt; &lt;div tabindex ="" - 1 ""class ="" airy-video-unsupported-Vertical-centering-table-cell airy-Ve"&amp;"rtical-centering-table-cell ""&gt; &lt;div tabindex ="" - 1 ""class = ""airy-Vertical-centering-wrapper airy-video-unsupported-elements-wrapper""&gt; &lt;div tabindex = ""- 1"" class = ""airy-video-unsupported-elements airy-dialog-elements""&gt; &lt;div tabindex = "" -1 """&amp;"class ="" airy-video-unsupported-prompt ""&gt; &lt;/ div&gt; &lt;/ div&gt; &lt;/ div&gt; &lt;/ div&gt; &lt;/ div&gt; &lt;div tabindex ="" - 1 ""class ="" airy-loading- spinner-stage airy-stage ""&gt; &lt;div tabindex ="" - 1 ""class ="" airy-loading-spinner-Vertical-centering-table-cell airy-Vert"&amp;"ical-centering-table-cell ""&gt; &lt;div tabindex ="" - 1 ""class ="" airy-loading-spinner-container airy-scalable-hint-container ""&gt; &lt;div tabindex ="" - 1 ""class ="" airy-loading-spinner-dummy airy-scalable-dummy ""&gt; &lt;/ div&gt; &lt; div tabindex = ""- 1"" class = "&amp;"""airy-loading-spinner airy-hint"" style = ""visibility: hidden;""&gt; &lt;/ div&gt; &lt;/ div&gt; &lt;/ div&gt; &lt;/ div&gt; &lt;div tabindex = ""- 1 ""class ="" airy-ads-screen-size-toggle airy-screen-size-toggle-fullscreen airy ""style ="" visibility: hidden; ""&gt; &lt;/ div&gt; &lt;div tabi"&amp;"ndex = ""-1"" class = ""airy-ad-prompt-container"" style = ""visibility: hidden;""&gt; &lt;div tabindex = ""- 1"" class = ""airy-ad-prompt-Vertical-centering-table-vertically airy centering-table ""&gt; &lt;div tabindex ="" - 1 ""class ="" airy-ad-prompt-Vertical-cen"&amp;"tering-table-cell airy-Vertical-centering-table-cell ""&gt; &lt;div tabindex ="" - 1 ""class = ""airy-ad-prompt-label""&gt; &lt;/ div&gt; &lt;/ div&gt; &lt;/ div&gt; &lt;/ div&gt; &lt;div tabindex = ""- 1"" class = ""airy-ads-controls-container"" style = ""visibility: hidden; ""&gt; &lt;div tabin"&amp;"dex ="" - 1 ""class ="" airy-ads-audio-toggle airy-audio-toggle airy-on ""style ="" visibility: hidden; ""&gt; &lt;/ div&gt; &lt;div tabindex ="" - 1 ""class ="" airy-time-remaining-label-container ""&gt; &lt;div tabindex ="" - 1 ""class ="" airy-time-remaining-Vertical-ce"&amp;"ntering-table airy-Vertical-centering-table ""&gt; &lt;div tabindex = ""- 1"" class = ""airy-time-remaining-Vertical-centering-table-cell airy-Vertical-centering-table-cell""&gt; &lt;div tabindex = ""- 1"" class = ""airy-Vertical-centering-wrapper airy-time-remaining"&amp;"-label-wrapper ""&gt; &lt;div tabindex ="" - 1 ""class ="" airy-time-remaining-label ""style ="" visibility: hidden; ""&gt; &lt;/ div&gt; &lt;div tabi ndex = ""- 1"" class = ""airy-ad-skip"" style = ""visibility: hidden;""&gt; &lt;/ div&gt; &lt;div tabindex = ""- 1"" class = ""airy-ad"&amp;"-end"" style = ""visibility: hidden ""&gt; &lt;/ div&gt; &lt;/ div&gt; &lt;/ div&gt; &lt;/ div&gt; &lt;/ div&gt; &lt;div tabindex ="" - 1 ""class ="" airy-learn-more ""style ="" visibility: hidden; ""&gt; &lt;/ div&gt; &lt;/ div&gt; &lt;div tabindex = ""- 1"" class = ""airy-play-toggle-hint-stage airy-stage "&amp;"airy-cursor""&gt; &lt;div tabindex = ""- 1"" class = ""airy-play -toggle-hint-Vertical-centering-table-cell airy-Vertical-centering-table-cell airy-cursor ""&gt; &lt;div tabindex ="" - 1 ""class ="" airy-play-toggle-hint-container airy-scalable- Hint-container ""&gt; &lt;d"&amp;"iv tabindex ="" - 1 ""class ="" airy-play-toggle-hint-dummy airy-scalable-dummy ""&gt; &lt;/ div&gt; &lt;div tabindex ="" - 1 ""class ="" airy-play -toggle-hint hint airy-airy-play-hint ""style ="" opacity: 1; visibility: visible; ""&gt; &lt;/ div&gt; &lt;/ div&gt; &lt;/ div&gt; &lt;/ div&gt; "&amp;"&lt;div tabindex ="" - 1 ""class ="" airy-replay-hint-stage airy-stage ""style ="" visibility: hidden ; ""&gt; &lt;div tabindex ="" - 1 ""class ="" airy-replay-hint-Vertical-centering-table-cell airy-Vertical-centering-table-cell airy-cursor ""&gt; &lt;div tabindex ="" "&amp;"- 1 ""class = ""airy-replay-hint-container airy-scalable-hint-container""&gt; &lt;div tabindex = ""- 1"" class = ""airy-replay-hint-dummy airy-scalable-dummy""&gt; &lt;/ div&gt; &lt;div tabindex = ""- 1"" class = ""airy-replay-hint airy-hint""&gt; &lt;/ div&gt; &lt;/ div&gt; &lt;/ div&gt; &lt;/ d"&amp;"iv&gt; &lt;div tabindex = ""- 1"" class = ""airy-autoplay-hint -stage airy-stage ""style ="" visibility: hidden; ""&gt; &lt;div tabindex ="" - 1 ""class ="" airy-autoplay-hint-Vertical-centering-table-cell airy-Vertical-centering-table-cell airy- cursor ""&gt; &lt;div tabi"&amp;"ndex ="" - 1 ""class ="" autoplay airy-airy-hint-container-scalable-hint-container ""&gt; &lt;div tabindex ="" - 1 ""class ="" airy-autoplay-hint-dummy airy- scalable-dummy ""&gt; &lt;/ div&gt; &lt;/ div&gt; &lt;/ div&gt; &lt;/ div&gt; &lt;/ div&gt; &lt;/ div&gt; &lt;input type ="" hidden ""name ="" """&amp;"value ="" https: // images-eu .ssl-images-amazon.com / images / I / 91h2vFgzskS.mp4 ""Class ="" video-url ""&gt; &lt;input type ="" hidden ""name ="" ""value ="" https://images-eu.ssl-images-amazon.com/images/I/91X-NuuxDES.png ""class = ""video-slate-img-url""&gt;"&amp;" &amp; nbsp; Vacuums very practical, super manoeuvrable and with good suction being cordless battery you can use it both at home and for example for the car. The battery does not last long is the only downside I've found him.")</f>
        <v>Very handy and good suction. &lt;Div id = "video-block-R2ZE7UEJEEWXAZ" class = "section a-a-a-spacing-small spacing-top-video mini-block"&gt; &lt;div tabindex = "0" class = "airy airy-svg vmin- unsupported airy-skin-beacon "style =" background-color: rgb (0, 0, 0) position: relative; width: 100%; height: 100%; font-size: 0px; overflow: hidden; outline: none ; "&gt; &lt;div class =" airy-renderer-container "style =" position: relative; height: 100%; width: 100%; "&gt; &lt;video id =" 7 "preload =" auto "src =" https: //images-eu.ssl-images-amazon.com/images/I/91h2vFgzskS.mp4 "style =" position: absolute; left: 0px; top: 0px; overflow: hidden; height: 1px; width: 1px; " &gt; &lt;/ video&gt; &lt;/ div&gt; &lt;div id = "airy-slate-preload" style = "background-color: rgb (0, 0, 0); background-image: url (&amp; quot; https: // images- eu.ssl-images-amazon.com/images/I/91X-NuuxDES.png&amp;quot;); background-size: Contain; background-position: center center; background-repeat: no-repeat; position: absolute; top: 0px ; left: 0px; visibility: visible; width: 100%; height: 100%; "&gt; &lt;/ div&gt; &lt;iframe scrolling =" no "frameborde 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0:11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 bar-elements "&gt; &lt;div tabindex =" - 1 "class =" airy-progress bar "style =" width: 100%;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91h2vFgzskS.mp4 "Class =" video-url "&gt; &lt;input type =" hidden "name =" "value =" https://images-eu.ssl-images-amazon.com/images/I/91X-NuuxDES.png "class = "video-slate-img-url"&gt; &amp; nbsp; Vacuums very practical, super manoeuvrable and with good suction being cordless battery you can use it both at home and for example for the car. The battery does not last long is the only downside I've found him.</v>
      </c>
    </row>
    <row r="9826">
      <c r="A9826" s="1">
        <v>4.0</v>
      </c>
      <c r="B9826" s="1" t="s">
        <v>9750</v>
      </c>
      <c r="C9826" t="str">
        <f>IFERROR(__xludf.DUMMYFUNCTION("GOOGLETRANSLATE(B9826, ""es"", ""en"")"),"Everything was perfect for a birthday. The clock works perfectly, the needles are without major problems and design in line with expectations")</f>
        <v>Everything was perfect for a birthday. The clock works perfectly, the needles are without major problems and design in line with expectations</v>
      </c>
    </row>
    <row r="9827">
      <c r="A9827" s="1">
        <v>4.0</v>
      </c>
      <c r="B9827" s="1" t="s">
        <v>9751</v>
      </c>
      <c r="C9827" t="str">
        <f>IFERROR(__xludf.DUMMYFUNCTION("GOOGLETRANSLATE(B9827, ""es"", ""en"")"),"Ideal to move 89 € in June 2014 Good transfer rate and quality finish as always with Lacie. The only downside is the price, worth twice 1TB hard drive than any ""normal"".")</f>
        <v>Ideal to move 89 € in June 2014 Good transfer rate and quality finish as always with Lacie. The only downside is the price, worth twice 1TB hard drive than any "normal".</v>
      </c>
    </row>
    <row r="9828">
      <c r="A9828" s="1">
        <v>4.0</v>
      </c>
      <c r="B9828" s="1" t="s">
        <v>9752</v>
      </c>
      <c r="C9828" t="str">
        <f>IFERROR(__xludf.DUMMYFUNCTION("GOOGLETRANSLATE(B9828, ""es"", ""en"")"),"Quedo slippers small, but very cool")</f>
        <v>Quedo slippers small, but very cool</v>
      </c>
    </row>
    <row r="9829">
      <c r="A9829" s="1">
        <v>5.0</v>
      </c>
      <c r="B9829" s="1" t="s">
        <v>9753</v>
      </c>
      <c r="C9829" t="str">
        <f>IFERROR(__xludf.DUMMYFUNCTION("GOOGLETRANSLATE(B9829, ""es"", ""en"")"),"What's very compact size, the cargo box is small, fits in the palm of your hand, and go jogging enter the small pocket of the shorts. The battery lasts several days, my one week usandoles almost daily. very good sound quality.")</f>
        <v>What's very compact size, the cargo box is small, fits in the palm of your hand, and go jogging enter the small pocket of the shorts. The battery lasts several days, my one week usandoles almost daily. very good sound quality.</v>
      </c>
    </row>
    <row r="9830">
      <c r="A9830" s="1">
        <v>5.0</v>
      </c>
      <c r="B9830" s="1" t="s">
        <v>9754</v>
      </c>
      <c r="C9830" t="str">
        <f>IFERROR(__xludf.DUMMYFUNCTION("GOOGLETRANSLATE(B9830, ""es"", ""en"")"),"Brand premium product at a good price. El.día perfect for a day, very comfortable.")</f>
        <v>Brand premium product at a good price. El.día perfect for a day, very comfortable.</v>
      </c>
    </row>
    <row r="9831">
      <c r="A9831" s="1">
        <v>5.0</v>
      </c>
      <c r="B9831" s="1" t="s">
        <v>9755</v>
      </c>
      <c r="C9831" t="str">
        <f>IFERROR(__xludf.DUMMYFUNCTION("GOOGLETRANSLATE(B9831, ""es"", ""en"")"),"Satisfying Very happy with them .. they have arrived in 10 days, comfortable, lightweight and good quality / price. The size is the same you use in your everyday life! If you want a criticism I say that I thought were more breathable but anyway .. 8hs cov"&amp;"er my day without problem 👌🏽 The'll buy!")</f>
        <v>Satisfying Very happy with them .. they have arrived in 10 days, comfortable, lightweight and good quality / price. The size is the same you use in your everyday life! If you want a criticism I say that I thought were more breathable but anyway .. 8hs cover my day without problem 👌🏽 The'll buy!</v>
      </c>
    </row>
    <row r="9832">
      <c r="A9832" s="1">
        <v>5.0</v>
      </c>
      <c r="B9832" s="1" t="s">
        <v>9756</v>
      </c>
      <c r="C9832" t="str">
        <f>IFERROR(__xludf.DUMMYFUNCTION("GOOGLETRANSLATE(B9832, ""es"", ""en"")"),"The perfect lifetime.")</f>
        <v>The perfect lifetime.</v>
      </c>
    </row>
    <row r="9833">
      <c r="A9833" s="1">
        <v>5.0</v>
      </c>
      <c r="B9833" s="1" t="s">
        <v>9757</v>
      </c>
      <c r="C9833" t="str">
        <f>IFERROR(__xludf.DUMMYFUNCTION("GOOGLETRANSLATE(B9833, ""es"", ""en"")"),"Quality and very good price Looking for price and quantity, and found these very good result, I've worn and washed some, and all good, no problems.")</f>
        <v>Quality and very good price Looking for price and quantity, and found these very good result, I've worn and washed some, and all good, no problems.</v>
      </c>
    </row>
    <row r="9834">
      <c r="A9834" s="1">
        <v>5.0</v>
      </c>
      <c r="B9834" s="1" t="s">
        <v>9758</v>
      </c>
      <c r="C9834" t="str">
        <f>IFERROR(__xludf.DUMMYFUNCTION("GOOGLETRANSLATE(B9834, ""es"", ""en"")"),"GOOD QUALITY My niece is delighted, still he has them and says he HEAR FENOMENAL")</f>
        <v>GOOD QUALITY My niece is delighted, still he has them and says he HEAR FENOMENAL</v>
      </c>
    </row>
    <row r="9835">
      <c r="A9835" s="1">
        <v>5.0</v>
      </c>
      <c r="B9835" s="1" t="s">
        <v>9759</v>
      </c>
      <c r="C9835" t="str">
        <f>IFERROR(__xludf.DUMMYFUNCTION("GOOGLETRANSLATE(B9835, ""es"", ""en"")"),"Cool quickly")</f>
        <v>Cool quickly</v>
      </c>
    </row>
    <row r="9836">
      <c r="A9836" s="1">
        <v>5.0</v>
      </c>
      <c r="B9836" s="1" t="s">
        <v>9760</v>
      </c>
      <c r="C9836" t="str">
        <f>IFERROR(__xludf.DUMMYFUNCTION("GOOGLETRANSLATE(B9836, ""es"", ""en"")"),"The perfect product very well, but it is a small size, use 45 and I had to perdir 46")</f>
        <v>The perfect product very well, but it is a small size, use 45 and I had to perdir 46</v>
      </c>
    </row>
    <row r="9837">
      <c r="A9837" s="1">
        <v>5.0</v>
      </c>
      <c r="B9837" s="1" t="s">
        <v>9761</v>
      </c>
      <c r="C9837" t="str">
        <f>IFERROR(__xludf.DUMMYFUNCTION("GOOGLETRANSLATE(B9837, ""es"", ""en"")"),"I needed a perfect watch for day to day. Since I do not take it off the wrist, work, play sports, for all is ideal, weighs very little and fits great on the wrist, it's like wearing nothing since. Recommendable!")</f>
        <v>I needed a perfect watch for day to day. Since I do not take it off the wrist, work, play sports, for all is ideal, weighs very little and fits great on the wrist, it's like wearing nothing since. Recommendable!</v>
      </c>
    </row>
    <row r="9838">
      <c r="A9838" s="1">
        <v>5.0</v>
      </c>
      <c r="B9838" s="1" t="s">
        <v>9762</v>
      </c>
      <c r="C9838" t="str">
        <f>IFERROR(__xludf.DUMMYFUNCTION("GOOGLETRANSLATE(B9838, ""es"", ""en"")"),"Good product. / Exceptional value. The carcassa is metal, heavy. It perfect for what we wanted it.")</f>
        <v>Good product. / Exceptional value. The carcassa is metal, heavy. It perfect for what we wanted it.</v>
      </c>
    </row>
    <row r="9839">
      <c r="A9839" s="1">
        <v>5.0</v>
      </c>
      <c r="B9839" s="1" t="s">
        <v>9763</v>
      </c>
      <c r="C9839" t="str">
        <f>IFERROR(__xludf.DUMMYFUNCTION("GOOGLETRANSLATE(B9839, ""es"", ""en"")"),"great sound quality without annoying spurious Good quality materials, presented in a box with all accessories, it is very easy to connect and with a great clean sound through the fabric screen. I've used it to record videos and is fantastic. Highly recomm"&amp;"ended also by the support.")</f>
        <v>great sound quality without annoying spurious Good quality materials, presented in a box with all accessories, it is very easy to connect and with a great clean sound through the fabric screen. I've used it to record videos and is fantastic. Highly recommended also by the support.</v>
      </c>
    </row>
    <row r="9840">
      <c r="A9840" s="1">
        <v>5.0</v>
      </c>
      <c r="B9840" s="1" t="s">
        <v>9764</v>
      </c>
      <c r="C9840" t="str">
        <f>IFERROR(__xludf.DUMMYFUNCTION("GOOGLETRANSLATE(B9840, ""es"", ""en"")"),"Perfect quality / price I decided to buy an SUV watch for everyday use. A colorful clock, right size, perfectly fulfills its mission. Rotating dial, weekdays in Castilian and calendar. CASIO precision and quality, just to name the brand that is synonymous"&amp;" with guarantees. Very pleased, recommended.")</f>
        <v>Perfect quality / price I decided to buy an SUV watch for everyday use. A colorful clock, right size, perfectly fulfills its mission. Rotating dial, weekdays in Castilian and calendar. CASIO precision and quality, just to name the brand that is synonymous with guarantees. Very pleased, recommended.</v>
      </c>
    </row>
    <row r="9841">
      <c r="A9841" s="1">
        <v>5.0</v>
      </c>
      <c r="B9841" s="1" t="s">
        <v>9765</v>
      </c>
      <c r="C9841" t="str">
        <f>IFERROR(__xludf.DUMMYFUNCTION("GOOGLETRANSLATE(B9841, ""es"", ""en"")"),"100% satisfied. perfect product, fulfills its function swimmingly 100% satisfied and also is official Sony product for more confidence and guarantee. It is protected in an anti-static bag to avoid data corruption problems.")</f>
        <v>100% satisfied. perfect product, fulfills its function swimmingly 100% satisfied and also is official Sony product for more confidence and guarantee. It is protected in an anti-static bag to avoid data corruption problems.</v>
      </c>
    </row>
    <row r="9842">
      <c r="A9842" s="1">
        <v>5.0</v>
      </c>
      <c r="B9842" s="1" t="s">
        <v>9766</v>
      </c>
      <c r="C9842" t="str">
        <f>IFERROR(__xludf.DUMMYFUNCTION("GOOGLETRANSLATE(B9842, ""es"", ""en"")"),"Perfect Very good product. Good quality and meets.")</f>
        <v>Perfect Very good product. Good quality and meets.</v>
      </c>
    </row>
    <row r="9843">
      <c r="A9843" s="1">
        <v>5.0</v>
      </c>
      <c r="B9843" s="1" t="s">
        <v>9767</v>
      </c>
      <c r="C9843" t="str">
        <f>IFERROR(__xludf.DUMMYFUNCTION("GOOGLETRANSLATE(B9843, ""es"", ""en"")"),"Good quality pants are good quality, comfortable and remains as it looks in the picture, but I think the sizing is small because spending a size 38 and ordered a size 40, telling the views said they were small and I are perfect . Moreover ideals.")</f>
        <v>Good quality pants are good quality, comfortable and remains as it looks in the picture, but I think the sizing is small because spending a size 38 and ordered a size 40, telling the views said they were small and I are perfect . Moreover ideals.</v>
      </c>
    </row>
    <row r="9844">
      <c r="A9844" s="1">
        <v>5.0</v>
      </c>
      <c r="B9844" s="1" t="s">
        <v>9768</v>
      </c>
      <c r="C9844" t="str">
        <f>IFERROR(__xludf.DUMMYFUNCTION("GOOGLETRANSLATE(B9844, ""es"", ""en"")"),"Sound and comfort are perfect, they come with a box to store them")</f>
        <v>Sound and comfort are perfect, they come with a box to store them</v>
      </c>
    </row>
    <row r="9845">
      <c r="A9845" s="1">
        <v>5.0</v>
      </c>
      <c r="B9845" s="1" t="s">
        <v>9769</v>
      </c>
      <c r="C9845" t="str">
        <f>IFERROR(__xludf.DUMMYFUNCTION("GOOGLETRANSLATE(B9845, ""es"", ""en"")"),"Very good presence cloths very good presence and quality are")</f>
        <v>Very good presence cloths very good presence and quality are</v>
      </c>
    </row>
    <row r="9846">
      <c r="A9846" s="1">
        <v>5.0</v>
      </c>
      <c r="B9846" s="1" t="s">
        <v>9770</v>
      </c>
      <c r="C9846" t="str">
        <f>IFERROR(__xludf.DUMMYFUNCTION("GOOGLETRANSLATE(B9846, ""es"", ""en"")"),"Skx007k2 After spending a few weeks using it can say it's good watch, accurate, comfortable, good classic and more for the money you have.")</f>
        <v>Skx007k2 After spending a few weeks using it can say it's good watch, accurate, comfortable, good classic and more for the money you have.</v>
      </c>
    </row>
    <row r="9847">
      <c r="A9847" s="1">
        <v>2.0</v>
      </c>
      <c r="B9847" s="1" t="s">
        <v>9771</v>
      </c>
      <c r="C9847" t="str">
        <f>IFERROR(__xludf.DUMMYFUNCTION("GOOGLETRANSLATE(B9847, ""es"", ""en"")"),"Weight does not support bought to hang a basket of toys, which are placed in the bath to drain the children's toys. The brand is well recognized and weight to bear was short. I wanted to move, and to unstick ruined the tapes originally brought. I bought t"&amp;"his because it indicates that supports up to 10kg weight per 10cm tape; the support carries four tapes 10cm (enteoría material weight 40kg). I thoroughly clean the surface, hit, did pressure and left a full day ""drying"" glue to grab good. The basket doe"&amp;"s not reach the kilo of weight, at 20 min of hang hear a knock on the bathroom and had fallen ... I changed the tapes and repatí the process, with the same results. The remaining tape I used to work for stationery that works very well, however the film ha"&amp;"s a certain thickness so for stationery is not the most appropriate. I would not buy.")</f>
        <v>Weight does not support bought to hang a basket of toys, which are placed in the bath to drain the children's toys. The brand is well recognized and weight to bear was short. I wanted to move, and to unstick ruined the tapes originally brought. I bought this because it indicates that supports up to 10kg weight per 10cm tape; the support carries four tapes 10cm (enteoría material weight 40kg). I thoroughly clean the surface, hit, did pressure and left a full day "drying" glue to grab good. The basket does not reach the kilo of weight, at 20 min of hang hear a knock on the bathroom and had fallen ... I changed the tapes and repatí the process, with the same results. The remaining tape I used to work for stationery that works very well, however the film has a certain thickness so for stationery is not the most appropriate. I would not buy.</v>
      </c>
    </row>
    <row r="9848">
      <c r="A9848" s="1">
        <v>3.0</v>
      </c>
      <c r="B9848" s="1" t="s">
        <v>9772</v>
      </c>
      <c r="C9848" t="str">
        <f>IFERROR(__xludf.DUMMYFUNCTION("GOOGLETRANSLATE(B9848, ""es"", ""en"")"),"Good shoulder comfortable with good capacity, enters easily a laptop up to 13 ""have room for some other things. The zippered pockets are accessible and practical. Unlike other shoulder bags, belt is long enough to carry it crossed, without being short if"&amp;" you are a tall person. it is a well finished product, and has nothing to envy to more expensive products. Perhaps the only downside is the brand stamped on inside lining.")</f>
        <v>Good shoulder comfortable with good capacity, enters easily a laptop up to 13 "have room for some other things. The zippered pockets are accessible and practical. Unlike other shoulder bags, belt is long enough to carry it crossed, without being short if you are a tall person. it is a well finished product, and has nothing to envy to more expensive products. Perhaps the only downside is the brand stamped on inside lining.</v>
      </c>
    </row>
    <row r="9849">
      <c r="A9849" s="1">
        <v>3.0</v>
      </c>
      <c r="B9849" s="1" t="s">
        <v>9773</v>
      </c>
      <c r="C9849" t="str">
        <f>IFERROR(__xludf.DUMMYFUNCTION("GOOGLETRANSLATE(B9849, ""es"", ""en"")"),"I're fine right touches a bit on the instep but it sure because I have very pronounced")</f>
        <v>I're fine right touches a bit on the instep but it sure because I have very pronounced</v>
      </c>
    </row>
    <row r="9850">
      <c r="A9850" s="1">
        <v>1.0</v>
      </c>
      <c r="B9850" s="1" t="s">
        <v>9774</v>
      </c>
      <c r="C9850" t="str">
        <f>IFERROR(__xludf.DUMMYFUNCTION("GOOGLETRANSLATE(B9850, ""es"", ""en"")"),"Poor quality cheap Chinese copies that when you have in your hand you wonder why you waited so rather than buy them from the Senegalese corner below")</f>
        <v>Poor quality cheap Chinese copies that when you have in your hand you wonder why you waited so rather than buy them from the Senegalese corner below</v>
      </c>
    </row>
    <row r="9851">
      <c r="A9851" s="1">
        <v>1.0</v>
      </c>
      <c r="B9851" s="1" t="s">
        <v>9775</v>
      </c>
      <c r="C9851" t="str">
        <f>IFERROR(__xludf.DUMMYFUNCTION("GOOGLETRANSLATE(B9851, ""es"", ""en"")"),"Coat botched sell it as a coat, but it really is like a short, loose jacket plus much fluff.")</f>
        <v>Coat botched sell it as a coat, but it really is like a short, loose jacket plus much fluff.</v>
      </c>
    </row>
    <row r="9852">
      <c r="A9852" s="1">
        <v>4.0</v>
      </c>
      <c r="B9852" s="1" t="s">
        <v>9776</v>
      </c>
      <c r="C9852" t="str">
        <f>IFERROR(__xludf.DUMMYFUNCTION("GOOGLETRANSLATE(B9852, ""es"", ""en"")"),"You have to order 1 small size and 1/2 more.")</f>
        <v>You have to order 1 small size and 1/2 more.</v>
      </c>
    </row>
    <row r="9853">
      <c r="A9853" s="1">
        <v>4.0</v>
      </c>
      <c r="B9853" s="1" t="s">
        <v>9777</v>
      </c>
      <c r="C9853" t="str">
        <f>IFERROR(__xludf.DUMMYFUNCTION("GOOGLETRANSLATE(B9853, ""es"", ""en"")"),"GOOD GOOD APPLIANCE APPLIANCE but I was wrong should buy one CORDLESS are more comfortable")</f>
        <v>GOOD GOOD APPLIANCE APPLIANCE but I was wrong should buy one CORDLESS are more comfortable</v>
      </c>
    </row>
    <row r="9854">
      <c r="A9854" s="1">
        <v>4.0</v>
      </c>
      <c r="B9854" s="1" t="s">
        <v>9778</v>
      </c>
      <c r="C9854" t="str">
        <f>IFERROR(__xludf.DUMMYFUNCTION("GOOGLETRANSLATE(B9854, ""es"", ""en"")"),"It meets the expectations complies with its mandate, is a 4-star money.")</f>
        <v>It meets the expectations complies with its mandate, is a 4-star money.</v>
      </c>
    </row>
    <row r="9855">
      <c r="A9855" s="1">
        <v>4.0</v>
      </c>
      <c r="B9855" s="1" t="s">
        <v>9779</v>
      </c>
      <c r="C9855" t="str">
        <f>IFERROR(__xludf.DUMMYFUNCTION("GOOGLETRANSLATE(B9855, ""es"", ""en"")"),"Quality / price / brand Unsurpassed quality / price / brand. Headphones sound good general and intermediate quality can not ask much for the price they have. Ideal for everyday and for all trot, if we want more quality sound must level up and spend at the"&amp;" least 30 euros.")</f>
        <v>Quality / price / brand Unsurpassed quality / price / brand. Headphones sound good general and intermediate quality can not ask much for the price they have. Ideal for everyday and for all trot, if we want more quality sound must level up and spend at the least 30 euros.</v>
      </c>
    </row>
    <row r="9856">
      <c r="A9856" s="1">
        <v>4.0</v>
      </c>
      <c r="B9856" s="1" t="s">
        <v>9780</v>
      </c>
      <c r="C9856" t="str">
        <f>IFERROR(__xludf.DUMMYFUNCTION("GOOGLETRANSLATE(B9856, ""es"", ""en"")"),"Ideal for sport because I bought them all headphones I fall, especially when you do sport. The setting is enough to listen quality music, but does not isolate much as others, but in my case is not good because it's a matter of not knowing what's going on "&amp;"in your environment, it can be dangerous. perfectly withstands sweat and I assure you sweat a lot. very light weight and cable is slippery enough so you will not stick to the skin and pulls you. I recommend it.")</f>
        <v>Ideal for sport because I bought them all headphones I fall, especially when you do sport. The setting is enough to listen quality music, but does not isolate much as others, but in my case is not good because it's a matter of not knowing what's going on in your environment, it can be dangerous. perfectly withstands sweat and I assure you sweat a lot. very light weight and cable is slippery enough so you will not stick to the skin and pulls you. I recommend it.</v>
      </c>
    </row>
    <row r="9857">
      <c r="A9857" s="1">
        <v>5.0</v>
      </c>
      <c r="B9857" s="1" t="s">
        <v>9781</v>
      </c>
      <c r="C9857" t="str">
        <f>IFERROR(__xludf.DUMMYFUNCTION("GOOGLETRANSLATE(B9857, ""es"", ""en"")"),"Very good carving which usually use, cool tracksuit pants with a twist ankles tight. Good fabric, very beautiful color is between mustard and brown.")</f>
        <v>Very good carving which usually use, cool tracksuit pants with a twist ankles tight. Good fabric, very beautiful color is between mustard and brown.</v>
      </c>
    </row>
    <row r="9858">
      <c r="A9858" s="1">
        <v>5.0</v>
      </c>
      <c r="B9858" s="1" t="s">
        <v>9782</v>
      </c>
      <c r="C9858" t="str">
        <f>IFERROR(__xludf.DUMMYFUNCTION("GOOGLETRANSLATE(B9858, ""es"", ""en"")"),"Magic is magical oil leaves skin hydrated and healthy renewed skin from the first application you wake up with another face, plumps up the skin. But I've dropped the boat the first week 😭😭😭 and spilled half the pot. I come back to buy now")</f>
        <v>Magic is magical oil leaves skin hydrated and healthy renewed skin from the first application you wake up with another face, plumps up the skin. But I've dropped the boat the first week 😭😭😭 and spilled half the pot. I come back to buy now</v>
      </c>
    </row>
    <row r="9859">
      <c r="A9859" s="1">
        <v>5.0</v>
      </c>
      <c r="B9859" s="1" t="s">
        <v>9783</v>
      </c>
      <c r="C9859" t="str">
        <f>IFERROR(__xludf.DUMMYFUNCTION("GOOGLETRANSLATE(B9859, ""es"", ""en"")"),"Value very good good quality and no noise.")</f>
        <v>Value very good good quality and no noise.</v>
      </c>
    </row>
    <row r="9860">
      <c r="A9860" s="1">
        <v>5.0</v>
      </c>
      <c r="B9860" s="1" t="s">
        <v>9784</v>
      </c>
      <c r="C9860" t="str">
        <f>IFERROR(__xludf.DUMMYFUNCTION("GOOGLETRANSLATE(B9860, ""es"", ""en"")"),". Good quality")</f>
        <v>. Good quality</v>
      </c>
    </row>
    <row r="9861">
      <c r="A9861" s="1">
        <v>5.0</v>
      </c>
      <c r="B9861" s="1" t="s">
        <v>9785</v>
      </c>
      <c r="C9861" t="str">
        <f>IFERROR(__xludf.DUMMYFUNCTION("GOOGLETRANSLATE(B9861, ""es"", ""en"")"),"shoe perfect in every way")</f>
        <v>shoe perfect in every way</v>
      </c>
    </row>
    <row r="9862">
      <c r="A9862" s="1">
        <v>5.0</v>
      </c>
      <c r="B9862" s="1" t="s">
        <v>9786</v>
      </c>
      <c r="C9862" t="str">
        <f>IFERROR(__xludf.DUMMYFUNCTION("GOOGLETRANSLATE(B9862, ""es"", ""en"")"),"Very happy is very well")</f>
        <v>Very happy is very well</v>
      </c>
    </row>
    <row r="9863">
      <c r="A9863" s="1">
        <v>5.0</v>
      </c>
      <c r="B9863" s="1" t="s">
        <v>9787</v>
      </c>
      <c r="C9863" t="str">
        <f>IFERROR(__xludf.DUMMYFUNCTION("GOOGLETRANSLATE(B9863, ""es"", ""en"")"),"Good value and duration of the battery I have loved these headphones. They are comfy and have a very stylish design. I bought the white and has the details silver. They load very fast and the sound quality is spectacular. Highlight their serious incredibl"&amp;"e.")</f>
        <v>Good value and duration of the battery I have loved these headphones. They are comfy and have a very stylish design. I bought the white and has the details silver. They load very fast and the sound quality is spectacular. Highlight their serious incredible.</v>
      </c>
    </row>
    <row r="9864">
      <c r="A9864" s="1">
        <v>5.0</v>
      </c>
      <c r="B9864" s="1" t="s">
        <v>9788</v>
      </c>
      <c r="C9864" t="str">
        <f>IFERROR(__xludf.DUMMYFUNCTION("GOOGLETRANSLATE(B9864, ""es"", ""en"")"),"I was surprised how large the disc is only for backups, so it delivers what it promises is space. Otherwise, it's pretty fast, and the finish is elegant. I asked in blue and I brought in black, but hey, to make backups gives me a little alike. What has su"&amp;"rprised me is the size / capacity. Increiblemte is small. It almost seems lie that has 5TB inside. I got to the side of the router that is managed backups, and not needing food, impart to the cabinet where I have is minimal. I love :)")</f>
        <v>I was surprised how large the disc is only for backups, so it delivers what it promises is space. Otherwise, it's pretty fast, and the finish is elegant. I asked in blue and I brought in black, but hey, to make backups gives me a little alike. What has surprised me is the size / capacity. Increiblemte is small. It almost seems lie that has 5TB inside. I got to the side of the router that is managed backups, and not needing food, impart to the cabinet where I have is minimal. I love :)</v>
      </c>
    </row>
    <row r="9865">
      <c r="A9865" s="1">
        <v>5.0</v>
      </c>
      <c r="B9865" s="1" t="s">
        <v>9789</v>
      </c>
      <c r="C9865" t="str">
        <f>IFERROR(__xludf.DUMMYFUNCTION("GOOGLETRANSLATE(B9865, ""es"", ""en"")"),"Great for the fair")</f>
        <v>Great for the fair</v>
      </c>
    </row>
    <row r="9866">
      <c r="A9866" s="1">
        <v>5.0</v>
      </c>
      <c r="B9866" s="1" t="s">
        <v>9790</v>
      </c>
      <c r="C9866" t="str">
        <f>IFERROR(__xludf.DUMMYFUNCTION("GOOGLETRANSLATE(B9866, ""es"", ""en"")"),"FANTASTICO QUEDABMUY BONITAS")</f>
        <v>FANTASTICO QUEDABMUY BONITAS</v>
      </c>
    </row>
    <row r="9867">
      <c r="A9867" s="1">
        <v>5.0</v>
      </c>
      <c r="B9867" s="1" t="s">
        <v>9791</v>
      </c>
      <c r="C9867" t="str">
        <f>IFERROR(__xludf.DUMMYFUNCTION("GOOGLETRANSLATE(B9867, ""es"", ""en"")"),"Practical and effective &lt;div id = ""video-block-R2QC3SFDXT1LC5"" class = ""a-section a-spacing-small a-spacing-top mini video-block""&gt; &lt;/ div&gt; &lt;input type = ""hidden"" name = """" value = ""https://images-eu.ssl-images-amazon.com/images/I/B1f1d3GtSQS.mp4"&amp;""" class = ""video-url""&gt; &lt;input type = ""hidden"" name = """" value = ""https://images-eu.ssl-images-amazon.com/images/I/717OLx4WcQS.png"" class = ""video-slate-img-url""&gt; &amp; nbsp; Great for back pain, neck or areas loaded. Not to overdo use since the fir"&amp;"st time I used it I liked it so much that I spent more than an hour to put on the neck and the next day it was quite sore from overuse. It is very easy to use because you can handle it with both arms and put it in the area that interests you. The two inte"&amp;"nsities of speed and action help heat fuller use. Very good buy.")</f>
        <v>Practical and effective &lt;div id = "video-block-R2QC3SFDXT1LC5" class = "a-section a-spacing-small a-spacing-top mini video-block"&gt; &lt;/ div&gt; &lt;input type = "hidden" name = "" value = "https://images-eu.ssl-images-amazon.com/images/I/B1f1d3GtSQS.mp4" class = "video-url"&gt; &lt;input type = "hidden" name = "" value = "https://images-eu.ssl-images-amazon.com/images/I/717OLx4WcQS.png" class = "video-slate-img-url"&gt; &amp; nbsp; Great for back pain, neck or areas loaded. Not to overdo use since the first time I used it I liked it so much that I spent more than an hour to put on the neck and the next day it was quite sore from overuse. It is very easy to use because you can handle it with both arms and put it in the area that interests you. The two intensities of speed and action help heat fuller use. Very good buy.</v>
      </c>
    </row>
    <row r="9868">
      <c r="A9868" s="1">
        <v>5.0</v>
      </c>
      <c r="B9868" s="1" t="s">
        <v>9792</v>
      </c>
      <c r="C9868" t="str">
        <f>IFERROR(__xludf.DUMMYFUNCTION("GOOGLETRANSLATE(B9868, ""es"", ""en"")"),"Good quality good quality.")</f>
        <v>Good quality good quality.</v>
      </c>
    </row>
    <row r="9869">
      <c r="A9869" s="1">
        <v>5.0</v>
      </c>
      <c r="B9869" s="1" t="s">
        <v>9793</v>
      </c>
      <c r="C9869" t="str">
        <f>IFERROR(__xludf.DUMMYFUNCTION("GOOGLETRANSLATE(B9869, ""es"", ""en"")"),"Beautiful, elegant and striking A watch really beautiful, golden sphere, very elegant and colorful, as shown in the photos. Is a watch of great quality and elegance, we had to adjust a little steel belt because it was very large, but was simple and we hav"&amp;"e done at home right away because it comes bundled adapter straps. It was a perfect gift for my father who has been welcomed. Roman numerals in gold. Cuarda must be given to not stop. Very comfortable no need to change battery .. you never have come in th"&amp;"e box with instruction manual")</f>
        <v>Beautiful, elegant and striking A watch really beautiful, golden sphere, very elegant and colorful, as shown in the photos. Is a watch of great quality and elegance, we had to adjust a little steel belt because it was very large, but was simple and we have done at home right away because it comes bundled adapter straps. It was a perfect gift for my father who has been welcomed. Roman numerals in gold. Cuarda must be given to not stop. Very comfortable no need to change battery .. you never have come in the box with instruction manual</v>
      </c>
    </row>
    <row r="9870">
      <c r="A9870" s="1">
        <v>5.0</v>
      </c>
      <c r="B9870" s="1" t="s">
        <v>9794</v>
      </c>
      <c r="C9870" t="str">
        <f>IFERROR(__xludf.DUMMYFUNCTION("GOOGLETRANSLATE(B9870, ""es"", ""en"")"),"It is a very comfortable product Very comfortable, if you suffer from foot pain, recommended")</f>
        <v>It is a very comfortable product Very comfortable, if you suffer from foot pain, recommended</v>
      </c>
    </row>
    <row r="9871">
      <c r="A9871" s="1">
        <v>5.0</v>
      </c>
      <c r="B9871" s="1" t="s">
        <v>9795</v>
      </c>
      <c r="C9871" t="str">
        <f>IFERROR(__xludf.DUMMYFUNCTION("GOOGLETRANSLATE(B9871, ""es"", ""en"")"),"Very good sound and battery life is superbien listening, eliminating ambient noise. The battery lasts me a lot for the use I give.")</f>
        <v>Very good sound and battery life is superbien listening, eliminating ambient noise. The battery lasts me a lot for the use I give.</v>
      </c>
    </row>
    <row r="9872">
      <c r="A9872" s="1">
        <v>5.0</v>
      </c>
      <c r="B9872" s="1" t="s">
        <v>9796</v>
      </c>
      <c r="C9872" t="str">
        <f>IFERROR(__xludf.DUMMYFUNCTION("GOOGLETRANSLATE(B9872, ""es"", ""en"")"),"Good for home use. I decided to buy these wireless microphones for use in a local small test and discharge their responsibilities perfectly. Have a clear and weigh no sound, so I'm more than happy. They are not intended for professional use, but for what "&amp;"function they serve more than enough.")</f>
        <v>Good for home use. I decided to buy these wireless microphones for use in a local small test and discharge their responsibilities perfectly. Have a clear and weigh no sound, so I'm more than happy. They are not intended for professional use, but for what function they serve more than enough.</v>
      </c>
    </row>
    <row r="9873">
      <c r="A9873" s="1">
        <v>5.0</v>
      </c>
      <c r="B9873" s="1" t="s">
        <v>9797</v>
      </c>
      <c r="C9873" t="str">
        <f>IFERROR(__xludf.DUMMYFUNCTION("GOOGLETRANSLATE(B9873, ""es"", ""en"")"),"Comfortable and light works great, the laser pointer is very powerful, which is a good distance, very comfortable that because the signal receiver insert on the back and magnetised to keep from falling. Very good choice if you're thinking about getting on"&amp;"e.")</f>
        <v>Comfortable and light works great, the laser pointer is very powerful, which is a good distance, very comfortable that because the signal receiver insert on the back and magnetised to keep from falling. Very good choice if you're thinking about getting one.</v>
      </c>
    </row>
    <row r="9874">
      <c r="A9874" s="1">
        <v>5.0</v>
      </c>
      <c r="B9874" s="1" t="s">
        <v>9798</v>
      </c>
      <c r="C9874" t="str">
        <f>IFERROR(__xludf.DUMMYFUNCTION("GOOGLETRANSLATE(B9874, ""es"", ""en"")"),"They are all very well and good for all")</f>
        <v>They are all very well and good for all</v>
      </c>
    </row>
    <row r="9875">
      <c r="A9875" s="1">
        <v>5.0</v>
      </c>
      <c r="B9875" s="1" t="s">
        <v>9799</v>
      </c>
      <c r="C9875" t="str">
        <f>IFERROR(__xludf.DUMMYFUNCTION("GOOGLETRANSLATE(B9875, ""es"", ""en"")"),"The use good shoes to go jogging and are very comfortable to run on asphalt.")</f>
        <v>The use good shoes to go jogging and are very comfortable to run on asphalt.</v>
      </c>
    </row>
    <row r="9876">
      <c r="A9876" s="1">
        <v>2.0</v>
      </c>
      <c r="B9876" s="1" t="s">
        <v>9800</v>
      </c>
      <c r="C9876" t="str">
        <f>IFERROR(__xludf.DUMMYFUNCTION("GOOGLETRANSLATE(B9876, ""es"", ""en"")"),"Transparency mode on! Feel good, and they are as they are, but are a little short. But above all, is that much transparent.")</f>
        <v>Transparency mode on! Feel good, and they are as they are, but are a little short. But above all, is that much transparent.</v>
      </c>
    </row>
    <row r="9877">
      <c r="A9877" s="1">
        <v>3.0</v>
      </c>
      <c r="B9877" s="1" t="s">
        <v>9801</v>
      </c>
      <c r="C9877" t="str">
        <f>IFERROR(__xludf.DUMMYFUNCTION("GOOGLETRANSLATE(B9877, ""es"", ""en"")"),"Baila bother much on the shoulder, it is not comfortable to wear")</f>
        <v>Baila bother much on the shoulder, it is not comfortable to wear</v>
      </c>
    </row>
    <row r="9878">
      <c r="A9878" s="1">
        <v>3.0</v>
      </c>
      <c r="B9878" s="1" t="s">
        <v>9802</v>
      </c>
      <c r="C9878" t="str">
        <f>IFERROR(__xludf.DUMMYFUNCTION("GOOGLETRANSLATE(B9878, ""es"", ""en"")"),"Nice, but very small sizing sports Very nice, light, but I think perspire, not perspire heavily. The returned by the carve, was small, you have to take almost two numbers, if not, to me would have been, for the winter, I think in summer foot would bake.")</f>
        <v>Nice, but very small sizing sports Very nice, light, but I think perspire, not perspire heavily. The returned by the carve, was small, you have to take almost two numbers, if not, to me would have been, for the winter, I think in summer foot would bake.</v>
      </c>
    </row>
    <row r="9879">
      <c r="A9879" s="1">
        <v>1.0</v>
      </c>
      <c r="B9879" s="1" t="s">
        <v>9803</v>
      </c>
      <c r="C9879" t="str">
        <f>IFERROR(__xludf.DUMMYFUNCTION("GOOGLETRANSLATE(B9879, ""es"", ""en"")"),"I had to send them back. Well I had to return it. After a few days of use stopped working the microphone for hands-free and headset listening only one of the two channels. It is supposed to be the same model that came with my Samsung Galaxy 8+, and cane w"&amp;"ere lost. But now I have my doubts.")</f>
        <v>I had to send them back. Well I had to return it. After a few days of use stopped working the microphone for hands-free and headset listening only one of the two channels. It is supposed to be the same model that came with my Samsung Galaxy 8+, and cane were lost. But now I have my doubts.</v>
      </c>
    </row>
    <row r="9880">
      <c r="A9880" s="1">
        <v>1.0</v>
      </c>
      <c r="B9880" s="1" t="s">
        <v>9804</v>
      </c>
      <c r="C9880" t="str">
        <f>IFERROR(__xludf.DUMMYFUNCTION("GOOGLETRANSLATE(B9880, ""es"", ""en"")"),"Simple does not meet my expectations, was supposed to take Hiperco HARPAGOFITO ... but has no effect cold or hot .... or menthol or something, and I find no improvement in my back on the put, as happens with other creams From the market....")</f>
        <v>Simple does not meet my expectations, was supposed to take Hiperco HARPAGOFITO ... but has no effect cold or hot .... or menthol or something, and I find no improvement in my back on the put, as happens with other creams From the market....</v>
      </c>
    </row>
    <row r="9881">
      <c r="A9881" s="1">
        <v>4.0</v>
      </c>
      <c r="B9881" s="1" t="s">
        <v>9805</v>
      </c>
      <c r="C9881" t="str">
        <f>IFERROR(__xludf.DUMMYFUNCTION("GOOGLETRANSLATE(B9881, ""es"", ""en"")"),"Very good and pretty perfect")</f>
        <v>Very good and pretty perfect</v>
      </c>
    </row>
    <row r="9882">
      <c r="A9882" s="1">
        <v>4.0</v>
      </c>
      <c r="B9882" s="1" t="s">
        <v>9806</v>
      </c>
      <c r="C9882" t="str">
        <f>IFERROR(__xludf.DUMMYFUNCTION("GOOGLETRANSLATE(B9882, ""es"", ""en"")"),"No complains. It works perfectly. Great help in cooking food mincer useful, easy to use and easy cleaning. Its 700W make chopped very fine in no time. I took two months using and has not given any problems. Furthermore it is accompanied with a mixer for S"&amp;"moothie for making juices and smoothies. Recommendable.")</f>
        <v>No complains. It works perfectly. Great help in cooking food mincer useful, easy to use and easy cleaning. Its 700W make chopped very fine in no time. I took two months using and has not given any problems. Furthermore it is accompanied with a mixer for Smoothie for making juices and smoothies. Recommendable.</v>
      </c>
    </row>
    <row r="9883">
      <c r="A9883" s="1">
        <v>4.0</v>
      </c>
      <c r="B9883" s="1" t="s">
        <v>9807</v>
      </c>
      <c r="C9883" t="str">
        <f>IFERROR(__xludf.DUMMYFUNCTION("GOOGLETRANSLATE(B9883, ""es"", ""en"")"),"Likirba For me now is going very well and always with the guarantee and prestige gained over many years of Casio, which seems wrong that to lower costs box mechanism other than steel and that often means that the housing pins belt is split.")</f>
        <v>Likirba For me now is going very well and always with the guarantee and prestige gained over many years of Casio, which seems wrong that to lower costs box mechanism other than steel and that often means that the housing pins belt is split.</v>
      </c>
    </row>
    <row r="9884">
      <c r="A9884" s="1">
        <v>4.0</v>
      </c>
      <c r="B9884" s="1" t="s">
        <v>9808</v>
      </c>
      <c r="C9884" t="str">
        <f>IFERROR(__xludf.DUMMYFUNCTION("GOOGLETRANSLATE(B9884, ""es"", ""en"")"),"The sudardera adidas good and feel good enough shelters. Size very little. The quality is in line with the price.")</f>
        <v>The sudardera adidas good and feel good enough shelters. Size very little. The quality is in line with the price.</v>
      </c>
    </row>
    <row r="9885">
      <c r="A9885" s="1">
        <v>4.0</v>
      </c>
      <c r="B9885" s="1" t="s">
        <v>9809</v>
      </c>
      <c r="C9885" t="str">
        <f>IFERROR(__xludf.DUMMYFUNCTION("GOOGLETRANSLATE(B9885, ""es"", ""en"")"),"Have left one for sending they are fine for what they are worth !!!")</f>
        <v>Have left one for sending they are fine for what they are worth !!!</v>
      </c>
    </row>
    <row r="9886">
      <c r="A9886" s="1">
        <v>5.0</v>
      </c>
      <c r="B9886" s="1" t="s">
        <v>9810</v>
      </c>
      <c r="C9886" t="str">
        <f>IFERROR(__xludf.DUMMYFUNCTION("GOOGLETRANSLATE(B9886, ""es"", ""en"")"),"Precious bracelet, very fine and elegant, perfect complement to your look. With gorgeous color and brightness ideal as you can see in the photos. a perfect gift is very fine and beautiful puesta.Sin doubt. Very happy with the purchase.")</f>
        <v>Precious bracelet, very fine and elegant, perfect complement to your look. With gorgeous color and brightness ideal as you can see in the photos. a perfect gift is very fine and beautiful puesta.Sin doubt. Very happy with the purchase.</v>
      </c>
    </row>
    <row r="9887">
      <c r="A9887" s="1">
        <v>5.0</v>
      </c>
      <c r="B9887" s="1" t="s">
        <v>9811</v>
      </c>
      <c r="C9887" t="str">
        <f>IFERROR(__xludf.DUMMYFUNCTION("GOOGLETRANSLATE(B9887, ""es"", ""en"")"),"Good Very good quality for any device at a great price, I recommend purchase, I used many different brands of cards and really little difference q ara acquired this one Action camera write speed needed to capture 4K.")</f>
        <v>Good Very good quality for any device at a great price, I recommend purchase, I used many different brands of cards and really little difference q ara acquired this one Action camera write speed needed to capture 4K.</v>
      </c>
    </row>
    <row r="9888">
      <c r="A9888" s="1">
        <v>5.0</v>
      </c>
      <c r="B9888" s="1" t="s">
        <v>9812</v>
      </c>
      <c r="C9888" t="str">
        <f>IFERROR(__xludf.DUMMYFUNCTION("GOOGLETRANSLATE(B9888, ""es"", ""en"")"),"Best gift ever takes a little work to fill and buy special markers Spero is extremely beautiful in the end come up with a few details to make it prettier")</f>
        <v>Best gift ever takes a little work to fill and buy special markers Spero is extremely beautiful in the end come up with a few details to make it prettier</v>
      </c>
    </row>
    <row r="9889">
      <c r="A9889" s="1">
        <v>5.0</v>
      </c>
      <c r="B9889" s="1" t="s">
        <v>9813</v>
      </c>
      <c r="C9889" t="str">
        <f>IFERROR(__xludf.DUMMYFUNCTION("GOOGLETRANSLATE(B9889, ""es"", ""en"")"),"So comfortable are lightweight and comfortable, like running socks with cushioning")</f>
        <v>So comfortable are lightweight and comfortable, like running socks with cushioning</v>
      </c>
    </row>
    <row r="9890">
      <c r="A9890" s="1">
        <v>5.0</v>
      </c>
      <c r="B9890" s="1" t="s">
        <v>9814</v>
      </c>
      <c r="C9890" t="str">
        <f>IFERROR(__xludf.DUMMYFUNCTION("GOOGLETRANSLATE(B9890, ""es"", ""en"")"),"Money unbeatable Joringel")</f>
        <v>Money unbeatable Joringel</v>
      </c>
    </row>
    <row r="9891">
      <c r="A9891" s="1">
        <v>5.0</v>
      </c>
      <c r="B9891" s="1" t="s">
        <v>9815</v>
      </c>
      <c r="C9891" t="str">
        <f>IFERROR(__xludf.DUMMYFUNCTION("GOOGLETRANSLATE(B9891, ""es"", ""en"")"),"Bonitos have been taken some time to arrive but have delighted me! They are very beautiful.")</f>
        <v>Bonitos have been taken some time to arrive but have delighted me! They are very beautiful.</v>
      </c>
    </row>
    <row r="9892">
      <c r="A9892" s="1">
        <v>5.0</v>
      </c>
      <c r="B9892" s="1" t="s">
        <v>9816</v>
      </c>
      <c r="C9892" t="str">
        <f>IFERROR(__xludf.DUMMYFUNCTION("GOOGLETRANSLATE(B9892, ""es"", ""en"")"),"Very comfortable and easy to put on with zipper are calentitas and comfortable, as well as easy to put on with zipper.")</f>
        <v>Very comfortable and easy to put on with zipper are calentitas and comfortable, as well as easy to put on with zipper.</v>
      </c>
    </row>
    <row r="9893">
      <c r="A9893" s="1">
        <v>5.0</v>
      </c>
      <c r="B9893" s="1" t="s">
        <v>9817</v>
      </c>
      <c r="C9893" t="str">
        <f>IFERROR(__xludf.DUMMYFUNCTION("GOOGLETRANSLATE(B9893, ""es"", ""en"")"),"Highly recommended I bought it for a gift, but as usual in electronic products always taste before to know how they are and how almost always give my opinion on the matter. Helmets are heard quite well and isolate you from a lot of sound, have incredible "&amp;"bass. Synchronized too well and what I like about this product and therefore differs from the other I bought it for its function external battery 6000mAh, able to charge my phone Xiaomi Red my note 5 Plus and leave the rest to load helmets. In addition it"&amp;"s function leaving raise and lower volume Pulsed also differ from the rest I bought. Highly recommended. I had a small problem with the delivery of Seur but as always Amazon responded well.")</f>
        <v>Highly recommended I bought it for a gift, but as usual in electronic products always taste before to know how they are and how almost always give my opinion on the matter. Helmets are heard quite well and isolate you from a lot of sound, have incredible bass. Synchronized too well and what I like about this product and therefore differs from the other I bought it for its function external battery 6000mAh, able to charge my phone Xiaomi Red my note 5 Plus and leave the rest to load helmets. In addition its function leaving raise and lower volume Pulsed also differ from the rest I bought. Highly recommended. I had a small problem with the delivery of Seur but as always Amazon responded well.</v>
      </c>
    </row>
    <row r="9894">
      <c r="A9894" s="1">
        <v>5.0</v>
      </c>
      <c r="B9894" s="1" t="s">
        <v>9818</v>
      </c>
      <c r="C9894" t="str">
        <f>IFERROR(__xludf.DUMMYFUNCTION("GOOGLETRANSLATE(B9894, ""es"", ""en"")"),"good idea to buy good price, right quality, arrived on time, all as expected, a good buy that solved my need.")</f>
        <v>good idea to buy good price, right quality, arrived on time, all as expected, a good buy that solved my need.</v>
      </c>
    </row>
    <row r="9895">
      <c r="A9895" s="1">
        <v>5.0</v>
      </c>
      <c r="B9895" s="1" t="s">
        <v>9819</v>
      </c>
      <c r="C9895" t="str">
        <f>IFERROR(__xludf.DUMMYFUNCTION("GOOGLETRANSLATE(B9895, ""es"", ""en"")"),"Excellent I bought my size, the M, and the like on t-shirts are not comprehensive, and I stuck looks good, very comfortable, good fabric, no paint peeling to washing. Worth it for price and quality")</f>
        <v>Excellent I bought my size, the M, and the like on t-shirts are not comprehensive, and I stuck looks good, very comfortable, good fabric, no paint peeling to washing. Worth it for price and quality</v>
      </c>
    </row>
    <row r="9896">
      <c r="A9896" s="1">
        <v>5.0</v>
      </c>
      <c r="B9896" s="1" t="s">
        <v>9820</v>
      </c>
      <c r="C9896" t="str">
        <f>IFERROR(__xludf.DUMMYFUNCTION("GOOGLETRANSLATE(B9896, ""es"", ""en"")"),"Powerful, ideal for pet hair pick. Powerful and ideal, lightweight and very manageable. Highly recommended.")</f>
        <v>Powerful, ideal for pet hair pick. Powerful and ideal, lightweight and very manageable. Highly recommended.</v>
      </c>
    </row>
    <row r="9897">
      <c r="A9897" s="1">
        <v>5.0</v>
      </c>
      <c r="B9897" s="1" t="s">
        <v>9821</v>
      </c>
      <c r="C9897" t="str">
        <f>IFERROR(__xludf.DUMMYFUNCTION("GOOGLETRANSLATE(B9897, ""es"", ""en"")"),"sneakers are sneakers that I like because I like everything I want are recommended to those who want a bambas like this I'll say")</f>
        <v>sneakers are sneakers that I like because I like everything I want are recommended to those who want a bambas like this I'll say</v>
      </c>
    </row>
    <row r="9898">
      <c r="A9898" s="1">
        <v>5.0</v>
      </c>
      <c r="B9898" s="1" t="s">
        <v>9822</v>
      </c>
      <c r="C9898" t="str">
        <f>IFERROR(__xludf.DUMMYFUNCTION("GOOGLETRANSLATE(B9898, ""es"", ""en"")"),"Resistant holding time is long and well. He was the question of whether bear the weight of a Rode NT1A and if he would be holding it with one hand all the time to not fall on the table, and no, is perfect. It is true that goes down over time, but hey, we'"&amp;"re talking about an imperceptible drop in a week. The clamp for holding on the table is threaded, so you have room for it on almost any table, and the least mine does not have clearance for use. Overall I recommend")</f>
        <v>Resistant holding time is long and well. He was the question of whether bear the weight of a Rode NT1A and if he would be holding it with one hand all the time to not fall on the table, and no, is perfect. It is true that goes down over time, but hey, we're talking about an imperceptible drop in a week. The clamp for holding on the table is threaded, so you have room for it on almost any table, and the least mine does not have clearance for use. Overall I recommend</v>
      </c>
    </row>
    <row r="9899">
      <c r="A9899" s="1">
        <v>5.0</v>
      </c>
      <c r="B9899" s="1" t="s">
        <v>9823</v>
      </c>
      <c r="C9899" t="str">
        <f>IFERROR(__xludf.DUMMYFUNCTION("GOOGLETRANSLATE(B9899, ""es"", ""en"")"),"Good watch and took several months with no problem. It is fairly complete in its functions and is not too big that was what I wanted. It has everything you need for the day. I recommend it.")</f>
        <v>Good watch and took several months with no problem. It is fairly complete in its functions and is not too big that was what I wanted. It has everything you need for the day. I recommend it.</v>
      </c>
    </row>
    <row r="9900">
      <c r="A9900" s="1">
        <v>5.0</v>
      </c>
      <c r="B9900" s="1" t="s">
        <v>9824</v>
      </c>
      <c r="C9900" t="str">
        <f>IFERROR(__xludf.DUMMYFUNCTION("GOOGLETRANSLATE(B9900, ""es"", ""en"")"),"Very fast data transfer My husband is super happy with it. I needed to back up and to go to the same time flexible data transfer and meets very well. It is also very small and fits into any little corner of your backpack. We recommend it.")</f>
        <v>Very fast data transfer My husband is super happy with it. I needed to back up and to go to the same time flexible data transfer and meets very well. It is also very small and fits into any little corner of your backpack. We recommend it.</v>
      </c>
    </row>
    <row r="9901">
      <c r="A9901" s="1">
        <v>5.0</v>
      </c>
      <c r="B9901" s="1" t="s">
        <v>9825</v>
      </c>
      <c r="C9901" t="str">
        <f>IFERROR(__xludf.DUMMYFUNCTION("GOOGLETRANSLATE(B9901, ""es"", ""en"")"),"Good adhesion strength product has high bond strength to coming in this format is very convenient for use in crafts")</f>
        <v>Good adhesion strength product has high bond strength to coming in this format is very convenient for use in crafts</v>
      </c>
    </row>
    <row r="9902">
      <c r="A9902" s="1">
        <v>5.0</v>
      </c>
      <c r="B9902" s="1" t="s">
        <v>9826</v>
      </c>
      <c r="C9902" t="str">
        <f>IFERROR(__xludf.DUMMYFUNCTION("GOOGLETRANSLATE(B9902, ""es"", ""en"")"),"Besides well how nice it is .. It does not take anything to heat the water !! Great!")</f>
        <v>Besides well how nice it is .. It does not take anything to heat the water !! Great!</v>
      </c>
    </row>
    <row r="9903">
      <c r="A9903" s="1">
        <v>5.0</v>
      </c>
      <c r="B9903" s="1" t="s">
        <v>9827</v>
      </c>
      <c r="C9903" t="str">
        <f>IFERROR(__xludf.DUMMYFUNCTION("GOOGLETRANSLATE(B9903, ""es"", ""en"")"),"Encantado comfortable, use for everything. I hesitated to buy them and now I think I will repeat in another color")</f>
        <v>Encantado comfortable, use for everything. I hesitated to buy them and now I think I will repeat in another color</v>
      </c>
    </row>
    <row r="9904">
      <c r="A9904" s="1">
        <v>5.0</v>
      </c>
      <c r="B9904" s="1" t="s">
        <v>9828</v>
      </c>
      <c r="C9904" t="str">
        <f>IFERROR(__xludf.DUMMYFUNCTION("GOOGLETRANSLATE(B9904, ""es"", ""en"")"),"external disk with USB-C connection speed reading and writing is almost twice through the USB-C connector with USB 3.0.")</f>
        <v>external disk with USB-C connection speed reading and writing is almost twice through the USB-C connector with USB 3.0.</v>
      </c>
    </row>
    <row r="9905">
      <c r="A9905" s="1">
        <v>2.0</v>
      </c>
      <c r="B9905" s="1" t="s">
        <v>9829</v>
      </c>
      <c r="C9905" t="str">
        <f>IFERROR(__xludf.DUMMYFUNCTION("GOOGLETRANSLATE(B9905, ""es"", ""en"")"),"disappointing very narrow strap. Hooves, kringle, bad and lazy. The fabric is not bad. Overall, very disappointed, and that repeated for brand trust")</f>
        <v>disappointing very narrow strap. Hooves, kringle, bad and lazy. The fabric is not bad. Overall, very disappointed, and that repeated for brand trust</v>
      </c>
    </row>
    <row r="9906">
      <c r="A9906" s="1">
        <v>3.0</v>
      </c>
      <c r="B9906" s="1" t="s">
        <v>9830</v>
      </c>
      <c r="C9906" t="str">
        <f>IFERROR(__xludf.DUMMYFUNCTION("GOOGLETRANSLATE(B9906, ""es"", ""en"")"),"Good choice for first contacts. Good result for the price. The problem is when I have to configure my PC. Problems when using the Score Editor does not have as much accuracy and is difficult to control what you play with the metronome of the software. Car"&amp;"ries a software package, pluings and programs for use with the very interesting keyboard. In addition, its size means you can take it anywhere.")</f>
        <v>Good choice for first contacts. Good result for the price. The problem is when I have to configure my PC. Problems when using the Score Editor does not have as much accuracy and is difficult to control what you play with the metronome of the software. Carries a software package, pluings and programs for use with the very interesting keyboard. In addition, its size means you can take it anywhere.</v>
      </c>
    </row>
    <row r="9907">
      <c r="A9907" s="1">
        <v>1.0</v>
      </c>
      <c r="B9907" s="1" t="s">
        <v>9831</v>
      </c>
      <c r="C9907" t="str">
        <f>IFERROR(__xludf.DUMMYFUNCTION("GOOGLETRANSLATE(B9907, ""es"", ""en"")"),"Instructions are instructions in Chinese and English. I have no idea how the headphones are connected to the mobile. Please help")</f>
        <v>Instructions are instructions in Chinese and English. I have no idea how the headphones are connected to the mobile. Please help</v>
      </c>
    </row>
    <row r="9908">
      <c r="A9908" s="1">
        <v>1.0</v>
      </c>
      <c r="B9908" s="1" t="s">
        <v>9832</v>
      </c>
      <c r="C9908" t="str">
        <f>IFERROR(__xludf.DUMMYFUNCTION("GOOGLETRANSLATE(B9908, ""es"", ""en"")"),"The lack of security product has not liked because you do not double wall as hot water, will burn to the touch it. Is not safe.")</f>
        <v>The lack of security product has not liked because you do not double wall as hot water, will burn to the touch it. Is not safe.</v>
      </c>
    </row>
    <row r="9909">
      <c r="A9909" s="1">
        <v>4.0</v>
      </c>
      <c r="B9909" s="1" t="s">
        <v>9833</v>
      </c>
      <c r="C9909" t="str">
        <f>IFERROR(__xludf.DUMMYFUNCTION("GOOGLETRANSLATE(B9909, ""es"", ""en"")"),"Pretty nice but big lgo.")</f>
        <v>Pretty nice but big lgo.</v>
      </c>
    </row>
    <row r="9910">
      <c r="A9910" s="1">
        <v>4.0</v>
      </c>
      <c r="B9910" s="1" t="s">
        <v>9834</v>
      </c>
      <c r="C9910" t="str">
        <f>IFERROR(__xludf.DUMMYFUNCTION("GOOGLETRANSLATE(B9910, ""es"", ""en"")"),"Sebas very good, but the bottom and la.de up like that but go away, and because the screws rust, not too pressed and enters water after a few days they are in hand")</f>
        <v>Sebas very good, but the bottom and la.de up like that but go away, and because the screws rust, not too pressed and enters water after a few days they are in hand</v>
      </c>
    </row>
    <row r="9911">
      <c r="A9911" s="1">
        <v>4.0</v>
      </c>
      <c r="B9911" s="1" t="s">
        <v>9835</v>
      </c>
      <c r="C9911" t="str">
        <f>IFERROR(__xludf.DUMMYFUNCTION("GOOGLETRANSLATE(B9911, ""es"", ""en"")"),"Good sound very acceptable but somewhat complicated to use for being an overly sensitive system touch")</f>
        <v>Good sound very acceptable but somewhat complicated to use for being an overly sensitive system touch</v>
      </c>
    </row>
    <row r="9912">
      <c r="A9912" s="1">
        <v>4.0</v>
      </c>
      <c r="B9912" s="1" t="s">
        <v>9836</v>
      </c>
      <c r="C9912" t="str">
        <f>IFERROR(__xludf.DUMMYFUNCTION("GOOGLETRANSLATE(B9912, ""es"", ""en"")"),"I like the bag is fine. The only thing I do not like is that the zippers are not metal and it seems that will not last long.")</f>
        <v>I like the bag is fine. The only thing I do not like is that the zippers are not metal and it seems that will not last long.</v>
      </c>
    </row>
    <row r="9913">
      <c r="A9913" s="1">
        <v>5.0</v>
      </c>
      <c r="B9913" s="1" t="s">
        <v>9837</v>
      </c>
      <c r="C9913" t="str">
        <f>IFERROR(__xludf.DUMMYFUNCTION("GOOGLETRANSLATE(B9913, ""es"", ""en"")"),"Extreme quality but beware! this brand, large size The garment is of high quality, as usual in this brand. Entertains a lot, very warm, although it seems a ""rare"" sweatshirt truth is that it is very nice and is great. Eye size, this brand has big, like "&amp;"The North Face size. In my case I usually use practically an ""S"" and because of previous reviews that warned this end, I decided just in case, try on the ""XS"" mall and actually that's my size. It is a scandal.")</f>
        <v>Extreme quality but beware! this brand, large size The garment is of high quality, as usual in this brand. Entertains a lot, very warm, although it seems a "rare" sweatshirt truth is that it is very nice and is great. Eye size, this brand has big, like The North Face size. In my case I usually use practically an "S" and because of previous reviews that warned this end, I decided just in case, try on the "XS" mall and actually that's my size. It is a scandal.</v>
      </c>
    </row>
    <row r="9914">
      <c r="A9914" s="1">
        <v>5.0</v>
      </c>
      <c r="B9914" s="1" t="s">
        <v>9838</v>
      </c>
      <c r="C9914" t="str">
        <f>IFERROR(__xludf.DUMMYFUNCTION("GOOGLETRANSLATE(B9914, ""es"", ""en"")"),"Genial are comfortable and are perfect")</f>
        <v>Genial are comfortable and are perfect</v>
      </c>
    </row>
    <row r="9915">
      <c r="A9915" s="1">
        <v>5.0</v>
      </c>
      <c r="B9915" s="1" t="s">
        <v>9839</v>
      </c>
      <c r="C9915" t="str">
        <f>IFERROR(__xludf.DUMMYFUNCTION("GOOGLETRANSLATE(B9915, ""es"", ""en"")"),"Perfect for use seems incredible that in a simple kettle can water found improvements over other products but in this case there are things that I find very useful: see the water load from outside through a transparent plastic and on the other hand the si"&amp;"gnals from one, two or three cups very fast heating only the desired quantity. On the other hand looks good and apparently good finish.")</f>
        <v>Perfect for use seems incredible that in a simple kettle can water found improvements over other products but in this case there are things that I find very useful: see the water load from outside through a transparent plastic and on the other hand the signals from one, two or three cups very fast heating only the desired quantity. On the other hand looks good and apparently good finish.</v>
      </c>
    </row>
    <row r="9916">
      <c r="A9916" s="1">
        <v>5.0</v>
      </c>
      <c r="B9916" s="1" t="s">
        <v>9840</v>
      </c>
      <c r="C9916" t="str">
        <f>IFERROR(__xludf.DUMMYFUNCTION("GOOGLETRANSLATE(B9916, ""es"", ""en"")"),"Fully recommended Very fast and easy to install. Quality great price")</f>
        <v>Fully recommended Very fast and easy to install. Quality great price</v>
      </c>
    </row>
    <row r="9917">
      <c r="A9917" s="1">
        <v>5.0</v>
      </c>
      <c r="B9917" s="1" t="s">
        <v>9841</v>
      </c>
      <c r="C9917" t="str">
        <f>IFERROR(__xludf.DUMMYFUNCTION("GOOGLETRANSLATE(B9917, ""es"", ""en"")"),"I love the boots I bought guided by the opinions I read on the web and I'm delighted with them. They look great with yellow laces and jeans of any color. They have a very good price because they cost in stores twice.")</f>
        <v>I love the boots I bought guided by the opinions I read on the web and I'm delighted with them. They look great with yellow laces and jeans of any color. They have a very good price because they cost in stores twice.</v>
      </c>
    </row>
    <row r="9918">
      <c r="A9918" s="1">
        <v>5.0</v>
      </c>
      <c r="B9918" s="1" t="s">
        <v>9842</v>
      </c>
      <c r="C9918" t="str">
        <f>IFERROR(__xludf.DUMMYFUNCTION("GOOGLETRANSLATE(B9918, ""es"", ""en"")"),"This itself is good other patches had bought the same brand and neck were a disappointment because it did not hit. I tried these back and has a similar approach to girdles and going great")</f>
        <v>This itself is good other patches had bought the same brand and neck were a disappointment because it did not hit. I tried these back and has a similar approach to girdles and going great</v>
      </c>
    </row>
    <row r="9919">
      <c r="A9919" s="1">
        <v>5.0</v>
      </c>
      <c r="B9919" s="1" t="s">
        <v>9843</v>
      </c>
      <c r="C9919" t="str">
        <f>IFERROR(__xludf.DUMMYFUNCTION("GOOGLETRANSLATE(B9919, ""es"", ""en"")"),"What are looking very comfortable. Perfect for everyday use. Just to give much size. You have to take less than usual. For the rest great choice. Certainly I repeat.")</f>
        <v>What are looking very comfortable. Perfect for everyday use. Just to give much size. You have to take less than usual. For the rest great choice. Certainly I repeat.</v>
      </c>
    </row>
    <row r="9920">
      <c r="A9920" s="1">
        <v>5.0</v>
      </c>
      <c r="B9920" s="1" t="s">
        <v>9844</v>
      </c>
      <c r="C9920" t="str">
        <f>IFERROR(__xludf.DUMMYFUNCTION("GOOGLETRANSLATE(B9920, ""es"", ""en"")"),"Super clean and fantastic fragrance uma Fabulous !!")</f>
        <v>Super clean and fantastic fragrance uma Fabulous !!</v>
      </c>
    </row>
    <row r="9921">
      <c r="A9921" s="1">
        <v>5.0</v>
      </c>
      <c r="B9921" s="1" t="s">
        <v>9845</v>
      </c>
      <c r="C9921" t="str">
        <f>IFERROR(__xludf.DUMMYFUNCTION("GOOGLETRANSLATE(B9921, ""es"", ""en"")"),"Very nice bracelet I was pretty convinced the quality of the material, although it is very light and comfortable. It has metal and plastic parts in addition to the sterling silver")</f>
        <v>Very nice bracelet I was pretty convinced the quality of the material, although it is very light and comfortable. It has metal and plastic parts in addition to the sterling silver</v>
      </c>
    </row>
    <row r="9922">
      <c r="A9922" s="1">
        <v>5.0</v>
      </c>
      <c r="B9922" s="1" t="s">
        <v>9846</v>
      </c>
      <c r="C9922" t="str">
        <f>IFERROR(__xludf.DUMMYFUNCTION("GOOGLETRANSLATE(B9922, ""es"", ""en"")"),"Small but exceptional. Precious silver earrings. I love the shine with crystals. They stand out for their small size and exceptional quality.")</f>
        <v>Small but exceptional. Precious silver earrings. I love the shine with crystals. They stand out for their small size and exceptional quality.</v>
      </c>
    </row>
    <row r="9923">
      <c r="A9923" s="1">
        <v>5.0</v>
      </c>
      <c r="B9923" s="1" t="s">
        <v>9847</v>
      </c>
      <c r="C9923" t="str">
        <f>IFERROR(__xludf.DUMMYFUNCTION("GOOGLETRANSLATE(B9923, ""es"", ""en"")"),"Unbeatable blender works perfectly and gives a texture to all fruit that I love, great for the athlete people like me, a whole aciertto")</f>
        <v>Unbeatable blender works perfectly and gives a texture to all fruit that I love, great for the athlete people like me, a whole aciertto</v>
      </c>
    </row>
    <row r="9924">
      <c r="A9924" s="1">
        <v>5.0</v>
      </c>
      <c r="B9924" s="1" t="s">
        <v>9848</v>
      </c>
      <c r="C9924" t="str">
        <f>IFERROR(__xludf.DUMMYFUNCTION("GOOGLETRANSLATE(B9924, ""es"", ""en"")"),"Quality, price Nothing bad to note, lovely warm price")</f>
        <v>Quality, price Nothing bad to note, lovely warm price</v>
      </c>
    </row>
    <row r="9925">
      <c r="A9925" s="1">
        <v>5.0</v>
      </c>
      <c r="B9925" s="1" t="s">
        <v>9849</v>
      </c>
      <c r="C9925" t="str">
        <f>IFERROR(__xludf.DUMMYFUNCTION("GOOGLETRANSLATE(B9925, ""es"", ""en"")"),"Practice A vacuum cleaner easy to use and hard to aim. Durability 15 min approx.")</f>
        <v>Practice A vacuum cleaner easy to use and hard to aim. Durability 15 min approx.</v>
      </c>
    </row>
    <row r="9926">
      <c r="A9926" s="1">
        <v>5.0</v>
      </c>
      <c r="B9926" s="1" t="s">
        <v>9850</v>
      </c>
      <c r="C9926" t="str">
        <f>IFERROR(__xludf.DUMMYFUNCTION("GOOGLETRANSLATE(B9926, ""es"", ""en"")"),"Comfortable Sports uncomplainingly")</f>
        <v>Comfortable Sports uncomplainingly</v>
      </c>
    </row>
    <row r="9927">
      <c r="A9927" s="1">
        <v>5.0</v>
      </c>
      <c r="B9927" s="1" t="s">
        <v>9851</v>
      </c>
      <c r="C9927" t="str">
        <f>IFERROR(__xludf.DUMMYFUNCTION("GOOGLETRANSLATE(B9927, ""es"", ""en"")"),"Very convenient and practical very good quality and great shots")</f>
        <v>Very convenient and practical very good quality and great shots</v>
      </c>
    </row>
    <row r="9928">
      <c r="A9928" s="1">
        <v>5.0</v>
      </c>
      <c r="B9928" s="1" t="s">
        <v>9852</v>
      </c>
      <c r="C9928" t="str">
        <f>IFERROR(__xludf.DUMMYFUNCTION("GOOGLETRANSLATE(B9928, ""es"", ""en"")"),"As expected as any adidas have very good quality and great finish, I recommend the brand, even old last long and are very nice. a greeting")</f>
        <v>As expected as any adidas have very good quality and great finish, I recommend the brand, even old last long and are very nice. a greeting</v>
      </c>
    </row>
    <row r="9929">
      <c r="A9929" s="1">
        <v>5.0</v>
      </c>
      <c r="B9929" s="1" t="s">
        <v>9853</v>
      </c>
      <c r="C9929" t="str">
        <f>IFERROR(__xludf.DUMMYFUNCTION("GOOGLETRANSLATE(B9929, ""es"", ""en"")"),"Very good result. They are the perfect shoes for school when your child will not wear uniform shoe because he can not play football ... are leather and toe holds all ... a pair of sneakers will hold the entire course or more ... so if you do not grow much"&amp;" clear stand ... (there we were lucky). Already the second pair I buy. And I'll buy without hesitation.")</f>
        <v>Very good result. They are the perfect shoes for school when your child will not wear uniform shoe because he can not play football ... are leather and toe holds all ... a pair of sneakers will hold the entire course or more ... so if you do not grow much clear stand ... (there we were lucky). Already the second pair I buy. And I'll buy without hesitation.</v>
      </c>
    </row>
    <row r="9930">
      <c r="A9930" s="1">
        <v>5.0</v>
      </c>
      <c r="B9930" s="1" t="s">
        <v>9854</v>
      </c>
      <c r="C9930" t="str">
        <f>IFERROR(__xludf.DUMMYFUNCTION("GOOGLETRANSLATE(B9930, ""es"", ""en"")"),"Quality - Pricing bought to give as a christening detail and are very nice. The Replenish lacasitos because they are small bottles and is difficult to add something else. They really liked them.")</f>
        <v>Quality - Pricing bought to give as a christening detail and are very nice. The Replenish lacasitos because they are small bottles and is difficult to add something else. They really liked them.</v>
      </c>
    </row>
    <row r="9931">
      <c r="A9931" s="1">
        <v>2.0</v>
      </c>
      <c r="B9931" s="1" t="s">
        <v>9855</v>
      </c>
      <c r="C9931" t="str">
        <f>IFERROR(__xludf.DUMMYFUNCTION("GOOGLETRANSLATE(B9931, ""es"", ""en"")"),"I came with the small glass I bought this particular model because it was a gift for someone who is just starting to dabble in the kitchen and wanted a mixer that had the glass of the large robot; the problem is that I sent to the small glass and I had to"&amp;" return it. Shipping and return process, as always, perfect with Amazon.")</f>
        <v>I came with the small glass I bought this particular model because it was a gift for someone who is just starting to dabble in the kitchen and wanted a mixer that had the glass of the large robot; the problem is that I sent to the small glass and I had to return it. Shipping and return process, as always, perfect with Amazon.</v>
      </c>
    </row>
    <row r="9932">
      <c r="A9932" s="1">
        <v>3.0</v>
      </c>
      <c r="B9932" s="1" t="s">
        <v>9856</v>
      </c>
      <c r="C9932" t="str">
        <f>IFERROR(__xludf.DUMMYFUNCTION("GOOGLETRANSLATE(B9932, ""es"", ""en"")"),"The product was fine, but I still large despite being my size. The truth is that the product was fine, but I returned because I was too big despite being my size. Thank you.")</f>
        <v>The product was fine, but I still large despite being my size. The truth is that the product was fine, but I returned because I was too big despite being my size. Thank you.</v>
      </c>
    </row>
    <row r="9933">
      <c r="A9933" s="1">
        <v>3.0</v>
      </c>
      <c r="B9933" s="1" t="s">
        <v>9857</v>
      </c>
      <c r="C9933" t="str">
        <f>IFERROR(__xludf.DUMMYFUNCTION("GOOGLETRANSLATE(B9933, ""es"", ""en"")"),"Enough for my domestic needs taco comes with spit-rock, which are NOT suitable for hollow brick walls. Make sure what kind of wall have and use the proper tacos.")</f>
        <v>Enough for my domestic needs taco comes with spit-rock, which are NOT suitable for hollow brick walls. Make sure what kind of wall have and use the proper tacos.</v>
      </c>
    </row>
    <row r="9934">
      <c r="A9934" s="1">
        <v>1.0</v>
      </c>
      <c r="B9934" s="1" t="s">
        <v>9858</v>
      </c>
      <c r="C9934" t="str">
        <f>IFERROR(__xludf.DUMMYFUNCTION("GOOGLETRANSLATE(B9934, ""es"", ""en"")"),"Medela Calma = arcades I bought this bottle nipple for his calm, which is supposed to be perfect to alternate with his chest. The nipple is so large (length) that produces arcades baby! In every attempt it has been a failure. And yet with normal baby nipp"&amp;"le eat well. If I could I would be happy to return. A waste of time and money, as well as the sofocón for the baby.")</f>
        <v>Medela Calma = arcades I bought this bottle nipple for his calm, which is supposed to be perfect to alternate with his chest. The nipple is so large (length) that produces arcades baby! In every attempt it has been a failure. And yet with normal baby nipple eat well. If I could I would be happy to return. A waste of time and money, as well as the sofocón for the baby.</v>
      </c>
    </row>
    <row r="9935">
      <c r="A9935" s="1">
        <v>1.0</v>
      </c>
      <c r="B9935" s="1" t="s">
        <v>9859</v>
      </c>
      <c r="C9935" t="str">
        <f>IFERROR(__xludf.DUMMYFUNCTION("GOOGLETRANSLATE(B9935, ""es"", ""en"")"),"Q What weighs nothing worse volleys and serves me is not very fine")</f>
        <v>Q What weighs nothing worse volleys and serves me is not very fine</v>
      </c>
    </row>
    <row r="9936">
      <c r="A9936" s="1">
        <v>4.0</v>
      </c>
      <c r="B9936" s="1" t="s">
        <v>9860</v>
      </c>
      <c r="C9936" t="str">
        <f>IFERROR(__xludf.DUMMYFUNCTION("GOOGLETRANSLATE(B9936, ""es"", ""en"")"),"Comfort is very comfortable and easy to clean. Perfect for people who oasan many hours on his feet. The problem is that they are non-slip as detailed in its characteristics. As pilles soil wet enough slips. Otherwise great.")</f>
        <v>Comfort is very comfortable and easy to clean. Perfect for people who oasan many hours on his feet. The problem is that they are non-slip as detailed in its characteristics. As pilles soil wet enough slips. Otherwise great.</v>
      </c>
    </row>
    <row r="9937">
      <c r="A9937" s="1">
        <v>4.0</v>
      </c>
      <c r="B9937" s="1" t="s">
        <v>9861</v>
      </c>
      <c r="C9937" t="str">
        <f>IFERROR(__xludf.DUMMYFUNCTION("GOOGLETRANSLATE(B9937, ""es"", ""en"")"),"I like is wider than it looks")</f>
        <v>I like is wider than it looks</v>
      </c>
    </row>
    <row r="9938">
      <c r="A9938" s="1">
        <v>4.0</v>
      </c>
      <c r="B9938" s="1" t="s">
        <v>9862</v>
      </c>
      <c r="C9938" t="str">
        <f>IFERROR(__xludf.DUMMYFUNCTION("GOOGLETRANSLATE(B9938, ""es"", ""en"")"),"Plumiferos useful for arrangements had holes in the scribbler and was able to patch the cover. It has the advantage of being adhesive and cut it to adapt according to the needs")</f>
        <v>Plumiferos useful for arrangements had holes in the scribbler and was able to patch the cover. It has the advantage of being adhesive and cut it to adapt according to the needs</v>
      </c>
    </row>
    <row r="9939">
      <c r="A9939" s="1">
        <v>4.0</v>
      </c>
      <c r="B9939" s="1" t="s">
        <v>9863</v>
      </c>
      <c r="C9939" t="str">
        <f>IFERROR(__xludf.DUMMYFUNCTION("GOOGLETRANSLATE(B9939, ""es"", ""en"")"),"The basic model costs principle but are very comfortable fit. He made at fault adjustment strap that holds the heel. And that after the normal use of a few months has been taken off the heel logo. Otherwise well")</f>
        <v>The basic model costs principle but are very comfortable fit. He made at fault adjustment strap that holds the heel. And that after the normal use of a few months has been taken off the heel logo. Otherwise well</v>
      </c>
    </row>
    <row r="9940">
      <c r="A9940" s="1">
        <v>4.0</v>
      </c>
      <c r="B9940" s="1" t="s">
        <v>9864</v>
      </c>
      <c r="C9940" t="str">
        <f>IFERROR(__xludf.DUMMYFUNCTION("GOOGLETRANSLATE(B9940, ""es"", ""en"")"),"Good choice lie seems such a small thing is capable of both. Windows 10 comes with other counsel do the upgrade (which takes a while) and then force the deletion of windows.old or you stay out of memory. Despite the upgrade should upgrade the Intel graphi"&amp;"cs drivers and WiFi. From there Kodi worked as a phenomenon.")</f>
        <v>Good choice lie seems such a small thing is capable of both. Windows 10 comes with other counsel do the upgrade (which takes a while) and then force the deletion of windows.old or you stay out of memory. Despite the upgrade should upgrade the Intel graphics drivers and WiFi. From there Kodi worked as a phenomenon.</v>
      </c>
    </row>
    <row r="9941">
      <c r="A9941" s="1">
        <v>5.0</v>
      </c>
      <c r="B9941" s="1" t="s">
        <v>9865</v>
      </c>
      <c r="C9941" t="str">
        <f>IFERROR(__xludf.DUMMYFUNCTION("GOOGLETRANSLATE(B9941, ""es"", ""en"")"),"Simple but very useful I bought this kettle to give an older person so I wanted something simple and easy to handle. With only one button opens the lid to put the water, and another button to turn it on, nothing more than that because it goes only to the "&amp;"reach boiling point, as simple as that, and large capacity, with a liter 700 is more enough and I chose in black color because the design seemed nicer so happy because it has fulfilled perfectly with what I expected.")</f>
        <v>Simple but very useful I bought this kettle to give an older person so I wanted something simple and easy to handle. With only one button opens the lid to put the water, and another button to turn it on, nothing more than that because it goes only to the reach boiling point, as simple as that, and large capacity, with a liter 700 is more enough and I chose in black color because the design seemed nicer so happy because it has fulfilled perfectly with what I expected.</v>
      </c>
    </row>
    <row r="9942">
      <c r="A9942" s="1">
        <v>5.0</v>
      </c>
      <c r="B9942" s="1" t="s">
        <v>9866</v>
      </c>
      <c r="C9942" t="str">
        <f>IFERROR(__xludf.DUMMYFUNCTION("GOOGLETRANSLATE(B9942, ""es"", ""en"")"),"Very good massage I have recommended my friend, is perfect for my neck and back! Masajer hallucinating to the area riddance Tre has modes and color, with 15min leaves me very well the neck! With the price worth, I've seen more expensive at the fair! Why I"&amp;" did not hesitate to buy it!")</f>
        <v>Very good massage I have recommended my friend, is perfect for my neck and back! Masajer hallucinating to the area riddance Tre has modes and color, with 15min leaves me very well the neck! With the price worth, I've seen more expensive at the fair! Why I did not hesitate to buy it!</v>
      </c>
    </row>
    <row r="9943">
      <c r="A9943" s="1">
        <v>5.0</v>
      </c>
      <c r="B9943" s="1" t="s">
        <v>9867</v>
      </c>
      <c r="C9943" t="str">
        <f>IFERROR(__xludf.DUMMYFUNCTION("GOOGLETRANSLATE(B9943, ""es"", ""en"")"),"Buy this blender great seeing that it was fine in terms of money. Bring all accessories use in my day after day, to make protein shakes. Power is adequate, and perfectly fulfills its function. I am very happy with the purchase.")</f>
        <v>Buy this blender great seeing that it was fine in terms of money. Bring all accessories use in my day after day, to make protein shakes. Power is adequate, and perfectly fulfills its function. I am very happy with the purchase.</v>
      </c>
    </row>
    <row r="9944">
      <c r="A9944" s="1">
        <v>5.0</v>
      </c>
      <c r="B9944" s="1" t="s">
        <v>9868</v>
      </c>
      <c r="C9944" t="str">
        <f>IFERROR(__xludf.DUMMYFUNCTION("GOOGLETRANSLATE(B9944, ""es"", ""en"")"),"Good value for money and well priced")</f>
        <v>Good value for money and well priced</v>
      </c>
    </row>
    <row r="9945">
      <c r="A9945" s="1">
        <v>5.0</v>
      </c>
      <c r="B9945" s="1" t="s">
        <v>9869</v>
      </c>
      <c r="C9945" t="str">
        <f>IFERROR(__xludf.DUMMYFUNCTION("GOOGLETRANSLATE(B9945, ""es"", ""en"")"),"Original Perfect, come the original box and well finished off. Fit well, I asked for my number and I are perfect. The black color is not off strong color.")</f>
        <v>Original Perfect, come the original box and well finished off. Fit well, I asked for my number and I are perfect. The black color is not off strong color.</v>
      </c>
    </row>
    <row r="9946">
      <c r="A9946" s="1">
        <v>5.0</v>
      </c>
      <c r="B9946" s="1" t="s">
        <v>9870</v>
      </c>
      <c r="C9946" t="str">
        <f>IFERROR(__xludf.DUMMYFUNCTION("GOOGLETRANSLATE(B9946, ""es"", ""en"")"),"It was a gift the opinion of the person who received it is optimal collects all the back and the heat is distributed very evenly.")</f>
        <v>It was a gift the opinion of the person who received it is optimal collects all the back and the heat is distributed very evenly.</v>
      </c>
    </row>
    <row r="9947">
      <c r="A9947" s="1">
        <v>5.0</v>
      </c>
      <c r="B9947" s="1" t="s">
        <v>9871</v>
      </c>
      <c r="C9947" t="str">
        <f>IFERROR(__xludf.DUMMYFUNCTION("GOOGLETRANSLATE(B9947, ""es"", ""en"")"),"Meets advertised I bought this card for a camera that records video at 30 Mb / s and have not had any problems with it. At the beginning I thought the product was a fake because the letters printed on the card are not perfect but after using it I do not t"&amp;"hink it is. And if it is not matter, it works very well. Transfer rates quite good for the price paid. Very happy")</f>
        <v>Meets advertised I bought this card for a camera that records video at 30 Mb / s and have not had any problems with it. At the beginning I thought the product was a fake because the letters printed on the card are not perfect but after using it I do not think it is. And if it is not matter, it works very well. Transfer rates quite good for the price paid. Very happy</v>
      </c>
    </row>
    <row r="9948">
      <c r="A9948" s="1">
        <v>5.0</v>
      </c>
      <c r="B9948" s="1" t="s">
        <v>9872</v>
      </c>
      <c r="C9948" t="str">
        <f>IFERROR(__xludf.DUMMYFUNCTION("GOOGLETRANSLATE(B9948, ""es"", ""en"")"),"practical draft practical magnetic eraser, can be left stuck on the magnetic board and so is not lost, it is also fairly light.")</f>
        <v>practical draft practical magnetic eraser, can be left stuck on the magnetic board and so is not lost, it is also fairly light.</v>
      </c>
    </row>
    <row r="9949">
      <c r="A9949" s="1">
        <v>5.0</v>
      </c>
      <c r="B9949" s="1" t="s">
        <v>9873</v>
      </c>
      <c r="C9949" t="str">
        <f>IFERROR(__xludf.DUMMYFUNCTION("GOOGLETRANSLATE(B9949, ""es"", ""en"")"),"It is very clean perfect for what it is intended.")</f>
        <v>It is very clean perfect for what it is intended.</v>
      </c>
    </row>
    <row r="9950">
      <c r="A9950" s="1">
        <v>5.0</v>
      </c>
      <c r="B9950" s="1" t="s">
        <v>9874</v>
      </c>
      <c r="C9950" t="str">
        <f>IFERROR(__xludf.DUMMYFUNCTION("GOOGLETRANSLATE(B9950, ""es"", ""en"")"),"Fast is smaller than it seems. With a 3.0 cable runs me almost like an internal hard drive. I have it as an emergency for the event that I die the hard drive and continue working from the cloned SSD with him.")</f>
        <v>Fast is smaller than it seems. With a 3.0 cable runs me almost like an internal hard drive. I have it as an emergency for the event that I die the hard drive and continue working from the cloned SSD with him.</v>
      </c>
    </row>
    <row r="9951">
      <c r="A9951" s="1">
        <v>5.0</v>
      </c>
      <c r="B9951" s="1" t="s">
        <v>9875</v>
      </c>
      <c r="C9951" t="str">
        <f>IFERROR(__xludf.DUMMYFUNCTION("GOOGLETRANSLATE(B9951, ""es"", ""en"")"),"Good quality needed space for large multimedia files, and this card gives me. For now running perfectly. Eventually, based on clear and record will have to see how it behaves. I have several cards of this brand and has given me no problem. So I recommend "&amp;"it.")</f>
        <v>Good quality needed space for large multimedia files, and this card gives me. For now running perfectly. Eventually, based on clear and record will have to see how it behaves. I have several cards of this brand and has given me no problem. So I recommend it.</v>
      </c>
    </row>
    <row r="9952">
      <c r="A9952" s="1">
        <v>5.0</v>
      </c>
      <c r="B9952" s="1" t="s">
        <v>9876</v>
      </c>
      <c r="C9952" t="str">
        <f>IFERROR(__xludf.DUMMYFUNCTION("GOOGLETRANSLATE(B9952, ""es"", ""en"")"),"64gby at a good price. It goes pretty fast, I bought for a camera without problems. He came well packaged and delivery was timely. I dont have nothing to complaint about.")</f>
        <v>64gby at a good price. It goes pretty fast, I bought for a camera without problems. He came well packaged and delivery was timely. I dont have nothing to complaint about.</v>
      </c>
    </row>
    <row r="9953">
      <c r="A9953" s="1">
        <v>5.0</v>
      </c>
      <c r="B9953" s="1" t="s">
        <v>9877</v>
      </c>
      <c r="C9953" t="str">
        <f>IFERROR(__xludf.DUMMYFUNCTION("GOOGLETRANSLATE(B9953, ""es"", ""en"")"),"Best HDD market Excellent Refurbished product purchased as barely a month later was already cheaper to buy it again, but I always have bad luck received in their original packaging, with two bays in perfect condition, undamaged and with performance that I"&amp;" left very satisfied. What format on Mac APFS format. I use it to backup movies, series, books, music, etc, connected via USB 3.1 Type C. The read rates are good, hibernates when you stop using it and reduce consumption to 75%, and as for writing ratios i"&amp;"t is where behaves better. Even installing external libraries which require intensive readings, with Logic Pro or Final Cut- the performance tends to be above average. It is a rough HDD, large and designed for backups, but it is silent and agile enough to"&amp;" serve everyday disk. LED light notifies its external reading, something essential to recognize what is happening inside the disc. A very good buy.")</f>
        <v>Best HDD market Excellent Refurbished product purchased as barely a month later was already cheaper to buy it again, but I always have bad luck received in their original packaging, with two bays in perfect condition, undamaged and with performance that I left very satisfied. What format on Mac APFS format. I use it to backup movies, series, books, music, etc, connected via USB 3.1 Type C. The read rates are good, hibernates when you stop using it and reduce consumption to 75%, and as for writing ratios it is where behaves better. Even installing external libraries which require intensive readings, with Logic Pro or Final Cut- the performance tends to be above average. It is a rough HDD, large and designed for backups, but it is silent and agile enough to serve everyday disk. LED light notifies its external reading, something essential to recognize what is happening inside the disc. A very good buy.</v>
      </c>
    </row>
    <row r="9954">
      <c r="A9954" s="1">
        <v>5.0</v>
      </c>
      <c r="B9954" s="1" t="s">
        <v>9878</v>
      </c>
      <c r="C9954" t="str">
        <f>IFERROR(__xludf.DUMMYFUNCTION("GOOGLETRANSLATE(B9954, ""es"", ""en"")"),"Elegant design was looking for a strap that were not typical silicone because I wanted to find one that was smart and could use daily to go to work. Honestly, I am very happy. Fits great and to the use in the shower does not seem to spoil or anything like"&amp;" that. The top strap is the truth.")</f>
        <v>Elegant design was looking for a strap that were not typical silicone because I wanted to find one that was smart and could use daily to go to work. Honestly, I am very happy. Fits great and to the use in the shower does not seem to spoil or anything like that. The top strap is the truth.</v>
      </c>
    </row>
    <row r="9955">
      <c r="A9955" s="1">
        <v>5.0</v>
      </c>
      <c r="B9955" s="1" t="s">
        <v>9879</v>
      </c>
      <c r="C9955" t="str">
        <f>IFERROR(__xludf.DUMMYFUNCTION("GOOGLETRANSLATE(B9955, ""es"", ""en"")"),"Great design and comfort, not too thin soles as others.")</f>
        <v>Great design and comfort, not too thin soles as others.</v>
      </c>
    </row>
    <row r="9956">
      <c r="A9956" s="1">
        <v>5.0</v>
      </c>
      <c r="B9956" s="1" t="s">
        <v>9880</v>
      </c>
      <c r="C9956" t="str">
        <f>IFERROR(__xludf.DUMMYFUNCTION("GOOGLETRANSLATE(B9956, ""es"", ""en"")"),"Amazing for skin problems This oil is good for my problems in any part of the body (hands in my case), but say intimate, goes well anywhere. Two droplets arrive to moisturize your hands. Ultimamemente change much packaging, for example, this time the box "&amp;"was bigger and more matte colors, the bottle can be transparent or black .... should take care of the brand this a little more")</f>
        <v>Amazing for skin problems This oil is good for my problems in any part of the body (hands in my case), but say intimate, goes well anywhere. Two droplets arrive to moisturize your hands. Ultimamemente change much packaging, for example, this time the box was bigger and more matte colors, the bottle can be transparent or black .... should take care of the brand this a little more</v>
      </c>
    </row>
    <row r="9957">
      <c r="A9957" s="1">
        <v>5.0</v>
      </c>
      <c r="B9957" s="1" t="s">
        <v>9881</v>
      </c>
      <c r="C9957" t="str">
        <f>IFERROR(__xludf.DUMMYFUNCTION("GOOGLETRANSLATE(B9957, ""es"", ""en"")"),"correct product. Meets specified. They are original. Good sound and good compartamiento. They are totally recommended and their sound is crisp. built right Nicrofono.")</f>
        <v>correct product. Meets specified. They are original. Good sound and good compartamiento. They are totally recommended and their sound is crisp. built right Nicrofono.</v>
      </c>
    </row>
    <row r="9958">
      <c r="A9958" s="1">
        <v>5.0</v>
      </c>
      <c r="B9958" s="1" t="s">
        <v>9882</v>
      </c>
      <c r="C9958" t="str">
        <f>IFERROR(__xludf.DUMMYFUNCTION("GOOGLETRANSLATE(B9958, ""es"", ""en"")"),"Excellent value for money excellent value for money. Clean sound without interference. It is a little big. It would be nice to be smaller.")</f>
        <v>Excellent value for money excellent value for money. Clean sound without interference. It is a little big. It would be nice to be smaller.</v>
      </c>
    </row>
    <row r="9959">
      <c r="A9959" s="1">
        <v>5.0</v>
      </c>
      <c r="B9959" s="1" t="s">
        <v>9883</v>
      </c>
      <c r="C9959" t="str">
        <f>IFERROR(__xludf.DUMMYFUNCTION("GOOGLETRANSLATE(B9959, ""es"", ""en"")"),"Unsurpassable Love, Maya the best I've found in quality, price. They are great and not show through anything, adapt to the body and do not push. Unsurpassable, definitely buy again. Regarding shipping, super fast.")</f>
        <v>Unsurpassable Love, Maya the best I've found in quality, price. They are great and not show through anything, adapt to the body and do not push. Unsurpassable, definitely buy again. Regarding shipping, super fast.</v>
      </c>
    </row>
    <row r="9960">
      <c r="A9960" s="1">
        <v>2.0</v>
      </c>
      <c r="B9960" s="1" t="s">
        <v>9884</v>
      </c>
      <c r="C9960" t="str">
        <f>IFERROR(__xludf.DUMMYFUNCTION("GOOGLETRANSLATE(B9960, ""es"", ""en"")"),"Fault the short time I used it for mobile and short time and did not recognize him tried it on a tablet and the same. And the short time tells you the different sizes. And not because it is not worth spending")</f>
        <v>Fault the short time I used it for mobile and short time and did not recognize him tried it on a tablet and the same. And the short time tells you the different sizes. And not because it is not worth spending</v>
      </c>
    </row>
    <row r="9961">
      <c r="A9961" s="1">
        <v>3.0</v>
      </c>
      <c r="B9961" s="1" t="s">
        <v>9885</v>
      </c>
      <c r="C9961" t="str">
        <f>IFERROR(__xludf.DUMMYFUNCTION("GOOGLETRANSLATE(B9961, ""es"", ""en"")"),"Diana White Gums that thought they were to adjust are just ornaments, otherwise all ok in terms of money")</f>
        <v>Diana White Gums that thought they were to adjust are just ornaments, otherwise all ok in terms of money</v>
      </c>
    </row>
    <row r="9962">
      <c r="A9962" s="1">
        <v>3.0</v>
      </c>
      <c r="B9962" s="1" t="s">
        <v>9886</v>
      </c>
      <c r="C9962" t="str">
        <f>IFERROR(__xludf.DUMMYFUNCTION("GOOGLETRANSLATE(B9962, ""es"", ""en"")"),"Blender blade is not sharp blender blade is not sharp, so hard to prepare my juices. They are not liquid enough")</f>
        <v>Blender blade is not sharp blender blade is not sharp, so hard to prepare my juices. They are not liquid enough</v>
      </c>
    </row>
    <row r="9963">
      <c r="A9963" s="1">
        <v>1.0</v>
      </c>
      <c r="B9963" s="1" t="s">
        <v>9887</v>
      </c>
      <c r="C9963" t="str">
        <f>IFERROR(__xludf.DUMMYFUNCTION("GOOGLETRANSLATE(B9963, ""es"", ""en"")"),"Do not work 4 of 10 (update 6 of 10) And it is no coincidence, I happened on a first order and returned me to spend on a second order. In total about 20, 8 have gone to waste, an absolute disaster with the consequent problem with my clients. Update: I fin"&amp;"ally did not come either 6 10. Money thrown away.")</f>
        <v>Do not work 4 of 10 (update 6 of 10) And it is no coincidence, I happened on a first order and returned me to spend on a second order. In total about 20, 8 have gone to waste, an absolute disaster with the consequent problem with my clients. Update: I finally did not come either 6 10. Money thrown away.</v>
      </c>
    </row>
    <row r="9964">
      <c r="A9964" s="1">
        <v>1.0</v>
      </c>
      <c r="B9964" s="1" t="s">
        <v>9888</v>
      </c>
      <c r="C9964" t="str">
        <f>IFERROR(__xludf.DUMMYFUNCTION("GOOGLETRANSLATE(B9964, ""es"", ""en"")"),"Strong smell of glue. After a month of use and wash often, we'll get rid of it, because it has a strong smell of glue, impossible to remove.")</f>
        <v>Strong smell of glue. After a month of use and wash often, we'll get rid of it, because it has a strong smell of glue, impossible to remove.</v>
      </c>
    </row>
    <row r="9965">
      <c r="A9965" s="1">
        <v>1.0</v>
      </c>
      <c r="B9965" s="1" t="s">
        <v>9889</v>
      </c>
      <c r="C9965" t="str">
        <f>IFERROR(__xludf.DUMMYFUNCTION("GOOGLETRANSLATE(B9965, ""es"", ""en"")"),"It is not recommended as in the photo. It's not pink.")</f>
        <v>It is not recommended as in the photo. It's not pink.</v>
      </c>
    </row>
    <row r="9966">
      <c r="A9966" s="1">
        <v>4.0</v>
      </c>
      <c r="B9966" s="1" t="s">
        <v>9890</v>
      </c>
      <c r="C9966" t="str">
        <f>IFERROR(__xludf.DUMMYFUNCTION("GOOGLETRANSLATE(B9966, ""es"", ""en"")"),"Nice sound excellent design, good sound, but I do not particularly good holding me go, for sports I do not serve.")</f>
        <v>Nice sound excellent design, good sound, but I do not particularly good holding me go, for sports I do not serve.</v>
      </c>
    </row>
    <row r="9967">
      <c r="A9967" s="1">
        <v>4.0</v>
      </c>
      <c r="B9967" s="1" t="s">
        <v>9891</v>
      </c>
      <c r="C9967" t="str">
        <f>IFERROR(__xludf.DUMMYFUNCTION("GOOGLETRANSLATE(B9967, ""es"", ""en"")"),"It moves to the use a little big for my taste. As they say in some other view, non-slip rubber base which brings in is insufficient, you have to be holding the squeezer with one hand while you use it because it is rotated. Moreover, it seems ideal. Just m"&amp;"ake noise and brings out every last drop of juice")</f>
        <v>It moves to the use a little big for my taste. As they say in some other view, non-slip rubber base which brings in is insufficient, you have to be holding the squeezer with one hand while you use it because it is rotated. Moreover, it seems ideal. Just make noise and brings out every last drop of juice</v>
      </c>
    </row>
    <row r="9968">
      <c r="A9968" s="1">
        <v>4.0</v>
      </c>
      <c r="B9968" s="1" t="s">
        <v>9892</v>
      </c>
      <c r="C9968" t="str">
        <f>IFERROR(__xludf.DUMMYFUNCTION("GOOGLETRANSLATE(B9968, ""es"", ""en"")"),"Very comfortable Very comfortable")</f>
        <v>Very comfortable Very comfortable</v>
      </c>
    </row>
    <row r="9969">
      <c r="A9969" s="1">
        <v>4.0</v>
      </c>
      <c r="B9969" s="1" t="s">
        <v>9893</v>
      </c>
      <c r="C9969" t="str">
        <f>IFERROR(__xludf.DUMMYFUNCTION("GOOGLETRANSLATE(B9969, ""es"", ""en"")"),"Fulfills perfectly, but the wifi is more complicated than what they say. In general aspects I am very happy with the purchase, the value is perfect and meets all its promises. It is ideal for use casually, easily installed, easily used and generally does "&amp;"not disappoint. The only complaint I have is particularly the complicated connection WIFI me a little, is the first WIFI printer I buy. The first day was chaos between downloading app's on the phone and send to the printer to print pages of instructions o"&amp;"n how to use the WIFI function. If it will not be because the instructions were not well explained for people who never had a printer of these before, but gave many problems early days for this. Until we could use the WIFI function, since that time is tha"&amp;"t we always use the speed and ease. Whether that was the only problem, that sooner or later we solved without resorting to third-party tutorials or anything, I think that would solve it with just a step-by-step instructions clearer. Rest no complaints, pe"&amp;"rfect for what promises and wonderful for the price.")</f>
        <v>Fulfills perfectly, but the wifi is more complicated than what they say. In general aspects I am very happy with the purchase, the value is perfect and meets all its promises. It is ideal for use casually, easily installed, easily used and generally does not disappoint. The only complaint I have is particularly the complicated connection WIFI me a little, is the first WIFI printer I buy. The first day was chaos between downloading app's on the phone and send to the printer to print pages of instructions on how to use the WIFI function. If it will not be because the instructions were not well explained for people who never had a printer of these before, but gave many problems early days for this. Until we could use the WIFI function, since that time is that we always use the speed and ease. Whether that was the only problem, that sooner or later we solved without resorting to third-party tutorials or anything, I think that would solve it with just a step-by-step instructions clearer. Rest no complaints, perfect for what promises and wonderful for the price.</v>
      </c>
    </row>
    <row r="9970">
      <c r="A9970" s="1">
        <v>4.0</v>
      </c>
      <c r="B9970" s="1" t="s">
        <v>9894</v>
      </c>
      <c r="C9970" t="str">
        <f>IFERROR(__xludf.DUMMYFUNCTION("GOOGLETRANSLATE(B9970, ""es"", ""en"")"),"Functional and practical is easy to use, and convenient. CUMPIO WITH EXPECTATIONS IN THAT WAS PLACED. I'M HAPPY ABOUT THE SHOPPING")</f>
        <v>Functional and practical is easy to use, and convenient. CUMPIO WITH EXPECTATIONS IN THAT WAS PLACED. I'M HAPPY ABOUT THE SHOPPING</v>
      </c>
    </row>
    <row r="9971">
      <c r="A9971" s="1">
        <v>5.0</v>
      </c>
      <c r="B9971" s="1" t="s">
        <v>9895</v>
      </c>
      <c r="C9971" t="str">
        <f>IFERROR(__xludf.DUMMYFUNCTION("GOOGLETRANSLATE(B9971, ""es"", ""en"")"),"Good value for money. They arrived very quickly and well sealed. Good sound quality and perfect finishes. Thank you")</f>
        <v>Good value for money. They arrived very quickly and well sealed. Good sound quality and perfect finishes. Thank you</v>
      </c>
    </row>
    <row r="9972">
      <c r="A9972" s="1">
        <v>5.0</v>
      </c>
      <c r="B9972" s="1" t="s">
        <v>9896</v>
      </c>
      <c r="C9972" t="str">
        <f>IFERROR(__xludf.DUMMYFUNCTION("GOOGLETRANSLATE(B9972, ""es"", ""en"")"),"Interesting product for those who have back pain I was recommended by a friend who had one like it. I found this and how I saw it had some good reviews, I decided to try it. The truth is that in the days that I've used, I liked it, you can massage your ba"&amp;"ck on your own and undo the knots that form in the back by overloading the day. Bones like a massage, but to release tension back every day, I feel very good. As the device weighs little, just to place back, and does not have the function aue press. Very "&amp;"happy moment. Battery and charge it once already several days d use and still hard.")</f>
        <v>Interesting product for those who have back pain I was recommended by a friend who had one like it. I found this and how I saw it had some good reviews, I decided to try it. The truth is that in the days that I've used, I liked it, you can massage your back on your own and undo the knots that form in the back by overloading the day. Bones like a massage, but to release tension back every day, I feel very good. As the device weighs little, just to place back, and does not have the function aue press. Very happy moment. Battery and charge it once already several days d use and still hard.</v>
      </c>
    </row>
    <row r="9973">
      <c r="A9973" s="1">
        <v>5.0</v>
      </c>
      <c r="B9973" s="1" t="s">
        <v>9897</v>
      </c>
      <c r="C9973" t="str">
        <f>IFERROR(__xludf.DUMMYFUNCTION("GOOGLETRANSLATE(B9973, ""es"", ""en"")"),"Good product are comfortable and resistant")</f>
        <v>Good product are comfortable and resistant</v>
      </c>
    </row>
    <row r="9974">
      <c r="A9974" s="1">
        <v>5.0</v>
      </c>
      <c r="B9974" s="1" t="s">
        <v>9898</v>
      </c>
      <c r="C9974" t="str">
        <f>IFERROR(__xludf.DUMMYFUNCTION("GOOGLETRANSLATE(B9974, ""es"", ""en"")"),"As I love is in the pictures, very nice")</f>
        <v>As I love is in the pictures, very nice</v>
      </c>
    </row>
    <row r="9975">
      <c r="A9975" s="1">
        <v>5.0</v>
      </c>
      <c r="B9975" s="1" t="s">
        <v>9899</v>
      </c>
      <c r="C9975" t="str">
        <f>IFERROR(__xludf.DUMMYFUNCTION("GOOGLETRANSLATE(B9975, ""es"", ""en"")"),"TOP Product Medela great. The baby was hooked pretty well, it's a very clean product and gives good results. I recommend it")</f>
        <v>TOP Product Medela great. The baby was hooked pretty well, it's a very clean product and gives good results. I recommend it</v>
      </c>
    </row>
    <row r="9976">
      <c r="A9976" s="1">
        <v>5.0</v>
      </c>
      <c r="B9976" s="1" t="s">
        <v>9900</v>
      </c>
      <c r="C9976" t="str">
        <f>IFERROR(__xludf.DUMMYFUNCTION("GOOGLETRANSLATE(B9976, ""es"", ""en"")"),"I changed and delighted I love shoes, apply to house, street .... whatever you want, comfortable, fresh and also one thing that I really like, is that it does not sound anything being around my mother rubber .... He could have used the weapon thrown;)")</f>
        <v>I changed and delighted I love shoes, apply to house, street .... whatever you want, comfortable, fresh and also one thing that I really like, is that it does not sound anything being around my mother rubber .... He could have used the weapon thrown;)</v>
      </c>
    </row>
    <row r="9977">
      <c r="A9977" s="1">
        <v>5.0</v>
      </c>
      <c r="B9977" s="1" t="s">
        <v>9901</v>
      </c>
      <c r="C9977" t="str">
        <f>IFERROR(__xludf.DUMMYFUNCTION("GOOGLETRANSLATE(B9977, ""es"", ""en"")"),"Okay. A bag I was surprised, I was expecting something else poorer quality, but is made of leather, the seams are finished off mubieo. The bag is discreet in size, comes a portfolio, cover glasses, keys, powerbank 10000mA and cables, pens, handkerchiefs a"&amp;"nd little else. For me, I do not wear enough and more things and still has a place. It is elegant and think, I'm no fashion expert, combining with anything you put you. If you were wondering, I hope my comment you make out for sure and buy it, you will no"&amp;"t regret.")</f>
        <v>Okay. A bag I was surprised, I was expecting something else poorer quality, but is made of leather, the seams are finished off mubieo. The bag is discreet in size, comes a portfolio, cover glasses, keys, powerbank 10000mA and cables, pens, handkerchiefs and little else. For me, I do not wear enough and more things and still has a place. It is elegant and think, I'm no fashion expert, combining with anything you put you. If you were wondering, I hope my comment you make out for sure and buy it, you will not regret.</v>
      </c>
    </row>
    <row r="9978">
      <c r="A9978" s="1">
        <v>5.0</v>
      </c>
      <c r="B9978" s="1" t="s">
        <v>9902</v>
      </c>
      <c r="C9978" t="str">
        <f>IFERROR(__xludf.DUMMYFUNCTION("GOOGLETRANSLATE(B9978, ""es"", ""en"")"),"Other colors would ... Good Buy")</f>
        <v>Other colors would ... Good Buy</v>
      </c>
    </row>
    <row r="9979">
      <c r="A9979" s="1">
        <v>5.0</v>
      </c>
      <c r="B9979" s="1" t="s">
        <v>9903</v>
      </c>
      <c r="C9979" t="str">
        <f>IFERROR(__xludf.DUMMYFUNCTION("GOOGLETRANSLATE(B9979, ""es"", ""en"")"),"Good guitar cable Cable good quality and very fast shipping")</f>
        <v>Good guitar cable Cable good quality and very fast shipping</v>
      </c>
    </row>
    <row r="9980">
      <c r="A9980" s="1">
        <v>5.0</v>
      </c>
      <c r="B9980" s="1" t="s">
        <v>9904</v>
      </c>
      <c r="C9980" t="str">
        <f>IFERROR(__xludf.DUMMYFUNCTION("GOOGLETRANSLATE(B9980, ""es"", ""en"")"),"Good smells Lots of variety and is practical to try many flavors but very fast just being small boats")</f>
        <v>Good smells Lots of variety and is practical to try many flavors but very fast just being small boats</v>
      </c>
    </row>
    <row r="9981">
      <c r="A9981" s="1">
        <v>5.0</v>
      </c>
      <c r="B9981" s="1" t="s">
        <v>9905</v>
      </c>
      <c r="C9981" t="str">
        <f>IFERROR(__xludf.DUMMYFUNCTION("GOOGLETRANSLATE(B9981, ""es"", ""en"")"),"Great product A product with a perfect finish, which also fulfills its function. It comes with some sort of device to adjust the strap to your wrist and it is very easy to use. I loved it.")</f>
        <v>Great product A product with a perfect finish, which also fulfills its function. It comes with some sort of device to adjust the strap to your wrist and it is very easy to use. I loved it.</v>
      </c>
    </row>
    <row r="9982">
      <c r="A9982" s="1">
        <v>5.0</v>
      </c>
      <c r="B9982" s="1" t="s">
        <v>9906</v>
      </c>
      <c r="C9982" t="str">
        <f>IFERROR(__xludf.DUMMYFUNCTION("GOOGLETRANSLATE(B9982, ""es"", ""en"")"),"Perfect very nice, quality at a good price.")</f>
        <v>Perfect very nice, quality at a good price.</v>
      </c>
    </row>
    <row r="9983">
      <c r="A9983" s="1">
        <v>5.0</v>
      </c>
      <c r="B9983" s="1" t="s">
        <v>9907</v>
      </c>
      <c r="C9983" t="str">
        <f>IFERROR(__xludf.DUMMYFUNCTION("GOOGLETRANSLATE(B9983, ""es"", ""en"")"),"Good Love! As I remembered from my childhood. Shoe very comfortable and cool for this time of the year.")</f>
        <v>Good Love! As I remembered from my childhood. Shoe very comfortable and cool for this time of the year.</v>
      </c>
    </row>
    <row r="9984">
      <c r="A9984" s="1">
        <v>5.0</v>
      </c>
      <c r="B9984" s="1" t="s">
        <v>9908</v>
      </c>
      <c r="C9984" t="str">
        <f>IFERROR(__xludf.DUMMYFUNCTION("GOOGLETRANSLATE(B9984, ""es"", ""en"")"),"Clock is fine and nice but the button does not work well and the light is not illuminated well")</f>
        <v>Clock is fine and nice but the button does not work well and the light is not illuminated well</v>
      </c>
    </row>
    <row r="9985">
      <c r="A9985" s="1">
        <v>5.0</v>
      </c>
      <c r="B9985" s="1" t="s">
        <v>9909</v>
      </c>
      <c r="C9985" t="str">
        <f>IFERROR(__xludf.DUMMYFUNCTION("GOOGLETRANSLATE(B9985, ""es"", ""en"")"),"The price-quality is correct The truth is that this very well, but do not understand why not signaled 11 and 4, I would like to tell me because they do otherwise all goes well")</f>
        <v>The price-quality is correct The truth is that this very well, but do not understand why not signaled 11 and 4, I would like to tell me because they do otherwise all goes well</v>
      </c>
    </row>
    <row r="9986">
      <c r="A9986" s="1">
        <v>5.0</v>
      </c>
      <c r="B9986" s="1" t="s">
        <v>9910</v>
      </c>
      <c r="C9986" t="str">
        <f>IFERROR(__xludf.DUMMYFUNCTION("GOOGLETRANSLATE(B9986, ""es"", ""en"")"),"Very good value for money bought them because my husband likes leather bracelets and certainly was right. Would repeat")</f>
        <v>Very good value for money bought them because my husband likes leather bracelets and certainly was right. Would repeat</v>
      </c>
    </row>
    <row r="9987">
      <c r="A9987" s="1">
        <v>5.0</v>
      </c>
      <c r="B9987" s="1" t="s">
        <v>9911</v>
      </c>
      <c r="C9987" t="str">
        <f>IFERROR(__xludf.DUMMYFUNCTION("GOOGLETRANSLATE(B9987, ""es"", ""en"")"),"The only good bug is floating.")</f>
        <v>The only good bug is floating.</v>
      </c>
    </row>
    <row r="9988">
      <c r="A9988" s="1">
        <v>5.0</v>
      </c>
      <c r="B9988" s="1" t="s">
        <v>9912</v>
      </c>
      <c r="C9988" t="str">
        <f>IFERROR(__xludf.DUMMYFUNCTION("GOOGLETRANSLATE(B9988, ""es"", ""en"")"),"I liked everything to excellent, barely try him and backed another 8MB using a YouTube video, now I have two McBoot free, an phenomenal v")</f>
        <v>I liked everything to excellent, barely try him and backed another 8MB using a YouTube video, now I have two McBoot free, an phenomenal v</v>
      </c>
    </row>
    <row r="9989">
      <c r="A9989" s="1">
        <v>5.0</v>
      </c>
      <c r="B9989" s="1" t="s">
        <v>9913</v>
      </c>
      <c r="C9989" t="str">
        <f>IFERROR(__xludf.DUMMYFUNCTION("GOOGLETRANSLATE(B9989, ""es"", ""en"")"),"gift for my mother and I and my mother was looking for and I recommended this because it is very fast, good and great capacity")</f>
        <v>gift for my mother and I and my mother was looking for and I recommended this because it is very fast, good and great capacity</v>
      </c>
    </row>
    <row r="9990">
      <c r="A9990" s="1">
        <v>2.0</v>
      </c>
      <c r="B9990" s="1" t="s">
        <v>9914</v>
      </c>
      <c r="C9990" t="str">
        <f>IFERROR(__xludf.DUMMYFUNCTION("GOOGLETRANSLATE(B9990, ""es"", ""en"")"),"Battery lasts shortly after nearly two months of use to train in the gym, hour and a half a day only, I must say the battery lasts very little compared with headband headphones. When 40% to 20% lowers automatically and duration remains is 20mn. I do not k"&amp;"now if battery defect or is normal but it is quite disappointing")</f>
        <v>Battery lasts shortly after nearly two months of use to train in the gym, hour and a half a day only, I must say the battery lasts very little compared with headband headphones. When 40% to 20% lowers automatically and duration remains is 20mn. I do not know if battery defect or is normal but it is quite disappointing</v>
      </c>
    </row>
    <row r="9991">
      <c r="A9991" s="1">
        <v>3.0</v>
      </c>
      <c r="B9991" s="1" t="s">
        <v>9915</v>
      </c>
      <c r="C9991" t="str">
        <f>IFERROR(__xludf.DUMMYFUNCTION("GOOGLETRANSLATE(B9991, ""es"", ""en"")"),"Small is small enough to keep in mind if you want a larger pendant")</f>
        <v>Small is small enough to keep in mind if you want a larger pendant</v>
      </c>
    </row>
    <row r="9992">
      <c r="A9992" s="1">
        <v>3.0</v>
      </c>
      <c r="B9992" s="1" t="s">
        <v>9916</v>
      </c>
      <c r="C9992" t="str">
        <f>IFERROR(__xludf.DUMMYFUNCTION("GOOGLETRANSLATE(B9992, ""es"", ""en"")"),"They will always be a mystery The title of my review is because I've never had to change a washer because the lime is damaged. Nor do I know anyone who would have passed except ladies ads. I think obsolescence and ensures that washing machines (and all ap"&amp;"pliances, in general) fall blasted by K.O. for reasons outside the lime. I use them because I do notice is that the clothes come out softer, as more ""mellow"". Furthermore, it should take much less soothing and less detergent. A negative is that, often, "&amp;"the capsules do not dissolve completely and am ""remains"" thereof in the washer drum. But on what descaling function as if ... well .... do not think it never last me both a washer and to achieve find out.")</f>
        <v>They will always be a mystery The title of my review is because I've never had to change a washer because the lime is damaged. Nor do I know anyone who would have passed except ladies ads. I think obsolescence and ensures that washing machines (and all appliances, in general) fall blasted by K.O. for reasons outside the lime. I use them because I do notice is that the clothes come out softer, as more "mellow". Furthermore, it should take much less soothing and less detergent. A negative is that, often, the capsules do not dissolve completely and am "remains" thereof in the washer drum. But on what descaling function as if ... well .... do not think it never last me both a washer and to achieve find out.</v>
      </c>
    </row>
    <row r="9993">
      <c r="A9993" s="1">
        <v>1.0</v>
      </c>
      <c r="B9993" s="1" t="s">
        <v>9917</v>
      </c>
      <c r="C9993" t="str">
        <f>IFERROR(__xludf.DUMMYFUNCTION("GOOGLETRANSLATE(B9993, ""es"", ""en"")"),"sporque tube broke disappointment return to the fold after a few days")</f>
        <v>sporque tube broke disappointment return to the fold after a few days</v>
      </c>
    </row>
    <row r="9994">
      <c r="A9994" s="1">
        <v>1.0</v>
      </c>
      <c r="B9994" s="1" t="s">
        <v>9918</v>
      </c>
      <c r="C9994" t="str">
        <f>IFERROR(__xludf.DUMMYFUNCTION("GOOGLETRANSLATE(B9994, ""es"", ""en"")"),"Mete moisture does not take water directly ..... !!! The watch is very nice ... but a lot! But it is that you can not even wash your face in the morning. Mete water as a flat raft. I have bought, among other things, provided that alagua be tough, as truly"&amp;" puts it at the top and in the description. Seek a solution please, thank you very much.")</f>
        <v>Mete moisture does not take water directly ..... !!! The watch is very nice ... but a lot! But it is that you can not even wash your face in the morning. Mete water as a flat raft. I have bought, among other things, provided that alagua be tough, as truly puts it at the top and in the description. Seek a solution please, thank you very much.</v>
      </c>
    </row>
    <row r="9995">
      <c r="A9995" s="1">
        <v>4.0</v>
      </c>
      <c r="B9995" s="1" t="s">
        <v>9919</v>
      </c>
      <c r="C9995" t="str">
        <f>IFERROR(__xludf.DUMMYFUNCTION("GOOGLETRANSLATE(B9995, ""es"", ""en"")"),"It fulfills its function not disk faster but does the job perfectly. He has revived the laptop of a family and at a lower price to others. More than half a year it is working as the first day.")</f>
        <v>It fulfills its function not disk faster but does the job perfectly. He has revived the laptop of a family and at a lower price to others. More than half a year it is working as the first day.</v>
      </c>
    </row>
    <row r="9996">
      <c r="A9996" s="1">
        <v>4.0</v>
      </c>
      <c r="B9996" s="1" t="s">
        <v>9920</v>
      </c>
      <c r="C9996" t="str">
        <f>IFERROR(__xludf.DUMMYFUNCTION("GOOGLETRANSLATE(B9996, ""es"", ""en"")"),"Nice watch at a good price Very good value / price. Which I had not received the colors of the photo (blue and red), but black and red. I liked as I have not returned. I was about to return because after buying saw SEIKO Prospex Solar PADI, besides being "&amp;"DIVER 200, has the screwed crown and not when stop using, besides being very beautiful. I also like Prospex SOLAR SEIKO black dial with red second hand.")</f>
        <v>Nice watch at a good price Very good value / price. Which I had not received the colors of the photo (blue and red), but black and red. I liked as I have not returned. I was about to return because after buying saw SEIKO Prospex Solar PADI, besides being DIVER 200, has the screwed crown and not when stop using, besides being very beautiful. I also like Prospex SOLAR SEIKO black dial with red second hand.</v>
      </c>
    </row>
    <row r="9997">
      <c r="A9997" s="1">
        <v>4.0</v>
      </c>
      <c r="B9997" s="1" t="s">
        <v>9921</v>
      </c>
      <c r="C9997" t="str">
        <f>IFERROR(__xludf.DUMMYFUNCTION("GOOGLETRANSLATE(B9997, ""es"", ""en"")"),"I read perfectly meet all kinds of opinions and the end I decided to buy them. Now that I have to say to me that I have a middle ear I have to put the minimum in adjusting adjustable size and me are perfect, so I imagine that people with small ears will d"&amp;"ance a little, not my case, my truth is that I perfectly coupled Regarding the sound quality is only average. All this combined with the price is pretty good compared to other options makes it a 4 star values. The only downside I see them is the cable is "&amp;"very weak, it looks like a poor quality-durability (now leads the auricualres have improved a lot, this, by contrast, paracer as from another era), but that remains to be seen with time, perhaps only is my impression.")</f>
        <v>I read perfectly meet all kinds of opinions and the end I decided to buy them. Now that I have to say to me that I have a middle ear I have to put the minimum in adjusting adjustable size and me are perfect, so I imagine that people with small ears will dance a little, not my case, my truth is that I perfectly coupled Regarding the sound quality is only average. All this combined with the price is pretty good compared to other options makes it a 4 star values. The only downside I see them is the cable is very weak, it looks like a poor quality-durability (now leads the auricualres have improved a lot, this, by contrast, paracer as from another era), but that remains to be seen with time, perhaps only is my impression.</v>
      </c>
    </row>
    <row r="9998">
      <c r="A9998" s="1">
        <v>4.0</v>
      </c>
      <c r="B9998" s="1" t="s">
        <v>9922</v>
      </c>
      <c r="C9998" t="str">
        <f>IFERROR(__xludf.DUMMYFUNCTION("GOOGLETRANSLATE(B9998, ""es"", ""en"")"),"Compared Imbatible Boss. Only some shade lighter in tone, in addition to the distance range. In the case of Ammon I I arrived at a distance of 10mts. With a separation plant. The other had unalcance a few steps. I find it an excellent product for price an"&amp;"d quality. . The rechargeable battery lasts several hours and is easily synchronized.")</f>
        <v>Compared Imbatible Boss. Only some shade lighter in tone, in addition to the distance range. In the case of Ammon I I arrived at a distance of 10mts. With a separation plant. The other had unalcance a few steps. I find it an excellent product for price and quality. . The rechargeable battery lasts several hours and is easily synchronized.</v>
      </c>
    </row>
    <row r="9999">
      <c r="A9999" s="1">
        <v>4.0</v>
      </c>
      <c r="B9999" s="1" t="s">
        <v>9923</v>
      </c>
      <c r="C9999" t="str">
        <f>IFERROR(__xludf.DUMMYFUNCTION("GOOGLETRANSLATE(B9999, ""es"", ""en"")"),"Smell very rich! Has a very rich smell even being used essential oils seems to be used a lot amount to smell a lot, but would definitely recommend it because the smell is very rich. I repeat!")</f>
        <v>Smell very rich! Has a very rich smell even being used essential oils seems to be used a lot amount to smell a lot, but would definitely recommend it because the smell is very rich. I repeat!</v>
      </c>
    </row>
    <row r="10000">
      <c r="A10000" s="1">
        <v>5.0</v>
      </c>
      <c r="B10000" s="1" t="s">
        <v>9924</v>
      </c>
      <c r="C10000" t="str">
        <f>IFERROR(__xludf.DUMMYFUNCTION("GOOGLETRANSLATE(B10000, ""es"", ""en"")"),"Very good Excellent precious quality, I am very happy with the bottle")</f>
        <v>Very good Excellent precious quality, I am very happy with the bottle</v>
      </c>
    </row>
    <row r="10001">
      <c r="A10001" s="1">
        <v>5.0</v>
      </c>
      <c r="B10001" s="1" t="s">
        <v>9925</v>
      </c>
      <c r="C10001" t="str">
        <f>IFERROR(__xludf.DUMMYFUNCTION("GOOGLETRANSLATE(B10001, ""es"", ""en"")"),"Very good product I've seen that a user the temperature of the ssd him up a lot, I performed the test and has just gone to my 30 degrees you doing tests with files 10GB, the incredible speed and super easy installation ... A success . I hope it lasts a lo"&amp;"ng time as well.")</f>
        <v>Very good product I've seen that a user the temperature of the ssd him up a lot, I performed the test and has just gone to my 30 degrees you doing tests with files 10GB, the incredible speed and super easy installation ... A success . I hope it lasts a long time as well.</v>
      </c>
    </row>
    <row r="10002">
      <c r="A10002" s="1">
        <v>5.0</v>
      </c>
      <c r="B10002" s="1" t="s">
        <v>9926</v>
      </c>
      <c r="C10002" t="str">
        <f>IFERROR(__xludf.DUMMYFUNCTION("GOOGLETRANSLATE(B10002, ""es"", ""en"")"),"Good quality, size a little big crocs, perfect quality. If it's for someone reference, I have other crocs, clogs these types, with winter cover. They are size 11, and instead fall 11 of the crocband me great. I changed from a size 10, I feel perfect.")</f>
        <v>Good quality, size a little big crocs, perfect quality. If it's for someone reference, I have other crocs, clogs these types, with winter cover. They are size 11, and instead fall 11 of the crocband me great. I changed from a size 10, I feel perfect.</v>
      </c>
    </row>
    <row r="10003">
      <c r="A10003" s="1">
        <v>5.0</v>
      </c>
      <c r="B10003" s="1" t="s">
        <v>9927</v>
      </c>
      <c r="C10003" t="str">
        <f>IFERROR(__xludf.DUMMYFUNCTION("GOOGLETRANSLATE(B10003, ""es"", ""en"")"),"Ideal The pendant is ideal! Bright, thin, a perfect gift. It comes in a box that also carries a bag to save a jeweler or carry travel and a handkerchief to clean it. The very rapid shipment. Very happy with the purchase!")</f>
        <v>Ideal The pendant is ideal! Bright, thin, a perfect gift. It comes in a box that also carries a bag to save a jeweler or carry travel and a handkerchief to clean it. The very rapid shipment. Very happy with the purchase!</v>
      </c>
    </row>
    <row r="10004">
      <c r="A10004" s="1">
        <v>5.0</v>
      </c>
      <c r="B10004" s="1" t="s">
        <v>9928</v>
      </c>
      <c r="C10004" t="str">
        <f>IFERROR(__xludf.DUMMYFUNCTION("GOOGLETRANSLATE(B10004, ""es"", ""en"")"),"Lectern to study a lectern if you are looking for when you study, you read or do you use a cookbook. For me this is the best, although it seems that the plastic will not last long, enduring enough. Okay that you use it with a book of 1,000 pages you can f"&amp;"orce it, but I have used books 600 pages and very well.")</f>
        <v>Lectern to study a lectern if you are looking for when you study, you read or do you use a cookbook. For me this is the best, although it seems that the plastic will not last long, enduring enough. Okay that you use it with a book of 1,000 pages you can force it, but I have used books 600 pages and very well.</v>
      </c>
    </row>
    <row r="10005">
      <c r="A10005" s="1">
        <v>5.0</v>
      </c>
      <c r="B10005" s="1" t="s">
        <v>9929</v>
      </c>
      <c r="C10005" t="str">
        <f>IFERROR(__xludf.DUMMYFUNCTION("GOOGLETRANSLATE(B10005, ""es"", ""en"")"),"Good Value for money Versatil good")</f>
        <v>Good Value for money Versatil good</v>
      </c>
    </row>
    <row r="10006">
      <c r="A10006" s="1">
        <v>5.0</v>
      </c>
      <c r="B10006" s="1" t="s">
        <v>9930</v>
      </c>
      <c r="C10006" t="str">
        <f>IFERROR(__xludf.DUMMYFUNCTION("GOOGLETRANSLATE(B10006, ""es"", ""en"")"),"Comfortable What I liked most used to clean walls and cars, the least is that it is a bit short")</f>
        <v>Comfortable What I liked most used to clean walls and cars, the least is that it is a bit short</v>
      </c>
    </row>
    <row r="10007">
      <c r="A10007" s="1">
        <v>5.0</v>
      </c>
      <c r="B10007" s="1" t="s">
        <v>9931</v>
      </c>
      <c r="C10007" t="str">
        <f>IFERROR(__xludf.DUMMYFUNCTION("GOOGLETRANSLATE(B10007, ""es"", ""en"")"),"Magnifica comfortable buying, good value")</f>
        <v>Magnifica comfortable buying, good value</v>
      </c>
    </row>
    <row r="10008">
      <c r="A10008" s="1">
        <v>5.0</v>
      </c>
      <c r="B10008" s="1" t="s">
        <v>9932</v>
      </c>
      <c r="C10008" t="str">
        <f>IFERROR(__xludf.DUMMYFUNCTION("GOOGLETRANSLATE(B10008, ""es"", ""en"")"),"Good pendrive is very convenient to take along on a keychain, and I put the keys in the car, it is always useful to have a hand pendrive.")</f>
        <v>Good pendrive is very convenient to take along on a keychain, and I put the keys in the car, it is always useful to have a hand pendrive.</v>
      </c>
    </row>
    <row r="10009">
      <c r="A10009" s="1">
        <v>5.0</v>
      </c>
      <c r="B10009" s="1" t="s">
        <v>9933</v>
      </c>
      <c r="C10009" t="str">
        <f>IFERROR(__xludf.DUMMYFUNCTION("GOOGLETRANSLATE(B10009, ""es"", ""en"")"),"how fast I really liked the efficiency between ordering and purchasing the product. The right quality for the product being purchased brand.")</f>
        <v>how fast I really liked the efficiency between ordering and purchasing the product. The right quality for the product being purchased brand.</v>
      </c>
    </row>
    <row r="10010">
      <c r="A10010" s="1">
        <v>5.0</v>
      </c>
      <c r="B10010" s="1" t="s">
        <v>9934</v>
      </c>
      <c r="C10010" t="str">
        <f>IFERROR(__xludf.DUMMYFUNCTION("GOOGLETRANSLATE(B10010, ""es"", ""en"")"),"Very good for me to come early, and it is very easy to use. I am very happy with him and I'll ask for more. Quality - price, excellent.")</f>
        <v>Very good for me to come early, and it is very easy to use. I am very happy with him and I'll ask for more. Quality - price, excellent.</v>
      </c>
    </row>
    <row r="10011">
      <c r="A10011" s="1">
        <v>5.0</v>
      </c>
      <c r="B10011" s="1" t="s">
        <v>9935</v>
      </c>
      <c r="C10011" t="str">
        <f>IFERROR(__xludf.DUMMYFUNCTION("GOOGLETRANSLATE(B10011, ""es"", ""en"")"),"Very good quality are very good quality, you can fit many folios inside without problem that also break the price it makes fantastic.")</f>
        <v>Very good quality are very good quality, you can fit many folios inside without problem that also break the price it makes fantastic.</v>
      </c>
    </row>
    <row r="10012">
      <c r="A10012" s="1">
        <v>5.0</v>
      </c>
      <c r="B10012" s="1" t="s">
        <v>9936</v>
      </c>
      <c r="C10012" t="str">
        <f>IFERROR(__xludf.DUMMYFUNCTION("GOOGLETRANSLATE(B10012, ""es"", ""en"")"),"Ideal for lapices save. Buy the A6, and lapices save this perfect, I recommend it, good plastic material is perfect on the desktop.")</f>
        <v>Ideal for lapices save. Buy the A6, and lapices save this perfect, I recommend it, good plastic material is perfect on the desktop.</v>
      </c>
    </row>
    <row r="10013">
      <c r="A10013" s="1">
        <v>5.0</v>
      </c>
      <c r="B10013" s="1" t="s">
        <v>9937</v>
      </c>
      <c r="C10013" t="str">
        <f>IFERROR(__xludf.DUMMYFUNCTION("GOOGLETRANSLATE(B10013, ""es"", ""en"")"),"Elegant needed a clock for days when you have to go well dressed. The watch is exactly like the photos. It is very beautiful and elegant. It looks sturdy and quality, but for now it's just printing. It has chronometer which comes in handy if you do sport.")</f>
        <v>Elegant needed a clock for days when you have to go well dressed. The watch is exactly like the photos. It is very beautiful and elegant. It looks sturdy and quality, but for now it's just printing. It has chronometer which comes in handy if you do sport.</v>
      </c>
    </row>
    <row r="10014">
      <c r="A10014" s="1">
        <v>5.0</v>
      </c>
      <c r="B10014" s="1" t="s">
        <v>9938</v>
      </c>
      <c r="C10014" t="str">
        <f>IFERROR(__xludf.DUMMYFUNCTION("GOOGLETRANSLATE(B10014, ""es"", ""en"")"),"all right all right")</f>
        <v>all right all right</v>
      </c>
    </row>
    <row r="10015">
      <c r="A10015" s="1">
        <v>5.0</v>
      </c>
      <c r="B10015" s="1" t="s">
        <v>9939</v>
      </c>
      <c r="C10015" t="str">
        <f>IFERROR(__xludf.DUMMYFUNCTION("GOOGLETRANSLATE(B10015, ""es"", ""en"")"),"Good product in its category Hi, good quality materials and me liked the detail of the retractable blade guard. Good to touch and robust")</f>
        <v>Good product in its category Hi, good quality materials and me liked the detail of the retractable blade guard. Good to touch and robust</v>
      </c>
    </row>
    <row r="10016">
      <c r="A10016" s="1">
        <v>5.0</v>
      </c>
      <c r="B10016" s="1" t="s">
        <v>9940</v>
      </c>
      <c r="C10016" t="str">
        <f>IFERROR(__xludf.DUMMYFUNCTION("GOOGLETRANSLATE(B10016, ""es"", ""en"")"),"RETRO AND ELEGANT, OLD AND MODERN FUNCTIONS. == RETRO AND ELEGANT, OLD AND MODERN FEATURES == Hola amigos / as Internet Today we will see a pot that combines ancient retro design with modern features required to make good coffee, the brand is RUSSEL HOBBS"&amp;" sold and shipped by Amazon Spain from its website, where fabric can wrap gift if you request it. This retro coffee is called: == RUSSELL HOBBS 21701-56 RETRO, BREWER STAINLESS STEEL WITH GLASS PITCHER == Coffeemaker indicates the progress of preparation "&amp;"of coffee by the leading indicator on the front of the coffee, we also It indicates how long it takes activates the heat maintenance. === === HOW COME The coffee comes well packaged inside a cardboard box plasticized black color, the box measures 26.5 x 3"&amp;"5 x 20.8 cms. In front of the box we can see a large photo of coffee, and above it the name of the brand, RUSSEL HOBBS, we also show that belonging to a collection, retro, and show us the color, CLASSIC NOIR, in addition to pointing out the main functions"&amp;" of the appliance, these characteristics I will specify in section, as in the rest of the box we can see carias photos, explanatory of the features and functions of the brewer. We boxed coffee, a glass jar, a measuring spoon, and user manual. === === DESC"&amp;"RIPTION AND CHARACTERISTICS is black retro style and color, metal accents leads, particularly at the base and at the top where it fits the glass jug on the metal part of the base is engraved the brand name in the same metal, RUSSELL HOBBS, at the top carr"&amp;"ies a progress of coffee, a glass circle oval with a needle inside indicating the temperature and the progress of heating, this detail is very retro, on the side of the body carries the water indicator, indicate ten normal and cups 15 small, and the power"&amp;" switch, the system coffee is different from the rest of the coffee we know this, instead of falling a water jet, carries an elongated tube and water is falling on coffee with advanced spraying, so that all coffee reaches equally claw is glass and accommo"&amp;"dates 1.25 liters of coffee, sufficient ten large-sized coffees. Its main features are: - Brand: RUSSELL HOBBS - Model: 21701-56 RETRO - Name: RUSSELL HOBBS 21701-56 RETRO, BREWER STAINLESS STEEL WITH GLASS PITCHER - Collection: Retro - Jug: Glass - Capac"&amp;"ity: 1, 25 liter 10-cup large coffee - Material production: Stainless Steel with details Retro - Power: 1000W - Voltage: 240 volts === === USE We fill the water tank and the coffee (not included filters need in the box), turn it on and see the preparation"&amp;" of the coffee by the indicator front, in addition to the maintenance function of heat, a finished instead of extracting the coffee we took the jar and serve, has a very interesting function, that is, we can draw the jar without finishing, the coffee will"&amp;" pause mode automatic way, we serve, and to put back the jug, continuous extracting coffee. === === CONCLUSION I love, first by its retro design is very elegant, and second by modern functions carried, such as the spray system and automatic coffee break t"&amp;"o get a cup of coffee without you have finished removing it all, I also like it because I consider it a mark of quality and confidence, having a value fantastic, for all that, and everything said in this review, no doubt, if ADVISE . Thanks for reading me"&amp;". A greeting. Moito67_Ray")</f>
        <v>RETRO AND ELEGANT, OLD AND MODERN FUNCTIONS. == RETRO AND ELEGANT, OLD AND MODERN FEATURES == Hola amigos / as Internet Today we will see a pot that combines ancient retro design with modern features required to make good coffee, the brand is RUSSEL HOBBS sold and shipped by Amazon Spain from its website, where fabric can wrap gift if you request it. This retro coffee is called: == RUSSELL HOBBS 21701-56 RETRO, BREWER STAINLESS STEEL WITH GLASS PITCHER == Coffeemaker indicates the progress of preparation of coffee by the leading indicator on the front of the coffee, we also It indicates how long it takes activates the heat maintenance. === === HOW COME The coffee comes well packaged inside a cardboard box plasticized black color, the box measures 26.5 x 35 x 20.8 cms. In front of the box we can see a large photo of coffee, and above it the name of the brand, RUSSEL HOBBS, we also show that belonging to a collection, retro, and show us the color, CLASSIC NOIR, in addition to pointing out the main functions of the appliance, these characteristics I will specify in section, as in the rest of the box we can see carias photos, explanatory of the features and functions of the brewer. We boxed coffee, a glass jar, a measuring spoon, and user manual. === === DESCRIPTION AND CHARACTERISTICS is black retro style and color, metal accents leads, particularly at the base and at the top where it fits the glass jug on the metal part of the base is engraved the brand name in the same metal, RUSSELL HOBBS, at the top carries a progress of coffee, a glass circle oval with a needle inside indicating the temperature and the progress of heating, this detail is very retro, on the side of the body carries the water indicator, indicate ten normal and cups 15 small, and the power switch, the system coffee is different from the rest of the coffee we know this, instead of falling a water jet, carries an elongated tube and water is falling on coffee with advanced spraying, so that all coffee reaches equally claw is glass and accommodates 1.25 liters of coffee, sufficient ten large-sized coffees. Its main features are: - Brand: RUSSELL HOBBS - Model: 21701-56 RETRO - Name: RUSSELL HOBBS 21701-56 RETRO, BREWER STAINLESS STEEL WITH GLASS PITCHER - Collection: Retro - Jug: Glass - Capacity: 1, 25 liter 10-cup large coffee - Material production: Stainless Steel with details Retro - Power: 1000W - Voltage: 240 volts === === USE We fill the water tank and the coffee (not included filters need in the box), turn it on and see the preparation of the coffee by the indicator front, in addition to the maintenance function of heat, a finished instead of extracting the coffee we took the jar and serve, has a very interesting function, that is, we can draw the jar without finishing, the coffee will pause mode automatic way, we serve, and to put back the jug, continuous extracting coffee. === === CONCLUSION I love, first by its retro design is very elegant, and second by modern functions carried, such as the spray system and automatic coffee break to get a cup of coffee without you have finished removing it all, I also like it because I consider it a mark of quality and confidence, having a value fantastic, for all that, and everything said in this review, no doubt, if ADVISE . Thanks for reading me. A greeting. Moito67_Ray</v>
      </c>
    </row>
    <row r="10017">
      <c r="A10017" s="1">
        <v>5.0</v>
      </c>
      <c r="B10017" s="1" t="s">
        <v>9941</v>
      </c>
      <c r="C10017" t="str">
        <f>IFERROR(__xludf.DUMMYFUNCTION("GOOGLETRANSLATE(B10017, ""es"", ""en"")"),"Comfortably made in Spain As always with Panama Jack have quality and good shoes. To be super comfortable new boots. Chock a .44 and bought a size too. They are somewhat expensive but much cheaper than in department stores. Happy with purchase")</f>
        <v>Comfortably made in Spain As always with Panama Jack have quality and good shoes. To be super comfortable new boots. Chock a .44 and bought a size too. They are somewhat expensive but much cheaper than in department stores. Happy with purchase</v>
      </c>
    </row>
    <row r="10018">
      <c r="A10018" s="1">
        <v>2.0</v>
      </c>
      <c r="B10018" s="1" t="s">
        <v>9942</v>
      </c>
      <c r="C10018" t="str">
        <f>IFERROR(__xludf.DUMMYFUNCTION("GOOGLETRANSLATE(B10018, ""es"", ""en"")"),"I do not advise your purchase not worth your purchase, it is not a clean sound, distorted as you climb a little volume. For a room about 12 square meters just given to listening to loud music.")</f>
        <v>I do not advise your purchase not worth your purchase, it is not a clean sound, distorted as you climb a little volume. For a room about 12 square meters just given to listening to loud music.</v>
      </c>
    </row>
    <row r="10019">
      <c r="A10019" s="1">
        <v>3.0</v>
      </c>
      <c r="B10019" s="1" t="s">
        <v>9943</v>
      </c>
      <c r="C10019" t="str">
        <f>IFERROR(__xludf.DUMMYFUNCTION("GOOGLETRANSLATE(B10019, ""es"", ""en"")"),"The battery is a big problem the battery lasts a stop 3h and a half 4 as a long and time charging the are 10h low not sound than expected, listen very high but the audio quality without practically no use hype anything, but for the price it is not bad")</f>
        <v>The battery is a big problem the battery lasts a stop 3h and a half 4 as a long and time charging the are 10h low not sound than expected, listen very high but the audio quality without practically no use hype anything, but for the price it is not bad</v>
      </c>
    </row>
    <row r="10020">
      <c r="A10020" s="1">
        <v>3.0</v>
      </c>
      <c r="B10020" s="1" t="s">
        <v>9944</v>
      </c>
      <c r="C10020" t="str">
        <f>IFERROR(__xludf.DUMMYFUNCTION("GOOGLETRANSLATE(B10020, ""es"", ""en"")"),"With doubts that there are many models converse, but I've had three pairs of these same and these have been the only ones that the logo on the rear part is painted in gray and not embossed, so I raises questions about originality, and that look more like "&amp;"a genuine copy Chinese, as they bring every detail of the original. Without being thoughtful, not noticeable if not original except that detail.")</f>
        <v>With doubts that there are many models converse, but I've had three pairs of these same and these have been the only ones that the logo on the rear part is painted in gray and not embossed, so I raises questions about originality, and that look more like a genuine copy Chinese, as they bring every detail of the original. Without being thoughtful, not noticeable if not original except that detail.</v>
      </c>
    </row>
    <row r="10021">
      <c r="A10021" s="1">
        <v>1.0</v>
      </c>
      <c r="B10021" s="1" t="s">
        <v>9945</v>
      </c>
      <c r="C10021" t="str">
        <f>IFERROR(__xludf.DUMMYFUNCTION("GOOGLETRANSLATE(B10021, ""es"", ""en"")"),"It is false After several record videos to take to another computer, is that they are corrupt and can not be seen. I've been a software that evaluates the real space of these cards, and it has a 8Gb, so everything that deals with more, overwrites the prev"&amp;"ious content and therefore corrupts. The price should have been a clue but I wanted to risk, thought that Amazon is not AliExpress, but it seems so ...")</f>
        <v>It is false After several record videos to take to another computer, is that they are corrupt and can not be seen. I've been a software that evaluates the real space of these cards, and it has a 8Gb, so everything that deals with more, overwrites the previous content and therefore corrupts. The price should have been a clue but I wanted to risk, thought that Amazon is not AliExpress, but it seems so ...</v>
      </c>
    </row>
    <row r="10022">
      <c r="A10022" s="1">
        <v>1.0</v>
      </c>
      <c r="B10022" s="1" t="s">
        <v>9946</v>
      </c>
      <c r="C10022" t="str">
        <f>IFERROR(__xludf.DUMMYFUNCTION("GOOGLETRANSLATE(B10022, ""es"", ""en"")"),"Baratucho. Not really worth Mala radically different quality and presentation that appears in the ad. Not worth it.")</f>
        <v>Baratucho. Not really worth Mala radically different quality and presentation that appears in the ad. Not worth it.</v>
      </c>
    </row>
    <row r="10023">
      <c r="A10023" s="1">
        <v>4.0</v>
      </c>
      <c r="B10023" s="1" t="s">
        <v>9947</v>
      </c>
      <c r="C10023" t="str">
        <f>IFERROR(__xludf.DUMMYFUNCTION("GOOGLETRANSLATE(B10023, ""es"", ""en"")"),"I'm happy Very nice")</f>
        <v>I'm happy Very nice</v>
      </c>
    </row>
    <row r="10024">
      <c r="A10024" s="1">
        <v>4.0</v>
      </c>
      <c r="B10024" s="1" t="s">
        <v>9948</v>
      </c>
      <c r="C10024" t="str">
        <f>IFERROR(__xludf.DUMMYFUNCTION("GOOGLETRANSLATE(B10024, ""es"", ""en"")"),"Very good Everything")</f>
        <v>Very good Everything</v>
      </c>
    </row>
    <row r="10025">
      <c r="A10025" s="1">
        <v>4.0</v>
      </c>
      <c r="B10025" s="1" t="s">
        <v>9949</v>
      </c>
      <c r="C10025" t="str">
        <f>IFERROR(__xludf.DUMMYFUNCTION("GOOGLETRANSLATE(B10025, ""es"", ""en"")"),"Perfecte perfecte is exactament ho what you were looking.")</f>
        <v>Perfecte perfecte is exactament ho what you were looking.</v>
      </c>
    </row>
    <row r="10026">
      <c r="A10026" s="1">
        <v>4.0</v>
      </c>
      <c r="B10026" s="1" t="s">
        <v>9950</v>
      </c>
      <c r="C10026" t="str">
        <f>IFERROR(__xludf.DUMMYFUNCTION("GOOGLETRANSLATE(B10026, ""es"", ""en"")"),"Quality UA Under Armor shirt. The tissue is typically the UA, high quality, breathable and tight. The design seems perfect, colors as they are seen in the photo. The only but that I can put it it is in the shaping, carving very small compared to other mod"&amp;"els of the same brand. As first layer is perfect, but the design has not teach it would be a shame.")</f>
        <v>Quality UA Under Armor shirt. The tissue is typically the UA, high quality, breathable and tight. The design seems perfect, colors as they are seen in the photo. The only but that I can put it it is in the shaping, carving very small compared to other models of the same brand. As first layer is perfect, but the design has not teach it would be a shame.</v>
      </c>
    </row>
    <row r="10027">
      <c r="A10027" s="1">
        <v>5.0</v>
      </c>
      <c r="B10027" s="1" t="s">
        <v>9951</v>
      </c>
      <c r="C10027" t="str">
        <f>IFERROR(__xludf.DUMMYFUNCTION("GOOGLETRANSLATE(B10027, ""es"", ""en"")"),"price cheaper if I sing! The delivery of the product was quick and took 2 days. Now it has been used. The warm summer home accompanied by her. Offers a touch of freshness and the product looks beautiful. To my family loves it!")</f>
        <v>price cheaper if I sing! The delivery of the product was quick and took 2 days. Now it has been used. The warm summer home accompanied by her. Offers a touch of freshness and the product looks beautiful. To my family loves it!</v>
      </c>
    </row>
    <row r="10028">
      <c r="A10028" s="1">
        <v>5.0</v>
      </c>
      <c r="B10028" s="1" t="s">
        <v>9952</v>
      </c>
      <c r="C10028" t="str">
        <f>IFERROR(__xludf.DUMMYFUNCTION("GOOGLETRANSLATE(B10028, ""es"", ""en"")"),"Great great, it shows the difference very much, great and go half price than in other sites keep buying them and super spot before date")</f>
        <v>Great great, it shows the difference very much, great and go half price than in other sites keep buying them and super spot before date</v>
      </c>
    </row>
    <row r="10029">
      <c r="A10029" s="1">
        <v>5.0</v>
      </c>
      <c r="B10029" s="1" t="s">
        <v>9953</v>
      </c>
      <c r="C10029" t="str">
        <f>IFERROR(__xludf.DUMMYFUNCTION("GOOGLETRANSLATE(B10029, ""es"", ""en"")"),"Perfect going very well. It is like the original that came with the mixer me, but bigger. S will slip kick on garlic and fit the lid l container, but the original was already the case. It works very well.")</f>
        <v>Perfect going very well. It is like the original that came with the mixer me, but bigger. S will slip kick on garlic and fit the lid l container, but the original was already the case. It works very well.</v>
      </c>
    </row>
    <row r="10030">
      <c r="A10030" s="1">
        <v>5.0</v>
      </c>
      <c r="B10030" s="1" t="s">
        <v>1425</v>
      </c>
      <c r="C10030" t="str">
        <f>IFERROR(__xludf.DUMMYFUNCTION("GOOGLETRANSLATE(B10030, ""es"", ""en"")"),"perfect perfect")</f>
        <v>perfect perfect</v>
      </c>
    </row>
    <row r="10031">
      <c r="A10031" s="1">
        <v>5.0</v>
      </c>
      <c r="B10031" s="1" t="s">
        <v>9954</v>
      </c>
      <c r="C10031" t="str">
        <f>IFERROR(__xludf.DUMMYFUNCTION("GOOGLETRANSLATE(B10031, ""es"", ""en"")"),"A comfortable and beautiful gift that has been delighted")</f>
        <v>A comfortable and beautiful gift that has been delighted</v>
      </c>
    </row>
    <row r="10032">
      <c r="A10032" s="1">
        <v>5.0</v>
      </c>
      <c r="B10032" s="1" t="s">
        <v>9955</v>
      </c>
      <c r="C10032" t="str">
        <f>IFERROR(__xludf.DUMMYFUNCTION("GOOGLETRANSLATE(B10032, ""es"", ""en"")"),"Comfort Everything I like")</f>
        <v>Comfort Everything I like</v>
      </c>
    </row>
    <row r="10033">
      <c r="A10033" s="1">
        <v>5.0</v>
      </c>
      <c r="B10033" s="1" t="s">
        <v>9956</v>
      </c>
      <c r="C10033" t="str">
        <f>IFERROR(__xludf.DUMMYFUNCTION("GOOGLETRANSLATE(B10033, ""es"", ""en"")"),"Expected Very good quality.")</f>
        <v>Expected Very good quality.</v>
      </c>
    </row>
    <row r="10034">
      <c r="A10034" s="1">
        <v>5.0</v>
      </c>
      <c r="B10034" s="1" t="s">
        <v>9957</v>
      </c>
      <c r="C10034" t="str">
        <f>IFERROR(__xludf.DUMMYFUNCTION("GOOGLETRANSLATE(B10034, ""es"", ""en"")"),"Easier to use if it is comfortable to use having two directions.")</f>
        <v>Easier to use if it is comfortable to use having two directions.</v>
      </c>
    </row>
    <row r="10035">
      <c r="A10035" s="1">
        <v>5.0</v>
      </c>
      <c r="B10035" s="1" t="s">
        <v>9958</v>
      </c>
      <c r="C10035" t="str">
        <f>IFERROR(__xludf.DUMMYFUNCTION("GOOGLETRANSLATE(B10035, ""es"", ""en"")"),"Ideal for walking As always Skechers does not fail. A comfortable shoe and light as a feather. My mother is delighted with her new companions ride.")</f>
        <v>Ideal for walking As always Skechers does not fail. A comfortable shoe and light as a feather. My mother is delighted with her new companions ride.</v>
      </c>
    </row>
    <row r="10036">
      <c r="A10036" s="1">
        <v>5.0</v>
      </c>
      <c r="B10036" s="1" t="s">
        <v>9959</v>
      </c>
      <c r="C10036" t="str">
        <f>IFERROR(__xludf.DUMMYFUNCTION("GOOGLETRANSLATE(B10036, ""es"", ""en"")"),"10 in all very happy and came the day they told me")</f>
        <v>10 in all very happy and came the day they told me</v>
      </c>
    </row>
    <row r="10037">
      <c r="A10037" s="1">
        <v>5.0</v>
      </c>
      <c r="B10037" s="1" t="s">
        <v>9960</v>
      </c>
      <c r="C10037" t="str">
        <f>IFERROR(__xludf.DUMMYFUNCTION("GOOGLETRANSLATE(B10037, ""es"", ""en"")"),"Very convenient and comfortable .... The product has a very good price / quality ratio. I've tried emulator and a Fender Junior. Needless to deceive, because the sound is altered in comparison with cable, but nothing that is to rend their garments ....")</f>
        <v>Very convenient and comfortable .... The product has a very good price / quality ratio. I've tried emulator and a Fender Junior. Needless to deceive, because the sound is altered in comparison with cable, but nothing that is to rend their garments ....</v>
      </c>
    </row>
    <row r="10038">
      <c r="A10038" s="1">
        <v>5.0</v>
      </c>
      <c r="B10038" s="1" t="s">
        <v>9961</v>
      </c>
      <c r="C10038" t="str">
        <f>IFERROR(__xludf.DUMMYFUNCTION("GOOGLETRANSLATE(B10038, ""es"", ""en"")"),"Quality and excellent purchase price in line with the description. The best bottles for my children.")</f>
        <v>Quality and excellent purchase price in line with the description. The best bottles for my children.</v>
      </c>
    </row>
    <row r="10039">
      <c r="A10039" s="1">
        <v>5.0</v>
      </c>
      <c r="B10039" s="1" t="s">
        <v>9962</v>
      </c>
      <c r="C10039" t="str">
        <f>IFERROR(__xludf.DUMMYFUNCTION("GOOGLETRANSLATE(B10039, ""es"", ""en"")"),"Fast and good product perfect")</f>
        <v>Fast and good product perfect</v>
      </c>
    </row>
    <row r="10040">
      <c r="A10040" s="1">
        <v>5.0</v>
      </c>
      <c r="B10040" s="1" t="s">
        <v>9963</v>
      </c>
      <c r="C10040" t="str">
        <f>IFERROR(__xludf.DUMMYFUNCTION("GOOGLETRANSLATE(B10040, ""es"", ""en"")"),"The best invention of mankind for years crocs use, but there is a big difference between those used in Chinese and these, still a durable, comfortable and easy to wash shoes. Definitely I recommend it, although not without are cheaper and less colorful am"&amp;"ortize the long run.")</f>
        <v>The best invention of mankind for years crocs use, but there is a big difference between those used in Chinese and these, still a durable, comfortable and easy to wash shoes. Definitely I recommend it, although not without are cheaper and less colorful amortize the long run.</v>
      </c>
    </row>
    <row r="10041">
      <c r="A10041" s="1">
        <v>5.0</v>
      </c>
      <c r="B10041" s="1" t="s">
        <v>9964</v>
      </c>
      <c r="C10041" t="str">
        <f>IFERROR(__xludf.DUMMYFUNCTION("GOOGLETRANSLATE(B10041, ""es"", ""en"")"),"I got a strong arm mounted with a RODE NT1 and goes perfect. perfectly holds the position and weight of the microphone. Not cheap but for my worth.")</f>
        <v>I got a strong arm mounted with a RODE NT1 and goes perfect. perfectly holds the position and weight of the microphone. Not cheap but for my worth.</v>
      </c>
    </row>
    <row r="10042">
      <c r="A10042" s="1">
        <v>5.0</v>
      </c>
      <c r="B10042" s="1" t="s">
        <v>9965</v>
      </c>
      <c r="C10042" t="str">
        <f>IFERROR(__xludf.DUMMYFUNCTION("GOOGLETRANSLATE(B10042, ""es"", ""en"")"),"Recommended 100% is fine, has a very nice design, the colors are adjustable as you like, intensity, creating a friendly atmosphere, also has timer time no risk, it turns off automatically when the water runs out, made of environmentally friendly materials"&amp;" and does not emit noises")</f>
        <v>Recommended 100% is fine, has a very nice design, the colors are adjustable as you like, intensity, creating a friendly atmosphere, also has timer time no risk, it turns off automatically when the water runs out, made of environmentally friendly materials and does not emit noises</v>
      </c>
    </row>
    <row r="10043">
      <c r="A10043" s="1">
        <v>5.0</v>
      </c>
      <c r="B10043" s="1" t="s">
        <v>9966</v>
      </c>
      <c r="C10043" t="str">
        <f>IFERROR(__xludf.DUMMYFUNCTION("GOOGLETRANSLATE(B10043, ""es"", ""en"")"),"Great value shoes are absurdly cheap and give the trick perfectly. They may not be as durable will (still do not have any damage), but at least to make the hack are perfect.")</f>
        <v>Great value shoes are absurdly cheap and give the trick perfectly. They may not be as durable will (still do not have any damage), but at least to make the hack are perfect.</v>
      </c>
    </row>
    <row r="10044">
      <c r="A10044" s="1">
        <v>5.0</v>
      </c>
      <c r="B10044" s="1" t="s">
        <v>9967</v>
      </c>
      <c r="C10044" t="str">
        <f>IFERROR(__xludf.DUMMYFUNCTION("GOOGLETRANSLATE(B10044, ""es"", ""en"")"),"Heats quickly and hygienic heated pretty fast, hygienic and easy to wash and the truth is that the finishes are pretty good. Definitely I recommend it.")</f>
        <v>Heats quickly and hygienic heated pretty fast, hygienic and easy to wash and the truth is that the finishes are pretty good. Definitely I recommend it.</v>
      </c>
    </row>
    <row r="10045">
      <c r="A10045" s="1">
        <v>5.0</v>
      </c>
      <c r="B10045" s="1" t="s">
        <v>9968</v>
      </c>
      <c r="C10045" t="str">
        <f>IFERROR(__xludf.DUMMYFUNCTION("GOOGLETRANSLATE(B10045, ""es"", ""en"")"),"Very comfortable comfortable, as always NB")</f>
        <v>Very comfortable comfortable, as always NB</v>
      </c>
    </row>
    <row r="10046">
      <c r="A10046" s="1">
        <v>2.0</v>
      </c>
      <c r="B10046" s="1" t="s">
        <v>9969</v>
      </c>
      <c r="C10046" t="str">
        <f>IFERROR(__xludf.DUMMYFUNCTION("GOOGLETRANSLATE(B10046, ""es"", ""en"")"),"defective product ... I've returned because at 2 weeks billowed over the odds aside and did not return to get the air so hurt!")</f>
        <v>defective product ... I've returned because at 2 weeks billowed over the odds aside and did not return to get the air so hurt!</v>
      </c>
    </row>
    <row r="10047">
      <c r="A10047" s="1">
        <v>3.0</v>
      </c>
      <c r="B10047" s="1" t="s">
        <v>9970</v>
      </c>
      <c r="C10047" t="str">
        <f>IFERROR(__xludf.DUMMYFUNCTION("GOOGLETRANSLATE(B10047, ""es"", ""en"")"),"It makes noise and weighs pitcher pretty I like bate.No I like to put SilentMix when making enough noise so of silence weighs nada.La pitcher does not have much and fit it quite difficult and unsnap the top after several twists and uses is unscrewed more "&amp;"easily but the so heavy to be still costs something.")</f>
        <v>It makes noise and weighs pitcher pretty I like bate.No I like to put SilentMix when making enough noise so of silence weighs nada.La pitcher does not have much and fit it quite difficult and unsnap the top after several twists and uses is unscrewed more easily but the so heavy to be still costs something.</v>
      </c>
    </row>
    <row r="10048">
      <c r="A10048" s="1">
        <v>1.0</v>
      </c>
      <c r="B10048" s="1" t="s">
        <v>9971</v>
      </c>
      <c r="C10048" t="str">
        <f>IFERROR(__xludf.DUMMYFUNCTION("GOOGLETRANSLATE(B10048, ""es"", ""en"")"),"Plastic evil pure and simple. In sliding tile and others, left foot and toe failure had turned around.")</f>
        <v>Plastic evil pure and simple. In sliding tile and others, left foot and toe failure had turned around.</v>
      </c>
    </row>
    <row r="10049">
      <c r="A10049" s="1">
        <v>1.0</v>
      </c>
      <c r="B10049" s="1" t="s">
        <v>9972</v>
      </c>
      <c r="C10049" t="str">
        <f>IFERROR(__xludf.DUMMYFUNCTION("GOOGLETRANSLATE(B10049, ""es"", ""en"")"),"TALVEZ Another time I bought it thinking it was a good thing, once required to be recharged only one of the two battery was charged and another step loading for more than 2 days and only gave 10% load. I did not seem to be good the returns and gave me a q"&amp;"uick return.")</f>
        <v>TALVEZ Another time I bought it thinking it was a good thing, once required to be recharged only one of the two battery was charged and another step loading for more than 2 days and only gave 10% load. I did not seem to be good the returns and gave me a quick return.</v>
      </c>
    </row>
    <row r="10050">
      <c r="A10050" s="1">
        <v>4.0</v>
      </c>
      <c r="B10050" s="1" t="s">
        <v>9973</v>
      </c>
      <c r="C10050" t="str">
        <f>IFERROR(__xludf.DUMMYFUNCTION("GOOGLETRANSLATE(B10050, ""es"", ""en"")"),"AUQ good price good quality belt is great and probably have q take her shortened. It's nice, looks good, so far no problem. Very nice watch at a good price")</f>
        <v>AUQ good price good quality belt is great and probably have q take her shortened. It's nice, looks good, so far no problem. Very nice watch at a good price</v>
      </c>
    </row>
    <row r="10051">
      <c r="A10051" s="1">
        <v>4.0</v>
      </c>
      <c r="B10051" s="1" t="s">
        <v>9974</v>
      </c>
      <c r="C10051" t="str">
        <f>IFERROR(__xludf.DUMMYFUNCTION("GOOGLETRANSLATE(B10051, ""es"", ""en"")"),"Functional mixer is a good device, amply meets and has good power, it also has all the necessary accessories are subject pastry and easy donning and doffing. Failure to give 5 stars is because it is something big and heavy, which makes it uncomfortable wh"&amp;"en you want to use as a mixer vertically, otherwise demonstrates good performance and functionality.")</f>
        <v>Functional mixer is a good device, amply meets and has good power, it also has all the necessary accessories are subject pastry and easy donning and doffing. Failure to give 5 stars is because it is something big and heavy, which makes it uncomfortable when you want to use as a mixer vertically, otherwise demonstrates good performance and functionality.</v>
      </c>
    </row>
    <row r="10052">
      <c r="A10052" s="1">
        <v>4.0</v>
      </c>
      <c r="B10052" s="1" t="s">
        <v>9975</v>
      </c>
      <c r="C10052" t="str">
        <f>IFERROR(__xludf.DUMMYFUNCTION("GOOGLETRANSLATE(B10052, ""es"", ""en"")"),"Robust Robust equipment. I did not like that is totally dedicated cable to this record, and does not come ""tack"" to it, making it difficult to not miss ...")</f>
        <v>Robust Robust equipment. I did not like that is totally dedicated cable to this record, and does not come "tack" to it, making it difficult to not miss ...</v>
      </c>
    </row>
    <row r="10053">
      <c r="A10053" s="1">
        <v>4.0</v>
      </c>
      <c r="B10053" s="1" t="s">
        <v>9976</v>
      </c>
      <c r="C10053" t="str">
        <f>IFERROR(__xludf.DUMMYFUNCTION("GOOGLETRANSLATE(B10053, ""es"", ""en"")"),"Good good appliance appliance, very utilitarian and good value for money. Highly recommended purchase. New accessories that make it very useful.")</f>
        <v>Good good appliance appliance, very utilitarian and good value for money. Highly recommended purchase. New accessories that make it very useful.</v>
      </c>
    </row>
    <row r="10054">
      <c r="A10054" s="1">
        <v>4.0</v>
      </c>
      <c r="B10054" s="1" t="s">
        <v>9977</v>
      </c>
      <c r="C10054" t="str">
        <f>IFERROR(__xludf.DUMMYFUNCTION("GOOGLETRANSLATE(B10054, ""es"", ""en"")"),"Good option. If you want to text files, photos or a video, is sobradísimo. Data transfer is pretty good. On the other hand is discreet design and materials used for the product look good. I've been using it for quite some time every day and I have not had"&amp;" any problems. I bought several products Kingston and I'm delighted.")</f>
        <v>Good option. If you want to text files, photos or a video, is sobradísimo. Data transfer is pretty good. On the other hand is discreet design and materials used for the product look good. I've been using it for quite some time every day and I have not had any problems. I bought several products Kingston and I'm delighted.</v>
      </c>
    </row>
    <row r="10055">
      <c r="A10055" s="1">
        <v>5.0</v>
      </c>
      <c r="B10055" s="1" t="s">
        <v>9978</v>
      </c>
      <c r="C10055" t="str">
        <f>IFERROR(__xludf.DUMMYFUNCTION("GOOGLETRANSLATE(B10055, ""es"", ""en"")"),"Good product price. It came sooner than expected in perfect condition. Recommendable.")</f>
        <v>Good product price. It came sooner than expected in perfect condition. Recommendable.</v>
      </c>
    </row>
    <row r="10056">
      <c r="A10056" s="1">
        <v>5.0</v>
      </c>
      <c r="B10056" s="1" t="s">
        <v>9979</v>
      </c>
      <c r="C10056" t="str">
        <f>IFERROR(__xludf.DUMMYFUNCTION("GOOGLETRANSLATE(B10056, ""es"", ""en"")"),"Light is a very comfortable slippers and muuuy light, proper sizing and by the look of the sole seems to last the laces habitualel runs very well.")</f>
        <v>Light is a very comfortable slippers and muuuy light, proper sizing and by the look of the sole seems to last the laces habitualel runs very well.</v>
      </c>
    </row>
    <row r="10057">
      <c r="A10057" s="1">
        <v>5.0</v>
      </c>
      <c r="B10057" s="1" t="s">
        <v>9980</v>
      </c>
      <c r="C10057" t="str">
        <f>IFERROR(__xludf.DUMMYFUNCTION("GOOGLETRANSLATE(B10057, ""es"", ""en"")"),"Correct delivery and great product Perfect!")</f>
        <v>Correct delivery and great product Perfect!</v>
      </c>
    </row>
    <row r="10058">
      <c r="A10058" s="1">
        <v>5.0</v>
      </c>
      <c r="B10058" s="1" t="s">
        <v>9981</v>
      </c>
      <c r="C10058" t="str">
        <f>IFERROR(__xludf.DUMMYFUNCTION("GOOGLETRANSLATE(B10058, ""es"", ""en"")"),"Good buy good shopping experience, will buy here")</f>
        <v>Good buy good shopping experience, will buy here</v>
      </c>
    </row>
    <row r="10059">
      <c r="A10059" s="1">
        <v>5.0</v>
      </c>
      <c r="B10059" s="1" t="s">
        <v>9982</v>
      </c>
      <c r="C10059" t="str">
        <f>IFERROR(__xludf.DUMMYFUNCTION("GOOGLETRANSLATE(B10059, ""es"", ""en"")"),"Lectern little heavy, perfect to move Good lectern to move from one place to another is easy and does not weigh anything folds.")</f>
        <v>Lectern little heavy, perfect to move Good lectern to move from one place to another is easy and does not weigh anything folds.</v>
      </c>
    </row>
    <row r="10060">
      <c r="A10060" s="1">
        <v>5.0</v>
      </c>
      <c r="B10060" s="1" t="s">
        <v>9983</v>
      </c>
      <c r="C10060" t="str">
        <f>IFERROR(__xludf.DUMMYFUNCTION("GOOGLETRANSLATE(B10060, ""es"", ""en"")"),"Excellent Excellent Men watch military design, sturdy and durable")</f>
        <v>Excellent Excellent Men watch military design, sturdy and durable</v>
      </c>
    </row>
    <row r="10061">
      <c r="A10061" s="1">
        <v>5.0</v>
      </c>
      <c r="B10061" s="1" t="s">
        <v>9984</v>
      </c>
      <c r="C10061" t="str">
        <f>IFERROR(__xludf.DUMMYFUNCTION("GOOGLETRANSLATE(B10061, ""es"", ""en"")"),"Soft skin, reduces blackheads and whiteheads The feeling in the skin after you remove it, it's great. I think arriving for 20-25 uses. Value very good")</f>
        <v>Soft skin, reduces blackheads and whiteheads The feeling in the skin after you remove it, it's great. I think arriving for 20-25 uses. Value very good</v>
      </c>
    </row>
    <row r="10062">
      <c r="A10062" s="1">
        <v>5.0</v>
      </c>
      <c r="B10062" s="1" t="s">
        <v>9985</v>
      </c>
      <c r="C10062" t="str">
        <f>IFERROR(__xludf.DUMMYFUNCTION("GOOGLETRANSLATE(B10062, ""es"", ""en"")"),"The counsel, in addition to comply with its elegant. ,, made perfect, economic and brand. It has a quality ,,. Line too. Nice i. Modern, very practical i easy to use, perfect in me. Kitchen, modern and elegant ,,,")</f>
        <v>The counsel, in addition to comply with its elegant. ,, made perfect, economic and brand. It has a quality ,,. Line too. Nice i. Modern, very practical i easy to use, perfect in me. Kitchen, modern and elegant ,,,</v>
      </c>
    </row>
    <row r="10063">
      <c r="A10063" s="1">
        <v>5.0</v>
      </c>
      <c r="B10063" s="1" t="s">
        <v>9986</v>
      </c>
      <c r="C10063" t="str">
        <f>IFERROR(__xludf.DUMMYFUNCTION("GOOGLETRANSLATE(B10063, ""es"", ""en"")"),"Too quiet. Super humidifier, I just noise, have very good capacity for water and color can vary from light. With the remote control is very convenient to use, you throw enough amount of steam.")</f>
        <v>Too quiet. Super humidifier, I just noise, have very good capacity for water and color can vary from light. With the remote control is very convenient to use, you throw enough amount of steam.</v>
      </c>
    </row>
    <row r="10064">
      <c r="A10064" s="1">
        <v>5.0</v>
      </c>
      <c r="B10064" s="1" t="s">
        <v>9987</v>
      </c>
      <c r="C10064" t="str">
        <f>IFERROR(__xludf.DUMMYFUNCTION("GOOGLETRANSLATE(B10064, ""es"", ""en"")"),"There are practical pieces to change, it helps you relax almost. Heavy hand to catch him.")</f>
        <v>There are practical pieces to change, it helps you relax almost. Heavy hand to catch him.</v>
      </c>
    </row>
    <row r="10065">
      <c r="A10065" s="1">
        <v>5.0</v>
      </c>
      <c r="B10065" s="1" t="s">
        <v>9988</v>
      </c>
      <c r="C10065" t="str">
        <f>IFERROR(__xludf.DUMMYFUNCTION("GOOGLETRANSLATE(B10065, ""es"", ""en"")"),"Very nice Good Value")</f>
        <v>Very nice Good Value</v>
      </c>
    </row>
    <row r="10066">
      <c r="A10066" s="1">
        <v>5.0</v>
      </c>
      <c r="B10066" s="1" t="s">
        <v>9989</v>
      </c>
      <c r="C10066" t="str">
        <f>IFERROR(__xludf.DUMMYFUNCTION("GOOGLETRANSLATE(B10066, ""es"", ""en"")"),"Cool they are very comfortable and light. The fabric is breathable and absolutely not weigh anything. I use to work and be great.")</f>
        <v>Cool they are very comfortable and light. The fabric is breathable and absolutely not weigh anything. I use to work and be great.</v>
      </c>
    </row>
    <row r="10067">
      <c r="A10067" s="1">
        <v>5.0</v>
      </c>
      <c r="B10067" s="1" t="s">
        <v>9990</v>
      </c>
      <c r="C10067" t="str">
        <f>IFERROR(__xludf.DUMMYFUNCTION("GOOGLETRANSLATE(B10067, ""es"", ""en"")"),"Comfortable and not show through anything I have two, one in size S and another in size M. I make a 38/40 pants and I feel more comfortable with the S, because you very subject. The M is also comfortable but notice that not subject equal. If you like mesh"&amp;"es stay less pressure. I am delighted with both.")</f>
        <v>Comfortable and not show through anything I have two, one in size S and another in size M. I make a 38/40 pants and I feel more comfortable with the S, because you very subject. The M is also comfortable but notice that not subject equal. If you like meshes stay less pressure. I am delighted with both.</v>
      </c>
    </row>
    <row r="10068">
      <c r="A10068" s="1">
        <v>5.0</v>
      </c>
      <c r="B10068" s="1" t="s">
        <v>9991</v>
      </c>
      <c r="C10068" t="str">
        <f>IFERROR(__xludf.DUMMYFUNCTION("GOOGLETRANSLATE(B10068, ""es"", ""en"")"),"VERY WELL AND KNEW THE PRODUCT IS VERY COMFORTABLE IN FACT TO 4 YEARS AGO THIS buy only footwear brand.")</f>
        <v>VERY WELL AND KNEW THE PRODUCT IS VERY COMFORTABLE IN FACT TO 4 YEARS AGO THIS buy only footwear brand.</v>
      </c>
    </row>
    <row r="10069">
      <c r="A10069" s="1">
        <v>5.0</v>
      </c>
      <c r="B10069" s="1" t="s">
        <v>9992</v>
      </c>
      <c r="C10069" t="str">
        <f>IFERROR(__xludf.DUMMYFUNCTION("GOOGLETRANSLATE(B10069, ""es"", ""en"")"),"Size, colors, easy operation, prompt arrival or reception 👌🏽 👍 I loved I put it in the hallway for light and disseminate the scent throughout the house but my intention was to have put in the bedroom Todo perfecto 👌🏽 came the day 👍 planned")</f>
        <v>Size, colors, easy operation, prompt arrival or reception 👌🏽 👍 I loved I put it in the hallway for light and disseminate the scent throughout the house but my intention was to have put in the bedroom Todo perfecto 👌🏽 came the day 👍 planned</v>
      </c>
    </row>
    <row r="10070">
      <c r="A10070" s="1">
        <v>5.0</v>
      </c>
      <c r="B10070" s="1" t="s">
        <v>9993</v>
      </c>
      <c r="C10070" t="str">
        <f>IFERROR(__xludf.DUMMYFUNCTION("GOOGLETRANSLATE(B10070, ""es"", ""en"")"),"Perfect, I can not say more. I tried many small blenders, but none like this. perfectly fulfills its function. That if, considering its size, you can not ask for great things. I use it mainly to mix the ColaCao and is perfect when you get the hang of. It "&amp;"is true that goes from slow to fast and do not allow use one or the other, but when you learn to use it is not a problem. It seems robust and easy to clean.")</f>
        <v>Perfect, I can not say more. I tried many small blenders, but none like this. perfectly fulfills its function. That if, considering its size, you can not ask for great things. I use it mainly to mix the ColaCao and is perfect when you get the hang of. It is true that goes from slow to fast and do not allow use one or the other, but when you learn to use it is not a problem. It seems robust and easy to clean.</v>
      </c>
    </row>
    <row r="10071">
      <c r="A10071" s="1">
        <v>5.0</v>
      </c>
      <c r="B10071" s="1" t="s">
        <v>9994</v>
      </c>
      <c r="C10071" t="str">
        <f>IFERROR(__xludf.DUMMYFUNCTION("GOOGLETRANSLATE(B10071, ""es"", ""en"")"),"really spectacular is an old clock, the truth is spectacular design and high quality. comes beautifully presented and well sealed to prevent scratching. is a watch automatic mechanical mechanism, I like very much the case as it is all transparent, is a st"&amp;"rong watch, robust and resistant to water, the only thing that's great for my wrist but coming with a device to remove the links, I I've adjusted to my size, I love addition there are several shades")</f>
        <v>really spectacular is an old clock, the truth is spectacular design and high quality. comes beautifully presented and well sealed to prevent scratching. is a watch automatic mechanical mechanism, I like very much the case as it is all transparent, is a strong watch, robust and resistant to water, the only thing that's great for my wrist but coming with a device to remove the links, I I've adjusted to my size, I love addition there are several shades</v>
      </c>
    </row>
    <row r="10072">
      <c r="A10072" s="1">
        <v>5.0</v>
      </c>
      <c r="B10072" s="1" t="s">
        <v>9995</v>
      </c>
      <c r="C10072" t="str">
        <f>IFERROR(__xludf.DUMMYFUNCTION("GOOGLETRANSLATE(B10072, ""es"", ""en"")"),"it is very well are small spaces with low rise but are great for the price")</f>
        <v>it is very well are small spaces with low rise but are great for the price</v>
      </c>
    </row>
    <row r="10073">
      <c r="A10073" s="1">
        <v>5.0</v>
      </c>
      <c r="B10073" s="1" t="s">
        <v>9996</v>
      </c>
      <c r="C10073" t="str">
        <f>IFERROR(__xludf.DUMMYFUNCTION("GOOGLETRANSLATE(B10073, ""es"", ""en"")"),"The lifetime For some things are good special jealousy. But for the usual things, this is going to burn. I have used for many years and has always been useful to me. It has, logically greater adhesive capacity than the transparent paper. And paste it alre"&amp;"ady is. But cad cello goes for everything. It is a set of several that goes a long time. So you do not go to the drawer and there is.")</f>
        <v>The lifetime For some things are good special jealousy. But for the usual things, this is going to burn. I have used for many years and has always been useful to me. It has, logically greater adhesive capacity than the transparent paper. And paste it already is. But cad cello goes for everything. It is a set of several that goes a long time. So you do not go to the drawer and there is.</v>
      </c>
    </row>
    <row r="10074">
      <c r="A10074" s="1">
        <v>2.0</v>
      </c>
      <c r="B10074" s="1" t="s">
        <v>9997</v>
      </c>
      <c r="C10074" t="str">
        <f>IFERROR(__xludf.DUMMYFUNCTION("GOOGLETRANSLATE(B10074, ""es"", ""en"")"),"Disappointment has not been a good buy. Does not have one and the brush does not rotate and does not have much power, you hair is tangled in the brush and is cumbersome to solve, there are q unmount whole every bit to remove obstructions. Voucher for the "&amp;"car. I'm looking to buy a better one. Almost € 100 thrown.")</f>
        <v>Disappointment has not been a good buy. Does not have one and the brush does not rotate and does not have much power, you hair is tangled in the brush and is cumbersome to solve, there are q unmount whole every bit to remove obstructions. Voucher for the car. I'm looking to buy a better one. Almost € 100 thrown.</v>
      </c>
    </row>
    <row r="10075">
      <c r="A10075" s="1">
        <v>3.0</v>
      </c>
      <c r="B10075" s="1" t="s">
        <v>9998</v>
      </c>
      <c r="C10075" t="str">
        <f>IFERROR(__xludf.DUMMYFUNCTION("GOOGLETRANSLATE(B10075, ""es"", ""en"")"),"I would not seem practical. Say it is very nice, but it does not seem practical. First by the ring system for sheets, since going through the pages you have to be careful that no longer break sometimes get stuck in the rings. I do not like it that the lea"&amp;"ves are like cardboard, so that the pictures have to pegárselas with glue or some heat. But hey, that they are my findings, if you do not mind the ring system or having to paste leaves the album is very good, and very pretty.")</f>
        <v>I would not seem practical. Say it is very nice, but it does not seem practical. First by the ring system for sheets, since going through the pages you have to be careful that no longer break sometimes get stuck in the rings. I do not like it that the leaves are like cardboard, so that the pictures have to pegárselas with glue or some heat. But hey, that they are my findings, if you do not mind the ring system or having to paste leaves the album is very good, and very pretty.</v>
      </c>
    </row>
    <row r="10076">
      <c r="A10076" s="1">
        <v>3.0</v>
      </c>
      <c r="B10076" s="1" t="s">
        <v>9999</v>
      </c>
      <c r="C10076" t="str">
        <f>IFERROR(__xludf.DUMMYFUNCTION("GOOGLETRANSLATE(B10076, ""es"", ""en"")"),"not very well're a bit thick and not go well")</f>
        <v>not very well're a bit thick and not go well</v>
      </c>
    </row>
    <row r="10077">
      <c r="A10077" s="1">
        <v>1.0</v>
      </c>
      <c r="B10077" s="1" t="s">
        <v>10000</v>
      </c>
      <c r="C10077" t="str">
        <f>IFERROR(__xludf.DUMMYFUNCTION("GOOGLETRANSLATE(B10077, ""es"", ""en"")"),"Sizes very small carvings are very small")</f>
        <v>Sizes very small carvings are very small</v>
      </c>
    </row>
    <row r="10078">
      <c r="A10078" s="1">
        <v>1.0</v>
      </c>
      <c r="B10078" s="1" t="s">
        <v>10001</v>
      </c>
      <c r="C10078" t="str">
        <f>IFERROR(__xludf.DUMMYFUNCTION("GOOGLETRANSLATE(B10078, ""es"", ""en"")"),"Very poor quality assurance strap broke into months and no longer under warranty")</f>
        <v>Very poor quality assurance strap broke into months and no longer under warranty</v>
      </c>
    </row>
    <row r="10079">
      <c r="A10079" s="1">
        <v>1.0</v>
      </c>
      <c r="B10079" s="1" t="s">
        <v>10002</v>
      </c>
      <c r="C10079" t="str">
        <f>IFERROR(__xludf.DUMMYFUNCTION("GOOGLETRANSLATE(B10079, ""es"", ""en"")"),"Not throw it serves Inútil")</f>
        <v>Not throw it serves Inútil</v>
      </c>
    </row>
    <row r="10080">
      <c r="A10080" s="1">
        <v>4.0</v>
      </c>
      <c r="B10080" s="1" t="s">
        <v>10003</v>
      </c>
      <c r="C10080" t="str">
        <f>IFERROR(__xludf.DUMMYFUNCTION("GOOGLETRANSLATE(B10080, ""es"", ""en"")"),"Fast, light, minimal energy expenditure. Linux would have chosen another .. I like how fast it goes, also comes with software to clone your old drive and for maintenance. I can already move the laptop without worrying about damaging the disc. In addition "&amp;"weightless as my old hhd. The trouble is that no soft for linux and hangs example suspending linux. Also brings screw. For now works. If it breaks before long I again appreciate.")</f>
        <v>Fast, light, minimal energy expenditure. Linux would have chosen another .. I like how fast it goes, also comes with software to clone your old drive and for maintenance. I can already move the laptop without worrying about damaging the disc. In addition weightless as my old hhd. The trouble is that no soft for linux and hangs example suspending linux. Also brings screw. For now works. If it breaks before long I again appreciate.</v>
      </c>
    </row>
    <row r="10081">
      <c r="A10081" s="1">
        <v>4.0</v>
      </c>
      <c r="B10081" s="1" t="s">
        <v>10004</v>
      </c>
      <c r="C10081" t="str">
        <f>IFERROR(__xludf.DUMMYFUNCTION("GOOGLETRANSLATE(B10081, ""es"", ""en"")"),"The battery is good for an apartment. very good or you do not need more than half an hour, small apartment to pick up after eating or something eventually.")</f>
        <v>The battery is good for an apartment. very good or you do not need more than half an hour, small apartment to pick up after eating or something eventually.</v>
      </c>
    </row>
    <row r="10082">
      <c r="A10082" s="1">
        <v>4.0</v>
      </c>
      <c r="B10082" s="1" t="s">
        <v>10005</v>
      </c>
      <c r="C10082" t="str">
        <f>IFERROR(__xludf.DUMMYFUNCTION("GOOGLETRANSLATE(B10082, ""es"", ""en"")"),"Current modern Chulisimo.Muy")</f>
        <v>Current modern Chulisimo.Muy</v>
      </c>
    </row>
    <row r="10083">
      <c r="A10083" s="1">
        <v>4.0</v>
      </c>
      <c r="B10083" s="1" t="s">
        <v>10006</v>
      </c>
      <c r="C10083" t="str">
        <f>IFERROR(__xludf.DUMMYFUNCTION("GOOGLETRANSLATE(B10083, ""es"", ""en"")"),"Good value for money. As long sleeve model I was a little tight, I ordered a full size version short sleeves. Fabric very good.")</f>
        <v>Good value for money. As long sleeve model I was a little tight, I ordered a full size version short sleeves. Fabric very good.</v>
      </c>
    </row>
    <row r="10084">
      <c r="A10084" s="1">
        <v>4.0</v>
      </c>
      <c r="B10084" s="1" t="s">
        <v>10007</v>
      </c>
      <c r="C10084" t="str">
        <f>IFERROR(__xludf.DUMMYFUNCTION("GOOGLETRANSLATE(B10084, ""es"", ""en"")"),"They adapt very well and are very comfortable Very comfortable, lightweight and with good grip. Perhaps the tabs a little narrow, but overall very good product at a better price.")</f>
        <v>They adapt very well and are very comfortable Very comfortable, lightweight and with good grip. Perhaps the tabs a little narrow, but overall very good product at a better price.</v>
      </c>
    </row>
    <row r="10085">
      <c r="A10085" s="1">
        <v>5.0</v>
      </c>
      <c r="B10085" s="1" t="s">
        <v>10008</v>
      </c>
      <c r="C10085" t="str">
        <f>IFERROR(__xludf.DUMMYFUNCTION("GOOGLETRANSLATE(B10085, ""es"", ""en"")"),"I bought this great drawer chest of drawers and a similar one in the same house to arrange objects in a closet and the truth is that I am very happy. Drawers move smoothly even if you put a little weight aground. A transparent being you can identify what "&amp;"is inside quite easily. I recommend it.")</f>
        <v>I bought this great drawer chest of drawers and a similar one in the same house to arrange objects in a closet and the truth is that I am very happy. Drawers move smoothly even if you put a little weight aground. A transparent being you can identify what is inside quite easily. I recommend it.</v>
      </c>
    </row>
    <row r="10086">
      <c r="A10086" s="1">
        <v>5.0</v>
      </c>
      <c r="B10086" s="1" t="s">
        <v>10009</v>
      </c>
      <c r="C10086" t="str">
        <f>IFERROR(__xludf.DUMMYFUNCTION("GOOGLETRANSLATE(B10086, ""es"", ""en"")"),"Bonitos are very stylish and good quality.")</f>
        <v>Bonitos are very stylish and good quality.</v>
      </c>
    </row>
    <row r="10087">
      <c r="A10087" s="1">
        <v>5.0</v>
      </c>
      <c r="B10087" s="1" t="s">
        <v>10010</v>
      </c>
      <c r="C10087" t="str">
        <f>IFERROR(__xludf.DUMMYFUNCTION("GOOGLETRANSLATE(B10087, ""es"", ""en"")"),"Perfect. Delighted with bottles of this brand. My son loves, silicone nipples are very durable and clean.")</f>
        <v>Perfect. Delighted with bottles of this brand. My son loves, silicone nipples are very durable and clean.</v>
      </c>
    </row>
    <row r="10088">
      <c r="A10088" s="1">
        <v>5.0</v>
      </c>
      <c r="B10088" s="1" t="s">
        <v>10011</v>
      </c>
      <c r="C10088" t="str">
        <f>IFERROR(__xludf.DUMMYFUNCTION("GOOGLETRANSLATE(B10088, ""es"", ""en"")"),"You are perfect! You are perfect! Very nice")</f>
        <v>You are perfect! You are perfect! Very nice</v>
      </c>
    </row>
    <row r="10089">
      <c r="A10089" s="1">
        <v>5.0</v>
      </c>
      <c r="B10089" s="1" t="s">
        <v>10012</v>
      </c>
      <c r="C10089" t="str">
        <f>IFERROR(__xludf.DUMMYFUNCTION("GOOGLETRANSLATE(B10089, ""es"", ""en"")"),"Very happy. Good buy. I've been over a year and is like new. I use it every day and very tralla. I wish it were a little bigger.")</f>
        <v>Very happy. Good buy. I've been over a year and is like new. I use it every day and very tralla. I wish it were a little bigger.</v>
      </c>
    </row>
    <row r="10090">
      <c r="A10090" s="1">
        <v>5.0</v>
      </c>
      <c r="B10090" s="1" t="s">
        <v>10013</v>
      </c>
      <c r="C10090" t="str">
        <f>IFERROR(__xludf.DUMMYFUNCTION("GOOGLETRANSLATE(B10090, ""es"", ""en"")"),"Casio We have eight years !! It is unbreakable")</f>
        <v>Casio We have eight years !! It is unbreakable</v>
      </c>
    </row>
    <row r="10091">
      <c r="A10091" s="1">
        <v>5.0</v>
      </c>
      <c r="B10091" s="1" t="s">
        <v>10014</v>
      </c>
      <c r="C10091" t="str">
        <f>IFERROR(__xludf.DUMMYFUNCTION("GOOGLETRANSLATE(B10091, ""es"", ""en"")"),"They arrived perfect Noli are beautiful, but I did not like when I saw that they arrived in gift and so I asked, big mistake")</f>
        <v>They arrived perfect Noli are beautiful, but I did not like when I saw that they arrived in gift and so I asked, big mistake</v>
      </c>
    </row>
    <row r="10092">
      <c r="A10092" s="1">
        <v>5.0</v>
      </c>
      <c r="B10092" s="1" t="s">
        <v>10015</v>
      </c>
      <c r="C10092" t="str">
        <f>IFERROR(__xludf.DUMMYFUNCTION("GOOGLETRANSLATE(B10092, ""es"", ""en"")"),"acceptable product Good quality / price ratio. Loose threads occasionally. Hopefully not the seams. Too many zippers, some overlaps would be fine.")</f>
        <v>acceptable product Good quality / price ratio. Loose threads occasionally. Hopefully not the seams. Too many zippers, some overlaps would be fine.</v>
      </c>
    </row>
    <row r="10093">
      <c r="A10093" s="1">
        <v>5.0</v>
      </c>
      <c r="B10093" s="1" t="s">
        <v>10016</v>
      </c>
      <c r="C10093" t="str">
        <f>IFERROR(__xludf.DUMMYFUNCTION("GOOGLETRANSLATE(B10093, ""es"", ""en"")"),"They are small numbers. I took the advice and asked for a number more than q use and do very well because they are small numbers. Otherwise I loved it.")</f>
        <v>They are small numbers. I took the advice and asked for a number more than q use and do very well because they are small numbers. Otherwise I loved it.</v>
      </c>
    </row>
    <row r="10094">
      <c r="A10094" s="1">
        <v>5.0</v>
      </c>
      <c r="B10094" s="1" t="s">
        <v>10017</v>
      </c>
      <c r="C10094" t="str">
        <f>IFERROR(__xludf.DUMMYFUNCTION("GOOGLETRANSLATE(B10094, ""es"", ""en"")"),"Comunity is quite comfortable lead product")</f>
        <v>Comunity is quite comfortable lead product</v>
      </c>
    </row>
    <row r="10095">
      <c r="A10095" s="1">
        <v>5.0</v>
      </c>
      <c r="B10095" s="1" t="s">
        <v>10018</v>
      </c>
      <c r="C10095" t="str">
        <f>IFERROR(__xludf.DUMMYFUNCTION("GOOGLETRANSLATE(B10095, ""es"", ""en"")"),"Excellent and elegant'm preparing lots of tea, temperature control is very useful, and I love having infuser.")</f>
        <v>Excellent and elegant'm preparing lots of tea, temperature control is very useful, and I love having infuser.</v>
      </c>
    </row>
    <row r="10096">
      <c r="A10096" s="1">
        <v>5.0</v>
      </c>
      <c r="B10096" s="1" t="s">
        <v>10019</v>
      </c>
      <c r="C10096" t="str">
        <f>IFERROR(__xludf.DUMMYFUNCTION("GOOGLETRANSLATE(B10096, ""es"", ""en"")"),"Very powerful and easy to clean, ideal for preparing fruit smoothies and vegetables. It is very powerful and perfectly crushes you are even if you add some frozen fruit. Very practical and you can beat your own container with a lid that you can then take "&amp;"you wherever you want. Delighted with purchase")</f>
        <v>Very powerful and easy to clean, ideal for preparing fruit smoothies and vegetables. It is very powerful and perfectly crushes you are even if you add some frozen fruit. Very practical and you can beat your own container with a lid that you can then take you wherever you want. Delighted with purchase</v>
      </c>
    </row>
    <row r="10097">
      <c r="A10097" s="1">
        <v>5.0</v>
      </c>
      <c r="B10097" s="1" t="s">
        <v>10020</v>
      </c>
      <c r="C10097" t="str">
        <f>IFERROR(__xludf.DUMMYFUNCTION("GOOGLETRANSLATE(B10097, ""es"", ""en"")"),"Your profesionalida Fast and perfect")</f>
        <v>Your profesionalida Fast and perfect</v>
      </c>
    </row>
    <row r="10098">
      <c r="A10098" s="1">
        <v>5.0</v>
      </c>
      <c r="B10098" s="1" t="s">
        <v>10021</v>
      </c>
      <c r="C10098" t="str">
        <f>IFERROR(__xludf.DUMMYFUNCTION("GOOGLETRANSLATE(B10098, ""es"", ""en"")"),"Very nice good watch !! Quality- great price !!!")</f>
        <v>Very nice good watch !! Quality- great price !!!</v>
      </c>
    </row>
    <row r="10099">
      <c r="A10099" s="1">
        <v>5.0</v>
      </c>
      <c r="B10099" s="1" t="s">
        <v>10022</v>
      </c>
      <c r="C10099" t="str">
        <f>IFERROR(__xludf.DUMMYFUNCTION("GOOGLETRANSLATE(B10099, ""es"", ""en"")"),"IDEAL FOR THE LITTLE ONES The microphone weighs nothing and quality of the audio is pretty good. You have the option of putting a mini SD card with music to sing to the rhythm of music. You can also use it with lights or no lights because the leads incorp"&amp;"orated into the side of the speaker.")</f>
        <v>IDEAL FOR THE LITTLE ONES The microphone weighs nothing and quality of the audio is pretty good. You have the option of putting a mini SD card with music to sing to the rhythm of music. You can also use it with lights or no lights because the leads incorporated into the side of the speaker.</v>
      </c>
    </row>
    <row r="10100">
      <c r="A10100" s="1">
        <v>5.0</v>
      </c>
      <c r="B10100" s="1" t="s">
        <v>10023</v>
      </c>
      <c r="C10100" t="str">
        <f>IFERROR(__xludf.DUMMYFUNCTION("GOOGLETRANSLATE(B10100, ""es"", ""en"")"),"Calgon Washing Machine Just like that, perfect.")</f>
        <v>Calgon Washing Machine Just like that, perfect.</v>
      </c>
    </row>
    <row r="10101">
      <c r="A10101" s="1">
        <v>5.0</v>
      </c>
      <c r="B10101" s="1" t="s">
        <v>10024</v>
      </c>
      <c r="C10101" t="str">
        <f>IFERROR(__xludf.DUMMYFUNCTION("GOOGLETRANSLATE(B10101, ""es"", ""en"")"),"More for less. Quality / unbeatable price. I have not bought submerging so I can not comment on the tightness in those conditions. I bought it for the day to day especially at work, where it easily gets wet. This way I will not expose other watches I have"&amp;" better I wear for other occasions. For now, perfect. The dial is a small tad perhaps for those who are used to big watches (40 mm. Up). The rotating bezel makes the whole does not result in the end how could so small paracer. In other words it is not siz"&amp;"e man or woman, but rather what is called cadet. The overall quality is very good for a watch 48 €. Armis box and stainless steel. Waterproof 200 mts. Corona threaded and threaded bottom also are very good details. I doubt that you find a watch with this "&amp;"quality and performance for a similar price.")</f>
        <v>More for less. Quality / unbeatable price. I have not bought submerging so I can not comment on the tightness in those conditions. I bought it for the day to day especially at work, where it easily gets wet. This way I will not expose other watches I have better I wear for other occasions. For now, perfect. The dial is a small tad perhaps for those who are used to big watches (40 mm. Up). The rotating bezel makes the whole does not result in the end how could so small paracer. In other words it is not size man or woman, but rather what is called cadet. The overall quality is very good for a watch 48 €. Armis box and stainless steel. Waterproof 200 mts. Corona threaded and threaded bottom also are very good details. I doubt that you find a watch with this quality and performance for a similar price.</v>
      </c>
    </row>
    <row r="10102">
      <c r="A10102" s="1">
        <v>5.0</v>
      </c>
      <c r="B10102" s="1" t="s">
        <v>10025</v>
      </c>
      <c r="C10102" t="str">
        <f>IFERROR(__xludf.DUMMYFUNCTION("GOOGLETRANSLATE(B10102, ""es"", ""en"")"),"perfect had already bought these headphones in the past, and now that another device broke down we decided to buy these because they have come out very good. the sound quality is more than acceptable for the price they cost, and comfort go well. Durabilit"&amp;"y others have more than a year and perfect.")</f>
        <v>perfect had already bought these headphones in the past, and now that another device broke down we decided to buy these because they have come out very good. the sound quality is more than acceptable for the price they cost, and comfort go well. Durability others have more than a year and perfect.</v>
      </c>
    </row>
    <row r="10103">
      <c r="A10103" s="1">
        <v>2.0</v>
      </c>
      <c r="B10103" s="1" t="s">
        <v>10026</v>
      </c>
      <c r="C10103" t="str">
        <f>IFERROR(__xludf.DUMMYFUNCTION("GOOGLETRANSLATE(B10103, ""es"", ""en"")"),"If you fail enough not too close or managing the pointer to the receiver fails a lot. To the point diapos spend several coup")</f>
        <v>If you fail enough not too close or managing the pointer to the receiver fails a lot. To the point diapos spend several coup</v>
      </c>
    </row>
    <row r="10104">
      <c r="A10104" s="1">
        <v>3.0</v>
      </c>
      <c r="B10104" s="1" t="s">
        <v>10027</v>
      </c>
      <c r="C10104" t="str">
        <f>IFERROR(__xludf.DUMMYFUNCTION("GOOGLETRANSLATE(B10104, ""es"", ""en"")"),"Price, quality, convenience, compact headphones with a metal box with very small battery for charging them. The autonomy of a round headphones 4.5H or so, also depend on the volume to take what I at work gave me almost 5 hours to having them almost minima"&amp;"l. The case where you store gave me for a week or so to load, commenting that the case is super small and is magnetized so that it will not open and stay securely connected. Like all headphones of this type have several pads for better fit and not fall to"&amp;" the move, they lack the silicone ring bearing for example Samsung gear on the outside of the handset so that it better fits the ear and not get out. CertificaciónIPX7 are resistant to splashing water or sweat. Bluetooth devices are linked both mobile pho"&amp;"nes and memory clocks, or MP3, etc ... can be connected separately and one thing is appreciated is when you get out of the sheath are connected directly to the device. Bring volume controls, call, play and pause on headphones. The sound quality is not bad"&amp;", could be improved, in my opinion lacks serious, the volume is quite powerful. ** Headphones recommended for price, quality, comfort, they are fine for the price they have.")</f>
        <v>Price, quality, convenience, compact headphones with a metal box with very small battery for charging them. The autonomy of a round headphones 4.5H or so, also depend on the volume to take what I at work gave me almost 5 hours to having them almost minimal. The case where you store gave me for a week or so to load, commenting that the case is super small and is magnetized so that it will not open and stay securely connected. Like all headphones of this type have several pads for better fit and not fall to the move, they lack the silicone ring bearing for example Samsung gear on the outside of the handset so that it better fits the ear and not get out. CertificaciónIPX7 are resistant to splashing water or sweat. Bluetooth devices are linked both mobile phones and memory clocks, or MP3, etc ... can be connected separately and one thing is appreciated is when you get out of the sheath are connected directly to the device. Bring volume controls, call, play and pause on headphones. The sound quality is not bad, could be improved, in my opinion lacks serious, the volume is quite powerful. ** Headphones recommended for price, quality, comfort, they are fine for the price they have.</v>
      </c>
    </row>
    <row r="10105">
      <c r="A10105" s="1">
        <v>3.0</v>
      </c>
      <c r="B10105" s="1" t="s">
        <v>10028</v>
      </c>
      <c r="C10105" t="str">
        <f>IFERROR(__xludf.DUMMYFUNCTION("GOOGLETRANSLATE(B10105, ""es"", ""en"")"),"Balsamic cream. Quite heated depending on the cream used the exposed area, but I found helpful in relieving contractures, I think rather it is a cream to prevent")</f>
        <v>Balsamic cream. Quite heated depending on the cream used the exposed area, but I found helpful in relieving contractures, I think rather it is a cream to prevent</v>
      </c>
    </row>
    <row r="10106">
      <c r="A10106" s="1">
        <v>1.0</v>
      </c>
      <c r="B10106" s="1" t="s">
        <v>10029</v>
      </c>
      <c r="C10106" t="str">
        <f>IFERROR(__xludf.DUMMYFUNCTION("GOOGLETRANSLATE(B10106, ""es"", ""en"")"),"Lousy Lousy !! The shoes are not compreissss to the month you off the superga name and make you holes! Lena deserves buy the original 30 € more")</f>
        <v>Lousy Lousy !! The shoes are not compreissss to the month you off the superga name and make you holes! Lena deserves buy the original 30 € more</v>
      </c>
    </row>
    <row r="10107">
      <c r="A10107" s="1">
        <v>1.0</v>
      </c>
      <c r="B10107" s="1" t="s">
        <v>10030</v>
      </c>
      <c r="C10107" t="str">
        <f>IFERROR(__xludf.DUMMYFUNCTION("GOOGLETRANSLATE(B10107, ""es"", ""en"")"),"Dirty and bagless boots came to me quite dirty and with many brands that seemed friction, I was about to return them but decided to try to wipe it first, and after a while cleaning (cloth was white and over black) but the boots and seemed else, it shows t"&amp;"he quality that has Panama Jack and I say this from experience because I have several products of this brand, but the presentation of the vendor leaves much to be desired and it is the first time that there is not even the bag transport")</f>
        <v>Dirty and bagless boots came to me quite dirty and with many brands that seemed friction, I was about to return them but decided to try to wipe it first, and after a while cleaning (cloth was white and over black) but the boots and seemed else, it shows the quality that has Panama Jack and I say this from experience because I have several products of this brand, but the presentation of the vendor leaves much to be desired and it is the first time that there is not even the bag transport</v>
      </c>
    </row>
    <row r="10108">
      <c r="A10108" s="1">
        <v>4.0</v>
      </c>
      <c r="B10108" s="1" t="s">
        <v>10031</v>
      </c>
      <c r="C10108" t="str">
        <f>IFERROR(__xludf.DUMMYFUNCTION("GOOGLETRANSLATE(B10108, ""es"", ""en"")"),"Snow boots, waterproof and warm The good: It seems quite warm, comfortable, if a tad heavy, robust and good quality is ... The bad: I arrive in a box that clearly does not belong to the boot, no logo brand, or anything ... Size larger Eur 37.5 = 23.5cm, m"&amp;"easures 2 cm. I am quite broad ... If it had been the right size, had left me.")</f>
        <v>Snow boots, waterproof and warm The good: It seems quite warm, comfortable, if a tad heavy, robust and good quality is ... The bad: I arrive in a box that clearly does not belong to the boot, no logo brand, or anything ... Size larger Eur 37.5 = 23.5cm, measures 2 cm. I am quite broad ... If it had been the right size, had left me.</v>
      </c>
    </row>
    <row r="10109">
      <c r="A10109" s="1">
        <v>4.0</v>
      </c>
      <c r="B10109" s="1" t="s">
        <v>10032</v>
      </c>
      <c r="C10109" t="str">
        <f>IFERROR(__xludf.DUMMYFUNCTION("GOOGLETRANSLATE(B10109, ""es"", ""en"")"),"The better the simplest model for presentations. It is robust and ergonomic in hand. I use it to give courses or lectures and me encantam Better than imitation I've ever had.")</f>
        <v>The better the simplest model for presentations. It is robust and ergonomic in hand. I use it to give courses or lectures and me encantam Better than imitation I've ever had.</v>
      </c>
    </row>
    <row r="10110">
      <c r="A10110" s="1">
        <v>4.0</v>
      </c>
      <c r="B10110" s="1" t="s">
        <v>10033</v>
      </c>
      <c r="C10110" t="str">
        <f>IFERROR(__xludf.DUMMYFUNCTION("GOOGLETRANSLATE(B10110, ""es"", ""en"")"),"Good enough for nonuse Endure use for catering work. Very comfortable but I personally my number (37) had come to me better, still am wearing. I need to see that they hold. But comfort to the pvp it is having great.")</f>
        <v>Good enough for nonuse Endure use for catering work. Very comfortable but I personally my number (37) had come to me better, still am wearing. I need to see that they hold. But comfort to the pvp it is having great.</v>
      </c>
    </row>
    <row r="10111">
      <c r="A10111" s="1">
        <v>4.0</v>
      </c>
      <c r="B10111" s="1" t="s">
        <v>10034</v>
      </c>
      <c r="C10111" t="str">
        <f>IFERROR(__xludf.DUMMYFUNCTION("GOOGLETRANSLATE(B10111, ""es"", ""en"")"),"Well they well: l. Although a bit on the salmon color.")</f>
        <v>Well they well: l. Although a bit on the salmon color.</v>
      </c>
    </row>
    <row r="10112">
      <c r="A10112" s="1">
        <v>5.0</v>
      </c>
      <c r="B10112" s="1" t="s">
        <v>10035</v>
      </c>
      <c r="C10112" t="str">
        <f>IFERROR(__xludf.DUMMYFUNCTION("GOOGLETRANSLATE(B10112, ""es"", ""en"")"),"Convenient and practical Easy to use.")</f>
        <v>Convenient and practical Easy to use.</v>
      </c>
    </row>
    <row r="10113">
      <c r="A10113" s="1">
        <v>5.0</v>
      </c>
      <c r="B10113" s="1" t="s">
        <v>10036</v>
      </c>
      <c r="C10113" t="str">
        <f>IFERROR(__xludf.DUMMYFUNCTION("GOOGLETRANSLATE(B10113, ""es"", ""en"")"),"9/10 These shoes are perfect to go with them daily. It is a great choice")</f>
        <v>9/10 These shoes are perfect to go with them daily. It is a great choice</v>
      </c>
    </row>
    <row r="10114">
      <c r="A10114" s="1">
        <v>5.0</v>
      </c>
      <c r="B10114" s="1" t="s">
        <v>10037</v>
      </c>
      <c r="C10114" t="str">
        <f>IFERROR(__xludf.DUMMYFUNCTION("GOOGLETRANSLATE(B10114, ""es"", ""en"")"),"They are the originals. They are the originals, but are a bit faded, is not so intense red in the photo.")</f>
        <v>They are the originals. They are the originals, but are a bit faded, is not so intense red in the photo.</v>
      </c>
    </row>
    <row r="10115">
      <c r="A10115" s="1">
        <v>5.0</v>
      </c>
      <c r="B10115" s="1" t="s">
        <v>524</v>
      </c>
      <c r="C10115" t="str">
        <f>IFERROR(__xludf.DUMMYFUNCTION("GOOGLETRANSLATE(B10115, ""es"", ""en"")"),"Brilliant brilliant")</f>
        <v>Brilliant brilliant</v>
      </c>
    </row>
    <row r="10116">
      <c r="A10116" s="1">
        <v>5.0</v>
      </c>
      <c r="B10116" s="1" t="s">
        <v>10038</v>
      </c>
      <c r="C10116" t="str">
        <f>IFERROR(__xludf.DUMMYFUNCTION("GOOGLETRANSLATE(B10116, ""es"", ""en"")"),"Leggings leggings came in his day, was a gift for my mother after her pal days, my mother was very happy, use it to go to the gym, thanks to Amazon and seller")</f>
        <v>Leggings leggings came in his day, was a gift for my mother after her pal days, my mother was very happy, use it to go to the gym, thanks to Amazon and seller</v>
      </c>
    </row>
    <row r="10117">
      <c r="A10117" s="1">
        <v>5.0</v>
      </c>
      <c r="B10117" s="1" t="s">
        <v>10039</v>
      </c>
      <c r="C10117" t="str">
        <f>IFERROR(__xludf.DUMMYFUNCTION("GOOGLETRANSLATE(B10117, ""es"", ""en"")"),"Nice and functional. Buy it to see if he was relieved pain enzias the Peke and time does not complain, perfect.")</f>
        <v>Nice and functional. Buy it to see if he was relieved pain enzias the Peke and time does not complain, perfect.</v>
      </c>
    </row>
    <row r="10118">
      <c r="A10118" s="1">
        <v>5.0</v>
      </c>
      <c r="B10118" s="1" t="s">
        <v>10040</v>
      </c>
      <c r="C10118" t="str">
        <f>IFERROR(__xludf.DUMMYFUNCTION("GOOGLETRANSLATE(B10118, ""es"", ""en"")"),"Perfect size is the perfect size for day to day, perhaps in the intermediate space is small pocket for mobile, when it's one of the greats, but goes well. Fits everything I need for the day, including Kindle, purse, wallet, keys, etc. I have not tried it "&amp;"with water, could not tell if it is waterproof. For now satisfied with the purchase.")</f>
        <v>Perfect size is the perfect size for day to day, perhaps in the intermediate space is small pocket for mobile, when it's one of the greats, but goes well. Fits everything I need for the day, including Kindle, purse, wallet, keys, etc. I have not tried it with water, could not tell if it is waterproof. For now satisfied with the purchase.</v>
      </c>
    </row>
    <row r="10119">
      <c r="A10119" s="1">
        <v>5.0</v>
      </c>
      <c r="B10119" s="1" t="s">
        <v>10041</v>
      </c>
      <c r="C10119" t="str">
        <f>IFERROR(__xludf.DUMMYFUNCTION("GOOGLETRANSLATE(B10119, ""es"", ""en"")"),"QUALITY RECOMMENDED Excellent very profitable because they usually last for 3 years until the retaining rubber nose wears and plays replace, careful this area would last much more")</f>
        <v>QUALITY RECOMMENDED Excellent very profitable because they usually last for 3 years until the retaining rubber nose wears and plays replace, careful this area would last much more</v>
      </c>
    </row>
    <row r="10120">
      <c r="A10120" s="1">
        <v>5.0</v>
      </c>
      <c r="B10120" s="1" t="s">
        <v>10042</v>
      </c>
      <c r="C10120" t="str">
        <f>IFERROR(__xludf.DUMMYFUNCTION("GOOGLETRANSLATE(B10120, ""es"", ""en"")"),"Still pretty good I could not use it much but seems pretty good, it is as it is described by the advertiser. If it were a tad wider it might be better. But no complaints.")</f>
        <v>Still pretty good I could not use it much but seems pretty good, it is as it is described by the advertiser. If it were a tad wider it might be better. But no complaints.</v>
      </c>
    </row>
    <row r="10121">
      <c r="A10121" s="1">
        <v>5.0</v>
      </c>
      <c r="B10121" s="1" t="s">
        <v>10043</v>
      </c>
      <c r="C10121" t="str">
        <f>IFERROR(__xludf.DUMMYFUNCTION("GOOGLETRANSLATE(B10121, ""es"", ""en"")"),"They are the originals. You are super comfortable. Perfect. The number 39 which is what I usually use fits well, big or small.")</f>
        <v>They are the originals. You are super comfortable. Perfect. The number 39 which is what I usually use fits well, big or small.</v>
      </c>
    </row>
    <row r="10122">
      <c r="A10122" s="1">
        <v>5.0</v>
      </c>
      <c r="B10122" s="1" t="s">
        <v>10044</v>
      </c>
      <c r="C10122" t="str">
        <f>IFERROR(__xludf.DUMMYFUNCTION("GOOGLETRANSLATE(B10122, ""es"", ""en"")"),"10/10 I bought these earrings and do not regret. perfect size. I have sensitive skin and silver being have not made me a bad reaction. Good pretty and cheap.")</f>
        <v>10/10 I bought these earrings and do not regret. perfect size. I have sensitive skin and silver being have not made me a bad reaction. Good pretty and cheap.</v>
      </c>
    </row>
    <row r="10123">
      <c r="A10123" s="1">
        <v>5.0</v>
      </c>
      <c r="B10123" s="1" t="s">
        <v>10045</v>
      </c>
      <c r="C10123" t="str">
        <f>IFERROR(__xludf.DUMMYFUNCTION("GOOGLETRANSLATE(B10123, ""es"", ""en"")"),"Classic and comfortable shoe. I have them in two colors and are very comfortable using the Nike sizing, which means small number perhaps, but if you know your size it is ideal.")</f>
        <v>Classic and comfortable shoe. I have them in two colors and are very comfortable using the Nike sizing, which means small number perhaps, but if you know your size it is ideal.</v>
      </c>
    </row>
    <row r="10124">
      <c r="A10124" s="1">
        <v>5.0</v>
      </c>
      <c r="B10124" s="1" t="s">
        <v>10046</v>
      </c>
      <c r="C10124" t="str">
        <f>IFERROR(__xludf.DUMMYFUNCTION("GOOGLETRANSLATE(B10124, ""es"", ""en"")"),"Encantados Wonderful kettle, quickly as the only, precious detail of the LEDs, convenient to be able to remove the jar from the base, clean by only contact with the water glass, and large to boil water for example to prepare 4 he or 5 infusions at the sam"&amp;"e time something we previously very difficult to do with the microwave. Use electricity? SI is tragón but compensates quick consumption, I mean, is it an appliance that consumes 1000W on 10 minutes one that consumes 2000W 5 minutes, thanks to its power th"&amp;"ese consumption peaks are short, if less powerful take more boil and therefore end up consuming the same, that's not a brake, it is recommended 100%.")</f>
        <v>Encantados Wonderful kettle, quickly as the only, precious detail of the LEDs, convenient to be able to remove the jar from the base, clean by only contact with the water glass, and large to boil water for example to prepare 4 he or 5 infusions at the same time something we previously very difficult to do with the microwave. Use electricity? SI is tragón but compensates quick consumption, I mean, is it an appliance that consumes 1000W on 10 minutes one that consumes 2000W 5 minutes, thanks to its power these consumption peaks are short, if less powerful take more boil and therefore end up consuming the same, that's not a brake, it is recommended 100%.</v>
      </c>
    </row>
    <row r="10125">
      <c r="A10125" s="1">
        <v>5.0</v>
      </c>
      <c r="B10125" s="1" t="s">
        <v>10047</v>
      </c>
      <c r="C10125" t="str">
        <f>IFERROR(__xludf.DUMMYFUNCTION("GOOGLETRANSLATE(B10125, ""es"", ""en"")"),"Good and good price !! They are pretty good, do their function, easy to extend and remove with water, at a good price.")</f>
        <v>Good and good price !! They are pretty good, do their function, easy to extend and remove with water, at a good price.</v>
      </c>
    </row>
    <row r="10126">
      <c r="A10126" s="1">
        <v>5.0</v>
      </c>
      <c r="B10126" s="1" t="s">
        <v>10048</v>
      </c>
      <c r="C10126" t="str">
        <f>IFERROR(__xludf.DUMMYFUNCTION("GOOGLETRANSLATE(B10126, ""es"", ""en"")"),"Very good mic is a condenser microphone with very good quality / price. A capacitor being requires an audio interface with phantom power + 48V power supply or phantom power, without using one of two things is oira with a very low volume.")</f>
        <v>Very good mic is a condenser microphone with very good quality / price. A capacitor being requires an audio interface with phantom power + 48V power supply or phantom power, without using one of two things is oira with a very low volume.</v>
      </c>
    </row>
    <row r="10127">
      <c r="A10127" s="1">
        <v>5.0</v>
      </c>
      <c r="B10127" s="1" t="s">
        <v>10049</v>
      </c>
      <c r="C10127" t="str">
        <f>IFERROR(__xludf.DUMMYFUNCTION("GOOGLETRANSLATE(B10127, ""es"", ""en"")"),"Headphones comfortable headsets I arrived yesterday and I was surprised by the box it came very practical to keep them cool and also come with a clamp and an anchor to hang the cover where they bring when you walk or run anytime. Today I tried it on one o"&amp;"f my walks and working properly, the sound is good and clear; also adapt perfectly to my OIOS / ears ... they are very comfortable, you do not notice you're wearing them but for the cable carrying is quite long. I think it was a good buy.")</f>
        <v>Headphones comfortable headsets I arrived yesterday and I was surprised by the box it came very practical to keep them cool and also come with a clamp and an anchor to hang the cover where they bring when you walk or run anytime. Today I tried it on one of my walks and working properly, the sound is good and clear; also adapt perfectly to my OIOS / ears ... they are very comfortable, you do not notice you're wearing them but for the cable carrying is quite long. I think it was a good buy.</v>
      </c>
    </row>
    <row r="10128">
      <c r="A10128" s="1">
        <v>5.0</v>
      </c>
      <c r="B10128" s="1" t="s">
        <v>10050</v>
      </c>
      <c r="C10128" t="str">
        <f>IFERROR(__xludf.DUMMYFUNCTION("GOOGLETRANSLATE(B10128, ""es"", ""en"")"),"Cool Very good buy. But the sole I had to peel it off and remove the part that have been placed to mark the bridge. This too marked. It is easily remedied by removing the foam that is attached to the bottom of the template. With the foam for me they were "&amp;"very uncomfortable to walk. Not expect that shelter too")</f>
        <v>Cool Very good buy. But the sole I had to peel it off and remove the part that have been placed to mark the bridge. This too marked. It is easily remedied by removing the foam that is attached to the bottom of the template. With the foam for me they were very uncomfortable to walk. Not expect that shelter too</v>
      </c>
    </row>
    <row r="10129">
      <c r="A10129" s="1">
        <v>5.0</v>
      </c>
      <c r="B10129" s="1" t="s">
        <v>10051</v>
      </c>
      <c r="C10129" t="str">
        <f>IFERROR(__xludf.DUMMYFUNCTION("GOOGLETRANSLATE(B10129, ""es"", ""en"")"),"Very good kettle am very happy with the kettle. I decided to change my glass, because the kettle I had before leaving flavored water to the boil, this however not. It is also much easier to clean, it is true that being glass must be more careful but clean"&amp;"liness is more comfortable and the glass is not like the coffee, this is fatter. Water boils too fast, and the temperature can vary like water. I liked the function whose thermos, keeps water hot for a long time. It is also a plus to have some lights and "&amp;"know whether it is on or off. Very happy.")</f>
        <v>Very good kettle am very happy with the kettle. I decided to change my glass, because the kettle I had before leaving flavored water to the boil, this however not. It is also much easier to clean, it is true that being glass must be more careful but cleanliness is more comfortable and the glass is not like the coffee, this is fatter. Water boils too fast, and the temperature can vary like water. I liked the function whose thermos, keeps water hot for a long time. It is also a plus to have some lights and know whether it is on or off. Very happy.</v>
      </c>
    </row>
    <row r="10130">
      <c r="A10130" s="1">
        <v>5.0</v>
      </c>
      <c r="B10130" s="1" t="s">
        <v>10052</v>
      </c>
      <c r="C10130" t="str">
        <f>IFERROR(__xludf.DUMMYFUNCTION("GOOGLETRANSLATE(B10130, ""es"", ""en"")"),"Pretty good price and nice and elegant. It was a gift for my daughter and liked it a lot. It not yet has been used but is original as it gives play to the imagination and you can do scratbooking")</f>
        <v>Pretty good price and nice and elegant. It was a gift for my daughter and liked it a lot. It not yet has been used but is original as it gives play to the imagination and you can do scratbooking</v>
      </c>
    </row>
    <row r="10131">
      <c r="A10131" s="1">
        <v>2.0</v>
      </c>
      <c r="B10131" s="1" t="s">
        <v>10053</v>
      </c>
      <c r="C10131" t="str">
        <f>IFERROR(__xludf.DUMMYFUNCTION("GOOGLETRANSLATE(B10131, ""es"", ""en"")"),"Zippers broken in just two months. Super disappointed. Gift I bought for my boy, not two months and broken zippers, all. For the price it is not worth it. I would not buy.")</f>
        <v>Zippers broken in just two months. Super disappointed. Gift I bought for my boy, not two months and broken zippers, all. For the price it is not worth it. I would not buy.</v>
      </c>
    </row>
    <row r="10132">
      <c r="A10132" s="1">
        <v>3.0</v>
      </c>
      <c r="B10132" s="1" t="s">
        <v>10054</v>
      </c>
      <c r="C10132" t="str">
        <f>IFERROR(__xludf.DUMMYFUNCTION("GOOGLETRANSLATE(B10132, ""es"", ""en"")"),"Not all Micro arm not being well assembled")</f>
        <v>Not all Micro arm not being well assembled</v>
      </c>
    </row>
    <row r="10133">
      <c r="A10133" s="1">
        <v>3.0</v>
      </c>
      <c r="B10133" s="1" t="s">
        <v>10055</v>
      </c>
      <c r="C10133" t="str">
        <f>IFERROR(__xludf.DUMMYFUNCTION("GOOGLETRANSLATE(B10133, ""es"", ""en"")"),"Robust and good management without the cutting. The device is well built and looks robust, although the cutting and clamping system is worthless at the end you end up doing two hands is much faster, and practical, cleaned relatively well with a brush")</f>
        <v>Robust and good management without the cutting. The device is well built and looks robust, although the cutting and clamping system is worthless at the end you end up doing two hands is much faster, and practical, cleaned relatively well with a brush</v>
      </c>
    </row>
    <row r="10134">
      <c r="A10134" s="1">
        <v>1.0</v>
      </c>
      <c r="B10134" s="1" t="s">
        <v>10056</v>
      </c>
      <c r="C10134" t="str">
        <f>IFERROR(__xludf.DUMMYFUNCTION("GOOGLETRANSLATE(B10134, ""es"", ""en"")"),"Susana I often use this type of footwear and this model has disappointed me, it is wrong carved, tiny, thumb and has no upper reinforcement has hardly inferior. Best any of the other models. Shame as aesthetically is the most beautiful and discreet.")</f>
        <v>Susana I often use this type of footwear and this model has disappointed me, it is wrong carved, tiny, thumb and has no upper reinforcement has hardly inferior. Best any of the other models. Shame as aesthetically is the most beautiful and discreet.</v>
      </c>
    </row>
    <row r="10135">
      <c r="A10135" s="1">
        <v>1.0</v>
      </c>
      <c r="B10135" s="1" t="s">
        <v>10057</v>
      </c>
      <c r="C10135" t="str">
        <f>IFERROR(__xludf.DUMMYFUNCTION("GOOGLETRANSLATE(B10135, ""es"", ""en"")"),"Two months ago bad buy to buy it and is a delayed and occasionally stops, so give it a Main touchpad and returns to purchase bad funcionar.muy and I've spent a lot of Casios mierda.se")</f>
        <v>Two months ago bad buy to buy it and is a delayed and occasionally stops, so give it a Main touchpad and returns to purchase bad funcionar.muy and I've spent a lot of Casios mierda.se</v>
      </c>
    </row>
    <row r="10136">
      <c r="A10136" s="1">
        <v>4.0</v>
      </c>
      <c r="B10136" s="1" t="s">
        <v>10058</v>
      </c>
      <c r="C10136" t="str">
        <f>IFERROR(__xludf.DUMMYFUNCTION("GOOGLETRANSLATE(B10136, ""es"", ""en"")"),"Pretty nice shirt thermal and good price 1.78 and 83 kg in muscle size L and fits me.")</f>
        <v>Pretty nice shirt thermal and good price 1.78 and 83 kg in muscle size L and fits me.</v>
      </c>
    </row>
    <row r="10137">
      <c r="A10137" s="1">
        <v>4.0</v>
      </c>
      <c r="B10137" s="1" t="s">
        <v>10059</v>
      </c>
      <c r="C10137" t="str">
        <f>IFERROR(__xludf.DUMMYFUNCTION("GOOGLETRANSLATE(B10137, ""es"", ""en"")"),"Quality USB Memory versatile for use on the PC and a phone with USB Type C input is fast and barely heated. The plastic cap covering the USB Type C is weak. Moreover, it is correct.")</f>
        <v>Quality USB Memory versatile for use on the PC and a phone with USB Type C input is fast and barely heated. The plastic cap covering the USB Type C is weak. Moreover, it is correct.</v>
      </c>
    </row>
    <row r="10138">
      <c r="A10138" s="1">
        <v>4.0</v>
      </c>
      <c r="B10138" s="1" t="s">
        <v>10060</v>
      </c>
      <c r="C10138" t="str">
        <f>IFERROR(__xludf.DUMMYFUNCTION("GOOGLETRANSLATE(B10138, ""es"", ""en"")"),"Product estupendo.muy very comfortable very comfortable. Q hope the inner tissue of the sole and heel are more resistant q in the above. They are in my opinion, his weak point. Size is normal. Thank you")</f>
        <v>Product estupendo.muy very comfortable very comfortable. Q hope the inner tissue of the sole and heel are more resistant q in the above. They are in my opinion, his weak point. Size is normal. Thank you</v>
      </c>
    </row>
    <row r="10139">
      <c r="A10139" s="1">
        <v>4.0</v>
      </c>
      <c r="B10139" s="1" t="s">
        <v>10061</v>
      </c>
      <c r="C10139" t="str">
        <f>IFERROR(__xludf.DUMMYFUNCTION("GOOGLETRANSLATE(B10139, ""es"", ""en"")"),"Basic Basic Pen drives, small, and very useful, with the only handicap of being USB 2.0. But the value is more than good. Forced them to various uses")</f>
        <v>Basic Basic Pen drives, small, and very useful, with the only handicap of being USB 2.0. But the value is more than good. Forced them to various uses</v>
      </c>
    </row>
    <row r="10140">
      <c r="A10140" s="1">
        <v>4.0</v>
      </c>
      <c r="B10140" s="1" t="s">
        <v>10062</v>
      </c>
      <c r="C10140" t="str">
        <f>IFERROR(__xludf.DUMMYFUNCTION("GOOGLETRANSLATE(B10140, ""es"", ""en"")"),"Very good slippers, a classic. pretty classic chancla have returned again and is good news because it belonged to a time when the chancla this was par excellence. Are to bring the gym to shower, pool ... etc also supplementary to the beach but not to walk"&amp;" a lot, or to bring socks as some do, if want to wear socks, make a number more but these flipflops must go adjusted some people say that squeeze but if you do not squeeze you kill walk. The important thing is that the footprint of the perfect set foot is"&amp;" the instep should tighten the end just giving a little bit.")</f>
        <v>Very good slippers, a classic. pretty classic chancla have returned again and is good news because it belonged to a time when the chancla this was par excellence. Are to bring the gym to shower, pool ... etc also supplementary to the beach but not to walk a lot, or to bring socks as some do, if want to wear socks, make a number more but these flipflops must go adjusted some people say that squeeze but if you do not squeeze you kill walk. The important thing is that the footprint of the perfect set foot is the instep should tighten the end just giving a little bit.</v>
      </c>
    </row>
    <row r="10141">
      <c r="A10141" s="1">
        <v>5.0</v>
      </c>
      <c r="B10141" s="1" t="s">
        <v>10063</v>
      </c>
      <c r="C10141" t="str">
        <f>IFERROR(__xludf.DUMMYFUNCTION("GOOGLETRANSLATE(B10141, ""es"", ""en"")"),"Recommended'm so happy. Comfortable, practical, small and powerful. It is the idea to clean every day, especially those who have pets. Very easy cleaning. Quality good price")</f>
        <v>Recommended'm so happy. Comfortable, practical, small and powerful. It is the idea to clean every day, especially those who have pets. Very easy cleaning. Quality good price</v>
      </c>
    </row>
    <row r="10142">
      <c r="A10142" s="1">
        <v>5.0</v>
      </c>
      <c r="B10142" s="1" t="s">
        <v>10064</v>
      </c>
      <c r="C10142" t="str">
        <f>IFERROR(__xludf.DUMMYFUNCTION("GOOGLETRANSLATE(B10142, ""es"", ""en"")"),"Ring cheap and very nice very nice remains. I hope it lasts and do not get black because I love. I do not take it off at all.")</f>
        <v>Ring cheap and very nice very nice remains. I hope it lasts and do not get black because I love. I do not take it off at all.</v>
      </c>
    </row>
    <row r="10143">
      <c r="A10143" s="1">
        <v>5.0</v>
      </c>
      <c r="B10143" s="1" t="s">
        <v>10065</v>
      </c>
      <c r="C10143" t="str">
        <f>IFERROR(__xludf.DUMMYFUNCTION("GOOGLETRANSLATE(B10143, ""es"", ""en"")"),"Very comfortable I've loved these bras, I will buy a bit bigger because I want to sleep and be at home, I did not want to adjust much. Truth are super comfortable. In the picture it seems to cover more of the account but because buy size L, (my correct si"&amp;"ze would be the M and normal bra'm 95 C). Highly recommended")</f>
        <v>Very comfortable I've loved these bras, I will buy a bit bigger because I want to sleep and be at home, I did not want to adjust much. Truth are super comfortable. In the picture it seems to cover more of the account but because buy size L, (my correct size would be the M and normal bra'm 95 C). Highly recommended</v>
      </c>
    </row>
    <row r="10144">
      <c r="A10144" s="1">
        <v>5.0</v>
      </c>
      <c r="B10144" s="1" t="s">
        <v>10066</v>
      </c>
      <c r="C10144" t="str">
        <f>IFERROR(__xludf.DUMMYFUNCTION("GOOGLETRANSLATE(B10144, ""es"", ""en"")"),"So comfortable and convenient correct size. A little wider, as it is customary in Vans. Great value / price, these shoes last several years.")</f>
        <v>So comfortable and convenient correct size. A little wider, as it is customary in Vans. Great value / price, these shoes last several years.</v>
      </c>
    </row>
    <row r="10145">
      <c r="A10145" s="1">
        <v>5.0</v>
      </c>
      <c r="B10145" s="1" t="s">
        <v>10067</v>
      </c>
      <c r="C10145" t="str">
        <f>IFERROR(__xludf.DUMMYFUNCTION("GOOGLETRANSLATE(B10145, ""es"", ""en"")"),"- Cleaning brush (red, plastic) Sold by: Amazon EU S.A.R.L. Product Plus There is little to say about such everyday, ergonomic, which the fits brush perfectly on the handle of the dustpan, which does not fall, if you want to have hung Excellent value for "&amp;"money, I never thought that would buy a dustpan, by internet, but he had sought and had found nothing that met my requisitos.Fue a recommendation from Amazon, related to purchase another hice.Me it interesting that I recommend Amazon products")</f>
        <v>- Cleaning brush (red, plastic) Sold by: Amazon EU S.A.R.L. Product Plus There is little to say about such everyday, ergonomic, which the fits brush perfectly on the handle of the dustpan, which does not fall, if you want to have hung Excellent value for money, I never thought that would buy a dustpan, by internet, but he had sought and had found nothing that met my requisitos.Fue a recommendation from Amazon, related to purchase another hice.Me it interesting that I recommend Amazon products</v>
      </c>
    </row>
    <row r="10146">
      <c r="A10146" s="1">
        <v>5.0</v>
      </c>
      <c r="B10146" s="1" t="s">
        <v>10068</v>
      </c>
      <c r="C10146" t="str">
        <f>IFERROR(__xludf.DUMMYFUNCTION("GOOGLETRANSLATE(B10146, ""es"", ""en"")"),"Originals comfortable shoes, comfortable and good value. Style always, the All Star. Recomendables 100%. Better pick one size smaller")</f>
        <v>Originals comfortable shoes, comfortable and good value. Style always, the All Star. Recomendables 100%. Better pick one size smaller</v>
      </c>
    </row>
    <row r="10147">
      <c r="A10147" s="1">
        <v>5.0</v>
      </c>
      <c r="B10147" s="1" t="s">
        <v>10069</v>
      </c>
      <c r="C10147" t="str">
        <f>IFERROR(__xludf.DUMMYFUNCTION("GOOGLETRANSLATE(B10147, ""es"", ""en"")"),"B B B B B B Good Boniti y Barato")</f>
        <v>B B B B B B Good Boniti y Barato</v>
      </c>
    </row>
    <row r="10148">
      <c r="A10148" s="1">
        <v>5.0</v>
      </c>
      <c r="B10148" s="1" t="s">
        <v>1425</v>
      </c>
      <c r="C10148" t="str">
        <f>IFERROR(__xludf.DUMMYFUNCTION("GOOGLETRANSLATE(B10148, ""es"", ""en"")"),"perfect perfect")</f>
        <v>perfect perfect</v>
      </c>
    </row>
    <row r="10149">
      <c r="A10149" s="1">
        <v>5.0</v>
      </c>
      <c r="B10149" s="1" t="s">
        <v>10070</v>
      </c>
      <c r="C10149" t="str">
        <f>IFERROR(__xludf.DUMMYFUNCTION("GOOGLETRANSLATE(B10149, ""es"", ""en"")"),"Small but thugs Magnets 3mmx6mm useful for all kinds of work, I have surprised me with great force and difficult to separate. They come in a plastic case that is very useful to store them.")</f>
        <v>Small but thugs Magnets 3mmx6mm useful for all kinds of work, I have surprised me with great force and difficult to separate. They come in a plastic case that is very useful to store them.</v>
      </c>
    </row>
    <row r="10150">
      <c r="A10150" s="1">
        <v>5.0</v>
      </c>
      <c r="B10150" s="1" t="s">
        <v>10071</v>
      </c>
      <c r="C10150" t="str">
        <f>IFERROR(__xludf.DUMMYFUNCTION("GOOGLETRANSLATE(B10150, ""es"", ""en"")"),"The best! The best glue !! The lifetime.")</f>
        <v>The best! The best glue !! The lifetime.</v>
      </c>
    </row>
    <row r="10151">
      <c r="A10151" s="1">
        <v>5.0</v>
      </c>
      <c r="B10151" s="1" t="s">
        <v>10072</v>
      </c>
      <c r="C10151" t="str">
        <f>IFERROR(__xludf.DUMMYFUNCTION("GOOGLETRANSLATE(B10151, ""es"", ""en"")"),"good card and buy good price to increase the storage capacity of the mobile Mipadre has not given problems and speed read and write is good for the price it is recommended")</f>
        <v>good card and buy good price to increase the storage capacity of the mobile Mipadre has not given problems and speed read and write is good for the price it is recommended</v>
      </c>
    </row>
    <row r="10152">
      <c r="A10152" s="1">
        <v>5.0</v>
      </c>
      <c r="B10152" s="1" t="s">
        <v>10073</v>
      </c>
      <c r="C10152" t="str">
        <f>IFERROR(__xludf.DUMMYFUNCTION("GOOGLETRANSLATE(B10152, ""es"", ""en"")"),"Soy youtuber you hear great and I loved the audio first time I saw a video if you dedicate to locution or narration I recommend this microphone")</f>
        <v>Soy youtuber you hear great and I loved the audio first time I saw a video if you dedicate to locution or narration I recommend this microphone</v>
      </c>
    </row>
    <row r="10153">
      <c r="A10153" s="1">
        <v>5.0</v>
      </c>
      <c r="B10153" s="1" t="s">
        <v>10074</v>
      </c>
      <c r="C10153" t="str">
        <f>IFERROR(__xludf.DUMMYFUNCTION("GOOGLETRANSLATE(B10153, ""es"", ""en"")"),"Comfortable, good sound and long battery life both very good sound playback multimedia content and mobile calls. Easy handling through the touch sensor in each of the headphones. Very comfortable, they fit perfectly. Long battery life, are recharged while"&amp;" they are stored on your box. Easily they connect via Bluetooth from any device. Another thing I like is that you can connect each of the headset to a different device. The truth is that I have been pleasantly surprised.")</f>
        <v>Comfortable, good sound and long battery life both very good sound playback multimedia content and mobile calls. Easy handling through the touch sensor in each of the headphones. Very comfortable, they fit perfectly. Long battery life, are recharged while they are stored on your box. Easily they connect via Bluetooth from any device. Another thing I like is that you can connect each of the headset to a different device. The truth is that I have been pleasantly surprised.</v>
      </c>
    </row>
    <row r="10154">
      <c r="A10154" s="1">
        <v>5.0</v>
      </c>
      <c r="B10154" s="1" t="s">
        <v>10075</v>
      </c>
      <c r="C10154" t="str">
        <f>IFERROR(__xludf.DUMMYFUNCTION("GOOGLETRANSLATE(B10154, ""es"", ""en"")"),"Known Superga excellent, so fashionable and so comfortable. I recommend you catch your usual number, if you are in the middle class ... which is above. In a first purchase in another color, I opted for a number too just seeing that being said around here "&amp;"that carved great. I used a 41.5 which took 41 and I were very tight and uncomfortable. In this pair, I chose 42 and are perfect. It is a great product at a great price caught on Amazon.")</f>
        <v>Known Superga excellent, so fashionable and so comfortable. I recommend you catch your usual number, if you are in the middle class ... which is above. In a first purchase in another color, I opted for a number too just seeing that being said around here that carved great. I used a 41.5 which took 41 and I were very tight and uncomfortable. In this pair, I chose 42 and are perfect. It is a great product at a great price caught on Amazon.</v>
      </c>
    </row>
    <row r="10155">
      <c r="A10155" s="1">
        <v>5.0</v>
      </c>
      <c r="B10155" s="1" t="s">
        <v>10076</v>
      </c>
      <c r="C10155" t="str">
        <f>IFERROR(__xludf.DUMMYFUNCTION("GOOGLETRANSLATE(B10155, ""es"", ""en"")"),"Ideal for a gift do not even know if it's real silver or not, I will make an act of faith, I bought a supply and is for a gift so we'll see")</f>
        <v>Ideal for a gift do not even know if it's real silver or not, I will make an act of faith, I bought a supply and is for a gift so we'll see</v>
      </c>
    </row>
    <row r="10156">
      <c r="A10156" s="1">
        <v>5.0</v>
      </c>
      <c r="B10156" s="1" t="s">
        <v>10077</v>
      </c>
      <c r="C10156" t="str">
        <f>IFERROR(__xludf.DUMMYFUNCTION("GOOGLETRANSLATE(B10156, ""es"", ""en"")"),"I bought these boots expectations as a gift to my brother, that had a very advantageous price compared to other sites. They arrived at the appointed time and are as expected. Highly recommended!")</f>
        <v>I bought these boots expectations as a gift to my brother, that had a very advantageous price compared to other sites. They arrived at the appointed time and are as expected. Highly recommended!</v>
      </c>
    </row>
    <row r="10157">
      <c r="A10157" s="1">
        <v>5.0</v>
      </c>
      <c r="B10157" s="1" t="s">
        <v>10078</v>
      </c>
      <c r="C10157" t="str">
        <f>IFERROR(__xludf.DUMMYFUNCTION("GOOGLETRANSLATE(B10157, ""es"", ""en"")"),"Cleaner vitro use for some time and will not advise great very new vitros")</f>
        <v>Cleaner vitro use for some time and will not advise great very new vitros</v>
      </c>
    </row>
    <row r="10158">
      <c r="A10158" s="1">
        <v>5.0</v>
      </c>
      <c r="B10158" s="1" t="s">
        <v>10079</v>
      </c>
      <c r="C10158" t="str">
        <f>IFERROR(__xludf.DUMMYFUNCTION("GOOGLETRANSLATE(B10158, ""es"", ""en"")"),"Great gift idea clock, very nice fast delivery, ideal gift. GOOD PRICE.")</f>
        <v>Great gift idea clock, very nice fast delivery, ideal gift. GOOD PRICE.</v>
      </c>
    </row>
    <row r="10159">
      <c r="A10159" s="1">
        <v>5.0</v>
      </c>
      <c r="B10159" s="1" t="s">
        <v>10080</v>
      </c>
      <c r="C10159" t="str">
        <f>IFERROR(__xludf.DUMMYFUNCTION("GOOGLETRANSLATE(B10159, ""es"", ""en"")"),"Good finish. Perfect. I can not say anything bad about this bag, has helped me to get my ipad, I liked having good finish and is very comfortable.")</f>
        <v>Good finish. Perfect. I can not say anything bad about this bag, has helped me to get my ipad, I liked having good finish and is very comfortable.</v>
      </c>
    </row>
    <row r="10160">
      <c r="A10160" s="1">
        <v>2.0</v>
      </c>
      <c r="B10160" s="1" t="s">
        <v>10081</v>
      </c>
      <c r="C10160" t="str">
        <f>IFERROR(__xludf.DUMMYFUNCTION("GOOGLETRANSLATE(B10160, ""es"", ""en"")"),"Bad packaging brand I like, I dislike the way q brings the case without separators, which makes q come scratched")</f>
        <v>Bad packaging brand I like, I dislike the way q brings the case without separators, which makes q come scratched</v>
      </c>
    </row>
    <row r="10161">
      <c r="A10161" s="1">
        <v>3.0</v>
      </c>
      <c r="B10161" s="1" t="s">
        <v>10082</v>
      </c>
      <c r="C10161" t="str">
        <f>IFERROR(__xludf.DUMMYFUNCTION("GOOGLETRANSLATE(B10161, ""es"", ""en"")"),"Good Value good for cleaning radiators, flexible, good calidad.para keep the tip can be passed through a hole that has the wooden handle.")</f>
        <v>Good Value good for cleaning radiators, flexible, good calidad.para keep the tip can be passed through a hole that has the wooden handle.</v>
      </c>
    </row>
    <row r="10162">
      <c r="A10162" s="1">
        <v>3.0</v>
      </c>
      <c r="B10162" s="1" t="s">
        <v>10083</v>
      </c>
      <c r="C10162" t="str">
        <f>IFERROR(__xludf.DUMMYFUNCTION("GOOGLETRANSLATE(B10162, ""es"", ""en"")"),"which can be arranged I like that you can fix and do not fall apart as pins 1/4. although a tad, shorts, a greeting")</f>
        <v>which can be arranged I like that you can fix and do not fall apart as pins 1/4. although a tad, shorts, a greeting</v>
      </c>
    </row>
    <row r="10163">
      <c r="A10163" s="1">
        <v>1.0</v>
      </c>
      <c r="B10163" s="1" t="s">
        <v>10084</v>
      </c>
      <c r="C10163" t="str">
        <f>IFERROR(__xludf.DUMMYFUNCTION("GOOGLETRANSLATE(B10163, ""es"", ""en"")"),"Poor quality Mali")</f>
        <v>Poor quality Mali</v>
      </c>
    </row>
    <row r="10164">
      <c r="A10164" s="1">
        <v>1.0</v>
      </c>
      <c r="B10164" s="1" t="s">
        <v>10085</v>
      </c>
      <c r="C10164" t="str">
        <f>IFERROR(__xludf.DUMMYFUNCTION("GOOGLETRANSLATE(B10164, ""es"", ""en"")"),"So trash has reached me after 2 months.")</f>
        <v>So trash has reached me after 2 months.</v>
      </c>
    </row>
    <row r="10165">
      <c r="A10165" s="1">
        <v>4.0</v>
      </c>
      <c r="B10165" s="1" t="s">
        <v>10086</v>
      </c>
      <c r="C10165" t="str">
        <f>IFERROR(__xludf.DUMMYFUNCTION("GOOGLETRANSLATE(B10165, ""es"", ""en"")"),"Maxtor STSHX-M401TCBM - External Hard Drive 4TB moment perfect, very fast, quiet and although the cable that comes not seem as good quality as the drive, Maxtor is a good brand. Delivery on the agreed date, as always.")</f>
        <v>Maxtor STSHX-M401TCBM - External Hard Drive 4TB moment perfect, very fast, quiet and although the cable that comes not seem as good quality as the drive, Maxtor is a good brand. Delivery on the agreed date, as always.</v>
      </c>
    </row>
    <row r="10166">
      <c r="A10166" s="1">
        <v>4.0</v>
      </c>
      <c r="B10166" s="1" t="s">
        <v>10087</v>
      </c>
      <c r="C10166" t="str">
        <f>IFERROR(__xludf.DUMMYFUNCTION("GOOGLETRANSLATE(B10166, ""es"", ""en"")"),"Good sound at a good price The other day I decided to buy these headphones. They had sought a Bluetooth connection but other than-ear or button. The truth is that comparing other brands and products, I saw that these were not only very good price, but the"&amp;"y had very good reviews and its battery lasted many hours. The experience has been good. I like the sound. The only downside is that they are a little uncomfortable, but it's a matter of getting used to. Definitely I recommend it.")</f>
        <v>Good sound at a good price The other day I decided to buy these headphones. They had sought a Bluetooth connection but other than-ear or button. The truth is that comparing other brands and products, I saw that these were not only very good price, but they had very good reviews and its battery lasted many hours. The experience has been good. I like the sound. The only downside is that they are a little uncomfortable, but it's a matter of getting used to. Definitely I recommend it.</v>
      </c>
    </row>
    <row r="10167">
      <c r="A10167" s="1">
        <v>4.0</v>
      </c>
      <c r="B10167" s="1" t="s">
        <v>10088</v>
      </c>
      <c r="C10167" t="str">
        <f>IFERROR(__xludf.DUMMYFUNCTION("GOOGLETRANSLATE(B10167, ""es"", ""en"")"),"No size and weight is the smallest external harddrive that have size and weight but I think it's perfect. Seagate is a guarantee printing long sight and touch are good. I've formatted for Mac and I have started to use and is perfect. I do not give 5 stars"&amp;" because the package arrived very run down and neglected aspect of being excessively and even looked like someone had tried to open the box to check the contents.")</f>
        <v>No size and weight is the smallest external harddrive that have size and weight but I think it's perfect. Seagate is a guarantee printing long sight and touch are good. I've formatted for Mac and I have started to use and is perfect. I do not give 5 stars because the package arrived very run down and neglected aspect of being excessively and even looked like someone had tried to open the box to check the contents.</v>
      </c>
    </row>
    <row r="10168">
      <c r="A10168" s="1">
        <v>4.0</v>
      </c>
      <c r="B10168" s="1" t="s">
        <v>10089</v>
      </c>
      <c r="C10168" t="str">
        <f>IFERROR(__xludf.DUMMYFUNCTION("GOOGLETRANSLATE(B10168, ""es"", ""en"")"),"Fulfills its function is a very cheap product that perfectly fulfills its function, it is small and manageable. The only fault I find is that the cable could have put it longer, that does not reach half a meter. But otherwise great.")</f>
        <v>Fulfills its function is a very cheap product that perfectly fulfills its function, it is small and manageable. The only fault I find is that the cable could have put it longer, that does not reach half a meter. But otherwise great.</v>
      </c>
    </row>
    <row r="10169">
      <c r="A10169" s="1">
        <v>4.0</v>
      </c>
      <c r="B10169" s="1" t="s">
        <v>10090</v>
      </c>
      <c r="C10169" t="str">
        <f>IFERROR(__xludf.DUMMYFUNCTION("GOOGLETRANSLATE(B10169, ""es"", ""en"")"),"Good quality shoulder bag is a very good quality, good materials and it looks like lasting, perhaps a bit expensive but better spend some more on something with good quality.")</f>
        <v>Good quality shoulder bag is a very good quality, good materials and it looks like lasting, perhaps a bit expensive but better spend some more on something with good quality.</v>
      </c>
    </row>
    <row r="10170">
      <c r="A10170" s="1">
        <v>5.0</v>
      </c>
      <c r="B10170" s="1" t="s">
        <v>10091</v>
      </c>
      <c r="C10170" t="str">
        <f>IFERROR(__xludf.DUMMYFUNCTION("GOOGLETRANSLATE(B10170, ""es"", ""en"")"),"They are great when I opened the package I was pleasantly surprised smoothness you have. I bought it to use with a newborn and the truth is going very well, to clean face, use of wipes at home, even for the bathtub and stop using sponge because they are a"&amp;" nest of bacteria. These towels is a multiuse for all")</f>
        <v>They are great when I opened the package I was pleasantly surprised smoothness you have. I bought it to use with a newborn and the truth is going very well, to clean face, use of wipes at home, even for the bathtub and stop using sponge because they are a nest of bacteria. These towels is a multiuse for all</v>
      </c>
    </row>
    <row r="10171">
      <c r="A10171" s="1">
        <v>5.0</v>
      </c>
      <c r="B10171" s="1" t="s">
        <v>10092</v>
      </c>
      <c r="C10171" t="str">
        <f>IFERROR(__xludf.DUMMYFUNCTION("GOOGLETRANSLATE(B10171, ""es"", ""en"")"),"Much roll roll There's a lot I do not think spend it all, I comes in handy to have it saved, I used part of the time and have wall to record things. If you can not stick it on your wall because it is defective can use pushpins that will fulfill the same f"&amp;"unction, a good buy")</f>
        <v>Much roll roll There's a lot I do not think spend it all, I comes in handy to have it saved, I used part of the time and have wall to record things. If you can not stick it on your wall because it is defective can use pushpins that will fulfill the same function, a good buy</v>
      </c>
    </row>
    <row r="10172">
      <c r="A10172" s="1">
        <v>5.0</v>
      </c>
      <c r="B10172" s="1" t="s">
        <v>10093</v>
      </c>
      <c r="C10172" t="str">
        <f>IFERROR(__xludf.DUMMYFUNCTION("GOOGLETRANSLATE(B10172, ""es"", ""en"")"),"All good than expected for a card like this. All good")</f>
        <v>All good than expected for a card like this. All good</v>
      </c>
    </row>
    <row r="10173">
      <c r="A10173" s="1">
        <v>5.0</v>
      </c>
      <c r="B10173" s="1" t="s">
        <v>10094</v>
      </c>
      <c r="C10173" t="str">
        <f>IFERROR(__xludf.DUMMYFUNCTION("GOOGLETRANSLATE(B10173, ""es"", ""en"")"),"New life to my laptop does not disappoint. He had long been mulling over and the end I decided to buy it for my Acer Aspire 5750G. I reinstalled Windows 10 from scratch on this record, I encouraged her to switch to Edge to navigate and the newly purchased"&amp;" laptop is like, amazing speed jump start level and internet browsing. For installation and data transfer, do not use the software that comes, I would not lie with disk images and more. simpler I did: I installed Windows 10 from scratch on this SSD virgin"&amp;". I bought a USB cable to Satay once installed the operating Sisema, I connected the old hard drive via USB and was passing the data from each usuario.Pienso installation it is also cleaner as well. We also got 4 GB of additional memory (although what rea"&amp;"lly brings speed is SDD) and in one day, new laptop for a small fee ..")</f>
        <v>New life to my laptop does not disappoint. He had long been mulling over and the end I decided to buy it for my Acer Aspire 5750G. I reinstalled Windows 10 from scratch on this record, I encouraged her to switch to Edge to navigate and the newly purchased laptop is like, amazing speed jump start level and internet browsing. For installation and data transfer, do not use the software that comes, I would not lie with disk images and more. simpler I did: I installed Windows 10 from scratch on this SSD virgin. I bought a USB cable to Satay once installed the operating Sisema, I connected the old hard drive via USB and was passing the data from each usuario.Pienso installation it is also cleaner as well. We also got 4 GB of additional memory (although what really brings speed is SDD) and in one day, new laptop for a small fee ..</v>
      </c>
    </row>
    <row r="10174">
      <c r="A10174" s="1">
        <v>5.0</v>
      </c>
      <c r="B10174" s="1" t="s">
        <v>10095</v>
      </c>
      <c r="C10174" t="str">
        <f>IFERROR(__xludf.DUMMYFUNCTION("GOOGLETRANSLATE(B10174, ""es"", ""en"")"),"Good price Everything perfect, works perfectly meets all expectations, fast shipping.")</f>
        <v>Good price Everything perfect, works perfectly meets all expectations, fast shipping.</v>
      </c>
    </row>
    <row r="10175">
      <c r="A10175" s="1">
        <v>5.0</v>
      </c>
      <c r="B10175" s="1" t="s">
        <v>10096</v>
      </c>
      <c r="C10175" t="str">
        <f>IFERROR(__xludf.DUMMYFUNCTION("GOOGLETRANSLATE(B10175, ""es"", ""en"")"),"Very well worth, I recommend it! I love is glass and has good ability! I'll buy very good")</f>
        <v>Very well worth, I recommend it! I love is glass and has good ability! I'll buy very good</v>
      </c>
    </row>
    <row r="10176">
      <c r="A10176" s="1">
        <v>5.0</v>
      </c>
      <c r="B10176" s="1" t="s">
        <v>10097</v>
      </c>
      <c r="C10176" t="str">
        <f>IFERROR(__xludf.DUMMYFUNCTION("GOOGLETRANSLATE(B10176, ""es"", ""en"")"),"Very good buy: an excellent purchase I bought to use nuts for other pending - always lose nuts. These nuts are silver and do not cause any allergies.")</f>
        <v>Very good buy: an excellent purchase I bought to use nuts for other pending - always lose nuts. These nuts are silver and do not cause any allergies.</v>
      </c>
    </row>
    <row r="10177">
      <c r="A10177" s="1">
        <v>5.0</v>
      </c>
      <c r="B10177" s="1" t="s">
        <v>10098</v>
      </c>
      <c r="C10177" t="str">
        <f>IFERROR(__xludf.DUMMYFUNCTION("GOOGLETRANSLATE(B10177, ""es"", ""en"")"),"A perfect micro-SD card good quality, good, reliable brand, with good capacity and good speed ... and only costs 7 € by now! So far it has not given me problems, and I think and I hope not give me. It comes with an adapter to normal card, as typically inc"&amp;"lude micro-SD.")</f>
        <v>A perfect micro-SD card good quality, good, reliable brand, with good capacity and good speed ... and only costs 7 € by now! So far it has not given me problems, and I think and I hope not give me. It comes with an adapter to normal card, as typically include micro-SD.</v>
      </c>
    </row>
    <row r="10178">
      <c r="A10178" s="1">
        <v>5.0</v>
      </c>
      <c r="B10178" s="1" t="s">
        <v>10099</v>
      </c>
      <c r="C10178" t="str">
        <f>IFERROR(__xludf.DUMMYFUNCTION("GOOGLETRANSLATE(B10178, ""es"", ""en"")"),"Super good Very good product have one place in the pro PS4 and not given me any problems and the other on pc work perfectly not make as much noise as people say and I think that PS4 starts a tad faster games. A come with Spanish and American plug so no pr"&amp;"oblem")</f>
        <v>Super good Very good product have one place in the pro PS4 and not given me any problems and the other on pc work perfectly not make as much noise as people say and I think that PS4 starts a tad faster games. A come with Spanish and American plug so no problem</v>
      </c>
    </row>
    <row r="10179">
      <c r="A10179" s="1">
        <v>5.0</v>
      </c>
      <c r="B10179" s="1" t="s">
        <v>10100</v>
      </c>
      <c r="C10179" t="str">
        <f>IFERROR(__xludf.DUMMYFUNCTION("GOOGLETRANSLATE(B10179, ""es"", ""en"")"),"Comfortable. Very useful")</f>
        <v>Comfortable. Very useful</v>
      </c>
    </row>
    <row r="10180">
      <c r="A10180" s="1">
        <v>5.0</v>
      </c>
      <c r="B10180" s="1" t="s">
        <v>10101</v>
      </c>
      <c r="C10180" t="str">
        <f>IFERROR(__xludf.DUMMYFUNCTION("GOOGLETRANSLATE(B10180, ""es"", ""en"")"),"The best for your feet are super comfortable and fit like a glove, I love them.")</f>
        <v>The best for your feet are super comfortable and fit like a glove, I love them.</v>
      </c>
    </row>
    <row r="10181">
      <c r="A10181" s="1">
        <v>5.0</v>
      </c>
      <c r="B10181" s="1" t="s">
        <v>10102</v>
      </c>
      <c r="C10181" t="str">
        <f>IFERROR(__xludf.DUMMYFUNCTION("GOOGLETRANSLATE(B10181, ""es"", ""en"")"),"Hit install on an HP Aio with i3 that was like a potato and became fast and powerful computer.")</f>
        <v>Hit install on an HP Aio with i3 that was like a potato and became fast and powerful computer.</v>
      </c>
    </row>
    <row r="10182">
      <c r="A10182" s="1">
        <v>5.0</v>
      </c>
      <c r="B10182" s="1" t="s">
        <v>10103</v>
      </c>
      <c r="C10182" t="str">
        <f>IFERROR(__xludf.DUMMYFUNCTION("GOOGLETRANSLATE(B10182, ""es"", ""en"")"),"Perfect !!! Boots are perfect! it shows that are of high quality. I recommend, it shows at a glance that will be lasting")</f>
        <v>Perfect !!! Boots are perfect! it shows that are of high quality. I recommend, it shows at a glance that will be lasting</v>
      </c>
    </row>
    <row r="10183">
      <c r="A10183" s="1">
        <v>5.0</v>
      </c>
      <c r="B10183" s="1" t="s">
        <v>10104</v>
      </c>
      <c r="C10183" t="str">
        <f>IFERROR(__xludf.DUMMYFUNCTION("GOOGLETRANSLATE(B10183, ""es"", ""en"")"),"Very pleased with the purchase I love")</f>
        <v>Very pleased with the purchase I love</v>
      </c>
    </row>
    <row r="10184">
      <c r="A10184" s="1">
        <v>5.0</v>
      </c>
      <c r="B10184" s="1" t="s">
        <v>10105</v>
      </c>
      <c r="C10184" t="str">
        <f>IFERROR(__xludf.DUMMYFUNCTION("GOOGLETRANSLATE(B10184, ""es"", ""en"")"),"Good value good design, good value for money, easy to install, easy to clean, good suction capacity, 3 speeds but the strongest is somewhat noisy falls within normal for a fume hood. I recommend it.")</f>
        <v>Good value good design, good value for money, easy to install, easy to clean, good suction capacity, 3 speeds but the strongest is somewhat noisy falls within normal for a fume hood. I recommend it.</v>
      </c>
    </row>
    <row r="10185">
      <c r="A10185" s="1">
        <v>5.0</v>
      </c>
      <c r="B10185" s="1" t="s">
        <v>10106</v>
      </c>
      <c r="C10185" t="str">
        <f>IFERROR(__xludf.DUMMYFUNCTION("GOOGLETRANSLATE(B10185, ""es"", ""en"")"),"Good quality blender Juicers professional very good price. It is easy to use and clean and also has some pretty good finishes and power. I like pureeing vegetables and fruit smoothies are great I recommend")</f>
        <v>Good quality blender Juicers professional very good price. It is easy to use and clean and also has some pretty good finishes and power. I like pureeing vegetables and fruit smoothies are great I recommend</v>
      </c>
    </row>
    <row r="10186">
      <c r="A10186" s="1">
        <v>5.0</v>
      </c>
      <c r="B10186" s="1" t="s">
        <v>10107</v>
      </c>
      <c r="C10186" t="str">
        <f>IFERROR(__xludf.DUMMYFUNCTION("GOOGLETRANSLATE(B10186, ""es"", ""en"")"),"The colors are not as vivid. San colors not as vivid as the photo.")</f>
        <v>The colors are not as vivid. San colors not as vivid as the photo.</v>
      </c>
    </row>
    <row r="10187">
      <c r="A10187" s="1">
        <v>5.0</v>
      </c>
      <c r="B10187" s="1" t="s">
        <v>10108</v>
      </c>
      <c r="C10187" t="str">
        <f>IFERROR(__xludf.DUMMYFUNCTION("GOOGLETRANSLATE(B10187, ""es"", ""en"")"),"It works great and updates have fixed the bugs that are discussed. I have two weeks of fairly intense use of the clock and the thing went pretty well. I read all of this watch good reviews and bad enough. I must say that I decided on this and not the Gala"&amp;"xy Watch because the price difference did not justify the added. As for notifications doing great, you get all of the phone and in the case of WhatsApp (must be for an update) if you can read all messages and answer them. In sport everything is going grea"&amp;"t, you do not need to take your phone even as only monitors watch everything you need to create the route on the map when you are running. It measured by pulse better than most smartwatches and sleep more of the same. Maybe it's a little big to sleep with"&amp;" but instead is very nice and it feels great to wear everyday. It may be a bit generous to the count steps but not excessively. As for the battery if you use 24h a day lasts two days, neither more nor less. If you take it off to sleep and such that extens"&amp;"ion cords can a little more. All in all I'm happy, I come from a smartwatch of wear and I think Samsung has done better than Google.")</f>
        <v>It works great and updates have fixed the bugs that are discussed. I have two weeks of fairly intense use of the clock and the thing went pretty well. I read all of this watch good reviews and bad enough. I must say that I decided on this and not the Galaxy Watch because the price difference did not justify the added. As for notifications doing great, you get all of the phone and in the case of WhatsApp (must be for an update) if you can read all messages and answer them. In sport everything is going great, you do not need to take your phone even as only monitors watch everything you need to create the route on the map when you are running. It measured by pulse better than most smartwatches and sleep more of the same. Maybe it's a little big to sleep with but instead is very nice and it feels great to wear everyday. It may be a bit generous to the count steps but not excessively. As for the battery if you use 24h a day lasts two days, neither more nor less. If you take it off to sleep and such that extension cords can a little more. All in all I'm happy, I come from a smartwatch of wear and I think Samsung has done better than Google.</v>
      </c>
    </row>
    <row r="10188">
      <c r="A10188" s="1">
        <v>5.0</v>
      </c>
      <c r="B10188" s="1" t="s">
        <v>10109</v>
      </c>
      <c r="C10188" t="str">
        <f>IFERROR(__xludf.DUMMYFUNCTION("GOOGLETRANSLATE(B10188, ""es"", ""en"")"),"German Quality The quality and finish are very good, are robust and both the design and construction are surprising. Regarding the sound level of detail they offer is amazing, they have very clearly and show what is true. Also note that the highs are high"&amp;", but I like what you get is a level of detail in the treble that I have never heard")</f>
        <v>German Quality The quality and finish are very good, are robust and both the design and construction are surprising. Regarding the sound level of detail they offer is amazing, they have very clearly and show what is true. Also note that the highs are high, but I like what you get is a level of detail in the treble that I have never heard</v>
      </c>
    </row>
    <row r="10189">
      <c r="A10189" s="1">
        <v>2.0</v>
      </c>
      <c r="B10189" s="1" t="s">
        <v>10110</v>
      </c>
      <c r="C10189" t="str">
        <f>IFERROR(__xludf.DUMMYFUNCTION("GOOGLETRANSLATE(B10189, ""es"", ""en"")"),"Soft brushes very soft, do not serve for deep cleaning as said, only very shallow and gentle cleansing with soap and water - no bleach or chemicals. Mine lasted 20 minutes.")</f>
        <v>Soft brushes very soft, do not serve for deep cleaning as said, only very shallow and gentle cleansing with soap and water - no bleach or chemicals. Mine lasted 20 minutes.</v>
      </c>
    </row>
    <row r="10190">
      <c r="A10190" s="1">
        <v>3.0</v>
      </c>
      <c r="B10190" s="2" t="s">
        <v>10111</v>
      </c>
      <c r="C10190" t="str">
        <f>IFERROR(__xludf.DUMMYFUNCTION("GOOGLETRANSLATE(B10190, ""es"", ""en"")"),"Pawaca chest bag leather men's shoulder bag Crossbody is too small")</f>
        <v>Pawaca chest bag leather men's shoulder bag Crossbody is too small</v>
      </c>
    </row>
    <row r="10191">
      <c r="A10191" s="1">
        <v>1.0</v>
      </c>
      <c r="B10191" s="1" t="s">
        <v>10112</v>
      </c>
      <c r="C10191" t="str">
        <f>IFERROR(__xludf.DUMMYFUNCTION("GOOGLETRANSLATE(B10191, ""es"", ""en"")"),"Zero clock patatero A disaster! I have a month and no apparent reason by spending 90 minutes at the fia just stopped suddenly and not work is a.")</f>
        <v>Zero clock patatero A disaster! I have a month and no apparent reason by spending 90 minutes at the fia just stopped suddenly and not work is a.</v>
      </c>
    </row>
    <row r="10192">
      <c r="A10192" s="1">
        <v>1.0</v>
      </c>
      <c r="B10192" s="1" t="s">
        <v>10113</v>
      </c>
      <c r="C10192" t="str">
        <f>IFERROR(__xludf.DUMMYFUNCTION("GOOGLETRANSLATE(B10192, ""es"", ""en"")"),"Malo not not buy the 2 days following roulette broke adjusting hour. It takes days in the trash and")</f>
        <v>Malo not not buy the 2 days following roulette broke adjusting hour. It takes days in the trash and</v>
      </c>
    </row>
    <row r="10193">
      <c r="A10193" s="1">
        <v>1.0</v>
      </c>
      <c r="B10193" s="1" t="s">
        <v>10114</v>
      </c>
      <c r="C10193" t="str">
        <f>IFERROR(__xludf.DUMMYFUNCTION("GOOGLETRANSLATE(B10193, ""es"", ""en"")"),"Broken in less than a year I bought it in March 2018, 4TB version. Already it is broken, dead all, without access. I opened the box, if the connector that fail more than a gun fair, but nothing, kaput. Cheap is expensive. Let's see now who takes over. Let"&amp;" me tell you.")</f>
        <v>Broken in less than a year I bought it in March 2018, 4TB version. Already it is broken, dead all, without access. I opened the box, if the connector that fail more than a gun fair, but nothing, kaput. Cheap is expensive. Let's see now who takes over. Let me tell you.</v>
      </c>
    </row>
    <row r="10194">
      <c r="A10194" s="1">
        <v>4.0</v>
      </c>
      <c r="B10194" s="1" t="s">
        <v>10115</v>
      </c>
      <c r="C10194" t="str">
        <f>IFERROR(__xludf.DUMMYFUNCTION("GOOGLETRANSLATE(B10194, ""es"", ""en"")"),"Super Size small, excellent aluminum material, high capacity 64 GB ... my honest opinion: I needed to buy a drive pen much capacity and small size, I did not care it was USB 2.0 because it is for use in some old devices soportal not the 3.0, and this mate"&amp;"rial as aluminum had was very small was the reason that made me buy it .. After use several days, several weeks best that I can give my honest opinion so help you weigh. I think in my case at least, fulfills everything that promises the description, as me"&amp;"ntioned earlier has good quality materials, large capacity and excellent size .... also says it is waterproof, (NOTE: This does not mean submersible obviously). Overall it's a good product, no problem my devices read the input files. Cooperation could imp"&amp;"rove file transfer is very unstable. And the file system, which gives us the user only format option in eX-FAT or NTFS. If you're looking for a pen drive much capacity and small size without caring that is USB 2.0 I recommend it without a doubt.")</f>
        <v>Super Size small, excellent aluminum material, high capacity 64 GB ... my honest opinion: I needed to buy a drive pen much capacity and small size, I did not care it was USB 2.0 because it is for use in some old devices soportal not the 3.0, and this material as aluminum had was very small was the reason that made me buy it .. After use several days, several weeks best that I can give my honest opinion so help you weigh. I think in my case at least, fulfills everything that promises the description, as mentioned earlier has good quality materials, large capacity and excellent size .... also says it is waterproof, (NOTE: This does not mean submersible obviously). Overall it's a good product, no problem my devices read the input files. Cooperation could improve file transfer is very unstable. And the file system, which gives us the user only format option in eX-FAT or NTFS. If you're looking for a pen drive much capacity and small size without caring that is USB 2.0 I recommend it without a doubt.</v>
      </c>
    </row>
    <row r="10195">
      <c r="A10195" s="1">
        <v>4.0</v>
      </c>
      <c r="B10195" s="1" t="s">
        <v>10116</v>
      </c>
      <c r="C10195" t="str">
        <f>IFERROR(__xludf.DUMMYFUNCTION("GOOGLETRANSLATE(B10195, ""es"", ""en"")"),"Only good buy've used four times. All nicely packaged wine and earlier than that by Amazon (which is so bad that comes later as you arrive soon). For a house of 70 square meters has given me to pass four times at the lowest level without exhausting the ba"&amp;"ttery. Suctioned quite well in the minimum power, from my point of view although not comparable to typical vacuum cleaner. Very comfortable to use and clean. Little noise.")</f>
        <v>Only good buy've used four times. All nicely packaged wine and earlier than that by Amazon (which is so bad that comes later as you arrive soon). For a house of 70 square meters has given me to pass four times at the lowest level without exhausting the battery. Suctioned quite well in the minimum power, from my point of view although not comparable to typical vacuum cleaner. Very comfortable to use and clean. Little noise.</v>
      </c>
    </row>
    <row r="10196">
      <c r="A10196" s="1">
        <v>4.0</v>
      </c>
      <c r="B10196" s="1" t="s">
        <v>10117</v>
      </c>
      <c r="C10196" t="str">
        <f>IFERROR(__xludf.DUMMYFUNCTION("GOOGLETRANSLATE(B10196, ""es"", ""en"")"),"Very useful for small objects Weight attractiveness is low but it is very useful for small objects vertically weight if used as it may slip. Horizontally holds more weight. I have a Google Home Mini under the tall kitchen furniture and is perfectly attach"&amp;"ed. It can be cut with scissors.")</f>
        <v>Very useful for small objects Weight attractiveness is low but it is very useful for small objects vertically weight if used as it may slip. Horizontally holds more weight. I have a Google Home Mini under the tall kitchen furniture and is perfectly attached. It can be cut with scissors.</v>
      </c>
    </row>
    <row r="10197">
      <c r="A10197" s="1">
        <v>4.0</v>
      </c>
      <c r="B10197" s="1" t="s">
        <v>10118</v>
      </c>
      <c r="C10197" t="str">
        <f>IFERROR(__xludf.DUMMYFUNCTION("GOOGLETRANSLATE(B10197, ""es"", ""en"")"),"Tough and practice after several months of continuous use, still like the first day. Practical and durable. The paste only, belt hang a short pelín")</f>
        <v>Tough and practice after several months of continuous use, still like the first day. Practical and durable. The paste only, belt hang a short pelín</v>
      </c>
    </row>
    <row r="10198">
      <c r="A10198" s="1">
        <v>4.0</v>
      </c>
      <c r="B10198" s="1" t="s">
        <v>10119</v>
      </c>
      <c r="C10198" t="str">
        <f>IFERROR(__xludf.DUMMYFUNCTION("GOOGLETRANSLATE(B10198, ""es"", ""en"")"),"Just what it is advertised. perfectly fulfills its function. Instructions on the product and places that can not be used for pictures or valuable things, which only serves to posters. For these I worked very well, but you can only put three posters with t"&amp;"he number of strips coming and the price is very high. Poor value for money.")</f>
        <v>Just what it is advertised. perfectly fulfills its function. Instructions on the product and places that can not be used for pictures or valuable things, which only serves to posters. For these I worked very well, but you can only put three posters with the number of strips coming and the price is very high. Poor value for money.</v>
      </c>
    </row>
    <row r="10199">
      <c r="A10199" s="1">
        <v>5.0</v>
      </c>
      <c r="B10199" s="1" t="s">
        <v>10120</v>
      </c>
      <c r="C10199" t="str">
        <f>IFERROR(__xludf.DUMMYFUNCTION("GOOGLETRANSLATE(B10199, ""es"", ""en"")"),"I really like essential oil")</f>
        <v>I really like essential oil</v>
      </c>
    </row>
    <row r="10200">
      <c r="A10200" s="1">
        <v>5.0</v>
      </c>
      <c r="B10200" s="1" t="s">
        <v>10121</v>
      </c>
      <c r="C10200" t="str">
        <f>IFERROR(__xludf.DUMMYFUNCTION("GOOGLETRANSLATE(B10200, ""es"", ""en"")"),"Very stable weight, a success. Not heavy but ojito deceiver, it is very well made and the legs fit perfectly, which provides a stable support and gives a lot of confidence. The foot is telescopic and folding arm which covers all types of heights and saves"&amp;" any possible obstacles. If I had to catch me repeat that I know.")</f>
        <v>Very stable weight, a success. Not heavy but ojito deceiver, it is very well made and the legs fit perfectly, which provides a stable support and gives a lot of confidence. The foot is telescopic and folding arm which covers all types of heights and saves any possible obstacles. If I had to catch me repeat that I know.</v>
      </c>
    </row>
    <row r="10201">
      <c r="A10201" s="1">
        <v>5.0</v>
      </c>
      <c r="B10201" s="1" t="s">
        <v>10122</v>
      </c>
      <c r="C10201" t="str">
        <f>IFERROR(__xludf.DUMMYFUNCTION("GOOGLETRANSLATE(B10201, ""es"", ""en"")"),"Very useful !!!! Just what I wanted to clean house radiators, very long and with a good command all the fluff that goes in between the tubes.")</f>
        <v>Very useful !!!! Just what I wanted to clean house radiators, very long and with a good command all the fluff that goes in between the tubes.</v>
      </c>
    </row>
    <row r="10202">
      <c r="A10202" s="1">
        <v>5.0</v>
      </c>
      <c r="B10202" s="1" t="s">
        <v>10123</v>
      </c>
      <c r="C10202" t="str">
        <f>IFERROR(__xludf.DUMMYFUNCTION("GOOGLETRANSLATE(B10202, ""es"", ""en"")"),"Unsurpassable The brand Skechers for me is the best, I had problems heels and pains in the soles of the foot and I took off only with them and this particular model has no cords to tie and is as comfortable in the world, you will adapt to foot as if it we"&amp;"re a glove")</f>
        <v>Unsurpassable The brand Skechers for me is the best, I had problems heels and pains in the soles of the foot and I took off only with them and this particular model has no cords to tie and is as comfortable in the world, you will adapt to foot as if it were a glove</v>
      </c>
    </row>
    <row r="10203">
      <c r="A10203" s="1">
        <v>5.0</v>
      </c>
      <c r="B10203" s="1" t="s">
        <v>10124</v>
      </c>
      <c r="C10203" t="str">
        <f>IFERROR(__xludf.DUMMYFUNCTION("GOOGLETRANSLATE(B10203, ""es"", ""en"")"),"Good quality and good shoes good shoes")</f>
        <v>Good quality and good shoes good shoes</v>
      </c>
    </row>
    <row r="10204">
      <c r="A10204" s="1">
        <v>5.0</v>
      </c>
      <c r="B10204" s="1" t="s">
        <v>10125</v>
      </c>
      <c r="C10204" t="str">
        <f>IFERROR(__xludf.DUMMYFUNCTION("GOOGLETRANSLATE(B10204, ""es"", ""en"")"),"16 Gb Small economical price, resistant moment I am happy with it, I use it to get music and listen in the car, because the computer has USB input. Shipping was very fast and I used to buy several things that had yet to me not waived shipping charges. I t"&amp;"otally recommend.")</f>
        <v>16 Gb Small economical price, resistant moment I am happy with it, I use it to get music and listen in the car, because the computer has USB input. Shipping was very fast and I used to buy several things that had yet to me not waived shipping charges. I totally recommend.</v>
      </c>
    </row>
    <row r="10205">
      <c r="A10205" s="1">
        <v>5.0</v>
      </c>
      <c r="B10205" s="1" t="s">
        <v>10126</v>
      </c>
      <c r="C10205" t="str">
        <f>IFERROR(__xludf.DUMMYFUNCTION("GOOGLETRANSLATE(B10205, ""es"", ""en"")"),"I like the quality")</f>
        <v>I like the quality</v>
      </c>
    </row>
    <row r="10206">
      <c r="A10206" s="1">
        <v>5.0</v>
      </c>
      <c r="B10206" s="1" t="s">
        <v>10127</v>
      </c>
      <c r="C10206" t="str">
        <f>IFERROR(__xludf.DUMMYFUNCTION("GOOGLETRANSLATE(B10206, ""es"", ""en"")"),"Sports Bra sports bra very nice and pretty. Stuffed bears that can be removed or put to the taste of each and allowing fits properly to the breast.")</f>
        <v>Sports Bra sports bra very nice and pretty. Stuffed bears that can be removed or put to the taste of each and allowing fits properly to the breast.</v>
      </c>
    </row>
    <row r="10207">
      <c r="A10207" s="1">
        <v>5.0</v>
      </c>
      <c r="B10207" s="1" t="s">
        <v>10128</v>
      </c>
      <c r="C10207" t="str">
        <f>IFERROR(__xludf.DUMMYFUNCTION("GOOGLETRANSLATE(B10207, ""es"", ""en"")"),"I like it. the dress is the same as in the picture and I'm fine. Thanks and service is first.")</f>
        <v>I like it. the dress is the same as in the picture and I'm fine. Thanks and service is first.</v>
      </c>
    </row>
    <row r="10208">
      <c r="A10208" s="1">
        <v>5.0</v>
      </c>
      <c r="B10208" s="1" t="s">
        <v>10129</v>
      </c>
      <c r="C10208" t="str">
        <f>IFERROR(__xludf.DUMMYFUNCTION("GOOGLETRANSLATE(B10208, ""es"", ""en"")"),"Box great totally complete to prepare a special gift.")</f>
        <v>Box great totally complete to prepare a special gift.</v>
      </c>
    </row>
    <row r="10209">
      <c r="A10209" s="1">
        <v>5.0</v>
      </c>
      <c r="B10209" s="1" t="s">
        <v>10130</v>
      </c>
      <c r="C10209" t="str">
        <f>IFERROR(__xludf.DUMMYFUNCTION("GOOGLETRANSLATE(B10209, ""es"", ""en"")"),"10 exceeds expectations. The perfect color. They are very comfortable and above all beautiful. Other superga buy it again. Recommendation, try store before ordering, the number varies widely.")</f>
        <v>10 exceeds expectations. The perfect color. They are very comfortable and above all beautiful. Other superga buy it again. Recommendation, try store before ordering, the number varies widely.</v>
      </c>
    </row>
    <row r="10210">
      <c r="A10210" s="1">
        <v>5.0</v>
      </c>
      <c r="B10210" s="1" t="s">
        <v>10131</v>
      </c>
      <c r="C10210" t="str">
        <f>IFERROR(__xludf.DUMMYFUNCTION("GOOGLETRANSLATE(B10210, ""es"", ""en"")"),"Good buy Good")</f>
        <v>Good buy Good</v>
      </c>
    </row>
    <row r="10211">
      <c r="A10211" s="1">
        <v>5.0</v>
      </c>
      <c r="B10211" s="1" t="s">
        <v>10132</v>
      </c>
      <c r="C10211" t="str">
        <f>IFERROR(__xludf.DUMMYFUNCTION("GOOGLETRANSLATE(B10211, ""es"", ""en"")"),"SanDisk forever I've bought many SanDisk cards and never change brand: - Absolutely reliable: in all the years that I've been using, not a single problem - Fast reading and writing - Easy to install for me is definitely the card manufacturer memory better"&amp;" and more reliable, by far.")</f>
        <v>SanDisk forever I've bought many SanDisk cards and never change brand: - Absolutely reliable: in all the years that I've been using, not a single problem - Fast reading and writing - Easy to install for me is definitely the card manufacturer memory better and more reliable, by far.</v>
      </c>
    </row>
    <row r="10212">
      <c r="A10212" s="1">
        <v>5.0</v>
      </c>
      <c r="B10212" s="1" t="s">
        <v>10133</v>
      </c>
      <c r="C10212" t="str">
        <f>IFERROR(__xludf.DUMMYFUNCTION("GOOGLETRANSLATE(B10212, ""es"", ""en"")"),"It has come in a short tiem0o has arrived in perfect condition")</f>
        <v>It has come in a short tiem0o has arrived in perfect condition</v>
      </c>
    </row>
    <row r="10213">
      <c r="A10213" s="1">
        <v>5.0</v>
      </c>
      <c r="B10213" s="1" t="s">
        <v>10134</v>
      </c>
      <c r="C10213" t="str">
        <f>IFERROR(__xludf.DUMMYFUNCTION("GOOGLETRANSLATE(B10213, ""es"", ""en"")"),"990 As expected excellence Conga conga 990 is nothing more than a copy of this model. And while the """" original """" battery of conga on your page costs about 60 euros (if not more, and if they have stock), this is the same and at half price. And if you"&amp;" look for the battery model in other pages you can fliparlo with the price.")</f>
        <v>990 As expected excellence Conga conga 990 is nothing more than a copy of this model. And while the "" original "" battery of conga on your page costs about 60 euros (if not more, and if they have stock), this is the same and at half price. And if you look for the battery model in other pages you can fliparlo with the price.</v>
      </c>
    </row>
    <row r="10214">
      <c r="A10214" s="1">
        <v>5.0</v>
      </c>
      <c r="B10214" s="1" t="s">
        <v>10135</v>
      </c>
      <c r="C10214" t="str">
        <f>IFERROR(__xludf.DUMMYFUNCTION("GOOGLETRANSLATE(B10214, ""es"", ""en"")"),"A good appliance blender has been a good acquisition has a very powerful engine and terrific beating pica. I love how quickly beating and result. The accessories that come with the mixer are very useful for me especially the glass for the mincer. The mate"&amp;"rial of the blades seem very good quality. I think its value is very successful and I am satisfied with the purchase.")</f>
        <v>A good appliance blender has been a good acquisition has a very powerful engine and terrific beating pica. I love how quickly beating and result. The accessories that come with the mixer are very useful for me especially the glass for the mincer. The material of the blades seem very good quality. I think its value is very successful and I am satisfied with the purchase.</v>
      </c>
    </row>
    <row r="10215">
      <c r="A10215" s="1">
        <v>5.0</v>
      </c>
      <c r="B10215" s="1" t="s">
        <v>10136</v>
      </c>
      <c r="C10215" t="str">
        <f>IFERROR(__xludf.DUMMYFUNCTION("GOOGLETRANSLATE(B10215, ""es"", ""en"")"),"Full noise cancellation What fascinated me most of these headphones is its noise cancellation technology. The use primarily to isolate the normal work often have external noise and cross-talk. After a month of use I am delighted with these headphones, but"&amp;" its price is high worth. The highlight for three qualities: noise cancellation, audio quality and battery life")</f>
        <v>Full noise cancellation What fascinated me most of these headphones is its noise cancellation technology. The use primarily to isolate the normal work often have external noise and cross-talk. After a month of use I am delighted with these headphones, but its price is high worth. The highlight for three qualities: noise cancellation, audio quality and battery life</v>
      </c>
    </row>
    <row r="10216">
      <c r="A10216" s="1">
        <v>5.0</v>
      </c>
      <c r="B10216" s="1" t="s">
        <v>10137</v>
      </c>
      <c r="C10216" t="str">
        <f>IFERROR(__xludf.DUMMYFUNCTION("GOOGLETRANSLATE(B10216, ""es"", ""en"")"),"Very good kettle price / quality I liked, fast heated, comfortable, good design and high capacity")</f>
        <v>Very good kettle price / quality I liked, fast heated, comfortable, good design and high capacity</v>
      </c>
    </row>
    <row r="10217">
      <c r="A10217" s="1">
        <v>2.0</v>
      </c>
      <c r="B10217" s="1" t="s">
        <v>10138</v>
      </c>
      <c r="C10217" t="str">
        <f>IFERROR(__xludf.DUMMYFUNCTION("GOOGLETRANSLATE(B10217, ""es"", ""en"")"),"Normal I expected more, not everything he says, very sinsibles buttons and change all the time when")</f>
        <v>Normal I expected more, not everything he says, very sinsibles buttons and change all the time when</v>
      </c>
    </row>
    <row r="10218">
      <c r="A10218" s="1">
        <v>3.0</v>
      </c>
      <c r="B10218" s="1" t="s">
        <v>10139</v>
      </c>
      <c r="C10218" t="str">
        <f>IFERROR(__xludf.DUMMYFUNCTION("GOOGLETRANSLATE(B10218, ""es"", ""en"")"),"Very little Little rope rope as many labels, could put a little more ,, now have to buy a part, expected size according to description, Greetings")</f>
        <v>Very little Little rope rope as many labels, could put a little more ,, now have to buy a part, expected size according to description, Greetings</v>
      </c>
    </row>
    <row r="10219">
      <c r="A10219" s="1">
        <v>3.0</v>
      </c>
      <c r="B10219" s="1" t="s">
        <v>10140</v>
      </c>
      <c r="C10219" t="str">
        <f>IFERROR(__xludf.DUMMYFUNCTION("GOOGLETRANSLATE(B10219, ""es"", ""en"")"),"Q thought would be better. I thought it would be cool, but the picture looks better quality than is then q. I have not finished like")</f>
        <v>Q thought would be better. I thought it would be cool, but the picture looks better quality than is then q. I have not finished like</v>
      </c>
    </row>
    <row r="10220">
      <c r="A10220" s="1">
        <v>3.0</v>
      </c>
      <c r="B10220" s="1" t="s">
        <v>10141</v>
      </c>
      <c r="C10220" t="str">
        <f>IFERROR(__xludf.DUMMYFUNCTION("GOOGLETRANSLATE(B10220, ""es"", ""en"")"),"Cartilage earrings. They are of rather poor quality, but for the price they give the workaround. I am currently putting the silver and the truth is that I can not fall or anything. Nor it is too shiny, which is good.")</f>
        <v>Cartilage earrings. They are of rather poor quality, but for the price they give the workaround. I am currently putting the silver and the truth is that I can not fall or anything. Nor it is too shiny, which is good.</v>
      </c>
    </row>
    <row r="10221">
      <c r="A10221" s="1">
        <v>1.0</v>
      </c>
      <c r="B10221" s="1" t="s">
        <v>10142</v>
      </c>
      <c r="C10221" t="str">
        <f>IFERROR(__xludf.DUMMYFUNCTION("GOOGLETRANSLATE(B10221, ""es"", ""en"")"),"Poor quality headphones lasted me anything. They broke down and stopped working alone. Luckily Amazon works great and get my money.")</f>
        <v>Poor quality headphones lasted me anything. They broke down and stopped working alone. Luckily Amazon works great and get my money.</v>
      </c>
    </row>
    <row r="10222">
      <c r="A10222" s="1">
        <v>1.0</v>
      </c>
      <c r="B10222" s="1" t="s">
        <v>10143</v>
      </c>
      <c r="C10222" t="str">
        <f>IFERROR(__xludf.DUMMYFUNCTION("GOOGLETRANSLATE(B10222, ""es"", ""en"")"),"Sleazy 2 months after buying milk comes out waving. Use a daily bottle because the rest of shots is breast milk and have from day care as manufacturer guidelines. I would not buy it.")</f>
        <v>Sleazy 2 months after buying milk comes out waving. Use a daily bottle because the rest of shots is breast milk and have from day care as manufacturer guidelines. I would not buy it.</v>
      </c>
    </row>
    <row r="10223">
      <c r="A10223" s="1">
        <v>4.0</v>
      </c>
      <c r="B10223" s="1" t="s">
        <v>10144</v>
      </c>
      <c r="C10223" t="str">
        <f>IFERROR(__xludf.DUMMYFUNCTION("GOOGLETRANSLATE(B10223, ""es"", ""en"")"),"He could be could be melhor melhor")</f>
        <v>He could be could be melhor melhor</v>
      </c>
    </row>
    <row r="10224">
      <c r="A10224" s="1">
        <v>4.0</v>
      </c>
      <c r="B10224" s="1" t="s">
        <v>10145</v>
      </c>
      <c r="C10224" t="str">
        <f>IFERROR(__xludf.DUMMYFUNCTION("GOOGLETRANSLATE(B10224, ""es"", ""en"")"),"GOOD BUY warm enough, is in a genre like that of fleeces.")</f>
        <v>GOOD BUY warm enough, is in a genre like that of fleeces.</v>
      </c>
    </row>
    <row r="10225">
      <c r="A10225" s="1">
        <v>4.0</v>
      </c>
      <c r="B10225" s="1" t="s">
        <v>10146</v>
      </c>
      <c r="C10225" t="str">
        <f>IFERROR(__xludf.DUMMYFUNCTION("GOOGLETRANSLATE(B10225, ""es"", ""en"")"),"Comodisimos are ideal for walking or standing around the day.Although are not skin, aparentan.lo I liked least it is that the 3D tissue that is lined inside is blank and it shows by looks, even little bit.")</f>
        <v>Comodisimos are ideal for walking or standing around the day.Although are not skin, aparentan.lo I liked least it is that the 3D tissue that is lined inside is blank and it shows by looks, even little bit.</v>
      </c>
    </row>
    <row r="10226">
      <c r="A10226" s="1">
        <v>4.0</v>
      </c>
      <c r="B10226" s="1" t="s">
        <v>10147</v>
      </c>
      <c r="C10226" t="str">
        <f>IFERROR(__xludf.DUMMYFUNCTION("GOOGLETRANSLATE(B10226, ""es"", ""en"")"),"Platform shoes with little thought when they came would not like my daughter and ..... is delighted with them.")</f>
        <v>Platform shoes with little thought when they came would not like my daughter and ..... is delighted with them.</v>
      </c>
    </row>
    <row r="10227">
      <c r="A10227" s="1">
        <v>5.0</v>
      </c>
      <c r="B10227" s="1" t="s">
        <v>8787</v>
      </c>
      <c r="C10227" t="str">
        <f>IFERROR(__xludf.DUMMYFUNCTION("GOOGLETRANSLATE(B10227, ""es"", ""en"")"),"Comfort Very comfortable")</f>
        <v>Comfort Very comfortable</v>
      </c>
    </row>
    <row r="10228">
      <c r="A10228" s="1">
        <v>5.0</v>
      </c>
      <c r="B10228" s="1" t="s">
        <v>10148</v>
      </c>
      <c r="C10228" t="str">
        <f>IFERROR(__xludf.DUMMYFUNCTION("GOOGLETRANSLATE(B10228, ""es"", ""en"")"),"USB memory for mobile &lt;div id = ""video-block-R21XL1I087SM3T"" class = ""a-section a-spacing-small to-spacing-top mini-video block""&gt; &lt;div tabindex = ""0"" class = "" airy airy-svg vmin-unsupported airy-skin-beacon ""style ="" background-color: rgb (0, 0,"&amp;" 0) position: relative; width: 100%; height: 100%; font-size: 0px; overflow : hidden; outline: none; ""&gt; &lt;div class ="" airy-renderer-container ""style ="" position: relative; height: 100%; width: 100%; ""&gt; &lt;video id ="" 143 ""preload ="" auto ""src ="" h"&amp;"ttps://images-eu.ssl-images-amazon.com/images/I/A1RdU6YdpjS.mp4 ""style ="" position: absolute; left: 0px; top: 0px; overflow: hidden; height: 1px ; width: 1px; ""&gt; &lt;/ video&gt; &lt;/ div&gt; &lt;div id ="" airy-slate-preload ""style ="" background-color: rgb (0, 0, "&amp;"0); background-image: url (&amp; quot; https://images-eu.ssl-images-amazon.com/images/I/91uuwYt+F6S.png&amp;quot;); background-size: Contain; background-position: center center; background-repeat: no-repeat; position : absolute; top: 0px; left: 0px; visibility: v"&amp;"isible; width: 100%; height: 100%; ""&gt; &lt;/ div&gt; &lt;Iframe scrolling = ""no"" frameborder = ""0"" src = ""about: blank"" style = ""display: none;""&gt; &lt;/ iframe&gt; &lt;div tabindex = ""- 1"" class = ""airy-controls-container"" style = ""opacity: 0; visibility: hidde"&amp;"n; ""&gt; &lt;div tabindex ="" - 1 ""class ="" airy-screen-size-toggle airy-fullscreen ""&gt; &lt;/ div&gt; &lt;div tabindex ="" - 1 ""class ="" airy-container-bottom "" &gt; &lt;div tabindex = ""- 1"" class = ""airy-track-bar-spacer-left"" style = ""width: 11px;""&gt; &lt;/ div&gt; &lt;div"&amp;" tabindex = ""- 1"" class = ""airy-play- airy toggle-play ""style ="" width: 12px; margin-right: 12px; ""&gt; &lt;/ div&gt; &lt;div tabindex ="" - 1 ""class ="" airy-audio-elements ""style ="" float: right; width: 34px; ""&gt; &lt;div tabindex ="" - 1 ""class ="" airy-audi"&amp;"o-toggle airy-on ""&gt; &lt;/ div&gt; &lt;div tabindex ="" - 1 ""class ="" airy-audio-container ""style = ""opacity: 0; visibility: hidden; ""&gt; &lt;div tabindex ="" - 1 ""class ="" airy-audio-track-bar ""style ="" height: 80%; ""&gt; &lt;div tabindex ="" - 1 ""class ="" airy-"&amp;"audio- Scrubber-bar ""style ="" height: 85%; ""&gt; &lt;/ div&gt; &lt;div tabindex ="" - 1 ""class ="" airy-audio-scrubber ""style ="" height: 12px; bottom: 85% ""&gt; &lt;/ div&gt; &lt;/ div&gt; &lt;/ div&gt; &lt;/ div&gt; &lt;div tabindex ="" - 1 ""class ="" airy-duration-label ""style ="" floa"&amp;"t: right; width: 26px; margin-right: 4px; text-align: center; ""&gt; 0:00 &lt;/ div&gt; &lt;div tabindex ="" - 1 ""class ="" airy-track-bar-spacer-right ""style ="" float: right; width: 11px; ""&gt; &lt;/ div&gt; &lt;div tabindex ="" - 1 ""class ="" airy-track-bar-container ""st"&amp;"yle ="" margin-left: 35px; margin-right: 75px; ""&gt; &lt;div tabindex ="" - 1 ""class ="" airy-airy-track-bar vertically-centering-table ""&gt; &lt;div tabindex ="" - 1 ""class ="" airy-Vertical-centering- table-cell ""&gt; &lt;div tabindex ="" - 1 ""class ="" airy-track-"&amp;"bar-elements ""&gt; &lt;div tabindex ="" - 1 ""class ="" airy-progress-bar ""&gt; &lt;/ div&gt; &lt;div tabindex = ""- 1"" class = ""airy-scrubber-bar""&gt; &lt;/ div&gt; &lt;div tabindex = ""- 1"" class = ""airy-scrubber""&gt; &lt;div tabindex = ""- 1"" class = ""airy-scrubber- icon ""&gt; &lt;/"&amp;" div&gt; &lt;div tabindex ="" - 1 ""class ="" airy-adjusted-AUI-tooltip ""style ="" opacity: 0; visibility: hidden; ""&gt; &lt;div tabindex ="" - 1 ""class ="" airy-adjusted-aui-tooltip-inner ""&gt; &lt;div tabindex ="" - 1 ""class ="" airy-current-time-label ""&gt; 0: 00 &lt;/ "&amp;"div&gt; &lt;/ div&gt; &lt;div tabindex = ""- 1"" class = ""airy-adjusted-AUI-arrow-border""&gt; &lt;div tabindex = ""- 1"" class = ""airy-adjusted-AUI-arrow"" &gt; &lt;/ div&gt; &lt;/ div&gt; &lt;/ div&gt; &lt;/ div&gt; &lt;/ div&gt; &lt;/ div&gt; &lt;/ div&gt; &lt;/ div&gt; &lt;/ div&gt; &lt;/ div&gt; &lt;div tabindex = ""- 1"" class = "&amp;"""airy-age-gate airy-stage airy-Vertical-centering-table airy-dialog"" style = ""opacity: 0; visibility: hidden; ""&gt; &lt;div tabindex ="" - 1 ""class ="" airy-age-gate-Vertical-centering-table-cell airy-Vertical-centering-table-cell ""&gt; &lt;div tabindex ="" - 1"&amp;" ""class = ""airy-Vertical-centering-wrapper airy-age-gate-elements-wrapper""&gt; &lt;div tabindex = ""- 1"" class = ""airy-age-gate-elements airy-dialog-elements""&gt; &lt;div tabindex = "" -1 ""class ="" airy-age-gate-prompt ""&gt; This video is not Intended for all a"&amp;"udiences What date were you born &lt;/ div&gt; &lt;div tabindex =.?"" - 1 ""class ="" airy-age-gate -inputs airy-dialog-inner-elements ""&gt; &lt;select tabindex ="" - 1 ""class ="" airy-age-gate-month ""&gt; &lt;option value ="" 1 ""&gt; January &lt;/ option&gt; &lt;option value ="" 2 "&amp;"""&gt; February &lt;/ option&gt; &lt;option value ="" 3 ""&gt; March &lt;/ option&gt; &lt;option value ="" 4 ""&gt; April &lt;/ option&gt; &lt;option value ="" 5 ""&gt; May &lt;/ option&gt; &lt;option value = ""6""&gt; June &lt;/ option&gt; &lt;option value = ""7""&gt; July &lt;/ option&gt; &lt;option value = ""8""&gt; August &lt;/"&amp;" option&gt; &lt;option value = ""9""&gt; September &lt;/ option&gt; &lt;option value = ""10""&gt; October &lt;/ option&gt; &lt;option value = ""11""&gt; November &lt;/ option&gt; &lt;option value = ""12""&gt; December &lt;/ option&gt; &lt;/ select&gt; &lt;select tabindex = ""- 1"" class = ""airy-age-gate-day""&gt; &lt;o"&amp;"pti on value = ""1""&gt; 1 &lt;/ option&gt; &lt;option value = ""2""&gt; 2 &lt;/ option&gt; &lt;option value = ""3""&gt; 3 &lt;/ option&gt; &lt;option value = ""4""&gt; 4 &lt;/ option &gt; &lt;option value = ""5""&gt; 5 &lt;/ option&gt; &lt;option value = ""6""&gt; 6 &lt;/ option&gt; &lt;option value = ""7""&gt; 7 &lt;/ option&gt; &lt;op"&amp;"tion value = ""8""&gt; 8 &lt; / option&gt; &lt;option value = ""9""&gt; 9 &lt;/ option&gt; &lt;option value = ""10""&gt; 10 &lt;/ option&gt; &lt;option value = ""11""&gt; 11 &lt;/ option&gt; &lt;option value = ""12""&gt; 12 &lt;/ option&gt; &lt;option value = ""13""&gt; 13 &lt;/ option&gt; &lt;option value = ""14""&gt; 14 &lt;/ opt"&amp;"ion&gt; &lt;option value = ""15""&gt; 15 &lt;/ option&gt; &lt;option value = ""16 ""&gt; 16 &lt;/ option&gt; &lt;option value ="" 17 ""&gt; 17 &lt;/ option&gt; &lt;option value ="" 18 ""&gt; 18 &lt;/ option&gt; &lt;option value ="" 19 ""&gt; 19 &lt;/ option&gt; &lt;option value = ""20""&gt; 20 &lt;/ option&gt; &lt;option value = """&amp;"21""&gt; 21 &lt;/ option&gt; &lt;option value = ""22""&gt; 22 &lt;/ option&gt; &lt;option value = ""23""&gt; 23 &lt;/ option&gt; &lt;option value = ""24""&gt; 24 &lt;/ option&gt; &lt;option value = ""25""&gt; 25 &lt;/ option&gt; &lt;option value = ""26""&gt; 26 &lt;/ option&gt; &lt;option value = ""27""&gt; 27 &lt;/ option&gt; &lt;option"&amp;" value = ""28""&gt; 28 &lt;/ option&gt; &lt;option value = ""29""&gt; 29 &lt;/ option&gt; &lt;option value = ""30""&gt; 30 &lt;/ option&gt; &lt;option value = ""31""&gt; 31 &lt;/ option&gt; &lt;/ select&gt; &lt;select tabindex = ""- 1"" class = ""airy-age-gate-year""&gt; &lt;option value = ""2019""&gt; 2019 &lt;/ option"&amp;"&gt; &lt; option value = ""2018""&gt; 2018 &lt;/ option&gt; &lt;option value = ""2017""&gt; 2017 &lt;/ option&gt; &lt;option value = ""2016""&gt; ​​2016 &lt;/ option&gt; &lt;option value = ""2015""&gt; 2015 &lt;/ option &gt; &lt;option value = ""2014""&gt; 2014 &lt;/ option&gt; &lt;option value = ""2013""&gt; 2013 &lt;/ optio"&amp;"n&gt; &lt;option value = ""2012""&gt; 2012 &lt;/ option&gt; &lt;option value = ""2011""&gt; 2011 &lt; / option&gt; &lt;option value = ""2010""&gt; 2010 &lt;/ option&gt; &lt;option value = ""2009""&gt; 2009 &lt;/ option&gt; &lt;option value = ""2008""&gt; 2008 &lt;/ option&gt; &lt;option value = ""2007""&gt; 2007 &lt;/ option&gt;"&amp;" &lt;option value = ""2006""&gt; 2006 &lt;/ option&gt; &lt;option value = ""2005""&gt; 2005 &lt;/ option&gt; &lt;option value = ""2004""&gt; 2004 &lt;/ option&gt; &lt;option value = ""2003 ""&gt; 2003 &lt;/ option&gt; &lt;option value ="" 2002 ""&gt; 2002 &lt;/ option&gt; &lt;option value ="" 2001 ""&gt; 2001 &lt;/ option&gt;"&amp;" &lt;option value ="" 2000 ""&gt; 2000 &lt;/ option&gt; &lt;option value = ""1999""&gt; 1999 &lt;/ option&gt; &lt;option value = ""1998""&gt; 1998 &lt;/ option&gt; &lt;option value = ""1997""&gt; 1997 &lt;/ option&gt; &lt;option value = ""1996""&gt; 1996 &lt;/ option&gt; &lt;option value = ""1995""&gt; 1995 &lt;/ option&gt; &lt;"&amp;"option value = ""1994""&gt; 1994 &lt;/ option&gt; &lt;option value = ""1993""&gt; 1993 &lt;/ option&gt; &lt;option value = ""1992""&gt; 1992 &lt;/ option&gt; &lt;option value = ""1991""&gt; 1991 &lt;/ option&gt; &lt;option value = ""1990""&gt; 1990 &lt;/ option&gt; &lt;option value = "" 1989 ""&gt; 1989 &lt;/ option&gt; &lt;o"&amp;"ption value ="" 1988 ""&gt; 1988 &lt;/ option&gt; &lt;option value ="" 1987 ""&gt; 1987 &lt;/ option&gt; &lt;option value ="" 1986 ""&gt; 1986 &lt;/ option&gt; &lt;value option = ""1985""&gt; 1985 &lt;/ option&gt; &lt;option value = ""1984""&gt; 1984 &lt;/ option&gt; &lt;option value = ""1983""&gt; 1983 &lt;/ option&gt; &lt;o"&amp;"ption value = ""1982""&gt; 1982 &lt;/ option&gt; &lt; option value = ""1981""&gt; 1981 &lt;/ option&gt; &lt;option value = ""1980""&gt; 1980 &lt;/ option&gt; &lt;option value = ""1979""&gt; 1979 &lt;/ option&gt; &lt;option value = ""1978""&gt; 1978 &lt;/ option &gt; &lt;option value = ""1977""&gt; 1977 &lt;/ option&gt; &lt;op"&amp;"tion value = ""1976""&gt; 1976 &lt;/ option&gt; &lt;option value = ""1975""&gt; 1975 &lt;/ option&gt; &lt;option value = ""1974""&gt; 1974 &lt; / option&gt; &lt;option value = ""1973""&gt; 1973 &lt;/ option&gt; &lt;option value = ""1972""&gt; 1972 &lt;/ option&gt; &lt;option value = ""1971""&gt; 1971 &lt;/ option&gt; &lt;opti"&amp;"on value = ""1970""&gt; 1970 &lt;/ option&gt; &lt;option value = ""1969""&gt; 1969 &lt;/ option&gt; &lt;option value = ""1968""&gt; 1968 &lt;/ option&gt; &lt;option value = ""1967""&gt; 1967 &lt;/ option&gt; &lt;option value = ""1966 ""&gt; 1966 &lt;/ option&gt; &lt;option value ="" 1965 ""&gt; 1965 &lt;/ option&gt; &lt;optio"&amp;"n value ="" 1964 ""&gt; 1964 &lt;/ option&gt; &lt;option value ="" 1963 ""&gt; 1963 &lt;/ option&gt; &lt;option value = ""1962""&gt; 1962 &lt;/ option&gt; &lt;option value = ""1961""&gt; 1961 &lt;/ option&gt; &lt;option value = ""1960""&gt; 1960 &lt;/ op tion&gt; &lt;option value = ""1959""&gt; 1959 &lt;/ option&gt; &lt;optio"&amp;"n value = ""1958""&gt; 1958 &lt;/ option&gt; &lt;option value = ""1957""&gt; 1957 &lt;/ option&gt; &lt;option value = ""1956""&gt; 1956 &lt;/ option&gt; &lt;option value = ""1955""&gt; 1955 &lt;/ option&gt; &lt;option value = ""1954""&gt; 1954 &lt;/ option&gt; &lt;option value = ""1953""&gt; 1953 &lt;/ option&gt; &lt;option v"&amp;"alue = ""1952"" &gt; 1952 &lt;/ option&gt; &lt;option value = ""1951""&gt; 1951 &lt;/ option&gt; &lt;option value = ""1950""&gt; 1950 &lt;/ option&gt; &lt;option value = ""1949""&gt; 1949 &lt;/ option&gt; &lt;option value = "" 1948 ""&gt; 1948 &lt;/ option&gt; &lt;option value ="" 1947 ""&gt; 1947 &lt;/ option&gt; &lt;option "&amp;"value ="" 1946 ""&gt; 1946 &lt;/ option&gt; &lt;option value ="" 1945 ""&gt; 1945 &lt;/ option&gt; &lt;value option = ""1944""&gt; 1944 &lt;/ option&gt; &lt;option value = ""1943""&gt; 1943 &lt;/ option&gt; &lt;option value = ""1942""&gt; 1942 &lt;/ option&gt; &lt;option value = ""1941""&gt; 1941 &lt;/ option&gt; &lt; option "&amp;"value = ""1940""&gt; 1940 &lt;/ option&gt; &lt;option value = ""1939""&gt; 1939 &lt;/ option&gt; &lt;option value = ""1938""&gt; 1938 &lt;/ option&gt; &lt;option value = ""1937""&gt; 1937 &lt;/ option &gt; &lt;option value = ""1936""&gt; 1936 &lt;/ option&gt; &lt;option value = ""1935""&gt; 1935 &lt;/ option&gt; &lt;option va"&amp;"lue = ""1934""&gt; 1934 &lt;/ option&gt; &lt;option value = ""1933""&gt; 1933 &lt; / option&gt; &lt;option value = ""1932""&gt; 1932 &lt;/ option&gt; &lt;option value = ""1931""&gt; 1931 &lt;/ option&gt; &lt;option v alue = ""1930""&gt; 1930 &lt;/ option&gt; &lt;option value = ""1929""&gt; 1929 &lt;/ option&gt; &lt;option val"&amp;"ue = ""1928""&gt; 1928 &lt;/ option&gt; &lt;option value = ""1927""&gt; 1927 &lt;/ option&gt; &lt;option value = ""1926""&gt; 1926 &lt;/ option&gt; &lt;option value = ""1925""&gt; 1925 &lt;/ option&gt; &lt;option value = ""1924""&gt; 1924 &lt;/ option&gt; &lt;option value = ""1923""&gt; 1923 &lt;/ option&gt; &lt;option value "&amp;"= ""1922""&gt; 1922 &lt;/ option&gt; &lt;option value = ""1921""&gt; 1921 &lt;/ option&gt; &lt;option value = ""1920""&gt; 1920 &lt;/ option&gt; &lt;option value = ""1919""&gt; 1919 &lt;/ option&gt; &lt;option value = ""1918""&gt; 1918 &lt;/ option&gt; &lt;option value = ""1917""&gt; 1917 &lt;/ option&gt; &lt;option value = "&amp;"""1916""&gt; 1916 &lt;/ option&gt; &lt;option value = ""1915"" &gt; 1915 &lt;/ option&gt; &lt;option value = ""1914""&gt; 1914 &lt;/ option&gt; &lt;option value = ""1913""&gt; 1913 &lt;/ option&gt; &lt;option value = ""1912""&gt; 1912 &lt;/ option&gt; &lt;option value = "" 1911 ""&gt; 1911 &lt;/ option&gt; &lt;option value ="&amp;""" 1910 ""&gt; 1910 &lt;/ option&gt; &lt;option value ="" 1909 ""&gt; 1909 &lt;/ option&gt; &lt;option value ="" 1908 ""&gt; 1908 &lt;/ option&gt; &lt;value option = ""1907""&gt; 1907 &lt;/ option&gt; &lt;option value = ""1906""&gt; 1906 &lt;/ option&gt; &lt;option value = ""1905""&gt; 1905 &lt;/ option&gt; &lt;option value ="&amp;" ""1904""&gt; 1904 &lt;/ option&gt; &lt; option value = ""1903""&gt; 1903 &lt;/ option&gt; &lt;option value = ""1902""&gt; 1902 &lt;/ option&gt; &lt;option value = ""1901""&gt; 19 01 &lt;/ option&gt; &lt;option value = ""1900""&gt; 1900 &lt;/ option&gt; &lt;/ select&gt; &lt;div tabindex = ""- 1"" class = ""airy-age-gate"&amp;"-submit airy-submit-button airy airy-submit- disabled ""&gt; Submit &lt;/ div&gt; &lt;/ div&gt; &lt;/ div&gt; &lt;/ div&gt; &lt;/ div&gt; &lt;/ div&gt; &lt;div tabindex ="" - 1 ""class ="" airy-install-flash-dialog airy-stage airy -vertical-centering-table-dialog airy airy-denied ""style ="" opac"&amp;"ity: 0; visibility: hidden; ""&gt; &lt;div tabindex ="" - 1 ""class ="" airy-install-flash-Vertical-centering-table-cell airy-Vertical-centering-table-cell ""&gt; &lt;div tabindex ="" - 1 ""class = ""airy-Vertical-centering-wrapper airy-install-flash-elements-wrapper"&amp;"""&gt; &lt;div tabindex = ""- 1"" class = ""airy-install-flash-elements airy-dialog-elements""&gt; &lt;div tabindex = "" -1 ""class ="" airy-install-flash-prompt ""&gt; Adobe Flash Player is required to watch this video &lt;/ div&gt; &lt;div tabindex =."" - 1 ""class ="" airy-in"&amp;"stall-flash-button-wrapper airy -dialog-inner-elements ""&gt; &lt;div tabindex ="" - 1 ""class ="" airy-install-flash-button airy-button ""&gt; install Flash Player &lt;/ div&gt; &lt;/ div&gt; &lt;/ div&gt; &lt;/ div&gt; &lt;/ div&gt; &lt;/ div&gt; &lt;div tabindex = ""- 1"" class = ""airy-video-unsupp"&amp;"orted-dialog airy-stage airy-Vertical-centering-table airy-dialog airy-denied"" style = ""opacity: 0; visibility: hidden; ""&gt; &lt;div tabindex ="" - 1 ""class ="" airy-video-unsupported-Vertical-centering-table-cell airy-Vertical-centering-table-cell ""&gt; &lt;di"&amp;"v tabindex ="" - 1 ""class = ""airy-Vertical-centering-wrapper airy-video-unsupported-elements-wrapper""&gt; &lt;div tabindex = ""- 1"" class = ""airy-video-unsupported-elements airy-dialog-elements""&gt; &lt;div tabindex = "" -1 ""class ="" airy-video-unsupported-pr"&amp;"ompt ""&gt; &lt;/ div&gt; &lt;/ div&gt; &lt;/ div&gt; &lt;/ div&gt; &lt;/ div&gt; &lt;div tabindex ="" - 1 ""class ="" airy-loading- spinner-stage airy-stage ""&gt; &lt;div tabindex ="" - 1 ""class ="" airy-loading-spinner-Vertical-centering-table-cell airy-Vertical-centering-table-cell ""&gt; &lt;div "&amp;"tabindex ="" - 1 ""class ="" airy-loading-spinner-container airy-scalable-hint-container ""&gt; &lt;div tabindex ="" - 1 ""class ="" airy-loading-spinner-dummy airy-scalable-dummy ""&gt; &lt;/ div&gt; &lt; div tabindex = ""- 1"" class = ""airy-loading-spinner airy-hint"" s"&amp;"tyle = ""visibility: hidden;""&gt; &lt;/ div&gt; &lt;/ div&gt; &lt;/ div&gt; &lt;/ div&gt; &lt;div tabindex = ""- 1 ""class ="" airy-ads-screen-size-toggle airy-screen-size-toggle-fullscreen airy ""style ="" visibility: hidden; ""&gt; &lt;/ div&gt; &lt;div tabindex = ""-1"" class = ""airy-ad-prom"&amp;"pt-container"" style = ""visibility: hidden;""&gt; &lt;div tabindex = ""- 1"" class = ""airy-ad-prompt-Vertical-centering-table-vertically airy centering-table ""&gt; &lt;div tabindex ="" - 1 ""class ="" airy-ad-prompt-Vertical-centering-table-cell airy-Vertical-cent"&amp;"ering-table-cell ""&gt; &lt;div tabindex ="" - 1 ""class = ""airy-ad-prompt-label""&gt; &lt;/ div&gt; &lt;/ div&gt; &lt;/ div&gt; &lt;/ div&gt; &lt;div tabindex = ""- 1"" class = ""airy-ads-controls-container"" style = ""visibility: hidden; ""&gt; &lt;div tabindex ="" - 1 ""class ="" airy-ads-aud"&amp;"io-toggle airy-audio-toggle airy-on ""style ="" visibility: hidden; ""&gt; &lt;/ div&gt; &lt;div tabindex ="" - 1 ""class ="" airy-time-remaining-label-container ""&gt; &lt;div tabindex ="" - 1 ""class ="" airy-time-remaining-Vertical-centering-table airy-Vertical-centerin"&amp;"g-table ""&gt; &lt;div tabindex = ""- 1"" class = ""airy-time-remaining-Vertical-centering-table-cell airy-Vertical-centering-table-cell""&gt; &lt;div tabindex = ""- 1"" class = ""airy-Vertical-centering-wrapper airy-time-remaining-label-wrapper ""&gt; &lt;div tabindex ="""&amp;" - 1 ""class ="" airy-time-remaining-label ""style ="" visibility: hidden; ""&gt; &lt;/ div&gt; &lt;div tabi ndex = ""- 1"" class = ""airy-ad-skip"" style = ""visibility: hidden;""&gt; &lt;/ div&gt; &lt;div tabindex = ""- 1"" class = ""airy-ad-end"" style = ""visibility: hidden "&amp;"""&gt; &lt;/ div&gt; &lt;/ div&gt; &lt;/ div&gt; &lt;/ div&gt; &lt;/ div&gt; &lt;div tabindex ="" - 1 ""class ="" airy-learn-more ""style ="" visibility: hidden; ""&gt; &lt;/ div&gt; &lt;/ div&gt; &lt;div tabindex = ""- 1"" class = ""airy-play-toggle-hint-stage airy-stage airy-cursor""&gt; &lt;div tabindex = ""- 1"&amp;""" class = ""airy-play -toggle-hint-Vertical-centering-table-cell airy-Vertical-centering-table-cell airy-cursor ""&gt; &lt;div tabindex ="" - 1 ""class ="" airy-play-toggle-hint-container airy-scalable- Hint-container ""&gt; &lt;div tabindex ="" - 1 ""class ="" airy"&amp;"-play-toggle-hint-dummy airy-scalable-dummy ""&gt; &lt;/ div&gt; &lt;div tabindex ="" - 1 ""class ="" airy-play -toggle-hint hint airy-airy-play-hint ""style ="" opacity: 1; visibility: visible; ""&gt; &lt;/ div&gt; &lt;/ div&gt; &lt;/ div&gt; &lt;/ div&gt; &lt;div tabindex ="" - 1 ""class ="" ai"&amp;"ry-replay-hint-stage airy-stage ""style ="" visibility: hidden ; ""&gt; &lt;div tabindex ="" - 1 ""class ="" airy-replay-hint-Vertical-centering-table-cell airy-Vertical-centering-table-cell airy-cursor ""&gt; &lt;div tabindex ="" - 1 ""class = ""airy-replay-hint-con"&amp;"tainer airy-scalable-hint-container""&gt; &lt;div tabindex = ""- 1"" class = ""airy-replay-hint-dummy airy-scalable-dummy""&gt; &lt;/ div&gt; &lt;div tabindex = ""- 1"" class = ""airy-replay-hint airy-hint""&gt; &lt;/ div&gt; &lt;/ div&gt; &lt;/ div&gt; &lt;/ div&gt; &lt;div tabindex = ""- 1"" class = "&amp;"""airy-autoplay-hint -stage airy-stage ""style ="" visibility: hidden; ""&gt; &lt;div tabindex ="" - 1 ""class ="" airy-autoplay-hint-Vertical-centering-table-cell airy-Vertical-centering-table-cell airy- cursor ""&gt; &lt;div tabindex ="" - 1 ""class ="" autoplay ai"&amp;"ry-airy-hint-container-scalable-hint-container ""&gt; &lt;div tabindex ="" - 1 ""class ="" airy-autoplay-hint-dummy airy- scalable-dummy ""&gt; &lt;/ div&gt; &lt;/ div&gt; &lt;/ div&gt; &lt;/ div&gt; &lt;/ div&gt; &lt;/ div&gt; &lt;input type ="" hidden ""name ="" ""value ="" https: // images-eu .ssl-i"&amp;"mages-amazon.com / images / I / A1RdU6YdpjS.mp4 ""Class ="" video-url ""&gt; &lt;input type ="" hidden ""name ="" ""value ="" https://images-eu.ssl-images-amazon.com/images/I/91uuwYt+F6S.png ""class = ""video-slate-img-url""&gt; &amp; nbsp; I have already delighted I "&amp;"have almost no memory on the phone and with this broad USB memory and no longer have to worry about me missing data")</f>
        <v>USB memory for mobile &lt;div id = "video-block-R21XL1I087SM3T" class = "a-section a-spacing-small to-spacing-top mini-video block"&gt; &lt;div tabindex = "0" class = " airy airy-svg vmin-unsupported airy-skin-beacon "style =" background-color: rgb (0, 0, 0) position: relative; width: 100%; height: 100%; font-size: 0px; overflow : hidden; outline: none; "&gt; &lt;div class =" airy-renderer-container "style =" position: relative; height: 100%; width: 100%; "&gt; &lt;video id =" 143 "preload =" auto "src =" https://images-eu.ssl-images-amazon.com/images/I/A1RdU6YdpjS.mp4 "style =" position: absolute; left: 0px; top: 0px; overflow: hidden; height: 1px ; width: 1px; "&gt; &lt;/ video&gt; &lt;/ div&gt; &lt;div id =" airy-slate-preload "style =" background-color: rgb (0, 0, 0); background-image: url (&amp; quot; https://images-eu.ssl-images-amazon.com/images/I/91uuwYt+F6S.png&amp;quot;); background-size: Contain; background-position: center center; background-repeat: no-repeat; position : absolute; top: 0px; left: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A1RdU6YdpjS.mp4 "Class =" video-url "&gt; &lt;input type =" hidden "name =" "value =" https://images-eu.ssl-images-amazon.com/images/I/91uuwYt+F6S.png "class = "video-slate-img-url"&gt; &amp; nbsp; I have already delighted I have almost no memory on the phone and with this broad USB memory and no longer have to worry about me missing data</v>
      </c>
    </row>
    <row r="10229">
      <c r="A10229" s="1">
        <v>5.0</v>
      </c>
      <c r="B10229" s="1" t="s">
        <v>10149</v>
      </c>
      <c r="C10229" t="str">
        <f>IFERROR(__xludf.DUMMYFUNCTION("GOOGLETRANSLATE(B10229, ""es"", ""en"")"),"Perfect moment I'm enjoying it a lot.")</f>
        <v>Perfect moment I'm enjoying it a lot.</v>
      </c>
    </row>
    <row r="10230">
      <c r="A10230" s="1">
        <v>5.0</v>
      </c>
      <c r="B10230" s="1" t="s">
        <v>10150</v>
      </c>
      <c r="C10230" t="str">
        <f>IFERROR(__xludf.DUMMYFUNCTION("GOOGLETRANSLATE(B10230, ""es"", ""en"")"),"tobo watch very fast and good. At the moment this right, has not had time to test, but is expected")</f>
        <v>tobo watch very fast and good. At the moment this right, has not had time to test, but is expected</v>
      </c>
    </row>
    <row r="10231">
      <c r="A10231" s="1">
        <v>5.0</v>
      </c>
      <c r="B10231" s="1" t="s">
        <v>10151</v>
      </c>
      <c r="C10231" t="str">
        <f>IFERROR(__xludf.DUMMYFUNCTION("GOOGLETRANSLATE(B10231, ""es"", ""en"")"),"Something nike sweatshirt long sleeves")</f>
        <v>Something nike sweatshirt long sleeves</v>
      </c>
    </row>
    <row r="10232">
      <c r="A10232" s="1">
        <v>5.0</v>
      </c>
      <c r="B10232" s="1" t="s">
        <v>10152</v>
      </c>
      <c r="C10232" t="str">
        <f>IFERROR(__xludf.DUMMYFUNCTION("GOOGLETRANSLATE(B10232, ""es"", ""en"")"),"Super interesting, very comfortable alex buy them again without spending dudarlo.es correct number 44 are a little broad but very good.")</f>
        <v>Super interesting, very comfortable alex buy them again without spending dudarlo.es correct number 44 are a little broad but very good.</v>
      </c>
    </row>
    <row r="10233">
      <c r="A10233" s="1">
        <v>5.0</v>
      </c>
      <c r="B10233" s="1" t="s">
        <v>2925</v>
      </c>
      <c r="C10233" t="str">
        <f>IFERROR(__xludf.DUMMYFUNCTION("GOOGLETRANSLATE(B10233, ""es"", ""en"")"),"perfect perfect")</f>
        <v>perfect perfect</v>
      </c>
    </row>
    <row r="10234">
      <c r="A10234" s="1">
        <v>5.0</v>
      </c>
      <c r="B10234" s="1" t="s">
        <v>10153</v>
      </c>
      <c r="C10234" t="str">
        <f>IFERROR(__xludf.DUMMYFUNCTION("GOOGLETRANSLATE(B10234, ""es"", ""en"")"),"A great classic. If you like to have a shoe that after two days become a glove for your foot, maybe you're looking for Authentic. They are ideal for places where good weather, but still not being my case where I live because it rains regularly, no problem"&amp;" since no Calan water, so your feet stay dry also. a product of 5 stars forever.")</f>
        <v>A great classic. If you like to have a shoe that after two days become a glove for your foot, maybe you're looking for Authentic. They are ideal for places where good weather, but still not being my case where I live because it rains regularly, no problem since no Calan water, so your feet stay dry also. a product of 5 stars forever.</v>
      </c>
    </row>
    <row r="10235">
      <c r="A10235" s="1">
        <v>5.0</v>
      </c>
      <c r="B10235" s="1" t="s">
        <v>10154</v>
      </c>
      <c r="C10235" t="str">
        <f>IFERROR(__xludf.DUMMYFUNCTION("GOOGLETRANSLATE(B10235, ""es"", ""en"")"),"Fine and elegant bracelet Good first impression. It is an elegant bracelet. We will see that with the passage of time")</f>
        <v>Fine and elegant bracelet Good first impression. It is an elegant bracelet. We will see that with the passage of time</v>
      </c>
    </row>
    <row r="10236">
      <c r="A10236" s="1">
        <v>5.0</v>
      </c>
      <c r="B10236" s="1" t="s">
        <v>10155</v>
      </c>
      <c r="C10236" t="str">
        <f>IFERROR(__xludf.DUMMYFUNCTION("GOOGLETRANSLATE(B10236, ""es"", ""en"")"),"Very good product. Finally a sports bra holding well and as I wanted. Happy with my purchase.")</f>
        <v>Very good product. Finally a sports bra holding well and as I wanted. Happy with my purchase.</v>
      </c>
    </row>
    <row r="10237">
      <c r="A10237" s="1">
        <v>5.0</v>
      </c>
      <c r="B10237" s="1" t="s">
        <v>42</v>
      </c>
      <c r="C10237" t="str">
        <f>IFERROR(__xludf.DUMMYFUNCTION("GOOGLETRANSLATE(B10237, ""es"", ""en"")"),"Well well")</f>
        <v>Well well</v>
      </c>
    </row>
    <row r="10238">
      <c r="A10238" s="1">
        <v>5.0</v>
      </c>
      <c r="B10238" s="1" t="s">
        <v>10156</v>
      </c>
      <c r="C10238" t="str">
        <f>IFERROR(__xludf.DUMMYFUNCTION("GOOGLETRANSLATE(B10238, ""es"", ""en"")"),"Useful are amazing with these bottles my son not had a single Colic In this pack included a pacifier but not get in the box.")</f>
        <v>Useful are amazing with these bottles my son not had a single Colic In this pack included a pacifier but not get in the box.</v>
      </c>
    </row>
    <row r="10239">
      <c r="A10239" s="1">
        <v>5.0</v>
      </c>
      <c r="B10239" s="1" t="s">
        <v>10157</v>
      </c>
      <c r="C10239" t="str">
        <f>IFERROR(__xludf.DUMMYFUNCTION("GOOGLETRANSLATE(B10239, ""es"", ""en"")"),"Reliable card does the job. Fast and reliable. No errors. Use this brand for years and always without any problems.")</f>
        <v>Reliable card does the job. Fast and reliable. No errors. Use this brand for years and always without any problems.</v>
      </c>
    </row>
    <row r="10240">
      <c r="A10240" s="1">
        <v>5.0</v>
      </c>
      <c r="B10240" s="1" t="s">
        <v>10158</v>
      </c>
      <c r="C10240" t="str">
        <f>IFERROR(__xludf.DUMMYFUNCTION("GOOGLETRANSLATE(B10240, ""es"", ""en"")"),"Good way to wake up alarm This intelligent features soft alarm sounds like waves of the sea type and birds. The light is very soft and can adjust the intensity. Programmable combinations allows each user to choose the one you want (can store up to 2 alarm"&amp;"s). You can put a stack to act as an emergency battery in case there is any power outage and also has radio. If I had to put a negative point would be that there is no evidence the power consumption of the alarm.")</f>
        <v>Good way to wake up alarm This intelligent features soft alarm sounds like waves of the sea type and birds. The light is very soft and can adjust the intensity. Programmable combinations allows each user to choose the one you want (can store up to 2 alarms). You can put a stack to act as an emergency battery in case there is any power outage and also has radio. If I had to put a negative point would be that there is no evidence the power consumption of the alarm.</v>
      </c>
    </row>
    <row r="10241">
      <c r="A10241" s="1">
        <v>5.0</v>
      </c>
      <c r="B10241" s="1" t="s">
        <v>10159</v>
      </c>
      <c r="C10241" t="str">
        <f>IFERROR(__xludf.DUMMYFUNCTION("GOOGLETRANSLATE(B10241, ""es"", ""en"")"),"supercomodos headphones headphones super comfortable for sports, they listen very well and is durable battery")</f>
        <v>supercomodos headphones headphones super comfortable for sports, they listen very well and is durable battery</v>
      </c>
    </row>
    <row r="10242">
      <c r="A10242" s="1">
        <v>5.0</v>
      </c>
      <c r="B10242" s="1" t="s">
        <v>10160</v>
      </c>
      <c r="C10242" t="str">
        <f>IFERROR(__xludf.DUMMYFUNCTION("GOOGLETRANSLATE(B10242, ""es"", ""en"")"),"Pants recommended a more than acceptable quality, recommended. Mido 1.82m and weight 72Kg, M size is perfect.")</f>
        <v>Pants recommended a more than acceptable quality, recommended. Mido 1.82m and weight 72Kg, M size is perfect.</v>
      </c>
    </row>
    <row r="10243">
      <c r="A10243" s="1">
        <v>5.0</v>
      </c>
      <c r="B10243" s="1" t="s">
        <v>10161</v>
      </c>
      <c r="C10243" t="str">
        <f>IFERROR(__xludf.DUMMYFUNCTION("GOOGLETRANSLATE(B10243, ""es"", ""en"")"),"This is useful if your child is not jodio The idea is good and I like a lot but the kid throws me in the face ... just be for q shaped bottle and does not like anything.")</f>
        <v>This is useful if your child is not jodio The idea is good and I like a lot but the kid throws me in the face ... just be for q shaped bottle and does not like anything.</v>
      </c>
    </row>
    <row r="10244">
      <c r="A10244" s="1">
        <v>5.0</v>
      </c>
      <c r="B10244" s="1" t="s">
        <v>10162</v>
      </c>
      <c r="C10244" t="str">
        <f>IFERROR(__xludf.DUMMYFUNCTION("GOOGLETRANSLATE(B10244, ""es"", ""en"")"),"Value excellent very good buy, I use many SD memories for work and always is preferable that a large number of small if it breaks, and this pack is perfect")</f>
        <v>Value excellent very good buy, I use many SD memories for work and always is preferable that a large number of small if it breaks, and this pack is perfect</v>
      </c>
    </row>
    <row r="10245">
      <c r="A10245" s="1">
        <v>5.0</v>
      </c>
      <c r="B10245" s="1" t="s">
        <v>10163</v>
      </c>
      <c r="C10245" t="str">
        <f>IFERROR(__xludf.DUMMYFUNCTION("GOOGLETRANSLATE(B10245, ""es"", ""en"")"),"Pictured perfect look ugly but really are very good and have the unquestionable quality Adidas. I recommend this product")</f>
        <v>Pictured perfect look ugly but really are very good and have the unquestionable quality Adidas. I recommend this product</v>
      </c>
    </row>
    <row r="10246">
      <c r="A10246" s="1">
        <v>2.0</v>
      </c>
      <c r="B10246" s="1" t="s">
        <v>10164</v>
      </c>
      <c r="C10246" t="str">
        <f>IFERROR(__xludf.DUMMYFUNCTION("GOOGLETRANSLATE(B10246, ""es"", ""en"")"),"Poor finish I bought on sale and the amount paid is not bad, but is that not quality is poor finish and is not as nice as the photo.")</f>
        <v>Poor finish I bought on sale and the amount paid is not bad, but is that not quality is poor finish and is not as nice as the photo.</v>
      </c>
    </row>
    <row r="10247">
      <c r="A10247" s="1">
        <v>3.0</v>
      </c>
      <c r="B10247" s="1" t="s">
        <v>10165</v>
      </c>
      <c r="C10247" t="str">
        <f>IFERROR(__xludf.DUMMYFUNCTION("GOOGLETRANSLATE(B10247, ""es"", ""en"")"),"SIZES very rare I ordered a XXL as directed by the product (although spending XL this brand) and when wine was too big, I changed it without problem nicely thing to evaluate other XL and it left me very tight, is not possible, wrong cut")</f>
        <v>SIZES very rare I ordered a XXL as directed by the product (although spending XL this brand) and when wine was too big, I changed it without problem nicely thing to evaluate other XL and it left me very tight, is not possible, wrong cut</v>
      </c>
    </row>
    <row r="10248">
      <c r="A10248" s="1">
        <v>1.0</v>
      </c>
      <c r="B10248" s="1" t="s">
        <v>10166</v>
      </c>
      <c r="C10248" t="str">
        <f>IFERROR(__xludf.DUMMYFUNCTION("GOOGLETRANSLATE(B10248, ""es"", ""en"")"),"Spoil in Android I gave a positive vote some time ago but the 4 cards this model I have, 3 have been damaged, they blocked not allowing write, erase or format, the only good thing that can save the data have 10 year warranty, you have a warranty claim thr"&amp;"ough the web SanDisk and they'll change it free, I do not recommend its use for Android have failed because these devices.")</f>
        <v>Spoil in Android I gave a positive vote some time ago but the 4 cards this model I have, 3 have been damaged, they blocked not allowing write, erase or format, the only good thing that can save the data have 10 year warranty, you have a warranty claim through the web SanDisk and they'll change it free, I do not recommend its use for Android have failed because these devices.</v>
      </c>
    </row>
    <row r="10249">
      <c r="A10249" s="1">
        <v>1.0</v>
      </c>
      <c r="B10249" s="1" t="s">
        <v>10167</v>
      </c>
      <c r="C10249" t="str">
        <f>IFERROR(__xludf.DUMMYFUNCTION("GOOGLETRANSLATE(B10249, ""es"", ""en"")"),"no catches !! or eight months I would eat hard to beat een April porridges par ami bebe day yesterday madams will not lit factory default or donot but not eight months I hard me")</f>
        <v>no catches !! or eight months I would eat hard to beat een April porridges par ami bebe day yesterday madams will not lit factory default or donot but not eight months I hard me</v>
      </c>
    </row>
    <row r="10250">
      <c r="A10250" s="1">
        <v>4.0</v>
      </c>
      <c r="B10250" s="1" t="s">
        <v>10168</v>
      </c>
      <c r="C10250" t="str">
        <f>IFERROR(__xludf.DUMMYFUNCTION("GOOGLETRANSLATE(B10250, ""es"", ""en"")"),"well lol ochenteras flipflops I like, a little hard the first used can hurt you foot but then that couples going very well and good thing that comes all of a piece no strap attached so that prevent it always breaks as the rest")</f>
        <v>well lol ochenteras flipflops I like, a little hard the first used can hurt you foot but then that couples going very well and good thing that comes all of a piece no strap attached so that prevent it always breaks as the rest</v>
      </c>
    </row>
    <row r="10251">
      <c r="A10251" s="1">
        <v>4.0</v>
      </c>
      <c r="B10251" s="1" t="s">
        <v>10169</v>
      </c>
      <c r="C10251" t="str">
        <f>IFERROR(__xludf.DUMMYFUNCTION("GOOGLETRANSLATE(B10251, ""es"", ""en"")"),"well for now install it on a tablet and now goes well. The shipping was fast and more or less as scheduled")</f>
        <v>well for now install it on a tablet and now goes well. The shipping was fast and more or less as scheduled</v>
      </c>
    </row>
    <row r="10252">
      <c r="A10252" s="1">
        <v>4.0</v>
      </c>
      <c r="B10252" s="1" t="s">
        <v>10170</v>
      </c>
      <c r="C10252" t="str">
        <f>IFERROR(__xludf.DUMMYFUNCTION("GOOGLETRANSLATE(B10252, ""es"", ""en"")"),"Very good value for money These pants Head have very good quality, especially considering that 2 units purchased for about 10 €. In my case I paid € 8,95 which means € 4.50 per underpants. Very good price. Use a size M in most brands and is also (I measur"&amp;"e 1.73 and weight 73kg). Underpants are comfortable (I like that fit loosely Head too and they fulfill it perfectly). In relation to washing, the moment I have about 4 or 5 and are perfect. Regarding materials, 95% cotton and 5% spandex. On the downside, "&amp;"bring a giant labels that can be seen in the photos, which obliges with scissors has to be removed before they can be used without being disturbed.")</f>
        <v>Very good value for money These pants Head have very good quality, especially considering that 2 units purchased for about 10 €. In my case I paid € 8,95 which means € 4.50 per underpants. Very good price. Use a size M in most brands and is also (I measure 1.73 and weight 73kg). Underpants are comfortable (I like that fit loosely Head too and they fulfill it perfectly). In relation to washing, the moment I have about 4 or 5 and are perfect. Regarding materials, 95% cotton and 5% spandex. On the downside, bring a giant labels that can be seen in the photos, which obliges with scissors has to be removed before they can be used without being disturbed.</v>
      </c>
    </row>
    <row r="10253">
      <c r="A10253" s="1">
        <v>4.0</v>
      </c>
      <c r="B10253" s="1" t="s">
        <v>10171</v>
      </c>
      <c r="C10253" t="str">
        <f>IFERROR(__xludf.DUMMYFUNCTION("GOOGLETRANSLATE(B10253, ""es"", ""en"")"),"Reebok clasic Product as Ponia as in the description, happy overall with the product, encourage that apart from being good product has a good discount to shop")</f>
        <v>Reebok clasic Product as Ponia as in the description, happy overall with the product, encourage that apart from being good product has a good discount to shop</v>
      </c>
    </row>
    <row r="10254">
      <c r="A10254" s="1">
        <v>4.0</v>
      </c>
      <c r="B10254" s="1" t="s">
        <v>10172</v>
      </c>
      <c r="C10254" t="str">
        <f>IFERROR(__xludf.DUMMYFUNCTION("GOOGLETRANSLATE(B10254, ""es"", ""en"")"),"He loved my girlfriend My girlfriend would have loved a lot!")</f>
        <v>He loved my girlfriend My girlfriend would have loved a lot!</v>
      </c>
    </row>
    <row r="10255">
      <c r="A10255" s="1">
        <v>5.0</v>
      </c>
      <c r="B10255" s="1" t="s">
        <v>10173</v>
      </c>
      <c r="C10255" t="str">
        <f>IFERROR(__xludf.DUMMYFUNCTION("GOOGLETRANSLATE(B10255, ""es"", ""en"")"),"Cool to mount. 4th pair of ""Speedcross"" I buy me. Very good for the mount. I repeat, to the mountain, for asphalt'll run out of them right away.")</f>
        <v>Cool to mount. 4th pair of "Speedcross" I buy me. Very good for the mount. I repeat, to the mountain, for asphalt'll run out of them right away.</v>
      </c>
    </row>
    <row r="10256">
      <c r="A10256" s="1">
        <v>5.0</v>
      </c>
      <c r="B10256" s="1" t="s">
        <v>10174</v>
      </c>
      <c r="C10256" t="str">
        <f>IFERROR(__xludf.DUMMYFUNCTION("GOOGLETRANSLATE(B10256, ""es"", ""en"")"),"It works perfectly and I had to format. It works perfectly, little more can be said. Good brand, you know you guess right insurance. z")</f>
        <v>It works perfectly and I had to format. It works perfectly, little more can be said. Good brand, you know you guess right insurance. z</v>
      </c>
    </row>
    <row r="10257">
      <c r="A10257" s="1">
        <v>5.0</v>
      </c>
      <c r="B10257" s="1" t="s">
        <v>10175</v>
      </c>
      <c r="C10257" t="str">
        <f>IFERROR(__xludf.DUMMYFUNCTION("GOOGLETRANSLATE(B10257, ""es"", ""en"")"),"Perfect Super nice, my daughter does not remove them for the shower and ugly, comfortable and beautiful and super cheap and good quality are made.")</f>
        <v>Perfect Super nice, my daughter does not remove them for the shower and ugly, comfortable and beautiful and super cheap and good quality are made.</v>
      </c>
    </row>
    <row r="10258">
      <c r="A10258" s="1">
        <v>5.0</v>
      </c>
      <c r="B10258" s="1" t="s">
        <v>10176</v>
      </c>
      <c r="C10258" t="str">
        <f>IFERROR(__xludf.DUMMYFUNCTION("GOOGLETRANSLATE(B10258, ""es"", ""en"")"),"good product very functional and useful in the office fulfills its mission, and facilitates office tasks allowing to perform more tasks while responding to the phone")</f>
        <v>good product very functional and useful in the office fulfills its mission, and facilitates office tasks allowing to perform more tasks while responding to the phone</v>
      </c>
    </row>
    <row r="10259">
      <c r="A10259" s="1">
        <v>5.0</v>
      </c>
      <c r="B10259" s="1" t="s">
        <v>10177</v>
      </c>
      <c r="C10259" t="str">
        <f>IFERROR(__xludf.DUMMYFUNCTION("GOOGLETRANSLATE(B10259, ""es"", ""en"")"),"Bamboo Caletines are extraordinary, they adapt very well to any foot, because the unspeakable stretch, without the typical hassles of socks grow much")</f>
        <v>Bamboo Caletines are extraordinary, they adapt very well to any foot, because the unspeakable stretch, without the typical hassles of socks grow much</v>
      </c>
    </row>
    <row r="10260">
      <c r="A10260" s="1">
        <v>5.0</v>
      </c>
      <c r="B10260" s="1" t="s">
        <v>10178</v>
      </c>
      <c r="C10260" t="str">
        <f>IFERROR(__xludf.DUMMYFUNCTION("GOOGLETRANSLATE(B10260, ""es"", ""en"")"),"You will not regret what you ask for in a wireless headset. Unlike what other reviews say, yes they are original. Xiaomi launched them globally, and thus changed the name. In the version of China puts redmi AIRDOTS and launched in the rest of the world MY"&amp;" TRUE WIRELESS EARBUDS BASIC. Buy recommended.")</f>
        <v>You will not regret what you ask for in a wireless headset. Unlike what other reviews say, yes they are original. Xiaomi launched them globally, and thus changed the name. In the version of China puts redmi AIRDOTS and launched in the rest of the world MY TRUE WIRELESS EARBUDS BASIC. Buy recommended.</v>
      </c>
    </row>
    <row r="10261">
      <c r="A10261" s="1">
        <v>5.0</v>
      </c>
      <c r="B10261" s="1" t="s">
        <v>10179</v>
      </c>
      <c r="C10261" t="str">
        <f>IFERROR(__xludf.DUMMYFUNCTION("GOOGLETRANSLATE(B10261, ""es"", ""en"")"),"Very good product helps me a lot in my presentations and we consume a lot of battery. Easy to install since, just stick the USB jump.")</f>
        <v>Very good product helps me a lot in my presentations and we consume a lot of battery. Easy to install since, just stick the USB jump.</v>
      </c>
    </row>
    <row r="10262">
      <c r="A10262" s="1">
        <v>5.0</v>
      </c>
      <c r="B10262" s="1" t="s">
        <v>10180</v>
      </c>
      <c r="C10262" t="str">
        <f>IFERROR(__xludf.DUMMYFUNCTION("GOOGLETRANSLATE(B10262, ""es"", ""en"")"),"Fantastic! Fantastic! Although the belt gives me allergy. The functionalities are perfectly. Very practical and durable. Highly recommended indeed.")</f>
        <v>Fantastic! Fantastic! Although the belt gives me allergy. The functionalities are perfectly. Very practical and durable. Highly recommended indeed.</v>
      </c>
    </row>
    <row r="10263">
      <c r="A10263" s="1">
        <v>5.0</v>
      </c>
      <c r="B10263" s="1" t="s">
        <v>10181</v>
      </c>
      <c r="C10263" t="str">
        <f>IFERROR(__xludf.DUMMYFUNCTION("GOOGLETRANSLATE(B10263, ""es"", ""en"")"),"I love Cecilia is a lovely necklace and feel great. And it is the second article of this brand B.Catcher ask and I will continue doing because everything is really like.")</f>
        <v>I love Cecilia is a lovely necklace and feel great. And it is the second article of this brand B.Catcher ask and I will continue doing because everything is really like.</v>
      </c>
    </row>
    <row r="10264">
      <c r="A10264" s="1">
        <v>5.0</v>
      </c>
      <c r="B10264" s="1" t="s">
        <v>10182</v>
      </c>
      <c r="C10264" t="str">
        <f>IFERROR(__xludf.DUMMYFUNCTION("GOOGLETRANSLATE(B10264, ""es"", ""en"")"),"Savings and performance. I have spent several days using these diffusers and I feel super satisfied. If it's true you have to program it but well worth it, is very nice and easy to use. Just open and pour water with your favorite scent and voila! Aroma be"&amp;"gins to take instant. Automatically starts and stops and release an intense aroma. I use water with a little detergent and gives clothes smell great economic super off against fresheners expensive supermarkets. Also state that has a very cool LED light pr"&amp;"ogrammable room. It comes with charger and a jar dispenser included.")</f>
        <v>Savings and performance. I have spent several days using these diffusers and I feel super satisfied. If it's true you have to program it but well worth it, is very nice and easy to use. Just open and pour water with your favorite scent and voila! Aroma begins to take instant. Automatically starts and stops and release an intense aroma. I use water with a little detergent and gives clothes smell great economic super off against fresheners expensive supermarkets. Also state that has a very cool LED light programmable room. It comes with charger and a jar dispenser included.</v>
      </c>
    </row>
    <row r="10265">
      <c r="A10265" s="1">
        <v>5.0</v>
      </c>
      <c r="B10265" s="1" t="s">
        <v>10183</v>
      </c>
      <c r="C10265" t="str">
        <f>IFERROR(__xludf.DUMMYFUNCTION("GOOGLETRANSLATE(B10265, ""es"", ""en"")"),"Susana G. It is exactly what appears in the photo. So far I've been with him a short time, but I've used it and it works great. It is very small and has great memory. Great value for money. I've only tested receiving the package, but so far I am very happ"&amp;"y with the purchase.")</f>
        <v>Susana G. It is exactly what appears in the photo. So far I've been with him a short time, but I've used it and it works great. It is very small and has great memory. Great value for money. I've only tested receiving the package, but so far I am very happy with the purchase.</v>
      </c>
    </row>
    <row r="10266">
      <c r="A10266" s="1">
        <v>5.0</v>
      </c>
      <c r="B10266" s="1" t="s">
        <v>10184</v>
      </c>
      <c r="C10266" t="str">
        <f>IFERROR(__xludf.DUMMYFUNCTION("GOOGLETRANSLATE(B10266, ""es"", ""en"")"),"Reliable and durable'm a fan of this brand, has very good performance, especially is truly reliable and durable, totally recommended purchase.")</f>
        <v>Reliable and durable'm a fan of this brand, has very good performance, especially is truly reliable and durable, totally recommended purchase.</v>
      </c>
    </row>
    <row r="10267">
      <c r="A10267" s="1">
        <v>5.0</v>
      </c>
      <c r="B10267" s="1" t="s">
        <v>10185</v>
      </c>
      <c r="C10267" t="str">
        <f>IFERROR(__xludf.DUMMYFUNCTION("GOOGLETRANSLATE(B10267, ""es"", ""en"")"),"Ideal for fall. Perfect for children. Good quality and good finish. Warm and perfect for cold first.")</f>
        <v>Ideal for fall. Perfect for children. Good quality and good finish. Warm and perfect for cold first.</v>
      </c>
    </row>
    <row r="10268">
      <c r="A10268" s="1">
        <v>5.0</v>
      </c>
      <c r="B10268" s="1" t="s">
        <v>10186</v>
      </c>
      <c r="C10268" t="str">
        <f>IFERROR(__xludf.DUMMYFUNCTION("GOOGLETRANSLATE(B10268, ""es"", ""en"")"),"Ideal for iphone had long wanted to buy a USB such as to move pictures from the iPhone to the computer at the end is a bummer. This can take it anywhere at a moment already have gotten into the USB, and with 32 gb for me is enough. I plug the USB directly"&amp;" to the iPhone and it took me to Apple store to download the app to transfer files and photos. The truth is going very well and it is just what I wanted, very practical. Aside type c can use too.")</f>
        <v>Ideal for iphone had long wanted to buy a USB such as to move pictures from the iPhone to the computer at the end is a bummer. This can take it anywhere at a moment already have gotten into the USB, and with 32 gb for me is enough. I plug the USB directly to the iPhone and it took me to Apple store to download the app to transfer files and photos. The truth is going very well and it is just what I wanted, very practical. Aside type c can use too.</v>
      </c>
    </row>
    <row r="10269">
      <c r="A10269" s="1">
        <v>5.0</v>
      </c>
      <c r="B10269" s="1" t="s">
        <v>10187</v>
      </c>
      <c r="C10269" t="str">
        <f>IFERROR(__xludf.DUMMYFUNCTION("GOOGLETRANSLATE(B10269, ""es"", ""en"")"),"Simple but I bought this product meets long as a temporary replacement who had before (broke). But I stayed with him directly. Superexcellent quality price is great: easy to clean, easy to transladar and install, no space, ... a good buy. I probably buy o"&amp;"ne to give to a colleague who has just started with the podcast.")</f>
        <v>Simple but I bought this product meets long as a temporary replacement who had before (broke). But I stayed with him directly. Superexcellent quality price is great: easy to clean, easy to transladar and install, no space, ... a good buy. I probably buy one to give to a colleague who has just started with the podcast.</v>
      </c>
    </row>
    <row r="10270">
      <c r="A10270" s="1">
        <v>5.0</v>
      </c>
      <c r="B10270" s="1" t="s">
        <v>10188</v>
      </c>
      <c r="C10270" t="str">
        <f>IFERROR(__xludf.DUMMYFUNCTION("GOOGLETRANSLATE(B10270, ""es"", ""en"")"),"Brilliant brilliant. I understand that for the price you can not ask for anything. Like wise cast in need of an ON / OFF button to have it plugged in without being on, but otherwise it's great. I've tried recording vocals and guitars and has enough qualit"&amp;"y seems. It is true that the meterial are nothing otherworldly. 100% Recommended")</f>
        <v>Brilliant brilliant. I understand that for the price you can not ask for anything. Like wise cast in need of an ON / OFF button to have it plugged in without being on, but otherwise it's great. I've tried recording vocals and guitars and has enough quality seems. It is true that the meterial are nothing otherworldly. 100% Recommended</v>
      </c>
    </row>
    <row r="10271">
      <c r="A10271" s="1">
        <v>5.0</v>
      </c>
      <c r="B10271" s="1" t="s">
        <v>10189</v>
      </c>
      <c r="C10271" t="str">
        <f>IFERROR(__xludf.DUMMYFUNCTION("GOOGLETRANSLATE(B10271, ""es"", ""en"")"),"Perfect Easy to use and clean. They last long and teats are quality. My baby loves from day one.")</f>
        <v>Perfect Easy to use and clean. They last long and teats are quality. My baby loves from day one.</v>
      </c>
    </row>
    <row r="10272">
      <c r="A10272" s="1">
        <v>5.0</v>
      </c>
      <c r="B10272" s="1" t="s">
        <v>10190</v>
      </c>
      <c r="C10272" t="str">
        <f>IFERROR(__xludf.DUMMYFUNCTION("GOOGLETRANSLATE(B10272, ""es"", ""en"")"),"Good massage cream helps reduce inflammation and joint hipolaergenica is a good cream, spreads well, helps with injuries and massage and also do not produce allergy hands, which many of the other if")</f>
        <v>Good massage cream helps reduce inflammation and joint hipolaergenica is a good cream, spreads well, helps with injuries and massage and also do not produce allergy hands, which many of the other if</v>
      </c>
    </row>
    <row r="10273">
      <c r="A10273" s="1">
        <v>5.0</v>
      </c>
      <c r="B10273" s="1" t="s">
        <v>10191</v>
      </c>
      <c r="C10273" t="str">
        <f>IFERROR(__xludf.DUMMYFUNCTION("GOOGLETRANSLATE(B10273, ""es"", ""en"")"),"Ideal for visually impaired Ideal for visually impaired than normal watches are bundled with needles. Clear and large numbers but always have time button that says")</f>
        <v>Ideal for visually impaired Ideal for visually impaired than normal watches are bundled with needles. Clear and large numbers but always have time button that says</v>
      </c>
    </row>
    <row r="10274">
      <c r="A10274" s="1">
        <v>2.0</v>
      </c>
      <c r="B10274" s="1" t="s">
        <v>10192</v>
      </c>
      <c r="C10274" t="str">
        <f>IFERROR(__xludf.DUMMYFUNCTION("GOOGLETRANSLATE(B10274, ""es"", ""en"")"),"The transfer rate is very slow Whenever I try to pass files the start speed in 8Mbs and then goes down until 290-500kbs. How is it possible, I formatted and I have changed format but nothing. That I have much better capacity (128Gb), if it takes forever t"&amp;"o pass a movie and USB 3.0 port")</f>
        <v>The transfer rate is very slow Whenever I try to pass files the start speed in 8Mbs and then goes down until 290-500kbs. How is it possible, I formatted and I have changed format but nothing. That I have much better capacity (128Gb), if it takes forever to pass a movie and USB 3.0 port</v>
      </c>
    </row>
    <row r="10275">
      <c r="A10275" s="1">
        <v>3.0</v>
      </c>
      <c r="B10275" s="1" t="s">
        <v>10193</v>
      </c>
      <c r="C10275" t="str">
        <f>IFERROR(__xludf.DUMMYFUNCTION("GOOGLETRANSLATE(B10275, ""es"", ""en"")"),"Like photo At first glance I liked the product because it is beautiful and just like the picture, but the red thread has lasted me only 1 week.")</f>
        <v>Like photo At first glance I liked the product because it is beautiful and just like the picture, but the red thread has lasted me only 1 week.</v>
      </c>
    </row>
    <row r="10276">
      <c r="A10276" s="1">
        <v>3.0</v>
      </c>
      <c r="B10276" s="1" t="s">
        <v>10194</v>
      </c>
      <c r="C10276" t="str">
        <f>IFERROR(__xludf.DUMMYFUNCTION("GOOGLETRANSLATE(B10276, ""es"", ""en"")"),"Cristina A little large, well if used for book-tablet. The tape fairly loose, long runs and is continuously")</f>
        <v>Cristina A little large, well if used for book-tablet. The tape fairly loose, long runs and is continuously</v>
      </c>
    </row>
    <row r="10277">
      <c r="A10277" s="1">
        <v>1.0</v>
      </c>
      <c r="B10277" s="1" t="s">
        <v>10195</v>
      </c>
      <c r="C10277" t="str">
        <f>IFERROR(__xludf.DUMMYFUNCTION("GOOGLETRANSLATE(B10277, ""es"", ""en"")"),"I break too soon had for years this brand flip-flops that the only desgate they have is the sole. I bought this thinking I would last the same. nothing to do, no summer have endured. only use to be home. Not sack the street and took them to the beach. Nor"&amp;" I have abused the least. One day, the anchor carrying the chancla at the front is broken. I thought he had just come out, but is broken and have been for trash. Since no thought, if it is that they are false, or simply manufactured it is countries with f"&amp;"ew quality controls. not worth an item is brand. This is like melons. If you're lucky you out good, and if not ...? The repayment period is over, so is money thrown away.")</f>
        <v>I break too soon had for years this brand flip-flops that the only desgate they have is the sole. I bought this thinking I would last the same. nothing to do, no summer have endured. only use to be home. Not sack the street and took them to the beach. Nor I have abused the least. One day, the anchor carrying the chancla at the front is broken. I thought he had just come out, but is broken and have been for trash. Since no thought, if it is that they are false, or simply manufactured it is countries with few quality controls. not worth an item is brand. This is like melons. If you're lucky you out good, and if not ...? The repayment period is over, so is money thrown away.</v>
      </c>
    </row>
    <row r="10278">
      <c r="A10278" s="1">
        <v>1.0</v>
      </c>
      <c r="B10278" s="1" t="s">
        <v>10196</v>
      </c>
      <c r="C10278" t="str">
        <f>IFERROR(__xludf.DUMMYFUNCTION("GOOGLETRANSLATE(B10278, ""es"", ""en"")"),"Very comfortable but a big mistake. The boots are very comfortable. I must also say that are very good. However they have an unpardonable error, as fall four drops become skates, no matter the type of soil, just skate, In fact, I crashed with them, which "&amp;"to me looong years did not happen. Anything better be nice, you feel good if you can cost a serious annoyance.")</f>
        <v>Very comfortable but a big mistake. The boots are very comfortable. I must also say that are very good. However they have an unpardonable error, as fall four drops become skates, no matter the type of soil, just skate, In fact, I crashed with them, which to me looong years did not happen. Anything better be nice, you feel good if you can cost a serious annoyance.</v>
      </c>
    </row>
    <row r="10279">
      <c r="A10279" s="1">
        <v>4.0</v>
      </c>
      <c r="B10279" s="1" t="s">
        <v>10197</v>
      </c>
      <c r="C10279" t="str">
        <f>IFERROR(__xludf.DUMMYFUNCTION("GOOGLETRANSLATE(B10279, ""es"", ""en"")"),"Good. Perfect, as in the photo. Carve correct.")</f>
        <v>Good. Perfect, as in the photo. Carve correct.</v>
      </c>
    </row>
    <row r="10280">
      <c r="A10280" s="1">
        <v>4.0</v>
      </c>
      <c r="B10280" s="1" t="s">
        <v>10198</v>
      </c>
      <c r="C10280" t="str">
        <f>IFERROR(__xludf.DUMMYFUNCTION("GOOGLETRANSLATE(B10280, ""es"", ""en"")"),"Well not give it 5 stars only because the first use they appeared some points on the bottom, I think they are lime, but come on ... it was the first cleaning boiled put the instructions to do. Otherwise great, very nice. I would open the lid to serve not "&amp;"to touch the plastic, but also apart from that plastic does not touch anything anywhere.")</f>
        <v>Well not give it 5 stars only because the first use they appeared some points on the bottom, I think they are lime, but come on ... it was the first cleaning boiled put the instructions to do. Otherwise great, very nice. I would open the lid to serve not to touch the plastic, but also apart from that plastic does not touch anything anywhere.</v>
      </c>
    </row>
    <row r="10281">
      <c r="A10281" s="1">
        <v>4.0</v>
      </c>
      <c r="B10281" s="1" t="s">
        <v>10199</v>
      </c>
      <c r="C10281" t="str">
        <f>IFERROR(__xludf.DUMMYFUNCTION("GOOGLETRANSLATE(B10281, ""es"", ""en"")"),"Good micro very good micro, you will not hear background noises, voice clear in addition to their different modes of use. Micro great money. Disadvantage: The LED remove the microphone if you want to unplug, always on even with the PC off")</f>
        <v>Good micro very good micro, you will not hear background noises, voice clear in addition to their different modes of use. Micro great money. Disadvantage: The LED remove the microphone if you want to unplug, always on even with the PC off</v>
      </c>
    </row>
    <row r="10282">
      <c r="A10282" s="1">
        <v>4.0</v>
      </c>
      <c r="B10282" s="1" t="s">
        <v>7063</v>
      </c>
      <c r="C10282" t="str">
        <f>IFERROR(__xludf.DUMMYFUNCTION("GOOGLETRANSLATE(B10282, ""es"", ""en"")"),"Such perfect as described")</f>
        <v>Such perfect as described</v>
      </c>
    </row>
    <row r="10283">
      <c r="A10283" s="1">
        <v>4.0</v>
      </c>
      <c r="B10283" s="1" t="s">
        <v>10200</v>
      </c>
      <c r="C10283" t="str">
        <f>IFERROR(__xludf.DUMMYFUNCTION("GOOGLETRANSLATE(B10283, ""es"", ""en"")"),"POWER CONSUMPTION IS NOT ONLY FOR SPEED might have some attachment more like a small glass crusher. It looks like a blender which size is right with access to put small pieces of fruit or whatever, not very useful because it is great for one thing and sma"&amp;"ll for another, finally the important thing is: The power is not delivered MIXER TO SAY CORRECTLY, BUT GOES ON STRENGTH FOR NOTHING IN SPEED WARMING AND AS A STOVE. Moreover it runs smoothly. LONG ARM is appreciated, but to make 14 liters gazpacho """" GE"&amp;"TS TO BE disconnected from the heater pillaging. """" BUT IS HARD.")</f>
        <v>POWER CONSUMPTION IS NOT ONLY FOR SPEED might have some attachment more like a small glass crusher. It looks like a blender which size is right with access to put small pieces of fruit or whatever, not very useful because it is great for one thing and small for another, finally the important thing is: The power is not delivered MIXER TO SAY CORRECTLY, BUT GOES ON STRENGTH FOR NOTHING IN SPEED WARMING AND AS A STOVE. Moreover it runs smoothly. LONG ARM is appreciated, but to make 14 liters gazpacho "" GETS TO BE disconnected from the heater pillaging. "" BUT IS HARD.</v>
      </c>
    </row>
    <row r="10284">
      <c r="A10284" s="1">
        <v>5.0</v>
      </c>
      <c r="B10284" s="1" t="s">
        <v>10201</v>
      </c>
      <c r="C10284" t="str">
        <f>IFERROR(__xludf.DUMMYFUNCTION("GOOGLETRANSLATE(B10284, ""es"", ""en"")"),"Very good quality price Boots are perfect for use that had them to give, if it is true that maybe for more aggressive jobs may be short for the quality of gluing or construction, but as befits say what I wanted and needed.")</f>
        <v>Very good quality price Boots are perfect for use that had them to give, if it is true that maybe for more aggressive jobs may be short for the quality of gluing or construction, but as befits say what I wanted and needed.</v>
      </c>
    </row>
    <row r="10285">
      <c r="A10285" s="1">
        <v>5.0</v>
      </c>
      <c r="B10285" s="1" t="s">
        <v>10202</v>
      </c>
      <c r="C10285" t="str">
        <f>IFERROR(__xludf.DUMMYFUNCTION("GOOGLETRANSLATE(B10285, ""es"", ""en"")"),"Good workmanship and good quality connectors have a very cool metallic finish. The quality of cable is perfect for studio speakers connected to the mixer (use I gave myself). I recommend it")</f>
        <v>Good workmanship and good quality connectors have a very cool metallic finish. The quality of cable is perfect for studio speakers connected to the mixer (use I gave myself). I recommend it</v>
      </c>
    </row>
    <row r="10286">
      <c r="A10286" s="1">
        <v>5.0</v>
      </c>
      <c r="B10286" s="1" t="s">
        <v>10203</v>
      </c>
      <c r="C10286" t="str">
        <f>IFERROR(__xludf.DUMMYFUNCTION("GOOGLETRANSLATE(B10286, ""es"", ""en"")"),"Silver bracelet with charms you need to go in a nice case since I received in a plastic bag but otherwise is beautiful '")</f>
        <v>Silver bracelet with charms you need to go in a nice case since I received in a plastic bag but otherwise is beautiful '</v>
      </c>
    </row>
    <row r="10287">
      <c r="A10287" s="1">
        <v>5.0</v>
      </c>
      <c r="B10287" s="1" t="s">
        <v>10204</v>
      </c>
      <c r="C10287" t="str">
        <f>IFERROR(__xludf.DUMMYFUNCTION("GOOGLETRANSLATE(B10287, ""es"", ""en"")"),"Perfect bag has many compartments and the size is perfect, although the front compartment should be a larger Pelin to save the mobile unadjusted both. I arrive ahead of schedule, so I give it a 10 on transport")</f>
        <v>Perfect bag has many compartments and the size is perfect, although the front compartment should be a larger Pelin to save the mobile unadjusted both. I arrive ahead of schedule, so I give it a 10 on transport</v>
      </c>
    </row>
    <row r="10288">
      <c r="A10288" s="1">
        <v>5.0</v>
      </c>
      <c r="B10288" s="1" t="s">
        <v>10205</v>
      </c>
      <c r="C10288" t="str">
        <f>IFERROR(__xludf.DUMMYFUNCTION("GOOGLETRANSLATE(B10288, ""es"", ""en"")"),"Bottle that regulates the amount of milk was recommended pediatrician. To our son even in the early cost him some milk out but he knew how. The amount of milk comes more regulated imitating chest.")</f>
        <v>Bottle that regulates the amount of milk was recommended pediatrician. To our son even in the early cost him some milk out but he knew how. The amount of milk comes more regulated imitating chest.</v>
      </c>
    </row>
    <row r="10289">
      <c r="A10289" s="1">
        <v>5.0</v>
      </c>
      <c r="B10289" s="1" t="s">
        <v>10206</v>
      </c>
      <c r="C10289" t="str">
        <f>IFERROR(__xludf.DUMMYFUNCTION("GOOGLETRANSLATE(B10289, ""es"", ""en"")"),"Good value for money right, good product, yet strong")</f>
        <v>Good value for money right, good product, yet strong</v>
      </c>
    </row>
    <row r="10290">
      <c r="A10290" s="1">
        <v>5.0</v>
      </c>
      <c r="B10290" s="1" t="s">
        <v>10207</v>
      </c>
      <c r="C10290" t="str">
        <f>IFERROR(__xludf.DUMMYFUNCTION("GOOGLETRANSLATE(B10290, ""es"", ""en"")"),"Vista makes faith He arrived in perfect condition, very good quality and style, I feel satisfied with the purchase. Thank you")</f>
        <v>Vista makes faith He arrived in perfect condition, very good quality and style, I feel satisfied with the purchase. Thank you</v>
      </c>
    </row>
    <row r="10291">
      <c r="A10291" s="1">
        <v>5.0</v>
      </c>
      <c r="B10291" s="1" t="s">
        <v>10208</v>
      </c>
      <c r="C10291" t="str">
        <f>IFERROR(__xludf.DUMMYFUNCTION("GOOGLETRANSLATE(B10291, ""es"", ""en"")"),"As expected Perfectas, as expected. Normal sizing, perfect packaging.")</f>
        <v>As expected Perfectas, as expected. Normal sizing, perfect packaging.</v>
      </c>
    </row>
    <row r="10292">
      <c r="A10292" s="1">
        <v>5.0</v>
      </c>
      <c r="B10292" s="1" t="s">
        <v>10209</v>
      </c>
      <c r="C10292" t="str">
        <f>IFERROR(__xludf.DUMMYFUNCTION("GOOGLETRANSLATE(B10292, ""es"", ""en"")"),"Ok Ok perfect perfect")</f>
        <v>Ok Ok perfect perfect</v>
      </c>
    </row>
    <row r="10293">
      <c r="A10293" s="1">
        <v>5.0</v>
      </c>
      <c r="B10293" s="1" t="s">
        <v>10210</v>
      </c>
      <c r="C10293" t="str">
        <f>IFERROR(__xludf.DUMMYFUNCTION("GOOGLETRANSLATE(B10293, ""es"", ""en"")"),"PERFECT spectacular")</f>
        <v>PERFECT spectacular</v>
      </c>
    </row>
    <row r="10294">
      <c r="A10294" s="1">
        <v>5.0</v>
      </c>
      <c r="B10294" s="1" t="s">
        <v>10211</v>
      </c>
      <c r="C10294" t="str">
        <f>IFERROR(__xludf.DUMMYFUNCTION("GOOGLETRANSLATE(B10294, ""es"", ""en"")"),"X perfect style and price Very nice and light. Combined with a more sporty look but also serve to go a little more settled. So comfortable from the start and they are of good quality. Equally comfortable than a sport.")</f>
        <v>X perfect style and price Very nice and light. Combined with a more sporty look but also serve to go a little more settled. So comfortable from the start and they are of good quality. Equally comfortable than a sport.</v>
      </c>
    </row>
    <row r="10295">
      <c r="A10295" s="1">
        <v>5.0</v>
      </c>
      <c r="B10295" s="1" t="s">
        <v>10212</v>
      </c>
      <c r="C10295" t="str">
        <f>IFERROR(__xludf.DUMMYFUNCTION("GOOGLETRANSLATE(B10295, ""es"", ""en"")"),"I love them, they are very comfortable. Are just as I expected, I have been very happy.")</f>
        <v>I love them, they are very comfortable. Are just as I expected, I have been very happy.</v>
      </c>
    </row>
    <row r="10296">
      <c r="A10296" s="1">
        <v>5.0</v>
      </c>
      <c r="B10296" s="1" t="s">
        <v>10213</v>
      </c>
      <c r="C10296" t="str">
        <f>IFERROR(__xludf.DUMMYFUNCTION("GOOGLETRANSLATE(B10296, ""es"", ""en"")"),"Excellent The best product for a baby")</f>
        <v>Excellent The best product for a baby</v>
      </c>
    </row>
    <row r="10297">
      <c r="A10297" s="1">
        <v>5.0</v>
      </c>
      <c r="B10297" s="1" t="s">
        <v>10214</v>
      </c>
      <c r="C10297" t="str">
        <f>IFERROR(__xludf.DUMMYFUNCTION("GOOGLETRANSLATE(B10297, ""es"", ""en"")"),"I loved an enchanted me ..the worth qe qe need to be plugged in to work x otherwise great")</f>
        <v>I loved an enchanted me ..the worth qe qe need to be plugged in to work x otherwise great</v>
      </c>
    </row>
    <row r="10298">
      <c r="A10298" s="1">
        <v>5.0</v>
      </c>
      <c r="B10298" s="1" t="s">
        <v>2925</v>
      </c>
      <c r="C10298" t="str">
        <f>IFERROR(__xludf.DUMMYFUNCTION("GOOGLETRANSLATE(B10298, ""es"", ""en"")"),"perfect perfect")</f>
        <v>perfect perfect</v>
      </c>
    </row>
    <row r="10299">
      <c r="A10299" s="1">
        <v>5.0</v>
      </c>
      <c r="B10299" s="1" t="s">
        <v>10215</v>
      </c>
      <c r="C10299" t="str">
        <f>IFERROR(__xludf.DUMMYFUNCTION("GOOGLETRANSLATE(B10299, ""es"", ""en"")"),"Very comfortable very comfortable and the sizing is perfecto.Por the price they can not ask for much más.Muy good product, no doubt.")</f>
        <v>Very comfortable very comfortable and the sizing is perfecto.Por the price they can not ask for much más.Muy good product, no doubt.</v>
      </c>
    </row>
    <row r="10300">
      <c r="A10300" s="1">
        <v>5.0</v>
      </c>
      <c r="B10300" s="1" t="s">
        <v>10216</v>
      </c>
      <c r="C10300" t="str">
        <f>IFERROR(__xludf.DUMMYFUNCTION("GOOGLETRANSLATE(B10300, ""es"", ""en"")"),"Perfect helmets and strong")</f>
        <v>Perfect helmets and strong</v>
      </c>
    </row>
    <row r="10301">
      <c r="A10301" s="1">
        <v>5.0</v>
      </c>
      <c r="B10301" s="1" t="s">
        <v>10217</v>
      </c>
      <c r="C10301" t="str">
        <f>IFERROR(__xludf.DUMMYFUNCTION("GOOGLETRANSLATE(B10301, ""es"", ""en"")"),"well sounds good and the price is right")</f>
        <v>well sounds good and the price is right</v>
      </c>
    </row>
    <row r="10302">
      <c r="A10302" s="1">
        <v>2.0</v>
      </c>
      <c r="B10302" s="1" t="s">
        <v>10218</v>
      </c>
      <c r="C10302" t="str">
        <f>IFERROR(__xludf.DUMMYFUNCTION("GOOGLETRANSLATE(B10302, ""es"", ""en"")"),"Pedro eyelashes holding tickets rise very little, leaving little room to reach in and take out or get tickets. I would not recommend purchase")</f>
        <v>Pedro eyelashes holding tickets rise very little, leaving little room to reach in and take out or get tickets. I would not recommend purchase</v>
      </c>
    </row>
    <row r="10303">
      <c r="A10303" s="1">
        <v>3.0</v>
      </c>
      <c r="B10303" s="1" t="s">
        <v>10219</v>
      </c>
      <c r="C10303" t="str">
        <f>IFERROR(__xludf.DUMMYFUNCTION("GOOGLETRANSLATE(B10303, ""es"", ""en"")"),"It is very nice but lame as it appears in the photograph. Looks good and installation is simple. I put 3 stars because the mount it to lame and the trays come forward stays.")</f>
        <v>It is very nice but lame as it appears in the photograph. Looks good and installation is simple. I put 3 stars because the mount it to lame and the trays come forward stays.</v>
      </c>
    </row>
    <row r="10304">
      <c r="A10304" s="1">
        <v>3.0</v>
      </c>
      <c r="B10304" s="1" t="s">
        <v>10220</v>
      </c>
      <c r="C10304" t="str">
        <f>IFERROR(__xludf.DUMMYFUNCTION("GOOGLETRANSLATE(B10304, ""es"", ""en"")"),"How big and very helpful. for everyday")</f>
        <v>How big and very helpful. for everyday</v>
      </c>
    </row>
    <row r="10305">
      <c r="A10305" s="1">
        <v>1.0</v>
      </c>
      <c r="B10305" s="1" t="s">
        <v>10221</v>
      </c>
      <c r="C10305" t="str">
        <f>IFERROR(__xludf.DUMMYFUNCTION("GOOGLETRANSLATE(B10305, ""es"", ""en"")"),"Faces have been very expensive")</f>
        <v>Faces have been very expensive</v>
      </c>
    </row>
    <row r="10306">
      <c r="A10306" s="1">
        <v>1.0</v>
      </c>
      <c r="B10306" s="1" t="s">
        <v>10222</v>
      </c>
      <c r="C10306" t="str">
        <f>IFERROR(__xludf.DUMMYFUNCTION("GOOGLETRANSLATE(B10306, ""es"", ""en"")"),"After sleazy use (less than 5 months) USB becomes useless. Move files to the USB repeatedly blocks the file system on Ubuntu and Windows. After suspecting a defect, I wanted to measure Ubuntu - Disk - benchmark the performance, but the test fails to boot."&amp;" USB response is so slow that blocks the measurement application itself (not with other USB). I sincerely hope that you have only been an occasional flaw, but by the comments of other buyers think it's not the case.")</f>
        <v>After sleazy use (less than 5 months) USB becomes useless. Move files to the USB repeatedly blocks the file system on Ubuntu and Windows. After suspecting a defect, I wanted to measure Ubuntu - Disk - benchmark the performance, but the test fails to boot. USB response is so slow that blocks the measurement application itself (not with other USB). I sincerely hope that you have only been an occasional flaw, but by the comments of other buyers think it's not the case.</v>
      </c>
    </row>
    <row r="10307">
      <c r="A10307" s="1">
        <v>1.0</v>
      </c>
      <c r="B10307" s="1" t="s">
        <v>10223</v>
      </c>
      <c r="C10307" t="str">
        <f>IFERROR(__xludf.DUMMYFUNCTION("GOOGLETRANSLATE(B10307, ""es"", ""en"")"),"Are very tight, they hurt I use a 5, but these are very tight both in q hurt the instep, the plastic forms a hard line that borders on foot, comfortable, nothing. the devolvere")</f>
        <v>Are very tight, they hurt I use a 5, but these are very tight both in q hurt the instep, the plastic forms a hard line that borders on foot, comfortable, nothing. the devolvere</v>
      </c>
    </row>
    <row r="10308">
      <c r="A10308" s="1">
        <v>4.0</v>
      </c>
      <c r="B10308" s="1" t="s">
        <v>10224</v>
      </c>
      <c r="C10308" t="str">
        <f>IFERROR(__xludf.DUMMYFUNCTION("GOOGLETRANSLATE(B10308, ""es"", ""en"")"),"Very nice great are as seen in photographs")</f>
        <v>Very nice great are as seen in photographs</v>
      </c>
    </row>
    <row r="10309">
      <c r="A10309" s="1">
        <v>4.0</v>
      </c>
      <c r="B10309" s="1" t="s">
        <v>10225</v>
      </c>
      <c r="C10309" t="str">
        <f>IFERROR(__xludf.DUMMYFUNCTION("GOOGLETRANSLATE(B10309, ""es"", ""en"")"),"Shoes is a comfortable shoe and meets expectations")</f>
        <v>Shoes is a comfortable shoe and meets expectations</v>
      </c>
    </row>
    <row r="10310">
      <c r="A10310" s="1">
        <v>4.0</v>
      </c>
      <c r="B10310" s="1" t="s">
        <v>10226</v>
      </c>
      <c r="C10310" t="str">
        <f>IFERROR(__xludf.DUMMYFUNCTION("GOOGLETRANSLATE(B10310, ""es"", ""en"")"),"Perfect for summer are comfortable and light, as seen in the description, I ordered my usual size (40) are somewhat loose, but a staff solve it, for the price they can not ask for more")</f>
        <v>Perfect for summer are comfortable and light, as seen in the description, I ordered my usual size (40) are somewhat loose, but a staff solve it, for the price they can not ask for more</v>
      </c>
    </row>
    <row r="10311">
      <c r="A10311" s="1">
        <v>4.0</v>
      </c>
      <c r="B10311" s="1" t="s">
        <v>10227</v>
      </c>
      <c r="C10311" t="str">
        <f>IFERROR(__xludf.DUMMYFUNCTION("GOOGLETRANSLATE(B10311, ""es"", ""en"")"),"Sterilizer for manicure tools. Apparatus for sterilizing your nail products and manicure gel, biene with a set of balls, which are heated and sterilized your things. It is outer plastic, good price quality.")</f>
        <v>Sterilizer for manicure tools. Apparatus for sterilizing your nail products and manicure gel, biene with a set of balls, which are heated and sterilized your things. It is outer plastic, good price quality.</v>
      </c>
    </row>
    <row r="10312">
      <c r="A10312" s="1">
        <v>5.0</v>
      </c>
      <c r="B10312" s="1" t="s">
        <v>10228</v>
      </c>
      <c r="C10312" t="str">
        <f>IFERROR(__xludf.DUMMYFUNCTION("GOOGLETRANSLATE(B10312, ""es"", ""en"")"),"Gender excellent quality, fits perfectly to the body and very warm. Delivery on time, but had to return for our error in size. we sent a new size in record time and all were facilities and kindness. I recommend buying 100%.")</f>
        <v>Gender excellent quality, fits perfectly to the body and very warm. Delivery on time, but had to return for our error in size. we sent a new size in record time and all were facilities and kindness. I recommend buying 100%.</v>
      </c>
    </row>
    <row r="10313">
      <c r="A10313" s="1">
        <v>5.0</v>
      </c>
      <c r="B10313" s="1" t="s">
        <v>10229</v>
      </c>
      <c r="C10313" t="str">
        <f>IFERROR(__xludf.DUMMYFUNCTION("GOOGLETRANSLATE(B10313, ""es"", ""en"")"),"Value My wife is happy so far with the purchase, it is his employer and since this article is much cheaper as better")</f>
        <v>Value My wife is happy so far with the purchase, it is his employer and since this article is much cheaper as better</v>
      </c>
    </row>
    <row r="10314">
      <c r="A10314" s="1">
        <v>5.0</v>
      </c>
      <c r="B10314" s="1" t="s">
        <v>10230</v>
      </c>
      <c r="C10314" t="str">
        <f>IFERROR(__xludf.DUMMYFUNCTION("GOOGLETRANSLATE(B10314, ""es"", ""en"")"),"A practical classic and simple clock that works perfectly. I take a shower with the position and use of alarm. Sending perfect as ever.")</f>
        <v>A practical classic and simple clock that works perfectly. I take a shower with the position and use of alarm. Sending perfect as ever.</v>
      </c>
    </row>
    <row r="10315">
      <c r="A10315" s="1">
        <v>5.0</v>
      </c>
      <c r="B10315" s="1" t="s">
        <v>10231</v>
      </c>
      <c r="C10315" t="str">
        <f>IFERROR(__xludf.DUMMYFUNCTION("GOOGLETRANSLATE(B10315, ""es"", ""en"")"),"Carve large. Vans shoes original and quality. Carve large, I use a size 38 and I chose and I are a little big so for the next I'll take one size smaller. Very comfortable from day one, I have not noticed any rash or any discomfort. Buy very successful.")</f>
        <v>Carve large. Vans shoes original and quality. Carve large, I use a size 38 and I chose and I are a little big so for the next I'll take one size smaller. Very comfortable from day one, I have not noticed any rash or any discomfort. Buy very successful.</v>
      </c>
    </row>
    <row r="10316">
      <c r="A10316" s="1">
        <v>5.0</v>
      </c>
      <c r="B10316" s="1" t="s">
        <v>10232</v>
      </c>
      <c r="C10316" t="str">
        <f>IFERROR(__xludf.DUMMYFUNCTION("GOOGLETRANSLATE(B10316, ""es"", ""en"")"),"It works perfectly nice and sturdy")</f>
        <v>It works perfectly nice and sturdy</v>
      </c>
    </row>
    <row r="10317">
      <c r="A10317" s="1">
        <v>5.0</v>
      </c>
      <c r="B10317" s="1" t="s">
        <v>10233</v>
      </c>
      <c r="C10317" t="str">
        <f>IFERROR(__xludf.DUMMYFUNCTION("GOOGLETRANSLATE(B10317, ""es"", ""en"")"),"Very easy to limpar they are comfortable for mixing, transporting and there are several types of interchangeable nipples to last longer.")</f>
        <v>Very easy to limpar they are comfortable for mixing, transporting and there are several types of interchangeable nipples to last longer.</v>
      </c>
    </row>
    <row r="10318">
      <c r="A10318" s="1">
        <v>5.0</v>
      </c>
      <c r="B10318" s="1" t="s">
        <v>10234</v>
      </c>
      <c r="C10318" t="str">
        <f>IFERROR(__xludf.DUMMYFUNCTION("GOOGLETRANSLATE(B10318, ""es"", ""en"")"),"The pants are great as is, a drop of very nice fabric. Taichí use it to make and is very comfortable and soft. Cotton good for a great price.")</f>
        <v>The pants are great as is, a drop of very nice fabric. Taichí use it to make and is very comfortable and soft. Cotton good for a great price.</v>
      </c>
    </row>
    <row r="10319">
      <c r="A10319" s="1">
        <v>5.0</v>
      </c>
      <c r="B10319" s="1" t="s">
        <v>10235</v>
      </c>
      <c r="C10319" t="str">
        <f>IFERROR(__xludf.DUMMYFUNCTION("GOOGLETRANSLATE(B10319, ""es"", ""en"")"),"Perfect transparent are slightly higher than those folios, are perfect")</f>
        <v>Perfect transparent are slightly higher than those folios, are perfect</v>
      </c>
    </row>
    <row r="10320">
      <c r="A10320" s="1">
        <v>5.0</v>
      </c>
      <c r="B10320" s="1" t="s">
        <v>10236</v>
      </c>
      <c r="C10320" t="str">
        <f>IFERROR(__xludf.DUMMYFUNCTION("GOOGLETRANSLATE(B10320, ""es"", ""en"")"),"It is a good watch in my collection is elegant weighs a little but mostly belt")</f>
        <v>It is a good watch in my collection is elegant weighs a little but mostly belt</v>
      </c>
    </row>
    <row r="10321">
      <c r="A10321" s="1">
        <v>5.0</v>
      </c>
      <c r="B10321" s="1" t="s">
        <v>10237</v>
      </c>
      <c r="C10321" t="str">
        <f>IFERROR(__xludf.DUMMYFUNCTION("GOOGLETRANSLATE(B10321, ""es"", ""en"")"),"Good sound quality good sound quality, very good presentation, ideal for gift")</f>
        <v>Good sound quality good sound quality, very good presentation, ideal for gift</v>
      </c>
    </row>
    <row r="10322">
      <c r="A10322" s="1">
        <v>5.0</v>
      </c>
      <c r="B10322" s="1" t="s">
        <v>10238</v>
      </c>
      <c r="C10322" t="str">
        <f>IFERROR(__xludf.DUMMYFUNCTION("GOOGLETRANSLATE(B10322, ""es"", ""en"")"),"TWS headphones bluetooth headphones with cargo box with a very good sound and it also isolates some outside so even better. The cargo box makes them great to not always be aware of whether they have battery before leaving home, because with the cargo load"&amp;" quickly and provides for various loads. Among other things, they also have touch functions to answer calls or pause / resume a song plus they are pretty good in the ear and not bother.")</f>
        <v>TWS headphones bluetooth headphones with cargo box with a very good sound and it also isolates some outside so even better. The cargo box makes them great to not always be aware of whether they have battery before leaving home, because with the cargo load quickly and provides for various loads. Among other things, they also have touch functions to answer calls or pause / resume a song plus they are pretty good in the ear and not bother.</v>
      </c>
    </row>
    <row r="10323">
      <c r="A10323" s="1">
        <v>5.0</v>
      </c>
      <c r="B10323" s="1" t="s">
        <v>10239</v>
      </c>
      <c r="C10323" t="str">
        <f>IFERROR(__xludf.DUMMYFUNCTION("GOOGLETRANSLATE(B10323, ""es"", ""en"")"),"Precious I've loved, are chulisima and very comfortable like all Skechers, I like this brand")</f>
        <v>Precious I've loved, are chulisima and very comfortable like all Skechers, I like this brand</v>
      </c>
    </row>
    <row r="10324">
      <c r="A10324" s="1">
        <v>5.0</v>
      </c>
      <c r="B10324" s="1" t="s">
        <v>10240</v>
      </c>
      <c r="C10324" t="str">
        <f>IFERROR(__xludf.DUMMYFUNCTION("GOOGLETRANSLATE(B10324, ""es"", ""en"")"),"Good product good product, were for my son and I am very happy")</f>
        <v>Good product good product, were for my son and I am very happy</v>
      </c>
    </row>
    <row r="10325">
      <c r="A10325" s="1">
        <v>5.0</v>
      </c>
      <c r="B10325" s="1" t="s">
        <v>10241</v>
      </c>
      <c r="C10325" t="str">
        <f>IFERROR(__xludf.DUMMYFUNCTION("GOOGLETRANSLATE(B10325, ""es"", ""en"")"),"Excellent as mixer only has speed, but otherwise doing fine. What I like is the glass lid to keep then beaten.")</f>
        <v>Excellent as mixer only has speed, but otherwise doing fine. What I like is the glass lid to keep then beaten.</v>
      </c>
    </row>
    <row r="10326">
      <c r="A10326" s="1">
        <v>5.0</v>
      </c>
      <c r="B10326" s="1" t="s">
        <v>10242</v>
      </c>
      <c r="C10326" t="str">
        <f>IFERROR(__xludf.DUMMYFUNCTION("GOOGLETRANSLATE(B10326, ""es"", ""en"")"),"They are very good shoes are great, they are attached to the foot and give very good support as well as being very comfortable and although at the beginning it seemed pressed to the foot after two uses were perfectly amoldaron giving a lot of comfort.")</f>
        <v>They are very good shoes are great, they are attached to the foot and give very good support as well as being very comfortable and although at the beginning it seemed pressed to the foot after two uses were perfectly amoldaron giving a lot of comfort.</v>
      </c>
    </row>
    <row r="10327">
      <c r="A10327" s="1">
        <v>5.0</v>
      </c>
      <c r="B10327" s="1" t="s">
        <v>10243</v>
      </c>
      <c r="C10327" t="str">
        <f>IFERROR(__xludf.DUMMYFUNCTION("GOOGLETRANSLATE(B10327, ""es"", ""en"")"),"High quality at the best price The crucial MX500 offers high speeds, stability and price all in one product. Is the second bought (I have two 500 GB) and so far no problems. Greatly accelerates disk to any PC and is indispensable for games that require lo"&amp;"ad much as it takes away us be waiting minutes. (Eg rust or GTA V is noticed much). Fully recommended a product and for me, above Samsung for his great - value.")</f>
        <v>High quality at the best price The crucial MX500 offers high speeds, stability and price all in one product. Is the second bought (I have two 500 GB) and so far no problems. Greatly accelerates disk to any PC and is indispensable for games that require load much as it takes away us be waiting minutes. (Eg rust or GTA V is noticed much). Fully recommended a product and for me, above Samsung for his great - value.</v>
      </c>
    </row>
    <row r="10328">
      <c r="A10328" s="1">
        <v>5.0</v>
      </c>
      <c r="B10328" s="1" t="s">
        <v>10244</v>
      </c>
      <c r="C10328" t="str">
        <f>IFERROR(__xludf.DUMMYFUNCTION("GOOGLETRANSLATE(B10328, ""es"", ""en"")"),"Very well priced cheap. I saw it in a much more expensive stationery. I recommend buying.")</f>
        <v>Very well priced cheap. I saw it in a much more expensive stationery. I recommend buying.</v>
      </c>
    </row>
    <row r="10329">
      <c r="A10329" s="1">
        <v>5.0</v>
      </c>
      <c r="B10329" s="1" t="s">
        <v>10245</v>
      </c>
      <c r="C10329" t="str">
        <f>IFERROR(__xludf.DUMMYFUNCTION("GOOGLETRANSLATE(B10329, ""es"", ""en"")"),"Very good size I loved. I have a smaller one. The size is perfect covers the entire back. Touch is very soft. It can be washed so there are no problems if children caught with dirty hands. Easy to use and transport. When the cold comes I think use it to h"&amp;"eat the sheets. It has come early and in good condiciones..El. Price is great. I buy another gift. In addition large numbers to select the temperature., Great for those who see little.")</f>
        <v>Very good size I loved. I have a smaller one. The size is perfect covers the entire back. Touch is very soft. It can be washed so there are no problems if children caught with dirty hands. Easy to use and transport. When the cold comes I think use it to heat the sheets. It has come early and in good condiciones..El. Price is great. I buy another gift. In addition large numbers to select the temperature., Great for those who see little.</v>
      </c>
    </row>
    <row r="10330">
      <c r="A10330" s="1">
        <v>5.0</v>
      </c>
      <c r="B10330" s="1" t="s">
        <v>10246</v>
      </c>
      <c r="C10330" t="str">
        <f>IFERROR(__xludf.DUMMYFUNCTION("GOOGLETRANSLATE(B10330, ""es"", ""en"")"),"Buy two are something great for my wife bought them at the beginning buy a 39 which is your size and then I had to change for a 38. They are beautiful and very comfortable.")</f>
        <v>Buy two are something great for my wife bought them at the beginning buy a 39 which is your size and then I had to change for a 38. They are beautiful and very comfortable.</v>
      </c>
    </row>
    <row r="10331">
      <c r="A10331" s="1">
        <v>2.0</v>
      </c>
      <c r="B10331" s="1" t="s">
        <v>10247</v>
      </c>
      <c r="C10331" t="str">
        <f>IFERROR(__xludf.DUMMYFUNCTION("GOOGLETRANSLATE(B10331, ""es"", ""en"")"),"We are slow transfer speeds reached in theory offers even close.")</f>
        <v>We are slow transfer speeds reached in theory offers even close.</v>
      </c>
    </row>
    <row r="10332">
      <c r="A10332" s="1">
        <v>3.0</v>
      </c>
      <c r="B10332" s="1" t="s">
        <v>10248</v>
      </c>
      <c r="C10332" t="str">
        <f>IFERROR(__xludf.DUMMYFUNCTION("GOOGLETRANSLATE(B10332, ""es"", ""en"")"),"Comfortable but poor durability are very comfortable, but if you have a high-intensity work are not resistant to different adversities and the fabric is easily broken toe")</f>
        <v>Comfortable but poor durability are very comfortable, but if you have a high-intensity work are not resistant to different adversities and the fabric is easily broken toe</v>
      </c>
    </row>
    <row r="10333">
      <c r="A10333" s="1">
        <v>3.0</v>
      </c>
      <c r="B10333" s="1" t="s">
        <v>10249</v>
      </c>
      <c r="C10333" t="str">
        <f>IFERROR(__xludf.DUMMYFUNCTION("GOOGLETRANSLATE(B10333, ""es"", ""en"")"),"A great find (Edited) I bought because today is difficult to find this type headphones. Almost all they are manufactured in-ear and I can not stand them. I bought thinking it would be bad but quite the opposite. The sound quality is comparable to that of "&amp;"a headset 30 €. They hear very clear and separate very well the sound of the instruments. I have them for more than 4 months and have not given me any problems. If I had to put them one drawback would be the quality of materials that it is the quality of "&amp;"headphones 8 €. But the sound that are worth a lot. No doubt I will buy in the future. ====== ====== EDITO After 7 months of daily use one of the earphones stopped working. Audio quality, as I said in my first assessment is quite good for the price they h"&amp;"ave but given its duration to the final out more expensive than a pair of headphones from € 15 to 20 € which usually last a couple of years. I recommend them for occasional use or replacement headphones. For daily use better about Seenheiser MX365 / 375 t"&amp;"hat last much longer and are around 15 €.")</f>
        <v>A great find (Edited) I bought because today is difficult to find this type headphones. Almost all they are manufactured in-ear and I can not stand them. I bought thinking it would be bad but quite the opposite. The sound quality is comparable to that of a headset 30 €. They hear very clear and separate very well the sound of the instruments. I have them for more than 4 months and have not given me any problems. If I had to put them one drawback would be the quality of materials that it is the quality of headphones 8 €. But the sound that are worth a lot. No doubt I will buy in the future. ====== ====== EDITO After 7 months of daily use one of the earphones stopped working. Audio quality, as I said in my first assessment is quite good for the price they have but given its duration to the final out more expensive than a pair of headphones from € 15 to 20 € which usually last a couple of years. I recommend them for occasional use or replacement headphones. For daily use better about Seenheiser MX365 / 375 that last much longer and are around 15 €.</v>
      </c>
    </row>
    <row r="10334">
      <c r="A10334" s="1">
        <v>1.0</v>
      </c>
      <c r="B10334" s="1" t="s">
        <v>10250</v>
      </c>
      <c r="C10334" t="str">
        <f>IFERROR(__xludf.DUMMYFUNCTION("GOOGLETRANSLATE(B10334, ""es"", ""en"")"),"If you have version 11.11 do not buy it if you come to upgrade to 11.11 or 11.12, the kernel of the card is not updated to that therefore no use version would have to wait for anything to take out a kernel for these versions")</f>
        <v>If you have version 11.11 do not buy it if you come to upgrade to 11.11 or 11.12, the kernel of the card is not updated to that therefore no use version would have to wait for anything to take out a kernel for these versions</v>
      </c>
    </row>
    <row r="10335">
      <c r="A10335" s="1">
        <v>4.0</v>
      </c>
      <c r="B10335" s="1" t="s">
        <v>10251</v>
      </c>
      <c r="C10335" t="str">
        <f>IFERROR(__xludf.DUMMYFUNCTION("GOOGLETRANSLATE(B10335, ""es"", ""en"")"),"Ideal right Everything looks good brush. correct dimensions, ideal for large grills. Hoping to try to see how it goes.")</f>
        <v>Ideal right Everything looks good brush. correct dimensions, ideal for large grills. Hoping to try to see how it goes.</v>
      </c>
    </row>
    <row r="10336">
      <c r="A10336" s="1">
        <v>4.0</v>
      </c>
      <c r="B10336" s="1" t="s">
        <v>10252</v>
      </c>
      <c r="C10336" t="str">
        <f>IFERROR(__xludf.DUMMYFUNCTION("GOOGLETRANSLATE(B10336, ""es"", ""en"")"),"Sometimes quality does not hit enough of the all good. Equally good product.")</f>
        <v>Sometimes quality does not hit enough of the all good. Equally good product.</v>
      </c>
    </row>
    <row r="10337">
      <c r="A10337" s="1">
        <v>4.0</v>
      </c>
      <c r="B10337" s="1" t="s">
        <v>10253</v>
      </c>
      <c r="C10337" t="str">
        <f>IFERROR(__xludf.DUMMYFUNCTION("GOOGLETRANSLATE(B10337, ""es"", ""en"")"),"Value very good for the price is amazing, with minimal editing get a very professional sound. The arm is second to none and arm catch him pop the costs point because it tends to go down but it does its role.")</f>
        <v>Value very good for the price is amazing, with minimal editing get a very professional sound. The arm is second to none and arm catch him pop the costs point because it tends to go down but it does its role.</v>
      </c>
    </row>
    <row r="10338">
      <c r="A10338" s="1">
        <v>4.0</v>
      </c>
      <c r="B10338" s="1" t="s">
        <v>10254</v>
      </c>
      <c r="C10338" t="str">
        <f>IFERROR(__xludf.DUMMYFUNCTION("GOOGLETRANSLATE(B10338, ""es"", ""en"")"),"Warm are very comfortable, but I me warm.")</f>
        <v>Warm are very comfortable, but I me warm.</v>
      </c>
    </row>
    <row r="10339">
      <c r="A10339" s="1">
        <v>4.0</v>
      </c>
      <c r="B10339" s="1" t="s">
        <v>10255</v>
      </c>
      <c r="C10339" t="str">
        <f>IFERROR(__xludf.DUMMYFUNCTION("GOOGLETRANSLATE(B10339, ""es"", ""en"")"),"Do not give allergy are as they are seen in the photo")</f>
        <v>Do not give allergy are as they are seen in the photo</v>
      </c>
    </row>
    <row r="10340">
      <c r="A10340" s="1">
        <v>5.0</v>
      </c>
      <c r="B10340" s="1" t="s">
        <v>10256</v>
      </c>
      <c r="C10340" t="str">
        <f>IFERROR(__xludf.DUMMYFUNCTION("GOOGLETRANSLATE(B10340, ""es"", ""en"")"),"San Disk Perfect for music, photos and videos using my phone memory. Thank you very much. I liked both the product I ordered another for a family.")</f>
        <v>San Disk Perfect for music, photos and videos using my phone memory. Thank you very much. I liked both the product I ordered another for a family.</v>
      </c>
    </row>
    <row r="10341">
      <c r="A10341" s="1">
        <v>5.0</v>
      </c>
      <c r="B10341" s="1" t="s">
        <v>10257</v>
      </c>
      <c r="C10341" t="str">
        <f>IFERROR(__xludf.DUMMYFUNCTION("GOOGLETRANSLATE(B10341, ""es"", ""en"")"),"Goodbye wrist pain I use every day at work, is fine, my fault for not having also purchased the keyboard, I look for the same brand. This to me is going very well.")</f>
        <v>Goodbye wrist pain I use every day at work, is fine, my fault for not having also purchased the keyboard, I look for the same brand. This to me is going very well.</v>
      </c>
    </row>
    <row r="10342">
      <c r="A10342" s="1">
        <v>5.0</v>
      </c>
      <c r="B10342" s="1" t="s">
        <v>10258</v>
      </c>
      <c r="C10342" t="str">
        <f>IFERROR(__xludf.DUMMYFUNCTION("GOOGLETRANSLATE(B10342, ""es"", ""en"")"),"Very nice people earrings for the price I bought it are nice and give the trick. Good")</f>
        <v>Very nice people earrings for the price I bought it are nice and give the trick. Good</v>
      </c>
    </row>
    <row r="10343">
      <c r="A10343" s="1">
        <v>5.0</v>
      </c>
      <c r="B10343" s="1" t="s">
        <v>10259</v>
      </c>
      <c r="C10343" t="str">
        <f>IFERROR(__xludf.DUMMYFUNCTION("GOOGLETRANSLATE(B10343, ""es"", ""en"")"),"Cable good quality guitar with vintage or antique look as I prefer to call it. Braiding bearing makes it very appealing. The jacks are enough quality and weight, which is good, one is layered, perfect for guitars Les Paul or SG type for example. Has three"&amp;" meters long, enough unless touches on big stages ;-) The touch is very nice and has rugged looks and durable, as to the sound very well, no noise or interference.")</f>
        <v>Cable good quality guitar with vintage or antique look as I prefer to call it. Braiding bearing makes it very appealing. The jacks are enough quality and weight, which is good, one is layered, perfect for guitars Les Paul or SG type for example. Has three meters long, enough unless touches on big stages ;-) The touch is very nice and has rugged looks and durable, as to the sound very well, no noise or interference.</v>
      </c>
    </row>
    <row r="10344">
      <c r="A10344" s="1">
        <v>5.0</v>
      </c>
      <c r="B10344" s="1" t="s">
        <v>10260</v>
      </c>
      <c r="C10344" t="str">
        <f>IFERROR(__xludf.DUMMYFUNCTION("GOOGLETRANSLATE(B10344, ""es"", ""en"")"),"Everything ok Okay. Is real. It comes with a folded box if you want to give it away. The right size I wanted. I love!!!")</f>
        <v>Everything ok Okay. Is real. It comes with a folded box if you want to give it away. The right size I wanted. I love!!!</v>
      </c>
    </row>
    <row r="10345">
      <c r="A10345" s="1">
        <v>5.0</v>
      </c>
      <c r="B10345" s="1" t="s">
        <v>10261</v>
      </c>
      <c r="C10345" t="str">
        <f>IFERROR(__xludf.DUMMYFUNCTION("GOOGLETRANSLATE(B10345, ""es"", ""en"")"),"As shown in the photo is exactly as it appears in the photo, and in stores, but cheaper.")</f>
        <v>As shown in the photo is exactly as it appears in the photo, and in stores, but cheaper.</v>
      </c>
    </row>
    <row r="10346">
      <c r="A10346" s="1">
        <v>5.0</v>
      </c>
      <c r="B10346" s="1" t="s">
        <v>10262</v>
      </c>
      <c r="C10346" t="str">
        <f>IFERROR(__xludf.DUMMYFUNCTION("GOOGLETRANSLATE(B10346, ""es"", ""en"")"),"Soothing Muscle is a product that has been fine for me pains I've had back pain and even a family member who recommended it and I said that has been very well.")</f>
        <v>Soothing Muscle is a product that has been fine for me pains I've had back pain and even a family member who recommended it and I said that has been very well.</v>
      </c>
    </row>
    <row r="10347">
      <c r="A10347" s="1">
        <v>5.0</v>
      </c>
      <c r="B10347" s="1" t="s">
        <v>10263</v>
      </c>
      <c r="C10347" t="str">
        <f>IFERROR(__xludf.DUMMYFUNCTION("GOOGLETRANSLATE(B10347, ""es"", ""en"")"),"I like a lot are great, super calentitas")</f>
        <v>I like a lot are great, super calentitas</v>
      </c>
    </row>
    <row r="10348">
      <c r="A10348" s="1">
        <v>5.0</v>
      </c>
      <c r="B10348" s="1" t="s">
        <v>10264</v>
      </c>
      <c r="C10348" t="str">
        <f>IFERROR(__xludf.DUMMYFUNCTION("GOOGLETRANSLATE(B10348, ""es"", ""en"")"),"Great perfect and fast and at a great price Everything !!! Of the best buys I've done I would definitely recommend")</f>
        <v>Great perfect and fast and at a great price Everything !!! Of the best buys I've done I would definitely recommend</v>
      </c>
    </row>
    <row r="10349">
      <c r="A10349" s="1">
        <v>5.0</v>
      </c>
      <c r="B10349" s="1" t="s">
        <v>10265</v>
      </c>
      <c r="C10349" t="str">
        <f>IFERROR(__xludf.DUMMYFUNCTION("GOOGLETRANSLATE(B10349, ""es"", ""en"")"),"SILENCE AND Quase não aquece adequado for NAS")</f>
        <v>SILENCE AND Quase não aquece adequado for NAS</v>
      </c>
    </row>
    <row r="10350">
      <c r="A10350" s="1">
        <v>5.0</v>
      </c>
      <c r="B10350" s="1" t="s">
        <v>10266</v>
      </c>
      <c r="C10350" t="str">
        <f>IFERROR(__xludf.DUMMYFUNCTION("GOOGLETRANSLATE(B10350, ""es"", ""en"")"),"Comfortable and good sound quality These helmets have surprised me very pleasantly since its introduction in the box / cover that brings up pocket for charger cables to the quality of the sound that is mangnífica. Coupling ears is very comfortable to me a"&amp;"lmost all pads usually end up hurting me but these perfect time.")</f>
        <v>Comfortable and good sound quality These helmets have surprised me very pleasantly since its introduction in the box / cover that brings up pocket for charger cables to the quality of the sound that is mangnífica. Coupling ears is very comfortable to me almost all pads usually end up hurting me but these perfect time.</v>
      </c>
    </row>
    <row r="10351">
      <c r="A10351" s="1">
        <v>5.0</v>
      </c>
      <c r="B10351" s="1" t="s">
        <v>10267</v>
      </c>
      <c r="C10351" t="str">
        <f>IFERROR(__xludf.DUMMYFUNCTION("GOOGLETRANSLATE(B10351, ""es"", ""en"")"),"Very practical good for sports.")</f>
        <v>Very practical good for sports.</v>
      </c>
    </row>
    <row r="10352">
      <c r="A10352" s="1">
        <v>5.0</v>
      </c>
      <c r="B10352" s="1" t="s">
        <v>10268</v>
      </c>
      <c r="C10352" t="str">
        <f>IFERROR(__xludf.DUMMYFUNCTION("GOOGLETRANSLATE(B10352, ""es"", ""en"")"),"Biberon'm the best user of this brand of baby bottles because for me is one of the best to prevent gases in babies. Here I have been able to buy at a great price and shipping was successful and I arrive one day before the scheduled date. I recommend it 10"&amp;"0%.")</f>
        <v>Biberon'm the best user of this brand of baby bottles because for me is one of the best to prevent gases in babies. Here I have been able to buy at a great price and shipping was successful and I arrive one day before the scheduled date. I recommend it 100%.</v>
      </c>
    </row>
    <row r="10353">
      <c r="A10353" s="1">
        <v>5.0</v>
      </c>
      <c r="B10353" s="1" t="s">
        <v>10269</v>
      </c>
      <c r="C10353" t="str">
        <f>IFERROR(__xludf.DUMMYFUNCTION("GOOGLETRANSLATE(B10353, ""es"", ""en"")"),"This well will bibe me going great")</f>
        <v>This well will bibe me going great</v>
      </c>
    </row>
    <row r="10354">
      <c r="A10354" s="1">
        <v>5.0</v>
      </c>
      <c r="B10354" s="1" t="s">
        <v>10270</v>
      </c>
      <c r="C10354" t="str">
        <f>IFERROR(__xludf.DUMMYFUNCTION("GOOGLETRANSLATE(B10354, ""es"", ""en"")"),"They work very well good buy warm feet quickly and hard enough heat. q there are only 90 seconds microwave heating them")</f>
        <v>They work very well good buy warm feet quickly and hard enough heat. q there are only 90 seconds microwave heating them</v>
      </c>
    </row>
    <row r="10355">
      <c r="A10355" s="1">
        <v>5.0</v>
      </c>
      <c r="B10355" s="1" t="s">
        <v>238</v>
      </c>
      <c r="C10355" t="str">
        <f>IFERROR(__xludf.DUMMYFUNCTION("GOOGLETRANSLATE(B10355, ""es"", ""en"")"),"perfect perfect")</f>
        <v>perfect perfect</v>
      </c>
    </row>
    <row r="10356">
      <c r="A10356" s="1">
        <v>5.0</v>
      </c>
      <c r="B10356" s="1" t="s">
        <v>10271</v>
      </c>
      <c r="C10356" t="str">
        <f>IFERROR(__xludf.DUMMYFUNCTION("GOOGLETRANSLATE(B10356, ""es"", ""en"")"),"Perfect Love, ffmgran quality and very comfortable, like salomon always making a shoe Gean")</f>
        <v>Perfect Love, ffmgran quality and very comfortable, like salomon always making a shoe Gean</v>
      </c>
    </row>
    <row r="10357">
      <c r="A10357" s="1">
        <v>5.0</v>
      </c>
      <c r="B10357" s="1" t="s">
        <v>10272</v>
      </c>
      <c r="C10357" t="str">
        <f>IFERROR(__xludf.DUMMYFUNCTION("GOOGLETRANSLATE(B10357, ""es"", ""en"")"),"And as image (blue) The shoes are exactly as they appear in the image. They are very nice and good quality. My nephew have loved and stand number corresponds to yours. Would definitely buy them.")</f>
        <v>And as image (blue) The shoes are exactly as they appear in the image. They are very nice and good quality. My nephew have loved and stand number corresponds to yours. Would definitely buy them.</v>
      </c>
    </row>
    <row r="10358">
      <c r="A10358" s="1">
        <v>5.0</v>
      </c>
      <c r="B10358" s="1" t="s">
        <v>10273</v>
      </c>
      <c r="C10358" t="str">
        <f>IFERROR(__xludf.DUMMYFUNCTION("GOOGLETRANSLATE(B10358, ""es"", ""en"")"),"They are perfect perfect !!!")</f>
        <v>They are perfect perfect !!!</v>
      </c>
    </row>
    <row r="10359">
      <c r="A10359" s="1">
        <v>2.0</v>
      </c>
      <c r="B10359" s="1" t="s">
        <v>10274</v>
      </c>
      <c r="C10359" t="str">
        <f>IFERROR(__xludf.DUMMYFUNCTION("GOOGLETRANSLATE(B10359, ""es"", ""en"")"),"Different from the pictures I returned the watch because it was not like in the photos. In them the black color of the dial and the case is matte, however I received was brilliant black. Like leather belt, which was dark brown (different tone, because it'"&amp;"s nothing new) redder than the photos. It was another watch, not ugly, but not the one he wanted.")</f>
        <v>Different from the pictures I returned the watch because it was not like in the photos. In them the black color of the dial and the case is matte, however I received was brilliant black. Like leather belt, which was dark brown (different tone, because it's nothing new) redder than the photos. It was another watch, not ugly, but not the one he wanted.</v>
      </c>
    </row>
    <row r="10360">
      <c r="A10360" s="1">
        <v>3.0</v>
      </c>
      <c r="B10360" s="1" t="s">
        <v>10275</v>
      </c>
      <c r="C10360" t="str">
        <f>IFERROR(__xludf.DUMMYFUNCTION("GOOGLETRANSLATE(B10360, ""es"", ""en"")"),"Well UM2")</f>
        <v>Well UM2</v>
      </c>
    </row>
    <row r="10361">
      <c r="A10361" s="1">
        <v>1.0</v>
      </c>
      <c r="B10361" s="1" t="s">
        <v>10276</v>
      </c>
      <c r="C10361" t="str">
        <f>IFERROR(__xludf.DUMMYFUNCTION("GOOGLETRANSLATE(B10361, ""es"", ""en"")"),"There came markers it did not include markers included in the package")</f>
        <v>There came markers it did not include markers included in the package</v>
      </c>
    </row>
    <row r="10362">
      <c r="A10362" s="1">
        <v>1.0</v>
      </c>
      <c r="B10362" s="1" t="s">
        <v>10277</v>
      </c>
      <c r="C10362" t="str">
        <f>IFERROR(__xludf.DUMMYFUNCTION("GOOGLETRANSLATE(B10362, ""es"", ""en"")"),"I came not leather In describing places that are leather and fabric arrived. The've returned.")</f>
        <v>I came not leather In describing places that are leather and fabric arrived. The've returned.</v>
      </c>
    </row>
    <row r="10363">
      <c r="A10363" s="1">
        <v>1.0</v>
      </c>
      <c r="B10363" s="1" t="s">
        <v>10278</v>
      </c>
      <c r="C10363" t="str">
        <f>IFERROR(__xludf.DUMMYFUNCTION("GOOGLETRANSLATE(B10363, ""es"", ""en"")"),"Too much echo echo is heard and audio is not understood. I lowered and raised the intensity of the micro and also the speaker and listener echo all the options. I have returned.")</f>
        <v>Too much echo echo is heard and audio is not understood. I lowered and raised the intensity of the micro and also the speaker and listener echo all the options. I have returned.</v>
      </c>
    </row>
    <row r="10364">
      <c r="A10364" s="1">
        <v>4.0</v>
      </c>
      <c r="B10364" s="1" t="s">
        <v>10279</v>
      </c>
      <c r="C10364" t="str">
        <f>IFERROR(__xludf.DUMMYFUNCTION("GOOGLETRANSLATE(B10364, ""es"", ""en"")"),"Well Bie")</f>
        <v>Well Bie</v>
      </c>
    </row>
    <row r="10365">
      <c r="A10365" s="1">
        <v>4.0</v>
      </c>
      <c r="B10365" s="1" t="s">
        <v>10280</v>
      </c>
      <c r="C10365" t="str">
        <f>IFERROR(__xludf.DUMMYFUNCTION("GOOGLETRANSLATE(B10365, ""es"", ""en"")"),"The truth is very good as the reviews say, if you take time can hurt you a lot ears as you can go through the thickness of the gums (comes three sizes together with headphones) or poniéndotelos deep inside. But the sound is brutal, makes the silence effec"&amp;"t so the outside does not disturb the music.")</f>
        <v>The truth is very good as the reviews say, if you take time can hurt you a lot ears as you can go through the thickness of the gums (comes three sizes together with headphones) or poniéndotelos deep inside. But the sound is brutal, makes the silence effect so the outside does not disturb the music.</v>
      </c>
    </row>
    <row r="10366">
      <c r="A10366" s="1">
        <v>4.0</v>
      </c>
      <c r="B10366" s="1" t="s">
        <v>10281</v>
      </c>
      <c r="C10366" t="str">
        <f>IFERROR(__xludf.DUMMYFUNCTION("GOOGLETRANSLATE(B10366, ""es"", ""en"")"),"Customer I bought yesterday and received today, the faster I love imposible.El model also not very seen, I have two other casios and as for the material I look better, but I still like mucho.Viene in its original box and well packaged")</f>
        <v>Customer I bought yesterday and received today, the faster I love imposible.El model also not very seen, I have two other casios and as for the material I look better, but I still like mucho.Viene in its original box and well packaged</v>
      </c>
    </row>
    <row r="10367">
      <c r="A10367" s="1">
        <v>4.0</v>
      </c>
      <c r="B10367" s="1" t="s">
        <v>10282</v>
      </c>
      <c r="C10367" t="str">
        <f>IFERROR(__xludf.DUMMYFUNCTION("GOOGLETRANSLATE(B10367, ""es"", ""en"")"),"They are not bad. Even I tried. For now I can say they are very intuitive. Easy to use touch. They do not fall running or give any problem in training. Sometimes it as a little glitch that makes you hear a headset, then the other and then both, but hardly"&amp;" a matter of a few seconds (although it has happened to me repeatedly and mobile in your pocket). The great audio call is heard, but the microphone is heard a little off. I wanted them to run and do their job well, but I have yet to try a little more to s"&amp;"ee if the issue of interference continues or not. It would be nice if the instructions come in Spanish. Because some things I have had to look on youtube tutorials and reveews.")</f>
        <v>They are not bad. Even I tried. For now I can say they are very intuitive. Easy to use touch. They do not fall running or give any problem in training. Sometimes it as a little glitch that makes you hear a headset, then the other and then both, but hardly a matter of a few seconds (although it has happened to me repeatedly and mobile in your pocket). The great audio call is heard, but the microphone is heard a little off. I wanted them to run and do their job well, but I have yet to try a little more to see if the issue of interference continues or not. It would be nice if the instructions come in Spanish. Because some things I have had to look on youtube tutorials and reveews.</v>
      </c>
    </row>
    <row r="10368">
      <c r="A10368" s="1">
        <v>4.0</v>
      </c>
      <c r="B10368" s="1" t="s">
        <v>10283</v>
      </c>
      <c r="C10368" t="str">
        <f>IFERROR(__xludf.DUMMYFUNCTION("GOOGLETRANSLATE(B10368, ""es"", ""en"")"),"After a month I still click and go cycling every day mase least 50 km. Profucto day a success the moment is very well planned meets product hope to have enough time, within 6 months'll say again I like new")</f>
        <v>After a month I still click and go cycling every day mase least 50 km. Profucto day a success the moment is very well planned meets product hope to have enough time, within 6 months'll say again I like new</v>
      </c>
    </row>
    <row r="10369">
      <c r="A10369" s="1">
        <v>5.0</v>
      </c>
      <c r="B10369" s="1" t="s">
        <v>10284</v>
      </c>
      <c r="C10369" t="str">
        <f>IFERROR(__xludf.DUMMYFUNCTION("GOOGLETRANSLATE(B10369, ""es"", ""en"")"),"Good quality very happy pants, something fine but it is normal for the type of fabric that Nike dry. Very satisfied")</f>
        <v>Good quality very happy pants, something fine but it is normal for the type of fabric that Nike dry. Very satisfied</v>
      </c>
    </row>
    <row r="10370">
      <c r="A10370" s="1">
        <v>5.0</v>
      </c>
      <c r="B10370" s="1" t="s">
        <v>10285</v>
      </c>
      <c r="C10370" t="str">
        <f>IFERROR(__xludf.DUMMYFUNCTION("GOOGLETRANSLATE(B10370, ""es"", ""en"")"),"A perfect blender. Personally, I use the mixer to beat. Never use accessories that usually bring. For use I give is a great mixer. Fast, creates currents within the glass beater, so everything you throw passes through the blades, is fast and has a suffici"&amp;"ent power. It is very easy to use and very safe. It has a continuous speed adjustment, with 21 brands and turbo speed. For me, a good buy.")</f>
        <v>A perfect blender. Personally, I use the mixer to beat. Never use accessories that usually bring. For use I give is a great mixer. Fast, creates currents within the glass beater, so everything you throw passes through the blades, is fast and has a sufficient power. It is very easy to use and very safe. It has a continuous speed adjustment, with 21 brands and turbo speed. For me, a good buy.</v>
      </c>
    </row>
    <row r="10371">
      <c r="A10371" s="1">
        <v>5.0</v>
      </c>
      <c r="B10371" s="1" t="s">
        <v>10286</v>
      </c>
      <c r="C10371" t="str">
        <f>IFERROR(__xludf.DUMMYFUNCTION("GOOGLETRANSLATE(B10371, ""es"", ""en"")"),"I like it I liked, is the 2nd edifice q buy, the other gave xq had fallen in love él..😂 This is mine ... It's not heavy or upset me. I adjusted well and I strap is comfortable. Q attached photos will help undecided How ..")</f>
        <v>I like it I liked, is the 2nd edifice q buy, the other gave xq had fallen in love él..😂 This is mine ... It's not heavy or upset me. I adjusted well and I strap is comfortable. Q attached photos will help undecided How ..</v>
      </c>
    </row>
    <row r="10372">
      <c r="A10372" s="1">
        <v>5.0</v>
      </c>
      <c r="B10372" s="1" t="s">
        <v>10287</v>
      </c>
      <c r="C10372" t="str">
        <f>IFERROR(__xludf.DUMMYFUNCTION("GOOGLETRANSLATE(B10372, ""es"", ""en"")"),"All very good, I really like this relog Very happy")</f>
        <v>All very good, I really like this relog Very happy</v>
      </c>
    </row>
    <row r="10373">
      <c r="A10373" s="1">
        <v>5.0</v>
      </c>
      <c r="B10373" s="1" t="s">
        <v>10288</v>
      </c>
      <c r="C10373" t="str">
        <f>IFERROR(__xludf.DUMMYFUNCTION("GOOGLETRANSLATE(B10373, ""es"", ""en"")"),"No catch smells great, the only thing I see is that when something is a little older and want to grab power will not weighing but otherwise no complaints!")</f>
        <v>No catch smells great, the only thing I see is that when something is a little older and want to grab power will not weighing but otherwise no complaints!</v>
      </c>
    </row>
    <row r="10374">
      <c r="A10374" s="1">
        <v>5.0</v>
      </c>
      <c r="B10374" s="1" t="s">
        <v>10289</v>
      </c>
      <c r="C10374" t="str">
        <f>IFERROR(__xludf.DUMMYFUNCTION("GOOGLETRANSLATE(B10374, ""es"", ""en"")"),"SD price of laughter is one of the best SD quality / price ratio.")</f>
        <v>SD price of laughter is one of the best SD quality / price ratio.</v>
      </c>
    </row>
    <row r="10375">
      <c r="A10375" s="1">
        <v>5.0</v>
      </c>
      <c r="B10375" s="1" t="s">
        <v>10290</v>
      </c>
      <c r="C10375" t="str">
        <f>IFERROR(__xludf.DUMMYFUNCTION("GOOGLETRANSLATE(B10375, ""es"", ""en"")"),"A good coffee house at an unbeatable price spoiled me a coffee capsules and think about buying a espresso machine type but wanted to spend too much money on it. Then we saw this coffee with an unbeatable price and had everything I would ask such a coffee,"&amp;" 20 bars and over a thousand watts of power to quickly heat water. Others saw did not exceed 900 watts or did not reach the fifteen bars. So we decided quickly for her, the model is pretty conminándola black with orange plastic abounds but the skimmer is "&amp;"metallic. Its operation is very simple, touch the button and wait until it stops blinking, while the dipper of one or two cups is filled with coffee and tightened a little. cups are placed and played back control of one or two cups, the coffee comes out i"&amp;"mmediately, twenty seconds a cup and forty seconds, two cups. If you want more water well because coffee is too strong or because like very loose then uses manual control with its corresponding lucecita blue and is already a good coffee with foam. A hot t"&amp;"ip for good the best is on again in the morning first thing then do not need to pre-heat, heat the milk and finally make coffee. The cup of coffee is a little hard at the beginning, we must take some care with his arm, then when practice gets no problems."&amp;" Porúltimo want to highlight the great service to the customer that the company, I came with a defective coffee dipper, I sent an email through Amazon and I answered quickly, quickly sending me another dipper that have already premiered. In short a great "&amp;"purchase.")</f>
        <v>A good coffee house at an unbeatable price spoiled me a coffee capsules and think about buying a espresso machine type but wanted to spend too much money on it. Then we saw this coffee with an unbeatable price and had everything I would ask such a coffee, 20 bars and over a thousand watts of power to quickly heat water. Others saw did not exceed 900 watts or did not reach the fifteen bars. So we decided quickly for her, the model is pretty conminándola black with orange plastic abounds but the skimmer is metallic. Its operation is very simple, touch the button and wait until it stops blinking, while the dipper of one or two cups is filled with coffee and tightened a little. cups are placed and played back control of one or two cups, the coffee comes out immediately, twenty seconds a cup and forty seconds, two cups. If you want more water well because coffee is too strong or because like very loose then uses manual control with its corresponding lucecita blue and is already a good coffee with foam. A hot tip for good the best is on again in the morning first thing then do not need to pre-heat, heat the milk and finally make coffee. The cup of coffee is a little hard at the beginning, we must take some care with his arm, then when practice gets no problems. Porúltimo want to highlight the great service to the customer that the company, I came with a defective coffee dipper, I sent an email through Amazon and I answered quickly, quickly sending me another dipper that have already premiered. In short a great purchase.</v>
      </c>
    </row>
    <row r="10376">
      <c r="A10376" s="1">
        <v>5.0</v>
      </c>
      <c r="B10376" s="1" t="s">
        <v>10291</v>
      </c>
      <c r="C10376" t="str">
        <f>IFERROR(__xludf.DUMMYFUNCTION("GOOGLETRANSLATE(B10376, ""es"", ""en"")"),"Super super useful massager massager with two rotational positions, heat option. Very easy to use, put it on the neck and you put your arms if you want to notice more pressure just enough to push harder with your arms, you can go down from the neck to the"&amp;" lower back. Very good for removing muscle tension and descontracturar. Unbeatable value for money.")</f>
        <v>Super super useful massager massager with two rotational positions, heat option. Very easy to use, put it on the neck and you put your arms if you want to notice more pressure just enough to push harder with your arms, you can go down from the neck to the lower back. Very good for removing muscle tension and descontracturar. Unbeatable value for money.</v>
      </c>
    </row>
    <row r="10377">
      <c r="A10377" s="1">
        <v>5.0</v>
      </c>
      <c r="B10377" s="1" t="s">
        <v>10292</v>
      </c>
      <c r="C10377" t="str">
        <f>IFERROR(__xludf.DUMMYFUNCTION("GOOGLETRANSLATE(B10377, ""es"", ""en"")"),"Llego knocker I expected good quality")</f>
        <v>Llego knocker I expected good quality</v>
      </c>
    </row>
    <row r="10378">
      <c r="A10378" s="1">
        <v>5.0</v>
      </c>
      <c r="B10378" s="1" t="s">
        <v>10293</v>
      </c>
      <c r="C10378" t="str">
        <f>IFERROR(__xludf.DUMMYFUNCTION("GOOGLETRANSLATE(B10378, ""es"", ""en"")"),"Great adventure book aged to create stories with pictures and drawings, also with calligraphy ... Good Value")</f>
        <v>Great adventure book aged to create stories with pictures and drawings, also with calligraphy ... Good Value</v>
      </c>
    </row>
    <row r="10379">
      <c r="A10379" s="1">
        <v>5.0</v>
      </c>
      <c r="B10379" s="1" t="s">
        <v>10294</v>
      </c>
      <c r="C10379" t="str">
        <f>IFERROR(__xludf.DUMMYFUNCTION("GOOGLETRANSLATE(B10379, ""es"", ""en"")"),"Good product The product is fine, the only drawback is that the strap is too short.")</f>
        <v>Good product The product is fine, the only drawback is that the strap is too short.</v>
      </c>
    </row>
    <row r="10380">
      <c r="A10380" s="1">
        <v>5.0</v>
      </c>
      <c r="B10380" s="1" t="s">
        <v>10295</v>
      </c>
      <c r="C10380" t="str">
        <f>IFERROR(__xludf.DUMMYFUNCTION("GOOGLETRANSLATE(B10380, ""es"", ""en"")"),"Very good audio has a very good audio quality, but you better make sure that there is no background noise. It is a very good option for you do not need any pop filter, and has a very good value for money. It comes in a package quite small and seems to be "&amp;"pretty tough. In the box comes a bag to carry it without scratching. A microphone is quite simple and easy to use, and there are several online tutorials and videos with opinions about this product.")</f>
        <v>Very good audio has a very good audio quality, but you better make sure that there is no background noise. It is a very good option for you do not need any pop filter, and has a very good value for money. It comes in a package quite small and seems to be pretty tough. In the box comes a bag to carry it without scratching. A microphone is quite simple and easy to use, and there are several online tutorials and videos with opinions about this product.</v>
      </c>
    </row>
    <row r="10381">
      <c r="A10381" s="1">
        <v>5.0</v>
      </c>
      <c r="B10381" s="1" t="s">
        <v>10296</v>
      </c>
      <c r="C10381" t="str">
        <f>IFERROR(__xludf.DUMMYFUNCTION("GOOGLETRANSLATE(B10381, ""es"", ""en"")"),"Easy to use portable mixer and glass. 2 in 1. In my case, I get up in the morning furta glass, a second mixer and the street with glass ready to drink. Q best part of the blades to be cleaned, no q straining or hook you up to dismantle the device. So that"&amp;" easy and simple.")</f>
        <v>Easy to use portable mixer and glass. 2 in 1. In my case, I get up in the morning furta glass, a second mixer and the street with glass ready to drink. Q best part of the blades to be cleaned, no q straining or hook you up to dismantle the device. So that easy and simple.</v>
      </c>
    </row>
    <row r="10382">
      <c r="A10382" s="1">
        <v>5.0</v>
      </c>
      <c r="B10382" s="1" t="s">
        <v>10297</v>
      </c>
      <c r="C10382" t="str">
        <f>IFERROR(__xludf.DUMMYFUNCTION("GOOGLETRANSLATE(B10382, ""es"", ""en"")"),"Good for a Chinese product is high quality")</f>
        <v>Good for a Chinese product is high quality</v>
      </c>
    </row>
    <row r="10383">
      <c r="A10383" s="1">
        <v>5.0</v>
      </c>
      <c r="B10383" s="1" t="s">
        <v>10298</v>
      </c>
      <c r="C10383" t="str">
        <f>IFERROR(__xludf.DUMMYFUNCTION("GOOGLETRANSLATE(B10383, ""es"", ""en"")"),"FANTASTICO functioning as the first day even though I use every day work pra .. (and not in the office ....) and when I go to tennis / paddle and trouble for already 9 months")</f>
        <v>FANTASTICO functioning as the first day even though I use every day work pra .. (and not in the office ....) and when I go to tennis / paddle and trouble for already 9 months</v>
      </c>
    </row>
    <row r="10384">
      <c r="A10384" s="1">
        <v>5.0</v>
      </c>
      <c r="B10384" s="1" t="s">
        <v>10299</v>
      </c>
      <c r="C10384" t="str">
        <f>IFERROR(__xludf.DUMMYFUNCTION("GOOGLETRANSLATE(B10384, ""es"", ""en"")"),"Original is perfect and fits perfectly into a doll of this size leaving some positions pendant with various accessories. I recommend it.")</f>
        <v>Original is perfect and fits perfectly into a doll of this size leaving some positions pendant with various accessories. I recommend it.</v>
      </c>
    </row>
    <row r="10385">
      <c r="A10385" s="1">
        <v>5.0</v>
      </c>
      <c r="B10385" s="1" t="s">
        <v>10300</v>
      </c>
      <c r="C10385" t="str">
        <f>IFERROR(__xludf.DUMMYFUNCTION("GOOGLETRANSLATE(B10385, ""es"", ""en"")"),"Perfect for jogging or hands-free helmets are good for the sport because the grip will not fall or move within the ear (which is very annoying when you run). The battery lasts long enough and put them in the shell are loaded regularly. As a tip, do not cl"&amp;"imb much the music volume because low rumbles too.")</f>
        <v>Perfect for jogging or hands-free helmets are good for the sport because the grip will not fall or move within the ear (which is very annoying when you run). The battery lasts long enough and put them in the shell are loaded regularly. As a tip, do not climb much the music volume because low rumbles too.</v>
      </c>
    </row>
    <row r="10386">
      <c r="A10386" s="1">
        <v>5.0</v>
      </c>
      <c r="B10386" s="1" t="s">
        <v>10301</v>
      </c>
      <c r="C10386" t="str">
        <f>IFERROR(__xludf.DUMMYFUNCTION("GOOGLETRANSLATE(B10386, ""es"", ""en"")"),"Comodisimos and durable use them to work every day in the hospital where he spent many hours standing and have worn them for guards and guards and is the most comfortable footwear I've ever encountered. 5-6 years ago and that I have and even last without "&amp;"any damage. For me a must. The best.")</f>
        <v>Comodisimos and durable use them to work every day in the hospital where he spent many hours standing and have worn them for guards and guards and is the most comfortable footwear I've ever encountered. 5-6 years ago and that I have and even last without any damage. For me a must. The best.</v>
      </c>
    </row>
    <row r="10387">
      <c r="A10387" s="1">
        <v>2.0</v>
      </c>
      <c r="B10387" s="1" t="s">
        <v>10302</v>
      </c>
      <c r="C10387" t="str">
        <f>IFERROR(__xludf.DUMMYFUNCTION("GOOGLETRANSLATE(B10387, ""es"", ""en"")"),"For dorsal not worth the dorsal bought for racing and not worth. They are very difficult to place. Break easily, they are very small .... For this use not recommend them.")</f>
        <v>For dorsal not worth the dorsal bought for racing and not worth. They are very difficult to place. Break easily, they are very small .... For this use not recommend them.</v>
      </c>
    </row>
    <row r="10388">
      <c r="A10388" s="1">
        <v>3.0</v>
      </c>
      <c r="B10388" s="1" t="s">
        <v>10303</v>
      </c>
      <c r="C10388" t="str">
        <f>IFERROR(__xludf.DUMMYFUNCTION("GOOGLETRANSLATE(B10388, ""es"", ""en"")"),"Prontl arrived Okay, but expected better")</f>
        <v>Prontl arrived Okay, but expected better</v>
      </c>
    </row>
    <row r="10389">
      <c r="A10389" s="1">
        <v>3.0</v>
      </c>
      <c r="B10389" s="1" t="s">
        <v>10304</v>
      </c>
      <c r="C10389" t="str">
        <f>IFERROR(__xludf.DUMMYFUNCTION("GOOGLETRANSLATE(B10389, ""es"", ""en"")"),"Its departments is ideal for travel and take the necessary action. But I do not like the extent of the belt. Too short to carry the bag Cross")</f>
        <v>Its departments is ideal for travel and take the necessary action. But I do not like the extent of the belt. Too short to carry the bag Cross</v>
      </c>
    </row>
    <row r="10390">
      <c r="A10390" s="1">
        <v>1.0</v>
      </c>
      <c r="B10390" s="1" t="s">
        <v>10305</v>
      </c>
      <c r="C10390" t="str">
        <f>IFERROR(__xludf.DUMMYFUNCTION("GOOGLETRANSLATE(B10390, ""es"", ""en"")"),"They do not work properly The product looks good quality, but there is no use continuously since communication is cut between the two headphones, and therefore will not serve. I give it back.")</f>
        <v>They do not work properly The product looks good quality, but there is no use continuously since communication is cut between the two headphones, and therefore will not serve. I give it back.</v>
      </c>
    </row>
    <row r="10391">
      <c r="A10391" s="1">
        <v>1.0</v>
      </c>
      <c r="B10391" s="1" t="s">
        <v>10306</v>
      </c>
      <c r="C10391" t="str">
        <f>IFERROR(__xludf.DUMMYFUNCTION("GOOGLETRANSLATE(B10391, ""es"", ""en"")"),"Very big. Too big. It has been minprimera back on Amazon.")</f>
        <v>Very big. Too big. It has been minprimera back on Amazon.</v>
      </c>
    </row>
    <row r="10392">
      <c r="A10392" s="1">
        <v>4.0</v>
      </c>
      <c r="B10392" s="1" t="s">
        <v>10307</v>
      </c>
      <c r="C10392" t="str">
        <f>IFERROR(__xludf.DUMMYFUNCTION("GOOGLETRANSLATE(B10392, ""es"", ""en"")"),"Happy with purchase. Mixer amply fulfills its function. Shreds much fruit, nuts and solid elements that you take. The only but I find is that when you clean the pot is too narrow to wash easily. You need a loofah associated with a stick or something. Stil"&amp;"l I recommend it. Since both finishing materials like textured finish and juices own worth.")</f>
        <v>Happy with purchase. Mixer amply fulfills its function. Shreds much fruit, nuts and solid elements that you take. The only but I find is that when you clean the pot is too narrow to wash easily. You need a loofah associated with a stick or something. Still I recommend it. Since both finishing materials like textured finish and juices own worth.</v>
      </c>
    </row>
    <row r="10393">
      <c r="A10393" s="1">
        <v>4.0</v>
      </c>
      <c r="B10393" s="1" t="s">
        <v>10308</v>
      </c>
      <c r="C10393" t="str">
        <f>IFERROR(__xludf.DUMMYFUNCTION("GOOGLETRANSLATE(B10393, ""es"", ""en"")"),"It works well but is expensive. Little to say about a hard drive, it works very well now, I hope it stays that way, but not to be an SSD seems very expensive.")</f>
        <v>It works well but is expensive. Little to say about a hard drive, it works very well now, I hope it stays that way, but not to be an SSD seems very expensive.</v>
      </c>
    </row>
    <row r="10394">
      <c r="A10394" s="1">
        <v>4.0</v>
      </c>
      <c r="B10394" s="1" t="s">
        <v>10309</v>
      </c>
      <c r="C10394" t="str">
        <f>IFERROR(__xludf.DUMMYFUNCTION("GOOGLETRANSLATE(B10394, ""es"", ""en"")"),"Fulfills its function is fine for cervical massage can even accommodate for other areas (but not the same). Of first is not usually hot, you have to wait a while to begin to emit heat. It is an article right quality / price. It does not replace a physio f"&amp;"or serious issues, but if it helps a lot to cervical contractures postulares relief or minor point.")</f>
        <v>Fulfills its function is fine for cervical massage can even accommodate for other areas (but not the same). Of first is not usually hot, you have to wait a while to begin to emit heat. It is an article right quality / price. It does not replace a physio for serious issues, but if it helps a lot to cervical contractures postulares relief or minor point.</v>
      </c>
    </row>
    <row r="10395">
      <c r="A10395" s="1">
        <v>4.0</v>
      </c>
      <c r="B10395" s="1" t="s">
        <v>10310</v>
      </c>
      <c r="C10395" t="str">
        <f>IFERROR(__xludf.DUMMYFUNCTION("GOOGLETRANSLATE(B10395, ""es"", ""en"")"),"I expected we bought it to support mobile memory and works belongs. It comes with an adapter if you want to download content on your computer or other device that does not accept cards mini")</f>
        <v>I expected we bought it to support mobile memory and works belongs. It comes with an adapter if you want to download content on your computer or other device that does not accept cards mini</v>
      </c>
    </row>
    <row r="10396">
      <c r="A10396" s="1">
        <v>5.0</v>
      </c>
      <c r="B10396" s="1" t="s">
        <v>10311</v>
      </c>
      <c r="C10396" t="str">
        <f>IFERROR(__xludf.DUMMYFUNCTION("GOOGLETRANSLATE(B10396, ""es"", ""en"")"),"Adjustable and comfortable good buy for exercise. Missing just a tad evacuation of sweat, I xo relacion calidad precio ok")</f>
        <v>Adjustable and comfortable good buy for exercise. Missing just a tad evacuation of sweat, I xo relacion calidad precio ok</v>
      </c>
    </row>
    <row r="10397">
      <c r="A10397" s="1">
        <v>5.0</v>
      </c>
      <c r="B10397" s="1" t="s">
        <v>10312</v>
      </c>
      <c r="C10397" t="str">
        <f>IFERROR(__xludf.DUMMYFUNCTION("GOOGLETRANSLATE(B10397, ""es"", ""en"")"),"Ideal for the Adobe package cache. I am dedicated to photography and studied computer science, so I'm interested in powerful equipment to move large files quickly. We find a NVMe M.2 SSD 250GB Kingston midrange've done 2 tests and I'll take the 2nd config"&amp;"uration. First comment that trngo an i7 with 32GB of RAM and dedicated graphics. 1. In the first test I I cloned the hard disk of the operating system on it and really fluency and speed in how it moves around is amazing. Works with cualquierconector m.2, "&amp;"though if you have the NVMe protocol you are going to tousle with speed;) In my case, editing photos and videos, and having already a good SSD installed, it is not a differential I made this improvement speed. 2. The second test was to leave the OS on my "&amp;"original SSD, and use this SSD Kingston dedicated to cache the Adobe package and other programs I use. Some may think it's a waste of hard drive but noticeable change much. He did not have the cache on the same hard disk as the OS and programs, programs s"&amp;"uch as LR, SP and Pr walk much faster than before. Especially noticeable in video editing and batch editing of many files. really I loved, because for very little money you can get some extra speed that is much appreciated. Please note that the motherboar"&amp;"ds medium / low-end do not usually have this type of connector. Better spent very poquino more on a top plate and get a brutal performance. After a few weeks of use works without any error at speeds expected a priori. Fully recommended.")</f>
        <v>Ideal for the Adobe package cache. I am dedicated to photography and studied computer science, so I'm interested in powerful equipment to move large files quickly. We find a NVMe M.2 SSD 250GB Kingston midrange've done 2 tests and I'll take the 2nd configuration. First comment that trngo an i7 with 32GB of RAM and dedicated graphics. 1. In the first test I I cloned the hard disk of the operating system on it and really fluency and speed in how it moves around is amazing. Works with cualquierconector m.2, though if you have the NVMe protocol you are going to tousle with speed;) In my case, editing photos and videos, and having already a good SSD installed, it is not a differential I made this improvement speed. 2. The second test was to leave the OS on my original SSD, and use this SSD Kingston dedicated to cache the Adobe package and other programs I use. Some may think it's a waste of hard drive but noticeable change much. He did not have the cache on the same hard disk as the OS and programs, programs such as LR, SP and Pr walk much faster than before. Especially noticeable in video editing and batch editing of many files. really I loved, because for very little money you can get some extra speed that is much appreciated. Please note that the motherboards medium / low-end do not usually have this type of connector. Better spent very poquino more on a top plate and get a brutal performance. After a few weeks of use works without any error at speeds expected a priori. Fully recommended.</v>
      </c>
    </row>
    <row r="10398">
      <c r="A10398" s="1">
        <v>5.0</v>
      </c>
      <c r="B10398" s="1" t="s">
        <v>10313</v>
      </c>
      <c r="C10398" t="str">
        <f>IFERROR(__xludf.DUMMYFUNCTION("GOOGLETRANSLATE(B10398, ""es"", ""en"")"),"Nice very nice, are padded, the use for the pool and mal.La are not only glue that take a while to dry, but no problems, buy recomwdable")</f>
        <v>Nice very nice, are padded, the use for the pool and mal.La are not only glue that take a while to dry, but no problems, buy recomwdable</v>
      </c>
    </row>
    <row r="10399">
      <c r="A10399" s="1">
        <v>5.0</v>
      </c>
      <c r="B10399" s="1" t="s">
        <v>10314</v>
      </c>
      <c r="C10399" t="str">
        <f>IFERROR(__xludf.DUMMYFUNCTION("GOOGLETRANSLATE(B10399, ""es"", ""en"")"),"Mat has arrived perfectly and time estimate. It fits perfectly to the body've tested a couple of days and it shows")</f>
        <v>Mat has arrived perfectly and time estimate. It fits perfectly to the body've tested a couple of days and it shows</v>
      </c>
    </row>
    <row r="10400">
      <c r="A10400" s="1">
        <v>5.0</v>
      </c>
      <c r="B10400" s="1" t="s">
        <v>10315</v>
      </c>
      <c r="C10400" t="str">
        <f>IFERROR(__xludf.DUMMYFUNCTION("GOOGLETRANSLATE(B10400, ""es"", ""en"")"),"Ideal for PS4 disc I purchased this laptop, with the aim of expanding the storage capacity of my PS4 500GB to 2TB. It works perfectly on the console. And it shows improving performance. Installation and loading times of games has been reduced, relative to"&amp;" the disk serial console.")</f>
        <v>Ideal for PS4 disc I purchased this laptop, with the aim of expanding the storage capacity of my PS4 500GB to 2TB. It works perfectly on the console. And it shows improving performance. Installation and loading times of games has been reduced, relative to the disk serial console.</v>
      </c>
    </row>
    <row r="10401">
      <c r="A10401" s="1">
        <v>5.0</v>
      </c>
      <c r="B10401" s="1" t="s">
        <v>10316</v>
      </c>
      <c r="C10401" t="str">
        <f>IFERROR(__xludf.DUMMYFUNCTION("GOOGLETRANSLATE(B10401, ""es"", ""en"")"),"Cool Comfortable, rigid, perfect fit even for a narrow foot like mine, perfect size 41 1/3. Solomon never disappoint me.")</f>
        <v>Cool Comfortable, rigid, perfect fit even for a narrow foot like mine, perfect size 41 1/3. Solomon never disappoint me.</v>
      </c>
    </row>
    <row r="10402">
      <c r="A10402" s="1">
        <v>5.0</v>
      </c>
      <c r="B10402" s="1" t="s">
        <v>10317</v>
      </c>
      <c r="C10402" t="str">
        <f>IFERROR(__xludf.DUMMYFUNCTION("GOOGLETRANSLATE(B10402, ""es"", ""en"")"),"Perfect Genial! After reading some negative comments about the package I ventured to buy it and I'm very happy. He came very well packaged and protected, without any damage. The size is perfect and writes very well (I'm using bic pen), use it to practice "&amp;"oral defense of the opposition. The draft fails to convince me, but with a dry cloth stays new. Yes, I have failed to properly fit the ledge it brings, but has not yet fallen me. Bring two hooks to hang on the wall and looks good. However, since I have sm"&amp;"all pieces of double-sided tape on the bottom corners, down in the center and in the center of the sides to completely secure and is wonderful. I recommend it 100%. Amazon basic as ever, giving the spot.")</f>
        <v>Perfect Genial! After reading some negative comments about the package I ventured to buy it and I'm very happy. He came very well packaged and protected, without any damage. The size is perfect and writes very well (I'm using bic pen), use it to practice oral defense of the opposition. The draft fails to convince me, but with a dry cloth stays new. Yes, I have failed to properly fit the ledge it brings, but has not yet fallen me. Bring two hooks to hang on the wall and looks good. However, since I have small pieces of double-sided tape on the bottom corners, down in the center and in the center of the sides to completely secure and is wonderful. I recommend it 100%. Amazon basic as ever, giving the spot.</v>
      </c>
    </row>
    <row r="10403">
      <c r="A10403" s="1">
        <v>5.0</v>
      </c>
      <c r="B10403" s="1" t="s">
        <v>10318</v>
      </c>
      <c r="C10403" t="str">
        <f>IFERROR(__xludf.DUMMYFUNCTION("GOOGLETRANSLATE(B10403, ""es"", ""en"")"),"A spectacular invention. An electric toothbrush to clean the terrific crystals, there is no risk of accident not having to use stairs and has some interchangeable heads for each brushes feature strong and resilient bristles, is super clean comfortable cry"&amp;"stals anywhere on the floor with the handle I get easily extensible very happy with my cleaner electric toothbrush.")</f>
        <v>A spectacular invention. An electric toothbrush to clean the terrific crystals, there is no risk of accident not having to use stairs and has some interchangeable heads for each brushes feature strong and resilient bristles, is super clean comfortable crystals anywhere on the floor with the handle I get easily extensible very happy with my cleaner electric toothbrush.</v>
      </c>
    </row>
    <row r="10404">
      <c r="A10404" s="1">
        <v>5.0</v>
      </c>
      <c r="B10404" s="1" t="s">
        <v>10319</v>
      </c>
      <c r="C10404" t="str">
        <f>IFERROR(__xludf.DUMMYFUNCTION("GOOGLETRANSLATE(B10404, ""es"", ""en"")"),"Well 😀")</f>
        <v>Well 😀</v>
      </c>
    </row>
    <row r="10405">
      <c r="A10405" s="1">
        <v>5.0</v>
      </c>
      <c r="B10405" s="1" t="s">
        <v>10320</v>
      </c>
      <c r="C10405" t="str">
        <f>IFERROR(__xludf.DUMMYFUNCTION("GOOGLETRANSLATE(B10405, ""es"", ""en"")"),"Grantia insured The product has a solid appearance and good quality; However the power button to the soon sank inside the handset. It made aware of the distribiidor is response it was excellent, 10, proceeded to refund the amount to acquire this or any ot"&amp;"her product from your store. a guarantee of professionalism.")</f>
        <v>Grantia insured The product has a solid appearance and good quality; However the power button to the soon sank inside the handset. It made aware of the distribiidor is response it was excellent, 10, proceeded to refund the amount to acquire this or any other product from your store. a guarantee of professionalism.</v>
      </c>
    </row>
    <row r="10406">
      <c r="A10406" s="1">
        <v>5.0</v>
      </c>
      <c r="B10406" s="1" t="s">
        <v>10321</v>
      </c>
      <c r="C10406" t="str">
        <f>IFERROR(__xludf.DUMMYFUNCTION("GOOGLETRANSLATE(B10406, ""es"", ""en"")"),"Great shirt")</f>
        <v>Great shirt</v>
      </c>
    </row>
    <row r="10407">
      <c r="A10407" s="1">
        <v>5.0</v>
      </c>
      <c r="B10407" s="1" t="s">
        <v>10322</v>
      </c>
      <c r="C10407" t="str">
        <f>IFERROR(__xludf.DUMMYFUNCTION("GOOGLETRANSLATE(B10407, ""es"", ""en"")"),"My favorite for years I've spent years repeating buying these helmets of different colors. If you are looking for a good and a good price helmets. These are my favorites. They are best for: listening to music, playing video games without being charged ear"&amp;"s. They are not big and comfortable. They have a nice pads inside. All positive. Yes yes you are looking for something professional and would stay behind. I never get tired")</f>
        <v>My favorite for years I've spent years repeating buying these helmets of different colors. If you are looking for a good and a good price helmets. These are my favorites. They are best for: listening to music, playing video games without being charged ears. They are not big and comfortable. They have a nice pads inside. All positive. Yes yes you are looking for something professional and would stay behind. I never get tired</v>
      </c>
    </row>
    <row r="10408">
      <c r="A10408" s="1">
        <v>5.0</v>
      </c>
      <c r="B10408" s="1" t="s">
        <v>10323</v>
      </c>
      <c r="C10408" t="str">
        <f>IFERROR(__xludf.DUMMYFUNCTION("GOOGLETRANSLATE(B10408, ""es"", ""en"")"),"Perfect perfect good materials and easy to catch the child, is a fallen a lot and not broken")</f>
        <v>Perfect perfect good materials and easy to catch the child, is a fallen a lot and not broken</v>
      </c>
    </row>
    <row r="10409">
      <c r="A10409" s="1">
        <v>5.0</v>
      </c>
      <c r="B10409" s="1" t="s">
        <v>10324</v>
      </c>
      <c r="C10409" t="str">
        <f>IFERROR(__xludf.DUMMYFUNCTION("GOOGLETRANSLATE(B10409, ""es"", ""en"")"),"Very good very happy with the purchase, was to give and loved my husband, ideal size, neither too big nor too small, lots of little pockets to organize things and canvas fabric strong, looks good quality.")</f>
        <v>Very good very happy with the purchase, was to give and loved my husband, ideal size, neither too big nor too small, lots of little pockets to organize things and canvas fabric strong, looks good quality.</v>
      </c>
    </row>
    <row r="10410">
      <c r="A10410" s="1">
        <v>5.0</v>
      </c>
      <c r="B10410" s="1" t="s">
        <v>10325</v>
      </c>
      <c r="C10410" t="str">
        <f>IFERROR(__xludf.DUMMYFUNCTION("GOOGLETRANSLATE(B10410, ""es"", ""en"")"),"They sound great and perfect sound battery lasts much")</f>
        <v>They sound great and perfect sound battery lasts much</v>
      </c>
    </row>
    <row r="10411">
      <c r="A10411" s="1">
        <v>5.0</v>
      </c>
      <c r="B10411" s="1" t="s">
        <v>10326</v>
      </c>
      <c r="C10411" t="str">
        <f>IFERROR(__xludf.DUMMYFUNCTION("GOOGLETRANSLATE(B10411, ""es"", ""en"")"),"Beautiful pendant As with other products of this brand earlier I mind bought their details and quality are very good, its excellent presentation in the box, inside we find the pendant, a chamois, a carrying bag and a ribbon brand . Necklace and pendant ar"&amp;"e 925 silver and my wife loves their design.")</f>
        <v>Beautiful pendant As with other products of this brand earlier I mind bought their details and quality are very good, its excellent presentation in the box, inside we find the pendant, a chamois, a carrying bag and a ribbon brand . Necklace and pendant are 925 silver and my wife loves their design.</v>
      </c>
    </row>
    <row r="10412">
      <c r="A10412" s="1">
        <v>5.0</v>
      </c>
      <c r="B10412" s="1" t="s">
        <v>10327</v>
      </c>
      <c r="C10412" t="str">
        <f>IFERROR(__xludf.DUMMYFUNCTION("GOOGLETRANSLATE(B10412, ""es"", ""en"")"),"Good value for money. It works perfectly, is very useful and small size is very suitable if you do not have a very large surface.")</f>
        <v>Good value for money. It works perfectly, is very useful and small size is very suitable if you do not have a very large surface.</v>
      </c>
    </row>
    <row r="10413">
      <c r="A10413" s="1">
        <v>5.0</v>
      </c>
      <c r="B10413" s="1" t="s">
        <v>10328</v>
      </c>
      <c r="C10413" t="str">
        <f>IFERROR(__xludf.DUMMYFUNCTION("GOOGLETRANSLATE(B10413, ""es"", ""en"")"),"The best companion for sports Great article. With 60 grams, hardly notice that you're wearing, they are very comfortable and listening to music battery lasts more than 4 hours (tested for 2 days). The scope is any bluetooth, 10m, and while I clean the yar"&amp;"d left the mobile home inside and listening to death. They are loaded in their own box seems a wise move, so you do not lose them. Pros: -Weight super light, you hardly notice. 'Do not sweat the ears. -Suenan quite well with a moderate volume about 2 hour"&amp;"s (no need to put a stop) -Time normal load. Cons: -DE moment nothing in the case is very comfortable coming to be part of the headset battery to charge. Hard enough, as two or three loads for how small it is and forget to reload. I finish I always use th"&amp;"e get into the case and are always 100%, which with you have to put charge, who does not carry past is that when doing sport 20min runs out of battery. I highly recommend them and also for its price and I would think if you were to buy again.")</f>
        <v>The best companion for sports Great article. With 60 grams, hardly notice that you're wearing, they are very comfortable and listening to music battery lasts more than 4 hours (tested for 2 days). The scope is any bluetooth, 10m, and while I clean the yard left the mobile home inside and listening to death. They are loaded in their own box seems a wise move, so you do not lose them. Pros: -Weight super light, you hardly notice. 'Do not sweat the ears. -Suenan quite well with a moderate volume about 2 hours (no need to put a stop) -Time normal load. Cons: -DE moment nothing in the case is very comfortable coming to be part of the headset battery to charge. Hard enough, as two or three loads for how small it is and forget to reload. I finish I always use the get into the case and are always 100%, which with you have to put charge, who does not carry past is that when doing sport 20min runs out of battery. I highly recommend them and also for its price and I would think if you were to buy again.</v>
      </c>
    </row>
    <row r="10414">
      <c r="A10414" s="1">
        <v>5.0</v>
      </c>
      <c r="B10414" s="1" t="s">
        <v>10329</v>
      </c>
      <c r="C10414" t="str">
        <f>IFERROR(__xludf.DUMMYFUNCTION("GOOGLETRANSLATE(B10414, ""es"", ""en"")"),"It is a small wonder is heard fable, teeny just enough to fit in the ear pavilion without disturbing without falling, is perfectly fitted. When I answer a call is not great, so let us fool, but you hear and understand you, just enough to close the pingani"&amp;"llo and keep talking on the phone. I recommend it. I purchased 5")</f>
        <v>It is a small wonder is heard fable, teeny just enough to fit in the ear pavilion without disturbing without falling, is perfectly fitted. When I answer a call is not great, so let us fool, but you hear and understand you, just enough to close the pinganillo and keep talking on the phone. I recommend it. I purchased 5</v>
      </c>
    </row>
    <row r="10415">
      <c r="A10415" s="1">
        <v>2.0</v>
      </c>
      <c r="B10415" s="1" t="s">
        <v>10330</v>
      </c>
      <c r="C10415" t="str">
        <f>IFERROR(__xludf.DUMMYFUNCTION("GOOGLETRANSLATE(B10415, ""es"", ""en"")"),"Improvable is magnetised, I like, but does not erase all of the writing, unless it is recent. The draft gets dirty and I stain the fridge because just the party with which it is deleted that is attached to the refrigerator.")</f>
        <v>Improvable is magnetised, I like, but does not erase all of the writing, unless it is recent. The draft gets dirty and I stain the fridge because just the party with which it is deleted that is attached to the refrigerator.</v>
      </c>
    </row>
    <row r="10416">
      <c r="A10416" s="1">
        <v>3.0</v>
      </c>
      <c r="B10416" s="1" t="s">
        <v>10331</v>
      </c>
      <c r="C10416" t="str">
        <f>IFERROR(__xludf.DUMMYFUNCTION("GOOGLETRANSLATE(B10416, ""es"", ""en"")"),"I expected more The product meets perfectly with the description, but they are small, fragile and with little force. The purchase was a mistake of mine who assume, for there is nothing that does not make it clear in the detail they provide. Thick with som"&amp;"ething I'm sure that would have been more useful.")</f>
        <v>I expected more The product meets perfectly with the description, but they are small, fragile and with little force. The purchase was a mistake of mine who assume, for there is nothing that does not make it clear in the detail they provide. Thick with something I'm sure that would have been more useful.</v>
      </c>
    </row>
    <row r="10417">
      <c r="A10417" s="1">
        <v>3.0</v>
      </c>
      <c r="B10417" s="1" t="s">
        <v>10332</v>
      </c>
      <c r="C10417" t="str">
        <f>IFERROR(__xludf.DUMMYFUNCTION("GOOGLETRANSLATE(B10417, ""es"", ""en"")"),"Average seen people complained that the stature he had asked was bought a little bigger and now I go big size, otherwise fine. As expected, go.")</f>
        <v>Average seen people complained that the stature he had asked was bought a little bigger and now I go big size, otherwise fine. As expected, go.</v>
      </c>
    </row>
    <row r="10418">
      <c r="A10418" s="1">
        <v>1.0</v>
      </c>
      <c r="B10418" s="1" t="s">
        <v>10333</v>
      </c>
      <c r="C10418" t="str">
        <f>IFERROR(__xludf.DUMMYFUNCTION("GOOGLETRANSLATE(B10418, ""es"", ""en"")"),"Bethlehem has been disappointing to buy this product. Effect produces neither hot nor cold. Note also no relief or improvement of any kind. It could be a simple moisturizer.")</f>
        <v>Bethlehem has been disappointing to buy this product. Effect produces neither hot nor cold. Note also no relief or improvement of any kind. It could be a simple moisturizer.</v>
      </c>
    </row>
    <row r="10419">
      <c r="A10419" s="1">
        <v>1.0</v>
      </c>
      <c r="B10419" s="1" t="s">
        <v>10334</v>
      </c>
      <c r="C10419" t="str">
        <f>IFERROR(__xludf.DUMMYFUNCTION("GOOGLETRANSLATE(B10419, ""es"", ""en"")"),"meaner than the plague not to buy it, this clear?")</f>
        <v>meaner than the plague not to buy it, this clear?</v>
      </c>
    </row>
    <row r="10420">
      <c r="A10420" s="1">
        <v>4.0</v>
      </c>
      <c r="B10420" s="1" t="s">
        <v>10335</v>
      </c>
      <c r="C10420" t="str">
        <f>IFERROR(__xludf.DUMMYFUNCTION("GOOGLETRANSLATE(B10420, ""es"", ""en"")"),"Panama boot boots I liked, but my foot still has not been done to them. I've got something big.")</f>
        <v>Panama boot boots I liked, but my foot still has not been done to them. I've got something big.</v>
      </c>
    </row>
    <row r="10421">
      <c r="A10421" s="1">
        <v>4.0</v>
      </c>
      <c r="B10421" s="1" t="s">
        <v>10336</v>
      </c>
      <c r="C10421" t="str">
        <f>IFERROR(__xludf.DUMMYFUNCTION("GOOGLETRANSLATE(B10421, ""es"", ""en"")"),"nice design are very nice but thinner than I expected. Locking nut is very small. Looks good on the ear, in my case they have the perfect measure")</f>
        <v>nice design are very nice but thinner than I expected. Locking nut is very small. Looks good on the ear, in my case they have the perfect measure</v>
      </c>
    </row>
    <row r="10422">
      <c r="A10422" s="1">
        <v>4.0</v>
      </c>
      <c r="B10422" s="1" t="s">
        <v>10337</v>
      </c>
      <c r="C10422" t="str">
        <f>IFERROR(__xludf.DUMMYFUNCTION("GOOGLETRANSLATE(B10422, ""es"", ""en"")"),"Transpitables and light are very light and breathable. Second skin feel, perfect for indoor fitness workouts. In addition, they dry very fast.")</f>
        <v>Transpitables and light are very light and breathable. Second skin feel, perfect for indoor fitness workouts. In addition, they dry very fast.</v>
      </c>
    </row>
    <row r="10423">
      <c r="A10423" s="1">
        <v>4.0</v>
      </c>
      <c r="B10423" s="1" t="s">
        <v>10338</v>
      </c>
      <c r="C10423" t="str">
        <f>IFERROR(__xludf.DUMMYFUNCTION("GOOGLETRANSLATE(B10423, ""es"", ""en"")"),"What it looks small, simple and with the specifications. I have come without any problem and so I've been using the same works well than other memory sticks. Its price is good without being a bargain. It is true that their small size makes you have to be "&amp;"careful with him and might not be ideal for children or teenagers clueless, for example. Although this can be solved by putting it on a key chain or a belt.")</f>
        <v>What it looks small, simple and with the specifications. I have come without any problem and so I've been using the same works well than other memory sticks. Its price is good without being a bargain. It is true that their small size makes you have to be careful with him and might not be ideal for children or teenagers clueless, for example. Although this can be solved by putting it on a key chain or a belt.</v>
      </c>
    </row>
    <row r="10424">
      <c r="A10424" s="1">
        <v>4.0</v>
      </c>
      <c r="B10424" s="1" t="s">
        <v>10339</v>
      </c>
      <c r="C10424" t="str">
        <f>IFERROR(__xludf.DUMMYFUNCTION("GOOGLETRANSLATE(B10424, ""es"", ""en"")"),"Satisfied. It goes very well but if you get too close mates, otherwise it is going very well and you hear and synchronizes perfectly. The battery lasts about 3 hours.")</f>
        <v>Satisfied. It goes very well but if you get too close mates, otherwise it is going very well and you hear and synchronizes perfectly. The battery lasts about 3 hours.</v>
      </c>
    </row>
    <row r="10425">
      <c r="A10425" s="1">
        <v>5.0</v>
      </c>
      <c r="B10425" s="1" t="s">
        <v>10340</v>
      </c>
      <c r="C10425" t="str">
        <f>IFERROR(__xludf.DUMMYFUNCTION("GOOGLETRANSLATE(B10425, ""es"", ""en"")"),"Good shoes good shoes and very comfortable the would buy. Buy recommended")</f>
        <v>Good shoes good shoes and very comfortable the would buy. Buy recommended</v>
      </c>
    </row>
    <row r="10426">
      <c r="A10426" s="1">
        <v>5.0</v>
      </c>
      <c r="B10426" s="1" t="s">
        <v>10341</v>
      </c>
      <c r="C10426" t="str">
        <f>IFERROR(__xludf.DUMMYFUNCTION("GOOGLETRANSLATE(B10426, ""es"", ""en"")"),"100% reliability works very well, the lifelong minipimer which were our mothers, super reliable, happy with her now.")</f>
        <v>100% reliability works very well, the lifelong minipimer which were our mothers, super reliable, happy with her now.</v>
      </c>
    </row>
    <row r="10427">
      <c r="A10427" s="1">
        <v>5.0</v>
      </c>
      <c r="B10427" s="1" t="s">
        <v>238</v>
      </c>
      <c r="C10427" t="str">
        <f>IFERROR(__xludf.DUMMYFUNCTION("GOOGLETRANSLATE(B10427, ""es"", ""en"")"),"perfect perfect")</f>
        <v>perfect perfect</v>
      </c>
    </row>
    <row r="10428">
      <c r="A10428" s="1">
        <v>5.0</v>
      </c>
      <c r="B10428" s="1" t="s">
        <v>10342</v>
      </c>
      <c r="C10428" t="str">
        <f>IFERROR(__xludf.DUMMYFUNCTION("GOOGLETRANSLATE(B10428, ""es"", ""en"")"),"Comfort Very comfortable, very practical ..")</f>
        <v>Comfort Very comfortable, very practical ..</v>
      </c>
    </row>
    <row r="10429">
      <c r="A10429" s="1">
        <v>5.0</v>
      </c>
      <c r="B10429" s="1" t="s">
        <v>10343</v>
      </c>
      <c r="C10429" t="str">
        <f>IFERROR(__xludf.DUMMYFUNCTION("GOOGLETRANSLATE(B10429, ""es"", ""en"")"),"Complies with what is Connected to PS4 as expanded storage and working properly.")</f>
        <v>Complies with what is Connected to PS4 as expanded storage and working properly.</v>
      </c>
    </row>
    <row r="10430">
      <c r="A10430" s="1">
        <v>5.0</v>
      </c>
      <c r="B10430" s="1" t="s">
        <v>10344</v>
      </c>
      <c r="C10430" t="str">
        <f>IFERROR(__xludf.DUMMYFUNCTION("GOOGLETRANSLATE(B10430, ""es"", ""en"")"),"Value works well")</f>
        <v>Value works well</v>
      </c>
    </row>
    <row r="10431">
      <c r="A10431" s="1">
        <v>5.0</v>
      </c>
      <c r="B10431" s="1" t="s">
        <v>10345</v>
      </c>
      <c r="C10431" t="str">
        <f>IFERROR(__xludf.DUMMYFUNCTION("GOOGLETRANSLATE(B10431, ""es"", ""en"")"),"Elegant and good price I bought them black and brown suede soles ... elegant and original super ... 40 € can not ask for more. Carve perfect and also the ORMA is wide ... 👍🏻👍🏻")</f>
        <v>Elegant and good price I bought them black and brown suede soles ... elegant and original super ... 40 € can not ask for more. Carve perfect and also the ORMA is wide ... 👍🏻👍🏻</v>
      </c>
    </row>
    <row r="10432">
      <c r="A10432" s="1">
        <v>5.0</v>
      </c>
      <c r="B10432" s="1" t="s">
        <v>10346</v>
      </c>
      <c r="C10432" t="str">
        <f>IFERROR(__xludf.DUMMYFUNCTION("GOOGLETRANSLATE(B10432, ""es"", ""en"")"),"I recommend is the second blender I've had is I love it, use it to make pancakes fitness and some other smootie. easily it cleaned and blend very well in seconds, though long noise is normal.")</f>
        <v>I recommend is the second blender I've had is I love it, use it to make pancakes fitness and some other smootie. easily it cleaned and blend very well in seconds, though long noise is normal.</v>
      </c>
    </row>
    <row r="10433">
      <c r="A10433" s="1">
        <v>5.0</v>
      </c>
      <c r="B10433" s="1" t="s">
        <v>10347</v>
      </c>
      <c r="C10433" t="str">
        <f>IFERROR(__xludf.DUMMYFUNCTION("GOOGLETRANSLATE(B10433, ""es"", ""en"")"),"Adjusted good money, is comfortable and perspire. If you take a backpack just by rubbing balls. To make this sport better or for casual wear. It is quite long, pro not bother me")</f>
        <v>Adjusted good money, is comfortable and perspire. If you take a backpack just by rubbing balls. To make this sport better or for casual wear. It is quite long, pro not bother me</v>
      </c>
    </row>
    <row r="10434">
      <c r="A10434" s="1">
        <v>5.0</v>
      </c>
      <c r="B10434" s="1" t="s">
        <v>10348</v>
      </c>
      <c r="C10434" t="str">
        <f>IFERROR(__xludf.DUMMYFUNCTION("GOOGLETRANSLATE(B10434, ""es"", ""en"")"),"Excellent boots, sole slip Son uns boots little heavy, very hot, the sole is not very hard, which makes them very cómadas to walk, but what more me to call attention is that slip really, I've tried in wet on various grounds, asphalt, painting asphalt, til"&amp;"e, grass, earth ... and grab your boots like llevases nails. Use size 45 and have asked the 45 and me this perfect. Failing to see the durability (I imagine it will be much lower than brand boots € 100) give them a 10.")</f>
        <v>Excellent boots, sole slip Son uns boots little heavy, very hot, the sole is not very hard, which makes them very cómadas to walk, but what more me to call attention is that slip really, I've tried in wet on various grounds, asphalt, painting asphalt, tile, grass, earth ... and grab your boots like llevases nails. Use size 45 and have asked the 45 and me this perfect. Failing to see the durability (I imagine it will be much lower than brand boots € 100) give them a 10.</v>
      </c>
    </row>
    <row r="10435">
      <c r="A10435" s="1">
        <v>5.0</v>
      </c>
      <c r="B10435" s="1" t="s">
        <v>10349</v>
      </c>
      <c r="C10435" t="str">
        <f>IFERROR(__xludf.DUMMYFUNCTION("GOOGLETRANSLATE(B10435, ""es"", ""en"")"),"Easy operation Well I bought to take my daughter to the cole because it begins 5 year of primary school and sought a small headset yet resistant, or you know how is the quality of the sound because even not premiered, but my husband coach is said to be ve"&amp;"ry good, as to the esequibles price compared to other brands.")</f>
        <v>Easy operation Well I bought to take my daughter to the cole because it begins 5 year of primary school and sought a small headset yet resistant, or you know how is the quality of the sound because even not premiered, but my husband coach is said to be very good, as to the esequibles price compared to other brands.</v>
      </c>
    </row>
    <row r="10436">
      <c r="A10436" s="1">
        <v>5.0</v>
      </c>
      <c r="B10436" s="1" t="s">
        <v>10350</v>
      </c>
      <c r="C10436" t="str">
        <f>IFERROR(__xludf.DUMMYFUNCTION("GOOGLETRANSLATE(B10436, ""es"", ""en"")"),"Very practical and product, I find it very useful, practical and quick to perform heating water, which meets co expectations and the information they give, this is highly recommended. Cheers")</f>
        <v>Very practical and product, I find it very useful, practical and quick to perform heating water, which meets co expectations and the information they give, this is highly recommended. Cheers</v>
      </c>
    </row>
    <row r="10437">
      <c r="A10437" s="1">
        <v>5.0</v>
      </c>
      <c r="B10437" s="1" t="s">
        <v>1727</v>
      </c>
      <c r="C10437" t="str">
        <f>IFERROR(__xludf.DUMMYFUNCTION("GOOGLETRANSLATE(B10437, ""es"", ""en"")"),"Bureau Bureau")</f>
        <v>Bureau Bureau</v>
      </c>
    </row>
    <row r="10438">
      <c r="A10438" s="1">
        <v>5.0</v>
      </c>
      <c r="B10438" s="1" t="s">
        <v>10351</v>
      </c>
      <c r="C10438" t="str">
        <f>IFERROR(__xludf.DUMMYFUNCTION("GOOGLETRANSLATE(B10438, ""es"", ""en"")"),"Comfortable and practical comfortable, like a slightly rough sport undoubtedly the very best value. I advise this purchase")</f>
        <v>Comfortable and practical comfortable, like a slightly rough sport undoubtedly the very best value. I advise this purchase</v>
      </c>
    </row>
    <row r="10439">
      <c r="A10439" s="1">
        <v>5.0</v>
      </c>
      <c r="B10439" s="1" t="s">
        <v>10352</v>
      </c>
      <c r="C10439" t="str">
        <f>IFERROR(__xludf.DUMMYFUNCTION("GOOGLETRANSLATE(B10439, ""es"", ""en"")"),"Perfect fast")</f>
        <v>Perfect fast</v>
      </c>
    </row>
    <row r="10440">
      <c r="A10440" s="1">
        <v>5.0</v>
      </c>
      <c r="B10440" s="1" t="s">
        <v>10353</v>
      </c>
      <c r="C10440" t="str">
        <f>IFERROR(__xludf.DUMMYFUNCTION("GOOGLETRANSLATE(B10440, ""es"", ""en"")"),"Good crusher good power, which is what I wanted in principle. Other than that I like the new design prevents suction effect that other, as well as generating little splash. At the moment I do not see big advantage that the blades can reach lower than othe"&amp;"r juicers, imagine that something will ... I do not like the security mechanism, you have to drive every time you stop, even if 5 seconds finally, it is a matter of getting used to. Accessories, even though I miss a cover for transparent glass. Other acce"&amp;"ssories good, excellent beater rods, small picador very practical, and glass beater - Cutter accommodate even a good gazpacho. Anyway, good product, and pray that does not carry chip including planned obsolescence.")</f>
        <v>Good crusher good power, which is what I wanted in principle. Other than that I like the new design prevents suction effect that other, as well as generating little splash. At the moment I do not see big advantage that the blades can reach lower than other juicers, imagine that something will ... I do not like the security mechanism, you have to drive every time you stop, even if 5 seconds finally, it is a matter of getting used to. Accessories, even though I miss a cover for transparent glass. Other accessories good, excellent beater rods, small picador very practical, and glass beater - Cutter accommodate even a good gazpacho. Anyway, good product, and pray that does not carry chip including planned obsolescence.</v>
      </c>
    </row>
    <row r="10441">
      <c r="A10441" s="1">
        <v>5.0</v>
      </c>
      <c r="B10441" s="1" t="s">
        <v>10354</v>
      </c>
      <c r="C10441" t="str">
        <f>IFERROR(__xludf.DUMMYFUNCTION("GOOGLETRANSLATE(B10441, ""es"", ""en"")"),"Good buy Hello, my husband was looking for something, because I was used to small purses. This very pleased, because he comes around, zippers are big and strong and the material and good quality. It would be better if the big rope could remove and use the"&amp;" handbag, but what would we buy")</f>
        <v>Good buy Hello, my husband was looking for something, because I was used to small purses. This very pleased, because he comes around, zippers are big and strong and the material and good quality. It would be better if the big rope could remove and use the handbag, but what would we buy</v>
      </c>
    </row>
    <row r="10442">
      <c r="A10442" s="1">
        <v>5.0</v>
      </c>
      <c r="B10442" s="1" t="s">
        <v>10355</v>
      </c>
      <c r="C10442" t="str">
        <f>IFERROR(__xludf.DUMMYFUNCTION("GOOGLETRANSLATE(B10442, ""es"", ""en"")"),"Nice, good and cheap I have them in a few days and well. They are not very big, just the size of the lobe. Perfect for all the days. I have allergies to the jewelry and I can only carry silver and gold. I took them from 3 or 4 days and great times. I've b"&amp;"athed with them and has not gone the color. If they were really bad wounds would have made me allergy ...")</f>
        <v>Nice, good and cheap I have them in a few days and well. They are not very big, just the size of the lobe. Perfect for all the days. I have allergies to the jewelry and I can only carry silver and gold. I took them from 3 or 4 days and great times. I've bathed with them and has not gone the color. If they were really bad wounds would have made me allergy ...</v>
      </c>
    </row>
    <row r="10443">
      <c r="A10443" s="1">
        <v>5.0</v>
      </c>
      <c r="B10443" s="1" t="s">
        <v>10356</v>
      </c>
      <c r="C10443" t="str">
        <f>IFERROR(__xludf.DUMMYFUNCTION("GOOGLETRANSLATE(B10443, ""es"", ""en"")"),"Backpack chest is a very practical backpack, with many zippers and quite spacious. You have to put water bottle that comes in handy to have on the scope. It has a zipper down everything for umbrellas, but has to be one very small. It is great for hiking a"&amp;"nd whatever.")</f>
        <v>Backpack chest is a very practical backpack, with many zippers and quite spacious. You have to put water bottle that comes in handy to have on the scope. It has a zipper down everything for umbrellas, but has to be one very small. It is great for hiking and whatever.</v>
      </c>
    </row>
    <row r="10444">
      <c r="A10444" s="1">
        <v>2.0</v>
      </c>
      <c r="B10444" s="1" t="s">
        <v>10357</v>
      </c>
      <c r="C10444" t="str">
        <f>IFERROR(__xludf.DUMMYFUNCTION("GOOGLETRANSLATE(B10444, ""es"", ""en"")"),"Be careful what you buy is an iron over the truth. I would not be fooled by the alleged ""progress"" in this regard. I come from a 1800W and considering that this is 2800W I see no difference .. Well yes, keep in mind that clothing brand, I guess the more"&amp;" powerful (hopefully not the sole) . Regarding the ""warning sound and visual"" again there is no progress: The ""visual"" warning is off the led when it reaches the temperature, and the message ""loud"" I understand that due to the ""click"" of the switc"&amp;"h They include all plates. Regarding the ""system autoapagado"" do not see it anywhere. Better to buy something cheap (Taurus has a 2200W for almost half price) EDIT: Under the valuation point because the model purchased did not have the upper warning lig"&amp;"ht or buzzer, though the box itself showed him and the name marked on the plate was identical. Options have been removed without informing the user and without changing the model, which is misleading. Be careful what you buy and watch this brand.")</f>
        <v>Be careful what you buy is an iron over the truth. I would not be fooled by the alleged "progress" in this regard. I come from a 1800W and considering that this is 2800W I see no difference .. Well yes, keep in mind that clothing brand, I guess the more powerful (hopefully not the sole) . Regarding the "warning sound and visual" again there is no progress: The "visual" warning is off the led when it reaches the temperature, and the message "loud" I understand that due to the "click" of the switch They include all plates. Regarding the "system autoapagado" do not see it anywhere. Better to buy something cheap (Taurus has a 2200W for almost half price) EDIT: Under the valuation point because the model purchased did not have the upper warning light or buzzer, though the box itself showed him and the name marked on the plate was identical. Options have been removed without informing the user and without changing the model, which is misleading. Be careful what you buy and watch this brand.</v>
      </c>
    </row>
    <row r="10445">
      <c r="A10445" s="1">
        <v>3.0</v>
      </c>
      <c r="B10445" s="1" t="s">
        <v>10358</v>
      </c>
      <c r="C10445" t="str">
        <f>IFERROR(__xludf.DUMMYFUNCTION("GOOGLETRANSLATE(B10445, ""es"", ""en"")"),"Slightly larger than expected I suspect that if I had asked a size less would have been small, but better than on some not missing.")</f>
        <v>Slightly larger than expected I suspect that if I had asked a size less would have been small, but better than on some not missing.</v>
      </c>
    </row>
    <row r="10446">
      <c r="A10446" s="1">
        <v>3.0</v>
      </c>
      <c r="B10446" s="1" t="s">
        <v>10359</v>
      </c>
      <c r="C10446" t="str">
        <f>IFERROR(__xludf.DUMMYFUNCTION("GOOGLETRANSLATE(B10446, ""es"", ""en"")"),"Skechers Graceful-Get Connected Very nice but nothing comfortable for me because they are very low in the portion of the heel. I recommend less than half the minimum number of usual as usual for Skechers.")</f>
        <v>Skechers Graceful-Get Connected Very nice but nothing comfortable for me because they are very low in the portion of the heel. I recommend less than half the minimum number of usual as usual for Skechers.</v>
      </c>
    </row>
    <row r="10447">
      <c r="A10447" s="1">
        <v>1.0</v>
      </c>
      <c r="B10447" s="1" t="s">
        <v>10360</v>
      </c>
      <c r="C10447" t="str">
        <f>IFERROR(__xludf.DUMMYFUNCTION("GOOGLETRANSLATE(B10447, ""es"", ""en"")"),"Carved evil is impossible to understand the sizing system (at the least flip-flops). Which is supposed to be a size 36 EUR me is tiny (and usually used a 35). I used havaianas half-life and is the first time I encounter this mess Size nonsense. Best buy o"&amp;"n the website of Havaianas directly or store. They cost the same or less.")</f>
        <v>Carved evil is impossible to understand the sizing system (at the least flip-flops). Which is supposed to be a size 36 EUR me is tiny (and usually used a 35). I used havaianas half-life and is the first time I encounter this mess Size nonsense. Best buy on the website of Havaianas directly or store. They cost the same or less.</v>
      </c>
    </row>
    <row r="10448">
      <c r="A10448" s="1">
        <v>1.0</v>
      </c>
      <c r="B10448" s="1" t="s">
        <v>10361</v>
      </c>
      <c r="C10448" t="str">
        <f>IFERROR(__xludf.DUMMYFUNCTION("GOOGLETRANSLATE(B10448, ""es"", ""en"")"),"Are false are false")</f>
        <v>Are false are false</v>
      </c>
    </row>
    <row r="10449">
      <c r="A10449" s="1">
        <v>4.0</v>
      </c>
      <c r="B10449" s="1" t="s">
        <v>10362</v>
      </c>
      <c r="C10449" t="str">
        <f>IFERROR(__xludf.DUMMYFUNCTION("GOOGLETRANSLATE(B10449, ""es"", ""en"")"),"It fits the description Good service and well presented. It fulfills its function and is also elegant")</f>
        <v>It fits the description Good service and well presented. It fulfills its function and is also elegant</v>
      </c>
    </row>
    <row r="10450">
      <c r="A10450" s="1">
        <v>4.0</v>
      </c>
      <c r="B10450" s="1" t="s">
        <v>10363</v>
      </c>
      <c r="C10450" t="str">
        <f>IFERROR(__xludf.DUMMYFUNCTION("GOOGLETRANSLATE(B10450, ""es"", ""en"")"),"F. Sanchez Good value for money and presentation. You may have regarding this product given better rating, but deficiencies in billing and service still pending solution in part have forced me to remove a star. As a result in presentation and quality I re"&amp;"commend it without hesitation. Regards.")</f>
        <v>F. Sanchez Good value for money and presentation. You may have regarding this product given better rating, but deficiencies in billing and service still pending solution in part have forced me to remove a star. As a result in presentation and quality I recommend it without hesitation. Regards.</v>
      </c>
    </row>
    <row r="10451">
      <c r="A10451" s="1">
        <v>4.0</v>
      </c>
      <c r="B10451" s="1" t="s">
        <v>10364</v>
      </c>
      <c r="C10451" t="str">
        <f>IFERROR(__xludf.DUMMYFUNCTION("GOOGLETRANSLATE(B10451, ""es"", ""en"")"),"Good quality / price selection of essential oils of good quality. They are missing some more middle and low notes, but for the price it is reasonable guess.")</f>
        <v>Good quality / price selection of essential oils of good quality. They are missing some more middle and low notes, but for the price it is reasonable guess.</v>
      </c>
    </row>
    <row r="10452">
      <c r="A10452" s="1">
        <v>4.0</v>
      </c>
      <c r="B10452" s="1" t="s">
        <v>850</v>
      </c>
      <c r="C10452" t="str">
        <f>IFERROR(__xludf.DUMMYFUNCTION("GOOGLETRANSLATE(B10452, ""es"", ""en"")"),"👍 👍")</f>
        <v>👍 👍</v>
      </c>
    </row>
    <row r="10453">
      <c r="A10453" s="1">
        <v>4.0</v>
      </c>
      <c r="B10453" s="1" t="s">
        <v>10365</v>
      </c>
      <c r="C10453" t="str">
        <f>IFERROR(__xludf.DUMMYFUNCTION("GOOGLETRANSLATE(B10453, ""es"", ""en"")"),"Very good excellent model.")</f>
        <v>Very good excellent model.</v>
      </c>
    </row>
    <row r="10454">
      <c r="A10454" s="1">
        <v>5.0</v>
      </c>
      <c r="B10454" s="1" t="s">
        <v>10366</v>
      </c>
      <c r="C10454" t="str">
        <f>IFERROR(__xludf.DUMMYFUNCTION("GOOGLETRANSLATE(B10454, ""es"", ""en"")"),"Mesh bracelet is a custom of my father. He does not like steel bracelets, the leather will break down quickly and will try this mesh. The adjustment mechanism is quite simple, but it seems safe. In a few minutes it was adapted to his wrist. It looks great"&amp;" time and includes the battery. Perhaps, indicate something for improvement, that the hands were bright.")</f>
        <v>Mesh bracelet is a custom of my father. He does not like steel bracelets, the leather will break down quickly and will try this mesh. The adjustment mechanism is quite simple, but it seems safe. In a few minutes it was adapted to his wrist. It looks great time and includes the battery. Perhaps, indicate something for improvement, that the hands were bright.</v>
      </c>
    </row>
    <row r="10455">
      <c r="A10455" s="1">
        <v>5.0</v>
      </c>
      <c r="B10455" s="1" t="s">
        <v>1727</v>
      </c>
      <c r="C10455" t="str">
        <f>IFERROR(__xludf.DUMMYFUNCTION("GOOGLETRANSLATE(B10455, ""es"", ""en"")"),"Bureau Bureau")</f>
        <v>Bureau Bureau</v>
      </c>
    </row>
    <row r="10456">
      <c r="A10456" s="1">
        <v>5.0</v>
      </c>
      <c r="B10456" s="1" t="s">
        <v>10367</v>
      </c>
      <c r="C10456" t="str">
        <f>IFERROR(__xludf.DUMMYFUNCTION("GOOGLETRANSLATE(B10456, ""es"", ""en"")"),"Very handy I've been using a lot and going great, plus it does not take anything to clean.")</f>
        <v>Very handy I've been using a lot and going great, plus it does not take anything to clean.</v>
      </c>
    </row>
    <row r="10457">
      <c r="A10457" s="1">
        <v>5.0</v>
      </c>
      <c r="B10457" s="1" t="s">
        <v>10368</v>
      </c>
      <c r="C10457" t="str">
        <f>IFERROR(__xludf.DUMMYFUNCTION("GOOGLETRANSLATE(B10457, ""es"", ""en"")"),"Good quality good quality Preciosos")</f>
        <v>Good quality good quality Preciosos</v>
      </c>
    </row>
    <row r="10458">
      <c r="A10458" s="1">
        <v>5.0</v>
      </c>
      <c r="B10458" s="1" t="s">
        <v>10369</v>
      </c>
      <c r="C10458" t="str">
        <f>IFERROR(__xludf.DUMMYFUNCTION("GOOGLETRANSLATE(B10458, ""es"", ""en"")"),"GOOD PRODUCT GOOD PRODUCT GOOD PRICE. Exfoliate E MOISTURISES")</f>
        <v>GOOD PRODUCT GOOD PRODUCT GOOD PRICE. Exfoliate E MOISTURISES</v>
      </c>
    </row>
    <row r="10459">
      <c r="A10459" s="1">
        <v>5.0</v>
      </c>
      <c r="B10459" s="1" t="s">
        <v>10370</v>
      </c>
      <c r="C10459" t="str">
        <f>IFERROR(__xludf.DUMMYFUNCTION("GOOGLETRANSLATE(B10459, ""es"", ""en"")"),"Good quality, and speed read and write memory device is of good quality. I use it for Windows to Go and is fast enough to support this functionality in Windows and run great. Surely if USB 3.1, it would be better, but the PC that I only have USB 3.0 ports"&amp;" and USB 3.1 memory is almost twice as expensive. I recommend it for any use that is going to give. Both reading and writing and is fast enough.")</f>
        <v>Good quality, and speed read and write memory device is of good quality. I use it for Windows to Go and is fast enough to support this functionality in Windows and run great. Surely if USB 3.1, it would be better, but the PC that I only have USB 3.0 ports and USB 3.1 memory is almost twice as expensive. I recommend it for any use that is going to give. Both reading and writing and is fast enough.</v>
      </c>
    </row>
    <row r="10460">
      <c r="A10460" s="1">
        <v>5.0</v>
      </c>
      <c r="B10460" s="1" t="s">
        <v>10371</v>
      </c>
      <c r="C10460" t="str">
        <f>IFERROR(__xludf.DUMMYFUNCTION("GOOGLETRANSLATE(B10460, ""es"", ""en"")"),"good good")</f>
        <v>good good</v>
      </c>
    </row>
    <row r="10461">
      <c r="A10461" s="1">
        <v>5.0</v>
      </c>
      <c r="B10461" s="1" t="s">
        <v>10372</v>
      </c>
      <c r="C10461" t="str">
        <f>IFERROR(__xludf.DUMMYFUNCTION("GOOGLETRANSLATE(B10461, ""es"", ""en"")"),"According to what he wanted The product corresponds as said in the description; It comes in a small, inconspicuous white package with instructions inside. I tried it with my phone BQ Aquaris E4 and I worked at the time, no need to download anything.")</f>
        <v>According to what he wanted The product corresponds as said in the description; It comes in a small, inconspicuous white package with instructions inside. I tried it with my phone BQ Aquaris E4 and I worked at the time, no need to download anything.</v>
      </c>
    </row>
    <row r="10462">
      <c r="A10462" s="1">
        <v>5.0</v>
      </c>
      <c r="B10462" s="1" t="s">
        <v>10373</v>
      </c>
      <c r="C10462" t="str">
        <f>IFERROR(__xludf.DUMMYFUNCTION("GOOGLETRANSLATE(B10462, ""es"", ""en"")"),"Recommended Perfect for small spaces or people who do not need a large mixer.")</f>
        <v>Recommended Perfect for small spaces or people who do not need a large mixer.</v>
      </c>
    </row>
    <row r="10463">
      <c r="A10463" s="1">
        <v>5.0</v>
      </c>
      <c r="B10463" s="1" t="s">
        <v>10374</v>
      </c>
      <c r="C10463" t="str">
        <f>IFERROR(__xludf.DUMMYFUNCTION("GOOGLETRANSLATE(B10463, ""es"", ""en"")"),"Exceed Expectations The fact that these pants exceeded my expectations, given its price thought it would be the typical leggings that last a newscast. But I found some very cute pants with a soft cloth, invisible pockets on both sides for mobile or whatev"&amp;"er it takes and a small pocket tucked inside the waist. The court feels quite well and is nice. The size is right. So very good shopping experience")</f>
        <v>Exceed Expectations The fact that these pants exceeded my expectations, given its price thought it would be the typical leggings that last a newscast. But I found some very cute pants with a soft cloth, invisible pockets on both sides for mobile or whatever it takes and a small pocket tucked inside the waist. The court feels quite well and is nice. The size is right. So very good shopping experience</v>
      </c>
    </row>
    <row r="10464">
      <c r="A10464" s="1">
        <v>5.0</v>
      </c>
      <c r="B10464" s="1" t="s">
        <v>10375</v>
      </c>
      <c r="C10464" t="str">
        <f>IFERROR(__xludf.DUMMYFUNCTION("GOOGLETRANSLATE(B10464, ""es"", ""en"")"),"VERY GOOD QUALITY As the new")</f>
        <v>VERY GOOD QUALITY As the new</v>
      </c>
    </row>
    <row r="10465">
      <c r="A10465" s="1">
        <v>5.0</v>
      </c>
      <c r="B10465" s="1" t="s">
        <v>10376</v>
      </c>
      <c r="C10465" t="str">
        <f>IFERROR(__xludf.DUMMYFUNCTION("GOOGLETRANSLATE(B10465, ""es"", ""en"")"),"Adidas Basic Comfortable and very light are for summer")</f>
        <v>Adidas Basic Comfortable and very light are for summer</v>
      </c>
    </row>
    <row r="10466">
      <c r="A10466" s="1">
        <v>5.0</v>
      </c>
      <c r="B10466" s="1" t="s">
        <v>10377</v>
      </c>
      <c r="C10466" t="str">
        <f>IFERROR(__xludf.DUMMYFUNCTION("GOOGLETRANSLATE(B10466, ""es"", ""en"")"),"Com always great years ago that vans always buy them from Amazon. At the height knowing me is a wise move to 100% and the price is always much better than in physical stores. They left me for 32 € (size 44) while in a store would total 70 €. Prices vary g"&amp;"reatly Amazon vans depending on the time, it's a matter of patience and find the best deal.")</f>
        <v>Com always great years ago that vans always buy them from Amazon. At the height knowing me is a wise move to 100% and the price is always much better than in physical stores. They left me for 32 € (size 44) while in a store would total 70 €. Prices vary greatly Amazon vans depending on the time, it's a matter of patience and find the best deal.</v>
      </c>
    </row>
    <row r="10467">
      <c r="A10467" s="1">
        <v>5.0</v>
      </c>
      <c r="B10467" s="1" t="s">
        <v>10378</v>
      </c>
      <c r="C10467" t="str">
        <f>IFERROR(__xludf.DUMMYFUNCTION("GOOGLETRANSLATE(B10467, ""es"", ""en"")"),"Great The product has reached me well but the gift of speaking did not come. Is a good product. He did what I wanted.")</f>
        <v>Great The product has reached me well but the gift of speaking did not come. Is a good product. He did what I wanted.</v>
      </c>
    </row>
    <row r="10468">
      <c r="A10468" s="1">
        <v>5.0</v>
      </c>
      <c r="B10468" s="1" t="s">
        <v>10379</v>
      </c>
      <c r="C10468" t="str">
        <f>IFERROR(__xludf.DUMMYFUNCTION("GOOGLETRANSLATE(B10468, ""es"", ""en"")"),"Good SSD at a great price Specifically I'm using a Macbook Pro Mid 2010 (7.1) with a core 2 duo. Installation can not be easier (taking appropriate screwdrivers course). Is ideal to give new life to this ""old"" Mac again with this SSD to suit still using"&amp;" OS Sierra. Before installing I made an exact copy of the old HHD with Carbon Copy using a SATA to USB adapter (also purchased from Amazon). It has been installed and see how heavy applications like Photos, Facetime, RAW editing applications in photograph"&amp;"y that used to take minutes to open, very open very quickly. The start of the team also improved very significantly. It supports TRIM (there are tutorials online to enable, CAN NOT BE EASIER). In conclusion: If you have a mac / pc Make my generation inves"&amp;"tment to buy an SSD because you not going to repent; and noted that those who think it is very complicated to do., from the page of crucial you explain step by step how to do it. Excellent product")</f>
        <v>Good SSD at a great price Specifically I'm using a Macbook Pro Mid 2010 (7.1) with a core 2 duo. Installation can not be easier (taking appropriate screwdrivers course). Is ideal to give new life to this "old" Mac again with this SSD to suit still using OS Sierra. Before installing I made an exact copy of the old HHD with Carbon Copy using a SATA to USB adapter (also purchased from Amazon). It has been installed and see how heavy applications like Photos, Facetime, RAW editing applications in photography that used to take minutes to open, very open very quickly. The start of the team also improved very significantly. It supports TRIM (there are tutorials online to enable, CAN NOT BE EASIER). In conclusion: If you have a mac / pc Make my generation investment to buy an SSD because you not going to repent; and noted that those who think it is very complicated to do., from the page of crucial you explain step by step how to do it. Excellent product</v>
      </c>
    </row>
    <row r="10469">
      <c r="A10469" s="1">
        <v>5.0</v>
      </c>
      <c r="B10469" s="1" t="s">
        <v>10380</v>
      </c>
      <c r="C10469" t="str">
        <f>IFERROR(__xludf.DUMMYFUNCTION("GOOGLETRANSLATE(B10469, ""es"", ""en"")"),"Beautiful gift for 5 years I know my wife")</f>
        <v>Beautiful gift for 5 years I know my wife</v>
      </c>
    </row>
    <row r="10470">
      <c r="A10470" s="1">
        <v>5.0</v>
      </c>
      <c r="B10470" s="1" t="s">
        <v>10381</v>
      </c>
      <c r="C10470" t="str">
        <f>IFERROR(__xludf.DUMMYFUNCTION("GOOGLETRANSLATE(B10470, ""es"", ""en"")"),"Perfect super easy to use and super nice. We could not have done better buy. Not the cheapest, but has earned us worth spending a little more and have a nice toaster, since it is an appliance that is always in sight.")</f>
        <v>Perfect super easy to use and super nice. We could not have done better buy. Not the cheapest, but has earned us worth spending a little more and have a nice toaster, since it is an appliance that is always in sight.</v>
      </c>
    </row>
    <row r="10471">
      <c r="A10471" s="1">
        <v>5.0</v>
      </c>
      <c r="B10471" s="1" t="s">
        <v>10382</v>
      </c>
      <c r="C10471" t="str">
        <f>IFERROR(__xludf.DUMMYFUNCTION("GOOGLETRANSLATE(B10471, ""es"", ""en"")"),"Good value Almost all the memorisa on the market that are finished in plastic and if you take the house keys breaks sooner or later. I saw this USB 3.0 memory metallic finish and I'm delighted with it. At the moment he is holding me well.")</f>
        <v>Good value Almost all the memorisa on the market that are finished in plastic and if you take the house keys breaks sooner or later. I saw this USB 3.0 memory metallic finish and I'm delighted with it. At the moment he is holding me well.</v>
      </c>
    </row>
    <row r="10472">
      <c r="A10472" s="1">
        <v>2.0</v>
      </c>
      <c r="B10472" s="1" t="s">
        <v>10383</v>
      </c>
      <c r="C10472" t="str">
        <f>IFERROR(__xludf.DUMMYFUNCTION("GOOGLETRANSLATE(B10472, ""es"", ""en"")"),"It can be installed on iPhone No No app for iphone operational")</f>
        <v>It can be installed on iPhone No No app for iphone operational</v>
      </c>
    </row>
    <row r="10473">
      <c r="A10473" s="1">
        <v>3.0</v>
      </c>
      <c r="B10473" s="1" t="s">
        <v>10384</v>
      </c>
      <c r="C10473" t="str">
        <f>IFERROR(__xludf.DUMMYFUNCTION("GOOGLETRANSLATE(B10473, ""es"", ""en"")"),"Very nice shoes pretty good security, weighs more than usual before had a lighter. lack ventilation, foot perspires a lot. The sole somewhat rigid, prefer more flexible. Value correct price.")</f>
        <v>Very nice shoes pretty good security, weighs more than usual before had a lighter. lack ventilation, foot perspires a lot. The sole somewhat rigid, prefer more flexible. Value correct price.</v>
      </c>
    </row>
    <row r="10474">
      <c r="A10474" s="1">
        <v>1.0</v>
      </c>
      <c r="B10474" s="1" t="s">
        <v>10385</v>
      </c>
      <c r="C10474" t="str">
        <f>IFERROR(__xludf.DUMMYFUNCTION("GOOGLETRANSLATE(B10474, ""es"", ""en"")"),"fake card seems to be. Begins to corrupt files and errors reading after a few months of use. The gallery begins to charge tropicones, speed reading and writing is less than 10 MB / s in both cases when testing with a checkeo app. And does not recognize th"&amp;"e card manufacturer when using the SD Insights app ... You see we have a fake card ... For mobile only going slow or snagged me when I read data from the card (the same gallery).")</f>
        <v>fake card seems to be. Begins to corrupt files and errors reading after a few months of use. The gallery begins to charge tropicones, speed reading and writing is less than 10 MB / s in both cases when testing with a checkeo app. And does not recognize the card manufacturer when using the SD Insights app ... You see we have a fake card ... For mobile only going slow or snagged me when I read data from the card (the same gallery).</v>
      </c>
    </row>
    <row r="10475">
      <c r="A10475" s="1">
        <v>1.0</v>
      </c>
      <c r="B10475" s="1" t="s">
        <v>10386</v>
      </c>
      <c r="C10475" t="str">
        <f>IFERROR(__xludf.DUMMYFUNCTION("GOOGLETRANSLATE(B10475, ""es"", ""en"")"),"It's nice but very weak chain is look at me and do not touch me, in my case came with a broken clasp")</f>
        <v>It's nice but very weak chain is look at me and do not touch me, in my case came with a broken clasp</v>
      </c>
    </row>
    <row r="10476">
      <c r="A10476" s="1">
        <v>1.0</v>
      </c>
      <c r="B10476" s="1" t="s">
        <v>10387</v>
      </c>
      <c r="C10476" t="str">
        <f>IFERROR(__xludf.DUMMYFUNCTION("GOOGLETRANSLATE(B10476, ""es"", ""en"")"),"A disappointment. A real arrest. I decided to buy it for the good comments, when we arrived gave us the feeling that was used, because it was worn as seen in the photo. Despite that we tested, for the second day no longer it worked. A failure, not recomme"&amp;"nded. We came from a bosch that came to nibble at the maximum power, so we will test another option.")</f>
        <v>A disappointment. A real arrest. I decided to buy it for the good comments, when we arrived gave us the feeling that was used, because it was worn as seen in the photo. Despite that we tested, for the second day no longer it worked. A failure, not recommended. We came from a bosch that came to nibble at the maximum power, so we will test another option.</v>
      </c>
    </row>
    <row r="10477">
      <c r="A10477" s="1">
        <v>4.0</v>
      </c>
      <c r="B10477" s="1" t="s">
        <v>10388</v>
      </c>
      <c r="C10477" t="str">
        <f>IFERROR(__xludf.DUMMYFUNCTION("GOOGLETRANSLATE(B10477, ""es"", ""en"")"),"Comfort arrived early. I like the feel of the fabric, comfortable, no transpatentan. According to the size guide are large, a size less fit better.")</f>
        <v>Comfort arrived early. I like the feel of the fabric, comfortable, no transpatentan. According to the size guide are large, a size less fit better.</v>
      </c>
    </row>
    <row r="10478">
      <c r="A10478" s="1">
        <v>4.0</v>
      </c>
      <c r="B10478" s="1" t="s">
        <v>5163</v>
      </c>
      <c r="C10478" t="str">
        <f>IFERROR(__xludf.DUMMYFUNCTION("GOOGLETRANSLATE(B10478, ""es"", ""en"")"),"Expectations met expectations fulfilled")</f>
        <v>Expectations met expectations fulfilled</v>
      </c>
    </row>
    <row r="10479">
      <c r="A10479" s="1">
        <v>4.0</v>
      </c>
      <c r="B10479" s="1" t="s">
        <v>10389</v>
      </c>
      <c r="C10479" t="str">
        <f>IFERROR(__xludf.DUMMYFUNCTION("GOOGLETRANSLATE(B10479, ""es"", ""en"")"),"Convenient very practical, especially for places at a certain height. It serves many different situations. Good value vs. price. Recommendable.")</f>
        <v>Convenient very practical, especially for places at a certain height. It serves many different situations. Good value vs. price. Recommendable.</v>
      </c>
    </row>
    <row r="10480">
      <c r="A10480" s="1">
        <v>4.0</v>
      </c>
      <c r="B10480" s="1" t="s">
        <v>10390</v>
      </c>
      <c r="C10480" t="str">
        <f>IFERROR(__xludf.DUMMYFUNCTION("GOOGLETRANSLATE(B10480, ""es"", ""en"")"),"They are real good but expensive super comfortable really great work as a waiter and gel insole noticed a lot, it could put a tad cheaper than that price to destroy them at work makes me sad")</f>
        <v>They are real good but expensive super comfortable really great work as a waiter and gel insole noticed a lot, it could put a tad cheaper than that price to destroy them at work makes me sad</v>
      </c>
    </row>
    <row r="10481">
      <c r="A10481" s="1">
        <v>5.0</v>
      </c>
      <c r="B10481" s="1" t="s">
        <v>10391</v>
      </c>
      <c r="C10481" t="str">
        <f>IFERROR(__xludf.DUMMYFUNCTION("GOOGLETRANSLATE(B10481, ""es"", ""en"")"),"Very good buy very good caludad. They are very comfortable")</f>
        <v>Very good buy very good caludad. They are very comfortable</v>
      </c>
    </row>
    <row r="10482">
      <c r="A10482" s="1">
        <v>5.0</v>
      </c>
      <c r="B10482" s="1" t="s">
        <v>10392</v>
      </c>
      <c r="C10482" t="str">
        <f>IFERROR(__xludf.DUMMYFUNCTION("GOOGLETRANSLATE(B10482, ""es"", ""en"")"),"So comfortable your convenience, you can wash the lavadira dn and great suedan")</f>
        <v>So comfortable your convenience, you can wash the lavadira dn and great suedan</v>
      </c>
    </row>
    <row r="10483">
      <c r="A10483" s="1">
        <v>5.0</v>
      </c>
      <c r="B10483" s="1" t="s">
        <v>10393</v>
      </c>
      <c r="C10483" t="str">
        <f>IFERROR(__xludf.DUMMYFUNCTION("GOOGLETRANSLATE(B10483, ""es"", ""en"")"),"Original, and being Apple, is all that !. Imagine that you are thinking about buying these AirPods by Amazon, it is that fully known its quality and functionality. It is not to say more to say, being Apple quality is assured. I have been amazed at having "&amp;"been able to save a significant difference in money and take advantage of this offer to purchase an original product Apple !!!.")</f>
        <v>Original, and being Apple, is all that !. Imagine that you are thinking about buying these AirPods by Amazon, it is that fully known its quality and functionality. It is not to say more to say, being Apple quality is assured. I have been amazed at having been able to save a significant difference in money and take advantage of this offer to purchase an original product Apple !!!.</v>
      </c>
    </row>
    <row r="10484">
      <c r="A10484" s="1">
        <v>5.0</v>
      </c>
      <c r="B10484" s="1" t="s">
        <v>10394</v>
      </c>
      <c r="C10484" t="str">
        <f>IFERROR(__xludf.DUMMYFUNCTION("GOOGLETRANSLATE(B10484, ""es"", ""en"")"),"Recommended 100% is very nice. A great gift and a good price. Modern, narrow pants, color very nice jacket. Worth.")</f>
        <v>Recommended 100% is very nice. A great gift and a good price. Modern, narrow pants, color very nice jacket. Worth.</v>
      </c>
    </row>
    <row r="10485">
      <c r="A10485" s="1">
        <v>5.0</v>
      </c>
      <c r="B10485" s="1" t="s">
        <v>10395</v>
      </c>
      <c r="C10485" t="str">
        <f>IFERROR(__xludf.DUMMYFUNCTION("GOOGLETRANSLATE(B10485, ""es"", ""en"")"),"Use and impressive quality of finish Like everything that makes xiaomi or its satellite brands in this roidmi case, one product you a lot of quality and very surprising. And just open the box and see the care with which the components are protected distit"&amp;"os and quality and order them you realize that these before a far superior product to what we are accustomed to more traditional manufacturers. As for vacuuming say if it works wonderfully. Weighs very little to get the engine and battery enbla top and as"&amp;"pirate ptencia is extremely high. The accessories are very easy to exchange and upholstery cleaning is very useful and effective leaving the tissues of a bygone well. And most sorpendente is the autonomy of use ... using it to suck all my floor, which is "&amp;"a standard size of 80 square meters, in the end still has 50% of battery brands ... amazing. My vacuum-broom anteror of bosh I do not normally give a full battery for the whole house. For me it is a highly recommended product and best use vacuum cleaner i"&amp;"n my life.")</f>
        <v>Use and impressive quality of finish Like everything that makes xiaomi or its satellite brands in this roidmi case, one product you a lot of quality and very surprising. And just open the box and see the care with which the components are protected distitos and quality and order them you realize that these before a far superior product to what we are accustomed to more traditional manufacturers. As for vacuuming say if it works wonderfully. Weighs very little to get the engine and battery enbla top and aspirate ptencia is extremely high. The accessories are very easy to exchange and upholstery cleaning is very useful and effective leaving the tissues of a bygone well. And most sorpendente is the autonomy of use ... using it to suck all my floor, which is a standard size of 80 square meters, in the end still has 50% of battery brands ... amazing. My vacuum-broom anteror of bosh I do not normally give a full battery for the whole house. For me it is a highly recommended product and best use vacuum cleaner in my life.</v>
      </c>
    </row>
    <row r="10486">
      <c r="A10486" s="1">
        <v>5.0</v>
      </c>
      <c r="B10486" s="1" t="s">
        <v>10396</v>
      </c>
      <c r="C10486" t="str">
        <f>IFERROR(__xludf.DUMMYFUNCTION("GOOGLETRANSLATE(B10486, ""es"", ""en"")"),"Material and comfort Good product but somewhat expensive")</f>
        <v>Material and comfort Good product but somewhat expensive</v>
      </c>
    </row>
    <row r="10487">
      <c r="A10487" s="1">
        <v>5.0</v>
      </c>
      <c r="B10487" s="1" t="s">
        <v>10397</v>
      </c>
      <c r="C10487" t="str">
        <f>IFERROR(__xludf.DUMMYFUNCTION("GOOGLETRANSLATE(B10487, ""es"", ""en"")"),"Just beautiful than in the picture, several color changes depending on temperature, blue, green, black, violet. We know if the chain spoil the moment well. And much faster than expected delivery, 13 days")</f>
        <v>Just beautiful than in the picture, several color changes depending on temperature, blue, green, black, violet. We know if the chain spoil the moment well. And much faster than expected delivery, 13 days</v>
      </c>
    </row>
    <row r="10488">
      <c r="A10488" s="1">
        <v>5.0</v>
      </c>
      <c r="B10488" s="1" t="s">
        <v>10398</v>
      </c>
      <c r="C10488" t="str">
        <f>IFERROR(__xludf.DUMMYFUNCTION("GOOGLETRANSLATE(B10488, ""es"", ""en"")"),"everything perfect perfect all")</f>
        <v>everything perfect perfect all</v>
      </c>
    </row>
    <row r="10489">
      <c r="A10489" s="1">
        <v>5.0</v>
      </c>
      <c r="B10489" s="1" t="s">
        <v>10399</v>
      </c>
      <c r="C10489" t="str">
        <f>IFERROR(__xludf.DUMMYFUNCTION("GOOGLETRANSLATE(B10489, ""es"", ""en"")"),"After much perfect gift watches CASIO watch brand I chose this because it is elegant and simple. I wanted to give to my father for his birthday. The area is quite large and looks and feels sturdy.")</f>
        <v>After much perfect gift watches CASIO watch brand I chose this because it is elegant and simple. I wanted to give to my father for his birthday. The area is quite large and looks and feels sturdy.</v>
      </c>
    </row>
    <row r="10490">
      <c r="A10490" s="1">
        <v>5.0</v>
      </c>
      <c r="B10490" s="1" t="s">
        <v>10400</v>
      </c>
      <c r="C10490" t="str">
        <f>IFERROR(__xludf.DUMMYFUNCTION("GOOGLETRANSLATE(B10490, ""es"", ""en"")"),"Overrated quality with price marketing Quality is excellent. It is lightweight, comfortable and warm. NIKE brand we have stuck in the brain since childhood because of their investments in advertising that paid high prices on all its products. It is also a"&amp;" counterfeit mark. Do not buy what you do not need and remember that if it comes on television pay a higher price. Not buy it because your favorite athlete or sports team use it. They are mercenaries brands.")</f>
        <v>Overrated quality with price marketing Quality is excellent. It is lightweight, comfortable and warm. NIKE brand we have stuck in the brain since childhood because of their investments in advertising that paid high prices on all its products. It is also a counterfeit mark. Do not buy what you do not need and remember that if it comes on television pay a higher price. Not buy it because your favorite athlete or sports team use it. They are mercenaries brands.</v>
      </c>
    </row>
    <row r="10491">
      <c r="A10491" s="1">
        <v>5.0</v>
      </c>
      <c r="B10491" s="1" t="s">
        <v>10401</v>
      </c>
      <c r="C10491" t="str">
        <f>IFERROR(__xludf.DUMMYFUNCTION("GOOGLETRANSLATE(B10491, ""es"", ""en"")"),"Tennis shoes are perfect perfect very comfortable and lightweight")</f>
        <v>Tennis shoes are perfect perfect very comfortable and lightweight</v>
      </c>
    </row>
    <row r="10492">
      <c r="A10492" s="1">
        <v>5.0</v>
      </c>
      <c r="B10492" s="1" t="s">
        <v>10402</v>
      </c>
      <c r="C10492" t="str">
        <f>IFERROR(__xludf.DUMMYFUNCTION("GOOGLETRANSLATE(B10492, ""es"", ""en"")"),"The speed in providing the product. Great right all")</f>
        <v>The speed in providing the product. Great right all</v>
      </c>
    </row>
    <row r="10493">
      <c r="A10493" s="1">
        <v>5.0</v>
      </c>
      <c r="B10493" s="1" t="s">
        <v>10403</v>
      </c>
      <c r="C10493" t="str">
        <f>IFERROR(__xludf.DUMMYFUNCTION("GOOGLETRANSLATE(B10493, ""es"", ""en"")"),"Very happy very comfortable shoes, durable and look great. I am very pleased with purchase")</f>
        <v>Very happy very comfortable shoes, durable and look great. I am very pleased with purchase</v>
      </c>
    </row>
    <row r="10494">
      <c r="A10494" s="1">
        <v>5.0</v>
      </c>
      <c r="B10494" s="1" t="s">
        <v>10404</v>
      </c>
      <c r="C10494" t="str">
        <f>IFERROR(__xludf.DUMMYFUNCTION("GOOGLETRANSLATE(B10494, ""es"", ""en"")"),"Very nice as I pictured .A little bigger than I imagined")</f>
        <v>Very nice as I pictured .A little bigger than I imagined</v>
      </c>
    </row>
    <row r="10495">
      <c r="A10495" s="1">
        <v>5.0</v>
      </c>
      <c r="B10495" s="1" t="s">
        <v>10405</v>
      </c>
      <c r="C10495" t="str">
        <f>IFERROR(__xludf.DUMMYFUNCTION("GOOGLETRANSLATE(B10495, ""es"", ""en"")"),"Oils for diffusers came fast I'm new in essential oils but look very good! I've done a little moisturizer to face with the incense that is charming and it works! And also I got a diffuser that is great with lavender to relax at night. I have to say that I"&amp;" slept like a log since I used it! It's a 5 from me! I will definitely buy again in the future when I know more about them and their uses.")</f>
        <v>Oils for diffusers came fast I'm new in essential oils but look very good! I've done a little moisturizer to face with the incense that is charming and it works! And also I got a diffuser that is great with lavender to relax at night. I have to say that I slept like a log since I used it! It's a 5 from me! I will definitely buy again in the future when I know more about them and their uses.</v>
      </c>
    </row>
    <row r="10496">
      <c r="A10496" s="1">
        <v>5.0</v>
      </c>
      <c r="B10496" s="1" t="s">
        <v>10406</v>
      </c>
      <c r="C10496" t="str">
        <f>IFERROR(__xludf.DUMMYFUNCTION("GOOGLETRANSLATE(B10496, ""es"", ""en"")"),"Smaller than I expected excellent. Is smaller than I imagined, it can be easily lost if you are not tied a wire strap")</f>
        <v>Smaller than I expected excellent. Is smaller than I imagined, it can be easily lost if you are not tied a wire strap</v>
      </c>
    </row>
    <row r="10497">
      <c r="A10497" s="1">
        <v>5.0</v>
      </c>
      <c r="B10497" s="1" t="s">
        <v>10407</v>
      </c>
      <c r="C10497" t="str">
        <f>IFERROR(__xludf.DUMMYFUNCTION("GOOGLETRANSLATE(B10497, ""es"", ""en"")"),"Veronica was a gift for my father and happy ha. Soft strap and quality. The dial is simple but elegant. It comes in its original box. I'm very happy.")</f>
        <v>Veronica was a gift for my father and happy ha. Soft strap and quality. The dial is simple but elegant. It comes in its original box. I'm very happy.</v>
      </c>
    </row>
    <row r="10498">
      <c r="A10498" s="1">
        <v>5.0</v>
      </c>
      <c r="B10498" s="1" t="s">
        <v>10408</v>
      </c>
      <c r="C10498" t="str">
        <f>IFERROR(__xludf.DUMMYFUNCTION("GOOGLETRANSLATE(B10498, ""es"", ""en"")"),"Color good value for money very original, as pictured, very comfortable and light. For now very happy with the purchase.")</f>
        <v>Color good value for money very original, as pictured, very comfortable and light. For now very happy with the purchase.</v>
      </c>
    </row>
    <row r="10499">
      <c r="A10499" s="1">
        <v>5.0</v>
      </c>
      <c r="B10499" s="1" t="s">
        <v>10409</v>
      </c>
      <c r="C10499" t="str">
        <f>IFERROR(__xludf.DUMMYFUNCTION("GOOGLETRANSLATE(B10499, ""es"", ""en"")"),"Auricuares good and good attention to the client Ligeros, comfortable and good sound quality. A few months later I emerged a problem with the power button, which caused interference in the sound. I contacted the buyer being the product under warranty, and"&amp;" I changed it to a new product without any problem. Very happy with the customer care and service.")</f>
        <v>Auricuares good and good attention to the client Ligeros, comfortable and good sound quality. A few months later I emerged a problem with the power button, which caused interference in the sound. I contacted the buyer being the product under warranty, and I changed it to a new product without any problem. Very happy with the customer care and service.</v>
      </c>
    </row>
    <row r="10500">
      <c r="A10500" s="1">
        <v>2.0</v>
      </c>
      <c r="B10500" s="1" t="s">
        <v>10410</v>
      </c>
      <c r="C10500" t="str">
        <f>IFERROR(__xludf.DUMMYFUNCTION("GOOGLETRANSLATE(B10500, ""es"", ""en"")"),"disappointment in my case only gets a maximum of 20MB / it s not by the team since I have another pendrive cheaper than if reaches 100 ... edito .. I got to the final transfer rate of almost 80 mb / s, which I already relatively satisfied, so I upload my "&amp;"note")</f>
        <v>disappointment in my case only gets a maximum of 20MB / it s not by the team since I have another pendrive cheaper than if reaches 100 ... edito .. I got to the final transfer rate of almost 80 mb / s, which I already relatively satisfied, so I upload my note</v>
      </c>
    </row>
    <row r="10501">
      <c r="A10501" s="1">
        <v>3.0</v>
      </c>
      <c r="B10501" s="1" t="s">
        <v>10411</v>
      </c>
      <c r="C10501" t="str">
        <f>IFERROR(__xludf.DUMMYFUNCTION("GOOGLETRANSLATE(B10501, ""es"", ""en"")"),"Good simple operation simple and nice as in the pictures. It makes some noise to the caleatar, and the first time is building up some lime inside. good buy")</f>
        <v>Good simple operation simple and nice as in the pictures. It makes some noise to the caleatar, and the first time is building up some lime inside. good buy</v>
      </c>
    </row>
    <row r="10502">
      <c r="A10502" s="1">
        <v>3.0</v>
      </c>
      <c r="B10502" s="1" t="s">
        <v>10412</v>
      </c>
      <c r="C10502" t="str">
        <f>IFERROR(__xludf.DUMMYFUNCTION("GOOGLETRANSLATE(B10502, ""es"", ""en"")"),"Limited but good price and quality is a shoe apparent practical and apparent but of limited quality. The template has a bad foot design as fit the foot and the shoe itself.")</f>
        <v>Limited but good price and quality is a shoe apparent practical and apparent but of limited quality. The template has a bad foot design as fit the foot and the shoe itself.</v>
      </c>
    </row>
    <row r="10503">
      <c r="A10503" s="1">
        <v>3.0</v>
      </c>
      <c r="B10503" s="1" t="s">
        <v>10413</v>
      </c>
      <c r="C10503" t="str">
        <f>IFERROR(__xludf.DUMMYFUNCTION("GOOGLETRANSLATE(B10503, ""es"", ""en"")"),"bag too small for a person 170 cm strap is very short. The bag is very small and has no compartments inside.")</f>
        <v>bag too small for a person 170 cm strap is very short. The bag is very small and has no compartments inside.</v>
      </c>
    </row>
    <row r="10504">
      <c r="A10504" s="1">
        <v>1.0</v>
      </c>
      <c r="B10504" s="1" t="s">
        <v>10414</v>
      </c>
      <c r="C10504" t="str">
        <f>IFERROR(__xludf.DUMMYFUNCTION("GOOGLETRANSLATE(B10504, ""es"", ""en"")"),"Completely broken after three uses. Unacceptable that socks have broken that price (not the wear them or take them off the) but within the shoe in several places, irreporablemente broken. I'm not going to buy more products Compressport since it is not the"&amp;" first time I have bad experience with Compressport products in regard to their resistance.")</f>
        <v>Completely broken after three uses. Unacceptable that socks have broken that price (not the wear them or take them off the) but within the shoe in several places, irreporablemente broken. I'm not going to buy more products Compressport since it is not the first time I have bad experience with Compressport products in regard to their resistance.</v>
      </c>
    </row>
    <row r="10505">
      <c r="A10505" s="1">
        <v>1.0</v>
      </c>
      <c r="B10505" s="1" t="s">
        <v>10415</v>
      </c>
      <c r="C10505" t="str">
        <f>IFERROR(__xludf.DUMMYFUNCTION("GOOGLETRANSLATE(B10505, ""es"", ""en"")"),"Poor quality. I suspect are false original price sold mostly by the fabric and quality of these.")</f>
        <v>Poor quality. I suspect are false original price sold mostly by the fabric and quality of these.</v>
      </c>
    </row>
    <row r="10506">
      <c r="A10506" s="1">
        <v>4.0</v>
      </c>
      <c r="B10506" s="1" t="s">
        <v>10416</v>
      </c>
      <c r="C10506" t="str">
        <f>IFERROR(__xludf.DUMMYFUNCTION("GOOGLETRANSLATE(B10506, ""es"", ""en"")"),"Comfortable, nice and not show through despite being clearly. The article is as in the photo. It feels good. But we must ask more of a size that is used, because it gives little size. Otherwise, .... perfect. Elena")</f>
        <v>Comfortable, nice and not show through despite being clearly. The article is as in the photo. It feels good. But we must ask more of a size that is used, because it gives little size. Otherwise, .... perfect. Elena</v>
      </c>
    </row>
    <row r="10507">
      <c r="A10507" s="1">
        <v>4.0</v>
      </c>
      <c r="B10507" s="1" t="s">
        <v>10417</v>
      </c>
      <c r="C10507" t="str">
        <f>IFERROR(__xludf.DUMMYFUNCTION("GOOGLETRANSLATE(B10507, ""es"", ""en"")"),"They fit well and decent are not very thick")</f>
        <v>They fit well and decent are not very thick</v>
      </c>
    </row>
    <row r="10508">
      <c r="A10508" s="1">
        <v>4.0</v>
      </c>
      <c r="B10508" s="1" t="s">
        <v>10418</v>
      </c>
      <c r="C10508" t="str">
        <f>IFERROR(__xludf.DUMMYFUNCTION("GOOGLETRANSLATE(B10508, ""es"", ""en"")"),"It could be more compact A little cumbersome on trips but take everything you want out")</f>
        <v>It could be more compact A little cumbersome on trips but take everything you want out</v>
      </c>
    </row>
    <row r="10509">
      <c r="A10509" s="1">
        <v>4.0</v>
      </c>
      <c r="B10509" s="1" t="s">
        <v>10419</v>
      </c>
      <c r="C10509" t="str">
        <f>IFERROR(__xludf.DUMMYFUNCTION("GOOGLETRANSLATE(B10509, ""es"", ""en"")"),"Q what we expected As expected. They are solid, light pink pearlescent effect seems")</f>
        <v>Q what we expected As expected. They are solid, light pink pearlescent effect seems</v>
      </c>
    </row>
    <row r="10510">
      <c r="A10510" s="1">
        <v>4.0</v>
      </c>
      <c r="B10510" s="1" t="s">
        <v>10420</v>
      </c>
      <c r="C10510" t="str">
        <f>IFERROR(__xludf.DUMMYFUNCTION("GOOGLETRANSLATE(B10510, ""es"", ""en"")"),"Very good value for money is a simple microphone, on open sites takes some noise but nothing over the top, in close quarters catches perfectly sound without noise, the clamp fits perfectly and looks sturdy and durable, money is fine. I do not put 5 stars "&amp;"because there are better obviously, but this has surprised me for good for what it is.")</f>
        <v>Very good value for money is a simple microphone, on open sites takes some noise but nothing over the top, in close quarters catches perfectly sound without noise, the clamp fits perfectly and looks sturdy and durable, money is fine. I do not put 5 stars because there are better obviously, but this has surprised me for good for what it is.</v>
      </c>
    </row>
    <row r="10511">
      <c r="A10511" s="1">
        <v>5.0</v>
      </c>
      <c r="B10511" s="1" t="s">
        <v>10421</v>
      </c>
      <c r="C10511" t="str">
        <f>IFERROR(__xludf.DUMMYFUNCTION("GOOGLETRANSLATE(B10511, ""es"", ""en"")"),"Good buy is a very nice, handy diffuser to having such capacity is very comfortable. Its design combines very well because it is very similar to wood. The only ""bad"" is that it is quite noisy")</f>
        <v>Good buy is a very nice, handy diffuser to having such capacity is very comfortable. Its design combines very well because it is very similar to wood. The only "bad" is that it is quite noisy</v>
      </c>
    </row>
    <row r="10512">
      <c r="A10512" s="1">
        <v>5.0</v>
      </c>
      <c r="B10512" s="1" t="s">
        <v>10422</v>
      </c>
      <c r="C10512" t="str">
        <f>IFERROR(__xludf.DUMMYFUNCTION("GOOGLETRANSLATE(B10512, ""es"", ""en"")"),"I quite like Casio quality, lighting is full screen and that's the difference to the lower model. I bought this watch because I was tired that I partieran rubber straps Casio others, I hope it lasts me more this strap.")</f>
        <v>I quite like Casio quality, lighting is full screen and that's the difference to the lower model. I bought this watch because I was tired that I partieran rubber straps Casio others, I hope it lasts me more this strap.</v>
      </c>
    </row>
    <row r="10513">
      <c r="A10513" s="1">
        <v>5.0</v>
      </c>
      <c r="B10513" s="1" t="s">
        <v>10423</v>
      </c>
      <c r="C10513" t="str">
        <f>IFERROR(__xludf.DUMMYFUNCTION("GOOGLETRANSLATE(B10513, ""es"", ""en"")"),"Everything perfect all according to the record, there was no problem. The apparatus works well, it comes with micro head, hand microphone, control and a bag to cover it. To put some but not bring the micros batteries.")</f>
        <v>Everything perfect all according to the record, there was no problem. The apparatus works well, it comes with micro head, hand microphone, control and a bag to cover it. To put some but not bring the micros batteries.</v>
      </c>
    </row>
    <row r="10514">
      <c r="A10514" s="1">
        <v>5.0</v>
      </c>
      <c r="B10514" s="1" t="s">
        <v>10424</v>
      </c>
      <c r="C10514" t="str">
        <f>IFERROR(__xludf.DUMMYFUNCTION("GOOGLETRANSLATE(B10514, ""es"", ""en"")"),"What a treat..!! I love getting into bed and find it so warm, it has 3 levels of heat and heats up fast.")</f>
        <v>What a treat..!! I love getting into bed and find it so warm, it has 3 levels of heat and heats up fast.</v>
      </c>
    </row>
    <row r="10515">
      <c r="A10515" s="1">
        <v>5.0</v>
      </c>
      <c r="B10515" s="1" t="s">
        <v>10425</v>
      </c>
      <c r="C10515" t="str">
        <f>IFERROR(__xludf.DUMMYFUNCTION("GOOGLETRANSLATE(B10515, ""es"", ""en"")"),"None as good as these bottles The best I've found. For my taste the best, most comfortable when hold them and the shape of the retina. The valve also magnificent a success.")</f>
        <v>None as good as these bottles The best I've found. For my taste the best, most comfortable when hold them and the shape of the retina. The valve also magnificent a success.</v>
      </c>
    </row>
    <row r="10516">
      <c r="A10516" s="1">
        <v>5.0</v>
      </c>
      <c r="B10516" s="1" t="s">
        <v>10426</v>
      </c>
      <c r="C10516" t="str">
        <f>IFERROR(__xludf.DUMMYFUNCTION("GOOGLETRANSLATE(B10516, ""es"", ""en"")"),"Although quiet and fast is a big deal, I have plenty of room on the counter. The speed with which squeezes and very quiet is a very important factor, in addition to the anti-drip system. highly recommended")</f>
        <v>Although quiet and fast is a big deal, I have plenty of room on the counter. The speed with which squeezes and very quiet is a very important factor, in addition to the anti-drip system. highly recommended</v>
      </c>
    </row>
    <row r="10517">
      <c r="A10517" s="1">
        <v>5.0</v>
      </c>
      <c r="B10517" s="1" t="s">
        <v>10427</v>
      </c>
      <c r="C10517" t="str">
        <f>IFERROR(__xludf.DUMMYFUNCTION("GOOGLETRANSLATE(B10517, ""es"", ""en"")"),"Very good quality Value very good. Folders are quality and good consistency.")</f>
        <v>Very good quality Value very good. Folders are quality and good consistency.</v>
      </c>
    </row>
    <row r="10518">
      <c r="A10518" s="1">
        <v>5.0</v>
      </c>
      <c r="B10518" s="1" t="s">
        <v>10428</v>
      </c>
      <c r="C10518" t="str">
        <f>IFERROR(__xludf.DUMMYFUNCTION("GOOGLETRANSLATE(B10518, ""es"", ""en"")"),"Very satisfied very satisfied with the purchase. Suckers come under does not move to the crush or liquefy. Very good quality and very powerful. Highly recommended.")</f>
        <v>Very satisfied very satisfied with the purchase. Suckers come under does not move to the crush or liquefy. Very good quality and very powerful. Highly recommended.</v>
      </c>
    </row>
    <row r="10519">
      <c r="A10519" s="1">
        <v>5.0</v>
      </c>
      <c r="B10519" s="1" t="s">
        <v>10429</v>
      </c>
      <c r="C10519" t="str">
        <f>IFERROR(__xludf.DUMMYFUNCTION("GOOGLETRANSLATE(B10519, ""es"", ""en"")"),"Very comfortable very comfortable")</f>
        <v>Very comfortable very comfortable</v>
      </c>
    </row>
    <row r="10520">
      <c r="A10520" s="1">
        <v>5.0</v>
      </c>
      <c r="B10520" s="1" t="s">
        <v>10430</v>
      </c>
      <c r="C10520" t="str">
        <f>IFERROR(__xludf.DUMMYFUNCTION("GOOGLETRANSLATE(B10520, ""es"", ""en"")"),"What you were looking Wonderful")</f>
        <v>What you were looking Wonderful</v>
      </c>
    </row>
    <row r="10521">
      <c r="A10521" s="1">
        <v>5.0</v>
      </c>
      <c r="B10521" s="1" t="s">
        <v>10431</v>
      </c>
      <c r="C10521" t="str">
        <f>IFERROR(__xludf.DUMMYFUNCTION("GOOGLETRANSLATE(B10521, ""es"", ""en"")"),"Good quality-price relation. I arrive in a timely manner. It takes me a while to get butt load. I'm still in test all its functions. The resin strap pararece too fragile. It is not very wide or thick, wait after a period of use to see if it is durable. It"&amp;"'s very light.")</f>
        <v>Good quality-price relation. I arrive in a timely manner. It takes me a while to get butt load. I'm still in test all its functions. The resin strap pararece too fragile. It is not very wide or thick, wait after a period of use to see if it is durable. It's very light.</v>
      </c>
    </row>
    <row r="10522">
      <c r="A10522" s="1">
        <v>5.0</v>
      </c>
      <c r="B10522" s="1" t="s">
        <v>10432</v>
      </c>
      <c r="C10522" t="str">
        <f>IFERROR(__xludf.DUMMYFUNCTION("GOOGLETRANSLATE(B10522, ""es"", ""en"")"),"Perfect I have loved for my niece and walks very well with them, we must be careful that reebok shoes a little big")</f>
        <v>Perfect I have loved for my niece and walks very well with them, we must be careful that reebok shoes a little big</v>
      </c>
    </row>
    <row r="10523">
      <c r="A10523" s="1">
        <v>5.0</v>
      </c>
      <c r="B10523" s="1" t="s">
        <v>10433</v>
      </c>
      <c r="C10523" t="str">
        <f>IFERROR(__xludf.DUMMYFUNCTION("GOOGLETRANSLATE(B10523, ""es"", ""en"")"),"The smallest pendrive of the market was looking for a USB flash drive as small as possible to put on the car player and this is definitely the best solution. Protrudes just 3mm USB port, so no bother at all and hardly seen. It is ridiculously small, but n"&amp;"evertheless, thanks to its shape, it is easy to extract from the port. It includes a small ring so you can put a wire / cord and carry on your key chain to keep him, as most flash drives.")</f>
        <v>The smallest pendrive of the market was looking for a USB flash drive as small as possible to put on the car player and this is definitely the best solution. Protrudes just 3mm USB port, so no bother at all and hardly seen. It is ridiculously small, but nevertheless, thanks to its shape, it is easy to extract from the port. It includes a small ring so you can put a wire / cord and carry on your key chain to keep him, as most flash drives.</v>
      </c>
    </row>
    <row r="10524">
      <c r="A10524" s="1">
        <v>5.0</v>
      </c>
      <c r="B10524" s="1" t="s">
        <v>10434</v>
      </c>
      <c r="C10524" t="str">
        <f>IFERROR(__xludf.DUMMYFUNCTION("GOOGLETRANSLATE(B10524, ""es"", ""en"")"),"Indispensable with Virobi Great Price. Essential for Virobi apparatus. They are strong and can be used a few times. I will buy more")</f>
        <v>Indispensable with Virobi Great Price. Essential for Virobi apparatus. They are strong and can be used a few times. I will buy more</v>
      </c>
    </row>
    <row r="10525">
      <c r="A10525" s="1">
        <v>5.0</v>
      </c>
      <c r="B10525" s="1" t="s">
        <v>10435</v>
      </c>
      <c r="C10525" t="str">
        <f>IFERROR(__xludf.DUMMYFUNCTION("GOOGLETRANSLATE(B10525, ""es"", ""en"")"),"VERY NICE was to make a gift and loved him")</f>
        <v>VERY NICE was to make a gift and loved him</v>
      </c>
    </row>
    <row r="10526">
      <c r="A10526" s="1">
        <v>5.0</v>
      </c>
      <c r="B10526" s="1" t="s">
        <v>10436</v>
      </c>
      <c r="C10526" t="str">
        <f>IFERROR(__xludf.DUMMYFUNCTION("GOOGLETRANSLATE(B10526, ""es"", ""en"")"),"Well the same as described")</f>
        <v>Well the same as described</v>
      </c>
    </row>
    <row r="10527">
      <c r="A10527" s="1">
        <v>5.0</v>
      </c>
      <c r="B10527" s="1" t="s">
        <v>10437</v>
      </c>
      <c r="C10527" t="str">
        <f>IFERROR(__xludf.DUMMYFUNCTION("GOOGLETRANSLATE(B10527, ""es"", ""en"")"),"practical and comfortable comfortable. recommendable")</f>
        <v>practical and comfortable comfortable. recommendable</v>
      </c>
    </row>
    <row r="10528">
      <c r="A10528" s="1">
        <v>5.0</v>
      </c>
      <c r="B10528" s="1" t="s">
        <v>10438</v>
      </c>
      <c r="C10528" t="str">
        <f>IFERROR(__xludf.DUMMYFUNCTION("GOOGLETRANSLATE(B10528, ""es"", ""en"")"),"Rosa I like to play sports is ideal even a little small chest is fresh and tiene.un.buen mantenimiento.del matter is any sport garment which is comfortable")</f>
        <v>Rosa I like to play sports is ideal even a little small chest is fresh and tiene.un.buen mantenimiento.del matter is any sport garment which is comfortable</v>
      </c>
    </row>
    <row r="10529">
      <c r="A10529" s="1">
        <v>5.0</v>
      </c>
      <c r="B10529" s="1" t="s">
        <v>10439</v>
      </c>
      <c r="C10529" t="str">
        <f>IFERROR(__xludf.DUMMYFUNCTION("GOOGLETRANSLATE(B10529, ""es"", ""en"")"),"Good buy good strength and quality")</f>
        <v>Good buy good strength and quality</v>
      </c>
    </row>
    <row r="10530">
      <c r="A10530" s="1">
        <v>2.0</v>
      </c>
      <c r="B10530" s="1" t="s">
        <v>10440</v>
      </c>
      <c r="C10530" t="str">
        <f>IFERROR(__xludf.DUMMYFUNCTION("GOOGLETRANSLATE(B10530, ""es"", ""en"")"),"Delay between sound and image I have received this morning, and am willing to try. Aspect I was not expecting much, but the truth is that they are better than expected. When testing the sound quality to the give the play on the phone I noticed as half sec"&amp;"ond delay between I gave and started listening, but I did not give importance first. However, after I tried it with my computer (has bluetooth), and I noticed the same delay also testing music. But then I decided to try playing, and there already saw clea"&amp;"rly the delay between the picture and sound shooting itself. I tried a youtube video, and the same: delay between the picture and sound. So I decided to return. Despite having chosen not return defective me everything, but honestly it is that I do not car"&amp;"e. I've been looking for good headphones months, and I'm not able to find any that are good and do not give me problems")</f>
        <v>Delay between sound and image I have received this morning, and am willing to try. Aspect I was not expecting much, but the truth is that they are better than expected. When testing the sound quality to the give the play on the phone I noticed as half second delay between I gave and started listening, but I did not give importance first. However, after I tried it with my computer (has bluetooth), and I noticed the same delay also testing music. But then I decided to try playing, and there already saw clearly the delay between the picture and sound shooting itself. I tried a youtube video, and the same: delay between the picture and sound. So I decided to return. Despite having chosen not return defective me everything, but honestly it is that I do not care. I've been looking for good headphones months, and I'm not able to find any that are good and do not give me problems</v>
      </c>
    </row>
    <row r="10531">
      <c r="A10531" s="1">
        <v>3.0</v>
      </c>
      <c r="B10531" s="1" t="s">
        <v>10441</v>
      </c>
      <c r="C10531" t="str">
        <f>IFERROR(__xludf.DUMMYFUNCTION("GOOGLETRANSLATE(B10531, ""es"", ""en"")"),"It took too long to arrive too late. Ok product.")</f>
        <v>It took too long to arrive too late. Ok product.</v>
      </c>
    </row>
    <row r="10532">
      <c r="A10532" s="1">
        <v>1.0</v>
      </c>
      <c r="B10532" s="1" t="s">
        <v>10442</v>
      </c>
      <c r="C10532" t="str">
        <f>IFERROR(__xludf.DUMMYFUNCTION("GOOGLETRANSLATE(B10532, ""es"", ""en"")"),"Rachel bought a month ago has been used 3 times porq is when the girl goes to board where my father and fatal was last seen Tido came out water so the steam holes .... how can I return it? Or I can do with it ... It is a terrible iron")</f>
        <v>Rachel bought a month ago has been used 3 times porq is when the girl goes to board where my father and fatal was last seen Tido came out water so the steam holes .... how can I return it? Or I can do with it ... It is a terrible iron</v>
      </c>
    </row>
    <row r="10533">
      <c r="A10533" s="1">
        <v>1.0</v>
      </c>
      <c r="B10533" s="1" t="s">
        <v>10443</v>
      </c>
      <c r="C10533" t="str">
        <f>IFERROR(__xludf.DUMMYFUNCTION("GOOGLETRANSLATE(B10533, ""es"", ""en"")"),"Fatal I bought these headphones in December last year, and after a month he stopped heard one side, so I get a replacement unit. Well, they have again broken a week of use. I'm hallucinating with this model, I had headphones Renfe that have lasted longer."&amp;" A disappointment.")</f>
        <v>Fatal I bought these headphones in December last year, and after a month he stopped heard one side, so I get a replacement unit. Well, they have again broken a week of use. I'm hallucinating with this model, I had headphones Renfe that have lasted longer. A disappointment.</v>
      </c>
    </row>
    <row r="10534">
      <c r="A10534" s="1">
        <v>4.0</v>
      </c>
      <c r="B10534" s="1" t="s">
        <v>10444</v>
      </c>
      <c r="C10534" t="str">
        <f>IFERROR(__xludf.DUMMYFUNCTION("GOOGLETRANSLATE(B10534, ""es"", ""en"")"),"Acceptable is a good bag as an accessory if a little heavy, if you put a lot of things then it becomes difficult access to them for encontarlas")</f>
        <v>Acceptable is a good bag as an accessory if a little heavy, if you put a lot of things then it becomes difficult access to them for encontarlas</v>
      </c>
    </row>
    <row r="10535">
      <c r="A10535" s="1">
        <v>4.0</v>
      </c>
      <c r="B10535" s="1" t="s">
        <v>10445</v>
      </c>
      <c r="C10535" t="str">
        <f>IFERROR(__xludf.DUMMYFUNCTION("GOOGLETRANSLATE(B10535, ""es"", ""en"")"),"Casio analog clock. I expected, simple, but with the quality of a Casio, always good, is a clock light great for people who like to see either the hands and the strap is of quality.")</f>
        <v>Casio analog clock. I expected, simple, but with the quality of a Casio, always good, is a clock light great for people who like to see either the hands and the strap is of quality.</v>
      </c>
    </row>
    <row r="10536">
      <c r="A10536" s="1">
        <v>4.0</v>
      </c>
      <c r="B10536" s="1" t="s">
        <v>10446</v>
      </c>
      <c r="C10536" t="str">
        <f>IFERROR(__xludf.DUMMYFUNCTION("GOOGLETRANSLATE(B10536, ""es"", ""en"")"),"It's good for a gift, but I could not keep out of the box and try it with the palm of his hand. Really relaxes and soothes the pain. I recommend it 100%")</f>
        <v>It's good for a gift, but I could not keep out of the box and try it with the palm of his hand. Really relaxes and soothes the pain. I recommend it 100%</v>
      </c>
    </row>
    <row r="10537">
      <c r="A10537" s="1">
        <v>4.0</v>
      </c>
      <c r="B10537" s="1" t="s">
        <v>10447</v>
      </c>
      <c r="C10537" t="str">
        <f>IFERROR(__xludf.DUMMYFUNCTION("GOOGLETRANSLATE(B10537, ""es"", ""en"")"),"Tipico delivers what it promises and at a great price. Little more can you ask for. Just what I was looking for.")</f>
        <v>Tipico delivers what it promises and at a great price. Little more can you ask for. Just what I was looking for.</v>
      </c>
    </row>
    <row r="10538">
      <c r="A10538" s="1">
        <v>4.0</v>
      </c>
      <c r="B10538" s="1" t="s">
        <v>10448</v>
      </c>
      <c r="C10538" t="str">
        <f>IFERROR(__xludf.DUMMYFUNCTION("GOOGLETRANSLATE(B10538, ""es"", ""en"")"),"Well at that price very good recorder at a very affordable price. I think the best of this range might even be better than the Tascam saw as the Internet. This second version seems better built than the first, with better screen and buttons, although stil"&amp;"l plastic. The good news is that thanks to this lightweight, and it is small, but it must be careful because it can easily break. It has a volume control recording and playback, vumeter reliable, entry 'line in' to internally record and many more options "&amp;"for audio recording and quality freely. I do not like that the batteries are not rechargeable batteries for many reasons, but I imagine that encarecería plus the entry price (but then is more expensive to buying as many disposable batteries), and can chan"&amp;"ge quickly at any time can also be an advantage. One drawback target does have is that the recording with microphones that have strained most notably all noise that causes the recorder to the touch. Careful with this. I've also noticed that the white nois"&amp;"e increases significantly from the level five of the volume, but it is strange because it is not linear 1 to 10, but half is reduced and becomes progressively up ... Overall I would definitely recommend for simple things but with certain quality requireme"&amp;"nts if the budget is very limited or not used very often. Otherwise perhaps better than buy out the long model.")</f>
        <v>Well at that price very good recorder at a very affordable price. I think the best of this range might even be better than the Tascam saw as the Internet. This second version seems better built than the first, with better screen and buttons, although still plastic. The good news is that thanks to this lightweight, and it is small, but it must be careful because it can easily break. It has a volume control recording and playback, vumeter reliable, entry 'line in' to internally record and many more options for audio recording and quality freely. I do not like that the batteries are not rechargeable batteries for many reasons, but I imagine that encarecería plus the entry price (but then is more expensive to buying as many disposable batteries), and can change quickly at any time can also be an advantage. One drawback target does have is that the recording with microphones that have strained most notably all noise that causes the recorder to the touch. Careful with this. I've also noticed that the white noise increases significantly from the level five of the volume, but it is strange because it is not linear 1 to 10, but half is reduced and becomes progressively up ... Overall I would definitely recommend for simple things but with certain quality requirements if the budget is very limited or not used very often. Otherwise perhaps better than buy out the long model.</v>
      </c>
    </row>
    <row r="10539">
      <c r="A10539" s="1">
        <v>5.0</v>
      </c>
      <c r="B10539" s="1" t="s">
        <v>10449</v>
      </c>
      <c r="C10539" t="str">
        <f>IFERROR(__xludf.DUMMYFUNCTION("GOOGLETRANSLATE(B10539, ""es"", ""en"")"),"ELEGANT very elegant and thought would be more upset about the material but not well enough slides the mouse.")</f>
        <v>ELEGANT very elegant and thought would be more upset about the material but not well enough slides the mouse.</v>
      </c>
    </row>
    <row r="10540">
      <c r="A10540" s="1">
        <v>5.0</v>
      </c>
      <c r="B10540" s="1" t="s">
        <v>10450</v>
      </c>
      <c r="C10540" t="str">
        <f>IFERROR(__xludf.DUMMYFUNCTION("GOOGLETRANSLATE(B10540, ""es"", ""en"")"),"Buenos perfect bottle of a good brand. Excellent price for this set, I think it is good choice for this type of product.")</f>
        <v>Buenos perfect bottle of a good brand. Excellent price for this set, I think it is good choice for this type of product.</v>
      </c>
    </row>
    <row r="10541">
      <c r="A10541" s="1">
        <v>5.0</v>
      </c>
      <c r="B10541" s="1" t="s">
        <v>10451</v>
      </c>
      <c r="C10541" t="str">
        <f>IFERROR(__xludf.DUMMYFUNCTION("GOOGLETRANSLATE(B10541, ""es"", ""en"")"),"This very well to my son, he is perfect the S, measured 164 and weighs 54 kg, Le taste and good quality.")</f>
        <v>This very well to my son, he is perfect the S, measured 164 and weighs 54 kg, Le taste and good quality.</v>
      </c>
    </row>
    <row r="10542">
      <c r="A10542" s="1">
        <v>5.0</v>
      </c>
      <c r="B10542" s="1" t="s">
        <v>10452</v>
      </c>
      <c r="C10542" t="str">
        <f>IFERROR(__xludf.DUMMYFUNCTION("GOOGLETRANSLATE(B10542, ""es"", ""en"")"),"Good is a good slate, magnets stick well. It is well written on it. I have no fault.")</f>
        <v>Good is a good slate, magnets stick well. It is well written on it. I have no fault.</v>
      </c>
    </row>
    <row r="10543">
      <c r="A10543" s="1">
        <v>5.0</v>
      </c>
      <c r="B10543" s="1" t="s">
        <v>10453</v>
      </c>
      <c r="C10543" t="str">
        <f>IFERROR(__xludf.DUMMYFUNCTION("GOOGLETRANSLATE(B10543, ""es"", ""en"")"),"fabulous I bought because I saw a review on youtube. He was not disappointed. Paste great paper and cardboard. I use it a lot, even for bookbinding. As lilac, perfectly you see where tail put so do not leave no corner unglued.")</f>
        <v>fabulous I bought because I saw a review on youtube. He was not disappointed. Paste great paper and cardboard. I use it a lot, even for bookbinding. As lilac, perfectly you see where tail put so do not leave no corner unglued.</v>
      </c>
    </row>
    <row r="10544">
      <c r="A10544" s="1">
        <v>5.0</v>
      </c>
      <c r="B10544" s="1" t="s">
        <v>10454</v>
      </c>
      <c r="C10544" t="str">
        <f>IFERROR(__xludf.DUMMYFUNCTION("GOOGLETRANSLATE(B10544, ""es"", ""en"")"),"Right's fine.")</f>
        <v>Right's fine.</v>
      </c>
    </row>
    <row r="10545">
      <c r="A10545" s="1">
        <v>5.0</v>
      </c>
      <c r="B10545" s="1" t="s">
        <v>10455</v>
      </c>
      <c r="C10545" t="str">
        <f>IFERROR(__xludf.DUMMYFUNCTION("GOOGLETRANSLATE(B10545, ""es"", ""en"")"),"Precious are wonderful, fine and feel fine, n and can take you all day without notice any itching or damage")</f>
        <v>Precious are wonderful, fine and feel fine, n and can take you all day without notice any itching or damage</v>
      </c>
    </row>
    <row r="10546">
      <c r="A10546" s="1">
        <v>5.0</v>
      </c>
      <c r="B10546" s="1" t="s">
        <v>10456</v>
      </c>
      <c r="C10546" t="str">
        <f>IFERROR(__xludf.DUMMYFUNCTION("GOOGLETRANSLATE(B10546, ""es"", ""en"")"),"Very nice Super Duper, as in the photo and very consistent")</f>
        <v>Very nice Super Duper, as in the photo and very consistent</v>
      </c>
    </row>
    <row r="10547">
      <c r="A10547" s="1">
        <v>5.0</v>
      </c>
      <c r="B10547" s="1" t="s">
        <v>10457</v>
      </c>
      <c r="C10547" t="str">
        <f>IFERROR(__xludf.DUMMYFUNCTION("GOOGLETRANSLATE(B10547, ""es"", ""en"")"),"Beautiful and practical works great, is a 3x1. It serves as a pilot for the night and acclimate well with its innovative design house, me going great for cold nights, and others clogged nose. You have the option to select the light you want or also switch"&amp;" off if not precisely that light. On the other hand, you also have the option to store the device in question: 1 hour, 3 hours, 6 hours or indefinitely (until water is consumed, which he himself goes out safely). It's pretty quiet and is really like this "&amp;"model. Since I bought my mother another model of the same brand and the light is not so powerful and it seems to sound a bit more.")</f>
        <v>Beautiful and practical works great, is a 3x1. It serves as a pilot for the night and acclimate well with its innovative design house, me going great for cold nights, and others clogged nose. You have the option to select the light you want or also switch off if not precisely that light. On the other hand, you also have the option to store the device in question: 1 hour, 3 hours, 6 hours or indefinitely (until water is consumed, which he himself goes out safely). It's pretty quiet and is really like this model. Since I bought my mother another model of the same brand and the light is not so powerful and it seems to sound a bit more.</v>
      </c>
    </row>
    <row r="10548">
      <c r="A10548" s="1">
        <v>5.0</v>
      </c>
      <c r="B10548" s="1" t="s">
        <v>10458</v>
      </c>
      <c r="C10548" t="str">
        <f>IFERROR(__xludf.DUMMYFUNCTION("GOOGLETRANSLATE(B10548, ""es"", ""en"")"),"Vicente Peasooooo Clock, is very lol, ostentatious, gaudy and CASIO ... Very good product beast. It is highly recommended, bad is when paying (not relatively cheap) but worth it.")</f>
        <v>Vicente Peasooooo Clock, is very lol, ostentatious, gaudy and CASIO ... Very good product beast. It is highly recommended, bad is when paying (not relatively cheap) but worth it.</v>
      </c>
    </row>
    <row r="10549">
      <c r="A10549" s="1">
        <v>5.0</v>
      </c>
      <c r="B10549" s="1" t="s">
        <v>10459</v>
      </c>
      <c r="C10549" t="str">
        <f>IFERROR(__xludf.DUMMYFUNCTION("GOOGLETRANSLATE(B10549, ""es"", ""en"")"),"Bag man and white dress Very good and nice bag, my son liked it a lot. Ah want to rectify it rectify is wise, in the comment I made in white dress, today is the birthday of my children, the dress is for my little girl, my daughter you delighted she knows "&amp;"fabrics and tells me this perfect. Sorry for my ignorance !!!!! ✌🏼🧚🏻♀️👍🙏")</f>
        <v>Bag man and white dress Very good and nice bag, my son liked it a lot. Ah want to rectify it rectify is wise, in the comment I made in white dress, today is the birthday of my children, the dress is for my little girl, my daughter you delighted she knows fabrics and tells me this perfect. Sorry for my ignorance !!!!! ✌🏼🧚🏻♀️👍🙏</v>
      </c>
    </row>
    <row r="10550">
      <c r="A10550" s="1">
        <v>5.0</v>
      </c>
      <c r="B10550" s="1" t="s">
        <v>10460</v>
      </c>
      <c r="C10550" t="str">
        <f>IFERROR(__xludf.DUMMYFUNCTION("GOOGLETRANSLATE(B10550, ""es"", ""en"")"),"Crystal lovely and beautifully packaged for gift! I arrive beautifully presented. Impressive for the price you expect me less and I was surprised, very nice gift buy it and I am delighted, I would buy it again.")</f>
        <v>Crystal lovely and beautifully packaged for gift! I arrive beautifully presented. Impressive for the price you expect me less and I was surprised, very nice gift buy it and I am delighted, I would buy it again.</v>
      </c>
    </row>
    <row r="10551">
      <c r="A10551" s="1">
        <v>5.0</v>
      </c>
      <c r="B10551" s="1" t="s">
        <v>10461</v>
      </c>
      <c r="C10551" t="str">
        <f>IFERROR(__xludf.DUMMYFUNCTION("GOOGLETRANSLATE(B10551, ""es"", ""en"")"),"Exactly what I was looking great cusando buy it. The only fault we can put, by putting some, it is that while the belt is very light metal, box overlying the clock (the sphere) is silver-colored plastic. But in a month or so I've always put a brand and no"&amp;"t use it up in the gym.")</f>
        <v>Exactly what I was looking great cusando buy it. The only fault we can put, by putting some, it is that while the belt is very light metal, box overlying the clock (the sphere) is silver-colored plastic. But in a month or so I've always put a brand and not use it up in the gym.</v>
      </c>
    </row>
    <row r="10552">
      <c r="A10552" s="1">
        <v>5.0</v>
      </c>
      <c r="B10552" s="1" t="s">
        <v>10462</v>
      </c>
      <c r="C10552" t="str">
        <f>IFERROR(__xludf.DUMMYFUNCTION("GOOGLETRANSLATE(B10552, ""es"", ""en"")"),"The perfect gift bought and the number of perfect foot.")</f>
        <v>The perfect gift bought and the number of perfect foot.</v>
      </c>
    </row>
    <row r="10553">
      <c r="A10553" s="1">
        <v>5.0</v>
      </c>
      <c r="B10553" s="1" t="s">
        <v>10463</v>
      </c>
      <c r="C10553" t="str">
        <f>IFERROR(__xludf.DUMMYFUNCTION("GOOGLETRANSLATE(B10553, ""es"", ""en"")"),"Cheap spectacular, robust and above all beautiful, it is a very simple design but which do not get tired, you can not ask more of a Casio. Charmed.")</f>
        <v>Cheap spectacular, robust and above all beautiful, it is a very simple design but which do not get tired, you can not ask more of a Casio. Charmed.</v>
      </c>
    </row>
    <row r="10554">
      <c r="A10554" s="1">
        <v>5.0</v>
      </c>
      <c r="B10554" s="1" t="s">
        <v>10464</v>
      </c>
      <c r="C10554" t="str">
        <f>IFERROR(__xludf.DUMMYFUNCTION("GOOGLETRANSLATE(B10554, ""es"", ""en"")"),"What good. Even outdoors. I used to everything. His first utility was to group the excess cable in the garden when he enters the charging station electric mower, ie for dejarllo weather and low rainfall north, one day yes, one day no. It was perfect, it w"&amp;"as raining, still raining and continues as if nothing had happened. Total arrangement: 1 cent. The velcro adheres well and hard, and the zone length can tighten Velcro will hold what you want. Another use was to secure the wiring of a Renault 4. Perfect. "&amp;"Resistant. One for an arbor or for electrical wiring fixed to the structure of a pergola. There is still, after suffering the sun. It is discreet as it is not too wide or too long and the color is black. It is very versatile, used for hundreds of things. "&amp;"No wonder the number 1 in sales. Adjustable and reusable What I do is strange to me that someone who buys this velcro strips 100 by more than 1 € highlight that has pelusilla (in my case it was not) and valued as if you had paid 10 times more. What's it t"&amp;"ake to get there? Yes, three and four weeks ... it is that you assume that but, rather, El Corte Ingles, if you find it, but not for 1 €.")</f>
        <v>What good. Even outdoors. I used to everything. His first utility was to group the excess cable in the garden when he enters the charging station electric mower, ie for dejarllo weather and low rainfall north, one day yes, one day no. It was perfect, it was raining, still raining and continues as if nothing had happened. Total arrangement: 1 cent. The velcro adheres well and hard, and the zone length can tighten Velcro will hold what you want. Another use was to secure the wiring of a Renault 4. Perfect. Resistant. One for an arbor or for electrical wiring fixed to the structure of a pergola. There is still, after suffering the sun. It is discreet as it is not too wide or too long and the color is black. It is very versatile, used for hundreds of things. No wonder the number 1 in sales. Adjustable and reusable What I do is strange to me that someone who buys this velcro strips 100 by more than 1 € highlight that has pelusilla (in my case it was not) and valued as if you had paid 10 times more. What's it take to get there? Yes, three and four weeks ... it is that you assume that but, rather, El Corte Ingles, if you find it, but not for 1 €.</v>
      </c>
    </row>
    <row r="10555">
      <c r="A10555" s="1">
        <v>5.0</v>
      </c>
      <c r="B10555" s="1" t="s">
        <v>10465</v>
      </c>
      <c r="C10555" t="str">
        <f>IFERROR(__xludf.DUMMYFUNCTION("GOOGLETRANSLATE(B10555, ""es"", ""en"")"),"I love good buy")</f>
        <v>I love good buy</v>
      </c>
    </row>
    <row r="10556">
      <c r="A10556" s="1">
        <v>5.0</v>
      </c>
      <c r="B10556" s="1" t="s">
        <v>10466</v>
      </c>
      <c r="C10556" t="str">
        <f>IFERROR(__xludf.DUMMYFUNCTION("GOOGLETRANSLATE(B10556, ""es"", ""en"")"),"Super comfort you comfortable")</f>
        <v>Super comfort you comfortable</v>
      </c>
    </row>
    <row r="10557">
      <c r="A10557" s="1">
        <v>2.0</v>
      </c>
      <c r="B10557" s="1" t="s">
        <v>10467</v>
      </c>
      <c r="C10557" t="str">
        <f>IFERROR(__xludf.DUMMYFUNCTION("GOOGLETRANSLATE(B10557, ""es"", ""en"")"),"poor quality material very resistant materials, broke in the third set.")</f>
        <v>poor quality material very resistant materials, broke in the third set.</v>
      </c>
    </row>
    <row r="10558">
      <c r="A10558" s="1">
        <v>3.0</v>
      </c>
      <c r="B10558" s="1" t="s">
        <v>10468</v>
      </c>
      <c r="C10558" t="str">
        <f>IFERROR(__xludf.DUMMYFUNCTION("GOOGLETRANSLATE(B10558, ""es"", ""en"")"),"Keep trying I got the hang of good power but still a good price")</f>
        <v>Keep trying I got the hang of good power but still a good price</v>
      </c>
    </row>
    <row r="10559">
      <c r="A10559" s="1">
        <v>3.0</v>
      </c>
      <c r="B10559" s="1" t="s">
        <v>10469</v>
      </c>
      <c r="C10559" t="str">
        <f>IFERROR(__xludf.DUMMYFUNCTION("GOOGLETRANSLATE(B10559, ""es"", ""en"")"),"The buy fast memory with the sole purpose of installing Windows, which made very quickly. The quality of the plastic is suitable. I do not use very often, I have a similar one that only use for backup and work well. Has a slot to place a rope, it would be"&amp;" advisable to come with one. The fact that the connector body can store sliding the memory has the advantage of not losing the cap closure but does not protect the same exposing the connector to the ingress of dust.")</f>
        <v>The buy fast memory with the sole purpose of installing Windows, which made very quickly. The quality of the plastic is suitable. I do not use very often, I have a similar one that only use for backup and work well. Has a slot to place a rope, it would be advisable to come with one. The fact that the connector body can store sliding the memory has the advantage of not losing the cap closure but does not protect the same exposing the connector to the ingress of dust.</v>
      </c>
    </row>
    <row r="10560">
      <c r="A10560" s="1">
        <v>1.0</v>
      </c>
      <c r="B10560" s="1" t="s">
        <v>10470</v>
      </c>
      <c r="C10560" t="str">
        <f>IFERROR(__xludf.DUMMYFUNCTION("GOOGLETRANSLATE(B10560, ""es"", ""en"")"),"Not good but did not work if the returned")</f>
        <v>Not good but did not work if the returned</v>
      </c>
    </row>
    <row r="10561">
      <c r="A10561" s="1">
        <v>1.0</v>
      </c>
      <c r="B10561" s="1" t="s">
        <v>10471</v>
      </c>
      <c r="C10561" t="str">
        <f>IFERROR(__xludf.DUMMYFUNCTION("GOOGLETRANSLATE(B10561, ""es"", ""en"")"),"Poor quality changes color turns yellow ... sleazy")</f>
        <v>Poor quality changes color turns yellow ... sleazy</v>
      </c>
    </row>
    <row r="10562">
      <c r="A10562" s="1">
        <v>4.0</v>
      </c>
      <c r="B10562" s="1" t="s">
        <v>10472</v>
      </c>
      <c r="C10562" t="str">
        <f>IFERROR(__xludf.DUMMYFUNCTION("GOOGLETRANSLATE(B10562, ""es"", ""en"")"),"Excellent excellent quality / price, no doubt. The quality of the sound is remarkable reproducing / excellent; volume, much higher that the ear can hear. The battery life is more than excellent; forget about the last time you carried. Its size is relative"&amp;"ly quite small and adaptability in the ears is really excellent. If you're looking for it is they do not fall from the ears or having to be poniéndotelos again by the movement of the sport itself, with these really you forget. They do not fall. Has the di"&amp;"sadvantage that, despite being quite small, and already have an aerodynamic shape, the fact stand out as one centimeter, it breaks the air and slightly annoying; They force you to turn up the volume then. And this happens to me at least iendo with bike an"&amp;"d perhaps from 10km / hour. The other drawback is that a Bluetooth signal to be lost sometimes with the body and that pisses you cut the song at the right time or when you were listening and strong. For the rest, it is one of the best buys I've done on th"&amp;"e internet.")</f>
        <v>Excellent excellent quality / price, no doubt. The quality of the sound is remarkable reproducing / excellent; volume, much higher that the ear can hear. The battery life is more than excellent; forget about the last time you carried. Its size is relatively quite small and adaptability in the ears is really excellent. If you're looking for it is they do not fall from the ears or having to be poniéndotelos again by the movement of the sport itself, with these really you forget. They do not fall. Has the disadvantage that, despite being quite small, and already have an aerodynamic shape, the fact stand out as one centimeter, it breaks the air and slightly annoying; They force you to turn up the volume then. And this happens to me at least iendo with bike and perhaps from 10km / hour. The other drawback is that a Bluetooth signal to be lost sometimes with the body and that pisses you cut the song at the right time or when you were listening and strong. For the rest, it is one of the best buys I've done on the internet.</v>
      </c>
    </row>
    <row r="10563">
      <c r="A10563" s="1">
        <v>4.0</v>
      </c>
      <c r="B10563" s="1" t="s">
        <v>10473</v>
      </c>
      <c r="C10563" t="str">
        <f>IFERROR(__xludf.DUMMYFUNCTION("GOOGLETRANSLATE(B10563, ""es"", ""en"")"),"Durability I really like the mixer. It is very powerful and lets the crusher fine. Loo has not liked is that some items are broken, he was immediately a meeting of the knife and now before the year are cracking vessel.")</f>
        <v>Durability I really like the mixer. It is very powerful and lets the crusher fine. Loo has not liked is that some items are broken, he was immediately a meeting of the knife and now before the year are cracking vessel.</v>
      </c>
    </row>
    <row r="10564">
      <c r="A10564" s="1">
        <v>4.0</v>
      </c>
      <c r="B10564" s="1" t="s">
        <v>10474</v>
      </c>
      <c r="C10564" t="str">
        <f>IFERROR(__xludf.DUMMYFUNCTION("GOOGLETRANSLATE(B10564, ""es"", ""en"")"),"Resembling good quality but the Wimblendon classic brand in gray, perfect size, just what we wanted. Good price")</f>
        <v>Resembling good quality but the Wimblendon classic brand in gray, perfect size, just what we wanted. Good price</v>
      </c>
    </row>
    <row r="10565">
      <c r="A10565" s="1">
        <v>4.0</v>
      </c>
      <c r="B10565" s="1" t="s">
        <v>10475</v>
      </c>
      <c r="C10565" t="str">
        <f>IFERROR(__xludf.DUMMYFUNCTION("GOOGLETRANSLATE(B10565, ""es"", ""en"")"),"Useful and attractive cheap compared to other brands and websites and stores. It makes its function. It is very safe and comfortable as retractable (manually) the case to protect the USB. Color, in my case, so I help because it costs more to lose.")</f>
        <v>Useful and attractive cheap compared to other brands and websites and stores. It makes its function. It is very safe and comfortable as retractable (manually) the case to protect the USB. Color, in my case, so I help because it costs more to lose.</v>
      </c>
    </row>
    <row r="10566">
      <c r="A10566" s="1">
        <v>4.0</v>
      </c>
      <c r="B10566" s="1" t="s">
        <v>10476</v>
      </c>
      <c r="C10566" t="str">
        <f>IFERROR(__xludf.DUMMYFUNCTION("GOOGLETRANSLATE(B10566, ""es"", ""en"")"),"Great comfort comfort for those who spend many hours standing without walking just. With great durability. No sweat feet or Uelen.")</f>
        <v>Great comfort comfort for those who spend many hours standing without walking just. With great durability. No sweat feet or Uelen.</v>
      </c>
    </row>
    <row r="10567">
      <c r="A10567" s="1">
        <v>5.0</v>
      </c>
      <c r="B10567" s="1" t="s">
        <v>10477</v>
      </c>
      <c r="C10567" t="str">
        <f>IFERROR(__xludf.DUMMYFUNCTION("GOOGLETRANSLATE(B10567, ""es"", ""en"")"),"I have good product spare when I break that took, maybe one more pocket had been well satisfied with the purchase")</f>
        <v>I have good product spare when I break that took, maybe one more pocket had been well satisfied with the purchase</v>
      </c>
    </row>
    <row r="10568">
      <c r="A10568" s="1">
        <v>5.0</v>
      </c>
      <c r="B10568" s="1" t="s">
        <v>10478</v>
      </c>
      <c r="C10568" t="str">
        <f>IFERROR(__xludf.DUMMYFUNCTION("GOOGLETRANSLATE(B10568, ""es"", ""en"")"),"Ideal is very nice and its weight does not seem lol looks good imitation. My daughter and my liked us.")</f>
        <v>Ideal is very nice and its weight does not seem lol looks good imitation. My daughter and my liked us.</v>
      </c>
    </row>
    <row r="10569">
      <c r="A10569" s="1">
        <v>5.0</v>
      </c>
      <c r="B10569" s="1" t="s">
        <v>4143</v>
      </c>
      <c r="C10569" t="str">
        <f>IFERROR(__xludf.DUMMYFUNCTION("GOOGLETRANSLATE(B10569, ""es"", ""en"")"),"All ok all ok")</f>
        <v>All ok all ok</v>
      </c>
    </row>
    <row r="10570">
      <c r="A10570" s="1">
        <v>5.0</v>
      </c>
      <c r="B10570" s="1" t="s">
        <v>10479</v>
      </c>
      <c r="C10570" t="str">
        <f>IFERROR(__xludf.DUMMYFUNCTION("GOOGLETRANSLATE(B10570, ""es"", ""en"")"),"Delighted with the product and service Although many reviews I read said it was not very strong (the material as an X-ray) seems to me excellent and more so for its price. And very fast.")</f>
        <v>Delighted with the product and service Although many reviews I read said it was not very strong (the material as an X-ray) seems to me excellent and more so for its price. And very fast.</v>
      </c>
    </row>
    <row r="10571">
      <c r="A10571" s="1">
        <v>5.0</v>
      </c>
      <c r="B10571" s="1" t="s">
        <v>10480</v>
      </c>
      <c r="C10571" t="str">
        <f>IFERROR(__xludf.DUMMYFUNCTION("GOOGLETRANSLATE(B10571, ""es"", ""en"")"),"Sporting goods Basic T-Shirt no aesthetic pretensions, but perfect for a day of gymnastic. Good pattern and silky and breathable material. The neck does not drown width and length and are generous. For the price you have and if you do not want tidbits is "&amp;"ideal.")</f>
        <v>Sporting goods Basic T-Shirt no aesthetic pretensions, but perfect for a day of gymnastic. Good pattern and silky and breathable material. The neck does not drown width and length and are generous. For the price you have and if you do not want tidbits is ideal.</v>
      </c>
    </row>
    <row r="10572">
      <c r="A10572" s="1">
        <v>5.0</v>
      </c>
      <c r="B10572" s="1" t="s">
        <v>10481</v>
      </c>
      <c r="C10572" t="str">
        <f>IFERROR(__xludf.DUMMYFUNCTION("GOOGLETRANSLATE(B10572, ""es"", ""en"")"),"Headset for Apple Va phenomenon, highly recommended.")</f>
        <v>Headset for Apple Va phenomenon, highly recommended.</v>
      </c>
    </row>
    <row r="10573">
      <c r="A10573" s="1">
        <v>5.0</v>
      </c>
      <c r="B10573" s="1" t="s">
        <v>10482</v>
      </c>
      <c r="C10573" t="str">
        <f>IFERROR(__xludf.DUMMYFUNCTION("GOOGLETRANSLATE(B10573, ""es"", ""en"")"),"Very good acquisition. Hello, the blender is going very well, I have given little use because I bought a few days ago only, it is very light in terms of weight, it does not make loud noises, design and color make very good combination, brand !! !! because"&amp;" we know from other appliances quality, strength and durabilidad.Resumiendo is very well priced, serves to do everything, if ice snack, I bought a package cubes are small to not force much, because the above I I had not performed well the function or romp"&amp;"en.Es recommended 100% fulfilled my expectations.")</f>
        <v>Very good acquisition. Hello, the blender is going very well, I have given little use because I bought a few days ago only, it is very light in terms of weight, it does not make loud noises, design and color make very good combination, brand !! !! because we know from other appliances quality, strength and durabilidad.Resumiendo is very well priced, serves to do everything, if ice snack, I bought a package cubes are small to not force much, because the above I I had not performed well the function or rompen.Es recommended 100% fulfilled my expectations.</v>
      </c>
    </row>
    <row r="10574">
      <c r="A10574" s="1">
        <v>5.0</v>
      </c>
      <c r="B10574" s="1" t="s">
        <v>10483</v>
      </c>
      <c r="C10574" t="str">
        <f>IFERROR(__xludf.DUMMYFUNCTION("GOOGLETRANSLATE(B10574, ""es"", ""en"")"),"Ignacio This garment is very comfortable, the color is very nice and high quality fabric. L size is perfect me.")</f>
        <v>Ignacio This garment is very comfortable, the color is very nice and high quality fabric. L size is perfect me.</v>
      </c>
    </row>
    <row r="10575">
      <c r="A10575" s="1">
        <v>5.0</v>
      </c>
      <c r="B10575" s="1" t="s">
        <v>10484</v>
      </c>
      <c r="C10575" t="str">
        <f>IFERROR(__xludf.DUMMYFUNCTION("GOOGLETRANSLATE(B10575, ""es"", ""en"")"),"recommended convenient to mark the clothes of my daughter, I have been surprised because I wash clothes marked many times and continues to imagine as the first day will depend on the type of fabric but overall very happy with the purchase. I will buy one "&amp;"for my other son. I read reviews that said it was very difficult to ride but it really has not happened in five minutes we had the name since.")</f>
        <v>recommended convenient to mark the clothes of my daughter, I have been surprised because I wash clothes marked many times and continues to imagine as the first day will depend on the type of fabric but overall very happy with the purchase. I will buy one for my other son. I read reviews that said it was very difficult to ride but it really has not happened in five minutes we had the name since.</v>
      </c>
    </row>
    <row r="10576">
      <c r="A10576" s="1">
        <v>5.0</v>
      </c>
      <c r="B10576" s="1" t="s">
        <v>10485</v>
      </c>
      <c r="C10576" t="str">
        <f>IFERROR(__xludf.DUMMYFUNCTION("GOOGLETRANSLATE(B10576, ""es"", ""en"")"),"Five Star Pen acupuncture massage easy to use.")</f>
        <v>Five Star Pen acupuncture massage easy to use.</v>
      </c>
    </row>
    <row r="10577">
      <c r="A10577" s="1">
        <v>5.0</v>
      </c>
      <c r="B10577" s="1" t="s">
        <v>10486</v>
      </c>
      <c r="C10577" t="str">
        <f>IFERROR(__xludf.DUMMYFUNCTION("GOOGLETRANSLATE(B10577, ""es"", ""en"")"),"Perfect for urbanites ✔ Two zippered compartments 1 and 2 respectively small pockets inside. In the main compartment fits a tablet up to 9 inches or umbrella to 35cm long. ✔ Material nylon water repellent. Very light. ok color and good quality. Padded str"&amp;"ap and comfortable to wear. ✔ Adjustable strap, can be worn on the chest or back.")</f>
        <v>Perfect for urbanites ✔ Two zippered compartments 1 and 2 respectively small pockets inside. In the main compartment fits a tablet up to 9 inches or umbrella to 35cm long. ✔ Material nylon water repellent. Very light. ok color and good quality. Padded strap and comfortable to wear. ✔ Adjustable strap, can be worn on the chest or back.</v>
      </c>
    </row>
    <row r="10578">
      <c r="A10578" s="1">
        <v>5.0</v>
      </c>
      <c r="B10578" s="1" t="s">
        <v>10487</v>
      </c>
      <c r="C10578" t="str">
        <f>IFERROR(__xludf.DUMMYFUNCTION("GOOGLETRANSLATE(B10578, ""es"", ""en"")"),"Quality with modern design USB 3.0 titanium color and design very space .. I always bought and trusted Samsung and this USB meets what I demand. Excellent buy")</f>
        <v>Quality with modern design USB 3.0 titanium color and design very space .. I always bought and trusted Samsung and this USB meets what I demand. Excellent buy</v>
      </c>
    </row>
    <row r="10579">
      <c r="A10579" s="1">
        <v>5.0</v>
      </c>
      <c r="B10579" s="1" t="s">
        <v>10488</v>
      </c>
      <c r="C10579" t="str">
        <f>IFERROR(__xludf.DUMMYFUNCTION("GOOGLETRANSLATE(B10579, ""es"", ""en"")"),"Smart was looking in clock elegant and beautiful at a low price, and I saw this I had very buens paints, the truth is that is beautiful, more in person than in pictures, the leather strap is very nice and comfortable and does not weigh much and sees robus"&amp;"t to scratches and bumps. It is very accurate, I have not delayed or advance one minute and does not make any noise, something which I loved, also brings chronometer function. It comes beautifully presented in its box, it has nothing to envy expensive bra"&amp;"nds")</f>
        <v>Smart was looking in clock elegant and beautiful at a low price, and I saw this I had very buens paints, the truth is that is beautiful, more in person than in pictures, the leather strap is very nice and comfortable and does not weigh much and sees robust to scratches and bumps. It is very accurate, I have not delayed or advance one minute and does not make any noise, something which I loved, also brings chronometer function. It comes beautifully presented in its box, it has nothing to envy expensive brands</v>
      </c>
    </row>
    <row r="10580">
      <c r="A10580" s="1">
        <v>5.0</v>
      </c>
      <c r="B10580" s="1" t="s">
        <v>10489</v>
      </c>
      <c r="C10580" t="str">
        <f>IFERROR(__xludf.DUMMYFUNCTION("GOOGLETRANSLATE(B10580, ""es"", ""en"")"),"Fast, quiet'm updating an HP6365 computer, I have placed inside the tower and have installed the operating system and photo editing programs. It goes very well, the difference from mechanical disks note that now use to store photos. I improved quickly! I "&amp;"recommend it!")</f>
        <v>Fast, quiet'm updating an HP6365 computer, I have placed inside the tower and have installed the operating system and photo editing programs. It goes very well, the difference from mechanical disks note that now use to store photos. I improved quickly! I recommend it!</v>
      </c>
    </row>
    <row r="10581">
      <c r="A10581" s="1">
        <v>5.0</v>
      </c>
      <c r="B10581" s="1" t="s">
        <v>10490</v>
      </c>
      <c r="C10581" t="str">
        <f>IFERROR(__xludf.DUMMYFUNCTION("GOOGLETRANSLATE(B10581, ""es"", ""en"")"),"Very pretty perfect")</f>
        <v>Very pretty perfect</v>
      </c>
    </row>
    <row r="10582">
      <c r="A10582" s="1">
        <v>5.0</v>
      </c>
      <c r="B10582" s="1" t="s">
        <v>10491</v>
      </c>
      <c r="C10582" t="str">
        <f>IFERROR(__xludf.DUMMYFUNCTION("GOOGLETRANSLATE(B10582, ""es"", ""en"")"),"Smooth functioning very happy, as is indicated in the description. It works very well with quite enough power. adequate size to heat dishes with a good height that allows you to use lids. Easy to use and intuitive software. So far very happy with the perf"&amp;"ormance.")</f>
        <v>Smooth functioning very happy, as is indicated in the description. It works very well with quite enough power. adequate size to heat dishes with a good height that allows you to use lids. Easy to use and intuitive software. So far very happy with the performance.</v>
      </c>
    </row>
    <row r="10583">
      <c r="A10583" s="1">
        <v>5.0</v>
      </c>
      <c r="B10583" s="1" t="s">
        <v>10492</v>
      </c>
      <c r="C10583" t="str">
        <f>IFERROR(__xludf.DUMMYFUNCTION("GOOGLETRANSLATE(B10583, ""es"", ""en"")"),"Pendrive is fine. I was looking for a pen cogiese what my radio since high memory capacity not catch me and that if I catch it. It comes with its cap to cover him and no dust or anything.")</f>
        <v>Pendrive is fine. I was looking for a pen cogiese what my radio since high memory capacity not catch me and that if I catch it. It comes with its cap to cover him and no dust or anything.</v>
      </c>
    </row>
    <row r="10584">
      <c r="A10584" s="1">
        <v>5.0</v>
      </c>
      <c r="B10584" s="1" t="s">
        <v>10493</v>
      </c>
      <c r="C10584" t="str">
        <f>IFERROR(__xludf.DUMMYFUNCTION("GOOGLETRANSLATE(B10584, ""es"", ""en"")"),"I seem strong and durable have liked. They come with 5 types of lenses well placed in a small house. It is easy to change. I have not been long put, which have not used the elastic support. I seem a bit heavy even without batteries, but I think I'll use a"&amp;" lot.")</f>
        <v>I seem strong and durable have liked. They come with 5 types of lenses well placed in a small house. It is easy to change. I have not been long put, which have not used the elastic support. I seem a bit heavy even without batteries, but I think I'll use a lot.</v>
      </c>
    </row>
    <row r="10585">
      <c r="A10585" s="1">
        <v>5.0</v>
      </c>
      <c r="B10585" s="1" t="s">
        <v>10494</v>
      </c>
      <c r="C10585" t="str">
        <f>IFERROR(__xludf.DUMMYFUNCTION("GOOGLETRANSLATE(B10585, ""es"", ""en"")"),"Very good headphones I bought these headphones because I broke the previous ones had. The fact that the price corresponds to the product. The box includes earphones, case / charging station, the micro USB charging cable, a bag and manual Typical. Starting"&amp;" with the box, looks quite sturdy, with LEDs that indicate amount of charge, you can charge any device as a mobile as it has USB port. The headphones are pretty good quality. To exercise are pretty good, do not move to penalties ear bone that couple well."&amp;" About sound quality I liked a lot, might please a tad more serious (I'm picky about sound) and for the battery can not make an exact estimate, but I've spent for a week, several times in several days, I think it will be between 2/3 hours.")</f>
        <v>Very good headphones I bought these headphones because I broke the previous ones had. The fact that the price corresponds to the product. The box includes earphones, case / charging station, the micro USB charging cable, a bag and manual Typical. Starting with the box, looks quite sturdy, with LEDs that indicate amount of charge, you can charge any device as a mobile as it has USB port. The headphones are pretty good quality. To exercise are pretty good, do not move to penalties ear bone that couple well. About sound quality I liked a lot, might please a tad more serious (I'm picky about sound) and for the battery can not make an exact estimate, but I've spent for a week, several times in several days, I think it will be between 2/3 hours.</v>
      </c>
    </row>
    <row r="10586">
      <c r="A10586" s="1">
        <v>2.0</v>
      </c>
      <c r="B10586" s="1" t="s">
        <v>10495</v>
      </c>
      <c r="C10586" t="str">
        <f>IFERROR(__xludf.DUMMYFUNCTION("GOOGLETRANSLATE(B10586, ""es"", ""en"")"),"It's pretty big but nice is nice, plump cloth, warm. On the back it is quite long, cover your ass with size s / m. It is modern, bat sleeve.")</f>
        <v>It's pretty big but nice is nice, plump cloth, warm. On the back it is quite long, cover your ass with size s / m. It is modern, bat sleeve.</v>
      </c>
    </row>
    <row r="10587">
      <c r="A10587" s="1">
        <v>3.0</v>
      </c>
      <c r="B10587" s="1" t="s">
        <v>10496</v>
      </c>
      <c r="C10587" t="str">
        <f>IFERROR(__xludf.DUMMYFUNCTION("GOOGLETRANSLATE(B10587, ""es"", ""en"")"),"Monica delivery and product well, but I did not like this bottle, I've changed to Avent and I'm happier")</f>
        <v>Monica delivery and product well, but I did not like this bottle, I've changed to Avent and I'm happier</v>
      </c>
    </row>
    <row r="10588">
      <c r="A10588" s="1">
        <v>3.0</v>
      </c>
      <c r="B10588" s="1" t="s">
        <v>10497</v>
      </c>
      <c r="C10588" t="str">
        <f>IFERROR(__xludf.DUMMYFUNCTION("GOOGLETRANSLATE(B10588, ""es"", ""en"")"),"Not as good as they say After trying my vacuum cleaner for a week I can give my opinion. - The battery does not last 45 minutes or joke, 25 minutes and off. - You have to use it to maximum power, minimum power is a broom and do not absolutely useless. Do "&amp;"not remove or bread crumbs. - No fits under the sofa, negative. - It is comfortable, go walking around the house. - What of 2.5 kg is a tomfoolery. What weighs 2.5 kg is ONLY handheld vacuum cleaner, but complete vacuum cleaner weighs much more, I assure "&amp;"you. And it is not that easy, much less handle the aspirator hand, when you take a while vacuuming the couch, your arm hurts. - It cleans easily, but the deposit itself is very small. - It does not take long to load. - The price is steep for what is itsel"&amp;"f the vacuum cleaner. What would buy? NOT worth that price. I'm seriously complain about the battery issue. It does not seem normal to put that lasts 45 minutes and will last 20 minutes. You start to miss my vacuum cleaner with cable, with which I threw o"&amp;"ne hours vacuuming the house, sofa, furniture ...")</f>
        <v>Not as good as they say After trying my vacuum cleaner for a week I can give my opinion. - The battery does not last 45 minutes or joke, 25 minutes and off. - You have to use it to maximum power, minimum power is a broom and do not absolutely useless. Do not remove or bread crumbs. - No fits under the sofa, negative. - It is comfortable, go walking around the house. - What of 2.5 kg is a tomfoolery. What weighs 2.5 kg is ONLY handheld vacuum cleaner, but complete vacuum cleaner weighs much more, I assure you. And it is not that easy, much less handle the aspirator hand, when you take a while vacuuming the couch, your arm hurts. - It cleans easily, but the deposit itself is very small. - It does not take long to load. - The price is steep for what is itself the vacuum cleaner. What would buy? NOT worth that price. I'm seriously complain about the battery issue. It does not seem normal to put that lasts 45 minutes and will last 20 minutes. You start to miss my vacuum cleaner with cable, with which I threw one hours vacuuming the house, sofa, furniture ...</v>
      </c>
    </row>
    <row r="10589">
      <c r="A10589" s="1">
        <v>1.0</v>
      </c>
      <c r="B10589" s="1" t="s">
        <v>10498</v>
      </c>
      <c r="C10589" t="str">
        <f>IFERROR(__xludf.DUMMYFUNCTION("GOOGLETRANSLATE(B10589, ""es"", ""en"")"),"I've returned bad acquisition; besides that in the dark you can not see the time; in a week I have been twice delayed by almost two hours, I was even stopped once. Not recommendable.")</f>
        <v>I've returned bad acquisition; besides that in the dark you can not see the time; in a week I have been twice delayed by almost two hours, I was even stopped once. Not recommendable.</v>
      </c>
    </row>
    <row r="10590">
      <c r="A10590" s="1">
        <v>1.0</v>
      </c>
      <c r="B10590" s="1" t="s">
        <v>10499</v>
      </c>
      <c r="C10590" t="str">
        <f>IFERROR(__xludf.DUMMYFUNCTION("GOOGLETRANSLATE(B10590, ""es"", ""en"")"),"Economic Note too below par but I guess for the price you can not expect too much but had bought necklaces and other jewelry before looked better. The main drawback that I see not so much as a pendant necklace is supermalo the material links too fat for a"&amp;"ll (me not hit anything) and I find it short.")</f>
        <v>Economic Note too below par but I guess for the price you can not expect too much but had bought necklaces and other jewelry before looked better. The main drawback that I see not so much as a pendant necklace is supermalo the material links too fat for all (me not hit anything) and I find it short.</v>
      </c>
    </row>
    <row r="10591">
      <c r="A10591" s="1">
        <v>1.0</v>
      </c>
      <c r="B10591" s="1" t="s">
        <v>10500</v>
      </c>
      <c r="C10591" t="str">
        <f>IFERROR(__xludf.DUMMYFUNCTION("GOOGLETRANSLATE(B10591, ""es"", ""en"")"),"It's not what I thought not stand the heat, the tape is peeled. Use it to attach curtains to keep out the sun.")</f>
        <v>It's not what I thought not stand the heat, the tape is peeled. Use it to attach curtains to keep out the sun.</v>
      </c>
    </row>
    <row r="10592">
      <c r="A10592" s="1">
        <v>4.0</v>
      </c>
      <c r="B10592" s="1" t="s">
        <v>10501</v>
      </c>
      <c r="C10592" t="str">
        <f>IFERROR(__xludf.DUMMYFUNCTION("GOOGLETRANSLATE(B10592, ""es"", ""en"")"),"Practical and comfortable for the pool or beach. I do not like to walk a lot with them but the city already indicated go well. I bought discounted because its original price seems excessive for a pair of sandals. On the river I went off the central strip "&amp;"because of the mud but there was no problem replacing it.")</f>
        <v>Practical and comfortable for the pool or beach. I do not like to walk a lot with them but the city already indicated go well. I bought discounted because its original price seems excessive for a pair of sandals. On the river I went off the central strip because of the mud but there was no problem replacing it.</v>
      </c>
    </row>
    <row r="10593">
      <c r="A10593" s="1">
        <v>4.0</v>
      </c>
      <c r="B10593" s="1" t="s">
        <v>10502</v>
      </c>
      <c r="C10593" t="str">
        <f>IFERROR(__xludf.DUMMYFUNCTION("GOOGLETRANSLATE(B10593, ""es"", ""en"")"),"Versatile very good option to customize the label. you have to have some patience to put the letters by the size they have. In perfect print paper but fabric, which is more noticeable rregular a fault.")</f>
        <v>Versatile very good option to customize the label. you have to have some patience to put the letters by the size they have. In perfect print paper but fabric, which is more noticeable rregular a fault.</v>
      </c>
    </row>
    <row r="10594">
      <c r="A10594" s="1">
        <v>4.0</v>
      </c>
      <c r="B10594" s="1" t="s">
        <v>10503</v>
      </c>
      <c r="C10594" t="str">
        <f>IFERROR(__xludf.DUMMYFUNCTION("GOOGLETRANSLATE(B10594, ""es"", ""en"")"),"Perfect weigh nothing, they are very comfortable, they are like the pictures. Soled white, perfect to go walking every day or go jogging a few times a week.")</f>
        <v>Perfect weigh nothing, they are very comfortable, they are like the pictures. Soled white, perfect to go walking every day or go jogging a few times a week.</v>
      </c>
    </row>
    <row r="10595">
      <c r="A10595" s="1">
        <v>4.0</v>
      </c>
      <c r="B10595" s="1" t="s">
        <v>10504</v>
      </c>
      <c r="C10595" t="str">
        <f>IFERROR(__xludf.DUMMYFUNCTION("GOOGLETRANSLATE(B10595, ""es"", ""en"")"),"Adhesive tape paper work required for the office or home, very practical, the renowned brand of long ago, good value, recommended to my friends")</f>
        <v>Adhesive tape paper work required for the office or home, very practical, the renowned brand of long ago, good value, recommended to my friends</v>
      </c>
    </row>
    <row r="10596">
      <c r="A10596" s="1">
        <v>5.0</v>
      </c>
      <c r="B10596" s="1" t="s">
        <v>10505</v>
      </c>
      <c r="C10596" t="str">
        <f>IFERROR(__xludf.DUMMYFUNCTION("GOOGLETRANSLATE(B10596, ""es"", ""en"")"),"Good product. It's what I expected.")</f>
        <v>Good product. It's what I expected.</v>
      </c>
    </row>
    <row r="10597">
      <c r="A10597" s="1">
        <v>5.0</v>
      </c>
      <c r="B10597" s="1" t="s">
        <v>10506</v>
      </c>
      <c r="C10597" t="str">
        <f>IFERROR(__xludf.DUMMYFUNCTION("GOOGLETRANSLATE(B10597, ""es"", ""en"")"),"Super recommended! I was quite surprised to see this price in a wireless headset and did not think that I would like so much. They are super comfortable, as a general rule I tend to hurt the ears after a while to wear helmets, but with these and I find th"&amp;"at I take them. I walk around the house and not lose the signal is heard very clear and go with a cover that is super comfortable to carry. Definitely I recommend it for anyone who needs a headset and do not want to spend a lot of money. Very happy with t"&amp;"he purchase!")</f>
        <v>Super recommended! I was quite surprised to see this price in a wireless headset and did not think that I would like so much. They are super comfortable, as a general rule I tend to hurt the ears after a while to wear helmets, but with these and I find that I take them. I walk around the house and not lose the signal is heard very clear and go with a cover that is super comfortable to carry. Definitely I recommend it for anyone who needs a headset and do not want to spend a lot of money. Very happy with the purchase!</v>
      </c>
    </row>
    <row r="10598">
      <c r="A10598" s="1">
        <v>5.0</v>
      </c>
      <c r="B10598" s="1" t="s">
        <v>10507</v>
      </c>
      <c r="C10598" t="str">
        <f>IFERROR(__xludf.DUMMYFUNCTION("GOOGLETRANSLATE(B10598, ""es"", ""en"")"),"within great delivery they gave me a deadline of one month to the end I sent an e q what could have on the plaxzo a week, so very happy with the deal and see who care about the user.The great product as usual")</f>
        <v>within great delivery they gave me a deadline of one month to the end I sent an e q what could have on the plaxzo a week, so very happy with the deal and see who care about the user.The great product as usual</v>
      </c>
    </row>
    <row r="10599">
      <c r="A10599" s="1">
        <v>5.0</v>
      </c>
      <c r="B10599" s="1" t="s">
        <v>10508</v>
      </c>
      <c r="C10599" t="str">
        <f>IFERROR(__xludf.DUMMYFUNCTION("GOOGLETRANSLATE(B10599, ""es"", ""en"")"),"Great works great, the would buy.")</f>
        <v>Great works great, the would buy.</v>
      </c>
    </row>
    <row r="10600">
      <c r="A10600" s="1">
        <v>5.0</v>
      </c>
      <c r="B10600" s="1" t="s">
        <v>10509</v>
      </c>
      <c r="C10600" t="str">
        <f>IFERROR(__xludf.DUMMYFUNCTION("GOOGLETRANSLATE(B10600, ""es"", ""en"")"),"Good quality and speed Perfect quality cast. Comes with original tags Nike. rather large size and weight 73kg Mido 1.81 and M me looks good, although a tad loose (this type of tracksuit goes adjusted)")</f>
        <v>Good quality and speed Perfect quality cast. Comes with original tags Nike. rather large size and weight 73kg Mido 1.81 and M me looks good, although a tad loose (this type of tracksuit goes adjusted)</v>
      </c>
    </row>
    <row r="10601">
      <c r="A10601" s="1">
        <v>5.0</v>
      </c>
      <c r="B10601" s="1" t="s">
        <v>10510</v>
      </c>
      <c r="C10601" t="str">
        <f>IFERROR(__xludf.DUMMYFUNCTION("GOOGLETRANSLATE(B10601, ""es"", ""en"")"),"Elena beautiful and very comfortable jimenez've loved him for his classes d dance, not anything I took 24 hours or so and they were at home")</f>
        <v>Elena beautiful and very comfortable jimenez've loved him for his classes d dance, not anything I took 24 hours or so and they were at home</v>
      </c>
    </row>
    <row r="10602">
      <c r="A10602" s="1">
        <v>5.0</v>
      </c>
      <c r="B10602" s="1" t="s">
        <v>10511</v>
      </c>
      <c r="C10602" t="str">
        <f>IFERROR(__xludf.DUMMYFUNCTION("GOOGLETRANSLATE(B10602, ""es"", ""en"")"),"Good product perfect size for me. 174 and 73kg. For taller people will be fine too. The material and all seem 100% Original")</f>
        <v>Good product perfect size for me. 174 and 73kg. For taller people will be fine too. The material and all seem 100% Original</v>
      </c>
    </row>
    <row r="10603">
      <c r="A10603" s="1">
        <v>5.0</v>
      </c>
      <c r="B10603" s="1" t="s">
        <v>10512</v>
      </c>
      <c r="C10603" t="str">
        <f>IFERROR(__xludf.DUMMYFUNCTION("GOOGLETRANSLATE(B10603, ""es"", ""en"")"),"CAROLINA seems perfect, has a flange on the tank so that coffee prevents it from spilling.")</f>
        <v>CAROLINA seems perfect, has a flange on the tank so that coffee prevents it from spilling.</v>
      </c>
    </row>
    <row r="10604">
      <c r="A10604" s="1">
        <v>5.0</v>
      </c>
      <c r="B10604" s="1" t="s">
        <v>10513</v>
      </c>
      <c r="C10604" t="str">
        <f>IFERROR(__xludf.DUMMYFUNCTION("GOOGLETRANSLATE(B10604, ""es"", ""en"")"),"the best I've experienced have bought several but all softwoods prove very least this. After 2 years he is cleaning up as new. It's not cheap but it has much more quality")</f>
        <v>the best I've experienced have bought several but all softwoods prove very least this. After 2 years he is cleaning up as new. It's not cheap but it has much more quality</v>
      </c>
    </row>
    <row r="10605">
      <c r="A10605" s="1">
        <v>5.0</v>
      </c>
      <c r="B10605" s="1" t="s">
        <v>10514</v>
      </c>
      <c r="C10605" t="str">
        <f>IFERROR(__xludf.DUMMYFUNCTION("GOOGLETRANSLATE(B10605, ""es"", ""en"")"),"perfect perfect never disappoint")</f>
        <v>perfect perfect never disappoint</v>
      </c>
    </row>
    <row r="10606">
      <c r="A10606" s="1">
        <v>5.0</v>
      </c>
      <c r="B10606" s="1" t="s">
        <v>10515</v>
      </c>
      <c r="C10606" t="str">
        <f>IFERROR(__xludf.DUMMYFUNCTION("GOOGLETRANSLATE(B10606, ""es"", ""en"")"),"Perfect fit. This case is suitable for this model of external DD, perfectly fixed and has pads that protect the device, 100% recommended!")</f>
        <v>Perfect fit. This case is suitable for this model of external DD, perfectly fixed and has pads that protect the device, 100% recommended!</v>
      </c>
    </row>
    <row r="10607">
      <c r="A10607" s="1">
        <v>5.0</v>
      </c>
      <c r="B10607" s="1" t="s">
        <v>10516</v>
      </c>
      <c r="C10607" t="str">
        <f>IFERROR(__xludf.DUMMYFUNCTION("GOOGLETRANSLATE(B10607, ""es"", ""en"")"),"All good stick well to touch but seems not acabdo d eprobarlo and detach it cost me in a box of paper has torn so if that adhere surprisingly well. They sound pretty but hey, it's awful.")</f>
        <v>All good stick well to touch but seems not acabdo d eprobarlo and detach it cost me in a box of paper has torn so if that adhere surprisingly well. They sound pretty but hey, it's awful.</v>
      </c>
    </row>
    <row r="10608">
      <c r="A10608" s="1">
        <v>5.0</v>
      </c>
      <c r="B10608" s="1" t="s">
        <v>10517</v>
      </c>
      <c r="C10608" t="str">
        <f>IFERROR(__xludf.DUMMYFUNCTION("GOOGLETRANSLATE(B10608, ""es"", ""en"")"),"Good headphones are comfortable and good sound.")</f>
        <v>Good headphones are comfortable and good sound.</v>
      </c>
    </row>
    <row r="10609">
      <c r="A10609" s="1">
        <v>5.0</v>
      </c>
      <c r="B10609" s="1" t="s">
        <v>10518</v>
      </c>
      <c r="C10609" t="str">
        <f>IFERROR(__xludf.DUMMYFUNCTION("GOOGLETRANSLATE(B10609, ""es"", ""en"")"),"Fantastic Són suaus i is not quan is porten note. Sonoritat perfecte. The faig serve sobretot per Pellicules veure i ara prefereixo veure-les auriculars that sense amb els. Sembla the cinema !.")</f>
        <v>Fantastic Són suaus i is not quan is porten note. Sonoritat perfecte. The faig serve sobretot per Pellicules veure i ara prefereixo veure-les auriculars that sense amb els. Sembla the cinema !.</v>
      </c>
    </row>
    <row r="10610">
      <c r="A10610" s="1">
        <v>5.0</v>
      </c>
      <c r="B10610" s="1" t="s">
        <v>10519</v>
      </c>
      <c r="C10610" t="str">
        <f>IFERROR(__xludf.DUMMYFUNCTION("GOOGLETRANSLATE(B10610, ""es"", ""en"")"),"Very happy Slippers completely original. Carve Like all AF1. Good buy.")</f>
        <v>Very happy Slippers completely original. Carve Like all AF1. Good buy.</v>
      </c>
    </row>
    <row r="10611">
      <c r="A10611" s="1">
        <v>5.0</v>
      </c>
      <c r="B10611" s="1" t="s">
        <v>10520</v>
      </c>
      <c r="C10611" t="str">
        <f>IFERROR(__xludf.DUMMYFUNCTION("GOOGLETRANSLATE(B10611, ""es"", ""en"")"),"It works great coins")</f>
        <v>It works great coins</v>
      </c>
    </row>
    <row r="10612">
      <c r="A10612" s="1">
        <v>5.0</v>
      </c>
      <c r="B10612" s="1" t="s">
        <v>10521</v>
      </c>
      <c r="C10612" t="str">
        <f>IFERROR(__xludf.DUMMYFUNCTION("GOOGLETRANSLATE(B10612, ""es"", ""en"")"),"Impressive change in portable 10 ""Already a few years ago quw have a portable mini 10"" with elnpaso the years has been somewhat cornered at home with a very sporadic use by that nostalgia is ke has changed several sometimes the SO And soon poured revive"&amp;" him well, until you increase the RAM from 1GB to 2GB, some win, but ... changing the HD by the SSD has been another, has become more agile and stable installing a clean OS and the app I use for the PSW. It was a very good buy.")</f>
        <v>Impressive change in portable 10 "Already a few years ago quw have a portable mini 10" with elnpaso the years has been somewhat cornered at home with a very sporadic use by that nostalgia is ke has changed several sometimes the SO And soon poured revive him well, until you increase the RAM from 1GB to 2GB, some win, but ... changing the HD by the SSD has been another, has become more agile and stable installing a clean OS and the app I use for the PSW. It was a very good buy.</v>
      </c>
    </row>
    <row r="10613">
      <c r="A10613" s="1">
        <v>5.0</v>
      </c>
      <c r="B10613" s="1" t="s">
        <v>10522</v>
      </c>
      <c r="C10613" t="str">
        <f>IFERROR(__xludf.DUMMYFUNCTION("GOOGLETRANSLATE(B10613, ""es"", ""en"")"),"They perfect comfort and are very comfortable. I of bambas chock 42 but is're 41, and that fit great.")</f>
        <v>They perfect comfort and are very comfortable. I of bambas chock 42 but is're 41, and that fit great.</v>
      </c>
    </row>
    <row r="10614">
      <c r="A10614" s="1">
        <v>5.0</v>
      </c>
      <c r="B10614" s="1" t="s">
        <v>10523</v>
      </c>
      <c r="C10614" t="str">
        <f>IFERROR(__xludf.DUMMYFUNCTION("GOOGLETRANSLATE(B10614, ""es"", ""en"")"),"Jorge vidal. Wear with shoes one day and phenomenal .llevaba with pain in the soles of the feet 15 days and not hurt today and m very happy .I am greeting .a")</f>
        <v>Jorge vidal. Wear with shoes one day and phenomenal .llevaba with pain in the soles of the feet 15 days and not hurt today and m very happy .I am greeting .a</v>
      </c>
    </row>
    <row r="10615">
      <c r="A10615" s="1">
        <v>2.0</v>
      </c>
      <c r="B10615" s="1" t="s">
        <v>10524</v>
      </c>
      <c r="C10615" t="str">
        <f>IFERROR(__xludf.DUMMYFUNCTION("GOOGLETRANSLATE(B10615, ""es"", ""en"")"),"Not suitable for conversations is a great sound when listening to music. Very deep, clean. But the sound quality is very low when you talk to someone in a voice call. And the microphone is worse than the Chinese standard headphones for 20 euros. The other"&amp;" person hears me walking, stirring sugar into a cup, people talking on the street in front. And he hears all this better than me. And when the wind is weak outside, it is impossible to speak. The other person hears only the wind.")</f>
        <v>Not suitable for conversations is a great sound when listening to music. Very deep, clean. But the sound quality is very low when you talk to someone in a voice call. And the microphone is worse than the Chinese standard headphones for 20 euros. The other person hears me walking, stirring sugar into a cup, people talking on the street in front. And he hears all this better than me. And when the wind is weak outside, it is impossible to speak. The other person hears only the wind.</v>
      </c>
    </row>
    <row r="10616">
      <c r="A10616" s="1">
        <v>3.0</v>
      </c>
      <c r="B10616" s="1" t="s">
        <v>10525</v>
      </c>
      <c r="C10616" t="str">
        <f>IFERROR(__xludf.DUMMYFUNCTION("GOOGLETRANSLATE(B10616, ""es"", ""en"")"),"AKG K702 headphones these headphones I ordered my son and I leave your opinion about them: focused headphones for use in music production, mixing or mastering homestudio (in my case), not only recommend to listen to music or watch TV. - These headphones a"&amp;"re open, so do not isolate the sound (if you listen at normal volume may annoy people around should be in a quiet place and conversely if outside noise you would hinder listening to the audio ) - circumaural their pads are not comfortable on the ears, if "&amp;"not around them (to the end of time with them posts make me uncomfortable by the pressure exerted by me in the jaw and ear) (I must say that I am thin face and head rather small). - High-fidelity sound. Unlike other headphones that will be more accustomed"&amp;" to serial enhance low frequencies for example, they maintain a more flat response (no ""wear makeup"" sound) which at the beginning was a bit disappointed but with the use finish getting used hearing and appreciating its clean sound in which we can disti"&amp;"nguish fine details. - The cable is connected to the handset by a mini-XLR input and at the other end has a mini-jack or TRS (3.5mm) plug with a threaded adapter passing Jack (6.35mm). As I will not be buying for headphones which are better I stay but not"&amp;" these would buy and when spoilage and I will look for others. Thanks and regards.")</f>
        <v>AKG K702 headphones these headphones I ordered my son and I leave your opinion about them: focused headphones for use in music production, mixing or mastering homestudio (in my case), not only recommend to listen to music or watch TV. - These headphones are open, so do not isolate the sound (if you listen at normal volume may annoy people around should be in a quiet place and conversely if outside noise you would hinder listening to the audio ) - circumaural their pads are not comfortable on the ears, if not around them (to the end of time with them posts make me uncomfortable by the pressure exerted by me in the jaw and ear) (I must say that I am thin face and head rather small). - High-fidelity sound. Unlike other headphones that will be more accustomed to serial enhance low frequencies for example, they maintain a more flat response (no "wear makeup" sound) which at the beginning was a bit disappointed but with the use finish getting used hearing and appreciating its clean sound in which we can distinguish fine details. - The cable is connected to the handset by a mini-XLR input and at the other end has a mini-jack or TRS (3.5mm) plug with a threaded adapter passing Jack (6.35mm). As I will not be buying for headphones which are better I stay but not these would buy and when spoilage and I will look for others. Thanks and regards.</v>
      </c>
    </row>
    <row r="10617">
      <c r="A10617" s="1">
        <v>3.0</v>
      </c>
      <c r="B10617" s="1" t="s">
        <v>10526</v>
      </c>
      <c r="C10617" t="str">
        <f>IFERROR(__xludf.DUMMYFUNCTION("GOOGLETRANSLATE(B10617, ""es"", ""en"")"),"Picdor glass is very small, otherwise fine. Pity the glass picador is so small, I did not expect so small, and only has one speed, I expected something else .. maybe worth paying a little more or buy only the blender without the extras that I will not use"&amp;" by the small size.")</f>
        <v>Picdor glass is very small, otherwise fine. Pity the glass picador is so small, I did not expect so small, and only has one speed, I expected something else .. maybe worth paying a little more or buy only the blender without the extras that I will not use by the small size.</v>
      </c>
    </row>
    <row r="10618">
      <c r="A10618" s="1">
        <v>1.0</v>
      </c>
      <c r="B10618" s="1" t="s">
        <v>10527</v>
      </c>
      <c r="C10618" t="str">
        <f>IFERROR(__xludf.DUMMYFUNCTION("GOOGLETRANSLATE(B10618, ""es"", ""en"")"),"Very bad experience The copper bracelet to want my money back or change me")</f>
        <v>Very bad experience The copper bracelet to want my money back or change me</v>
      </c>
    </row>
    <row r="10619">
      <c r="A10619" s="1">
        <v>1.0</v>
      </c>
      <c r="B10619" s="1" t="s">
        <v>10528</v>
      </c>
      <c r="C10619" t="str">
        <f>IFERROR(__xludf.DUMMYFUNCTION("GOOGLETRANSLATE(B10619, ""es"", ""en"")"),"Annoyed ..... Well, the first time that happens to me, served me a product I have served difetente to which pedi, and had to request the return, I hope not ocurtir again ....")</f>
        <v>Annoyed ..... Well, the first time that happens to me, served me a product I have served difetente to which pedi, and had to request the return, I hope not ocurtir again ....</v>
      </c>
    </row>
    <row r="10620">
      <c r="A10620" s="1">
        <v>4.0</v>
      </c>
      <c r="B10620" s="1" t="s">
        <v>10529</v>
      </c>
      <c r="C10620" t="str">
        <f>IFERROR(__xludf.DUMMYFUNCTION("GOOGLETRANSLATE(B10620, ""es"", ""en"")"),"A handy little USB key very small and handy to use in the car. Barely protruding from the connector, so you can leave the always connected without bothering you. Speed ​​transfer MP3 files is good but can not comment about other files. Only I use to liste"&amp;"n to music in the car. Has a practical cap that fits well and a pilot LED that tells you it's working. It also has a very interesting price.")</f>
        <v>A handy little USB key very small and handy to use in the car. Barely protruding from the connector, so you can leave the always connected without bothering you. Speed ​​transfer MP3 files is good but can not comment about other files. Only I use to listen to music in the car. Has a practical cap that fits well and a pilot LED that tells you it's working. It also has a very interesting price.</v>
      </c>
    </row>
    <row r="10621">
      <c r="A10621" s="1">
        <v>4.0</v>
      </c>
      <c r="B10621" s="1" t="s">
        <v>10530</v>
      </c>
      <c r="C10621" t="str">
        <f>IFERROR(__xludf.DUMMYFUNCTION("GOOGLETRANSLATE(B10621, ""es"", ""en"")"),"reasonable performance with the updated driver first thing I do when I install a hard drive or SSD is to do a performance test with an application, but they are not reliable enough because they offer real value of maintaining transfer rate. To do this, I "&amp;"generate a single 10GB file in other ssd and helped me a stopwatch. In my first test I got scared because the speed descents were worried, in fact, I requested the return of the product. He was about to remove the BX500 and thought I'd give it another cha"&amp;"nce, updating the driver. The results improved a lot and falls were reduced, not losing 100MB / s, a figure more reasonable and similar to the Samsung 860evo. The BX500 series is more economical than the MX500 because of its lower performance, as well as "&amp;"comparative results also corroborate that could be found here: http://bit.ly/2VC80b8 The first graph shows the enormous declines writing a file 10GB. In the second with the updated driver. The rest are different analysis with free software. CONCLUSION: Th"&amp;"is type of economic ssd with TLC tecnlogogía work very well in reading, but writing seems it costs to keep them rate, despite what popular softwares indicate that measure their performance. It is important to have the driver updated as manufacturers insis"&amp;"t all. The BX500 can be a good buy to save something if it goes to a computer undemanding.")</f>
        <v>reasonable performance with the updated driver first thing I do when I install a hard drive or SSD is to do a performance test with an application, but they are not reliable enough because they offer real value of maintaining transfer rate. To do this, I generate a single 10GB file in other ssd and helped me a stopwatch. In my first test I got scared because the speed descents were worried, in fact, I requested the return of the product. He was about to remove the BX500 and thought I'd give it another chance, updating the driver. The results improved a lot and falls were reduced, not losing 100MB / s, a figure more reasonable and similar to the Samsung 860evo. The BX500 series is more economical than the MX500 because of its lower performance, as well as comparative results also corroborate that could be found here: http://bit.ly/2VC80b8 The first graph shows the enormous declines writing a file 10GB. In the second with the updated driver. The rest are different analysis with free software. CONCLUSION: This type of economic ssd with TLC tecnlogogía work very well in reading, but writing seems it costs to keep them rate, despite what popular softwares indicate that measure their performance. It is important to have the driver updated as manufacturers insist all. The BX500 can be a good buy to save something if it goes to a computer undemanding.</v>
      </c>
    </row>
    <row r="10622">
      <c r="A10622" s="1">
        <v>4.0</v>
      </c>
      <c r="B10622" s="1" t="s">
        <v>10531</v>
      </c>
      <c r="C10622" t="str">
        <f>IFERROR(__xludf.DUMMYFUNCTION("GOOGLETRANSLATE(B10622, ""es"", ""en"")"),"Comfortable, powerful and easy to use Very handy and powerful. Its weakness is the battery life and charging time, but if you organize it is not a problem.")</f>
        <v>Comfortable, powerful and easy to use Very handy and powerful. Its weakness is the battery life and charging time, but if you organize it is not a problem.</v>
      </c>
    </row>
    <row r="10623">
      <c r="A10623" s="1">
        <v>4.0</v>
      </c>
      <c r="B10623" s="1" t="s">
        <v>10532</v>
      </c>
      <c r="C10623" t="str">
        <f>IFERROR(__xludf.DUMMYFUNCTION("GOOGLETRANSLATE(B10623, ""es"", ""en"")"),"Are durable good are leaving for college and sports shoes street.")</f>
        <v>Are durable good are leaving for college and sports shoes street.</v>
      </c>
    </row>
    <row r="10624">
      <c r="A10624" s="1">
        <v>4.0</v>
      </c>
      <c r="B10624" s="1" t="s">
        <v>10533</v>
      </c>
      <c r="C10624" t="str">
        <f>IFERROR(__xludf.DUMMYFUNCTION("GOOGLETRANSLATE(B10624, ""es"", ""en"")"),"Positive Rating is very comfortable, relaxing lighting for children, automatic shutdown and even if you do not have enough water turns itself off. The only bad, but acceptable, q is you have to have about the child, as the steam rises no more than about 5"&amp;" centimeters. But it's a good product")</f>
        <v>Positive Rating is very comfortable, relaxing lighting for children, automatic shutdown and even if you do not have enough water turns itself off. The only bad, but acceptable, q is you have to have about the child, as the steam rises no more than about 5 centimeters. But it's a good product</v>
      </c>
    </row>
    <row r="10625">
      <c r="A10625" s="1">
        <v>5.0</v>
      </c>
      <c r="B10625" s="1" t="s">
        <v>10534</v>
      </c>
      <c r="C10625" t="str">
        <f>IFERROR(__xludf.DUMMYFUNCTION("GOOGLETRANSLATE(B10625, ""es"", ""en"")"),"Samsung never Depeciona When you buy Samsung and plus a 970, know that either has a lot of bad luck and you get bad or happy as salts in 99% of instances. Disc in perfect condition with the best quality of the market. 100% recommended.")</f>
        <v>Samsung never Depeciona When you buy Samsung and plus a 970, know that either has a lot of bad luck and you get bad or happy as salts in 99% of instances. Disc in perfect condition with the best quality of the market. 100% recommended.</v>
      </c>
    </row>
    <row r="10626">
      <c r="A10626" s="1">
        <v>5.0</v>
      </c>
      <c r="B10626" s="1" t="s">
        <v>10535</v>
      </c>
      <c r="C10626" t="str">
        <f>IFERROR(__xludf.DUMMYFUNCTION("GOOGLETRANSLATE(B10626, ""es"", ""en"")"),"Airpods + running perfect combination of technology and safety, perfect for running. With securing the ears do not move at all. Base Type C solid load, magnetic lid and airpods comfortable. Surround sound powerful, pair quickly and maintain perfect synchr"&amp;"onization. Creaking sounds without echoes or not hang or fail. Mates perfect race. """)</f>
        <v>Airpods + running perfect combination of technology and safety, perfect for running. With securing the ears do not move at all. Base Type C solid load, magnetic lid and airpods comfortable. Surround sound powerful, pair quickly and maintain perfect synchronization. Creaking sounds without echoes or not hang or fail. Mates perfect race. "</v>
      </c>
    </row>
    <row r="10627">
      <c r="A10627" s="1">
        <v>5.0</v>
      </c>
      <c r="B10627" s="1" t="s">
        <v>10536</v>
      </c>
      <c r="C10627" t="str">
        <f>IFERROR(__xludf.DUMMYFUNCTION("GOOGLETRANSLATE(B10627, ""es"", ""en"")"),"Ideal gift for the person to whom I have given is delighted with her colorful presentation. Well priced, you contribute to a good deed to the purchase.")</f>
        <v>Ideal gift for the person to whom I have given is delighted with her colorful presentation. Well priced, you contribute to a good deed to the purchase.</v>
      </c>
    </row>
    <row r="10628">
      <c r="A10628" s="1">
        <v>5.0</v>
      </c>
      <c r="B10628" s="1" t="s">
        <v>10537</v>
      </c>
      <c r="C10628" t="str">
        <f>IFERROR(__xludf.DUMMYFUNCTION("GOOGLETRANSLATE(B10628, ""es"", ""en"")"),"Very good the perfect number which usually use. Of first a little hard but eventually go molding. promise")</f>
        <v>Very good the perfect number which usually use. Of first a little hard but eventually go molding. promise</v>
      </c>
    </row>
    <row r="10629">
      <c r="A10629" s="1">
        <v>5.0</v>
      </c>
      <c r="B10629" s="1" t="s">
        <v>10538</v>
      </c>
      <c r="C10629" t="str">
        <f>IFERROR(__xludf.DUMMYFUNCTION("GOOGLETRANSLATE(B10629, ""es"", ""en"")"),"Good sound quality affordable price! Little to say about these airpods Apple. Its sound quality is very good and your choice is highly recommended if we in the prices of these products move. No hireling in any case and it is a good device if the cables ar"&amp;"e not inconvenient for the user. I recommend them to 100%.")</f>
        <v>Good sound quality affordable price! Little to say about these airpods Apple. Its sound quality is very good and your choice is highly recommended if we in the prices of these products move. No hireling in any case and it is a good device if the cables are not inconvenient for the user. I recommend them to 100%.</v>
      </c>
    </row>
    <row r="10630">
      <c r="A10630" s="1">
        <v>5.0</v>
      </c>
      <c r="B10630" s="1" t="s">
        <v>10539</v>
      </c>
      <c r="C10630" t="str">
        <f>IFERROR(__xludf.DUMMYFUNCTION("GOOGLETRANSLATE(B10630, ""es"", ""en"")"),"Comfortable and useful is a comfortable and useful backpack")</f>
        <v>Comfortable and useful is a comfortable and useful backpack</v>
      </c>
    </row>
    <row r="10631">
      <c r="A10631" s="1">
        <v>5.0</v>
      </c>
      <c r="B10631" s="1" t="s">
        <v>10540</v>
      </c>
      <c r="C10631" t="str">
        <f>IFERROR(__xludf.DUMMYFUNCTION("GOOGLETRANSLATE(B10631, ""es"", ""en"")"),"Pleased with purchase The brand says it all, I use to make purees, gazpacho, sauces, grind coffee, smoothies for my son, purees and I am delighted because it is an American brand that will grow very good performance.")</f>
        <v>Pleased with purchase The brand says it all, I use to make purees, gazpacho, sauces, grind coffee, smoothies for my son, purees and I am delighted because it is an American brand that will grow very good performance.</v>
      </c>
    </row>
    <row r="10632">
      <c r="A10632" s="1">
        <v>5.0</v>
      </c>
      <c r="B10632" s="1" t="s">
        <v>10541</v>
      </c>
      <c r="C10632" t="str">
        <f>IFERROR(__xludf.DUMMYFUNCTION("GOOGLETRANSLATE(B10632, ""es"", ""en"")"),"The NB I've had these are among the most comfortable I have poc foot wide and some models such as the NB 574, to the principle noticed something tight. These however, in addition to comfortable and light, it seems somewhat wider, which results in no doubt"&amp;" that feel much more comfortable. Otherwise, good finishes, as we are accustomed NB. Now we just need to see the durability of it ...")</f>
        <v>The NB I've had these are among the most comfortable I have poc foot wide and some models such as the NB 574, to the principle noticed something tight. These however, in addition to comfortable and light, it seems somewhat wider, which results in no doubt that feel much more comfortable. Otherwise, good finishes, as we are accustomed NB. Now we just need to see the durability of it ...</v>
      </c>
    </row>
    <row r="10633">
      <c r="A10633" s="1">
        <v>5.0</v>
      </c>
      <c r="B10633" s="1" t="s">
        <v>10542</v>
      </c>
      <c r="C10633" t="str">
        <f>IFERROR(__xludf.DUMMYFUNCTION("GOOGLETRANSLATE(B10633, ""es"", ""en"")"),"Clean smell I use it in a diffuser of aromas and brings a touch of ""clean smell"" that is so nice. Pros: - Odor mild - Nice - Perfect for diffuser - Durable Conclusion: Repetire")</f>
        <v>Clean smell I use it in a diffuser of aromas and brings a touch of "clean smell" that is so nice. Pros: - Odor mild - Nice - Perfect for diffuser - Durable Conclusion: Repetire</v>
      </c>
    </row>
    <row r="10634">
      <c r="A10634" s="1">
        <v>5.0</v>
      </c>
      <c r="B10634" s="1" t="s">
        <v>10543</v>
      </c>
      <c r="C10634" t="str">
        <f>IFERROR(__xludf.DUMMYFUNCTION("GOOGLETRANSLATE(B10634, ""es"", ""en"")"),"They are like out on the photo I love!")</f>
        <v>They are like out on the photo I love!</v>
      </c>
    </row>
    <row r="10635">
      <c r="A10635" s="1">
        <v>5.0</v>
      </c>
      <c r="B10635" s="1" t="s">
        <v>10544</v>
      </c>
      <c r="C10635" t="str">
        <f>IFERROR(__xludf.DUMMYFUNCTION("GOOGLETRANSLATE(B10635, ""es"", ""en"")"),"recommended two perfect usb 1. good price and finish, put a but, the system of exchange between usbs is a bit fragile and when you push to connect sometimes jumps. otherwise, 100% recommended")</f>
        <v>recommended two perfect usb 1. good price and finish, put a but, the system of exchange between usbs is a bit fragile and when you push to connect sometimes jumps. otherwise, 100% recommended</v>
      </c>
    </row>
    <row r="10636">
      <c r="A10636" s="1">
        <v>5.0</v>
      </c>
      <c r="B10636" s="1" t="s">
        <v>10545</v>
      </c>
      <c r="C10636" t="str">
        <f>IFERROR(__xludf.DUMMYFUNCTION("GOOGLETRANSLATE(B10636, ""es"", ""en"")"),"Loren right ... Very fast and good service ... the quality of the product right, page highly recommended to buy more artículos.Volveré to buy more items with them")</f>
        <v>Loren right ... Very fast and good service ... the quality of the product right, page highly recommended to buy more artículos.Volveré to buy more items with them</v>
      </c>
    </row>
    <row r="10637">
      <c r="A10637" s="1">
        <v>5.0</v>
      </c>
      <c r="B10637" s="1" t="s">
        <v>10546</v>
      </c>
      <c r="C10637" t="str">
        <f>IFERROR(__xludf.DUMMYFUNCTION("GOOGLETRANSLATE(B10637, ""es"", ""en"")"),"Recommended. The boots are just as I expected them. Very comfortable. They weigh very little. Carve Like other models of the brand. I recommend 100%.")</f>
        <v>Recommended. The boots are just as I expected them. Very comfortable. They weigh very little. Carve Like other models of the brand. I recommend 100%.</v>
      </c>
    </row>
    <row r="10638">
      <c r="A10638" s="1">
        <v>5.0</v>
      </c>
      <c r="B10638" s="1" t="s">
        <v>10547</v>
      </c>
      <c r="C10638" t="str">
        <f>IFERROR(__xludf.DUMMYFUNCTION("GOOGLETRANSLATE(B10638, ""es"", ""en"")"),"Good quality / price Very good product, makes its function and the price is great. I would buy if I needed and I recommend it.")</f>
        <v>Good quality / price Very good product, makes its function and the price is great. I would buy if I needed and I recommend it.</v>
      </c>
    </row>
    <row r="10639">
      <c r="A10639" s="1">
        <v>5.0</v>
      </c>
      <c r="B10639" s="1" t="s">
        <v>10548</v>
      </c>
      <c r="C10639" t="str">
        <f>IFERROR(__xludf.DUMMYFUNCTION("GOOGLETRANSLATE(B10639, ""es"", ""en"")"),"Micro enchanted stay My daughter loves music and singing came much so well that if the legs are a little outrageous but I pong9 in a corner and voila, the perfect micro")</f>
        <v>Micro enchanted stay My daughter loves music and singing came much so well that if the legs are a little outrageous but I pong9 in a corner and voila, the perfect micro</v>
      </c>
    </row>
    <row r="10640">
      <c r="A10640" s="1">
        <v>5.0</v>
      </c>
      <c r="B10640" s="1" t="s">
        <v>10549</v>
      </c>
      <c r="C10640" t="str">
        <f>IFERROR(__xludf.DUMMYFUNCTION("GOOGLETRANSLATE(B10640, ""es"", ""en"")"),"All good. The shoes have reached the size as expected and wanted, without damage to the shoes, everything perfect and without surprises.")</f>
        <v>All good. The shoes have reached the size as expected and wanted, without damage to the shoes, everything perfect and without surprises.</v>
      </c>
    </row>
    <row r="10641">
      <c r="A10641" s="1">
        <v>5.0</v>
      </c>
      <c r="B10641" s="1" t="s">
        <v>10550</v>
      </c>
      <c r="C10641" t="str">
        <f>IFERROR(__xludf.DUMMYFUNCTION("GOOGLETRANSLATE(B10641, ""es"", ""en"")"),"Relaxing need another person to apply. But great.")</f>
        <v>Relaxing need another person to apply. But great.</v>
      </c>
    </row>
    <row r="10642">
      <c r="A10642" s="1">
        <v>5.0</v>
      </c>
      <c r="B10642" s="1" t="s">
        <v>10551</v>
      </c>
      <c r="C10642" t="str">
        <f>IFERROR(__xludf.DUMMYFUNCTION("GOOGLETRANSLATE(B10642, ""es"", ""en"")"),"Very good Good nas server NAS server. Faster than 216se and worth the price difference is equal but aesthetically. Very fast and easy to set up and your operating system and applications can be done, schedule and configure almost anything. Amazing. Regard"&amp;"ing the noise is not heard practically and has option to vary the speeds of the fan.")</f>
        <v>Very good Good nas server NAS server. Faster than 216se and worth the price difference is equal but aesthetically. Very fast and easy to set up and your operating system and applications can be done, schedule and configure almost anything. Amazing. Regarding the noise is not heard practically and has option to vary the speeds of the fan.</v>
      </c>
    </row>
    <row r="10643">
      <c r="A10643" s="1">
        <v>2.0</v>
      </c>
      <c r="B10643" s="1" t="s">
        <v>10552</v>
      </c>
      <c r="C10643" t="str">
        <f>IFERROR(__xludf.DUMMYFUNCTION("GOOGLETRANSLATE(B10643, ""es"", ""en"")"),"I was disappointed Sony'm a user of more than 1 decade of Sony headphones. It is the first time you step into my headset Sony and have been a disappointment (use other, Sennheiser, almost 10 years ago to work). - I have lasted 30 minutes with them positio"&amp;"ns: sore ears, so comedidad zero at the least in my case. - The sound leaves to be desired to be a Sony (the Sony inaurales 12 euros sound better, believe me). - a walking vibration of the steps is transmitted, resulting in a ""pum, pum"" grave we perceiv"&amp;"e, because the headband does not have any padding that serves to cushion: Plastic Pure Direct to head = noise from the body directly to the headphones . Summary: If you're going to be the sitting or transportation that does not involve your own movements,"&amp;" OK, but a wireless not bought for that only. Moreover, for that you catch one of ""travel"" with noise cancellation. After this test did not reach 30 minutes I climbed back into the sheath and, much to my regret, returned them. And go way back and keep l"&amp;"ooking. Mal, Sony, very bad ... There is none padded headband Sony midrange and less low, you have to go to headset over 100 euros ... amazing.")</f>
        <v>I was disappointed Sony'm a user of more than 1 decade of Sony headphones. It is the first time you step into my headset Sony and have been a disappointment (use other, Sennheiser, almost 10 years ago to work). - I have lasted 30 minutes with them positions: sore ears, so comedidad zero at the least in my case. - The sound leaves to be desired to be a Sony (the Sony inaurales 12 euros sound better, believe me). - a walking vibration of the steps is transmitted, resulting in a "pum, pum" grave we perceive, because the headband does not have any padding that serves to cushion: Plastic Pure Direct to head = noise from the body directly to the headphones . Summary: If you're going to be the sitting or transportation that does not involve your own movements, OK, but a wireless not bought for that only. Moreover, for that you catch one of "travel" with noise cancellation. After this test did not reach 30 minutes I climbed back into the sheath and, much to my regret, returned them. And go way back and keep looking. Mal, Sony, very bad ... There is none padded headband Sony midrange and less low, you have to go to headset over 100 euros ... amazing.</v>
      </c>
    </row>
    <row r="10644">
      <c r="A10644" s="1">
        <v>3.0</v>
      </c>
      <c r="B10644" s="1" t="s">
        <v>10553</v>
      </c>
      <c r="C10644" t="str">
        <f>IFERROR(__xludf.DUMMYFUNCTION("GOOGLETRANSLATE(B10644, ""es"", ""en"")"),"Kerosl thought better prayer. It serves only to things of little muuuy weight. And the roll is quite short in length. I think there is another much tougher. I was wrong on the ask")</f>
        <v>Kerosl thought better prayer. It serves only to things of little muuuy weight. And the roll is quite short in length. I think there is another much tougher. I was wrong on the ask</v>
      </c>
    </row>
    <row r="10645">
      <c r="A10645" s="1">
        <v>3.0</v>
      </c>
      <c r="B10645" s="1" t="s">
        <v>10554</v>
      </c>
      <c r="C10645" t="str">
        <f>IFERROR(__xludf.DUMMYFUNCTION("GOOGLETRANSLATE(B10645, ""es"", ""en"")"),"Smaller than expected. The size is a little smaller than I expected, but otherwise is as they describe it. On the other hand I suggest to include some compartment within the central part of the bag so that everything is more orderly and optimize space.")</f>
        <v>Smaller than expected. The size is a little smaller than I expected, but otherwise is as they describe it. On the other hand I suggest to include some compartment within the central part of the bag so that everything is more orderly and optimize space.</v>
      </c>
    </row>
    <row r="10646">
      <c r="A10646" s="1">
        <v>1.0</v>
      </c>
      <c r="B10646" s="1" t="s">
        <v>10555</v>
      </c>
      <c r="C10646" t="str">
        <f>IFERROR(__xludf.DUMMYFUNCTION("GOOGLETRANSLATE(B10646, ""es"", ""en"")"),"After four months it does not work well I use it to listen to music in the car. Everything went smoothly. But when I tried now connect to a computer to manage content, it does not recognize me. Tested with 3 different computers and all USB inputs. Windows"&amp;" says the device does not work well.")</f>
        <v>After four months it does not work well I use it to listen to music in the car. Everything went smoothly. But when I tried now connect to a computer to manage content, it does not recognize me. Tested with 3 different computers and all USB inputs. Windows says the device does not work well.</v>
      </c>
    </row>
    <row r="10647">
      <c r="A10647" s="1">
        <v>1.0</v>
      </c>
      <c r="B10647" s="1" t="s">
        <v>10556</v>
      </c>
      <c r="C10647" t="str">
        <f>IFERROR(__xludf.DUMMYFUNCTION("GOOGLETRANSLATE(B10647, ""es"", ""en"")"),"It ended badly peeling off")</f>
        <v>It ended badly peeling off</v>
      </c>
    </row>
    <row r="10648">
      <c r="A10648" s="1">
        <v>4.0</v>
      </c>
      <c r="B10648" s="1" t="s">
        <v>10557</v>
      </c>
      <c r="C10648" t="str">
        <f>IFERROR(__xludf.DUMMYFUNCTION("GOOGLETRANSLATE(B10648, ""es"", ""en"")"),"Very comfortable hand aspirator Good product. Quality and good suction power. Easy cleaning of the container of the aspirate. A little weird sensation to the move from side to side by the motor in the middle part but only until you get used. A good price."&amp;" Buy recommended")</f>
        <v>Very comfortable hand aspirator Good product. Quality and good suction power. Easy cleaning of the container of the aspirate. A little weird sensation to the move from side to side by the motor in the middle part but only until you get used. A good price. Buy recommended</v>
      </c>
    </row>
    <row r="10649">
      <c r="A10649" s="1">
        <v>4.0</v>
      </c>
      <c r="B10649" s="1" t="s">
        <v>10558</v>
      </c>
      <c r="C10649" t="str">
        <f>IFERROR(__xludf.DUMMYFUNCTION("GOOGLETRANSLATE(B10649, ""es"", ""en"")"),"Do not dry. Loctite say that it is not known. Glue fast and better not dried in the applicator and having a sealed can be in, not as those in tube to the end cap sticks. A greeting.")</f>
        <v>Do not dry. Loctite say that it is not known. Glue fast and better not dried in the applicator and having a sealed can be in, not as those in tube to the end cap sticks. A greeting.</v>
      </c>
    </row>
    <row r="10650">
      <c r="A10650" s="1">
        <v>4.0</v>
      </c>
      <c r="B10650" s="1" t="s">
        <v>10559</v>
      </c>
      <c r="C10650" t="str">
        <f>IFERROR(__xludf.DUMMYFUNCTION("GOOGLETRANSLATE(B10650, ""es"", ""en"")"),"normal quality. Intensive have not lasted long.")</f>
        <v>normal quality. Intensive have not lasted long.</v>
      </c>
    </row>
    <row r="10651">
      <c r="A10651" s="1">
        <v>4.0</v>
      </c>
      <c r="B10651" s="1" t="s">
        <v>10560</v>
      </c>
      <c r="C10651" t="str">
        <f>IFERROR(__xludf.DUMMYFUNCTION("GOOGLETRANSLATE(B10651, ""es"", ""en"")"),"Great We were surprised that despite its 20ml water tank last all night, plus the beautifully designed and is independent lighting the humidifier and can be used together or separately.")</f>
        <v>Great We were surprised that despite its 20ml water tank last all night, plus the beautifully designed and is independent lighting the humidifier and can be used together or separately.</v>
      </c>
    </row>
    <row r="10652">
      <c r="A10652" s="1">
        <v>4.0</v>
      </c>
      <c r="B10652" s="1" t="s">
        <v>10561</v>
      </c>
      <c r="C10652" t="str">
        <f>IFERROR(__xludf.DUMMYFUNCTION("GOOGLETRANSLATE(B10652, ""es"", ""en"")"),"DM Good shoes are very comfortable for loam, with rain not slip as much as the previous ones, serve for any terrain.")</f>
        <v>DM Good shoes are very comfortable for loam, with rain not slip as much as the previous ones, serve for any terrain.</v>
      </c>
    </row>
    <row r="10653">
      <c r="A10653" s="1">
        <v>5.0</v>
      </c>
      <c r="B10653" s="1" t="s">
        <v>10562</v>
      </c>
      <c r="C10653" t="str">
        <f>IFERROR(__xludf.DUMMYFUNCTION("GOOGLETRANSLATE(B10653, ""es"", ""en"")"),"Very cool design. I've been testing this toaster and practically like any toaster standard market, but the trick is to design a bit retro with a broken white tone that can combine perfectly with your kitchen and other appliances of the same brand because "&amp;"they make them in to give the same key touch identical, for example if the kettle. As for the operation it allows us to introduce two slices of bread either normal mold or pan, to having a rather wide openings allow us to put slices of bread for toasting "&amp;"special mold. And maybe something new in relation to other roasters is that it has time to indicate that we will indicate when toasted, so far he had never seen and the truth is much cool will be ready. Cleaned simple with the lower tray. No new and innov"&amp;"ative system. Has several strengths roasting, the first time I put it to the meter pan and not be homogeneous Toasted much ends and burned and that only put in intensity 3 That surprised me because I was used to take longer with my old toaster, this is pr"&amp;"etty quick something that seems very interesting, but I had to go noticing the temperature level not burn. easy system to get the bread and the typical system has to place the top slice and keep warm. Something that is interesting is to raise the toast a "&amp;"bit more than the normal output in order to grasp it better, something that is being imposed in most toasters but a few years ago was not the case. Overall an average toaster that performs its function well, is fast and perhaps the principle that you can "&amp;"burn a slice, but it's just catch the right level. Cheers")</f>
        <v>Very cool design. I've been testing this toaster and practically like any toaster standard market, but the trick is to design a bit retro with a broken white tone that can combine perfectly with your kitchen and other appliances of the same brand because they make them in to give the same key touch identical, for example if the kettle. As for the operation it allows us to introduce two slices of bread either normal mold or pan, to having a rather wide openings allow us to put slices of bread for toasting special mold. And maybe something new in relation to other roasters is that it has time to indicate that we will indicate when toasted, so far he had never seen and the truth is much cool will be ready. Cleaned simple with the lower tray. No new and innovative system. Has several strengths roasting, the first time I put it to the meter pan and not be homogeneous Toasted much ends and burned and that only put in intensity 3 That surprised me because I was used to take longer with my old toaster, this is pretty quick something that seems very interesting, but I had to go noticing the temperature level not burn. easy system to get the bread and the typical system has to place the top slice and keep warm. Something that is interesting is to raise the toast a bit more than the normal output in order to grasp it better, something that is being imposed in most toasters but a few years ago was not the case. Overall an average toaster that performs its function well, is fast and perhaps the principle that you can burn a slice, but it's just catch the right level. Cheers</v>
      </c>
    </row>
    <row r="10654">
      <c r="A10654" s="1">
        <v>5.0</v>
      </c>
      <c r="B10654" s="1" t="s">
        <v>10563</v>
      </c>
      <c r="C10654" t="str">
        <f>IFERROR(__xludf.DUMMYFUNCTION("GOOGLETRANSLATE(B10654, ""es"", ""en"")"),"Anticolicas very resistant and perfect system .. I have given a smaller one before the birth of my baby and I really liked his anticolicas system is very good and helps a lot ... they are very resistant to shock and washer ... as the mine is becoming bigg"&amp;"er and I needed a major course I bought these two previous experience with the others ... they are very good buy even the only downside is that no color for girls")</f>
        <v>Anticolicas very resistant and perfect system .. I have given a smaller one before the birth of my baby and I really liked his anticolicas system is very good and helps a lot ... they are very resistant to shock and washer ... as the mine is becoming bigger and I needed a major course I bought these two previous experience with the others ... they are very good buy even the only downside is that no color for girls</v>
      </c>
    </row>
    <row r="10655">
      <c r="A10655" s="1">
        <v>5.0</v>
      </c>
      <c r="B10655" s="1" t="s">
        <v>10564</v>
      </c>
      <c r="C10655" t="str">
        <f>IFERROR(__xludf.DUMMYFUNCTION("GOOGLETRANSLATE(B10655, ""es"", ""en"")"),"Beautiful quality")</f>
        <v>Beautiful quality</v>
      </c>
    </row>
    <row r="10656">
      <c r="A10656" s="1">
        <v>5.0</v>
      </c>
      <c r="B10656" s="1" t="s">
        <v>10565</v>
      </c>
      <c r="C10656" t="str">
        <f>IFERROR(__xludf.DUMMYFUNCTION("GOOGLETRANSLATE(B10656, ""es"", ""en"")"),"Perfect Very warm and nice! I'm delighted.")</f>
        <v>Perfect Very warm and nice! I'm delighted.</v>
      </c>
    </row>
    <row r="10657">
      <c r="A10657" s="1">
        <v>5.0</v>
      </c>
      <c r="B10657" s="1" t="s">
        <v>10566</v>
      </c>
      <c r="C10657" t="str">
        <f>IFERROR(__xludf.DUMMYFUNCTION("GOOGLETRANSLATE(B10657, ""es"", ""en"")"),"It was a very good gift for my brother and he is really happy, says they are comfortable listening really well and easy to use. Use them to go running or gymnastics, but also in the day.")</f>
        <v>It was a very good gift for my brother and he is really happy, says they are comfortable listening really well and easy to use. Use them to go running or gymnastics, but also in the day.</v>
      </c>
    </row>
    <row r="10658">
      <c r="A10658" s="1">
        <v>5.0</v>
      </c>
      <c r="B10658" s="1" t="s">
        <v>10567</v>
      </c>
      <c r="C10658" t="str">
        <f>IFERROR(__xludf.DUMMYFUNCTION("GOOGLETRANSLATE(B10658, ""es"", ""en"")"),"Very warm is very warm. Adjusts but not pressed. Spending size 48, I ordered the XL and perfect La recommend")</f>
        <v>Very warm is very warm. Adjusts but not pressed. Spending size 48, I ordered the XL and perfect La recommend</v>
      </c>
    </row>
    <row r="10659">
      <c r="A10659" s="1">
        <v>5.0</v>
      </c>
      <c r="B10659" s="1" t="s">
        <v>10568</v>
      </c>
      <c r="C10659" t="str">
        <f>IFERROR(__xludf.DUMMYFUNCTION("GOOGLETRANSLATE(B10659, ""es"", ""en"")"),"Top Very good")</f>
        <v>Top Very good</v>
      </c>
    </row>
    <row r="10660">
      <c r="A10660" s="1">
        <v>5.0</v>
      </c>
      <c r="B10660" s="1" t="s">
        <v>10569</v>
      </c>
      <c r="C10660" t="str">
        <f>IFERROR(__xludf.DUMMYFUNCTION("GOOGLETRANSLATE(B10660, ""es"", ""en"")"),"I use it for different things it is practical for the size you have plenty of storage and comfortable and you can label the contents of each thing")</f>
        <v>I use it for different things it is practical for the size you have plenty of storage and comfortable and you can label the contents of each thing</v>
      </c>
    </row>
    <row r="10661">
      <c r="A10661" s="1">
        <v>5.0</v>
      </c>
      <c r="B10661" s="1" t="s">
        <v>10570</v>
      </c>
      <c r="C10661" t="str">
        <f>IFERROR(__xludf.DUMMYFUNCTION("GOOGLETRANSLATE(B10661, ""es"", ""en"")"),"Great value / price As noted in other reviews, the problem may be a buying these products is that you can spoil in transport, as happened to me. The first I ordered came to me broken by one side, but after sending an e-mail to Amazon, they themselves phon"&amp;"ed me and sent me urgently a new ticket to return the broken (the new I had it at home before sending broken). If you do not have bad luck (and if you have it and you see you will not have problems with Amazon), slate is better than others I've had to cos"&amp;"t more, in some if you were leaving written something more than a day, almost cargabas you slate and no longer erased well and / or marks left on this I've neglected a few times and have left things written a couple of days and there has been erasing the "&amp;"blackboard problem and still white and unpolluted. Took with her 2-3 months and going great, above, another brand of hard me less than 1 year.")</f>
        <v>Great value / price As noted in other reviews, the problem may be a buying these products is that you can spoil in transport, as happened to me. The first I ordered came to me broken by one side, but after sending an e-mail to Amazon, they themselves phoned me and sent me urgently a new ticket to return the broken (the new I had it at home before sending broken). If you do not have bad luck (and if you have it and you see you will not have problems with Amazon), slate is better than others I've had to cost more, in some if you were leaving written something more than a day, almost cargabas you slate and no longer erased well and / or marks left on this I've neglected a few times and have left things written a couple of days and there has been erasing the blackboard problem and still white and unpolluted. Took with her 2-3 months and going great, above, another brand of hard me less than 1 year.</v>
      </c>
    </row>
    <row r="10662">
      <c r="A10662" s="1">
        <v>5.0</v>
      </c>
      <c r="B10662" s="1" t="s">
        <v>10571</v>
      </c>
      <c r="C10662" t="str">
        <f>IFERROR(__xludf.DUMMYFUNCTION("GOOGLETRANSLATE(B10662, ""es"", ""en"")"),"Very good I did not expect for anything but the truth is they are very good !! I recommend it to one hundred poe hundred")</f>
        <v>Very good I did not expect for anything but the truth is they are very good !! I recommend it to one hundred poe hundred</v>
      </c>
    </row>
    <row r="10663">
      <c r="A10663" s="1">
        <v>5.0</v>
      </c>
      <c r="B10663" s="1" t="s">
        <v>10572</v>
      </c>
      <c r="C10663" t="str">
        <f>IFERROR(__xludf.DUMMYFUNCTION("GOOGLETRANSLATE(B10663, ""es"", ""en"")"),"Perfect comfort good product")</f>
        <v>Perfect comfort good product</v>
      </c>
    </row>
    <row r="10664">
      <c r="A10664" s="1">
        <v>5.0</v>
      </c>
      <c r="B10664" s="1" t="s">
        <v>10573</v>
      </c>
      <c r="C10664" t="str">
        <f>IFERROR(__xludf.DUMMYFUNCTION("GOOGLETRANSLATE(B10664, ""es"", ""en"")"),"As expected Very good quality, right size. Very nice and comfortable. They are more for the season autumn / winter. He sent earlier than expected.")</f>
        <v>As expected Very good quality, right size. Very nice and comfortable. They are more for the season autumn / winter. He sent earlier than expected.</v>
      </c>
    </row>
    <row r="10665">
      <c r="A10665" s="1">
        <v>5.0</v>
      </c>
      <c r="B10665" s="1" t="s">
        <v>10574</v>
      </c>
      <c r="C10665" t="str">
        <f>IFERROR(__xludf.DUMMYFUNCTION("GOOGLETRANSLATE(B10665, ""es"", ""en"")"),"The perfect use to deliver my photography work and customers love them. 4 boxes I bought just 1 did not work. Certainly continue to use the")</f>
        <v>The perfect use to deliver my photography work and customers love them. 4 boxes I bought just 1 did not work. Certainly continue to use the</v>
      </c>
    </row>
    <row r="10666">
      <c r="A10666" s="1">
        <v>5.0</v>
      </c>
      <c r="B10666" s="1" t="s">
        <v>10575</v>
      </c>
      <c r="C10666" t="str">
        <f>IFERROR(__xludf.DUMMYFUNCTION("GOOGLETRANSLATE(B10666, ""es"", ""en"")"),"Elegant design perfect. Very possible design classic. You comfortable. They turn to elegant. Very good quality. Happy.")</f>
        <v>Elegant design perfect. Very possible design classic. You comfortable. They turn to elegant. Very good quality. Happy.</v>
      </c>
    </row>
    <row r="10667">
      <c r="A10667" s="1">
        <v>5.0</v>
      </c>
      <c r="B10667" s="1" t="s">
        <v>10576</v>
      </c>
      <c r="C10667" t="str">
        <f>IFERROR(__xludf.DUMMYFUNCTION("GOOGLETRANSLATE(B10667, ""es"", ""en"")"),"Good Buy;) I caught a size 41-45 to a person with number 43 and is perfect. Retain heat long enough. They arrived in good condition and as shown in the photo 'Highly recommended !!")</f>
        <v>Good Buy;) I caught a size 41-45 to a person with number 43 and is perfect. Retain heat long enough. They arrived in good condition and as shown in the photo 'Highly recommended !!</v>
      </c>
    </row>
    <row r="10668">
      <c r="A10668" s="1">
        <v>5.0</v>
      </c>
      <c r="B10668" s="1" t="s">
        <v>10577</v>
      </c>
      <c r="C10668" t="str">
        <f>IFERROR(__xludf.DUMMYFUNCTION("GOOGLETRANSLATE(B10668, ""es"", ""en"")"),"Very comfortable . They are classic, very good quality.")</f>
        <v>Very comfortable . They are classic, very good quality.</v>
      </c>
    </row>
    <row r="10669">
      <c r="A10669" s="1">
        <v>5.0</v>
      </c>
      <c r="B10669" s="1" t="s">
        <v>10578</v>
      </c>
      <c r="C10669" t="str">
        <f>IFERROR(__xludf.DUMMYFUNCTION("GOOGLETRANSLATE(B10669, ""es"", ""en"")"),"Great product I love this blender. Has a lot of power, it works perfectly. And it makes very little noise. I have used it with fruits and vegetables and works great. Good buy.")</f>
        <v>Great product I love this blender. Has a lot of power, it works perfectly. And it makes very little noise. I have used it with fruits and vegetables and works great. Good buy.</v>
      </c>
    </row>
    <row r="10670">
      <c r="A10670" s="1">
        <v>5.0</v>
      </c>
      <c r="B10670" s="1" t="s">
        <v>10579</v>
      </c>
      <c r="C10670" t="str">
        <f>IFERROR(__xludf.DUMMYFUNCTION("GOOGLETRANSLATE(B10670, ""es"", ""en"")"),"For the price we have for the price it works more than well, tested with mobile as a sound recorder to record video indoors and perfect")</f>
        <v>For the price we have for the price it works more than well, tested with mobile as a sound recorder to record video indoors and perfect</v>
      </c>
    </row>
    <row r="10671">
      <c r="A10671" s="1">
        <v>5.0</v>
      </c>
      <c r="B10671" s="1" t="s">
        <v>10580</v>
      </c>
      <c r="C10671" t="str">
        <f>IFERROR(__xludf.DUMMYFUNCTION("GOOGLETRANSLATE(B10671, ""es"", ""en"")"),"To review work, long hours standing .. good result")</f>
        <v>To review work, long hours standing .. good result</v>
      </c>
    </row>
    <row r="10672">
      <c r="A10672" s="1">
        <v>2.0</v>
      </c>
      <c r="B10672" s="1" t="s">
        <v>10581</v>
      </c>
      <c r="C10672" t="str">
        <f>IFERROR(__xludf.DUMMYFUNCTION("GOOGLETRANSLATE(B10672, ""es"", ""en"")"),"The product is very good ... but what a pity Shipping! I received the RODE microphone arm in record time. The arm is as good as expected and sure I'll make an excellent work with him (so far only worked with the foot table to the side of the computer). Th"&amp;"is will make my study more akin to the professional world (heh, heh ...). I just put two stars because the box RODE house (very nice) came lackluster and bored because Amazon has decided to save a protective box and decals pasted directly address above pr"&amp;"oduct. A real shame! I would have returned the product but needed to work with. It is the third time I receive packages in bad shape.")</f>
        <v>The product is very good ... but what a pity Shipping! I received the RODE microphone arm in record time. The arm is as good as expected and sure I'll make an excellent work with him (so far only worked with the foot table to the side of the computer). This will make my study more akin to the professional world (heh, heh ...). I just put two stars because the box RODE house (very nice) came lackluster and bored because Amazon has decided to save a protective box and decals pasted directly address above product. A real shame! I would have returned the product but needed to work with. It is the third time I receive packages in bad shape.</v>
      </c>
    </row>
    <row r="10673">
      <c r="A10673" s="1">
        <v>3.0</v>
      </c>
      <c r="B10673" s="1" t="s">
        <v>10582</v>
      </c>
      <c r="C10673" t="str">
        <f>IFERROR(__xludf.DUMMYFUNCTION("GOOGLETRANSLATE(B10673, ""es"", ""en"")"),"capacity and price but slow The truth is seeking other somewhat faster that San disk and had compado the previous veran for LG G-6 and maravillla in data transfer when I wanted to buy back not I found. This is not up to the S9 +")</f>
        <v>capacity and price but slow The truth is seeking other somewhat faster that San disk and had compado the previous veran for LG G-6 and maravillla in data transfer when I wanted to buy back not I found. This is not up to the S9 +</v>
      </c>
    </row>
    <row r="10674">
      <c r="A10674" s="1">
        <v>1.0</v>
      </c>
      <c r="B10674" s="1" t="s">
        <v>10583</v>
      </c>
      <c r="C10674" t="str">
        <f>IFERROR(__xludf.DUMMYFUNCTION("GOOGLETRANSLATE(B10674, ""es"", ""en"")"),"Unusable really is the worst purchase I have made, you can only use cup in cup, as much loses water below the kettle if filled to the maximum, loses continuously water, it is also hot water is poured over the countertop ... So far, I've always used the Ph"&amp;"ilips brand teapots and 1.7L because I use a lot and all, but this time for the rush I bought this brand and I have not returned because we were at Christmas and I had other priorities. It is the first time I buy this brand and know if it's just mine that"&amp;" has gone so flawed, just in case not buy it again.")</f>
        <v>Unusable really is the worst purchase I have made, you can only use cup in cup, as much loses water below the kettle if filled to the maximum, loses continuously water, it is also hot water is poured over the countertop ... So far, I've always used the Philips brand teapots and 1.7L because I use a lot and all, but this time for the rush I bought this brand and I have not returned because we were at Christmas and I had other priorities. It is the first time I buy this brand and know if it's just mine that has gone so flawed, just in case not buy it again.</v>
      </c>
    </row>
    <row r="10675">
      <c r="A10675" s="1">
        <v>1.0</v>
      </c>
      <c r="B10675" s="1" t="s">
        <v>10584</v>
      </c>
      <c r="C10675" t="str">
        <f>IFERROR(__xludf.DUMMYFUNCTION("GOOGLETRANSLATE(B10675, ""es"", ""en"")"),"I do not recommend was not what I expected, I had a lot of trouble emparejatlos to the mobile and among them also do not have the option of cuanfo Auto Power get into the cargo bought them for their good review but have not served me, for that price I hav"&amp;"e some QCY I use at work and go scandal ultimately returned")</f>
        <v>I do not recommend was not what I expected, I had a lot of trouble emparejatlos to the mobile and among them also do not have the option of cuanfo Auto Power get into the cargo bought them for their good review but have not served me, for that price I have some QCY I use at work and go scandal ultimately returned</v>
      </c>
    </row>
    <row r="10676">
      <c r="A10676" s="1">
        <v>4.0</v>
      </c>
      <c r="B10676" s="1" t="s">
        <v>10585</v>
      </c>
      <c r="C10676" t="str">
        <f>IFERROR(__xludf.DUMMYFUNCTION("GOOGLETRANSLATE(B10676, ""es"", ""en"")"),"Product delivery and 👍 Get faster than expected date. I am very pleased with the delivery. wrap is perfect. The design is also great. force can be controlled by two level. As I used only 2 times still I can not taste good. but everything works fine.")</f>
        <v>Product delivery and 👍 Get faster than expected date. I am very pleased with the delivery. wrap is perfect. The design is also great. force can be controlled by two level. As I used only 2 times still I can not taste good. but everything works fine.</v>
      </c>
    </row>
    <row r="10677">
      <c r="A10677" s="1">
        <v>4.0</v>
      </c>
      <c r="B10677" s="1" t="s">
        <v>10586</v>
      </c>
      <c r="C10677" t="str">
        <f>IFERROR(__xludf.DUMMYFUNCTION("GOOGLETRANSLATE(B10677, ""es"", ""en"")"),"Good for the money good headphones for the price, comfortable and do not fall even when you're running. Now some point once the link is cut off for a moment. On the other hand when you have to run up the volume enough because, as with all internal headset"&amp;", rumbles with heavy footsteps.")</f>
        <v>Good for the money good headphones for the price, comfortable and do not fall even when you're running. Now some point once the link is cut off for a moment. On the other hand when you have to run up the volume enough because, as with all internal headset, rumbles with heavy footsteps.</v>
      </c>
    </row>
    <row r="10678">
      <c r="A10678" s="1">
        <v>4.0</v>
      </c>
      <c r="B10678" s="1" t="s">
        <v>10587</v>
      </c>
      <c r="C10678" t="str">
        <f>IFERROR(__xludf.DUMMYFUNCTION("GOOGLETRANSLATE(B10678, ""es"", ""en"")"),"Money very well. Recommended for tight budgets Pros: - The diadems is plastic strong yet flexible - are very adjustable both in length and in the part of the headphones which can be moved - Powerful sound - nice design - Overall not sees nothing fragile C"&amp;"ons: - the handset can pick but the mechanism is very weak. Better not fold too often because it will break - clench correctly but the sponge leads, doing summer heat, you're going to make you sweat a lot. It's like an imitation leather. - The cable is fa"&amp;"gil, especially in the headphone jacks below - has perhaps the bass too powerful. - The microphone will not work if you have no one takes 2 audio and voice in the PC or device you will use.")</f>
        <v>Money very well. Recommended for tight budgets Pros: - The diadems is plastic strong yet flexible - are very adjustable both in length and in the part of the headphones which can be moved - Powerful sound - nice design - Overall not sees nothing fragile Cons: - the handset can pick but the mechanism is very weak. Better not fold too often because it will break - clench correctly but the sponge leads, doing summer heat, you're going to make you sweat a lot. It's like an imitation leather. - The cable is fagil, especially in the headphone jacks below - has perhaps the bass too powerful. - The microphone will not work if you have no one takes 2 audio and voice in the PC or device you will use.</v>
      </c>
    </row>
    <row r="10679">
      <c r="A10679" s="1">
        <v>4.0</v>
      </c>
      <c r="B10679" s="1" t="s">
        <v>10588</v>
      </c>
      <c r="C10679" t="str">
        <f>IFERROR(__xludf.DUMMYFUNCTION("GOOGLETRANSLATE(B10679, ""es"", ""en"")"),"Moment very well, beat and chop fine. So far no complaints, works very well, bat and pica no problem, only time will tell how it goes, should be taken not leave much time running.")</f>
        <v>Moment very well, beat and chop fine. So far no complaints, works very well, bat and pica no problem, only time will tell how it goes, should be taken not leave much time running.</v>
      </c>
    </row>
    <row r="10680">
      <c r="A10680" s="1">
        <v>5.0</v>
      </c>
      <c r="B10680" s="1" t="s">
        <v>10589</v>
      </c>
      <c r="C10680" t="str">
        <f>IFERROR(__xludf.DUMMYFUNCTION("GOOGLETRANSLATE(B10680, ""es"", ""en"")"),"Complete and comfortable Color is adjusted to the photo and is very complete and comfortable")</f>
        <v>Complete and comfortable Color is adjusted to the photo and is very complete and comfortable</v>
      </c>
    </row>
    <row r="10681">
      <c r="A10681" s="1">
        <v>5.0</v>
      </c>
      <c r="B10681" s="1" t="s">
        <v>10590</v>
      </c>
      <c r="C10681" t="str">
        <f>IFERROR(__xludf.DUMMYFUNCTION("GOOGLETRANSLATE(B10681, ""es"", ""en"")"),"Cristina correspond exactly with the description. They arrived early. Packaging in perfect condition, original box and satin laces replacement in a bag saved. The sizing is a little bigger than usual. They are beautiful.")</f>
        <v>Cristina correspond exactly with the description. They arrived early. Packaging in perfect condition, original box and satin laces replacement in a bag saved. The sizing is a little bigger than usual. They are beautiful.</v>
      </c>
    </row>
    <row r="10682">
      <c r="A10682" s="1">
        <v>5.0</v>
      </c>
      <c r="B10682" s="1" t="s">
        <v>10591</v>
      </c>
      <c r="C10682" t="str">
        <f>IFERROR(__xludf.DUMMYFUNCTION("GOOGLETRANSLATE(B10682, ""es"", ""en"")"),"Exfoliates and moisturizes's great. In addition to exfoliate, moisturize. I applied with a sponge konjac and the area is very hydrated, as after using oil but without stickiness. Cunde pretty and smells good.")</f>
        <v>Exfoliates and moisturizes's great. In addition to exfoliate, moisturize. I applied with a sponge konjac and the area is very hydrated, as after using oil but without stickiness. Cunde pretty and smells good.</v>
      </c>
    </row>
    <row r="10683">
      <c r="A10683" s="1">
        <v>5.0</v>
      </c>
      <c r="B10683" s="1" t="s">
        <v>10592</v>
      </c>
      <c r="C10683" t="str">
        <f>IFERROR(__xludf.DUMMYFUNCTION("GOOGLETRANSLATE(B10683, ""es"", ""en"")"),"Good value for money, fasteners ears are not adjustable. Bluetooth headset fairly complete've tried to run out and do not fall. Autonomy is pretty decent for a workout, up to 8 hours running water resistant and sweat. Gums and finishes although good are n"&amp;"ot like some premium headphones, adjust the ear if you have small ears can you stay big and is not adjustable Bring various gums to adjust the headphones to the ear and specifically to adjust the over the cables connecting the headphones.")</f>
        <v>Good value for money, fasteners ears are not adjustable. Bluetooth headset fairly complete've tried to run out and do not fall. Autonomy is pretty decent for a workout, up to 8 hours running water resistant and sweat. Gums and finishes although good are not like some premium headphones, adjust the ear if you have small ears can you stay big and is not adjustable Bring various gums to adjust the headphones to the ear and specifically to adjust the over the cables connecting the headphones.</v>
      </c>
    </row>
    <row r="10684">
      <c r="A10684" s="1">
        <v>5.0</v>
      </c>
      <c r="B10684" s="1" t="s">
        <v>10593</v>
      </c>
      <c r="C10684" t="str">
        <f>IFERROR(__xludf.DUMMYFUNCTION("GOOGLETRANSLATE(B10684, ""es"", ""en"")"),"Very good model is very beautiful and practical. They do not weigh much and are easy to transport. The sound is not bad. I recommend are one of the most economical and better quality microphones.")</f>
        <v>Very good model is very beautiful and practical. They do not weigh much and are easy to transport. The sound is not bad. I recommend are one of the most economical and better quality microphones.</v>
      </c>
    </row>
    <row r="10685">
      <c r="A10685" s="1">
        <v>5.0</v>
      </c>
      <c r="B10685" s="1" t="s">
        <v>10594</v>
      </c>
      <c r="C10685" t="str">
        <f>IFERROR(__xludf.DUMMYFUNCTION("GOOGLETRANSLATE(B10685, ""es"", ""en"")"),"E ortuño Good karaoke equipment. Perfect for connecting to the Smart TV, you tube with all the songs you want, and images. And connected to the amplifier. All very good, good fit in fact, the mikes are perfect are quality and have good weight, are not toy"&amp;"s.")</f>
        <v>E ortuño Good karaoke equipment. Perfect for connecting to the Smart TV, you tube with all the songs you want, and images. And connected to the amplifier. All very good, good fit in fact, the mikes are perfect are quality and have good weight, are not toys.</v>
      </c>
    </row>
    <row r="10686">
      <c r="A10686" s="1">
        <v>5.0</v>
      </c>
      <c r="B10686" s="1" t="s">
        <v>10595</v>
      </c>
      <c r="C10686" t="str">
        <f>IFERROR(__xludf.DUMMYFUNCTION("GOOGLETRANSLATE(B10686, ""es"", ""en"")"),"Perfect Very satisfied with the item purchased it meets all the requirements I wanted to get this watch co 100% recommend")</f>
        <v>Perfect Very satisfied with the item purchased it meets all the requirements I wanted to get this watch co 100% recommend</v>
      </c>
    </row>
    <row r="10687">
      <c r="A10687" s="1">
        <v>5.0</v>
      </c>
      <c r="B10687" s="1" t="s">
        <v>10596</v>
      </c>
      <c r="C10687" t="str">
        <f>IFERROR(__xludf.DUMMYFUNCTION("GOOGLETRANSLATE(B10687, ""es"", ""en"")"),"Ideal good quality Size")</f>
        <v>Ideal good quality Size</v>
      </c>
    </row>
    <row r="10688">
      <c r="A10688" s="1">
        <v>5.0</v>
      </c>
      <c r="B10688" s="1" t="s">
        <v>10597</v>
      </c>
      <c r="C10688" t="str">
        <f>IFERROR(__xludf.DUMMYFUNCTION("GOOGLETRANSLATE(B10688, ""es"", ""en"")"),"Comfort are very comfortable I would have liked to come in the original box Adidas but very well")</f>
        <v>Comfort are very comfortable I would have liked to come in the original box Adidas but very well</v>
      </c>
    </row>
    <row r="10689">
      <c r="A10689" s="1">
        <v>5.0</v>
      </c>
      <c r="B10689" s="1" t="s">
        <v>10598</v>
      </c>
      <c r="C10689" t="str">
        <f>IFERROR(__xludf.DUMMYFUNCTION("GOOGLETRANSLATE(B10689, ""es"", ""en"")"),"Perfect comfort")</f>
        <v>Perfect comfort</v>
      </c>
    </row>
    <row r="10690">
      <c r="A10690" s="1">
        <v>5.0</v>
      </c>
      <c r="B10690" s="1" t="s">
        <v>10599</v>
      </c>
      <c r="C10690" t="str">
        <f>IFERROR(__xludf.DUMMYFUNCTION("GOOGLETRANSLATE(B10690, ""es"", ""en"")"),"Good product is the 2nd shirt I buy and if it gets to continue with the 3rd shot. Good quality product, at least for now.")</f>
        <v>Good product is the 2nd shirt I buy and if it gets to continue with the 3rd shot. Good quality product, at least for now.</v>
      </c>
    </row>
    <row r="10691">
      <c r="A10691" s="1">
        <v>5.0</v>
      </c>
      <c r="B10691" s="1" t="s">
        <v>10600</v>
      </c>
      <c r="C10691" t="str">
        <f>IFERROR(__xludf.DUMMYFUNCTION("GOOGLETRANSLATE(B10691, ""es"", ""en"")"),"great 😍👌 In love with these boots! Aesthetically and especially for your comfort. Hot foot inside lining really very happy llevan..de bought any. Very cheap and the quality 👍🎉 will use not only for excursions but tmb the cold winter days as they are a"&amp;"lso great with jeans 😅👌")</f>
        <v>great 😍👌 In love with these boots! Aesthetically and especially for your comfort. Hot foot inside lining really very happy llevan..de bought any. Very cheap and the quality 👍🎉 will use not only for excursions but tmb the cold winter days as they are also great with jeans 😅👌</v>
      </c>
    </row>
    <row r="10692">
      <c r="A10692" s="1">
        <v>5.0</v>
      </c>
      <c r="B10692" s="1" t="s">
        <v>10601</v>
      </c>
      <c r="C10692" t="str">
        <f>IFERROR(__xludf.DUMMYFUNCTION("GOOGLETRANSLATE(B10692, ""es"", ""en"")"),"I expected purchase process has been perfect Padelnuestro")</f>
        <v>I expected purchase process has been perfect Padelnuestro</v>
      </c>
    </row>
    <row r="10693">
      <c r="A10693" s="1">
        <v>5.0</v>
      </c>
      <c r="B10693" s="1" t="s">
        <v>10602</v>
      </c>
      <c r="C10693" t="str">
        <f>IFERROR(__xludf.DUMMYFUNCTION("GOOGLETRANSLATE(B10693, ""es"", ""en"")"),"Buy great way to save is out package fearing copy of the product, and the truth that is the same as that sold in Spain although the box comes in Russian. And time already spent time since I bought it and I live in an area with plenty of water with lime an"&amp;"d 0 problems. recomendadísimo")</f>
        <v>Buy great way to save is out package fearing copy of the product, and the truth that is the same as that sold in Spain although the box comes in Russian. And time already spent time since I bought it and I live in an area with plenty of water with lime and 0 problems. recomendadísimo</v>
      </c>
    </row>
    <row r="10694">
      <c r="A10694" s="1">
        <v>5.0</v>
      </c>
      <c r="B10694" s="1" t="s">
        <v>10603</v>
      </c>
      <c r="C10694" t="str">
        <f>IFERROR(__xludf.DUMMYFUNCTION("GOOGLETRANSLATE(B10694, ""es"", ""en"")"),"Watch for large dolls watch worth it for 66 euros, is beautiful, sturdy and quality, the surprises have it in front, for me has been a success and would buy it without hesitation. After a week with him I see it is very accurate. The only thing that's grea"&amp;"t, if diameter of 40-41 mm would be perfect for me.")</f>
        <v>Watch for large dolls watch worth it for 66 euros, is beautiful, sturdy and quality, the surprises have it in front, for me has been a success and would buy it without hesitation. After a week with him I see it is very accurate. The only thing that's great, if diameter of 40-41 mm would be perfect for me.</v>
      </c>
    </row>
    <row r="10695">
      <c r="A10695" s="1">
        <v>5.0</v>
      </c>
      <c r="B10695" s="1" t="s">
        <v>10604</v>
      </c>
      <c r="C10695" t="str">
        <f>IFERROR(__xludf.DUMMYFUNCTION("GOOGLETRANSLATE(B10695, ""es"", ""en"")"),"He arrived earlier than expected Practical and comfortable")</f>
        <v>He arrived earlier than expected Practical and comfortable</v>
      </c>
    </row>
    <row r="10696">
      <c r="A10696" s="1">
        <v>5.0</v>
      </c>
      <c r="B10696" s="1" t="s">
        <v>10605</v>
      </c>
      <c r="C10696" t="str">
        <f>IFERROR(__xludf.DUMMYFUNCTION("GOOGLETRANSLATE(B10696, ""es"", ""en"")"),"Good value for money wristbands are fine for that price. Nice set of leather bracelets, 16 different styles that you can combine to your taste and price una.Son of good material and with good acabados.Soy a fan of the bracelets, and with this purchase I'm"&amp;" delighted.")</f>
        <v>Good value for money wristbands are fine for that price. Nice set of leather bracelets, 16 different styles that you can combine to your taste and price una.Son of good material and with good acabados.Soy a fan of the bracelets, and with this purchase I'm delighted.</v>
      </c>
    </row>
    <row r="10697">
      <c r="A10697" s="1">
        <v>5.0</v>
      </c>
      <c r="B10697" s="1" t="s">
        <v>10606</v>
      </c>
      <c r="C10697" t="str">
        <f>IFERROR(__xludf.DUMMYFUNCTION("GOOGLETRANSLATE(B10697, ""es"", ""en"")"),"Quality-price relationship, good materials from mixer and how easy it is cleaned. I used the blender to shake, grind food, fruit, meat, coffee, nuts, etc. And grinds very well and leaves everything very smooth. Besides, I like roulette manual grinding and"&amp;" grinding control. And I especially like how well they clean power easily and very quickly disassemble any part of the blender.")</f>
        <v>Quality-price relationship, good materials from mixer and how easy it is cleaned. I used the blender to shake, grind food, fruit, meat, coffee, nuts, etc. And grinds very well and leaves everything very smooth. Besides, I like roulette manual grinding and grinding control. And I especially like how well they clean power easily and very quickly disassemble any part of the blender.</v>
      </c>
    </row>
    <row r="10698">
      <c r="A10698" s="1">
        <v>5.0</v>
      </c>
      <c r="B10698" s="1" t="s">
        <v>10607</v>
      </c>
      <c r="C10698" t="str">
        <f>IFERROR(__xludf.DUMMYFUNCTION("GOOGLETRANSLATE(B10698, ""es"", ""en"")"),"all good expectations fulfilled")</f>
        <v>all good expectations fulfilled</v>
      </c>
    </row>
    <row r="10699">
      <c r="A10699" s="1">
        <v>2.0</v>
      </c>
      <c r="B10699" s="1" t="s">
        <v>10608</v>
      </c>
      <c r="C10699" t="str">
        <f>IFERROR(__xludf.DUMMYFUNCTION("GOOGLETRANSLATE(B10699, ""es"", ""en"")"),"As I have gone very bad very bad have not lasted me anything, I have taken off the sole, fatal.")</f>
        <v>As I have gone very bad very bad have not lasted me anything, I have taken off the sole, fatal.</v>
      </c>
    </row>
    <row r="10700">
      <c r="A10700" s="1">
        <v>3.0</v>
      </c>
      <c r="B10700" s="1" t="s">
        <v>10609</v>
      </c>
      <c r="C10700" t="str">
        <f>IFERROR(__xludf.DUMMYFUNCTION("GOOGLETRANSLATE(B10700, ""es"", ""en"")"),"Regular not go bad odors There are some fixed q I stay I'm using in making soaps and in some dried up when oil Other smells like cinnamon and rosemary are perfect")</f>
        <v>Regular not go bad odors There are some fixed q I stay I'm using in making soaps and in some dried up when oil Other smells like cinnamon and rosemary are perfect</v>
      </c>
    </row>
    <row r="10701">
      <c r="A10701" s="1">
        <v>3.0</v>
      </c>
      <c r="B10701" s="1" t="s">
        <v>10610</v>
      </c>
      <c r="C10701" t="str">
        <f>IFERROR(__xludf.DUMMYFUNCTION("GOOGLETRANSLATE(B10701, ""es"", ""en"")"),"It's not as nice as elegant watch sold, to train and use it in my everyday life, is rugged and beautiful. Configure it lacks power, will not let you change anything. Compared to the new gtr amatfit slouch. The battery does not last even half of what they "&amp;"say, a week and I have charged twice (wear all day bluetooth and use the app every day) for the same price or less is better amatfit gtr")</f>
        <v>It's not as nice as elegant watch sold, to train and use it in my everyday life, is rugged and beautiful. Configure it lacks power, will not let you change anything. Compared to the new gtr amatfit slouch. The battery does not last even half of what they say, a week and I have charged twice (wear all day bluetooth and use the app every day) for the same price or less is better amatfit gtr</v>
      </c>
    </row>
    <row r="10702">
      <c r="A10702" s="1">
        <v>1.0</v>
      </c>
      <c r="B10702" s="1" t="s">
        <v>10611</v>
      </c>
      <c r="C10702" t="str">
        <f>IFERROR(__xludf.DUMMYFUNCTION("GOOGLETRANSLATE(B10702, ""es"", ""en"")"),"Tiny little Measures")</f>
        <v>Tiny little Measures</v>
      </c>
    </row>
    <row r="10703">
      <c r="A10703" s="1">
        <v>1.0</v>
      </c>
      <c r="B10703" s="1" t="s">
        <v>10612</v>
      </c>
      <c r="C10703" t="str">
        <f>IFERROR(__xludf.DUMMYFUNCTION("GOOGLETRANSLATE(B10703, ""es"", ""en"")"),"A poor quality first start out you have balls, bad product")</f>
        <v>A poor quality first start out you have balls, bad product</v>
      </c>
    </row>
    <row r="10704">
      <c r="A10704" s="1">
        <v>4.0</v>
      </c>
      <c r="B10704" s="1" t="s">
        <v>10613</v>
      </c>
      <c r="C10704" t="str">
        <f>IFERROR(__xludf.DUMMYFUNCTION("GOOGLETRANSLATE(B10704, ""es"", ""en"")"),"Ma quality seems a success, quality and manufactured in the EU, so thought I saw")</f>
        <v>Ma quality seems a success, quality and manufactured in the EU, so thought I saw</v>
      </c>
    </row>
    <row r="10705">
      <c r="A10705" s="1">
        <v>4.0</v>
      </c>
      <c r="B10705" s="1" t="s">
        <v>10614</v>
      </c>
      <c r="C10705" t="str">
        <f>IFERROR(__xludf.DUMMYFUNCTION("GOOGLETRANSLATE(B10705, ""es"", ""en"")"),"The worst colors Folders are fine, equal to the price. The only bad thing is that there are quite ugly colors.")</f>
        <v>The worst colors Folders are fine, equal to the price. The only bad thing is that there are quite ugly colors.</v>
      </c>
    </row>
    <row r="10706">
      <c r="A10706" s="1">
        <v>4.0</v>
      </c>
      <c r="B10706" s="1" t="s">
        <v>10615</v>
      </c>
      <c r="C10706" t="str">
        <f>IFERROR(__xludf.DUMMYFUNCTION("GOOGLETRANSLATE(B10706, ""es"", ""en"")"),"I chose my usual number comfortable and fit me. They are not for the summer or for hot days ... they are not to carry them without socks or Pinkis. Staff very comfortable and fit well without tightening. Well suited to urban walks.")</f>
        <v>I chose my usual number comfortable and fit me. They are not for the summer or for hot days ... they are not to carry them without socks or Pinkis. Staff very comfortable and fit well without tightening. Well suited to urban walks.</v>
      </c>
    </row>
    <row r="10707">
      <c r="A10707" s="1">
        <v>4.0</v>
      </c>
      <c r="B10707" s="1" t="s">
        <v>10616</v>
      </c>
      <c r="C10707" t="str">
        <f>IFERROR(__xludf.DUMMYFUNCTION("GOOGLETRANSLATE(B10707, ""es"", ""en"")"),"Clock The clock is very good as described, the appearance is good and seems constructed so durable")</f>
        <v>Clock The clock is very good as described, the appearance is good and seems constructed so durable</v>
      </c>
    </row>
    <row r="10708">
      <c r="A10708" s="1">
        <v>4.0</v>
      </c>
      <c r="B10708" s="1" t="s">
        <v>10617</v>
      </c>
      <c r="C10708" t="str">
        <f>IFERROR(__xludf.DUMMYFUNCTION("GOOGLETRANSLATE(B10708, ""es"", ""en"")"),"Very original and very nice silver bonito.Es truth is, you can wash it all down and no bath is removed, I recommend it for a gift")</f>
        <v>Very original and very nice silver bonito.Es truth is, you can wash it all down and no bath is removed, I recommend it for a gift</v>
      </c>
    </row>
    <row r="10709">
      <c r="A10709" s="1">
        <v>5.0</v>
      </c>
      <c r="B10709" s="1" t="s">
        <v>10618</v>
      </c>
      <c r="C10709" t="str">
        <f>IFERROR(__xludf.DUMMYFUNCTION("GOOGLETRANSLATE(B10709, ""es"", ""en"")"),"Very easy to catch great for kids and the handle can be removed anytime, so it is very practical. It is clean Facilisimo and material and printing is very washable.")</f>
        <v>Very easy to catch great for kids and the handle can be removed anytime, so it is very practical. It is clean Facilisimo and material and printing is very washable.</v>
      </c>
    </row>
    <row r="10710">
      <c r="A10710" s="1">
        <v>5.0</v>
      </c>
      <c r="B10710" s="1" t="s">
        <v>10619</v>
      </c>
      <c r="C10710" t="str">
        <f>IFERROR(__xludf.DUMMYFUNCTION("GOOGLETRANSLATE(B10710, ""es"", ""en"")"),"Guillerme Mlouy happy with the watch. It works very well use all the time has a good, satisfied buy great thanks greetings")</f>
        <v>Guillerme Mlouy happy with the watch. It works very well use all the time has a good, satisfied buy great thanks greetings</v>
      </c>
    </row>
    <row r="10711">
      <c r="A10711" s="1">
        <v>5.0</v>
      </c>
      <c r="B10711" s="1" t="s">
        <v>10620</v>
      </c>
      <c r="C10711" t="str">
        <f>IFERROR(__xludf.DUMMYFUNCTION("GOOGLETRANSLATE(B10711, ""es"", ""en"")"),"All as description, perfect everything all right")</f>
        <v>All as description, perfect everything all right</v>
      </c>
    </row>
    <row r="10712">
      <c r="A10712" s="1">
        <v>5.0</v>
      </c>
      <c r="B10712" s="1" t="s">
        <v>10621</v>
      </c>
      <c r="C10712" t="str">
        <f>IFERROR(__xludf.DUMMYFUNCTION("GOOGLETRANSLATE(B10712, ""es"", ""en"")"),"Good buy right Sizing (I bought size S).")</f>
        <v>Good buy right Sizing (I bought size S).</v>
      </c>
    </row>
    <row r="10713">
      <c r="A10713" s="1">
        <v>5.0</v>
      </c>
      <c r="B10713" s="1" t="s">
        <v>10622</v>
      </c>
      <c r="C10713" t="str">
        <f>IFERROR(__xludf.DUMMYFUNCTION("GOOGLETRANSLATE(B10713, ""es"", ""en"")"),"Good socks boy sock for sport")</f>
        <v>Good socks boy sock for sport</v>
      </c>
    </row>
    <row r="10714">
      <c r="A10714" s="1">
        <v>5.0</v>
      </c>
      <c r="B10714" s="1" t="s">
        <v>10623</v>
      </c>
      <c r="C10714" t="str">
        <f>IFERROR(__xludf.DUMMYFUNCTION("GOOGLETRANSLATE(B10714, ""es"", ""en"")"),"A use are for use with an electric drill, makes cleaning easier, the product includes several heads for different surfaces, recommended")</f>
        <v>A use are for use with an electric drill, makes cleaning easier, the product includes several heads for different surfaces, recommended</v>
      </c>
    </row>
    <row r="10715">
      <c r="A10715" s="1">
        <v>5.0</v>
      </c>
      <c r="B10715" s="1" t="s">
        <v>10624</v>
      </c>
      <c r="C10715" t="str">
        <f>IFERROR(__xludf.DUMMYFUNCTION("GOOGLETRANSLATE(B10715, ""es"", ""en"")"),"I recommend buy Mido one 1,83 weight 88k'm broad shoulders, height L is pretty good arms there remains a long Pelin, waist spare me a little, but if I ask for the M I would be very fair and I could not put no a shirt below. I just put it to the open wrink"&amp;"led definition package but a good buy pretty good quality thick warm pelillo, color is the same photo. I hope not shrink when washing but if some still fester perfect.")</f>
        <v>I recommend buy Mido one 1,83 weight 88k'm broad shoulders, height L is pretty good arms there remains a long Pelin, waist spare me a little, but if I ask for the M I would be very fair and I could not put no a shirt below. I just put it to the open wrinkled definition package but a good buy pretty good quality thick warm pelillo, color is the same photo. I hope not shrink when washing but if some still fester perfect.</v>
      </c>
    </row>
    <row r="10716">
      <c r="A10716" s="1">
        <v>5.0</v>
      </c>
      <c r="B10716" s="1" t="s">
        <v>10625</v>
      </c>
      <c r="C10716" t="str">
        <f>IFERROR(__xludf.DUMMYFUNCTION("GOOGLETRANSLATE(B10716, ""es"", ""en"")"),"Good battery light and I have given my sister and who has broken a pair of wired headphones, and was fed up with her I piss me off because I have been broken as ja 3 handsets. They are comfortable, have good autonomy, and for the price I think I'll give a"&amp;" couple more if you lose. A friend has a headset like this, but another brand, and when he spoke he did not understand anything. I've tried down the street with the noise of cars, people walking and I was surprised how crisp you can hear, I am not exagger"&amp;"ating if I say better than the speaker that comes with the phone.")</f>
        <v>Good battery light and I have given my sister and who has broken a pair of wired headphones, and was fed up with her I piss me off because I have been broken as ja 3 handsets. They are comfortable, have good autonomy, and for the price I think I'll give a couple more if you lose. A friend has a headset like this, but another brand, and when he spoke he did not understand anything. I've tried down the street with the noise of cars, people walking and I was surprised how crisp you can hear, I am not exaggerating if I say better than the speaker that comes with the phone.</v>
      </c>
    </row>
    <row r="10717">
      <c r="A10717" s="1">
        <v>5.0</v>
      </c>
      <c r="B10717" s="1" t="s">
        <v>10626</v>
      </c>
      <c r="C10717" t="str">
        <f>IFERROR(__xludf.DUMMYFUNCTION("GOOGLETRANSLATE(B10717, ""es"", ""en"")"),"Vans shoes very fast delivery without any problem")</f>
        <v>Vans shoes very fast delivery without any problem</v>
      </c>
    </row>
    <row r="10718">
      <c r="A10718" s="1">
        <v>5.0</v>
      </c>
      <c r="B10718" s="1" t="s">
        <v>10627</v>
      </c>
      <c r="C10718" t="str">
        <f>IFERROR(__xludf.DUMMYFUNCTION("GOOGLETRANSLATE(B10718, ""es"", ""en"")"),"Just what I expected I love, even if I had to change something, it would be that the pockets were not a little open. Otherwise perfect.")</f>
        <v>Just what I expected I love, even if I had to change something, it would be that the pockets were not a little open. Otherwise perfect.</v>
      </c>
    </row>
    <row r="10719">
      <c r="A10719" s="1">
        <v>5.0</v>
      </c>
      <c r="B10719" s="1" t="s">
        <v>10628</v>
      </c>
      <c r="C10719" t="str">
        <f>IFERROR(__xludf.DUMMYFUNCTION("GOOGLETRANSLATE(B10719, ""es"", ""en"")"),"Perfect Super nice as it is in the picture")</f>
        <v>Perfect Super nice as it is in the picture</v>
      </c>
    </row>
    <row r="10720">
      <c r="A10720" s="1">
        <v>5.0</v>
      </c>
      <c r="B10720" s="1" t="s">
        <v>10629</v>
      </c>
      <c r="C10720" t="str">
        <f>IFERROR(__xludf.DUMMYFUNCTION("GOOGLETRANSLATE(B10720, ""es"", ""en"")"),"What I seek is a little bigger than I thought but when you use it is peferto. Very good quality material, durable, pleasant feel, with lots of places for keys, coins, papers, mobile etc all comes Pesa little. great,")</f>
        <v>What I seek is a little bigger than I thought but when you use it is peferto. Very good quality material, durable, pleasant feel, with lots of places for keys, coins, papers, mobile etc all comes Pesa little. great,</v>
      </c>
    </row>
    <row r="10721">
      <c r="A10721" s="1">
        <v>5.0</v>
      </c>
      <c r="B10721" s="1" t="s">
        <v>10630</v>
      </c>
      <c r="C10721" t="str">
        <f>IFERROR(__xludf.DUMMYFUNCTION("GOOGLETRANSLATE(B10721, ""es"", ""en"")"),"great great, you can see all the details! very happy with purchase, excellent quality! good price and quality, what more can you ask for!")</f>
        <v>great great, you can see all the details! very happy with purchase, excellent quality! good price and quality, what more can you ask for!</v>
      </c>
    </row>
    <row r="10722">
      <c r="A10722" s="1">
        <v>5.0</v>
      </c>
      <c r="B10722" s="1" t="s">
        <v>10631</v>
      </c>
      <c r="C10722" t="str">
        <f>IFERROR(__xludf.DUMMYFUNCTION("GOOGLETRANSLATE(B10722, ""es"", ""en"")"),"Ideal for scripts or similar store size A + allows you to save scripts and notarized documents without forcing them. I bought them for that and go very well.")</f>
        <v>Ideal for scripts or similar store size A + allows you to save scripts and notarized documents without forcing them. I bought them for that and go very well.</v>
      </c>
    </row>
    <row r="10723">
      <c r="A10723" s="1">
        <v>5.0</v>
      </c>
      <c r="B10723" s="1" t="s">
        <v>10632</v>
      </c>
      <c r="C10723" t="str">
        <f>IFERROR(__xludf.DUMMYFUNCTION("GOOGLETRANSLATE(B10723, ""es"", ""en"")"),"Perfect good buy")</f>
        <v>Perfect good buy</v>
      </c>
    </row>
    <row r="10724">
      <c r="A10724" s="1">
        <v>5.0</v>
      </c>
      <c r="B10724" s="1" t="s">
        <v>10633</v>
      </c>
      <c r="C10724" t="str">
        <f>IFERROR(__xludf.DUMMYFUNCTION("GOOGLETRANSLATE(B10724, ""es"", ""en"")"),"Can finally sleep through reviews of other users saw interesting the possibility of acquiring a Dodow for my mother because she suffers from insomnia since a long time and costs a lot of sleep to catch ago. Since I gave Dodow things have changed! At the b"&amp;"eginning I said q did not work him because he did not concentrate on breathing and the light pulse but gradually aha been using it every night and now costs much less sleep and do not stop to think about other things outside him to stay awake at all times"&amp;"! This way you relax and concentrate on your breathing and sleep !! It is amazing !! I do recommend 100%")</f>
        <v>Can finally sleep through reviews of other users saw interesting the possibility of acquiring a Dodow for my mother because she suffers from insomnia since a long time and costs a lot of sleep to catch ago. Since I gave Dodow things have changed! At the beginning I said q did not work him because he did not concentrate on breathing and the light pulse but gradually aha been using it every night and now costs much less sleep and do not stop to think about other things outside him to stay awake at all times! This way you relax and concentrate on your breathing and sleep !! It is amazing !! I do recommend 100%</v>
      </c>
    </row>
    <row r="10725">
      <c r="A10725" s="1">
        <v>5.0</v>
      </c>
      <c r="B10725" s="1" t="s">
        <v>10634</v>
      </c>
      <c r="C10725" t="str">
        <f>IFERROR(__xludf.DUMMYFUNCTION("GOOGLETRANSLATE(B10725, ""es"", ""en"")"),"Working properly and much cheaper than similar products work properly adapter to connect a keyboard CASIO CTK-900 with Midi output to a laptop. It is recognized correctly by FL-Studio and Magix Music Maker. Recommended to 100%, at a much cheaper price tha"&amp;"n similar devices from leading brands.")</f>
        <v>Working properly and much cheaper than similar products work properly adapter to connect a keyboard CASIO CTK-900 with Midi output to a laptop. It is recognized correctly by FL-Studio and Magix Music Maker. Recommended to 100%, at a much cheaper price than similar devices from leading brands.</v>
      </c>
    </row>
    <row r="10726">
      <c r="A10726" s="1">
        <v>5.0</v>
      </c>
      <c r="B10726" s="1" t="s">
        <v>10635</v>
      </c>
      <c r="C10726" t="str">
        <f>IFERROR(__xludf.DUMMYFUNCTION("GOOGLETRANSLATE(B10726, ""es"", ""en"")"),"Perfect I have it for months and goes perfectly, its your soft")</f>
        <v>Perfect I have it for months and goes perfectly, its your soft</v>
      </c>
    </row>
    <row r="10727">
      <c r="A10727" s="1">
        <v>2.0</v>
      </c>
      <c r="B10727" s="1" t="s">
        <v>10636</v>
      </c>
      <c r="C10727" t="str">
        <f>IFERROR(__xludf.DUMMYFUNCTION("GOOGLETRANSLATE(B10727, ""es"", ""en"")"),"it constantly breaks putting the gun pack is constantly broken, we must take great care to packing and go very slowly. I've been about to return it but I needed to close many boxes and had no more time.")</f>
        <v>it constantly breaks putting the gun pack is constantly broken, we must take great care to packing and go very slowly. I've been about to return it but I needed to close many boxes and had no more time.</v>
      </c>
    </row>
    <row r="10728">
      <c r="A10728" s="1">
        <v>3.0</v>
      </c>
      <c r="B10728" s="1" t="s">
        <v>10637</v>
      </c>
      <c r="C10728" t="str">
        <f>IFERROR(__xludf.DUMMYFUNCTION("GOOGLETRANSLATE(B10728, ""es"", ""en"")"),"arrived broken glass broken glass came")</f>
        <v>arrived broken glass broken glass came</v>
      </c>
    </row>
    <row r="10729">
      <c r="A10729" s="1">
        <v>1.0</v>
      </c>
      <c r="B10729" s="1" t="s">
        <v>10638</v>
      </c>
      <c r="C10729" t="str">
        <f>IFERROR(__xludf.DUMMYFUNCTION("GOOGLETRANSLATE(B10729, ""es"", ""en"")"),"What punishment has been broken recommend wrap a little better")</f>
        <v>What punishment has been broken recommend wrap a little better</v>
      </c>
    </row>
    <row r="10730">
      <c r="A10730" s="1">
        <v>1.0</v>
      </c>
      <c r="B10730" s="1" t="s">
        <v>10639</v>
      </c>
      <c r="C10730" t="str">
        <f>IFERROR(__xludf.DUMMYFUNCTION("GOOGLETRANSLATE(B10730, ""es"", ""en"")"),"I did not expect so not liked the product because they are of very poor quality and also do not come in standard sizes and color are removed in one day.")</f>
        <v>I did not expect so not liked the product because they are of very poor quality and also do not come in standard sizes and color are removed in one day.</v>
      </c>
    </row>
    <row r="10731">
      <c r="A10731" s="1">
        <v>1.0</v>
      </c>
      <c r="B10731" s="1" t="s">
        <v>10640</v>
      </c>
      <c r="C10731" t="str">
        <f>IFERROR(__xludf.DUMMYFUNCTION("GOOGLETRANSLATE(B10731, ""es"", ""en"")"),"USELESS Total useless. You just need a bit of the room, to continuously sweeps almost nothing and no scrubbing and no've tried. I've put back into the box and return. It does not serve as a broom")</f>
        <v>USELESS Total useless. You just need a bit of the room, to continuously sweeps almost nothing and no scrubbing and no've tried. I've put back into the box and return. It does not serve as a broom</v>
      </c>
    </row>
    <row r="10732">
      <c r="A10732" s="1">
        <v>4.0</v>
      </c>
      <c r="B10732" s="1" t="s">
        <v>10641</v>
      </c>
      <c r="C10732" t="str">
        <f>IFERROR(__xludf.DUMMYFUNCTION("GOOGLETRANSLATE(B10732, ""es"", ""en"")"),"Very useful. It is the original brand and pay. But it fits perfect and does its function. They sent me black.")</f>
        <v>Very useful. It is the original brand and pay. But it fits perfect and does its function. They sent me black.</v>
      </c>
    </row>
    <row r="10733">
      <c r="A10733" s="1">
        <v>4.0</v>
      </c>
      <c r="B10733" s="1" t="s">
        <v>10642</v>
      </c>
      <c r="C10733" t="str">
        <f>IFERROR(__xludf.DUMMYFUNCTION("GOOGLETRANSLATE(B10733, ""es"", ""en"")"),"It was connected to the first connecting to the digital piano to have a midi access with mobile and it worked first. It has two little lights that tell you if you are connected and if there is data transmission.")</f>
        <v>It was connected to the first connecting to the digital piano to have a midi access with mobile and it worked first. It has two little lights that tell you if you are connected and if there is data transmission.</v>
      </c>
    </row>
    <row r="10734">
      <c r="A10734" s="1">
        <v>4.0</v>
      </c>
      <c r="B10734" s="1" t="s">
        <v>10643</v>
      </c>
      <c r="C10734" t="str">
        <f>IFERROR(__xludf.DUMMYFUNCTION("GOOGLETRANSLATE(B10734, ""es"", ""en"")"),"Initially I expected I could burn them without problem, it is also true that then I have not tried to play more than once")</f>
        <v>Initially I expected I could burn them without problem, it is also true that then I have not tried to play more than once</v>
      </c>
    </row>
    <row r="10735">
      <c r="A10735" s="1">
        <v>4.0</v>
      </c>
      <c r="B10735" s="1" t="s">
        <v>10644</v>
      </c>
      <c r="C10735" t="str">
        <f>IFERROR(__xludf.DUMMYFUNCTION("GOOGLETRANSLATE(B10735, ""es"", ""en"")"),"It works perfectly happy. Meets expectations. I have connected a TV, a PC and a microphone. It is highly recommended for home use but fulfilling")</f>
        <v>It works perfectly happy. Meets expectations. I have connected a TV, a PC and a microphone. It is highly recommended for home use but fulfilling</v>
      </c>
    </row>
    <row r="10736">
      <c r="A10736" s="1">
        <v>4.0</v>
      </c>
      <c r="B10736" s="1" t="s">
        <v>10645</v>
      </c>
      <c r="C10736" t="str">
        <f>IFERROR(__xludf.DUMMYFUNCTION("GOOGLETRANSLATE(B10736, ""es"", ""en"")"),"As the description good material for use I'll give, I'm not professional sound, and to connect with amplifier and speakers within walking distance have leftovers")</f>
        <v>As the description good material for use I'll give, I'm not professional sound, and to connect with amplifier and speakers within walking distance have leftovers</v>
      </c>
    </row>
    <row r="10737">
      <c r="A10737" s="1">
        <v>5.0</v>
      </c>
      <c r="B10737" s="1" t="s">
        <v>10646</v>
      </c>
      <c r="C10737" t="str">
        <f>IFERROR(__xludf.DUMMYFUNCTION("GOOGLETRANSLATE(B10737, ""es"", ""en"")"),"very comfortable lightweight hard use them to go to the river filled with rocks and time without problems. I have 43 ordered a 43 and perfect. very good buy Value recommend it to everyone.")</f>
        <v>very comfortable lightweight hard use them to go to the river filled with rocks and time without problems. I have 43 ordered a 43 and perfect. very good buy Value recommend it to everyone.</v>
      </c>
    </row>
    <row r="10738">
      <c r="A10738" s="1">
        <v>5.0</v>
      </c>
      <c r="B10738" s="1" t="s">
        <v>10647</v>
      </c>
      <c r="C10738" t="str">
        <f>IFERROR(__xludf.DUMMYFUNCTION("GOOGLETRANSLATE(B10738, ""es"", ""en"")"),"Good quality good price")</f>
        <v>Good quality good price</v>
      </c>
    </row>
    <row r="10739">
      <c r="A10739" s="1">
        <v>5.0</v>
      </c>
      <c r="B10739" s="1" t="s">
        <v>10648</v>
      </c>
      <c r="C10739" t="str">
        <f>IFERROR(__xludf.DUMMYFUNCTION("GOOGLETRANSLATE(B10739, ""es"", ""en"")"),"What more could you want? Not a microphone for a major studio or for an orchestra, or for great pretensions but certainly for casual home use and amply fulfills its mission. You may even surprise your quality given the price it has. Ideal for podcasts, vi"&amp;"deo recording, etc ...")</f>
        <v>What more could you want? Not a microphone for a major studio or for an orchestra, or for great pretensions but certainly for casual home use and amply fulfills its mission. You may even surprise your quality given the price it has. Ideal for podcasts, video recording, etc ...</v>
      </c>
    </row>
    <row r="10740">
      <c r="A10740" s="1">
        <v>5.0</v>
      </c>
      <c r="B10740" s="1" t="s">
        <v>10649</v>
      </c>
      <c r="C10740" t="str">
        <f>IFERROR(__xludf.DUMMYFUNCTION("GOOGLETRANSLATE(B10740, ""es"", ""en"")"),"Very bright and pretty loved my partner. Shines brightly with the reflection of light and is bigger than I thought. That is good! Very good buy")</f>
        <v>Very bright and pretty loved my partner. Shines brightly with the reflection of light and is bigger than I thought. That is good! Very good buy</v>
      </c>
    </row>
    <row r="10741">
      <c r="A10741" s="1">
        <v>5.0</v>
      </c>
      <c r="B10741" s="1" t="s">
        <v>10650</v>
      </c>
      <c r="C10741" t="str">
        <f>IFERROR(__xludf.DUMMYFUNCTION("GOOGLETRANSLATE(B10741, ""es"", ""en"")"),"Nice photo album photo album to glue and have the memory of all the moments. Has a hard cardboard cover color and its interior is black cardboard. It comes with stickers and scissors to decorate. I bought it to paste pictures of a child and make a gift at"&amp;" Christmas, I think it is ideal")</f>
        <v>Nice photo album photo album to glue and have the memory of all the moments. Has a hard cardboard cover color and its interior is black cardboard. It comes with stickers and scissors to decorate. I bought it to paste pictures of a child and make a gift at Christmas, I think it is ideal</v>
      </c>
    </row>
    <row r="10742">
      <c r="A10742" s="1">
        <v>5.0</v>
      </c>
      <c r="B10742" s="1" t="s">
        <v>10651</v>
      </c>
      <c r="C10742" t="str">
        <f>IFERROR(__xludf.DUMMYFUNCTION("GOOGLETRANSLATE(B10742, ""es"", ""en"")"),"I loved this product I loved the product, to make smoothies is ideal, not liquefies at the level of a super powerful blender but if it works really well")</f>
        <v>I loved this product I loved the product, to make smoothies is ideal, not liquefies at the level of a super powerful blender but if it works really well</v>
      </c>
    </row>
    <row r="10743">
      <c r="A10743" s="1">
        <v>5.0</v>
      </c>
      <c r="B10743" s="1" t="s">
        <v>10652</v>
      </c>
      <c r="C10743" t="str">
        <f>IFERROR(__xludf.DUMMYFUNCTION("GOOGLETRANSLATE(B10743, ""es"", ""en"")"),"Good brand 👍🏻👍🏻👍🏻")</f>
        <v>Good brand 👍🏻👍🏻👍🏻</v>
      </c>
    </row>
    <row r="10744">
      <c r="A10744" s="1">
        <v>5.0</v>
      </c>
      <c r="B10744" s="1" t="s">
        <v>10653</v>
      </c>
      <c r="C10744" t="str">
        <f>IFERROR(__xludf.DUMMYFUNCTION("GOOGLETRANSLATE(B10744, ""es"", ""en"")"),"I love soft but first apllication leaves the skin red and hurt a tad shower and then stays soft .. Volvere buy")</f>
        <v>I love soft but first apllication leaves the skin red and hurt a tad shower and then stays soft .. Volvere buy</v>
      </c>
    </row>
    <row r="10745">
      <c r="A10745" s="1">
        <v>5.0</v>
      </c>
      <c r="B10745" s="1" t="s">
        <v>10654</v>
      </c>
      <c r="C10745" t="str">
        <f>IFERROR(__xludf.DUMMYFUNCTION("GOOGLETRANSLATE(B10745, ""es"", ""en"")"),"good result I'll play it safe, solomon comfort, good result. My son is happy.")</f>
        <v>good result I'll play it safe, solomon comfort, good result. My son is happy.</v>
      </c>
    </row>
    <row r="10746">
      <c r="A10746" s="1">
        <v>5.0</v>
      </c>
      <c r="B10746" s="1" t="s">
        <v>10655</v>
      </c>
      <c r="C10746" t="str">
        <f>IFERROR(__xludf.DUMMYFUNCTION("GOOGLETRANSLATE(B10746, ""es"", ""en"")"),"Sound spectacular! Bose had QuietControl 30 were not bad but the necklace was upset with shirts. Shifting these headphones ... no regrets! Are more dynamic than the Bose and more power ... the noise reduction ... obviously are the best in-ear but really ."&amp;".. I take the plane and train a lot ... no problem. The sound quality is very good ... amazing!")</f>
        <v>Sound spectacular! Bose had QuietControl 30 were not bad but the necklace was upset with shirts. Shifting these headphones ... no regrets! Are more dynamic than the Bose and more power ... the noise reduction ... obviously are the best in-ear but really ... I take the plane and train a lot ... no problem. The sound quality is very good ... amazing!</v>
      </c>
    </row>
    <row r="10747">
      <c r="A10747" s="1">
        <v>5.0</v>
      </c>
      <c r="B10747" s="1" t="s">
        <v>10656</v>
      </c>
      <c r="C10747" t="str">
        <f>IFERROR(__xludf.DUMMYFUNCTION("GOOGLETRANSLATE(B10747, ""es"", ""en"")"),"sound flipa me how well you listen and money")</f>
        <v>sound flipa me how well you listen and money</v>
      </c>
    </row>
    <row r="10748">
      <c r="A10748" s="1">
        <v>5.0</v>
      </c>
      <c r="B10748" s="1" t="s">
        <v>10657</v>
      </c>
      <c r="C10748" t="str">
        <f>IFERROR(__xludf.DUMMYFUNCTION("GOOGLETRANSLATE(B10748, ""es"", ""en"")"),"Genial very satisfied. Quality - great price. Very happy.")</f>
        <v>Genial very satisfied. Quality - great price. Very happy.</v>
      </c>
    </row>
    <row r="10749">
      <c r="A10749" s="1">
        <v>5.0</v>
      </c>
      <c r="B10749" s="1" t="s">
        <v>10658</v>
      </c>
      <c r="C10749" t="str">
        <f>IFERROR(__xludf.DUMMYFUNCTION("GOOGLETRANSLATE(B10749, ""es"", ""en"")"),"OK but .... We are perfect but it seemed they were already used that had some wrinkles on the skin. We do not know if it's because they had been returned or because they had to test Store")</f>
        <v>OK but .... We are perfect but it seemed they were already used that had some wrinkles on the skin. We do not know if it's because they had been returned or because they had to test Store</v>
      </c>
    </row>
    <row r="10750">
      <c r="A10750" s="1">
        <v>5.0</v>
      </c>
      <c r="B10750" s="1" t="s">
        <v>10659</v>
      </c>
      <c r="C10750" t="str">
        <f>IFERROR(__xludf.DUMMYFUNCTION("GOOGLETRANSLATE(B10750, ""es"", ""en"")"),"2x1 in the same product and economical. I bought these headphones because my father always was envious of mine. I will now give my envy of their own. These helmets are impressive. They have a very good quality sound and wanted many who are worth 200 euros"&amp;". And, best of all is that the case is loader, headphones not only themselves but also of the mobile. When I saw did not think it would work or thought he would not charge enough, but quite the opposite battery is battery 6000 mH. The times they say in th"&amp;"e descriptions are tight to reality. Hulls adhere very well to the ear, I tried them and so has my father done with completely different ears (the little one and the big yours) and fit very well in both. Helmets connectivity is very easy to do via Bluetoo"&amp;"th and the notes you come in the instruction book if you've never done before, or like other headphones that are connected in this way. Through helmets you can make different arrangements and stop the music, change songs or return to the previous. You can"&amp;" also take calls and hang up, you have the so called assistant staff the phone as Alexa or Siri. You can also adjust the volume. The quality with which hear both calls and music is very good. It is very convenient especially when traveling take it because"&amp;" you get two products in one and so does not take much and does not weigh much.")</f>
        <v>2x1 in the same product and economical. I bought these headphones because my father always was envious of mine. I will now give my envy of their own. These helmets are impressive. They have a very good quality sound and wanted many who are worth 200 euros. And, best of all is that the case is loader, headphones not only themselves but also of the mobile. When I saw did not think it would work or thought he would not charge enough, but quite the opposite battery is battery 6000 mH. The times they say in the descriptions are tight to reality. Hulls adhere very well to the ear, I tried them and so has my father done with completely different ears (the little one and the big yours) and fit very well in both. Helmets connectivity is very easy to do via Bluetooth and the notes you come in the instruction book if you've never done before, or like other headphones that are connected in this way. Through helmets you can make different arrangements and stop the music, change songs or return to the previous. You can also take calls and hang up, you have the so called assistant staff the phone as Alexa or Siri. You can also adjust the volume. The quality with which hear both calls and music is very good. It is very convenient especially when traveling take it because you get two products in one and so does not take much and does not weigh much.</v>
      </c>
    </row>
    <row r="10751">
      <c r="A10751" s="1">
        <v>5.0</v>
      </c>
      <c r="B10751" s="1" t="s">
        <v>10660</v>
      </c>
      <c r="C10751" t="str">
        <f>IFERROR(__xludf.DUMMYFUNCTION("GOOGLETRANSLATE(B10751, ""es"", ""en"")"),"Raul Garcia Morales are nice and arrived before time is always appreciated, I bought it if had to make a gift this Christmas bonus for some commitment and liked to whom I gave")</f>
        <v>Raul Garcia Morales are nice and arrived before time is always appreciated, I bought it if had to make a gift this Christmas bonus for some commitment and liked to whom I gave</v>
      </c>
    </row>
    <row r="10752">
      <c r="A10752" s="1">
        <v>5.0</v>
      </c>
      <c r="B10752" s="1" t="s">
        <v>10661</v>
      </c>
      <c r="C10752" t="str">
        <f>IFERROR(__xludf.DUMMYFUNCTION("GOOGLETRANSLATE(B10752, ""es"", ""en"")"),"Soft and comfortable vibrator &lt;div id = ""video-block-R38YP79GJD5YZR"" class = ""a-section a-spacing-small a-spacing-top mini video-block""&gt; &lt;div tabindex = ""0"" class = ""airy airy -svg vmin-supported airy-skin-beacon ""style ="" background-color: rgb ("&amp;"0, 0, 0) position: relative; width: 100%; height: 100%; font-size: 0px; overflow: hidden ; outline: none; ""&gt; &lt;div class ="" airy-renderer-container ""style ="" position: relative; height: 100%; width: 100%; ""&gt; &lt;video id ="" 7 ""preload ="" auto ""src = "&amp;"""https://images-eu.ssl-images-amazon.com/images/I/A1KnRPMpA4S.mp4"" style = ""position: absolute; left: 0px; top: 0px; overflow: hidden; height: 1px; width : 1px; ""&gt; &lt;/ video&gt; &lt;/ div&gt; &lt;div id ="" airy-slate-preload ""style ="" background-color: rgb (0, "&amp;"0, 0); background-image: url (&amp; quot; https: //images-eu.ssl-images-amazon.com/images/I/81qmWUYhS+S.png&amp;quot;); background-size: Contain; background-position: center center; background-repeat: no-repeat; position: absolute ; top: 0px; left: 0px; visibilit"&amp;"y: visible; width: 100%; height: 100%; ""&gt; &lt;/ div&gt; &lt;iframe sc rolling = ""no"" frameborder = ""0"" src = ""about: blank"" style = ""display: none;""&gt; &lt;/ iframe&gt; &lt;div tabindex = ""- 1"" class = ""airy-controls-container"" style = "" opacity: 0; visibility:"&amp;" hidden; ""&gt; &lt;div tabindex ="" - 1 ""class ="" airy-screen-size-toggle airy-fullscreen ""&gt; &lt;/ div&gt; &lt;div tabindex ="" - 1 ""class ="" airy-container-bottom "" &gt; &lt;div tabindex = ""- 1"" class = ""airy-track-bar-spacer-left"" style = ""width: 11px;""&gt; &lt;/ div"&amp;"&gt; &lt;div tabindex = ""- 1"" class = ""airy-play- airy toggle-play ""style ="" width: 12px; margin-right: 12px; ""&gt; &lt;/ div&gt; &lt;div tabindex ="" - 1 ""class ="" airy-audio-elements ""style ="" float: right; width: 34px; ""&gt; &lt;div tabindex ="" - 1 ""class ="" air"&amp;"y-audio-toggle airy-on ""&gt; &lt;/ div&gt; &lt;div tabindex ="" - 1 ""class ="" airy-audio-container ""style = ""opacity: 0; visibility: hidden; ""&gt; &lt;div tabindex ="" - 1 ""class ="" airy-audio-track-bar ""style ="" height: 80%; ""&gt; &lt;div tabindex ="" - 1 ""class ="""&amp;" airy-audio- Scrubber-bar ""style ="" height: 85%; ""&gt; &lt;/ div&gt; &lt;div tabindex ="" - 1 ""class ="" airy-audio-scrubber ""style ="" height: 12px; bottom: 85% ""&gt; &lt;/ div&gt; &lt;/ div&gt; &lt;/ div&gt; &lt;/ div&gt; &lt;div tabindex ="" - 1 ""class ="" airy-duration-label ""style ="&amp;""" float: right; width: 26px; margin-right: 4px; text-align: center; ""&gt; 0:00 &lt;/ div&gt; &lt;div tabindex ="" - 1 ""class ="" airy-track-bar-spacer-right ""style ="" float: right; width: 11px; ""&gt; &lt;/ div&gt; &lt;div tabindex ="" - 1 ""class ="" airy-track-bar-contain"&amp;"er ""style ="" margin-left: 35px; margin-right: 75px; ""&gt; &lt;div tabindex ="" - 1 ""class ="" airy-airy-track-bar vertically-centering-table ""&gt; &lt;div tabindex ="" - 1 ""class ="" airy-Vertical-centering- table-cell ""&gt; &lt;div tabindex ="" - 1 ""class ="" airy"&amp;"-track-bar-elements ""&gt; &lt;div tabindex ="" - 1 ""class ="" airy-progress-bar ""&gt; &lt;/ div&gt; &lt;div tabindex = ""- 1"" class = ""airy-scrubber-bar""&gt; &lt;/ div&gt; &lt;div tabindex = ""- 1"" class = ""airy-scrubber""&gt; &lt;div tabindex = ""- 1"" class = ""airy-scrubber- icon"&amp;" ""&gt; &lt;/ div&gt; &lt;div tabindex ="" - 1 ""class ="" airy-adjusted-AUI-tooltip ""style ="" opacity: 0; visibility: hidden; ""&gt; &lt;div tabindex ="" - 1 ""class ="" airy-adjusted-aui-tooltip-inner ""&gt; &lt;div tabindex ="" - 1 ""class ="" airy-current-time-label ""&gt; 0:"&amp;" 00 &lt;/ div&gt; &lt;/ div&gt; &lt;div tabindex = ""- 1"" class = ""airy-adjusted-AUI-arrow-border""&gt; &lt;div tabindex = ""- 1"" class = ""airy-adjusted-AUI-arrow"" &gt; &lt;/ div&gt; &lt;/ div&gt; &lt;/ div&gt; &lt;/ div&gt; &lt;/ div&gt; &lt;/ div&gt; &lt;/ div&gt; &lt;/ div&gt; &lt;/ div&gt; &lt;/ div&gt; &lt;div tabindex = ""- 1"" c"&amp;"lass = ""airy-age-gate airy-stage airy-Vertical-centering-table airy-dialog"" style = ""opacity: 0; visibility: hidden; ""&gt; &lt;div tabindex ="" - 1 ""class ="" airy-age-gate-Vertical-centering-table-cell airy-Vertical-centering-table-cell ""&gt; &lt;div tabindex "&amp;"="" - 1 ""class = ""airy-Vertical-centering-wrapper airy-age-gate-elements-wrapper""&gt; &lt;div tabindex = ""- 1"" class = ""airy-age-gate-elements airy-dialog-elements""&gt; &lt;div tabindex = "" -1 ""class ="" airy-age-gate-prompt ""&gt; This video is not Intended fo"&amp;"r all audiences What date were you born &lt;/ div&gt; &lt;div tabindex =.?"" - 1 ""class ="" airy-age-gate -inputs airy-dialog-inner-elements ""&gt; &lt;select tabindex ="" - 1 ""class ="" airy-age-gate-month ""&gt; &lt;option value ="" 1 ""&gt; January &lt;/ option&gt; &lt;option value "&amp;"="" 2 ""&gt; February &lt;/ option&gt; &lt;option value ="" 3 ""&gt; March &lt;/ option&gt; &lt;option value ="" 4 ""&gt; April &lt;/ option&gt; &lt;option value ="" 5 ""&gt; May &lt;/ option&gt; &lt;option value = ""6""&gt; June &lt;/ option&gt; &lt;option value = ""7""&gt; July &lt;/ option&gt; &lt;option value = ""8""&gt; Aug"&amp;"ust &lt;/ option&gt; &lt;option value = ""9""&gt; September &lt;/ option&gt; &lt;option value = ""10""&gt; October &lt;/ option&gt; &lt;option value = ""11""&gt; November &lt;/ option&gt; &lt;option value = ""12""&gt; December &lt;/ option&gt; &lt;/ select&gt; &lt;select tabindex = ""- 1"" class = ""airy-age-gate-day"&amp;"""&gt; &lt;opti on value = ""1""&gt; 1 &lt;/ option&gt; &lt;option value = ""2""&gt; 2 &lt;/ option&gt; &lt;option value = ""3""&gt; 3 &lt;/ option&gt; &lt;option value = ""4""&gt; 4 &lt;/ option &gt; &lt;option value = ""5""&gt; 5 &lt;/ option&gt; &lt;option value = ""6""&gt; 6 &lt;/ option&gt; &lt;option value = ""7""&gt; 7 &lt;/ optio"&amp;"n&gt; &lt;option value = ""8""&gt; 8 &lt; / option&gt; &lt;option value = ""9""&gt; 9 &lt;/ option&gt; &lt;option value = ""10""&gt; 10 &lt;/ option&gt; &lt;option value = ""11""&gt; 11 &lt;/ option&gt; &lt;option value = ""12""&gt; 12 &lt;/ option&gt; &lt;option value = ""13""&gt; 13 &lt;/ option&gt; &lt;option value = ""14""&gt; 14 "&amp;"&lt;/ option&gt; &lt;option value = ""15""&gt; 15 &lt;/ option&gt; &lt;option value = ""16 ""&gt; 16 &lt;/ option&gt; &lt;option value ="" 17 ""&gt; 17 &lt;/ option&gt; &lt;option value ="" 18 ""&gt; 18 &lt;/ option&gt; &lt;option value ="" 19 ""&gt; 19 &lt;/ option&gt; &lt;option value = ""20""&gt; 20 &lt;/ option&gt; &lt;option valu"&amp;"e = ""21""&gt; 21 &lt;/ option&gt; &lt;option value = ""22""&gt; 22 &lt;/ option&gt; &lt;option value = ""23""&gt; 23 &lt;/ option&gt; &lt;option value = ""24""&gt; 24 &lt;/ option&gt; &lt;option value = ""25""&gt; 25 &lt;/ option&gt; &lt;option value = ""26""&gt; 26 &lt;/ option&gt; &lt;option value = ""27""&gt; 27 &lt;/ option&gt; &lt;"&amp;"option value = ""28""&gt; 28 &lt;/ option&gt; &lt;option value = ""29""&gt; 29 &lt;/ option&gt; &lt;option value = ""30""&gt; 30 &lt;/ option&gt; &lt;option value = ""31""&gt; 31 &lt;/ option&gt; &lt;/ select&gt; &lt;select tabindex = ""- 1"" class = ""airy-age-gate-year""&gt; &lt;option value = ""2019""&gt; 2019 &lt;/ "&amp;"option&gt; &lt; option value = ""2018""&gt; 2018 &lt;/ option&gt; &lt;option value = ""2017""&gt; 2017 &lt;/ option&gt; &lt;option value = ""2016""&gt; ​​2016 &lt;/ option&gt; &lt;option value = ""2015""&gt; 2015 &lt;/ option &gt; &lt;option value = ""2014""&gt; 2014 &lt;/ option&gt; &lt;option value = ""2013""&gt; 2013 &lt;/"&amp;" option&gt; &lt;option value = ""2012""&gt; 2012 &lt;/ option&gt; &lt;option value = ""2011""&gt; 2011 &lt; / option&gt; &lt;option value = ""2010""&gt; 2010 &lt;/ option&gt; &lt;option value = ""2009""&gt; 2009 &lt;/ option&gt; &lt;option value = ""2008""&gt; 2008 &lt;/ option&gt; &lt;option value = ""2007""&gt; 2007 &lt;/ o"&amp;"ption&gt; &lt;option value = ""2006""&gt; 2006 &lt;/ option&gt; &lt;option value = ""2005""&gt; 2005 &lt;/ option&gt; &lt;option value = ""2004""&gt; 2004 &lt;/ option&gt; &lt;option value = ""2003 ""&gt; 2003 &lt;/ option&gt; &lt;option value ="" 2002 ""&gt; 2002 &lt;/ option&gt; &lt;option value ="" 2001 ""&gt; 2001 &lt;/ o"&amp;"ption&gt; &lt;option value ="" 2000 ""&gt; 2000 &lt;/ option&gt; &lt;option value = ""1999""&gt; 1999 &lt;/ option&gt; &lt;option value = ""1998""&gt; 1998 &lt;/ option&gt; &lt;option value = ""1997""&gt; 1997 &lt;/ option&gt; &lt;option value = ""1996""&gt; 1996 &lt;/ option&gt; &lt;option value = ""1995""&gt; 1995 &lt;/ opt"&amp;"ion&gt; &lt;option value = ""1994""&gt; 1994 &lt;/ option&gt; &lt;option value = ""1993""&gt; 1993 &lt;/ option&gt; &lt;option value = ""1992""&gt; 1992 &lt;/ option&gt; &lt;option value = ""1991""&gt; 1991 &lt;/ option&gt; &lt;option value = ""1990""&gt; 1990 &lt;/ option&gt; &lt;option value = "" 1989 ""&gt; 1989 &lt;/ opti"&amp;"on&gt; &lt;option value ="" 1988 ""&gt; 1988 &lt;/ option&gt; &lt;option value ="" 1987 ""&gt; 1987 &lt;/ option&gt; &lt;option value ="" 1986 ""&gt; 1986 &lt;/ option&gt; &lt;value option = ""1985""&gt; 1985 &lt;/ option&gt; &lt;option value = ""1984""&gt; 1984 &lt;/ option&gt; &lt;option value = ""1983""&gt; 1983 &lt;/ opti"&amp;"on&gt; &lt;option value = ""1982""&gt; 1982 &lt;/ option&gt; &lt; option value = ""1981""&gt; 1981 &lt;/ option&gt; &lt;option value = ""1980""&gt; 1980 &lt;/ option&gt; &lt;option value = ""1979""&gt; 1979 &lt;/ option&gt; &lt;option value = ""1978""&gt; 1978 &lt;/ option &gt; &lt;option value = ""1977""&gt; 1977 &lt;/ optio"&amp;"n&gt; &lt;option value = ""1976""&gt; 1976 &lt;/ option&gt; &lt;option value = ""1975""&gt; 1975 &lt;/ option&gt; &lt;option value = ""1974""&gt; 1974 &lt; / option&gt; &lt;option value = ""1973""&gt; 1973 &lt;/ option&gt; &lt;option value = ""1972""&gt; 1972 &lt;/ option&gt; &lt;option value = ""1971""&gt; 1971 &lt;/ option&gt;"&amp;" &lt;option value = ""1970""&gt; 1970 &lt;/ option&gt; &lt;option value = ""1969""&gt; 1969 &lt;/ option&gt; &lt;option value = ""1968""&gt; 1968 &lt;/ option&gt; &lt;option value = ""1967""&gt; 1967 &lt;/ option&gt; &lt;option value = ""1966 ""&gt; 1966 &lt;/ option&gt; &lt;option value ="" 1965 ""&gt; 1965 &lt;/ option&gt; "&amp;"&lt;option value ="" 1964 ""&gt; 1964 &lt;/ option&gt; &lt;option value ="" 1963 ""&gt; 1963 &lt;/ option&gt; &lt;option value = ""1962""&gt; 1962 &lt;/ option&gt; &lt;option value = ""1961""&gt; 1961 &lt;/ option&gt; &lt;option value = ""1960""&gt; 1960 &lt;/ op tion&gt; &lt;option value = ""1959""&gt; 1959 &lt;/ option&gt; "&amp;"&lt;option value = ""1958""&gt; 1958 &lt;/ option&gt; &lt;option value = ""1957""&gt; 1957 &lt;/ option&gt; &lt;option value = ""1956""&gt; 1956 &lt;/ option&gt; &lt;option value = ""1955""&gt; 1955 &lt;/ option&gt; &lt;option value = ""1954""&gt; 1954 &lt;/ option&gt; &lt;option value = ""1953""&gt; 1953 &lt;/ option&gt; &lt;op"&amp;"tion value = ""1952"" &gt; 1952 &lt;/ option&gt; &lt;option value = ""1951""&gt; 1951 &lt;/ option&gt; &lt;option value = ""1950""&gt; 1950 &lt;/ option&gt; &lt;option value = ""1949""&gt; 1949 &lt;/ option&gt; &lt;option value = "" 1948 ""&gt; 1948 &lt;/ option&gt; &lt;option value ="" 1947 ""&gt; 1947 &lt;/ option&gt; &lt;o"&amp;"ption value ="" 1946 ""&gt; 1946 &lt;/ option&gt; &lt;option value ="" 1945 ""&gt; 1945 &lt;/ option&gt; &lt;value option = ""1944""&gt; 1944 &lt;/ option&gt; &lt;option value = ""1943""&gt; 1943 &lt;/ option&gt; &lt;option value = ""1942""&gt; 1942 &lt;/ option&gt; &lt;option value = ""1941""&gt; 1941 &lt;/ option&gt; &lt; o"&amp;"ption value = ""1940""&gt; 1940 &lt;/ option&gt; &lt;option value = ""1939""&gt; 1939 &lt;/ option&gt; &lt;option value = ""1938""&gt; 1938 &lt;/ option&gt; &lt;option value = ""1937""&gt; 1937 &lt;/ option &gt; &lt;option value = ""1936""&gt; 1936 &lt;/ option&gt; &lt;option value = ""1935""&gt; 1935 &lt;/ option&gt; &lt;opt"&amp;"ion value = ""1934""&gt; 1934 &lt;/ option&gt; &lt;option value = ""1933""&gt; 1933 &lt; / option&gt; &lt;option value = ""1932""&gt; 1932 &lt;/ option&gt; &lt;option value = ""1931""&gt; 1931 &lt;/ option&gt; &lt;option v alue = ""1930""&gt; 1930 &lt;/ option&gt; &lt;option value = ""1929""&gt; 1929 &lt;/ option&gt; &lt;opti"&amp;"on value = ""1928""&gt; 1928 &lt;/ option&gt; &lt;option value = ""1927""&gt; 1927 &lt;/ option&gt; &lt;option value = ""1926""&gt; 1926 &lt;/ option&gt; &lt;option value = ""1925""&gt; 1925 &lt;/ option&gt; &lt;option value = ""1924""&gt; 1924 &lt;/ option&gt; &lt;option value = ""1923""&gt; 1923 &lt;/ option&gt; &lt;option "&amp;"value = ""1922""&gt; 1922 &lt;/ option&gt; &lt;option value = ""1921""&gt; 1921 &lt;/ option&gt; &lt;option value = ""1920""&gt; 1920 &lt;/ option&gt; &lt;option value = ""1919""&gt; 1919 &lt;/ option&gt; &lt;option value = ""1918""&gt; 1918 &lt;/ option&gt; &lt;option value = ""1917""&gt; 1917 &lt;/ option&gt; &lt;option val"&amp;"ue = ""1916""&gt; 1916 &lt;/ option&gt; &lt;option value = ""1915"" &gt; 1915 &lt;/ option&gt; &lt;option value = ""1914""&gt; 1914 &lt;/ option&gt; &lt;option value = ""1913""&gt; 1913 &lt;/ option&gt; &lt;option value = ""1912""&gt; 1912 &lt;/ option&gt; &lt;option value = "" 1911 ""&gt; 1911 &lt;/ option&gt; &lt;option val"&amp;"ue ="" 1910 ""&gt; 1910 &lt;/ option&gt; &lt;option value ="" 1909 ""&gt; 1909 &lt;/ option&gt; &lt;option value ="" 1908 ""&gt; 1908 &lt;/ option&gt; &lt;value option = ""1907""&gt; 1907 &lt;/ option&gt; &lt;option value = ""1906""&gt; 1906 &lt;/ option&gt; &lt;option value = ""1905""&gt; 1905 &lt;/ option&gt; &lt;option val"&amp;"ue = ""1904""&gt; 1904 &lt;/ option&gt; &lt; option value = ""1903""&gt; 1903 &lt;/ option&gt; &lt;option value = ""1902""&gt; 1902 &lt;/ option&gt; &lt;option value = ""1901""&gt; 19 01 &lt;/ option&gt; &lt;option value = ""1900""&gt; 1900 &lt;/ option&gt; &lt;/ select&gt; &lt;div tabindex = ""- 1"" class = ""airy-age-"&amp;"gate-submit airy-submit-button airy airy-submit- disabled ""&gt; Submit &lt;/ div&gt; &lt;/ div&gt; &lt;/ div&gt; &lt;/ div&gt; &lt;/ div&gt; &lt;/ div&gt; &lt;div tabindex ="" - 1 ""class ="" airy-install-flash-dialog airy-stage airy -vertical-centering-table-dialog airy airy-denied ""style ="" "&amp;"opacity: 0; visibility: hidden; ""&gt; &lt;div tabindex ="" - 1 ""class ="" airy-install-flash-Vertical-centering-table-cell airy-Vertical-centering-table-cell ""&gt; &lt;div tabindex ="" - 1 ""class = ""airy-Vertical-centering-wrapper airy-install-flash-elements-wra"&amp;"pper""&gt; &lt;div tabindex = ""- 1"" class = ""airy-install-flash-elements airy-dialog-elements""&gt; &lt;div tabindex = "" -1 ""class ="" airy-install-flash-prompt ""&gt; Adobe Flash Player is required to watch this video &lt;/ div&gt; &lt;div tabindex =."" - 1 ""class ="" air"&amp;"y-install-flash-button-wrapper airy -dialog-inner-elements ""&gt; &lt;div tabindex ="" - 1 ""class ="" airy-install-flash-button airy-button ""&gt; install Flash Player &lt;/ div&gt; &lt;/ div&gt; &lt;/ div&gt; &lt;/ div&gt; &lt;/ div&gt; &lt;/ div&gt; &lt;div tabindex = ""- 1"" class = ""airy-video-un"&amp;"supported-dialog airy-stage airy-Vertical-centering-table airy-dialog airy-denied"" style = ""opacity: 0; visibility: hidden; ""&gt; &lt;div tabindex ="" - 1 ""class ="" airy-video-unsupported-Vertical-centering-table-cell airy-Vertical-centering-table-cell ""&gt;"&amp;" &lt;div tabindex ="" - 1 ""class = ""airy-Vertical-centering-wrapper airy-video-unsupported-elements-wrapper""&gt; &lt;div tabindex = ""- 1"" class = ""airy-video-unsupported-elements airy-dialog-elements""&gt; &lt;div tabindex = "" -1 ""class ="" airy-video-unsupporte"&amp;"d-prompt ""&gt; &lt;/ div&gt; &lt;/ div&gt; &lt;/ div&gt; &lt;/ div&gt; &lt;/ div&gt; &lt;div tabindex ="" - 1 ""class ="" airy-loading- spinner-stage airy-stage ""&gt; &lt;div tabindex ="" - 1 ""class ="" airy-loading-spinner-Vertical-centering-table-cell airy-Vertical-centering-table-cell ""&gt; &lt;"&amp;"div tabindex ="" - 1 ""class ="" airy-loading-spinner-container airy-scalable-hint-container ""&gt; &lt;div tabindex ="" - 1 ""class ="" airy-loading-spinner-dummy airy-scalable-dummy ""&gt; &lt;/ div&gt; &lt; div tabindex = ""- 1"" class = ""airy-loading-spinner airy-hint"&amp;""" style = ""visibility: hidden;""&gt; &lt;/ div&gt; &lt;/ div&gt; &lt;/ div&gt; &lt;/ div&gt; &lt;div tabindex = ""- 1 ""class ="" airy-ads-screen-size-toggle airy-screen-size-toggle-fullscreen airy ""style ="" visibility: hidden; ""&gt; &lt;/ div&gt; &lt;div tabindex = ""-1"" class = ""airy-ad-"&amp;"prompt-container"" style = ""visibility: hidden;""&gt; &lt;div tabindex = ""- 1"" class = ""airy-ad-prompt-Vertical-centering-table-vertically airy centering-table ""&gt; &lt;div tabindex ="" - 1 ""class ="" airy-ad-prompt-Vertical-centering-table-cell airy-Vertical-"&amp;"centering-table-cell ""&gt; &lt;div tabindex ="" - 1 ""class = ""airy-ad-prompt-label""&gt; &lt;/ div&gt; &lt;/ div&gt; &lt;/ div&gt; &lt;/ div&gt; &lt;div tabindex = ""- 1"" class = ""airy-ads-controls-container"" style = ""visibility: hidden; ""&gt; &lt;div tabindex ="" - 1 ""class ="" airy-ads"&amp;"-audio-toggle airy-audio-toggle airy-on ""style ="" visibility: hidden; ""&gt; &lt;/ div&gt; &lt;div tabindex ="" - 1 ""class ="" airy-time-remaining-label-container ""&gt; &lt;div tabindex ="" - 1 ""class ="" airy-time-remaining-Vertical-centering-table airy-Vertical-cent"&amp;"ering-table ""&gt; &lt;div tabindex = ""- 1"" class = ""airy-time-remaining-Vertical-centering-table-cell airy-Vertical-centering-table-cell""&gt; &lt;div tabindex = ""- 1"" class = ""airy-Vertical-centering-wrapper airy-time-remaining-label-wrapper ""&gt; &lt;div tabindex"&amp;" ="" - 1 ""class ="" airy-time-remaining-label ""style ="" visibility: hidden; ""&gt; &lt;/ div&gt; &lt;div tabi ndex = ""- 1"" class = ""airy-ad-skip"" style = ""visibility: hidden;""&gt; &lt;/ div&gt; &lt;div tabindex = ""- 1"" class = ""airy-ad-end"" style = ""visibility: hid"&amp;"den ""&gt; &lt;/ div&gt; &lt;/ div&gt; &lt;/ div&gt; &lt;/ div&gt; &lt;/ div&gt; &lt;div tabindex ="" - 1 ""class ="" airy-learn-more ""style ="" visibility: hidden; ""&gt; &lt;/ div&gt; &lt;/ div&gt; &lt;div tabindex = ""- 1"" class = ""airy-play-toggle-hint-stage airy-stage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-toggle-hint hint airy-airy-play-hint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images-eu ."&amp;"ssl-images-amazon.com / images / I / A1KnRPMpA4S.mp4 ""Class ="" video-url ""&gt; &lt;input type ="" hidden ""name ="" ""value ="" https://images-eu.ssl-images-amazon.com/images/I/81qmWUYhS+S.png ""class = ""video-slate-img-url""&gt; &amp; nbsp; This phenomenal is sup"&amp;"er comfortable, has u feel very soft and velvety, has a lot of functions with different types of vibration and various forces and the fact of having remote control is a acertada.un gift idea to very very successful.")</f>
        <v>Soft and comfortable vibrator &lt;div id = "video-block-R38YP79GJD5YZR" class = "a-section a-spacing-small a-spacing-top mini video-block"&gt; &lt;div tabindex = "0" class = "airy airy -svg vmin-supported airy-skin-beacon "style =" background-color: rgb (0, 0, 0) position: relative; width: 100%; height: 100%; font-size: 0px; overflow: hidden ; outline: none; "&gt; &lt;div class =" airy-renderer-container "style =" position: relative; height: 100%; width: 100%; "&gt; &lt;video id =" 7 "preload =" auto "src = "https://images-eu.ssl-images-amazon.com/images/I/A1KnRPMpA4S.mp4" style = "position: absolute; left: 0px; top: 0px; overflow: hidden; height: 1px; width : 1px; "&gt; &lt;/ video&gt; &lt;/ div&gt; &lt;div id =" airy-slate-preload "style =" background-color: rgb (0, 0, 0); background-image: url (&amp; quot; https: //images-eu.ssl-images-amazon.com/images/I/81qmWUYhS+S.png&amp;quot;); background-size: Contain; background-position: center center; background-repeat: no-repeat; position: absolute ; top: 0px; left: 0px; visibility: visible; width: 100%; height: 100%; "&gt; &lt;/ div&gt; &lt;iframe sc rolling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A1KnRPMpA4S.mp4 "Class =" video-url "&gt; &lt;input type =" hidden "name =" "value =" https://images-eu.ssl-images-amazon.com/images/I/81qmWUYhS+S.png "class = "video-slate-img-url"&gt; &amp; nbsp; This phenomenal is super comfortable, has u feel very soft and velvety, has a lot of functions with different types of vibration and various forces and the fact of having remote control is a acertada.un gift idea to very very successful.</v>
      </c>
    </row>
    <row r="10753">
      <c r="A10753" s="1">
        <v>5.0</v>
      </c>
      <c r="B10753" s="1" t="s">
        <v>10662</v>
      </c>
      <c r="C10753" t="str">
        <f>IFERROR(__xludf.DUMMYFUNCTION("GOOGLETRANSLATE(B10753, ""es"", ""en"")"),"It is useful and very comfortable as I expected. I find it useful and comfortable and pockets and interior is fair to carry everything you need and do not overdo carrying useless things. I enter the Tablet perfect. This beautifully finished and has a very"&amp;" competitive price. It is good and inexpensive.")</f>
        <v>It is useful and very comfortable as I expected. I find it useful and comfortable and pockets and interior is fair to carry everything you need and do not overdo carrying useless things. I enter the Tablet perfect. This beautifully finished and has a very competitive price. It is good and inexpensive.</v>
      </c>
    </row>
    <row r="10754">
      <c r="A10754" s="1">
        <v>5.0</v>
      </c>
      <c r="B10754" s="1" t="s">
        <v>10663</v>
      </c>
      <c r="C10754" t="str">
        <f>IFERROR(__xludf.DUMMYFUNCTION("GOOGLETRANSLATE(B10754, ""es"", ""en"")"),"Hoodie me state setting and is very warm and as expected is a bit wide as in the photo with a large hood and its design and the material I like so much I must say you have to wear a shirt underneath but this very Cocky is not very closed to the neck but w"&amp;"hether it is warm highly recommend it")</f>
        <v>Hoodie me state setting and is very warm and as expected is a bit wide as in the photo with a large hood and its design and the material I like so much I must say you have to wear a shirt underneath but this very Cocky is not very closed to the neck but whether it is warm highly recommend it</v>
      </c>
    </row>
    <row r="10755">
      <c r="A10755" s="1">
        <v>5.0</v>
      </c>
      <c r="B10755" s="1" t="s">
        <v>10664</v>
      </c>
      <c r="C10755" t="str">
        <f>IFERROR(__xludf.DUMMYFUNCTION("GOOGLETRANSLATE(B10755, ""es"", ""en"")"),"Precious and after a year are like new I love these earrings, if it is true that small Pegaditas are left to the earlobe but it's just what I wanted. Carry with them a year off not me at all, I shower with them I miss me colony with them and are placed as"&amp;" the first day !!! fully recommended")</f>
        <v>Precious and after a year are like new I love these earrings, if it is true that small Pegaditas are left to the earlobe but it's just what I wanted. Carry with them a year off not me at all, I shower with them I miss me colony with them and are placed as the first day !!! fully recommended</v>
      </c>
    </row>
    <row r="10756">
      <c r="A10756" s="1">
        <v>2.0</v>
      </c>
      <c r="B10756" s="1" t="s">
        <v>10665</v>
      </c>
      <c r="C10756" t="str">
        <f>IFERROR(__xludf.DUMMYFUNCTION("GOOGLETRANSLATE(B10756, ""es"", ""en"")"),"This bra is not subject rather a bra for the day, not subject enough to go to the gym. The fabric is too thin and elastic. I put it to stay at home and nothing else.")</f>
        <v>This bra is not subject rather a bra for the day, not subject enough to go to the gym. The fabric is too thin and elastic. I put it to stay at home and nothing else.</v>
      </c>
    </row>
    <row r="10757">
      <c r="A10757" s="1">
        <v>3.0</v>
      </c>
      <c r="B10757" s="1" t="s">
        <v>10666</v>
      </c>
      <c r="C10757" t="str">
        <f>IFERROR(__xludf.DUMMYFUNCTION("GOOGLETRANSLATE(B10757, ""es"", ""en"")"),"Right ... nice and slim jacket very good quality. Mido 166 and weight 72 kg and pant suits me (but well shot too long and waist) and jacket somewhat tight but well")</f>
        <v>Right ... nice and slim jacket very good quality. Mido 166 and weight 72 kg and pant suits me (but well shot too long and waist) and jacket somewhat tight but well</v>
      </c>
    </row>
    <row r="10758">
      <c r="A10758" s="1">
        <v>3.0</v>
      </c>
      <c r="B10758" s="1" t="s">
        <v>10667</v>
      </c>
      <c r="C10758" t="str">
        <f>IFERROR(__xludf.DUMMYFUNCTION("GOOGLETRANSLATE(B10758, ""es"", ""en"")"),"Mopa It was exactly as I expected.")</f>
        <v>Mopa It was exactly as I expected.</v>
      </c>
    </row>
    <row r="10759">
      <c r="A10759" s="1">
        <v>3.0</v>
      </c>
      <c r="B10759" s="1" t="s">
        <v>10668</v>
      </c>
      <c r="C10759" t="str">
        <f>IFERROR(__xludf.DUMMYFUNCTION("GOOGLETRANSLATE(B10759, ""es"", ""en"")"),"A Perfect socks for use at home without disturbing. I recommend it. It works well with ampli. I have not managed to sound with iloud")</f>
        <v>A Perfect socks for use at home without disturbing. I recommend it. It works well with ampli. I have not managed to sound with iloud</v>
      </c>
    </row>
    <row r="10760">
      <c r="A10760" s="1">
        <v>1.0</v>
      </c>
      <c r="B10760" s="1" t="s">
        <v>10669</v>
      </c>
      <c r="C10760" t="str">
        <f>IFERROR(__xludf.DUMMYFUNCTION("GOOGLETRANSLATE(B10760, ""es"", ""en"")"),"Suspiciously small and cramped I find it very suspicious that buying the same shoe, of which I have the same model in several colors, this is very small and estrcha. The sole also seems a bit strange rubber. I have returned and I think we are selling a co"&amp;"py.")</f>
        <v>Suspiciously small and cramped I find it very suspicious that buying the same shoe, of which I have the same model in several colors, this is very small and estrcha. The sole also seems a bit strange rubber. I have returned and I think we are selling a copy.</v>
      </c>
    </row>
    <row r="10761">
      <c r="A10761" s="1">
        <v>1.0</v>
      </c>
      <c r="B10761" s="1" t="s">
        <v>10670</v>
      </c>
      <c r="C10761" t="str">
        <f>IFERROR(__xludf.DUMMYFUNCTION("GOOGLETRANSLATE(B10761, ""es"", ""en"")"),"Not resistant to water has left me no good to the first change has drowned me")</f>
        <v>Not resistant to water has left me no good to the first change has drowned me</v>
      </c>
    </row>
    <row r="10762">
      <c r="A10762" s="1">
        <v>4.0</v>
      </c>
      <c r="B10762" s="1" t="s">
        <v>10671</v>
      </c>
      <c r="C10762" t="str">
        <f>IFERROR(__xludf.DUMMYFUNCTION("GOOGLETRANSLATE(B10762, ""es"", ""en"")"),"Quality NaturalFeeling Chicco Bottles are best suited to the mouth of the baby. In our case, the girl was developed with these bottles and perfectly adapted to the transition breast - nipple, because it recreated quite well. Only indicate that we thought "&amp;"flow teat was faster and we had to make a small cut for cereals could leave, otherwise great. It is a bottle with large capacity.")</f>
        <v>Quality NaturalFeeling Chicco Bottles are best suited to the mouth of the baby. In our case, the girl was developed with these bottles and perfectly adapted to the transition breast - nipple, because it recreated quite well. Only indicate that we thought flow teat was faster and we had to make a small cut for cereals could leave, otherwise great. It is a bottle with large capacity.</v>
      </c>
    </row>
    <row r="10763">
      <c r="A10763" s="1">
        <v>4.0</v>
      </c>
      <c r="B10763" s="1" t="s">
        <v>10672</v>
      </c>
      <c r="C10763" t="str">
        <f>IFERROR(__xludf.DUMMYFUNCTION("GOOGLETRANSLATE(B10763, ""es"", ""en"")"),"It's nice and good for this quality pre io good price, tin but look good the cartoons and after 15 days still works ,,")</f>
        <v>It's nice and good for this quality pre io good price, tin but look good the cartoons and after 15 days still works ,,</v>
      </c>
    </row>
    <row r="10764">
      <c r="A10764" s="1">
        <v>4.0</v>
      </c>
      <c r="B10764" s="1" t="s">
        <v>10673</v>
      </c>
      <c r="C10764" t="str">
        <f>IFERROR(__xludf.DUMMYFUNCTION("GOOGLETRANSLATE(B10764, ""es"", ""en"")"),"A good hotel only fault WHEN REMOVING THE ROLE OF THE STICKER IS NOT EASY COMPARED WITH OTHER BRANDS otherwise PRODUCT GOOD value.")</f>
        <v>A good hotel only fault WHEN REMOVING THE ROLE OF THE STICKER IS NOT EASY COMPARED WITH OTHER BRANDS otherwise PRODUCT GOOD value.</v>
      </c>
    </row>
    <row r="10765">
      <c r="A10765" s="1">
        <v>4.0</v>
      </c>
      <c r="B10765" s="1" t="s">
        <v>10674</v>
      </c>
      <c r="C10765" t="str">
        <f>IFERROR(__xludf.DUMMYFUNCTION("GOOGLETRANSLATE(B10765, ""es"", ""en"")"),"Beautiful, tough meets my objectives, it seems very resistant fabric, with departments that have enough for our organization.")</f>
        <v>Beautiful, tough meets my objectives, it seems very resistant fabric, with departments that have enough for our organization.</v>
      </c>
    </row>
    <row r="10766">
      <c r="A10766" s="1">
        <v>4.0</v>
      </c>
      <c r="B10766" s="1" t="s">
        <v>10675</v>
      </c>
      <c r="C10766" t="str">
        <f>IFERROR(__xludf.DUMMYFUNCTION("GOOGLETRANSLATE(B10766, ""es"", ""en"")"),"Value for money, perfect! I like a lot, I tasted and are very comfortable. Value for money, perfect. I recommend!")</f>
        <v>Value for money, perfect! I like a lot, I tasted and are very comfortable. Value for money, perfect. I recommend!</v>
      </c>
    </row>
    <row r="10767">
      <c r="A10767" s="1">
        <v>5.0</v>
      </c>
      <c r="B10767" s="1" t="s">
        <v>10676</v>
      </c>
      <c r="C10767" t="str">
        <f>IFERROR(__xludf.DUMMYFUNCTION("GOOGLETRANSLATE(B10767, ""es"", ""en"")"),"Sensational Perfect, great full for the microphone.")</f>
        <v>Sensational Perfect, great full for the microphone.</v>
      </c>
    </row>
    <row r="10768">
      <c r="A10768" s="1">
        <v>5.0</v>
      </c>
      <c r="B10768" s="1" t="s">
        <v>10677</v>
      </c>
      <c r="C10768" t="str">
        <f>IFERROR(__xludf.DUMMYFUNCTION("GOOGLETRANSLATE(B10768, ""es"", ""en"")"),"Perfect sounds very good, they cancel out outside sound very well, they are very adaptable to the ears, but for sensitive resist, and the convenience of being able to take them and take them everywhere are very well plus it comes with microphone")</f>
        <v>Perfect sounds very good, they cancel out outside sound very well, they are very adaptable to the ears, but for sensitive resist, and the convenience of being able to take them and take them everywhere are very well plus it comes with microphone</v>
      </c>
    </row>
    <row r="10769">
      <c r="A10769" s="1">
        <v>5.0</v>
      </c>
      <c r="B10769" s="1" t="s">
        <v>10678</v>
      </c>
      <c r="C10769" t="str">
        <f>IFERROR(__xludf.DUMMYFUNCTION("GOOGLETRANSLATE(B10769, ""es"", ""en"")"),"The classic design dive watch is very tough, I hit and I thought I had broken glass but does not have a scratch. Rotating bezel and screw roulette")</f>
        <v>The classic design dive watch is very tough, I hit and I thought I had broken glass but does not have a scratch. Rotating bezel and screw roulette</v>
      </c>
    </row>
    <row r="10770">
      <c r="A10770" s="1">
        <v>5.0</v>
      </c>
      <c r="B10770" s="1" t="s">
        <v>10679</v>
      </c>
      <c r="C10770" t="str">
        <f>IFERROR(__xludf.DUMMYFUNCTION("GOOGLETRANSLATE(B10770, ""es"", ""en"")"),"OK well")</f>
        <v>OK well</v>
      </c>
    </row>
    <row r="10771">
      <c r="A10771" s="1">
        <v>5.0</v>
      </c>
      <c r="B10771" s="1" t="s">
        <v>10680</v>
      </c>
      <c r="C10771" t="str">
        <f>IFERROR(__xludf.DUMMYFUNCTION("GOOGLETRANSLATE(B10771, ""es"", ""en"")"),"Its utility. For documentary record and you reports made by me, as well as some other movies from TV")</f>
        <v>Its utility. For documentary record and you reports made by me, as well as some other movies from TV</v>
      </c>
    </row>
    <row r="10772">
      <c r="A10772" s="1">
        <v>5.0</v>
      </c>
      <c r="B10772" s="1" t="s">
        <v>10681</v>
      </c>
      <c r="C10772" t="str">
        <f>IFERROR(__xludf.DUMMYFUNCTION("GOOGLETRANSLATE(B10772, ""es"", ""en"")"),"All very well delivery")</f>
        <v>All very well delivery</v>
      </c>
    </row>
    <row r="10773">
      <c r="A10773" s="1">
        <v>5.0</v>
      </c>
      <c r="B10773" s="1" t="s">
        <v>10682</v>
      </c>
      <c r="C10773" t="str">
        <f>IFERROR(__xludf.DUMMYFUNCTION("GOOGLETRANSLATE(B10773, ""es"", ""en"")"),"Ecadada Very nice buy for a gift")</f>
        <v>Ecadada Very nice buy for a gift</v>
      </c>
    </row>
    <row r="10774">
      <c r="A10774" s="1">
        <v>5.0</v>
      </c>
      <c r="B10774" s="1" t="s">
        <v>10683</v>
      </c>
      <c r="C10774" t="str">
        <f>IFERROR(__xludf.DUMMYFUNCTION("GOOGLETRANSLATE(B10774, ""es"", ""en"")"),"For school design loved. Time to bring in the backpack the tips bend a little.")</f>
        <v>For school design loved. Time to bring in the backpack the tips bend a little.</v>
      </c>
    </row>
    <row r="10775">
      <c r="A10775" s="1">
        <v>5.0</v>
      </c>
      <c r="B10775" s="1" t="s">
        <v>10684</v>
      </c>
      <c r="C10775" t="str">
        <f>IFERROR(__xludf.DUMMYFUNCTION("GOOGLETRANSLATE(B10775, ""es"", ""en"")"),"PRETTY watch strap fits very well bonito.La removing links with an accessory that brings, is very fácil.Le've had in the shower and it seems that between water and closing it works for me bien.Ahora to expect it to last long weather.")</f>
        <v>PRETTY watch strap fits very well bonito.La removing links with an accessory that brings, is very fácil.Le've had in the shower and it seems that between water and closing it works for me bien.Ahora to expect it to last long weather.</v>
      </c>
    </row>
    <row r="10776">
      <c r="A10776" s="1">
        <v>5.0</v>
      </c>
      <c r="B10776" s="1" t="s">
        <v>10685</v>
      </c>
      <c r="C10776" t="str">
        <f>IFERROR(__xludf.DUMMYFUNCTION("GOOGLETRANSLATE(B10776, ""es"", ""en"")"),"Very pretty flattering.")</f>
        <v>Very pretty flattering.</v>
      </c>
    </row>
    <row r="10777">
      <c r="A10777" s="1">
        <v>5.0</v>
      </c>
      <c r="B10777" s="1" t="s">
        <v>10686</v>
      </c>
      <c r="C10777" t="str">
        <f>IFERROR(__xludf.DUMMYFUNCTION("GOOGLETRANSLATE(B10777, ""es"", ""en"")"),"Great. It works great, it's small, like a slightly less, no middle hand weighs nothing, not noisy or have to install anything, is connected as a USB flash drive data, easy to transport and silver color is very elegant. The only thing I have is option '' E"&amp;"ject '', so that always gives you the feeling to the disconnected mode you do not lose data safe and that, but it's so not lose them.")</f>
        <v>Great. It works great, it's small, like a slightly less, no middle hand weighs nothing, not noisy or have to install anything, is connected as a USB flash drive data, easy to transport and silver color is very elegant. The only thing I have is option '' Eject '', so that always gives you the feeling to the disconnected mode you do not lose data safe and that, but it's so not lose them.</v>
      </c>
    </row>
    <row r="10778">
      <c r="A10778" s="1">
        <v>5.0</v>
      </c>
      <c r="B10778" s="1" t="s">
        <v>10687</v>
      </c>
      <c r="C10778" t="str">
        <f>IFERROR(__xludf.DUMMYFUNCTION("GOOGLETRANSLATE(B10778, ""es"", ""en"")"),"It sounds sound better than the originals cable, use a karaoke")</f>
        <v>It sounds sound better than the originals cable, use a karaoke</v>
      </c>
    </row>
    <row r="10779">
      <c r="A10779" s="1">
        <v>5.0</v>
      </c>
      <c r="B10779" s="1" t="s">
        <v>10688</v>
      </c>
      <c r="C10779" t="str">
        <f>IFERROR(__xludf.DUMMYFUNCTION("GOOGLETRANSLATE(B10779, ""es"", ""en"")"),"Are the ones I like are fine. Once I passed the time of the gases, they are the ones I like. The only room for improvement is that this measure is the nipple 2, and I already need the 3, but do not want to buy a bottle bigger. It would be nice to have bot"&amp;"h options")</f>
        <v>Are the ones I like are fine. Once I passed the time of the gases, they are the ones I like. The only room for improvement is that this measure is the nipple 2, and I already need the 3, but do not want to buy a bottle bigger. It would be nice to have both options</v>
      </c>
    </row>
    <row r="10780">
      <c r="A10780" s="1">
        <v>5.0</v>
      </c>
      <c r="B10780" s="1" t="s">
        <v>10689</v>
      </c>
      <c r="C10780" t="str">
        <f>IFERROR(__xludf.DUMMYFUNCTION("GOOGLETRANSLATE(B10780, ""es"", ""en"")"),"concentrate dispenser micro drops, durable, pleasant &lt;div id = ""video-block-R221Q6A73AWLAB"" class = ""a-section a-spacing-small a-spacing-top mini video-block""&gt; &lt;div tabindex = ""0 ""class ="" airy airy-svg vmin-unsupported airy-skin-beacon ""style ="""&amp;" background-color: rgb (0, 0, 0) position: relative; width: 100%; height: 100%; font-size : 0px; overflow: hidden; outline: none; ""&gt; &lt;div class ="" airy-renderer-container ""style ="" position: relative; height: 100%; width: 100%; ""&gt; &lt;video id ="" 7 "" "&amp;"preload = ""auto"" src = ""https://images-eu.ssl-images-amazon.com/images/I/91UhzD+7H3S.mp4"" style = ""position: absolute; left: 0px; top: 0px; overflow : hidden; height: 1px; width: 1px; ""&gt; &lt;/ video&gt; &lt;/ div&gt; &lt;div id ="" airy-slate-preload ""style ="" b"&amp;"ackground-color: rgb (0, 0, 0); background- image: url (&amp; quot; https: //images-eu.ssl-images-amazon.com/images/I/81dEu-cJS.png&amp;quot;); background-size: Contain; background-position: center center; background-repeat : no-repeat; position: absolute; top: 0"&amp;"px; left: 0px; visibility: visible; width: 100%; height: 100%; ""&gt; &lt;/ div&gt; &lt;iframe scrolling ="" no ""frameborder ="" 0 ""src ="" about: blank ""style ="" display: none; ""&gt; &lt;/ iframe&gt; &lt;div tabindex ="" - 1 ""class ="" airy-controls-container ""style ="" "&amp;"opacity: 0; visibility: hidden; ""&gt; &lt;div tabindex ="" - 1 ""class ="" airy-screen-size-toggle airy-fullscreen ""&gt; &lt;/ div&gt; &lt;div tabindex ="" - 1 ""class ="" airy-container-bottom "" &gt; &lt;div tabindex = ""- 1"" class = ""airy-track-bar-spacer-left"" style = "&amp;"""width: 11px;""&gt; &lt;/ div&gt; &lt;div tabindex = ""- 1"" class = ""airy-play- airy toggle-play ""style ="" width: 12px; margin-right: 12px; ""&gt; &lt;/ div&gt; &lt;div tabindex ="" - 1 ""class ="" airy-audio-elements ""style ="" float: right; width: 34px; ""&gt; &lt;div tabindex"&amp;" ="" - 1 ""class ="" airy-audio-toggle airy-on ""&gt; &lt;/ div&gt; &lt;div tabindex ="" - 1 ""class ="" airy-audio-container ""style = ""opacity: 0; visibility: hidden; ""&gt; &lt;div tabindex ="" - 1 ""class ="" airy-audio-track-bar ""style ="" height: 80%; ""&gt; &lt;div tabi"&amp;"ndex ="" - 1 ""class ="" airy-audio- Scrubber-bar ""style ="" height: 85%; ""&gt; &lt;/ div&gt; &lt;div tabindex ="" - 1 ""class ="" airy-audio-scrubber ""style ="" height: 12px; bottom: 85% ""&gt; &lt;/ div&gt; &lt;/ div&gt; &lt;/ div&gt; &lt;/ div&gt; &lt;div tabindex ="" - 1 ""class ="" airy-d"&amp;"uration-label ""style ="" float: right; width: 26px; margin-right: 4px; text-align: center; ""&gt; 0:00 &lt;/ div&gt; &lt;div tabindex ="" - 1 ""class ="" airy-track-bar-spacer-right ""style ="" float: right; width: 11px; ""&gt; &lt;/ div&gt; &lt;div tabindex ="" - 1 ""class ="""&amp;" airy-track-bar-container ""style ="" margin-left: 35px; margin-right: 75px; ""&gt; &lt;div tabindex ="" - 1 ""class ="" airy-airy-track-bar vertically-centering-table ""&gt; &lt;div tabindex ="" - 1 ""class ="" airy-Vertical-centering- table-cell ""&gt; &lt;div tabindex ="&amp;""" - 1 ""class ="" airy-track-bar-elements ""&gt; &lt;div tabindex ="" - 1 ""class ="" airy-progress-bar ""&gt; &lt;/ div&gt; &lt;div tabindex = ""- 1"" class = ""airy-scrubber-bar""&gt; &lt;/ div&gt; &lt;div tabindex = ""- 1"" class = ""airy-scrubber""&gt; &lt;div tabindex = ""- 1"" class "&amp;"= ""airy-scrubber- icon ""&gt; &lt;/ div&gt; &lt;div tabindex ="" - 1 ""class ="" airy-adjusted-AUI-tooltip ""style ="" opacity: 0; visibility: hidden; ""&gt; &lt;div tabindex ="" - 1 ""class ="" airy-adjusted-aui-tooltip-inner ""&gt; &lt;div tabindex ="" - 1 ""class ="" airy-cu"&amp;"rrent-time-label ""&gt; 0: 00 &lt;/ div&gt; &lt;/ div&gt; &lt;div tabindex = ""- 1"" class = ""airy-adjusted-AUI-arrow-border""&gt; &lt;div tabindex = ""- 1"" class = ""airy-adjusted-AUI-arrow"" &gt; &lt;/ div&gt; &lt;/ div&gt; &lt;/ div&gt; &lt;/ div&gt; &lt;/ div&gt; &lt;/ div&gt; &lt;/ div&gt; &lt;/ div&gt; &lt;/ div&gt; &lt;/ div&gt; &lt;d"&amp;"iv tabindex = ""- 1"" class = ""airy-age-gate airy-stage airy-Vertical-centering-table airy-dialog"" style = ""opacity: 0; visibility: hidden; ""&gt; &lt;div tabindex ="" - 1 ""class ="" airy-age-gate-Vertical-centering-table-cell airy-Vertical-centering-table-"&amp;"cell ""&gt; &lt;div tabindex ="" - 1 ""class = ""airy-Vertical-centering-wrapper airy-age-gate-elements-wrapper""&gt; &lt;div tabindex = ""- 1"" class = ""airy-age-gate-elements airy-dialog-elements""&gt; &lt;div tabindex = "" -1 ""class ="" airy-age-gate-prompt ""&gt; This v"&amp;"ideo is not Intended for all audiences What date were you born &lt;/ div&gt; &lt;div tabindex =.?"" - 1 ""class ="" airy-age-gate -inputs airy-dialog-inner-elements ""&gt; &lt;select tabindex ="" - 1 ""class ="" airy-age-gate-month ""&gt; &lt;option value ="" 1 ""&gt; January &lt;/"&amp;" option&gt; &lt;option value ="" 2 ""&gt; February &lt;/ option&gt; &lt;option value ="" 3 ""&gt; March &lt;/ option&gt; &lt;option value ="" 4 ""&gt; April &lt;/ option&gt; &lt;option value ="" 5 ""&gt; May &lt;/ option&gt; &lt;option value = ""6""&gt; June &lt;/ option&gt; &lt;option value = ""7""&gt; July &lt;/ option&gt; &lt;op"&amp;"tion value = ""8""&gt; August &lt;/ option&gt; &lt;option value = ""9""&gt; September &lt;/ option&gt; &lt;option value = ""10""&gt; October &lt;/ option&gt; &lt;option value = ""11""&gt; November &lt;/ option&gt; &lt;option value = ""12""&gt; December &lt;/ option&gt; &lt;/ select&gt; &lt;select tabindex = ""- 1"" clas"&amp;"s = ""airy-age-gate-day""&gt; &lt;opti on value = ""1""&gt; 1 &lt;/ option&gt; &lt;option value = ""2""&gt; 2 &lt;/ option&gt; &lt;option value = ""3""&gt; 3 &lt;/ option&gt; &lt;option value = ""4""&gt; 4 &lt;/ option &gt; &lt;option value = ""5""&gt; 5 &lt;/ option&gt; &lt;option value = ""6""&gt; 6 &lt;/ option&gt; &lt;option va"&amp;"lue = ""7""&gt; 7 &lt;/ option&gt; &lt;option value = ""8""&gt; 8 &lt; / option&gt; &lt;option value = ""9""&gt; 9 &lt;/ option&gt; &lt;option value = ""10""&gt; 10 &lt;/ option&gt; &lt;option value = ""11""&gt; 11 &lt;/ option&gt; &lt;option value = ""12""&gt; 12 &lt;/ option&gt; &lt;option value = ""13""&gt; 13 &lt;/ option&gt; &lt;opt"&amp;"ion value = ""14""&gt; 14 &lt;/ option&gt; &lt;option value = ""15""&gt; 15 &lt;/ option&gt; &lt;option value = ""16 ""&gt; 16 &lt;/ option&gt; &lt;option value ="" 17 ""&gt; 17 &lt;/ option&gt; &lt;option value ="" 18 ""&gt; 18 &lt;/ option&gt; &lt;option value ="" 19 ""&gt; 19 &lt;/ option&gt; &lt;option value = ""20""&gt; 20 "&amp;"&lt;/ option&gt; &lt;option value = ""21""&gt; 21 &lt;/ option&gt; &lt;option value = ""22""&gt; 22 &lt;/ option&gt; &lt;option value = ""23""&gt; 23 &lt;/ option&gt; &lt;option value = ""24""&gt; 24 &lt;/ option&gt; &lt;option value = ""25""&gt; 25 &lt;/ option&gt; &lt;option value = ""26""&gt; 26 &lt;/ option&gt; &lt;option value = "&amp;"""27""&gt; 27 &lt;/ option&gt; &lt;option value = ""28""&gt; 28 &lt;/ option&gt; &lt;option value = ""29""&gt; 29 &lt;/ option&gt; &lt;option value = ""30""&gt; 30 &lt;/ option&gt; &lt;option value = ""31""&gt; 31 &lt;/ option&gt; &lt;/ select&gt; &lt;select tabindex = ""- 1"" class = ""airy-age-gate-year""&gt; &lt;option val"&amp;"ue = ""2019""&gt; 2019 &lt;/ option&gt; &lt; option value = ""2018""&gt; 2018 &lt;/ option&gt; &lt;option value = ""2017""&gt; 2017 &lt;/ option&gt; &lt;option value = ""2016""&gt; ​​2016 &lt;/ option&gt; &lt;option value = ""2015""&gt; 2015 &lt;/ option &gt; &lt;option value = ""2014""&gt; 2014 &lt;/ option&gt; &lt;option va"&amp;"lue = ""2013""&gt; 2013 &lt;/ option&gt; &lt;option value = ""2012""&gt; 2012 &lt;/ option&gt; &lt;option value = ""2011""&gt; 2011 &lt; / option&gt; &lt;option value = ""2010""&gt; 2010 &lt;/ option&gt; &lt;option value = ""2009""&gt; 2009 &lt;/ option&gt; &lt;option value = ""2008""&gt; 2008 &lt;/ option&gt; &lt;option valu"&amp;"e = ""2007""&gt; 2007 &lt;/ option&gt; &lt;option value = ""2006""&gt; 2006 &lt;/ option&gt; &lt;option value = ""2005""&gt; 2005 &lt;/ option&gt; &lt;option value = ""2004""&gt; 2004 &lt;/ option&gt; &lt;option value = ""2003 ""&gt; 2003 &lt;/ option&gt; &lt;option value ="" 2002 ""&gt; 2002 &lt;/ option&gt; &lt;option value"&amp;" ="" 2001 ""&gt; 2001 &lt;/ option&gt; &lt;option value ="" 2000 ""&gt; 2000 &lt;/ option&gt; &lt;option value = ""1999""&gt; 1999 &lt;/ option&gt; &lt;option value = ""1998""&gt; 1998 &lt;/ option&gt; &lt;option value = ""1997""&gt; 1997 &lt;/ option&gt; &lt;option value = ""1996""&gt; 1996 &lt;/ option&gt; &lt;option value "&amp;"= ""1995""&gt; 1995 &lt;/ option&gt; &lt;option value = ""1994""&gt; 1994 &lt;/ option&gt; &lt;option value = ""1993""&gt; 1993 &lt;/ option&gt; &lt;option value = ""1992""&gt; 1992 &lt;/ option&gt; &lt;option value = ""1991""&gt; 1991 &lt;/ option&gt; &lt;option value = ""1990""&gt; 1990 &lt;/ option&gt; &lt;option value = "&amp;""" 1989 ""&gt; 1989 &lt;/ option&gt; &lt;option value ="" 1988 ""&gt; 1988 &lt;/ option&gt; &lt;option value ="" 1987 ""&gt; 1987 &lt;/ option&gt; &lt;option value ="" 1986 ""&gt; 1986 &lt;/ option&gt; &lt;value option = ""1985""&gt; 1985 &lt;/ option&gt; &lt;option value = ""1984""&gt; 1984 &lt;/ option&gt; &lt;option value "&amp;"= ""1983""&gt; 1983 &lt;/ option&gt; &lt;option value = ""1982""&gt; 1982 &lt;/ option&gt; &lt; option value = ""1981""&gt; 1981 &lt;/ option&gt; &lt;option value = ""1980""&gt; 1980 &lt;/ option&gt; &lt;option value = ""1979""&gt; 1979 &lt;/ option&gt; &lt;option value = ""1978""&gt; 1978 &lt;/ option &gt; &lt;option value ="&amp;" ""1977""&gt; 1977 &lt;/ option&gt; &lt;option value = ""1976""&gt; 1976 &lt;/ option&gt; &lt;option value = ""1975""&gt; 1975 &lt;/ option&gt; &lt;option value = ""1974""&gt; 1974 &lt; / option&gt; &lt;option value = ""1973""&gt; 1973 &lt;/ option&gt; &lt;option value = ""1972""&gt; 1972 &lt;/ option&gt; &lt;option value = "&amp;"""1971""&gt; 1971 &lt;/ option&gt; &lt;option value = ""1970""&gt; 1970 &lt;/ option&gt; &lt;option value = ""1969""&gt; 1969 &lt;/ option&gt; &lt;option value = ""1968""&gt; 1968 &lt;/ option&gt; &lt;option value = ""1967""&gt; 1967 &lt;/ option&gt; &lt;option value = ""1966 ""&gt; 1966 &lt;/ option&gt; &lt;option value ="" "&amp;"1965 ""&gt; 1965 &lt;/ option&gt; &lt;option value ="" 1964 ""&gt; 1964 &lt;/ option&gt; &lt;option value ="" 1963 ""&gt; 1963 &lt;/ option&gt; &lt;option value = ""1962""&gt; 1962 &lt;/ option&gt; &lt;option value = ""1961""&gt; 1961 &lt;/ option&gt; &lt;option value = ""1960""&gt; 1960 &lt;/ op tion&gt; &lt;option value = "&amp;"""1959""&gt; 1959 &lt;/ option&gt; &lt;option value = ""1958""&gt; 1958 &lt;/ option&gt; &lt;option value = ""1957""&gt; 1957 &lt;/ option&gt; &lt;option value = ""1956""&gt; 1956 &lt;/ option&gt; &lt;option value = ""1955""&gt; 1955 &lt;/ option&gt; &lt;option value = ""1954""&gt; 1954 &lt;/ option&gt; &lt;option value = ""1"&amp;"953""&gt; 1953 &lt;/ option&gt; &lt;option value = ""1952"" &gt; 1952 &lt;/ option&gt; &lt;option value = ""1951""&gt; 1951 &lt;/ option&gt; &lt;option value = ""1950""&gt; 1950 &lt;/ option&gt; &lt;option value = ""1949""&gt; 1949 &lt;/ option&gt; &lt;option value = "" 1948 ""&gt; 1948 &lt;/ option&gt; &lt;option value ="" 1"&amp;"947 ""&gt; 1947 &lt;/ option&gt; &lt;option value ="" 1946 ""&gt; 1946 &lt;/ option&gt; &lt;option value ="" 1945 ""&gt; 1945 &lt;/ option&gt; &lt;value option = ""1944""&gt; 1944 &lt;/ option&gt; &lt;option value = ""1943""&gt; 1943 &lt;/ option&gt; &lt;option value = ""1942""&gt; 1942 &lt;/ option&gt; &lt;option value = ""1"&amp;"941""&gt; 1941 &lt;/ option&gt; &lt; option value = ""1940""&gt; 1940 &lt;/ option&gt; &lt;option value = ""1939""&gt; 1939 &lt;/ option&gt; &lt;option value = ""1938""&gt; 1938 &lt;/ option&gt; &lt;option value = ""1937""&gt; 1937 &lt;/ option &gt; &lt;option value = ""1936""&gt; 1936 &lt;/ option&gt; &lt;option value = ""19"&amp;"35""&gt; 1935 &lt;/ option&gt; &lt;option value = ""1934""&gt; 1934 &lt;/ option&gt; &lt;option value = ""1933""&gt; 1933 &lt; / option&gt; &lt;option value = ""1932""&gt; 1932 &lt;/ option&gt; &lt;option value = ""1931""&gt; 1931 &lt;/ option&gt; &lt;option v alue = ""1930""&gt; 1930 &lt;/ option&gt; &lt;option value = ""192"&amp;"9""&gt; 1929 &lt;/ option&gt; &lt;option value = ""1928""&gt; 1928 &lt;/ option&gt; &lt;option value = ""1927""&gt; 1927 &lt;/ option&gt; &lt;option value = ""1926""&gt; 1926 &lt;/ option&gt; &lt;option value = ""1925""&gt; 1925 &lt;/ option&gt; &lt;option value = ""1924""&gt; 1924 &lt;/ option&gt; &lt;option value = ""1923"""&amp;"&gt; 1923 &lt;/ option&gt; &lt;option value = ""1922""&gt; 1922 &lt;/ option&gt; &lt;option value = ""1921""&gt; 1921 &lt;/ option&gt; &lt;option value = ""1920""&gt; 1920 &lt;/ option&gt; &lt;option value = ""1919""&gt; 1919 &lt;/ option&gt; &lt;option value = ""1918""&gt; 1918 &lt;/ option&gt; &lt;option value = ""1917""&gt; 1"&amp;"917 &lt;/ option&gt; &lt;option value = ""1916""&gt; 1916 &lt;/ option&gt; &lt;option value = ""1915"" &gt; 1915 &lt;/ option&gt; &lt;option value = ""1914""&gt; 1914 &lt;/ option&gt; &lt;option value = ""1913""&gt; 1913 &lt;/ option&gt; &lt;option value = ""1912""&gt; 1912 &lt;/ option&gt; &lt;option value = "" 1911 ""&gt; 1"&amp;"911 &lt;/ option&gt; &lt;option value ="" 1910 ""&gt; 1910 &lt;/ option&gt; &lt;option value ="" 1909 ""&gt; 1909 &lt;/ option&gt; &lt;option value ="" 1908 ""&gt; 1908 &lt;/ option&gt; &lt;value option = ""1907""&gt; 1907 &lt;/ option&gt; &lt;option value = ""1906""&gt; 1906 &lt;/ option&gt; &lt;option value = ""1905""&gt; 1"&amp;"905 &lt;/ option&gt; &lt;option value = ""1904""&gt; 1904 &lt;/ option&gt; &lt; option value = ""1903""&gt; 1903 &lt;/ option&gt; &lt;option value = ""1902""&gt; 1902 &lt;/ option&gt; &lt;option value = ""1901""&gt; 19 01 &lt;/ option&gt; &lt;option value = ""1900""&gt; 1900 &lt;/ option&gt; &lt;/ select&gt; &lt;div tabindex = "&amp;"""- 1"" class = ""airy-age-gate-submit airy-submit-button airy airy-submit- disabled ""&gt; Submit &lt;/ div&gt; &lt;/ div&gt; &lt;/ div&gt; &lt;/ div&gt; &lt;/ div&gt; &lt;/ div&gt; &lt;div tabindex ="" - 1 ""class ="" airy-install-flash-dialog airy-stage airy -vertical-centering-table-dialog ai"&amp;"ry airy-denied ""style ="" opacity: 0; visibility: hidden; ""&gt; &lt;div tabindex ="" - 1 ""class ="" airy-install-flash-Vertical-centering-table-cell airy-Vertical-centering-table-cell ""&gt; &lt;div tabindex ="" - 1 ""class = ""airy-Vertical-centering-wrapper airy"&amp;"-install-flash-elements-wrapper""&gt; &lt;div tabindex = ""- 1"" class = ""airy-install-flash-elements airy-dialog-elements""&gt; &lt;div tabindex = "" -1 ""class ="" airy-install-flash-prompt ""&gt; Adobe Flash Player is required to watch this video &lt;/ div&gt; &lt;div tabind"&amp;"ex =."" - 1 ""class ="" airy-install-flash-button-wrapper airy -dialog-inner-elements ""&gt; &lt;div tabindex ="" - 1 ""class ="" airy-install-flash-button airy-button ""&gt; install Flash Player &lt;/ div&gt; &lt;/ div&gt; &lt;/ div&gt; &lt;/ div&gt; &lt;/ div&gt; &lt;/ div&gt; &lt;div tabindex = ""- "&amp;"1"" class = ""airy-video-unsupported-dialog airy-stage airy-Vertical-centering-table airy-dialog airy-denied"" style = ""opacity: 0; visibility: hidden; ""&gt; &lt;div tabindex ="" - 1 ""class ="" airy-video-unsupported-Vertical-centering-table-cell airy-Vertic"&amp;"al-centering-table-cell ""&gt; &lt;div tabindex ="" - 1 ""class = ""airy-Vertical-centering-wrapper airy-video-unsupported-elements-wrapper""&gt; &lt;div tabindex = ""- 1"" class = ""airy-video-unsupported-elements airy-dialog-elements""&gt; &lt;div tabindex = "" -1 ""clas"&amp;"s ="" airy-video-unsupported-prompt ""&gt; &lt;/ div&gt; &lt;/ div&gt; &lt;/ div&gt; &lt;/ div&gt; &lt;/ div&gt; &lt;div tabindex ="" - 1 ""class ="" airy-loading- spinner-stage airy-stage ""&gt; &lt;div tabindex ="" - 1 ""class ="" airy-loading-spinner-Vertical-centering-table-cell airy-Vertical"&amp;"-centering-table-cell ""&gt; &lt;div tabindex ="" - 1 ""class ="" airy-loading-spinner-container airy-scalable-hint-container ""&gt; &lt;div tabindex ="" - 1 ""class ="" airy-loading-spinner-dummy airy-scalable-dummy ""&gt; &lt;/ div&gt; &lt; div tabindex = ""- 1"" class = ""air"&amp;"y-loading-spinner airy-hint"" style = ""visibility: hidden;""&gt; &lt;/ div&gt; &lt;/ div&gt; &lt;/ div&gt; &lt;/ div&gt; &lt;div tabindex = ""- 1 ""class ="" airy-ads-screen-size-toggle airy-screen-size-toggle-fullscreen airy ""style ="" visibility: hidden; ""&gt; &lt;/ div&gt; &lt;div tabindex "&amp;"= ""-1"" class = ""airy-ad-prompt-container"" style = ""visibility: hidden;""&gt; &lt;div tabindex = ""- 1"" class = ""airy-ad-prompt-Vertical-centering-table-vertically airy centering-table ""&gt; &lt;div tabindex ="" - 1 ""class ="" airy-ad-prompt-Vertical-centerin"&amp;"g-table-cell airy-Vertical-centering-table-cell ""&gt; &lt;div tabindex ="" - 1 ""class = ""airy-ad-prompt-label""&gt; &lt;/ div&gt; &lt;/ div&gt; &lt;/ div&gt; &lt;/ div&gt; &lt;div tabindex = ""- 1"" class = ""airy-ads-controls-container"" style = ""visibility: hidden; ""&gt; &lt;div tabindex ="&amp;""" - 1 ""class ="" airy-ads-audio-toggle airy-audio-toggle airy-on ""style ="" visibility: hidden; ""&gt; &lt;/ div&gt; &lt;div tabindex ="" - 1 ""class ="" airy-time-remaining-label-container ""&gt; &lt;div tabindex ="" - 1 ""class ="" airy-time-remaining-Vertical-centeri"&amp;"ng-table airy-Vertical-centering-table ""&gt; &lt;div tabindex = ""- 1"" class = ""airy-time-remaining-Vertical-centering-table-cell airy-Vertical-centering-table-cell""&gt; &lt;div tabindex = ""- 1"" class = ""airy-Vertical-centering-wrapper airy-time-remaining-labe"&amp;"l-wrapper ""&gt; &lt;div tabindex ="" - 1 ""class ="" airy-time-remaining-label ""style ="" visibility: hidden; ""&gt; &lt;/ div&gt; &lt;div tabi ndex = ""- 1"" class = ""airy-ad-skip"" style = ""visibility: hidden;""&gt; &lt;/ div&gt; &lt;div tabindex = ""- 1"" class = ""airy-ad-end"&amp;""" style = ""visibility: hidden ""&gt; &lt;/ div&gt; &lt;/ div&gt; &lt;/ div&gt; &lt;/ div&gt; &lt;/ div&gt; &lt;div tabindex ="" - 1 ""class ="" airy-learn-more ""style ="" visibility: hidden; ""&gt; &lt;/ div&gt; &lt;/ div&gt; &lt;div tabindex = ""- 1"" class = ""airy-play-toggle-hint-stage airy-stage airy"&amp;"-cursor""&gt; &lt;div tabindex = ""- 1"" class = ""airy-play -toggle-hint-Vertical-centering-table-cell airy-Vertical-centering-table-cell airy-cursor ""&gt; &lt;div tabindex ="" - 1 ""class ="" airy-play-toggle-hint-container airy-scalable- Hint-container ""&gt; &lt;div t"&amp;"abindex ="" - 1 ""class ="" airy-play-toggle-hint-dummy airy-scalable-dummy ""&gt; &lt;/ div&gt; &lt;div tabindex ="" - 1 ""class ="" airy-play -toggle-hint hint airy-airy-play-hint ""style ="" opacity: 1; visibility: visible; ""&gt; &lt;/ div&gt; &lt;/ div&gt; &lt;/ div&gt; &lt;/ div&gt; &lt;div"&amp;" tabindex ="" - 1 ""class ="" airy-replay-hint-stage airy-stage ""style ="" visibility: hidden ; ""&gt; &lt;div tabindex ="" - 1 ""class ="" airy-replay-hint-Vertical-centering-table-cell airy-Vertical-centering-table-cell airy-cursor ""&gt; &lt;div tabindex ="" - 1 "&amp;"""class = ""airy-replay-hint-container airy-scalable-hint-container""&gt; &lt;div tabindex = ""- 1"" class = ""airy-replay-hint-dummy airy-scalable-dummy""&gt; &lt;/ div&gt; &lt;div tabindex = ""- 1"" class = ""airy-replay-hint airy-hint""&gt; &lt;/ div&gt; &lt;/ div&gt; &lt;/ div&gt; &lt;/ div&gt; "&amp;"&lt;div tabindex = ""- 1"" class = ""airy-autoplay-hint -stage airy-stage ""style ="" visibility: hidden; ""&gt; &lt;div tabindex ="" - 1 ""class ="" airy-autoplay-hint-Vertical-centering-table-cell airy-Vertical-centering-table-cell airy- cursor ""&gt; &lt;div tabindex"&amp;" ="" - 1 ""class ="" autoplay airy-airy-hint-container-scalable-hint-container ""&gt; &lt;div tabindex ="" - 1 ""class ="" airy-autoplay-hint-dummy airy- scalable-dummy ""&gt; &lt;/ div&gt; &lt;/ div&gt; &lt;/ div&gt; &lt;/ div&gt; &lt;/ div&gt; &lt;/ div&gt; &lt;input type ="" hidden ""name ="" ""valu"&amp;"e ="" https: // images-eu .ssl-images-amazon.com / images / I / 91UhzD + 7H3S.mp4 ""Class ="" video-url ""&gt; &lt;input type ="" hidden ""name ="" ""value ="" https://images-eu.ssl-images-amazon.com/images/I/81dEu-cJS.png ""class = ""video-slate-img-url""&gt; &amp; n"&amp;"bsp; Just open the box and smell a sweet aroma and refreshing. At the opening a pot feared not tubiera dispenser, but yes, it has fine metering for micro droplets. I put 2 drops on a typical micro vaporizer sailing these you put water and will slowly vapo"&amp;"rizing and is super nice. I will last long because dosed very well and is concentrated. I've put a micro drop the mop, one in the bathroom, and everything smells fresh espléndimamente.")</f>
        <v>concentrate dispenser micro drops, durable, pleasant &lt;div id = "video-block-R221Q6A73AWLAB" class = "a-section a-spacing-small a-spacing-top mini video-block"&gt; &lt;div tabindex = "0 "class =" airy airy-svg vmin-unsupported airy-skin-beacon "style =" background-color: rgb (0, 0, 0) position: relative; width: 100%; height: 100%; font-size : 0px; overflow: hidden; outline: none; "&gt; &lt;div class =" airy-renderer-container "style =" position: relative; height: 100%; width: 100%; "&gt; &lt;video id =" 7 " preload = "auto" src = "https://images-eu.ssl-images-amazon.com/images/I/91UhzD+7H3S.mp4" style = "position: absolute; left: 0px; top: 0px; overflow : hidden; height: 1px; width: 1px; "&gt; &lt;/ video&gt; &lt;/ div&gt; &lt;div id =" airy-slate-preload "style =" background-color: rgb (0, 0, 0); background- image: url (&amp; quot; https: //images-eu.ssl-images-amazon.com/images/I/81dEu-cJS.png&amp;quot;); background-size: Contain; background-position: center center; background-repeat : no-repeat; position: absolute; top: 0px; left: 0px; visibility: visible; width: 100%; height: 100%;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91UhzD + 7H3S.mp4 "Class =" video-url "&gt; &lt;input type =" hidden "name =" "value =" https://images-eu.ssl-images-amazon.com/images/I/81dEu-cJS.png "class = "video-slate-img-url"&gt; &amp; nbsp; Just open the box and smell a sweet aroma and refreshing. At the opening a pot feared not tubiera dispenser, but yes, it has fine metering for micro droplets. I put 2 drops on a typical micro vaporizer sailing these you put water and will slowly vaporizing and is super nice. I will last long because dosed very well and is concentrated. I've put a micro drop the mop, one in the bathroom, and everything smells fresh espléndimamente.</v>
      </c>
    </row>
    <row r="10781">
      <c r="A10781" s="1">
        <v>5.0</v>
      </c>
      <c r="B10781" s="1" t="s">
        <v>10690</v>
      </c>
      <c r="C10781" t="str">
        <f>IFERROR(__xludf.DUMMYFUNCTION("GOOGLETRANSLATE(B10781, ""es"", ""en"")"),"Better than photo I liked more than I thought. It gives perfect time and people think it costs more than it cost. Recommended.")</f>
        <v>Better than photo I liked more than I thought. It gives perfect time and people think it costs more than it cost. Recommended.</v>
      </c>
    </row>
    <row r="10782">
      <c r="A10782" s="1">
        <v>5.0</v>
      </c>
      <c r="B10782" s="1" t="s">
        <v>10691</v>
      </c>
      <c r="C10782" t="str">
        <f>IFERROR(__xludf.DUMMYFUNCTION("GOOGLETRANSLATE(B10782, ""es"", ""en"")"),"Encantada material, easy to use, quiet, good lighting options, does not release large amount of moisture or waterlogged, hard enough deposits")</f>
        <v>Encantada material, easy to use, quiet, good lighting options, does not release large amount of moisture or waterlogged, hard enough deposits</v>
      </c>
    </row>
    <row r="10783">
      <c r="A10783" s="1">
        <v>5.0</v>
      </c>
      <c r="B10783" s="1" t="s">
        <v>10692</v>
      </c>
      <c r="C10783" t="str">
        <f>IFERROR(__xludf.DUMMYFUNCTION("GOOGLETRANSLATE(B10783, ""es"", ""en"")"),"Beautiful and accessories Rapunsel recommended. The spectacular tiara. Corona wand and delicate. But it is worth")</f>
        <v>Beautiful and accessories Rapunsel recommended. The spectacular tiara. Corona wand and delicate. But it is worth</v>
      </c>
    </row>
    <row r="10784">
      <c r="A10784" s="1">
        <v>5.0</v>
      </c>
      <c r="B10784" s="1" t="s">
        <v>10693</v>
      </c>
      <c r="C10784" t="str">
        <f>IFERROR(__xludf.DUMMYFUNCTION("GOOGLETRANSLATE(B10784, ""es"", ""en"")"),"this very well ~! this very hot when we are sleepy! and I like 2 controllers ~! This very comfortable !!!!! very good buy")</f>
        <v>this very well ~! this very hot when we are sleepy! and I like 2 controllers ~! This very comfortable !!!!! very good buy</v>
      </c>
    </row>
    <row r="10785">
      <c r="A10785" s="1">
        <v>5.0</v>
      </c>
      <c r="B10785" s="1" t="s">
        <v>10694</v>
      </c>
      <c r="C10785" t="str">
        <f>IFERROR(__xludf.DUMMYFUNCTION("GOOGLETRANSLATE(B10785, ""es"", ""en"")"),"Excellent Excellent value. Material good-looking and with good finishes. Perfect for carrying your laptop and accessories. I recommend it.")</f>
        <v>Excellent Excellent value. Material good-looking and with good finishes. Perfect for carrying your laptop and accessories. I recommend it.</v>
      </c>
    </row>
    <row r="10786">
      <c r="A10786" s="1">
        <v>2.0</v>
      </c>
      <c r="B10786" s="1" t="s">
        <v>10695</v>
      </c>
      <c r="C10786" t="str">
        <f>IFERROR(__xludf.DUMMYFUNCTION("GOOGLETRANSLATE(B10786, ""es"", ""en"")"),"It does nothing to extrafuerte is a lie, I noticed just a little heat")</f>
        <v>It does nothing to extrafuerte is a lie, I noticed just a little heat</v>
      </c>
    </row>
    <row r="10787">
      <c r="A10787" s="1">
        <v>3.0</v>
      </c>
      <c r="B10787" s="1" t="s">
        <v>10696</v>
      </c>
      <c r="C10787" t="str">
        <f>IFERROR(__xludf.DUMMYFUNCTION("GOOGLETRANSLATE(B10787, ""es"", ""en"")"),"I do not like the feeling of walking As for carving, fine. It's a little love-hate xo xq are comfortable for walking on cotton floor seems q and I really like that either. Personally I prefer to tread firm and not look like I'll float. The platform is not"&amp;" appreciated. No feet hurt x height but I feel the last q is not adequate. Otherwise they are pretty. The finally I returned")</f>
        <v>I do not like the feeling of walking As for carving, fine. It's a little love-hate xo xq are comfortable for walking on cotton floor seems q and I really like that either. Personally I prefer to tread firm and not look like I'll float. The platform is not appreciated. No feet hurt x height but I feel the last q is not adequate. Otherwise they are pretty. The finally I returned</v>
      </c>
    </row>
    <row r="10788">
      <c r="A10788" s="1">
        <v>3.0</v>
      </c>
      <c r="B10788" s="1" t="s">
        <v>10697</v>
      </c>
      <c r="C10788" t="str">
        <f>IFERROR(__xludf.DUMMYFUNCTION("GOOGLETRANSLATE(B10788, ""es"", ""en"")"),"Reduces wind noise but not as much as expected reduces wind noise but not as much as expected, it is also very expensive for what it is and you will fall much hair. Recommend your purchase? If it helps, but the above, it is too expensive.")</f>
        <v>Reduces wind noise but not as much as expected reduces wind noise but not as much as expected, it is also very expensive for what it is and you will fall much hair. Recommend your purchase? If it helps, but the above, it is too expensive.</v>
      </c>
    </row>
    <row r="10789">
      <c r="A10789" s="1">
        <v>1.0</v>
      </c>
      <c r="B10789" s="1" t="s">
        <v>10698</v>
      </c>
      <c r="C10789" t="str">
        <f>IFERROR(__xludf.DUMMYFUNCTION("GOOGLETRANSLATE(B10789, ""es"", ""en"")"),"Turkish eye bracelet man I came to be impaired as wet parts axidadas")</f>
        <v>Turkish eye bracelet man I came to be impaired as wet parts axidadas</v>
      </c>
    </row>
    <row r="10790">
      <c r="A10790" s="1">
        <v>1.0</v>
      </c>
      <c r="B10790" s="1" t="s">
        <v>10699</v>
      </c>
      <c r="C10790" t="str">
        <f>IFERROR(__xludf.DUMMYFUNCTION("GOOGLETRANSLATE(B10790, ""es"", ""en"")"),"No adheres strongly expected more from an American tape. The use to try to paste some leatherette and the truth comes off very very easy.")</f>
        <v>No adheres strongly expected more from an American tape. The use to try to paste some leatherette and the truth comes off very very easy.</v>
      </c>
    </row>
    <row r="10791">
      <c r="A10791" s="1">
        <v>4.0</v>
      </c>
      <c r="B10791" s="1" t="s">
        <v>10700</v>
      </c>
      <c r="C10791" t="str">
        <f>IFERROR(__xludf.DUMMYFUNCTION("GOOGLETRANSLATE(B10791, ""es"", ""en"")"),"Price quality perfect watch for any situation in the field. Holds everything you do. A watch appreciated by emergency services.")</f>
        <v>Price quality perfect watch for any situation in the field. Holds everything you do. A watch appreciated by emergency services.</v>
      </c>
    </row>
    <row r="10792">
      <c r="A10792" s="1">
        <v>4.0</v>
      </c>
      <c r="B10792" s="1" t="s">
        <v>10701</v>
      </c>
      <c r="C10792" t="str">
        <f>IFERROR(__xludf.DUMMYFUNCTION("GOOGLETRANSLATE(B10792, ""es"", ""en"")"),"So comfortable The number is a bit large, but very comfortable, I recommend to all those who have foot pain or plantar fasciitis like me")</f>
        <v>So comfortable The number is a bit large, but very comfortable, I recommend to all those who have foot pain or plantar fasciitis like me</v>
      </c>
    </row>
    <row r="10793">
      <c r="A10793" s="1">
        <v>4.0</v>
      </c>
      <c r="B10793" s="1" t="s">
        <v>10702</v>
      </c>
      <c r="C10793" t="str">
        <f>IFERROR(__xludf.DUMMYFUNCTION("GOOGLETRANSLATE(B10793, ""es"", ""en"")"),"Case colors I liked to give away at school, the colors are smaller than I expected.")</f>
        <v>Case colors I liked to give away at school, the colors are smaller than I expected.</v>
      </c>
    </row>
    <row r="10794">
      <c r="A10794" s="1">
        <v>4.0</v>
      </c>
      <c r="B10794" s="1" t="s">
        <v>10703</v>
      </c>
      <c r="C10794" t="str">
        <f>IFERROR(__xludf.DUMMYFUNCTION("GOOGLETRANSLATE(B10794, ""es"", ""en"")"),"Little Quen deceir right to respect. Precione very useful and appropriate.")</f>
        <v>Little Quen deceir right to respect. Precione very useful and appropriate.</v>
      </c>
    </row>
    <row r="10795">
      <c r="A10795" s="1">
        <v>5.0</v>
      </c>
      <c r="B10795" s="1" t="s">
        <v>10704</v>
      </c>
      <c r="C10795" t="str">
        <f>IFERROR(__xludf.DUMMYFUNCTION("GOOGLETRANSLATE(B10795, ""es"", ""en"")"),"Perfect Love. They come with a very comfortable case. They are folding. I use them mostly at night, in bed, listen to videos on mobile and are very comfortable. They hear well and is very easy to connect")</f>
        <v>Perfect Love. They come with a very comfortable case. They are folding. I use them mostly at night, in bed, listen to videos on mobile and are very comfortable. They hear well and is very easy to connect</v>
      </c>
    </row>
    <row r="10796">
      <c r="A10796" s="1">
        <v>5.0</v>
      </c>
      <c r="B10796" s="1" t="s">
        <v>238</v>
      </c>
      <c r="C10796" t="str">
        <f>IFERROR(__xludf.DUMMYFUNCTION("GOOGLETRANSLATE(B10796, ""es"", ""en"")"),"perfect perfect")</f>
        <v>perfect perfect</v>
      </c>
    </row>
    <row r="10797">
      <c r="A10797" s="1">
        <v>5.0</v>
      </c>
      <c r="B10797" s="1" t="s">
        <v>10705</v>
      </c>
      <c r="C10797" t="str">
        <f>IFERROR(__xludf.DUMMYFUNCTION("GOOGLETRANSLATE(B10797, ""es"", ""en"")"),"Excellent Very good PS4 is much faster")</f>
        <v>Excellent Very good PS4 is much faster</v>
      </c>
    </row>
    <row r="10798">
      <c r="A10798" s="1">
        <v>5.0</v>
      </c>
      <c r="B10798" s="1" t="s">
        <v>10706</v>
      </c>
      <c r="C10798" t="str">
        <f>IFERROR(__xludf.DUMMYFUNCTION("GOOGLETRANSLATE(B10798, ""es"", ""en"")"),"Buy satisfactory remain great, I bought them for a gift and it was a success. The boy was delighted with the shoes. The purchase is very satisfying!")</f>
        <v>Buy satisfactory remain great, I bought them for a gift and it was a success. The boy was delighted with the shoes. The purchase is very satisfying!</v>
      </c>
    </row>
    <row r="10799">
      <c r="A10799" s="1">
        <v>5.0</v>
      </c>
      <c r="B10799" s="1" t="s">
        <v>10707</v>
      </c>
      <c r="C10799" t="str">
        <f>IFERROR(__xludf.DUMMYFUNCTION("GOOGLETRANSLATE(B10799, ""es"", ""en"")"),"Super comfortable, they fit like a glove, size mediana.Tienen a very good touch and was better the offer coji, I'm happy")</f>
        <v>Super comfortable, they fit like a glove, size mediana.Tienen a very good touch and was better the offer coji, I'm happy</v>
      </c>
    </row>
    <row r="10800">
      <c r="A10800" s="1">
        <v>5.0</v>
      </c>
      <c r="B10800" s="1" t="s">
        <v>10708</v>
      </c>
      <c r="C10800" t="str">
        <f>IFERROR(__xludf.DUMMYFUNCTION("GOOGLETRANSLATE(B10800, ""es"", ""en"")"),"Jesus is the first time I buy an item that puts second-hand, but again only the packaging somewhat deteriorated. The clock w-800 is gorgeous, big numbers and clear, appropriate size, LED green light more than enough, wr 100 m to wash it all you want, comf"&amp;"ortable strap though the buckle is somewhat lifted. Recommended 100 &amp; lt;% to unbeatable price")</f>
        <v>Jesus is the first time I buy an item that puts second-hand, but again only the packaging somewhat deteriorated. The clock w-800 is gorgeous, big numbers and clear, appropriate size, LED green light more than enough, wr 100 m to wash it all you want, comfortable strap though the buckle is somewhat lifted. Recommended 100 &amp; lt;% to unbeatable price</v>
      </c>
    </row>
    <row r="10801">
      <c r="A10801" s="1">
        <v>5.0</v>
      </c>
      <c r="B10801" s="1" t="s">
        <v>238</v>
      </c>
      <c r="C10801" t="str">
        <f>IFERROR(__xludf.DUMMYFUNCTION("GOOGLETRANSLATE(B10801, ""es"", ""en"")"),"perfect perfect")</f>
        <v>perfect perfect</v>
      </c>
    </row>
    <row r="10802">
      <c r="A10802" s="1">
        <v>5.0</v>
      </c>
      <c r="B10802" s="1" t="s">
        <v>10709</v>
      </c>
      <c r="C10802" t="str">
        <f>IFERROR(__xludf.DUMMYFUNCTION("GOOGLETRANSLATE(B10802, ""es"", ""en"")"),"Nice and cheap ball was released a few hours to take. But they are of hanging does not matter. I'll ask more.")</f>
        <v>Nice and cheap ball was released a few hours to take. But they are of hanging does not matter. I'll ask more.</v>
      </c>
    </row>
    <row r="10803">
      <c r="A10803" s="1">
        <v>5.0</v>
      </c>
      <c r="B10803" s="1" t="s">
        <v>10710</v>
      </c>
      <c r="C10803" t="str">
        <f>IFERROR(__xludf.DUMMYFUNCTION("GOOGLETRANSLATE(B10803, ""es"", ""en"")"),"Excellent comodida")</f>
        <v>Excellent comodida</v>
      </c>
    </row>
    <row r="10804">
      <c r="A10804" s="1">
        <v>5.0</v>
      </c>
      <c r="B10804" s="1" t="s">
        <v>10711</v>
      </c>
      <c r="C10804" t="str">
        <f>IFERROR(__xludf.DUMMYFUNCTION("GOOGLETRANSLATE(B10804, ""es"", ""en"")"),"Good micro discounts This micro meets perfectly for the price you have, good sound and clarity apart from very nice. also it has threads on the base to put any mic stand or support.")</f>
        <v>Good micro discounts This micro meets perfectly for the price you have, good sound and clarity apart from very nice. also it has threads on the base to put any mic stand or support.</v>
      </c>
    </row>
    <row r="10805">
      <c r="A10805" s="1">
        <v>5.0</v>
      </c>
      <c r="B10805" s="1" t="s">
        <v>10712</v>
      </c>
      <c r="C10805" t="str">
        <f>IFERROR(__xludf.DUMMYFUNCTION("GOOGLETRANSLATE(B10805, ""es"", ""en"")"),"Felix recommend beater for frothing milk, it works perfectly and in seconds you for your coffee.The foam is unbeatable price")</f>
        <v>Felix recommend beater for frothing milk, it works perfectly and in seconds you for your coffee.The foam is unbeatable price</v>
      </c>
    </row>
    <row r="10806">
      <c r="A10806" s="1">
        <v>5.0</v>
      </c>
      <c r="B10806" s="1" t="s">
        <v>10713</v>
      </c>
      <c r="C10806" t="str">
        <f>IFERROR(__xludf.DUMMYFUNCTION("GOOGLETRANSLATE(B10806, ""es"", ""en"")"),"Very good ... good my daughter loves.")</f>
        <v>Very good ... good my daughter loves.</v>
      </c>
    </row>
    <row r="10807">
      <c r="A10807" s="1">
        <v>5.0</v>
      </c>
      <c r="B10807" s="1" t="s">
        <v>10714</v>
      </c>
      <c r="C10807" t="str">
        <f>IFERROR(__xludf.DUMMYFUNCTION("GOOGLETRANSLATE(B10807, ""es"", ""en"")"),"Better than expected Since I arrived I have not stopped using it, I add a few drops of essential oils and luxurious. I love the smell it leaves, I'm also noticing that my eyes dry out less, I have them dry and itch a lot and I have noticed a slight improv"&amp;"ement from what I wear. I also like to wear it to sleep, synchronizing 3 hours, I add a few drops of lavender relaxes me a lot. Just it makes noise, very mild and almost soundless. The design is very nice and oriental, is very well decorated. I is very ea"&amp;"sy to use, it opens, water and oil droplets and ready, already programmed added to our liking. The fog does is fine, I really like. This product also serves as an air freshener, it leaves a fresh, clean scent.")</f>
        <v>Better than expected Since I arrived I have not stopped using it, I add a few drops of essential oils and luxurious. I love the smell it leaves, I'm also noticing that my eyes dry out less, I have them dry and itch a lot and I have noticed a slight improvement from what I wear. I also like to wear it to sleep, synchronizing 3 hours, I add a few drops of lavender relaxes me a lot. Just it makes noise, very mild and almost soundless. The design is very nice and oriental, is very well decorated. I is very easy to use, it opens, water and oil droplets and ready, already programmed added to our liking. The fog does is fine, I really like. This product also serves as an air freshener, it leaves a fresh, clean scent.</v>
      </c>
    </row>
    <row r="10808">
      <c r="A10808" s="1">
        <v>5.0</v>
      </c>
      <c r="B10808" s="1" t="s">
        <v>10715</v>
      </c>
      <c r="C10808" t="str">
        <f>IFERROR(__xludf.DUMMYFUNCTION("GOOGLETRANSLATE(B10808, ""es"", ""en"")"),"Llego good buy quickly before marking it, looks good material. To work")</f>
        <v>Llego good buy quickly before marking it, looks good material. To work</v>
      </c>
    </row>
    <row r="10809">
      <c r="A10809" s="1">
        <v>5.0</v>
      </c>
      <c r="B10809" s="1" t="s">
        <v>10716</v>
      </c>
      <c r="C10809" t="str">
        <f>IFERROR(__xludf.DUMMYFUNCTION("GOOGLETRANSLATE(B10809, ""es"", ""en"")"),"Glue well known. It is best to find the original glue well known. It only remains to find a suitable offer as there are notable differences in price. This in particular are the 3 guys superglue, in my opinion better q great because as not to remain standi"&amp;"ng and close properly can only be opened using two pliers")</f>
        <v>Glue well known. It is best to find the original glue well known. It only remains to find a suitable offer as there are notable differences in price. This in particular are the 3 guys superglue, in my opinion better q great because as not to remain standing and close properly can only be opened using two pliers</v>
      </c>
    </row>
    <row r="10810">
      <c r="A10810" s="1">
        <v>5.0</v>
      </c>
      <c r="B10810" s="1" t="s">
        <v>10717</v>
      </c>
      <c r="C10810" t="str">
        <f>IFERROR(__xludf.DUMMYFUNCTION("GOOGLETRANSLATE(B10810, ""es"", ""en"")"),"ring very good quality and good touch and very flexible materials. It works perfectly, both based remote as recommended separado.Muy to play with friends and for her to enjoy. Recommendable.")</f>
        <v>ring very good quality and good touch and very flexible materials. It works perfectly, both based remote as recommended separado.Muy to play with friends and for her to enjoy. Recommendable.</v>
      </c>
    </row>
    <row r="10811">
      <c r="A10811" s="1">
        <v>5.0</v>
      </c>
      <c r="B10811" s="1" t="s">
        <v>10718</v>
      </c>
      <c r="C10811" t="str">
        <f>IFERROR(__xludf.DUMMYFUNCTION("GOOGLETRANSLATE(B10811, ""es"", ""en"")"),"Well perfect, remains sizes are consistent with the published guidance, the size is normally use in other brands. They are leather, easy cleaning. recommended")</f>
        <v>Well perfect, remains sizes are consistent with the published guidance, the size is normally use in other brands. They are leather, easy cleaning. recommended</v>
      </c>
    </row>
    <row r="10812">
      <c r="A10812" s="1">
        <v>5.0</v>
      </c>
      <c r="B10812" s="1" t="s">
        <v>10719</v>
      </c>
      <c r="C10812" t="str">
        <f>IFERROR(__xludf.DUMMYFUNCTION("GOOGLETRANSLATE(B10812, ""es"", ""en"")"),"Perfect Perfect, very good money for an amateur like mine more than enough and cheaper than Apple.")</f>
        <v>Perfect Perfect, very good money for an amateur like mine more than enough and cheaper than Apple.</v>
      </c>
    </row>
    <row r="10813">
      <c r="A10813" s="1">
        <v>2.0</v>
      </c>
      <c r="B10813" s="1" t="s">
        <v>10720</v>
      </c>
      <c r="C10813" t="str">
        <f>IFERROR(__xludf.DUMMYFUNCTION("GOOGLETRANSLATE(B10813, ""es"", ""en"")"),"Letters small print very small and fine")</f>
        <v>Letters small print very small and fine</v>
      </c>
    </row>
    <row r="10814">
      <c r="A10814" s="1">
        <v>3.0</v>
      </c>
      <c r="B10814" s="1" t="s">
        <v>10721</v>
      </c>
      <c r="C10814" t="str">
        <f>IFERROR(__xludf.DUMMYFUNCTION("GOOGLETRANSLATE(B10814, ""es"", ""en"")"),"Lightweight, suitable fragile arrived quickly. I ordered 2. One went well, and the other with a broken. It is very fragile and light, but I wanted to put pictures my children and that's perfect. I covered a broken picture.")</f>
        <v>Lightweight, suitable fragile arrived quickly. I ordered 2. One went well, and the other with a broken. It is very fragile and light, but I wanted to put pictures my children and that's perfect. I covered a broken picture.</v>
      </c>
    </row>
    <row r="10815">
      <c r="A10815" s="1">
        <v>1.0</v>
      </c>
      <c r="B10815" s="1" t="s">
        <v>10722</v>
      </c>
      <c r="C10815" t="str">
        <f>IFERROR(__xludf.DUMMYFUNCTION("GOOGLETRANSLATE(B10815, ""es"", ""en"")"),"Timo not useless, they do not hold any weight")</f>
        <v>Timo not useless, they do not hold any weight</v>
      </c>
    </row>
    <row r="10816">
      <c r="A10816" s="1">
        <v>1.0</v>
      </c>
      <c r="B10816" s="1" t="s">
        <v>10723</v>
      </c>
      <c r="C10816" t="str">
        <f>IFERROR(__xludf.DUMMYFUNCTION("GOOGLETRANSLATE(B10816, ""es"", ""en"")"),"The time taken can not stand the clip very well. But it took more than one month to receive it")</f>
        <v>The time taken can not stand the clip very well. But it took more than one month to receive it</v>
      </c>
    </row>
    <row r="10817">
      <c r="A10817" s="1">
        <v>4.0</v>
      </c>
      <c r="B10817" s="1" t="s">
        <v>10724</v>
      </c>
      <c r="C10817" t="str">
        <f>IFERROR(__xludf.DUMMYFUNCTION("GOOGLETRANSLATE(B10817, ""es"", ""en"")"),"Beware size is small, the above arms. The fabric is very thin.")</f>
        <v>Beware size is small, the above arms. The fabric is very thin.</v>
      </c>
    </row>
    <row r="10818">
      <c r="A10818" s="1">
        <v>4.0</v>
      </c>
      <c r="B10818" s="1" t="s">
        <v>10725</v>
      </c>
      <c r="C10818" t="str">
        <f>IFERROR(__xludf.DUMMYFUNCTION("GOOGLETRANSLATE(B10818, ""es"", ""en"")"),"Great quality at a good price sweatshirt ... Choose a color and enjoy the confidence of the brand Levis")</f>
        <v>Great quality at a good price sweatshirt ... Choose a color and enjoy the confidence of the brand Levis</v>
      </c>
    </row>
    <row r="10819">
      <c r="A10819" s="1">
        <v>4.0</v>
      </c>
      <c r="B10819" s="1" t="s">
        <v>10726</v>
      </c>
      <c r="C10819" t="str">
        <f>IFERROR(__xludf.DUMMYFUNCTION("GOOGLETRANSLATE(B10819, ""es"", ""en"")"),"Buenos perfect. It was a gift for my niece and is delighted. If lasted more or less xq can not value it was a gift from Santa Claus and put nothing opened the gift, now time will tell if they come out good or not")</f>
        <v>Buenos perfect. It was a gift for my niece and is delighted. If lasted more or less xq can not value it was a gift from Santa Claus and put nothing opened the gift, now time will tell if they come out good or not</v>
      </c>
    </row>
    <row r="10820">
      <c r="A10820" s="1">
        <v>4.0</v>
      </c>
      <c r="B10820" s="1" t="s">
        <v>10727</v>
      </c>
      <c r="C10820" t="str">
        <f>IFERROR(__xludf.DUMMYFUNCTION("GOOGLETRANSLATE(B10820, ""es"", ""en"")"),"Javito Lacks the seconds hand and allow seconds to adjust the changing time in digital mode.")</f>
        <v>Javito Lacks the seconds hand and allow seconds to adjust the changing time in digital mode.</v>
      </c>
    </row>
    <row r="10821">
      <c r="A10821" s="1">
        <v>4.0</v>
      </c>
      <c r="B10821" s="1" t="s">
        <v>10728</v>
      </c>
      <c r="C10821" t="str">
        <f>IFERROR(__xludf.DUMMYFUNCTION("GOOGLETRANSLATE(B10821, ""es"", ""en"")"),"Buenos helmets for its price, cool design These helmets are not the Releche blessed, no, but are good helmets, well insulated, interchangeable cable and cool design, do not look for 3 feet to the cat, the good: -quality sound good (better than some crappy"&amp;" 10 bucks) -Insulation good (good for home / regular street, the bus will still hear unless you put everything butt) -Quality of good construction, ie plastics are mates and such, but nothing plastic toy Chinese, because average quality plastic, does not "&amp;"seem to go to descuajaringar. -Little weight The bad: -The short cable is one meter 20 cm ... maybe more will come off without a hitch and the male connection if angled and ... (but as you can change, so it's not severe) -although have interchangeable cab"&amp;"le, it would be better to have a female connector on the hulls instead of that mini cable coming out. -Dan heat, but hey, it's not a surprise If you have little inconvenienced head maybe, if you have good almedra (as server) tightened equally and not hurt"&amp;".")</f>
        <v>Buenos helmets for its price, cool design These helmets are not the Releche blessed, no, but are good helmets, well insulated, interchangeable cable and cool design, do not look for 3 feet to the cat, the good: -quality sound good (better than some crappy 10 bucks) -Insulation good (good for home / regular street, the bus will still hear unless you put everything butt) -Quality of good construction, ie plastics are mates and such, but nothing plastic toy Chinese, because average quality plastic, does not seem to go to descuajaringar. -Little weight The bad: -The short cable is one meter 20 cm ... maybe more will come off without a hitch and the male connection if angled and ... (but as you can change, so it's not severe) -although have interchangeable cable, it would be better to have a female connector on the hulls instead of that mini cable coming out. -Dan heat, but hey, it's not a surprise If you have little inconvenienced head maybe, if you have good almedra (as server) tightened equally and not hurt.</v>
      </c>
    </row>
    <row r="10822">
      <c r="A10822" s="1">
        <v>5.0</v>
      </c>
      <c r="B10822" s="1" t="s">
        <v>10729</v>
      </c>
      <c r="C10822" t="str">
        <f>IFERROR(__xludf.DUMMYFUNCTION("GOOGLETRANSLATE(B10822, ""es"", ""en"")"),"Now I sleep very warm warm the bed before going to sleep and spend the night at a comfortable temperature I achieved with this product. I sleep much better and meets all the publicity such.")</f>
        <v>Now I sleep very warm warm the bed before going to sleep and spend the night at a comfortable temperature I achieved with this product. I sleep much better and meets all the publicity such.</v>
      </c>
    </row>
    <row r="10823">
      <c r="A10823" s="1">
        <v>5.0</v>
      </c>
      <c r="B10823" s="1" t="s">
        <v>10730</v>
      </c>
      <c r="C10823" t="str">
        <f>IFERROR(__xludf.DUMMYFUNCTION("GOOGLETRANSLATE(B10823, ""es"", ""en"")"),"Maria Feijoo is aesthetically perfect and it works fast and perfectly fulfills all my expectations. Thank you. Value for money 10.")</f>
        <v>Maria Feijoo is aesthetically perfect and it works fast and perfectly fulfills all my expectations. Thank you. Value for money 10.</v>
      </c>
    </row>
    <row r="10824">
      <c r="A10824" s="1">
        <v>5.0</v>
      </c>
      <c r="B10824" s="1" t="s">
        <v>10731</v>
      </c>
      <c r="C10824" t="str">
        <f>IFERROR(__xludf.DUMMYFUNCTION("GOOGLETRANSLATE(B10824, ""es"", ""en"")"),"Very fast. Very fast and I really have no complaints, now the plastic finish is very fine and seems very fragile see what lasts.")</f>
        <v>Very fast. Very fast and I really have no complaints, now the plastic finish is very fine and seems very fragile see what lasts.</v>
      </c>
    </row>
    <row r="10825">
      <c r="A10825" s="1">
        <v>5.0</v>
      </c>
      <c r="B10825" s="1" t="s">
        <v>10732</v>
      </c>
      <c r="C10825" t="str">
        <f>IFERROR(__xludf.DUMMYFUNCTION("GOOGLETRANSLATE(B10825, ""es"", ""en"")"),"Shoes recommended lightweight and breathable, to work in summer are coming me great. They are lightweight and durable.")</f>
        <v>Shoes recommended lightweight and breathable, to work in summer are coming me great. They are lightweight and durable.</v>
      </c>
    </row>
    <row r="10826">
      <c r="A10826" s="1">
        <v>5.0</v>
      </c>
      <c r="B10826" s="1" t="s">
        <v>10733</v>
      </c>
      <c r="C10826" t="str">
        <f>IFERROR(__xludf.DUMMYFUNCTION("GOOGLETRANSLATE(B10826, ""es"", ""en"")"),"It has exceeded my expectations this Casio GD-350-1BER appearance on October 1, October 1 materials, design 10 to 10. The price another surprising truth much sturdy and beautiful at the same time and the price is not know yet but they say they are eternal"&amp;", so far I recommend")</f>
        <v>It has exceeded my expectations this Casio GD-350-1BER appearance on October 1, October 1 materials, design 10 to 10. The price another surprising truth much sturdy and beautiful at the same time and the price is not know yet but they say they are eternal, so far I recommend</v>
      </c>
    </row>
    <row r="10827">
      <c r="A10827" s="1">
        <v>5.0</v>
      </c>
      <c r="B10827" s="1" t="s">
        <v>10734</v>
      </c>
      <c r="C10827" t="str">
        <f>IFERROR(__xludf.DUMMYFUNCTION("GOOGLETRANSLATE(B10827, ""es"", ""en"")"),"The gift gave my partner and is more than satisfied. Comfortable, lightweight, always you have warm feet. Still I do not know if they are suitable for water. Use these 40 and they are a little big, but not much")</f>
        <v>The gift gave my partner and is more than satisfied. Comfortable, lightweight, always you have warm feet. Still I do not know if they are suitable for water. Use these 40 and they are a little big, but not much</v>
      </c>
    </row>
    <row r="10828">
      <c r="A10828" s="1">
        <v>5.0</v>
      </c>
      <c r="B10828" s="1" t="s">
        <v>10735</v>
      </c>
      <c r="C10828" t="str">
        <f>IFERROR(__xludf.DUMMYFUNCTION("GOOGLETRANSLATE(B10828, ""es"", ""en"")"),"Excellent CORRECT external hard drive. Light, content size, good touch and silent. Speed ​​is good, without being the best, is average, 1.5 GB per minute approx., Although that also depends on the speed of your computer and USB connection. In my case, Win"&amp;"dows 7 with an i3 average. The price is best, hardly find a product of this quality at such a competitive price. Would you recommend your purchase? Yes, perfectly meets and quality / price is hard to beat.")</f>
        <v>Excellent CORRECT external hard drive. Light, content size, good touch and silent. Speed ​​is good, without being the best, is average, 1.5 GB per minute approx., Although that also depends on the speed of your computer and USB connection. In my case, Windows 7 with an i3 average. The price is best, hardly find a product of this quality at such a competitive price. Would you recommend your purchase? Yes, perfectly meets and quality / price is hard to beat.</v>
      </c>
    </row>
    <row r="10829">
      <c r="A10829" s="1">
        <v>5.0</v>
      </c>
      <c r="B10829" s="1" t="s">
        <v>10736</v>
      </c>
      <c r="C10829" t="str">
        <f>IFERROR(__xludf.DUMMYFUNCTION("GOOGLETRANSLATE(B10829, ""es"", ""en"")"),"Very cool I love the design, I entertain a lot, very useful for winter. The hood is quite large and fabric quality looks. It is durable. I recommend it especially design.")</f>
        <v>Very cool I love the design, I entertain a lot, very useful for winter. The hood is quite large and fabric quality looks. It is durable. I recommend it especially design.</v>
      </c>
    </row>
    <row r="10830">
      <c r="A10830" s="1">
        <v>5.0</v>
      </c>
      <c r="B10830" s="1" t="s">
        <v>10737</v>
      </c>
      <c r="C10830" t="str">
        <f>IFERROR(__xludf.DUMMYFUNCTION("GOOGLETRANSLATE(B10830, ""es"", ""en"")"),"very good! it's great, had spent plastic and docks when ponias many coins are hooked, this is no separation and springs never meet, very tough, ten!")</f>
        <v>very good! it's great, had spent plastic and docks when ponias many coins are hooked, this is no separation and springs never meet, very tough, ten!</v>
      </c>
    </row>
    <row r="10831">
      <c r="A10831" s="1">
        <v>5.0</v>
      </c>
      <c r="B10831" s="1" t="s">
        <v>10738</v>
      </c>
      <c r="C10831" t="str">
        <f>IFERROR(__xludf.DUMMYFUNCTION("GOOGLETRANSLATE(B10831, ""es"", ""en"")"),"Salomon good running shoe by countryside and streets")</f>
        <v>Salomon good running shoe by countryside and streets</v>
      </c>
    </row>
    <row r="10832">
      <c r="A10832" s="1">
        <v>5.0</v>
      </c>
      <c r="B10832" s="1" t="s">
        <v>10739</v>
      </c>
      <c r="C10832" t="str">
        <f>IFERROR(__xludf.DUMMYFUNCTION("GOOGLETRANSLATE(B10832, ""es"", ""en"")"),"10 value / price For the price we have does the job, I totally recommend, not the best but for me filer sporadic use helps me to spare.")</f>
        <v>10 value / price For the price we have does the job, I totally recommend, not the best but for me filer sporadic use helps me to spare.</v>
      </c>
    </row>
    <row r="10833">
      <c r="A10833" s="1">
        <v>5.0</v>
      </c>
      <c r="B10833" s="1" t="s">
        <v>10740</v>
      </c>
      <c r="C10833" t="str">
        <f>IFERROR(__xludf.DUMMYFUNCTION("GOOGLETRANSLATE(B10833, ""es"", ""en"")"),"All right This product is a good buy, have enough increases, and it is clear, it slides well and is comfortable to handle, the price it is good,")</f>
        <v>All right This product is a good buy, have enough increases, and it is clear, it slides well and is comfortable to handle, the price it is good,</v>
      </c>
    </row>
    <row r="10834">
      <c r="A10834" s="1">
        <v>5.0</v>
      </c>
      <c r="B10834" s="1" t="s">
        <v>10741</v>
      </c>
      <c r="C10834" t="str">
        <f>IFERROR(__xludf.DUMMYFUNCTION("GOOGLETRANSLATE(B10834, ""es"", ""en"")"),"Quality clock quality and very stylish I love the leather mail and details of the handles. 100% recommended")</f>
        <v>Quality clock quality and very stylish I love the leather mail and details of the handles. 100% recommended</v>
      </c>
    </row>
    <row r="10835">
      <c r="A10835" s="1">
        <v>5.0</v>
      </c>
      <c r="B10835" s="1" t="s">
        <v>10742</v>
      </c>
      <c r="C10835" t="str">
        <f>IFERROR(__xludf.DUMMYFUNCTION("GOOGLETRANSLATE(B10835, ""es"", ""en"")"),"Everything in order I have a couple of months using these hard drives in a raid mounted NAS 1. So far I have not had any problems. They are fast and do not make noise now. Care to acquire the hard drives for a NAS, you have to see the compatibility with y"&amp;"our NAS and also choose hard disks (like these) that are recommended to run for many hours without problems.")</f>
        <v>Everything in order I have a couple of months using these hard drives in a raid mounted NAS 1. So far I have not had any problems. They are fast and do not make noise now. Care to acquire the hard drives for a NAS, you have to see the compatibility with your NAS and also choose hard disks (like these) that are recommended to run for many hours without problems.</v>
      </c>
    </row>
    <row r="10836">
      <c r="A10836" s="1">
        <v>5.0</v>
      </c>
      <c r="B10836" s="1" t="s">
        <v>10743</v>
      </c>
      <c r="C10836" t="str">
        <f>IFERROR(__xludf.DUMMYFUNCTION("GOOGLETRANSLATE(B10836, ""es"", ""en"")"),"Value for money The truth we are delighted! I tried aromas, water vapor cold for my daughter, but it's great, it lasts a lot and turns itself off when water finishes, in addition to the lights you have to create a pleasant lighting.")</f>
        <v>Value for money The truth we are delighted! I tried aromas, water vapor cold for my daughter, but it's great, it lasts a lot and turns itself off when water finishes, in addition to the lights you have to create a pleasant lighting.</v>
      </c>
    </row>
    <row r="10837">
      <c r="A10837" s="1">
        <v>5.0</v>
      </c>
      <c r="B10837" s="1" t="s">
        <v>10744</v>
      </c>
      <c r="C10837" t="str">
        <f>IFERROR(__xludf.DUMMYFUNCTION("GOOGLETRANSLATE(B10837, ""es"", ""en"")"),"Perfect! So beautiful it is, I sometimes thing to keep boots on it. The front pocket is perfect that you have to save anything!")</f>
        <v>Perfect! So beautiful it is, I sometimes thing to keep boots on it. The front pocket is perfect that you have to save anything!</v>
      </c>
    </row>
    <row r="10838">
      <c r="A10838" s="1">
        <v>5.0</v>
      </c>
      <c r="B10838" s="1" t="s">
        <v>10745</v>
      </c>
      <c r="C10838" t="str">
        <f>IFERROR(__xludf.DUMMYFUNCTION("GOOGLETRANSLATE(B10838, ""es"", ""en"")"),"A good investment. I was skeptical, but the jump from a normal helmets to these has been enormous. I have no knowledge of many headphones listening to music in FLAC but these helmets is amazing, especially the hearing instruments and sounds that were not "&amp;"listening. The best thing is that they are an ugly duckling, people do not pay attention to them and then they are much better than beats phillips and I see every day.")</f>
        <v>A good investment. I was skeptical, but the jump from a normal helmets to these has been enormous. I have no knowledge of many headphones listening to music in FLAC but these helmets is amazing, especially the hearing instruments and sounds that were not listening. The best thing is that they are an ugly duckling, people do not pay attention to them and then they are much better than beats phillips and I see every day.</v>
      </c>
    </row>
    <row r="10839">
      <c r="A10839" s="1">
        <v>5.0</v>
      </c>
      <c r="B10839" s="1" t="s">
        <v>10746</v>
      </c>
      <c r="C10839" t="str">
        <f>IFERROR(__xludf.DUMMYFUNCTION("GOOGLETRANSLATE(B10839, ""es"", ""en"")"),"Quite comfortable and beautiful color pretty bad thing is that color is going, not kept long. It is hard soled")</f>
        <v>Quite comfortable and beautiful color pretty bad thing is that color is going, not kept long. It is hard soled</v>
      </c>
    </row>
    <row r="10840">
      <c r="A10840" s="1">
        <v>5.0</v>
      </c>
      <c r="B10840" s="1" t="s">
        <v>10747</v>
      </c>
      <c r="C10840" t="str">
        <f>IFERROR(__xludf.DUMMYFUNCTION("GOOGLETRANSLATE(B10840, ""es"", ""en"")"),"Installed audio better to replace a parallel cable, the typical red / black 1.5mm, improvement is seen, especially in sharp tones. Good price.")</f>
        <v>Installed audio better to replace a parallel cable, the typical red / black 1.5mm, improvement is seen, especially in sharp tones. Good price.</v>
      </c>
    </row>
    <row r="10841">
      <c r="A10841" s="1">
        <v>2.0</v>
      </c>
      <c r="B10841" s="1" t="s">
        <v>10748</v>
      </c>
      <c r="C10841" t="str">
        <f>IFERROR(__xludf.DUMMYFUNCTION("GOOGLETRANSLATE(B10841, ""es"", ""en"")"),"Neck massager, neck massager relaxing garden. Is incredible. The movement of the balls simulates the movements of the hand. Must be careful to use it gradually. short and soft sessions because it hurts. There used to go slowly. Say something negative I wo"&amp;"uld say if you want to put in some other area other than the neck is a little uncomfortable and the amount of heat is not high although the end zone goes into heat but massage not for the heat source . Edito this review because after using it 10 times it "&amp;"has stopped using because if you hang your arms, even slightly, and just leaves you hurting even worse.")</f>
        <v>Neck massager, neck massager relaxing garden. Is incredible. The movement of the balls simulates the movements of the hand. Must be careful to use it gradually. short and soft sessions because it hurts. There used to go slowly. Say something negative I would say if you want to put in some other area other than the neck is a little uncomfortable and the amount of heat is not high although the end zone goes into heat but massage not for the heat source . Edito this review because after using it 10 times it has stopped using because if you hang your arms, even slightly, and just leaves you hurting even worse.</v>
      </c>
    </row>
    <row r="10842">
      <c r="A10842" s="1">
        <v>3.0</v>
      </c>
      <c r="B10842" s="1" t="s">
        <v>10749</v>
      </c>
      <c r="C10842" t="str">
        <f>IFERROR(__xludf.DUMMYFUNCTION("GOOGLETRANSLATE(B10842, ""es"", ""en"")"),"Very comfortable but little resistant socks are very comfortable but not very strong. 3 outputs are fraying. For road definitely recommend them. To mount not.")</f>
        <v>Very comfortable but little resistant socks are very comfortable but not very strong. 3 outputs are fraying. For road definitely recommend them. To mount not.</v>
      </c>
    </row>
    <row r="10843">
      <c r="A10843" s="1">
        <v>3.0</v>
      </c>
      <c r="B10843" s="1" t="s">
        <v>10750</v>
      </c>
      <c r="C10843" t="str">
        <f>IFERROR(__xludf.DUMMYFUNCTION("GOOGLETRANSLATE(B10843, ""es"", ""en"")"),"Very good watch is fine, has a lot of functions, but I bought the black version, and I see two flaws: 1 Hours marks them with points that are barely visible, compared to needles they are white, points in low light costs a little apart. 2 The light led is,"&amp;" is located at the bottom of the sphere of the clock, and the light only illuminates the needles of the clock, the ""digital"" portion where the timer is the countdown or the date no lighting own, and back to having a black background no numbers displayed"&amp;" differ.")</f>
        <v>Very good watch is fine, has a lot of functions, but I bought the black version, and I see two flaws: 1 Hours marks them with points that are barely visible, compared to needles they are white, points in low light costs a little apart. 2 The light led is, is located at the bottom of the sphere of the clock, and the light only illuminates the needles of the clock, the "digital" portion where the timer is the countdown or the date no lighting own, and back to having a black background no numbers displayed differ.</v>
      </c>
    </row>
    <row r="10844">
      <c r="A10844" s="1">
        <v>1.0</v>
      </c>
      <c r="B10844" s="1" t="s">
        <v>10751</v>
      </c>
      <c r="C10844" t="str">
        <f>IFERROR(__xludf.DUMMYFUNCTION("GOOGLETRANSLATE(B10844, ""es"", ""en"")"),"Julia is worthless leaves you all green arm very cheap it is not worth not recommend")</f>
        <v>Julia is worthless leaves you all green arm very cheap it is not worth not recommend</v>
      </c>
    </row>
    <row r="10845">
      <c r="A10845" s="1">
        <v>1.0</v>
      </c>
      <c r="B10845" s="1" t="s">
        <v>10752</v>
      </c>
      <c r="C10845" t="str">
        <f>IFERROR(__xludf.DUMMYFUNCTION("GOOGLETRANSLATE(B10845, ""es"", ""en"")"),"Unfortunately it does not work without the mine came bt because you do not connect with any device. if I not am the only one to which we pass, but just in case I notice that my wine the least defective.")</f>
        <v>Unfortunately it does not work without the mine came bt because you do not connect with any device. if I not am the only one to which we pass, but just in case I notice that my wine the least defective.</v>
      </c>
    </row>
    <row r="10846">
      <c r="A10846" s="1">
        <v>1.0</v>
      </c>
      <c r="B10846" s="1" t="s">
        <v>10753</v>
      </c>
      <c r="C10846" t="str">
        <f>IFERROR(__xludf.DUMMYFUNCTION("GOOGLETRANSLATE(B10846, ""es"", ""en"")"),"Product quality is very little sub-par for the price has returned to the moment, very basic and poorly made.")</f>
        <v>Product quality is very little sub-par for the price has returned to the moment, very basic and poorly made.</v>
      </c>
    </row>
    <row r="10847">
      <c r="A10847" s="1">
        <v>4.0</v>
      </c>
      <c r="B10847" s="1" t="s">
        <v>10754</v>
      </c>
      <c r="C10847" t="str">
        <f>IFERROR(__xludf.DUMMYFUNCTION("GOOGLETRANSLATE(B10847, ""es"", ""en"")"),"Xiaomi. The best quality / price. I tried a lot and I've decided for her. For me the best. Its LED light is very useful. He did not give it 5 stars because it weighs a tad.")</f>
        <v>Xiaomi. The best quality / price. I tried a lot and I've decided for her. For me the best. Its LED light is very useful. He did not give it 5 stars because it weighs a tad.</v>
      </c>
    </row>
    <row r="10848">
      <c r="A10848" s="1">
        <v>4.0</v>
      </c>
      <c r="B10848" s="1" t="s">
        <v>10755</v>
      </c>
      <c r="C10848" t="str">
        <f>IFERROR(__xludf.DUMMYFUNCTION("GOOGLETRANSLATE(B10848, ""es"", ""en"")"),"They are not bad micro fiber cloths like so many others. A bit small, but OK. You should always have at home for various uses.")</f>
        <v>They are not bad micro fiber cloths like so many others. A bit small, but OK. You should always have at home for various uses.</v>
      </c>
    </row>
    <row r="10849">
      <c r="A10849" s="1">
        <v>4.0</v>
      </c>
      <c r="B10849" s="1" t="s">
        <v>10756</v>
      </c>
      <c r="C10849" t="str">
        <f>IFERROR(__xludf.DUMMYFUNCTION("GOOGLETRANSLATE(B10849, ""es"", ""en"")"),"I like it so far I've used about 20 times and so far no problem. It is functional and staples are having to exert too much force.")</f>
        <v>I like it so far I've used about 20 times and so far no problem. It is functional and staples are having to exert too much force.</v>
      </c>
    </row>
    <row r="10850">
      <c r="A10850" s="1">
        <v>4.0</v>
      </c>
      <c r="B10850" s="1" t="s">
        <v>10757</v>
      </c>
      <c r="C10850" t="str">
        <f>IFERROR(__xludf.DUMMYFUNCTION("GOOGLETRANSLATE(B10850, ""es"", ""en"")"),"It is a mask that leaves the skin very smooth after application. But I have to mention that the mask has reached me too dry and so its texture is not as it should be.")</f>
        <v>It is a mask that leaves the skin very smooth after application. But I have to mention that the mask has reached me too dry and so its texture is not as it should be.</v>
      </c>
    </row>
    <row r="10851">
      <c r="A10851" s="1">
        <v>4.0</v>
      </c>
      <c r="B10851" s="1" t="s">
        <v>10758</v>
      </c>
      <c r="C10851" t="str">
        <f>IFERROR(__xludf.DUMMYFUNCTION("GOOGLETRANSLATE(B10851, ""es"", ""en"")"),"new economic model is the first time that I walk for hours and not me swell legs, one pass of shoes;)")</f>
        <v>new economic model is the first time that I walk for hours and not me swell legs, one pass of shoes;)</v>
      </c>
    </row>
    <row r="10852">
      <c r="A10852" s="1">
        <v>5.0</v>
      </c>
      <c r="B10852" s="1" t="s">
        <v>10759</v>
      </c>
      <c r="C10852" t="str">
        <f>IFERROR(__xludf.DUMMYFUNCTION("GOOGLETRANSLATE(B10852, ""es"", ""en"")"),"functional box is pretty strong, elegant, but above all very functional, for its purpose, and a product that has met my expectations. very good")</f>
        <v>functional box is pretty strong, elegant, but above all very functional, for its purpose, and a product that has met my expectations. very good</v>
      </c>
    </row>
    <row r="10853">
      <c r="A10853" s="1">
        <v>5.0</v>
      </c>
      <c r="B10853" s="1" t="s">
        <v>10760</v>
      </c>
      <c r="C10853" t="str">
        <f>IFERROR(__xludf.DUMMYFUNCTION("GOOGLETRANSLATE(B10853, ""es"", ""en"")"),"do work smoothly do work smoothly, stick well. nothing exceptional but not disappoint. for the price they are fantastic")</f>
        <v>do work smoothly do work smoothly, stick well. nothing exceptional but not disappoint. for the price they are fantastic</v>
      </c>
    </row>
    <row r="10854">
      <c r="A10854" s="1">
        <v>5.0</v>
      </c>
      <c r="B10854" s="1" t="s">
        <v>10761</v>
      </c>
      <c r="C10854" t="str">
        <f>IFERROR(__xludf.DUMMYFUNCTION("GOOGLETRANSLATE(B10854, ""es"", ""en"")"),"It is an ideal pants trousers Excellent")</f>
        <v>It is an ideal pants trousers Excellent</v>
      </c>
    </row>
    <row r="10855">
      <c r="A10855" s="1">
        <v>5.0</v>
      </c>
      <c r="B10855" s="1" t="s">
        <v>10762</v>
      </c>
      <c r="C10855" t="str">
        <f>IFERROR(__xludf.DUMMYFUNCTION("GOOGLETRANSLATE(B10855, ""es"", ""en"")"),"He has the soft spout. Very good. And it does have the soft spout. Others say yes and no !!!! This yes. Very happy. And our baby tb.")</f>
        <v>He has the soft spout. Very good. And it does have the soft spout. Others say yes and no !!!! This yes. Very happy. And our baby tb.</v>
      </c>
    </row>
    <row r="10856">
      <c r="A10856" s="1">
        <v>5.0</v>
      </c>
      <c r="B10856" s="1" t="s">
        <v>461</v>
      </c>
      <c r="C10856" t="str">
        <f>IFERROR(__xludf.DUMMYFUNCTION("GOOGLETRANSLATE(B10856, ""es"", ""en"")"),"excellent excellent")</f>
        <v>excellent excellent</v>
      </c>
    </row>
    <row r="10857">
      <c r="A10857" s="1">
        <v>5.0</v>
      </c>
      <c r="B10857" s="1" t="s">
        <v>10763</v>
      </c>
      <c r="C10857" t="str">
        <f>IFERROR(__xludf.DUMMYFUNCTION("GOOGLETRANSLATE(B10857, ""es"", ""en"")"),"Crown Princess My daughter love to dress him, but the crowns were a child and had always ended up being broken to plastic. So I thought about buying a better, to last him more in the long run. When he opened the package he stayed with his mouth open, it w"&amp;"as believed to be the crown of Elsa. It is metal and holds quite well to the hair. The crystals that bring much shine with light. The is like a jewel.")</f>
        <v>Crown Princess My daughter love to dress him, but the crowns were a child and had always ended up being broken to plastic. So I thought about buying a better, to last him more in the long run. When he opened the package he stayed with his mouth open, it was believed to be the crown of Elsa. It is metal and holds quite well to the hair. The crystals that bring much shine with light. The is like a jewel.</v>
      </c>
    </row>
    <row r="10858">
      <c r="A10858" s="1">
        <v>5.0</v>
      </c>
      <c r="B10858" s="1" t="s">
        <v>10764</v>
      </c>
      <c r="C10858" t="str">
        <f>IFERROR(__xludf.DUMMYFUNCTION("GOOGLETRANSLATE(B10858, ""es"", ""en"")"),"Comfortable to wear headphones in ear Bluetooth headset to take great walking or cycling to listen to music or receive calls. Synchronization is easy and fast. The sound is good and the quality of materials apparently well. In addition calls to hear your "&amp;"good also listen good to you, which is something that other failed me. It comes with a gomitas to better fit the ear if you are lazy. Loading listening to the highest level of quality is not very abundant (about 3 or 4 hours) but with the box that brings "&amp;"you can give several loads more, so it's good to take without having to plug them to load. Overall happy with the quality / price")</f>
        <v>Comfortable to wear headphones in ear Bluetooth headset to take great walking or cycling to listen to music or receive calls. Synchronization is easy and fast. The sound is good and the quality of materials apparently well. In addition calls to hear your good also listen good to you, which is something that other failed me. It comes with a gomitas to better fit the ear if you are lazy. Loading listening to the highest level of quality is not very abundant (about 3 or 4 hours) but with the box that brings you can give several loads more, so it's good to take without having to plug them to load. Overall happy with the quality / price</v>
      </c>
    </row>
    <row r="10859">
      <c r="A10859" s="1">
        <v>5.0</v>
      </c>
      <c r="B10859" s="1" t="s">
        <v>10765</v>
      </c>
      <c r="C10859" t="str">
        <f>IFERROR(__xludf.DUMMYFUNCTION("GOOGLETRANSLATE(B10859, ""es"", ""en"")"),"They fulfill perfectly economical and comfortable, sound pretty good and are very comfortable to wear and gripping works quite well and holds great battery long time without load, easy and intuitive keypad .... And maybe the price is quite economic.")</f>
        <v>They fulfill perfectly economical and comfortable, sound pretty good and are very comfortable to wear and gripping works quite well and holds great battery long time without load, easy and intuitive keypad .... And maybe the price is quite economic.</v>
      </c>
    </row>
    <row r="10860">
      <c r="A10860" s="1">
        <v>5.0</v>
      </c>
      <c r="B10860" s="1" t="s">
        <v>10766</v>
      </c>
      <c r="C10860" t="str">
        <f>IFERROR(__xludf.DUMMYFUNCTION("GOOGLETRANSLATE(B10860, ""es"", ""en"")"),"Neceser good quality product good price, recommended.")</f>
        <v>Neceser good quality product good price, recommended.</v>
      </c>
    </row>
    <row r="10861">
      <c r="A10861" s="1">
        <v>5.0</v>
      </c>
      <c r="B10861" s="1" t="s">
        <v>10767</v>
      </c>
      <c r="C10861" t="str">
        <f>IFERROR(__xludf.DUMMYFUNCTION("GOOGLETRANSLATE(B10861, ""es"", ""en"")"),"Execelente warm and price Excellent article, buy two very satisfied sound like the originals tried them, I am surprised at the quality. Highly recommended with good bass, and I arrived before the set time very good purchase had long been looking for a way"&amp;".")</f>
        <v>Execelente warm and price Excellent article, buy two very satisfied sound like the originals tried them, I am surprised at the quality. Highly recommended with good bass, and I arrived before the set time very good purchase had long been looking for a way.</v>
      </c>
    </row>
    <row r="10862">
      <c r="A10862" s="1">
        <v>5.0</v>
      </c>
      <c r="B10862" s="1" t="s">
        <v>10768</v>
      </c>
      <c r="C10862" t="str">
        <f>IFERROR(__xludf.DUMMYFUNCTION("GOOGLETRANSLATE(B10862, ""es"", ""en"")"),"Good and a good price Basic for sports. Dries quickly in summer and you put it directly, because the fabric does not wrinkle. I have several in different colors. No large size, rather the opposite")</f>
        <v>Good and a good price Basic for sports. Dries quickly in summer and you put it directly, because the fabric does not wrinkle. I have several in different colors. No large size, rather the opposite</v>
      </c>
    </row>
    <row r="10863">
      <c r="A10863" s="1">
        <v>5.0</v>
      </c>
      <c r="B10863" s="1" t="s">
        <v>10769</v>
      </c>
      <c r="C10863" t="str">
        <f>IFERROR(__xludf.DUMMYFUNCTION("GOOGLETRANSLATE(B10863, ""es"", ""en"")"),"Ideal for sports. Suitable for watches with music like Tomtom Runner Excellent sound quality at a very good price. For those of us fall earbuds it is great to be subject ears and weigh very little. Are matched perfectly with the watch-GPS Tomtom Music Run"&amp;"ner, as they have Bluetooth version 4.1, he had tried other with 4.0 and got no match them")</f>
        <v>Ideal for sports. Suitable for watches with music like Tomtom Runner Excellent sound quality at a very good price. For those of us fall earbuds it is great to be subject ears and weigh very little. Are matched perfectly with the watch-GPS Tomtom Music Runner, as they have Bluetooth version 4.1, he had tried other with 4.0 and got no match them</v>
      </c>
    </row>
    <row r="10864">
      <c r="A10864" s="1">
        <v>5.0</v>
      </c>
      <c r="B10864" s="1" t="s">
        <v>10770</v>
      </c>
      <c r="C10864" t="str">
        <f>IFERROR(__xludf.DUMMYFUNCTION("GOOGLETRANSLATE(B10864, ""es"", ""en"")"),"It's very nice I expected good fit quality / price. The color is very good and are tarps as the ad says.")</f>
        <v>It's very nice I expected good fit quality / price. The color is very good and are tarps as the ad says.</v>
      </c>
    </row>
    <row r="10865">
      <c r="A10865" s="1">
        <v>5.0</v>
      </c>
      <c r="B10865" s="1" t="s">
        <v>10771</v>
      </c>
      <c r="C10865" t="str">
        <f>IFERROR(__xludf.DUMMYFUNCTION("GOOGLETRANSLATE(B10865, ""es"", ""en"")"),"Preciosa good boot boot")</f>
        <v>Preciosa good boot boot</v>
      </c>
    </row>
    <row r="10866">
      <c r="A10866" s="1">
        <v>5.0</v>
      </c>
      <c r="B10866" s="1" t="s">
        <v>10772</v>
      </c>
      <c r="C10866" t="str">
        <f>IFERROR(__xludf.DUMMYFUNCTION("GOOGLETRANSLATE(B10866, ""es"", ""en"")"),"We liked good oil and aroma very pleasant. I recommend it. It remains for me to see how hard and see if it's worth for that price. Buy good time")</f>
        <v>We liked good oil and aroma very pleasant. I recommend it. It remains for me to see how hard and see if it's worth for that price. Buy good time</v>
      </c>
    </row>
    <row r="10867">
      <c r="A10867" s="1">
        <v>5.0</v>
      </c>
      <c r="B10867" s="1" t="s">
        <v>10773</v>
      </c>
      <c r="C10867" t="str">
        <f>IFERROR(__xludf.DUMMYFUNCTION("GOOGLETRANSLATE(B10867, ""es"", ""en"")"),"Excellent micro-SD card perfect performance, smooth and without any problems. Quality besides being one of the best brands (if not better) than SD cards. Great ability to not have to worry anymore of space on your mobile. Very good value, since the same c"&amp;"ard, much cheaper on Amazon than any other physical store. Fully recommended.")</f>
        <v>Excellent micro-SD card perfect performance, smooth and without any problems. Quality besides being one of the best brands (if not better) than SD cards. Great ability to not have to worry anymore of space on your mobile. Very good value, since the same card, much cheaper on Amazon than any other physical store. Fully recommended.</v>
      </c>
    </row>
    <row r="10868">
      <c r="A10868" s="1">
        <v>5.0</v>
      </c>
      <c r="B10868" s="1" t="s">
        <v>10774</v>
      </c>
      <c r="C10868" t="str">
        <f>IFERROR(__xludf.DUMMYFUNCTION("GOOGLETRANSLATE(B10868, ""es"", ""en"")"),"Super useful it is very fast and comes with meter for various amounts of water.")</f>
        <v>Super useful it is very fast and comes with meter for various amounts of water.</v>
      </c>
    </row>
    <row r="10869">
      <c r="A10869" s="1">
        <v>5.0</v>
      </c>
      <c r="B10869" s="1" t="s">
        <v>10775</v>
      </c>
      <c r="C10869" t="str">
        <f>IFERROR(__xludf.DUMMYFUNCTION("GOOGLETRANSLATE(B10869, ""es"", ""en"")"),"2 in 1 very top Very complete if Mr. besides headphones and battery brings the cradle to charge the headphones themselves also comes with a USB output port for charging mobile or tablet like a bank power it were very top that 2 1 and the sound quality ver"&amp;"y good to equal the autonomy of headphones in use by get one but I'd say the charging case is a bit tarugo but seeing that also serves as a power bank is logical otherwise everything very right I recommend")</f>
        <v>2 in 1 very top Very complete if Mr. besides headphones and battery brings the cradle to charge the headphones themselves also comes with a USB output port for charging mobile or tablet like a bank power it were very top that 2 1 and the sound quality very good to equal the autonomy of headphones in use by get one but I'd say the charging case is a bit tarugo but seeing that also serves as a power bank is logical otherwise everything very right I recommend</v>
      </c>
    </row>
    <row r="10870">
      <c r="A10870" s="1">
        <v>5.0</v>
      </c>
      <c r="B10870" s="1" t="s">
        <v>10776</v>
      </c>
      <c r="C10870" t="str">
        <f>IFERROR(__xludf.DUMMYFUNCTION("GOOGLETRANSLATE(B10870, ""es"", ""en"")"),"Good value for money Very happy with the pack, the tapes have a very soft touch and variety of colors is great. I have used them a lot this summer and now at home also do it. Like most puzzling it is knowhow turns on the tapes to do the turban effect in t"&amp;"he middle, but he gets the hang of it. Good value / price and shipping very well.")</f>
        <v>Good value for money Very happy with the pack, the tapes have a very soft touch and variety of colors is great. I have used them a lot this summer and now at home also do it. Like most puzzling it is knowhow turns on the tapes to do the turban effect in the middle, but he gets the hang of it. Good value / price and shipping very well.</v>
      </c>
    </row>
    <row r="10871">
      <c r="A10871" s="1">
        <v>2.0</v>
      </c>
      <c r="B10871" s="1" t="s">
        <v>10777</v>
      </c>
      <c r="C10871" t="str">
        <f>IFERROR(__xludf.DUMMYFUNCTION("GOOGLETRANSLATE(B10871, ""es"", ""en"")"),"The pasapurés leaves lumps I specifically bought because it takes pureeing accessory. Not because of the comminuted all the lumps out through the holes in the accessory so I finish grinding with the basic accessory, I'll take that gave the old one.")</f>
        <v>The pasapurés leaves lumps I specifically bought because it takes pureeing accessory. Not because of the comminuted all the lumps out through the holes in the accessory so I finish grinding with the basic accessory, I'll take that gave the old one.</v>
      </c>
    </row>
    <row r="10872">
      <c r="A10872" s="1">
        <v>3.0</v>
      </c>
      <c r="B10872" s="1" t="s">
        <v>10778</v>
      </c>
      <c r="C10872" t="str">
        <f>IFERROR(__xludf.DUMMYFUNCTION("GOOGLETRANSLATE(B10872, ""es"", ""en"")"),"Warms right little, but quality right price")</f>
        <v>Warms right little, but quality right price</v>
      </c>
    </row>
    <row r="10873">
      <c r="A10873" s="1">
        <v>3.0</v>
      </c>
      <c r="B10873" s="1" t="s">
        <v>10779</v>
      </c>
      <c r="C10873" t="str">
        <f>IFERROR(__xludf.DUMMYFUNCTION("GOOGLETRANSLATE(B10873, ""es"", ""en"")"),"The sole very resistant soles are not giving the expected result.")</f>
        <v>The sole very resistant soles are not giving the expected result.</v>
      </c>
    </row>
    <row r="10874">
      <c r="A10874" s="1">
        <v>1.0</v>
      </c>
      <c r="B10874" s="1" t="s">
        <v>10780</v>
      </c>
      <c r="C10874" t="str">
        <f>IFERROR(__xludf.DUMMYFUNCTION("GOOGLETRANSLATE(B10874, ""es"", ""en"")"),"It breaks 10 minutes and already losing balls. I do not believe k can be heated. very poor finish. I do not recommend anything")</f>
        <v>It breaks 10 minutes and already losing balls. I do not believe k can be heated. very poor finish. I do not recommend anything</v>
      </c>
    </row>
    <row r="10875">
      <c r="A10875" s="1">
        <v>1.0</v>
      </c>
      <c r="B10875" s="1" t="s">
        <v>10781</v>
      </c>
      <c r="C10875" t="str">
        <f>IFERROR(__xludf.DUMMYFUNCTION("GOOGLETRANSLATE(B10875, ""es"", ""en"")"),"They are not stainless steel. What a scam worst I've ever bought. Although the price that you will ask. They are not stainless steel. Why they are peeled. I do not recommend at all. A purchase in vain.")</f>
        <v>They are not stainless steel. What a scam worst I've ever bought. Although the price that you will ask. They are not stainless steel. Why they are peeled. I do not recommend at all. A purchase in vain.</v>
      </c>
    </row>
    <row r="10876">
      <c r="A10876" s="1">
        <v>4.0</v>
      </c>
      <c r="B10876" s="1" t="s">
        <v>10782</v>
      </c>
      <c r="C10876" t="str">
        <f>IFERROR(__xludf.DUMMYFUNCTION("GOOGLETRANSLATE(B10876, ""es"", ""en"")"),"Value are fine My daughter is thrilled, it has a long cable that runs very well and the sound quality for the price is fine")</f>
        <v>Value are fine My daughter is thrilled, it has a long cable that runs very well and the sound quality for the price is fine</v>
      </c>
    </row>
    <row r="10877">
      <c r="A10877" s="1">
        <v>4.0</v>
      </c>
      <c r="B10877" s="1" t="s">
        <v>10783</v>
      </c>
      <c r="C10877" t="str">
        <f>IFERROR(__xludf.DUMMYFUNCTION("GOOGLETRANSLATE(B10877, ""es"", ""en"")"),"Very happy, but does not have much power I'm very happy with this product, although I have not tried to chop ice. To make smoothies is great, but if you want pureeing or grinding, you add liquid to do its function falls short. Of course the price is a bar"&amp;"gain, to make smoothies add milk and juices a little water and ready. It's super easy to use and clean. Wine in perfect condition and still in perfect condition. I hope you be my review helpful.")</f>
        <v>Very happy, but does not have much power I'm very happy with this product, although I have not tried to chop ice. To make smoothies is great, but if you want pureeing or grinding, you add liquid to do its function falls short. Of course the price is a bargain, to make smoothies add milk and juices a little water and ready. It's super easy to use and clean. Wine in perfect condition and still in perfect condition. I hope you be my review helpful.</v>
      </c>
    </row>
    <row r="10878">
      <c r="A10878" s="1">
        <v>4.0</v>
      </c>
      <c r="B10878" s="1" t="s">
        <v>10784</v>
      </c>
      <c r="C10878" t="str">
        <f>IFERROR(__xludf.DUMMYFUNCTION("GOOGLETRANSLATE(B10878, ""es"", ""en"")"),"If you want a good watch Casio Solar radio controlled. It's a watch for people who like water sports. It indicates tides and phases of the moon. A radius being controlled, the initial setup is very easy (in my case came with the correct time). Now, in my "&amp;"area it does not reach either atomic and signal sometimes fails. Moreover, it is solar, and battery never lowered the maximum load time I used it. The housing screws are resistant and do not rotate or are slack. Now live looks uglier than the picture. The"&amp;" display looks good, but it is not clear, looks a bit gray. I understand it is by the LCD display itself. Casio watches have other low temperature LCD display and are clearer. That and because I did not reach either the atomic signal descambié it.")</f>
        <v>If you want a good watch Casio Solar radio controlled. It's a watch for people who like water sports. It indicates tides and phases of the moon. A radius being controlled, the initial setup is very easy (in my case came with the correct time). Now, in my area it does not reach either atomic and signal sometimes fails. Moreover, it is solar, and battery never lowered the maximum load time I used it. The housing screws are resistant and do not rotate or are slack. Now live looks uglier than the picture. The display looks good, but it is not clear, looks a bit gray. I understand it is by the LCD display itself. Casio watches have other low temperature LCD display and are clearer. That and because I did not reach either the atomic signal descambié it.</v>
      </c>
    </row>
    <row r="10879">
      <c r="A10879" s="1">
        <v>4.0</v>
      </c>
      <c r="B10879" s="1" t="s">
        <v>10785</v>
      </c>
      <c r="C10879" t="str">
        <f>IFERROR(__xludf.DUMMYFUNCTION("GOOGLETRANSLATE(B10879, ""es"", ""en"")"),"Face Most of us know that this brand is synonymous with quality and has been with this film, however I have to say that I bought another cheaper, in a completely unknown brand here at Amazon, with the same result and is what I followed buying. I recognize"&amp;" that only give domestic use, perhaps at other levels, if the difference is noticeable.")</f>
        <v>Face Most of us know that this brand is synonymous with quality and has been with this film, however I have to say that I bought another cheaper, in a completely unknown brand here at Amazon, with the same result and is what I followed buying. I recognize that only give domestic use, perhaps at other levels, if the difference is noticeable.</v>
      </c>
    </row>
    <row r="10880">
      <c r="A10880" s="1">
        <v>4.0</v>
      </c>
      <c r="B10880" s="1" t="s">
        <v>10786</v>
      </c>
      <c r="C10880" t="str">
        <f>IFERROR(__xludf.DUMMYFUNCTION("GOOGLETRANSLATE(B10880, ""es"", ""en"")"),"Gift sweatshirt")</f>
        <v>Gift sweatshirt</v>
      </c>
    </row>
    <row r="10881">
      <c r="A10881" s="1">
        <v>5.0</v>
      </c>
      <c r="B10881" s="1" t="s">
        <v>10787</v>
      </c>
      <c r="C10881" t="str">
        <f>IFERROR(__xludf.DUMMYFUNCTION("GOOGLETRANSLATE(B10881, ""es"", ""en"")"),"good quality product is of good quality, the packaging lid makes it easy to use.")</f>
        <v>good quality product is of good quality, the packaging lid makes it easy to use.</v>
      </c>
    </row>
    <row r="10882">
      <c r="A10882" s="1">
        <v>5.0</v>
      </c>
      <c r="B10882" s="1" t="s">
        <v>10788</v>
      </c>
      <c r="C10882" t="str">
        <f>IFERROR(__xludf.DUMMYFUNCTION("GOOGLETRANSLATE(B10882, ""es"", ""en"")"),"Highly recommended A baby loves. The products of this brand are a success!")</f>
        <v>Highly recommended A baby loves. The products of this brand are a success!</v>
      </c>
    </row>
    <row r="10883">
      <c r="A10883" s="1">
        <v>5.0</v>
      </c>
      <c r="B10883" s="1" t="s">
        <v>10789</v>
      </c>
      <c r="C10883" t="str">
        <f>IFERROR(__xludf.DUMMYFUNCTION("GOOGLETRANSLATE(B10883, ""es"", ""en"")"),"Value is adjusted to the price, you have to have a good tempted to make the recess to brico mode. I lowered 7 gates diagonally over 1cm and gradually perfect. perfect finish")</f>
        <v>Value is adjusted to the price, you have to have a good tempted to make the recess to brico mode. I lowered 7 gates diagonally over 1cm and gradually perfect. perfect finish</v>
      </c>
    </row>
    <row r="10884">
      <c r="A10884" s="1">
        <v>5.0</v>
      </c>
      <c r="B10884" s="1" t="s">
        <v>10790</v>
      </c>
      <c r="C10884" t="str">
        <f>IFERROR(__xludf.DUMMYFUNCTION("GOOGLETRANSLATE(B10884, ""es"", ""en"")"),"I love comfortable, very comfortable, although it will perish, but comes fully profitable.")</f>
        <v>I love comfortable, very comfortable, although it will perish, but comes fully profitable.</v>
      </c>
    </row>
    <row r="10885">
      <c r="A10885" s="1">
        <v>5.0</v>
      </c>
      <c r="B10885" s="1" t="s">
        <v>10791</v>
      </c>
      <c r="C10885" t="str">
        <f>IFERROR(__xludf.DUMMYFUNCTION("GOOGLETRANSLATE(B10885, ""es"", ""en"")"),"PERFECT FOR USE IN MOBILE Purchased for use on a mobile phone, after several days of use, as expected in this brand, the behavior of the card is perfect. Transferring large files is very fast both from your mobile phone or through the USB connected to a P"&amp;"C. For someone who does not need much storage space is perfect has enough space to store videos, photos and application data and applications without hurry own walk. If used to store very large movies or recommend larger files, but for average use is suff"&amp;"icient and performance highly recommended")</f>
        <v>PERFECT FOR USE IN MOBILE Purchased for use on a mobile phone, after several days of use, as expected in this brand, the behavior of the card is perfect. Transferring large files is very fast both from your mobile phone or through the USB connected to a PC. For someone who does not need much storage space is perfect has enough space to store videos, photos and application data and applications without hurry own walk. If used to store very large movies or recommend larger files, but for average use is sufficient and performance highly recommended</v>
      </c>
    </row>
    <row r="10886">
      <c r="A10886" s="1">
        <v>5.0</v>
      </c>
      <c r="B10886" s="1" t="s">
        <v>10792</v>
      </c>
      <c r="C10886" t="str">
        <f>IFERROR(__xludf.DUMMYFUNCTION("GOOGLETRANSLATE(B10886, ""es"", ""en"")"),"Ok We use it for laundry, we work well")</f>
        <v>Ok We use it for laundry, we work well</v>
      </c>
    </row>
    <row r="10887">
      <c r="A10887" s="1">
        <v>5.0</v>
      </c>
      <c r="B10887" s="1" t="s">
        <v>10793</v>
      </c>
      <c r="C10887" t="str">
        <f>IFERROR(__xludf.DUMMYFUNCTION("GOOGLETRANSLATE(B10887, ""es"", ""en"")"),"Happy with purchase happy with the purchase. It takes very little and I left it in the mailbox, very comfortable")</f>
        <v>Happy with purchase happy with the purchase. It takes very little and I left it in the mailbox, very comfortable</v>
      </c>
    </row>
    <row r="10888">
      <c r="A10888" s="1">
        <v>5.0</v>
      </c>
      <c r="B10888" s="1" t="s">
        <v>10794</v>
      </c>
      <c r="C10888" t="str">
        <f>IFERROR(__xludf.DUMMYFUNCTION("GOOGLETRANSLATE(B10888, ""es"", ""en"")"),"perfect ideal for school")</f>
        <v>perfect ideal for school</v>
      </c>
    </row>
    <row r="10889">
      <c r="A10889" s="1">
        <v>5.0</v>
      </c>
      <c r="B10889" s="1" t="s">
        <v>10795</v>
      </c>
      <c r="C10889" t="str">
        <f>IFERROR(__xludf.DUMMYFUNCTION("GOOGLETRANSLATE(B10889, ""es"", ""en"")"),"As always quick look great and are very comfortable and had a burgundy and repeat x q I like the model ..")</f>
        <v>As always quick look great and are very comfortable and had a burgundy and repeat x q I like the model ..</v>
      </c>
    </row>
    <row r="10890">
      <c r="A10890" s="1">
        <v>5.0</v>
      </c>
      <c r="B10890" s="1" t="s">
        <v>10796</v>
      </c>
      <c r="C10890" t="str">
        <f>IFERROR(__xludf.DUMMYFUNCTION("GOOGLETRANSLATE(B10890, ""es"", ""en"")"),"A small but with plenty of space monster with Encantado, 4TB for € 100? Physical stores worth € 130-150 xD. As always Amazon goes one step further. To say, it's plug &amp; amp; play, plug it in and to enjoy. The only downside if you can say downside was that "&amp;"I tried to use my cell phone as my hard drive from another brand and this I did not recognize Android :( If any vendor or user can tell me if possible use on Android devices or not otherwise would appreciate recommended 100000000%;)")</f>
        <v>A small but with plenty of space monster with Encantado, 4TB for € 100? Physical stores worth € 130-150 xD. As always Amazon goes one step further. To say, it's plug &amp; amp; play, plug it in and to enjoy. The only downside if you can say downside was that I tried to use my cell phone as my hard drive from another brand and this I did not recognize Android :( If any vendor or user can tell me if possible use on Android devices or not otherwise would appreciate recommended 100000000%;)</v>
      </c>
    </row>
    <row r="10891">
      <c r="A10891" s="1">
        <v>5.0</v>
      </c>
      <c r="B10891" s="1" t="s">
        <v>10797</v>
      </c>
      <c r="C10891" t="str">
        <f>IFERROR(__xludf.DUMMYFUNCTION("GOOGLETRANSLATE(B10891, ""es"", ""en"")"),"Comfy Product very comfortable, just what I needed. Pants to be comfortable home everyday.")</f>
        <v>Comfy Product very comfortable, just what I needed. Pants to be comfortable home everyday.</v>
      </c>
    </row>
    <row r="10892">
      <c r="A10892" s="1">
        <v>5.0</v>
      </c>
      <c r="B10892" s="1" t="s">
        <v>10798</v>
      </c>
      <c r="C10892" t="str">
        <f>IFERROR(__xludf.DUMMYFUNCTION("GOOGLETRANSLATE(B10892, ""es"", ""en"")"),"What is sought are transparent and of suitable thickness")</f>
        <v>What is sought are transparent and of suitable thickness</v>
      </c>
    </row>
    <row r="10893">
      <c r="A10893" s="1">
        <v>5.0</v>
      </c>
      <c r="B10893" s="1" t="s">
        <v>10799</v>
      </c>
      <c r="C10893" t="str">
        <f>IFERROR(__xludf.DUMMYFUNCTION("GOOGLETRANSLATE(B10893, ""es"", ""en"")"),"Super I like so much it was not the first time I acquired but this time a formidable price, since another purchase pay 50 euros for two unidades.Son small but good is that they are metal and its shape is practiced.")</f>
        <v>Super I like so much it was not the first time I acquired but this time a formidable price, since another purchase pay 50 euros for two unidades.Son small but good is that they are metal and its shape is practiced.</v>
      </c>
    </row>
    <row r="10894">
      <c r="A10894" s="1">
        <v>5.0</v>
      </c>
      <c r="B10894" s="1" t="s">
        <v>10800</v>
      </c>
      <c r="C10894" t="str">
        <f>IFERROR(__xludf.DUMMYFUNCTION("GOOGLETRANSLATE(B10894, ""es"", ""en"")"),"Pleased with the product 100% Recommended")</f>
        <v>Pleased with the product 100% Recommended</v>
      </c>
    </row>
    <row r="10895">
      <c r="A10895" s="1">
        <v>5.0</v>
      </c>
      <c r="B10895" s="1" t="s">
        <v>10801</v>
      </c>
      <c r="C10895" t="str">
        <f>IFERROR(__xludf.DUMMYFUNCTION("GOOGLETRANSLATE(B10895, ""es"", ""en"")"),"Blender is what is expected to be.")</f>
        <v>Blender is what is expected to be.</v>
      </c>
    </row>
    <row r="10896">
      <c r="A10896" s="1">
        <v>5.0</v>
      </c>
      <c r="B10896" s="1" t="s">
        <v>10802</v>
      </c>
      <c r="C10896" t="str">
        <f>IFERROR(__xludf.DUMMYFUNCTION("GOOGLETRANSLATE(B10896, ""es"", ""en"")"),"A brightness very cool in the voice. Micro excellent quality / price. Collects the voice of a very professional manner and with a beautiful shine. The acapellas for my songs are great. Before I had a Behringer C1 and has been a brutal jump. I recommend it"&amp;"! : D")</f>
        <v>A brightness very cool in the voice. Micro excellent quality / price. Collects the voice of a very professional manner and with a beautiful shine. The acapellas for my songs are great. Before I had a Behringer C1 and has been a brutal jump. I recommend it! : D</v>
      </c>
    </row>
    <row r="10897">
      <c r="A10897" s="1">
        <v>5.0</v>
      </c>
      <c r="B10897" s="1" t="s">
        <v>10803</v>
      </c>
      <c r="C10897" t="str">
        <f>IFERROR(__xludf.DUMMYFUNCTION("GOOGLETRANSLATE(B10897, ""es"", ""en"")"),"Very good, as always. Crocs quality. Are more closed than the classics, to the lack of side holes, but that also makes isolate over sand, water ... Besides being something heavier. Otherwise, great as usual, I have summer and winter and is my main footwea"&amp;"r.")</f>
        <v>Very good, as always. Crocs quality. Are more closed than the classics, to the lack of side holes, but that also makes isolate over sand, water ... Besides being something heavier. Otherwise, great as usual, I have summer and winter and is my main footwear.</v>
      </c>
    </row>
    <row r="10898">
      <c r="A10898" s="1">
        <v>5.0</v>
      </c>
      <c r="B10898" s="1" t="s">
        <v>10804</v>
      </c>
      <c r="C10898" t="str">
        <f>IFERROR(__xludf.DUMMYFUNCTION("GOOGLETRANSLATE(B10898, ""es"", ""en"")"),"FiveFingers Perfect !! Size and everything. At the beginning I hurt little fingers but the end have finished getting used")</f>
        <v>FiveFingers Perfect !! Size and everything. At the beginning I hurt little fingers but the end have finished getting used</v>
      </c>
    </row>
    <row r="10899">
      <c r="A10899" s="1">
        <v>2.0</v>
      </c>
      <c r="B10899" s="1" t="s">
        <v>10805</v>
      </c>
      <c r="C10899" t="str">
        <f>IFERROR(__xludf.DUMMYFUNCTION("GOOGLETRANSLATE(B10899, ""es"", ""en"")"),"after a few months of use they have shrunk I am a person who wash clothes carefully and with a temperature usually 20 or 30 ° C and the case is that I have a few weeks I feel that bother me underpants because I apretan, and liken with other calzocillos th"&amp;"at fit me like these I they were at the beginning and have seen that they have become smaller. Greetings.")</f>
        <v>after a few months of use they have shrunk I am a person who wash clothes carefully and with a temperature usually 20 or 30 ° C and the case is that I have a few weeks I feel that bother me underpants because I apretan, and liken with other calzocillos that fit me like these I they were at the beginning and have seen that they have become smaller. Greetings.</v>
      </c>
    </row>
    <row r="10900">
      <c r="A10900" s="1">
        <v>3.0</v>
      </c>
      <c r="B10900" s="1" t="s">
        <v>10806</v>
      </c>
      <c r="C10900" t="str">
        <f>IFERROR(__xludf.DUMMYFUNCTION("GOOGLETRANSLATE(B10900, ""es"", ""en"")"),"Practical and comfortable good fabric but small size")</f>
        <v>Practical and comfortable good fabric but small size</v>
      </c>
    </row>
    <row r="10901">
      <c r="A10901" s="1">
        <v>3.0</v>
      </c>
      <c r="B10901" s="1" t="s">
        <v>10807</v>
      </c>
      <c r="C10901" t="str">
        <f>IFERROR(__xludf.DUMMYFUNCTION("GOOGLETRANSLATE(B10901, ""es"", ""en"")"),"Useful would be a perfect watch if they had made the plastic case that is scratched very easily. There should be a version with stainless steel albeit at a higher price. The strap that comes by default is huge and you have to take two links, and it's not "&amp;"easy. Otherwise totally recommended a watch with great features and beautiful aesthetics.")</f>
        <v>Useful would be a perfect watch if they had made the plastic case that is scratched very easily. There should be a version with stainless steel albeit at a higher price. The strap that comes by default is huge and you have to take two links, and it's not easy. Otherwise totally recommended a watch with great features and beautiful aesthetics.</v>
      </c>
    </row>
    <row r="10902">
      <c r="A10902" s="1">
        <v>1.0</v>
      </c>
      <c r="B10902" s="1" t="s">
        <v>10808</v>
      </c>
      <c r="C10902" t="str">
        <f>IFERROR(__xludf.DUMMYFUNCTION("GOOGLETRANSLATE(B10902, ""es"", ""en"")"),"There is an isothermal case. There is an embellisher is a cover to keep the heat or cold. There is more than a cloth cover that makes the cutest baby bottle and even fits well. Pull the box, but would return")</f>
        <v>There is an isothermal case. There is an embellisher is a cover to keep the heat or cold. There is more than a cloth cover that makes the cutest baby bottle and even fits well. Pull the box, but would return</v>
      </c>
    </row>
    <row r="10903">
      <c r="A10903" s="1">
        <v>1.0</v>
      </c>
      <c r="B10903" s="1" t="s">
        <v>10809</v>
      </c>
      <c r="C10903" t="str">
        <f>IFERROR(__xludf.DUMMYFUNCTION("GOOGLETRANSLATE(B10903, ""es"", ""en"")"),"No money lost useless. It does not stick or a smooth and completely clean wall. Lost money")</f>
        <v>No money lost useless. It does not stick or a smooth and completely clean wall. Lost money</v>
      </c>
    </row>
    <row r="10904">
      <c r="A10904" s="1">
        <v>4.0</v>
      </c>
      <c r="B10904" s="1" t="s">
        <v>10810</v>
      </c>
      <c r="C10904" t="str">
        <f>IFERROR(__xludf.DUMMYFUNCTION("GOOGLETRANSLATE(B10904, ""es"", ""en"")"),"blue jacket, very cool Very nice")</f>
        <v>blue jacket, very cool Very nice</v>
      </c>
    </row>
    <row r="10905">
      <c r="A10905" s="1">
        <v>4.0</v>
      </c>
      <c r="B10905" s="1" t="s">
        <v>10811</v>
      </c>
      <c r="C10905" t="str">
        <f>IFERROR(__xludf.DUMMYFUNCTION("GOOGLETRANSLATE(B10905, ""es"", ""en"")"),"/ Value good price 8'99 € x 12 earrings 6 sizes, I have purchased planes x behind xk my 6 year old girl complains of normal sleeping was nailed and they fulfill their function does not bother anything, poser is that the two are very large and two small ar"&amp;"e very small, I used two of the medium, it would be nice to choose size and k others will be left unused, I'm allergic to all kinds of earrings and I've tried these and do not hurt x what I recommend for quality of material.")</f>
        <v>/ Value good price 8'99 € x 12 earrings 6 sizes, I have purchased planes x behind xk my 6 year old girl complains of normal sleeping was nailed and they fulfill their function does not bother anything, poser is that the two are very large and two small are very small, I used two of the medium, it would be nice to choose size and k others will be left unused, I'm allergic to all kinds of earrings and I've tried these and do not hurt x what I recommend for quality of material.</v>
      </c>
    </row>
    <row r="10906">
      <c r="A10906" s="1">
        <v>4.0</v>
      </c>
      <c r="B10906" s="1" t="s">
        <v>7168</v>
      </c>
      <c r="C10906" t="str">
        <f>IFERROR(__xludf.DUMMYFUNCTION("GOOGLETRANSLATE(B10906, ""es"", ""en"")"),"Good quality Very good")</f>
        <v>Good quality Very good</v>
      </c>
    </row>
    <row r="10907">
      <c r="A10907" s="1">
        <v>4.0</v>
      </c>
      <c r="B10907" s="1" t="s">
        <v>10812</v>
      </c>
      <c r="C10907" t="str">
        <f>IFERROR(__xludf.DUMMYFUNCTION("GOOGLETRANSLATE(B10907, ""es"", ""en"")"),"Rakel I've bought to prevent lice in my children. ..and now funciona..Muy happy. Though., Be careful not be smelling very strong.")</f>
        <v>Rakel I've bought to prevent lice in my children. ..and now funciona..Muy happy. Though., Be careful not be smelling very strong.</v>
      </c>
    </row>
    <row r="10908">
      <c r="A10908" s="1">
        <v>5.0</v>
      </c>
      <c r="B10908" s="1" t="s">
        <v>10813</v>
      </c>
      <c r="C10908" t="str">
        <f>IFERROR(__xludf.DUMMYFUNCTION("GOOGLETRANSLATE(B10908, ""es"", ""en"")"),"Ward Hi Suede The Vans received the agreed day. The size and color fit the description.")</f>
        <v>Ward Hi Suede The Vans received the agreed day. The size and color fit the description.</v>
      </c>
    </row>
    <row r="10909">
      <c r="A10909" s="1">
        <v>5.0</v>
      </c>
      <c r="B10909" s="1" t="s">
        <v>10814</v>
      </c>
      <c r="C10909" t="str">
        <f>IFERROR(__xludf.DUMMYFUNCTION("GOOGLETRANSLATE(B10909, ""es"", ""en"")"),"Beautiful. Is very pretty. It is of high quality. Does not disappoint at all. I will repeat with another model.")</f>
        <v>Beautiful. Is very pretty. It is of high quality. Does not disappoint at all. I will repeat with another model.</v>
      </c>
    </row>
    <row r="10910">
      <c r="A10910" s="1">
        <v>5.0</v>
      </c>
      <c r="B10910" s="1" t="s">
        <v>10815</v>
      </c>
      <c r="C10910" t="str">
        <f>IFERROR(__xludf.DUMMYFUNCTION("GOOGLETRANSLATE(B10910, ""es"", ""en"")"),"Humidifier is as shown in the picture, I recommend,")</f>
        <v>Humidifier is as shown in the picture, I recommend,</v>
      </c>
    </row>
    <row r="10911">
      <c r="A10911" s="1">
        <v>5.0</v>
      </c>
      <c r="B10911" s="1" t="s">
        <v>10816</v>
      </c>
      <c r="C10911" t="str">
        <f>IFERROR(__xludf.DUMMYFUNCTION("GOOGLETRANSLATE(B10911, ""es"", ""en"")"),"Good quality sound good !!")</f>
        <v>Good quality sound good !!</v>
      </c>
    </row>
    <row r="10912">
      <c r="A10912" s="1">
        <v>5.0</v>
      </c>
      <c r="B10912" s="1" t="s">
        <v>10817</v>
      </c>
      <c r="C10912" t="str">
        <f>IFERROR(__xludf.DUMMYFUNCTION("GOOGLETRANSLATE(B10912, ""es"", ""en"")"),"Comfortable for sport I have bought my brother. I was about another brand but decided to try these. It was a success! Are comfortable for sports, they are easily recharged (in its case) and also sound great. I totally recommend it! It comes with different"&amp;" pads so it fits all.")</f>
        <v>Comfortable for sport I have bought my brother. I was about another brand but decided to try these. It was a success! Are comfortable for sports, they are easily recharged (in its case) and also sound great. I totally recommend it! It comes with different pads so it fits all.</v>
      </c>
    </row>
    <row r="10913">
      <c r="A10913" s="1">
        <v>5.0</v>
      </c>
      <c r="B10913" s="1" t="s">
        <v>10818</v>
      </c>
      <c r="C10913" t="str">
        <f>IFERROR(__xludf.DUMMYFUNCTION("GOOGLETRANSLATE(B10913, ""es"", ""en"")"),"Original perfect and perfect. More than 20 years wearing them, undeniable quality. It comes with all the extras, the cloth bag and a small bag with spare laces, cream to give luster and a small sponge.")</f>
        <v>Original perfect and perfect. More than 20 years wearing them, undeniable quality. It comes with all the extras, the cloth bag and a small bag with spare laces, cream to give luster and a small sponge.</v>
      </c>
    </row>
    <row r="10914">
      <c r="A10914" s="1">
        <v>5.0</v>
      </c>
      <c r="B10914" s="1" t="s">
        <v>10819</v>
      </c>
      <c r="C10914" t="str">
        <f>IFERROR(__xludf.DUMMYFUNCTION("GOOGLETRANSLATE(B10914, ""es"", ""en"")"),"A cute I love Aesthetically, it sounds good and is easy to connect. Cable brings to load and spare parts. I've tried to be at home and are comfortable. I have to try to go jogging.")</f>
        <v>A cute I love Aesthetically, it sounds good and is easy to connect. Cable brings to load and spare parts. I've tried to be at home and are comfortable. I have to try to go jogging.</v>
      </c>
    </row>
    <row r="10915">
      <c r="A10915" s="1">
        <v>5.0</v>
      </c>
      <c r="B10915" s="1" t="s">
        <v>10820</v>
      </c>
      <c r="C10915" t="str">
        <f>IFERROR(__xludf.DUMMYFUNCTION("GOOGLETRANSLATE(B10915, ""es"", ""en"")"),"Nice and comfortable'm very happy, they are cute and very comfortable")</f>
        <v>Nice and comfortable'm very happy, they are cute and very comfortable</v>
      </c>
    </row>
    <row r="10916">
      <c r="A10916" s="1">
        <v>5.0</v>
      </c>
      <c r="B10916" s="1" t="s">
        <v>10821</v>
      </c>
      <c r="C10916" t="str">
        <f>IFERROR(__xludf.DUMMYFUNCTION("GOOGLETRANSLATE(B10916, ""es"", ""en"")"),"QUALITY / PRICE OF 10 ha always been a cheap brand, but getting better built and more quality connections and materials. I think money unbeatable.")</f>
        <v>QUALITY / PRICE OF 10 ha always been a cheap brand, but getting better built and more quality connections and materials. I think money unbeatable.</v>
      </c>
    </row>
    <row r="10917">
      <c r="A10917" s="1">
        <v>5.0</v>
      </c>
      <c r="B10917" s="1" t="s">
        <v>10822</v>
      </c>
      <c r="C10917" t="str">
        <f>IFERROR(__xludf.DUMMYFUNCTION("GOOGLETRANSLATE(B10917, ""es"", ""en"")"),"wireless headphones with good works I bought gift to my husband, and I wanted a good quality and good sound without spending much. Takes a few days using it and goes well, the sound quality is optimal without distortion, nor is disconnected or disengaged "&amp;"to bluetooth. The design is very elegant, bringing the loader cover is made as was leather, anchored well without problems. Side sensors are going well for volume up and down and pause and to play. Good product and a good price.")</f>
        <v>wireless headphones with good works I bought gift to my husband, and I wanted a good quality and good sound without spending much. Takes a few days using it and goes well, the sound quality is optimal without distortion, nor is disconnected or disengaged to bluetooth. The design is very elegant, bringing the loader cover is made as was leather, anchored well without problems. Side sensors are going well for volume up and down and pause and to play. Good product and a good price.</v>
      </c>
    </row>
    <row r="10918">
      <c r="A10918" s="1">
        <v>5.0</v>
      </c>
      <c r="B10918" s="1" t="s">
        <v>10823</v>
      </c>
      <c r="C10918" t="str">
        <f>IFERROR(__xludf.DUMMYFUNCTION("GOOGLETRANSLATE(B10918, ""es"", ""en"")"),"Excellent !! Excellent!! Comodisimos, the battery lasts a lot and especially not fall at any moment, the best buy, as always Apple and Amazon 10!")</f>
        <v>Excellent !! Excellent!! Comodisimos, the battery lasts a lot and especially not fall at any moment, the best buy, as always Apple and Amazon 10!</v>
      </c>
    </row>
    <row r="10919">
      <c r="A10919" s="1">
        <v>5.0</v>
      </c>
      <c r="B10919" s="1" t="s">
        <v>10824</v>
      </c>
      <c r="C10919" t="str">
        <f>IFERROR(__xludf.DUMMYFUNCTION("GOOGLETRANSLATE(B10919, ""es"", ""en"")"),"Is the fourth buy One of the problems with some cards is that they corrupt and can send all winds take a job, as I have not had time to make a back up. As ever it happened to me (to other cards) I will not risk and fixed shooting this. Value for money.")</f>
        <v>Is the fourth buy One of the problems with some cards is that they corrupt and can send all winds take a job, as I have not had time to make a back up. As ever it happened to me (to other cards) I will not risk and fixed shooting this. Value for money.</v>
      </c>
    </row>
    <row r="10920">
      <c r="A10920" s="1">
        <v>5.0</v>
      </c>
      <c r="B10920" s="1" t="s">
        <v>10825</v>
      </c>
      <c r="C10920" t="str">
        <f>IFERROR(__xludf.DUMMYFUNCTION("GOOGLETRANSLATE(B10920, ""es"", ""en"")"),"boiler water is great, easy to use, when boiling a blue light comes on. It has a good tamñao and is very easy to clean")</f>
        <v>boiler water is great, easy to use, when boiling a blue light comes on. It has a good tamñao and is very easy to clean</v>
      </c>
    </row>
    <row r="10921">
      <c r="A10921" s="1">
        <v>5.0</v>
      </c>
      <c r="B10921" s="1" t="s">
        <v>10826</v>
      </c>
      <c r="C10921" t="str">
        <f>IFERROR(__xludf.DUMMYFUNCTION("GOOGLETRANSLATE(B10921, ""es"", ""en"")"),"Perfect gift right size, very well enbalado. The box very presentable.")</f>
        <v>Perfect gift right size, very well enbalado. The box very presentable.</v>
      </c>
    </row>
    <row r="10922">
      <c r="A10922" s="1">
        <v>5.0</v>
      </c>
      <c r="B10922" s="1" t="s">
        <v>10827</v>
      </c>
      <c r="C10922" t="str">
        <f>IFERROR(__xludf.DUMMYFUNCTION("GOOGLETRANSLATE(B10922, ""es"", ""en"")"),"Price / quality very good and fast")</f>
        <v>Price / quality very good and fast</v>
      </c>
    </row>
    <row r="10923">
      <c r="A10923" s="1">
        <v>5.0</v>
      </c>
      <c r="B10923" s="1" t="s">
        <v>10828</v>
      </c>
      <c r="C10923" t="str">
        <f>IFERROR(__xludf.DUMMYFUNCTION("GOOGLETRANSLATE(B10923, ""es"", ""en"")"),"Nice and Easy to use quality and power")</f>
        <v>Nice and Easy to use quality and power</v>
      </c>
    </row>
    <row r="10924">
      <c r="A10924" s="1">
        <v>5.0</v>
      </c>
      <c r="B10924" s="1" t="s">
        <v>10829</v>
      </c>
      <c r="C10924" t="str">
        <f>IFERROR(__xludf.DUMMYFUNCTION("GOOGLETRANSLATE(B10924, ""es"", ""en"")"),"I enjoyed great I bought several times this article, I use for a canon 6d and a7 sony mk2, and I think money is top, not the video is short and has good buffer for photos.")</f>
        <v>I enjoyed great I bought several times this article, I use for a canon 6d and a7 sony mk2, and I think money is top, not the video is short and has good buffer for photos.</v>
      </c>
    </row>
    <row r="10925">
      <c r="A10925" s="1">
        <v>5.0</v>
      </c>
      <c r="B10925" s="1" t="s">
        <v>10830</v>
      </c>
      <c r="C10925" t="str">
        <f>IFERROR(__xludf.DUMMYFUNCTION("GOOGLETRANSLATE(B10925, ""es"", ""en"")"),"Anthony Ignacio Moncel Perfect, delivered quite quickly in an envelope metido.y perfectly fulfills perfectly for use on the PSP that is the main thing, little more than say ten")</f>
        <v>Anthony Ignacio Moncel Perfect, delivered quite quickly in an envelope metido.y perfectly fulfills perfectly for use on the PSP that is the main thing, little more than say ten</v>
      </c>
    </row>
    <row r="10926">
      <c r="A10926" s="1">
        <v>5.0</v>
      </c>
      <c r="B10926" s="1" t="s">
        <v>10831</v>
      </c>
      <c r="C10926" t="str">
        <f>IFERROR(__xludf.DUMMYFUNCTION("GOOGLETRANSLATE(B10926, ""es"", ""en"")"),"Excellent comfort walking shoes, comfortable, comfortable, you can have it all day and you do not feel tired")</f>
        <v>Excellent comfort walking shoes, comfortable, comfortable, you can have it all day and you do not feel tired</v>
      </c>
    </row>
    <row r="10927">
      <c r="A10927" s="1">
        <v>2.0</v>
      </c>
      <c r="B10927" s="1" t="s">
        <v>10832</v>
      </c>
      <c r="C10927" t="str">
        <f>IFERROR(__xludf.DUMMYFUNCTION("GOOGLETRANSLATE(B10927, ""es"", ""en"")"),"does not match the size EU. 40 spending in sports and I have the same model and brand sunsets size 41 and 40. We'll see if I have three orders medi two pairs of shoes in each paying more and more money with the larger size. See if the 41 and a half fits m"&amp;"e and not too big. It is not European and size give the wrong reference. The price is too high for others in my real size.")</f>
        <v>does not match the size EU. 40 spending in sports and I have the same model and brand sunsets size 41 and 40. We'll see if I have three orders medi two pairs of shoes in each paying more and more money with the larger size. See if the 41 and a half fits me and not too big. It is not European and size give the wrong reference. The price is too high for others in my real size.</v>
      </c>
    </row>
    <row r="10928">
      <c r="A10928" s="1">
        <v>3.0</v>
      </c>
      <c r="B10928" s="1" t="s">
        <v>10833</v>
      </c>
      <c r="C10928" t="str">
        <f>IFERROR(__xludf.DUMMYFUNCTION("GOOGLETRANSLATE(B10928, ""es"", ""en"")"),"Regular not too tight but collects and comfortable. At the beginning I loved it but the worst and most disappointing is that after the second wash (short and cold water washes) A ​​leg up much walking ... There is nothing more uncomfortable than having to"&amp;" go down his pants while walking.")</f>
        <v>Regular not too tight but collects and comfortable. At the beginning I loved it but the worst and most disappointing is that after the second wash (short and cold water washes) A ​​leg up much walking ... There is nothing more uncomfortable than having to go down his pants while walking.</v>
      </c>
    </row>
    <row r="10929">
      <c r="A10929" s="1">
        <v>1.0</v>
      </c>
      <c r="B10929" s="1" t="s">
        <v>10834</v>
      </c>
      <c r="C10929" t="str">
        <f>IFERROR(__xludf.DUMMYFUNCTION("GOOGLETRANSLATE(B10929, ""es"", ""en"")"),"A disaster. I bought the shoes and I got a size 46 and size 44. another disaster. I will not buy. The box arrived hit me. I lost my comparing time. I needed to work and at the end I did not pay for anything.")</f>
        <v>A disaster. I bought the shoes and I got a size 46 and size 44. another disaster. I will not buy. The box arrived hit me. I lost my comparing time. I needed to work and at the end I did not pay for anything.</v>
      </c>
    </row>
    <row r="10930">
      <c r="A10930" s="1">
        <v>1.0</v>
      </c>
      <c r="B10930" s="1" t="s">
        <v>10835</v>
      </c>
      <c r="C10930" t="str">
        <f>IFERROR(__xludf.DUMMYFUNCTION("GOOGLETRANSLATE(B10930, ""es"", ""en"")"),"I do not recommend the product does not operate the micro does not work've tried unplugging and replugging on the radio and another and does not work")</f>
        <v>I do not recommend the product does not operate the micro does not work've tried unplugging and replugging on the radio and another and does not work</v>
      </c>
    </row>
    <row r="10931">
      <c r="A10931" s="1">
        <v>4.0</v>
      </c>
      <c r="B10931" s="1" t="s">
        <v>10836</v>
      </c>
      <c r="C10931" t="str">
        <f>IFERROR(__xludf.DUMMYFUNCTION("GOOGLETRANSLATE(B10931, ""es"", ""en"")"),"Ok seriously")</f>
        <v>Ok seriously</v>
      </c>
    </row>
    <row r="10932">
      <c r="A10932" s="1">
        <v>4.0</v>
      </c>
      <c r="B10932" s="1" t="s">
        <v>10837</v>
      </c>
      <c r="C10932" t="str">
        <f>IFERROR(__xludf.DUMMYFUNCTION("GOOGLETRANSLATE(B10932, ""es"", ""en"")"),"Good quality components are of very good quality. So I could check the sound also gets good if you have a good system where I connect, but lacks reception")</f>
        <v>Good quality components are of very good quality. So I could check the sound also gets good if you have a good system where I connect, but lacks reception</v>
      </c>
    </row>
    <row r="10933">
      <c r="A10933" s="1">
        <v>4.0</v>
      </c>
      <c r="B10933" s="1" t="s">
        <v>10838</v>
      </c>
      <c r="C10933" t="str">
        <f>IFERROR(__xludf.DUMMYFUNCTION("GOOGLETRANSLATE(B10933, ""es"", ""en"")"),"Minimalist good passes Monte bit technical, with a couple of points upgradable perspire very well and gives good protection sole keeping the minimalist feel of soil, provided they are used without these excessive templates that brings, supporting bridge a"&amp;"nd quite padded. Upgradable cords, if they were solid rather than elastic. That if, given as two sizes you normally use shoe.")</f>
        <v>Minimalist good passes Monte bit technical, with a couple of points upgradable perspire very well and gives good protection sole keeping the minimalist feel of soil, provided they are used without these excessive templates that brings, supporting bridge and quite padded. Upgradable cords, if they were solid rather than elastic. That if, given as two sizes you normally use shoe.</v>
      </c>
    </row>
    <row r="10934">
      <c r="A10934" s="1">
        <v>4.0</v>
      </c>
      <c r="B10934" s="1" t="s">
        <v>10839</v>
      </c>
      <c r="C10934" t="str">
        <f>IFERROR(__xludf.DUMMYFUNCTION("GOOGLETRANSLATE(B10934, ""es"", ""en"")"),"Good quality / price ratio are nice and at a good price.")</f>
        <v>Good quality / price ratio are nice and at a good price.</v>
      </c>
    </row>
    <row r="10935">
      <c r="A10935" s="1">
        <v>4.0</v>
      </c>
      <c r="B10935" s="1" t="s">
        <v>10840</v>
      </c>
      <c r="C10935" t="str">
        <f>IFERROR(__xludf.DUMMYFUNCTION("GOOGLETRANSLATE(B10935, ""es"", ""en"")"),"good fabric Sweatshirt wide, fabric quality, size or so, depending on how you want to stay, wide but short.")</f>
        <v>good fabric Sweatshirt wide, fabric quality, size or so, depending on how you want to stay, wide but short.</v>
      </c>
    </row>
    <row r="10936">
      <c r="A10936" s="1">
        <v>5.0</v>
      </c>
      <c r="B10936" s="1" t="s">
        <v>10841</v>
      </c>
      <c r="C10936" t="str">
        <f>IFERROR(__xludf.DUMMYFUNCTION("GOOGLETRANSLATE(B10936, ""es"", ""en"")"),"Good quality / price This SSD has a good relationship between price and tours offered, with the added value of a well-known brand and offering guarantees.")</f>
        <v>Good quality / price This SSD has a good relationship between price and tours offered, with the added value of a well-known brand and offering guarantees.</v>
      </c>
    </row>
    <row r="10937">
      <c r="A10937" s="1">
        <v>5.0</v>
      </c>
      <c r="B10937" s="1" t="s">
        <v>10842</v>
      </c>
      <c r="C10937" t="str">
        <f>IFERROR(__xludf.DUMMYFUNCTION("GOOGLETRANSLATE(B10937, ""es"", ""en"")"),"70/30 cotton, seams and design quality I said, I bought it for something simple but good quality cotton and finishes. I must say that is not all cotton but is 70/30 (cotton / polyester), but I have not noticed any static electricity that's what I hate mos"&amp;"t polyester. The fit is loose and soft texture. Red color, which is what I chose, is alive and will not wash out. I'll ask more.")</f>
        <v>70/30 cotton, seams and design quality I said, I bought it for something simple but good quality cotton and finishes. I must say that is not all cotton but is 70/30 (cotton / polyester), but I have not noticed any static electricity that's what I hate most polyester. The fit is loose and soft texture. Red color, which is what I chose, is alive and will not wash out. I'll ask more.</v>
      </c>
    </row>
    <row r="10938">
      <c r="A10938" s="1">
        <v>5.0</v>
      </c>
      <c r="B10938" s="1" t="s">
        <v>10843</v>
      </c>
      <c r="C10938" t="str">
        <f>IFERROR(__xludf.DUMMYFUNCTION("GOOGLETRANSLATE(B10938, ""es"", ""en"")"),"Very reliable and light The proven quality of these USB SanDisk makes to acquire one almost always the acertemos. They are very cheap, and usually never give problems. Of course, the transfer rate is in line with the price.")</f>
        <v>Very reliable and light The proven quality of these USB SanDisk makes to acquire one almost always the acertemos. They are very cheap, and usually never give problems. Of course, the transfer rate is in line with the price.</v>
      </c>
    </row>
    <row r="10939">
      <c r="A10939" s="1">
        <v>5.0</v>
      </c>
      <c r="B10939" s="1" t="s">
        <v>10844</v>
      </c>
      <c r="C10939" t="str">
        <f>IFERROR(__xludf.DUMMYFUNCTION("GOOGLETRANSLATE(B10939, ""es"", ""en"")"),"It works perfect as the description. good buy")</f>
        <v>It works perfect as the description. good buy</v>
      </c>
    </row>
    <row r="10940">
      <c r="A10940" s="1">
        <v>5.0</v>
      </c>
      <c r="B10940" s="1" t="s">
        <v>10845</v>
      </c>
      <c r="C10940" t="str">
        <f>IFERROR(__xludf.DUMMYFUNCTION("GOOGLETRANSLATE(B10940, ""es"", ""en"")"),"He was very professional gaming headset with removable microphone, specifically the audio was very good but had problems in the micro, so I removed it and I bought this computer professional micro. I am very happy with the set, because it has all the acce"&amp;"ssories that interested me to do streaming conditions and talk to friends while playing online. The quality with which I heard is now excellent, zero cuts and very crisp.")</f>
        <v>He was very professional gaming headset with removable microphone, specifically the audio was very good but had problems in the micro, so I removed it and I bought this computer professional micro. I am very happy with the set, because it has all the accessories that interested me to do streaming conditions and talk to friends while playing online. The quality with which I heard is now excellent, zero cuts and very crisp.</v>
      </c>
    </row>
    <row r="10941">
      <c r="A10941" s="1">
        <v>5.0</v>
      </c>
      <c r="B10941" s="1" t="s">
        <v>10846</v>
      </c>
      <c r="C10941" t="str">
        <f>IFERROR(__xludf.DUMMYFUNCTION("GOOGLETRANSLATE(B10941, ""es"", ""en"")"),"Great buy, it works on my Sony perfecteamente with ... great buy, it works on my Sony perfecteamente with a MicroSD 16GBs of category 4. Forgetting and spend the burrada that costs a Memory Stick Sony")</f>
        <v>Great buy, it works on my Sony perfecteamente with ... great buy, it works on my Sony perfecteamente with a MicroSD 16GBs of category 4. Forgetting and spend the burrada that costs a Memory Stick Sony</v>
      </c>
    </row>
    <row r="10942">
      <c r="A10942" s="1">
        <v>5.0</v>
      </c>
      <c r="B10942" s="1" t="s">
        <v>10847</v>
      </c>
      <c r="C10942" t="str">
        <f>IFERROR(__xludf.DUMMYFUNCTION("GOOGLETRANSLATE(B10942, ""es"", ""en"")"),"a comfortable product buensonido comfort and connectivity")</f>
        <v>a comfortable product buensonido comfort and connectivity</v>
      </c>
    </row>
    <row r="10943">
      <c r="A10943" s="1">
        <v>5.0</v>
      </c>
      <c r="B10943" s="1" t="s">
        <v>10848</v>
      </c>
      <c r="C10943" t="str">
        <f>IFERROR(__xludf.DUMMYFUNCTION("GOOGLETRANSLATE(B10943, ""es"", ""en"")"),"well perfcecto for Samsung watch very good quality and highly recommended seems better as the original vulevo many thanks aha buy")</f>
        <v>well perfcecto for Samsung watch very good quality and highly recommended seems better as the original vulevo many thanks aha buy</v>
      </c>
    </row>
    <row r="10944">
      <c r="A10944" s="1">
        <v>5.0</v>
      </c>
      <c r="B10944" s="1" t="s">
        <v>10849</v>
      </c>
      <c r="C10944" t="str">
        <f>IFERROR(__xludf.DUMMYFUNCTION("GOOGLETRANSLATE(B10944, ""es"", ""en"")"),"Fantastic are great and super comfortable going great trails, can be used daily.")</f>
        <v>Fantastic are great and super comfortable going great trails, can be used daily.</v>
      </c>
    </row>
    <row r="10945">
      <c r="A10945" s="1">
        <v>5.0</v>
      </c>
      <c r="B10945" s="1" t="s">
        <v>10850</v>
      </c>
      <c r="C10945" t="str">
        <f>IFERROR(__xludf.DUMMYFUNCTION("GOOGLETRANSLATE(B10945, ""es"", ""en"")"),"Very good for gases. Good for gases and comfortable")</f>
        <v>Very good for gases. Good for gases and comfortable</v>
      </c>
    </row>
    <row r="10946">
      <c r="A10946" s="1">
        <v>5.0</v>
      </c>
      <c r="B10946" s="1" t="s">
        <v>10851</v>
      </c>
      <c r="C10946" t="str">
        <f>IFERROR(__xludf.DUMMYFUNCTION("GOOGLETRANSLATE(B10946, ""es"", ""en"")"),"Bluetooth headsets good money good headphones are comfortable and have very good sound. Easy synchronization with mobile and best of all it has a port for a micro SD where we can put our music and listen without links with mobile. They are perfect for wal"&amp;"king, I have not tried to run with them and do not know if they endure without jarring to the ear, but are perfect for walking.")</f>
        <v>Bluetooth headsets good money good headphones are comfortable and have very good sound. Easy synchronization with mobile and best of all it has a port for a micro SD where we can put our music and listen without links with mobile. They are perfect for walking, I have not tried to run with them and do not know if they endure without jarring to the ear, but are perfect for walking.</v>
      </c>
    </row>
    <row r="10947">
      <c r="A10947" s="1">
        <v>5.0</v>
      </c>
      <c r="B10947" s="1" t="s">
        <v>10852</v>
      </c>
      <c r="C10947" t="str">
        <f>IFERROR(__xludf.DUMMYFUNCTION("GOOGLETRANSLATE(B10947, ""es"", ""en"")"),"No But Comodisimos")</f>
        <v>No But Comodisimos</v>
      </c>
    </row>
    <row r="10948">
      <c r="A10948" s="1">
        <v>5.0</v>
      </c>
      <c r="B10948" s="1" t="s">
        <v>10853</v>
      </c>
      <c r="C10948" t="str">
        <f>IFERROR(__xludf.DUMMYFUNCTION("GOOGLETRANSLATE(B10948, ""es"", ""en"")"),"Very useful detail have given as a christening, the fill of colorful candies and were great ☺️")</f>
        <v>Very useful detail have given as a christening, the fill of colorful candies and were great ☺️</v>
      </c>
    </row>
    <row r="10949">
      <c r="A10949" s="1">
        <v>5.0</v>
      </c>
      <c r="B10949" s="1" t="s">
        <v>10854</v>
      </c>
      <c r="C10949" t="str">
        <f>IFERROR(__xludf.DUMMYFUNCTION("GOOGLETRANSLATE(B10949, ""es"", ""en"")"),"Good product tested and works very well. It has very good length and good finishes. Moment no fault and that goes to the final treading on the local")</f>
        <v>Good product tested and works very well. It has very good length and good finishes. Moment no fault and that goes to the final treading on the local</v>
      </c>
    </row>
    <row r="10950">
      <c r="A10950" s="1">
        <v>5.0</v>
      </c>
      <c r="B10950" s="1" t="s">
        <v>10855</v>
      </c>
      <c r="C10950" t="str">
        <f>IFERROR(__xludf.DUMMYFUNCTION("GOOGLETRANSLATE(B10950, ""es"", ""en"")"),"Comfort Very comfortable, they do not need any special care. I recommended it after an intervention and have now become a staple, the continued use")</f>
        <v>Comfort Very comfortable, they do not need any special care. I recommended it after an intervention and have now become a staple, the continued use</v>
      </c>
    </row>
    <row r="10951">
      <c r="A10951" s="1">
        <v>5.0</v>
      </c>
      <c r="B10951" s="1" t="s">
        <v>10856</v>
      </c>
      <c r="C10951" t="str">
        <f>IFERROR(__xludf.DUMMYFUNCTION("GOOGLETRANSLATE(B10951, ""es"", ""en"")"),"A very pleased to receive this product came sealed without being opened or used, to test whether the problems had not had the record and I am very happy with this purchase both its value and quality. 100% Recommended")</f>
        <v>A very pleased to receive this product came sealed without being opened or used, to test whether the problems had not had the record and I am very happy with this purchase both its value and quality. 100% Recommended</v>
      </c>
    </row>
    <row r="10952">
      <c r="A10952" s="1">
        <v>5.0</v>
      </c>
      <c r="B10952" s="1" t="s">
        <v>10857</v>
      </c>
      <c r="C10952" t="str">
        <f>IFERROR(__xludf.DUMMYFUNCTION("GOOGLETRANSLATE(B10952, ""es"", ""en"")"),"LOVES ME received in his time in perfect condition. They are comfy. They are somewhat hot in summer. They get into the washer and are perfect. They are seen very robust, after a year of use are spotless.")</f>
        <v>LOVES ME received in his time in perfect condition. They are comfy. They are somewhat hot in summer. They get into the washer and are perfect. They are seen very robust, after a year of use are spotless.</v>
      </c>
    </row>
    <row r="10953">
      <c r="A10953" s="1">
        <v>5.0</v>
      </c>
      <c r="B10953" s="1" t="s">
        <v>10858</v>
      </c>
      <c r="C10953" t="str">
        <f>IFERROR(__xludf.DUMMYFUNCTION("GOOGLETRANSLATE(B10953, ""es"", ""en"")"),"Very hygienic perfect, come 2 large and one small, plus a pacifier. A glass being is never smell detergent.")</f>
        <v>Very hygienic perfect, come 2 large and one small, plus a pacifier. A glass being is never smell detergent.</v>
      </c>
    </row>
    <row r="10954">
      <c r="A10954" s="1">
        <v>5.0</v>
      </c>
      <c r="B10954" s="1" t="s">
        <v>10859</v>
      </c>
      <c r="C10954" t="str">
        <f>IFERROR(__xludf.DUMMYFUNCTION("GOOGLETRANSLATE(B10954, ""es"", ""en"")"),"perfect item needles are very well achieved and are perfectly placed on the clock. A good buy. I love")</f>
        <v>perfect item needles are very well achieved and are perfectly placed on the clock. A good buy. I love</v>
      </c>
    </row>
    <row r="10955">
      <c r="A10955" s="1">
        <v>2.0</v>
      </c>
      <c r="B10955" s="1" t="s">
        <v>10860</v>
      </c>
      <c r="C10955" t="str">
        <f>IFERROR(__xludf.DUMMYFUNCTION("GOOGLETRANSLATE(B10955, ""es"", ""en"")"),"Do not look anything The key sun does not seem a key S sun if not super rare finite chain. Adornment becomes all the time zircons none. Shame I asked with great enthusiasm ....")</f>
        <v>Do not look anything The key sun does not seem a key S sun if not super rare finite chain. Adornment becomes all the time zircons none. Shame I asked with great enthusiasm ....</v>
      </c>
    </row>
    <row r="10956">
      <c r="A10956" s="1">
        <v>3.0</v>
      </c>
      <c r="B10956" s="1" t="s">
        <v>10861</v>
      </c>
      <c r="C10956" t="str">
        <f>IFERROR(__xludf.DUMMYFUNCTION("GOOGLETRANSLATE(B10956, ""es"", ""en"")"),"It is doubtful whether what is supposed, but I guess for the price I could not expect more than what I got, resistance still give product is acceptable")</f>
        <v>It is doubtful whether what is supposed, but I guess for the price I could not expect more than what I got, resistance still give product is acceptable</v>
      </c>
    </row>
    <row r="10957">
      <c r="A10957" s="1">
        <v>3.0</v>
      </c>
      <c r="B10957" s="1" t="s">
        <v>10862</v>
      </c>
      <c r="C10957" t="str">
        <f>IFERROR(__xludf.DUMMYFUNCTION("GOOGLETRANSLATE(B10957, ""es"", ""en"")"),"More space A little tight measures a4, fit very few leaves")</f>
        <v>More space A little tight measures a4, fit very few leaves</v>
      </c>
    </row>
    <row r="10958">
      <c r="A10958" s="1">
        <v>1.0</v>
      </c>
      <c r="B10958" s="1" t="s">
        <v>10863</v>
      </c>
      <c r="C10958" t="str">
        <f>IFERROR(__xludf.DUMMYFUNCTION("GOOGLETRANSLATE(B10958, ""es"", ""en"")"),"I came to work and did not work.")</f>
        <v>I came to work and did not work.</v>
      </c>
    </row>
    <row r="10959">
      <c r="A10959" s="1">
        <v>1.0</v>
      </c>
      <c r="B10959" s="1" t="s">
        <v>10864</v>
      </c>
      <c r="C10959" t="str">
        <f>IFERROR(__xludf.DUMMYFUNCTION("GOOGLETRANSLATE(B10959, ""es"", ""en"")"),"One year lasted When used for the first time was very impressed by their sound and quality / price ratio. They were certainly the best helmets that price I would have had. Why the low rating? Because they have lasted one year and one month just from your "&amp;"purchase. One of the helmets has stopped ringing. Not a very long life to say, although we know that nowadays everything is short.")</f>
        <v>One year lasted When used for the first time was very impressed by their sound and quality / price ratio. They were certainly the best helmets that price I would have had. Why the low rating? Because they have lasted one year and one month just from your purchase. One of the helmets has stopped ringing. Not a very long life to say, although we know that nowadays everything is short.</v>
      </c>
    </row>
    <row r="10960">
      <c r="A10960" s="1">
        <v>4.0</v>
      </c>
      <c r="B10960" s="1" t="s">
        <v>10865</v>
      </c>
      <c r="C10960" t="str">
        <f>IFERROR(__xludf.DUMMYFUNCTION("GOOGLETRANSLATE(B10960, ""es"", ""en"")"),"Very good product very good product. High quality and good price. Noise control very well and gives a good volume. You are also listens very well, as directed by the people with whom I speak. If I had to ask for something, it would be that lasted more car"&amp;"go, but lasted long enough would never lasted.")</f>
        <v>Very good product very good product. High quality and good price. Noise control very well and gives a good volume. You are also listens very well, as directed by the people with whom I speak. If I had to ask for something, it would be that lasted more cargo, but lasted long enough would never lasted.</v>
      </c>
    </row>
    <row r="10961">
      <c r="A10961" s="1">
        <v>4.0</v>
      </c>
      <c r="B10961" s="1" t="s">
        <v>10866</v>
      </c>
      <c r="C10961" t="str">
        <f>IFERROR(__xludf.DUMMYFUNCTION("GOOGLETRANSLATE(B10961, ""es"", ""en"")"),"Great service. Good buy good alleviates cream refreshes menthol smell a little but it's bearable recommend it.")</f>
        <v>Great service. Good buy good alleviates cream refreshes menthol smell a little but it's bearable recommend it.</v>
      </c>
    </row>
    <row r="10962">
      <c r="A10962" s="1">
        <v>4.0</v>
      </c>
      <c r="B10962" s="1" t="s">
        <v>10867</v>
      </c>
      <c r="C10962" t="str">
        <f>IFERROR(__xludf.DUMMYFUNCTION("GOOGLETRANSLATE(B10962, ""es"", ""en"")"),"Quality and price ratio design quality and design by price")</f>
        <v>Quality and price ratio design quality and design by price</v>
      </c>
    </row>
    <row r="10963">
      <c r="A10963" s="1">
        <v>4.0</v>
      </c>
      <c r="B10963" s="1" t="s">
        <v>10868</v>
      </c>
      <c r="C10963" t="str">
        <f>IFERROR(__xludf.DUMMYFUNCTION("GOOGLETRANSLATE(B10963, ""es"", ""en"")"),"GOOD PRODUCT GOOD PRODUCT IS A HE HAD PROBLEMS BUT BECAUSE YOU CAN CHANGE THE LANGUAGE AND THE MANUAL COMES IN ENGLISH, SPANISH IN THE PHARMACEUTICALS but received no response from SELLER")</f>
        <v>GOOD PRODUCT GOOD PRODUCT IS A HE HAD PROBLEMS BUT BECAUSE YOU CAN CHANGE THE LANGUAGE AND THE MANUAL COMES IN ENGLISH, SPANISH IN THE PHARMACEUTICALS but received no response from SELLER</v>
      </c>
    </row>
    <row r="10964">
      <c r="A10964" s="1">
        <v>4.0</v>
      </c>
      <c r="B10964" s="1" t="s">
        <v>10869</v>
      </c>
      <c r="C10964" t="str">
        <f>IFERROR(__xludf.DUMMYFUNCTION("GOOGLETRANSLATE(B10964, ""es"", ""en"")"),"We had to change dedvolverlo error in size, we have requested a size less and are awaiting receipt")</f>
        <v>We had to change dedvolverlo error in size, we have requested a size less and are awaiting receipt</v>
      </c>
    </row>
    <row r="10965">
      <c r="A10965" s="1">
        <v>5.0</v>
      </c>
      <c r="B10965" s="1" t="s">
        <v>10870</v>
      </c>
      <c r="C10965" t="str">
        <f>IFERROR(__xludf.DUMMYFUNCTION("GOOGLETRANSLATE(B10965, ""es"", ""en"")"),"Good quality good quality. Gently used the moment you see them good. I hope you will hold.")</f>
        <v>Good quality good quality. Gently used the moment you see them good. I hope you will hold.</v>
      </c>
    </row>
    <row r="10966">
      <c r="A10966" s="1">
        <v>5.0</v>
      </c>
      <c r="B10966" s="1" t="s">
        <v>10871</v>
      </c>
      <c r="C10966" t="str">
        <f>IFERROR(__xludf.DUMMYFUNCTION("GOOGLETRANSLATE(B10966, ""es"", ""en"")"),"Mens leather bag is beautiful and good quality")</f>
        <v>Mens leather bag is beautiful and good quality</v>
      </c>
    </row>
    <row r="10967">
      <c r="A10967" s="1">
        <v>5.0</v>
      </c>
      <c r="B10967" s="1" t="s">
        <v>10872</v>
      </c>
      <c r="C10967" t="str">
        <f>IFERROR(__xludf.DUMMYFUNCTION("GOOGLETRANSLATE(B10967, ""es"", ""en"")"),"Effective and very comfortable is a great product. I have just received, I've had to use to relieve a strained back. It has 5 positions to high heat, and can be programmed to turn itself off when or at 2 h. It is very comfortable and very soft and pleasan"&amp;"t fabric. I am very satisfied with this purchase.")</f>
        <v>Effective and very comfortable is a great product. I have just received, I've had to use to relieve a strained back. It has 5 positions to high heat, and can be programmed to turn itself off when or at 2 h. It is very comfortable and very soft and pleasant fabric. I am very satisfied with this purchase.</v>
      </c>
    </row>
    <row r="10968">
      <c r="A10968" s="1">
        <v>5.0</v>
      </c>
      <c r="B10968" s="1" t="s">
        <v>10873</v>
      </c>
      <c r="C10968" t="str">
        <f>IFERROR(__xludf.DUMMYFUNCTION("GOOGLETRANSLATE(B10968, ""es"", ""en"")"),"Amazing quality. A good bag at a price adjusted. I've been using it a long time and I have to say that the quality surprised me. Input one thinks that being made in China will not last long, but the reality is that've been using it for over two years and "&amp;"continues to resist. Leading interior zippered pockets and is wide enough for keys, wallet, agency agenda..etc save. A good buy.")</f>
        <v>Amazing quality. A good bag at a price adjusted. I've been using it a long time and I have to say that the quality surprised me. Input one thinks that being made in China will not last long, but the reality is that've been using it for over two years and continues to resist. Leading interior zippered pockets and is wide enough for keys, wallet, agency agenda..etc save. A good buy.</v>
      </c>
    </row>
    <row r="10969">
      <c r="A10969" s="1">
        <v>5.0</v>
      </c>
      <c r="B10969" s="1" t="s">
        <v>10874</v>
      </c>
      <c r="C10969" t="str">
        <f>IFERROR(__xludf.DUMMYFUNCTION("GOOGLETRANSLATE(B10969, ""es"", ""en"")"),"IMPRESSIVE bought it for a friend who likes to wear le Midi and record sampled, has stoked instruments keys are responsive, though a piano mini and keys something small get used and makes it very portable, you take it where you want, what connect via USB "&amp;"and composing, the best at a fair price")</f>
        <v>IMPRESSIVE bought it for a friend who likes to wear le Midi and record sampled, has stoked instruments keys are responsive, though a piano mini and keys something small get used and makes it very portable, you take it where you want, what connect via USB and composing, the best at a fair price</v>
      </c>
    </row>
    <row r="10970">
      <c r="A10970" s="1">
        <v>5.0</v>
      </c>
      <c r="B10970" s="1" t="s">
        <v>10875</v>
      </c>
      <c r="C10970" t="str">
        <f>IFERROR(__xludf.DUMMYFUNCTION("GOOGLETRANSLATE(B10970, ""es"", ""en"")"),"The would buy the use for work. They look good with almost everything. I have been traveling with them, walking always super pretty and comfortable. He did not wear shoelaces, they are very quick to put on and remove. They have enchanted me.")</f>
        <v>The would buy the use for work. They look good with almost everything. I have been traveling with them, walking always super pretty and comfortable. He did not wear shoelaces, they are very quick to put on and remove. They have enchanted me.</v>
      </c>
    </row>
    <row r="10971">
      <c r="A10971" s="1">
        <v>5.0</v>
      </c>
      <c r="B10971" s="1" t="s">
        <v>238</v>
      </c>
      <c r="C10971" t="str">
        <f>IFERROR(__xludf.DUMMYFUNCTION("GOOGLETRANSLATE(B10971, ""es"", ""en"")"),"perfect perfect")</f>
        <v>perfect perfect</v>
      </c>
    </row>
    <row r="10972">
      <c r="A10972" s="1">
        <v>5.0</v>
      </c>
      <c r="B10972" s="1" t="s">
        <v>10876</v>
      </c>
      <c r="C10972" t="str">
        <f>IFERROR(__xludf.DUMMYFUNCTION("GOOGLETRANSLATE(B10972, ""es"", ""en"")"),"Very good price and good quality")</f>
        <v>Very good price and good quality</v>
      </c>
    </row>
    <row r="10973">
      <c r="A10973" s="1">
        <v>5.0</v>
      </c>
      <c r="B10973" s="1" t="s">
        <v>10877</v>
      </c>
      <c r="C10973" t="str">
        <f>IFERROR(__xludf.DUMMYFUNCTION("GOOGLETRANSLATE(B10973, ""es"", ""en"")"),"BEST FLIP FLOPS As expected are perfect. The sole is padded and do not sink as has happened with me after Mistral flipflops. Comes. Small size. I use a 36 and I had to buy the 37-38.")</f>
        <v>BEST FLIP FLOPS As expected are perfect. The sole is padded and do not sink as has happened with me after Mistral flipflops. Comes. Small size. I use a 36 and I had to buy the 37-38.</v>
      </c>
    </row>
    <row r="10974">
      <c r="A10974" s="1">
        <v>5.0</v>
      </c>
      <c r="B10974" s="1" t="s">
        <v>10878</v>
      </c>
      <c r="C10974" t="str">
        <f>IFERROR(__xludf.DUMMYFUNCTION("GOOGLETRANSLATE(B10974, ""es"", ""en"")"),"Value ok Very cool, and good price.")</f>
        <v>Value ok Very cool, and good price.</v>
      </c>
    </row>
    <row r="10975">
      <c r="A10975" s="1">
        <v>5.0</v>
      </c>
      <c r="B10975" s="1" t="s">
        <v>10879</v>
      </c>
      <c r="C10975" t="str">
        <f>IFERROR(__xludf.DUMMYFUNCTION("GOOGLETRANSLATE(B10975, ""es"", ""en"")"),"Magnificent hiking shoes Very happy with the shoes. Very stable. Good arch support. Aislan fine stones, etc. Would buy")</f>
        <v>Magnificent hiking shoes Very happy with the shoes. Very stable. Good arch support. Aislan fine stones, etc. Would buy</v>
      </c>
    </row>
    <row r="10976">
      <c r="A10976" s="1">
        <v>5.0</v>
      </c>
      <c r="B10976" s="1" t="s">
        <v>10880</v>
      </c>
      <c r="C10976" t="str">
        <f>IFERROR(__xludf.DUMMYFUNCTION("GOOGLETRANSLATE(B10976, ""es"", ""en"")"),"works !!! FANTASTICO, SOUNDS MUCH THE ENGINE, BUT IT WORKS !!! ........")</f>
        <v>works !!! FANTASTICO, SOUNDS MUCH THE ENGINE, BUT IT WORKS !!! ........</v>
      </c>
    </row>
    <row r="10977">
      <c r="A10977" s="1">
        <v>5.0</v>
      </c>
      <c r="B10977" s="1" t="s">
        <v>10881</v>
      </c>
      <c r="C10977" t="str">
        <f>IFERROR(__xludf.DUMMYFUNCTION("GOOGLETRANSLATE(B10977, ""es"", ""en"")"),"Small and easy to use &amp; nbsp; USB Compatible with previous versions. Up to 32 GB capacity can meet their daily needs storage. For example, pictures, videos, audios, music, etc. This keychain flash drive is easy to carry and use every day. USB stick can at"&amp;"tach to your keychain")</f>
        <v>Small and easy to use &amp; nbsp; USB Compatible with previous versions. Up to 32 GB capacity can meet their daily needs storage. For example, pictures, videos, audios, music, etc. This keychain flash drive is easy to carry and use every day. USB stick can attach to your keychain</v>
      </c>
    </row>
    <row r="10978">
      <c r="A10978" s="1">
        <v>5.0</v>
      </c>
      <c r="B10978" s="1" t="s">
        <v>10882</v>
      </c>
      <c r="C10978" t="str">
        <f>IFERROR(__xludf.DUMMYFUNCTION("GOOGLETRANSLATE(B10978, ""es"", ""en"")"),"Good quality excellent product. Very fast all. Excellent and highly recommended. All right. Highly recommended for teachers. Good sound and many functions.")</f>
        <v>Good quality excellent product. Very fast all. Excellent and highly recommended. All right. Highly recommended for teachers. Good sound and many functions.</v>
      </c>
    </row>
    <row r="10979">
      <c r="A10979" s="1">
        <v>5.0</v>
      </c>
      <c r="B10979" s="1" t="s">
        <v>10883</v>
      </c>
      <c r="C10979" t="str">
        <f>IFERROR(__xludf.DUMMYFUNCTION("GOOGLETRANSLATE(B10979, ""es"", ""en"")"),"Very glad I gave it to my father and is very happy. He complained a little weight, but overall has been a great buy. Casio is not new to making watches, and it is a safe buy.")</f>
        <v>Very glad I gave it to my father and is very happy. He complained a little weight, but overall has been a great buy. Casio is not new to making watches, and it is a safe buy.</v>
      </c>
    </row>
    <row r="10980">
      <c r="A10980" s="1">
        <v>5.0</v>
      </c>
      <c r="B10980" s="1" t="s">
        <v>10884</v>
      </c>
      <c r="C10980" t="str">
        <f>IFERROR(__xludf.DUMMYFUNCTION("GOOGLETRANSLATE(B10980, ""es"", ""en"")"),"Very nice. Very nice, comfortable and soft. Not the first pair I buy and keep buying because they are very good and I really like.")</f>
        <v>Very nice. Very nice, comfortable and soft. Not the first pair I buy and keep buying because they are very good and I really like.</v>
      </c>
    </row>
    <row r="10981">
      <c r="A10981" s="1">
        <v>5.0</v>
      </c>
      <c r="B10981" s="1" t="s">
        <v>10885</v>
      </c>
      <c r="C10981" t="str">
        <f>IFERROR(__xludf.DUMMYFUNCTION("GOOGLETRANSLATE(B10981, ""es"", ""en"")"),"Comfort I liked everything !!! super happy")</f>
        <v>Comfort I liked everything !!! super happy</v>
      </c>
    </row>
    <row r="10982">
      <c r="A10982" s="1">
        <v>5.0</v>
      </c>
      <c r="B10982" s="1" t="s">
        <v>10886</v>
      </c>
      <c r="C10982" t="str">
        <f>IFERROR(__xludf.DUMMYFUNCTION("GOOGLETRANSLATE(B10982, ""es"", ""en"")"),"The comfortable for winter and bought for someone who works as a waitress and so your feet do not suffer. They are very comfortable. Is the brand that has great shoes.")</f>
        <v>The comfortable for winter and bought for someone who works as a waitress and so your feet do not suffer. They are very comfortable. Is the brand that has great shoes.</v>
      </c>
    </row>
    <row r="10983">
      <c r="A10983" s="1">
        <v>2.0</v>
      </c>
      <c r="B10983" s="1" t="s">
        <v>10887</v>
      </c>
      <c r="C10983" t="str">
        <f>IFERROR(__xludf.DUMMYFUNCTION("GOOGLETRANSLATE(B10983, ""es"", ""en"")"),"fair quality ... Do not ask much time I've been using these Bluetooth headphones, use them much because while I walk, I'm constantly talking on the phone. First, say the design is quite nice, because they are not very bulky, like others I have seen and bo"&amp;"ught lately, and I had to return because of the weight. They are very light, and are magnetic, is a plus, since you can rodeartelos to the neck when not in use, and if you avoid storing bag somewhere where later found not finish. As for quality, that's an"&amp;"other story. We all know that Bluetooth headsets have a problem of delay and sound. Well, in this case, the sound comes acompañafo often a fog annoying noise type background. Lar times no matter where you set it, it keeps coming noise. And another thing, "&amp;"depends on how you configure them mobile, will serve to use it for any application (except for the FM radio), or only for calls.")</f>
        <v>fair quality ... Do not ask much time I've been using these Bluetooth headphones, use them much because while I walk, I'm constantly talking on the phone. First, say the design is quite nice, because they are not very bulky, like others I have seen and bought lately, and I had to return because of the weight. They are very light, and are magnetic, is a plus, since you can rodeartelos to the neck when not in use, and if you avoid storing bag somewhere where later found not finish. As for quality, that's another story. We all know that Bluetooth headsets have a problem of delay and sound. Well, in this case, the sound comes acompañafo often a fog annoying noise type background. Lar times no matter where you set it, it keeps coming noise. And another thing, depends on how you configure them mobile, will serve to use it for any application (except for the FM radio), or only for calls.</v>
      </c>
    </row>
    <row r="10984">
      <c r="A10984" s="1">
        <v>3.0</v>
      </c>
      <c r="B10984" s="1" t="s">
        <v>10888</v>
      </c>
      <c r="C10984" t="str">
        <f>IFERROR(__xludf.DUMMYFUNCTION("GOOGLETRANSLATE(B10984, ""es"", ""en"")"),"Well what I expected")</f>
        <v>Well what I expected</v>
      </c>
    </row>
    <row r="10985">
      <c r="A10985" s="1">
        <v>3.0</v>
      </c>
      <c r="B10985" s="1" t="s">
        <v>10889</v>
      </c>
      <c r="C10985" t="str">
        <f>IFERROR(__xludf.DUMMYFUNCTION("GOOGLETRANSLATE(B10985, ""es"", ""en"")"),"Card bought two more cards provided. One for the switch and one for the mobile. On the downside but any switch in the mobile reading speed leaves much to be desired. I have done several tests and have had more actual speed cards. Yet it is a good choice d"&amp;"epending on the use you want to give because the price is pretty good.")</f>
        <v>Card bought two more cards provided. One for the switch and one for the mobile. On the downside but any switch in the mobile reading speed leaves much to be desired. I have done several tests and have had more actual speed cards. Yet it is a good choice depending on the use you want to give because the price is pretty good.</v>
      </c>
    </row>
    <row r="10986">
      <c r="A10986" s="1">
        <v>1.0</v>
      </c>
      <c r="B10986" s="1" t="s">
        <v>10890</v>
      </c>
      <c r="C10986" t="str">
        <f>IFERROR(__xludf.DUMMYFUNCTION("GOOGLETRANSLATE(B10986, ""es"", ""en"")"),"LYING ON THE COMPOSITION - 100% polyester manufacturer does not tell the truth to the claim that they are 97% cotton. They are actually 100% polyester or other artificial fibers should check the quality, so we avoid hassles we buy looking at the label.")</f>
        <v>LYING ON THE COMPOSITION - 100% polyester manufacturer does not tell the truth to the claim that they are 97% cotton. They are actually 100% polyester or other artificial fibers should check the quality, so we avoid hassles we buy looking at the label.</v>
      </c>
    </row>
    <row r="10987">
      <c r="A10987" s="1">
        <v>1.0</v>
      </c>
      <c r="B10987" s="1" t="s">
        <v>10891</v>
      </c>
      <c r="C10987" t="str">
        <f>IFERROR(__xludf.DUMMYFUNCTION("GOOGLETRANSLATE(B10987, ""es"", ""en"")"),"Bracelet A second day has waste")</f>
        <v>Bracelet A second day has waste</v>
      </c>
    </row>
    <row r="10988">
      <c r="A10988" s="1">
        <v>1.0</v>
      </c>
      <c r="B10988" s="1" t="s">
        <v>10892</v>
      </c>
      <c r="C10988" t="str">
        <f>IFERROR(__xludf.DUMMYFUNCTION("GOOGLETRANSLATE(B10988, ""es"", ""en"")"),"Do not buy shoddy, I lasted three months short supply. Not recommend")</f>
        <v>Do not buy shoddy, I lasted three months short supply. Not recommend</v>
      </c>
    </row>
    <row r="10989">
      <c r="A10989" s="1">
        <v>4.0</v>
      </c>
      <c r="B10989" s="1" t="s">
        <v>10893</v>
      </c>
      <c r="C10989" t="str">
        <f>IFERROR(__xludf.DUMMYFUNCTION("GOOGLETRANSLATE(B10989, ""es"", ""en"")"),"Edwar Very nice watch. A super-affordable prices just what q wanted for the job. We recommend a bargain")</f>
        <v>Edwar Very nice watch. A super-affordable prices just what q wanted for the job. We recommend a bargain</v>
      </c>
    </row>
    <row r="10990">
      <c r="A10990" s="1">
        <v>4.0</v>
      </c>
      <c r="B10990" s="1" t="s">
        <v>10894</v>
      </c>
      <c r="C10990" t="str">
        <f>IFERROR(__xludf.DUMMYFUNCTION("GOOGLETRANSLATE(B10990, ""es"", ""en"")"),"Good value for money Very good value for money. They are quite fast. Happy with purchase.")</f>
        <v>Good value for money Very good value for money. They are quite fast. Happy with purchase.</v>
      </c>
    </row>
    <row r="10991">
      <c r="A10991" s="1">
        <v>4.0</v>
      </c>
      <c r="B10991" s="1" t="s">
        <v>10895</v>
      </c>
      <c r="C10991" t="str">
        <f>IFERROR(__xludf.DUMMYFUNCTION("GOOGLETRANSLATE(B10991, ""es"", ""en"")"),"Good article We have been good for the christening, are not very small and come with decorative bow so it is appreciated as you avoid giving a touch more. But it is perhaps the only material that is somewhat thin, but this price can not ask for more.")</f>
        <v>Good article We have been good for the christening, are not very small and come with decorative bow so it is appreciated as you avoid giving a touch more. But it is perhaps the only material that is somewhat thin, but this price can not ask for more.</v>
      </c>
    </row>
    <row r="10992">
      <c r="A10992" s="1">
        <v>4.0</v>
      </c>
      <c r="B10992" s="1" t="s">
        <v>10896</v>
      </c>
      <c r="C10992" t="str">
        <f>IFERROR(__xludf.DUMMYFUNCTION("GOOGLETRANSLATE(B10992, ""es"", ""en"")"),"Watch as shown in the pictures at first he was going to return because the clock is on and wearing light a couple of days and when it was already taken the decision not to wait any longer for return and turned and when all goes well. Why not give it five "&amp;"stars.")</f>
        <v>Watch as shown in the pictures at first he was going to return because the clock is on and wearing light a couple of days and when it was already taken the decision not to wait any longer for return and turned and when all goes well. Why not give it five stars.</v>
      </c>
    </row>
    <row r="10993">
      <c r="A10993" s="1">
        <v>5.0</v>
      </c>
      <c r="B10993" s="1" t="s">
        <v>10897</v>
      </c>
      <c r="C10993" t="str">
        <f>IFERROR(__xludf.DUMMYFUNCTION("GOOGLETRANSLATE(B10993, ""es"", ""en"")"),"Good quality for the price they have what I expected for the price it has")</f>
        <v>Good quality for the price they have what I expected for the price it has</v>
      </c>
    </row>
    <row r="10994">
      <c r="A10994" s="1">
        <v>5.0</v>
      </c>
      <c r="B10994" s="1" t="s">
        <v>10898</v>
      </c>
      <c r="C10994" t="str">
        <f>IFERROR(__xludf.DUMMYFUNCTION("GOOGLETRANSLATE(B10994, ""es"", ""en"")"),"Great for teachers Velcro as expected")</f>
        <v>Great for teachers Velcro as expected</v>
      </c>
    </row>
    <row r="10995">
      <c r="A10995" s="1">
        <v>5.0</v>
      </c>
      <c r="B10995" s="1" t="s">
        <v>10899</v>
      </c>
      <c r="C10995" t="str">
        <f>IFERROR(__xludf.DUMMYFUNCTION("GOOGLETRANSLATE(B10995, ""es"", ""en"")"),"Finally a very practical way to have a safe place cards without having to waste time searching through boxes be linking, drawers and disposotivos.")</f>
        <v>Finally a very practical way to have a safe place cards without having to waste time searching through boxes be linking, drawers and disposotivos.</v>
      </c>
    </row>
    <row r="10996">
      <c r="A10996" s="1">
        <v>5.0</v>
      </c>
      <c r="B10996" s="1" t="s">
        <v>10900</v>
      </c>
      <c r="C10996" t="str">
        <f>IFERROR(__xludf.DUMMYFUNCTION("GOOGLETRANSLATE(B10996, ""es"", ""en"")"),"Buy satisfactory. Article meets my expectations and arrive on time.")</f>
        <v>Buy satisfactory. Article meets my expectations and arrive on time.</v>
      </c>
    </row>
    <row r="10997">
      <c r="A10997" s="1">
        <v>5.0</v>
      </c>
      <c r="B10997" s="1" t="s">
        <v>10901</v>
      </c>
      <c r="C10997" t="str">
        <f>IFERROR(__xludf.DUMMYFUNCTION("GOOGLETRANSLATE(B10997, ""es"", ""en"")"),"Bracelets pack 3 They fit well to the wrist. At the beginning of the new being they are very hard and difficult otherwise fit really well. What had requested and also come in a velvet bag. very good")</f>
        <v>Bracelets pack 3 They fit well to the wrist. At the beginning of the new being they are very hard and difficult otherwise fit really well. What had requested and also come in a velvet bag. very good</v>
      </c>
    </row>
    <row r="10998">
      <c r="A10998" s="1">
        <v>5.0</v>
      </c>
      <c r="B10998" s="1" t="s">
        <v>10902</v>
      </c>
      <c r="C10998" t="str">
        <f>IFERROR(__xludf.DUMMYFUNCTION("GOOGLETRANSLATE(B10998, ""es"", ""en"")"),"Great ! I've loved the super comfy and nice would buy .. Good Value")</f>
        <v>Great ! I've loved the super comfy and nice would buy .. Good Value</v>
      </c>
    </row>
    <row r="10999">
      <c r="A10999" s="1">
        <v>5.0</v>
      </c>
      <c r="B10999" s="1" t="s">
        <v>10903</v>
      </c>
      <c r="C10999" t="str">
        <f>IFERROR(__xludf.DUMMYFUNCTION("GOOGLETRANSLATE(B10999, ""es"", ""en"")"),"Good value good size and good quality.")</f>
        <v>Good value good size and good quality.</v>
      </c>
    </row>
    <row r="11000">
      <c r="A11000" s="1">
        <v>5.0</v>
      </c>
      <c r="B11000" s="1" t="s">
        <v>10904</v>
      </c>
      <c r="C11000" t="str">
        <f>IFERROR(__xludf.DUMMYFUNCTION("GOOGLETRANSLATE(B11000, ""es"", ""en"")"),"Perfect For that price, the best.")</f>
        <v>Perfect For that price, the best.</v>
      </c>
    </row>
    <row r="11001">
      <c r="A11001" s="1">
        <v>5.0</v>
      </c>
      <c r="B11001" s="1" t="s">
        <v>10905</v>
      </c>
      <c r="C11001" t="str">
        <f>IFERROR(__xludf.DUMMYFUNCTION("GOOGLETRANSLATE(B11001, ""es"", ""en"")"),"The perfect gift bought it as a gift to my mother taking advantage of my first paycheck and could not be happier with how happy he made (and how well you get the shoes). He liked both bought another pair in yellow.")</f>
        <v>The perfect gift bought it as a gift to my mother taking advantage of my first paycheck and could not be happier with how happy he made (and how well you get the shoes). He liked both bought another pair in yellow.</v>
      </c>
    </row>
    <row r="11002">
      <c r="A11002" s="1">
        <v>5.0</v>
      </c>
      <c r="B11002" s="1" t="s">
        <v>10906</v>
      </c>
      <c r="C11002" t="str">
        <f>IFERROR(__xludf.DUMMYFUNCTION("GOOGLETRANSLATE(B11002, ""es"", ""en"")"),"SILBA LOOSE, but hisses and works, is pretty good value for money. SILBA BUT NOT EXCESSIVELY STRONG IS HEARD AND MEETS utility. PERFECT SIZE FOR 2, 3 PEOPLE")</f>
        <v>SILBA LOOSE, but hisses and works, is pretty good value for money. SILBA BUT NOT EXCESSIVELY STRONG IS HEARD AND MEETS utility. PERFECT SIZE FOR 2, 3 PEOPLE</v>
      </c>
    </row>
    <row r="11003">
      <c r="A11003" s="1">
        <v>5.0</v>
      </c>
      <c r="B11003" s="1" t="s">
        <v>10907</v>
      </c>
      <c r="C11003" t="str">
        <f>IFERROR(__xludf.DUMMYFUNCTION("GOOGLETRANSLATE(B11003, ""es"", ""en"")"),"Figured Velasco, I use a 40 in all kinds of shoes and asked the 39 thanks to the comments and I will like ring finger")</f>
        <v>Figured Velasco, I use a 40 in all kinds of shoes and asked the 39 thanks to the comments and I will like ring finger</v>
      </c>
    </row>
    <row r="11004">
      <c r="A11004" s="1">
        <v>5.0</v>
      </c>
      <c r="B11004" s="1" t="s">
        <v>10908</v>
      </c>
      <c r="C11004" t="str">
        <f>IFERROR(__xludf.DUMMYFUNCTION("GOOGLETRANSLATE(B11004, ""es"", ""en"")"),"The fine product, delivery delayed first purchase on Amazon, for testing I decided to start a safe value. He had the same sneakers, but worn from so much use, because I love them, so I asked for new ones and also saw the operation of the service. I took t"&amp;"he month of Prime test to assess whether it is worth, and bad start, because the order did not reach the appointed day, but a day late. Regarding the product itself, as expected, very comfortable, quality, size is perfect (I ordered mine, 45) and also jus"&amp;"t asked when the price had dropped so great.")</f>
        <v>The fine product, delivery delayed first purchase on Amazon, for testing I decided to start a safe value. He had the same sneakers, but worn from so much use, because I love them, so I asked for new ones and also saw the operation of the service. I took the month of Prime test to assess whether it is worth, and bad start, because the order did not reach the appointed day, but a day late. Regarding the product itself, as expected, very comfortable, quality, size is perfect (I ordered mine, 45) and also just asked when the price had dropped so great.</v>
      </c>
    </row>
    <row r="11005">
      <c r="A11005" s="1">
        <v>5.0</v>
      </c>
      <c r="B11005" s="1" t="s">
        <v>10909</v>
      </c>
      <c r="C11005" t="str">
        <f>IFERROR(__xludf.DUMMYFUNCTION("GOOGLETRANSLATE(B11005, ""es"", ""en"")"),"Tabs you connect seamlessly strap is luxurious, has the same black metallic that the Gear S3 Frontier, and most importantly and the main reason I bought it and none of the others similar, the two tabs brings that make the belt is completely coupled to the"&amp;" clock. 100% recommended.")</f>
        <v>Tabs you connect seamlessly strap is luxurious, has the same black metallic that the Gear S3 Frontier, and most importantly and the main reason I bought it and none of the others similar, the two tabs brings that make the belt is completely coupled to the clock. 100% recommended.</v>
      </c>
    </row>
    <row r="11006">
      <c r="A11006" s="1">
        <v>5.0</v>
      </c>
      <c r="B11006" s="1" t="s">
        <v>10910</v>
      </c>
      <c r="C11006" t="str">
        <f>IFERROR(__xludf.DUMMYFUNCTION("GOOGLETRANSLATE(B11006, ""es"", ""en"")"),"Very satisfied with my broom vacuum cleaner! I am very happy to have acquired this escoba.aspira vacuum very well, both floors and carpets and comes with all accesorios.no need to buy anything else. To put a catch would say the battery lasts long enough t"&amp;"o clean the house, about 20 minutos.seguro for the following models that the manufacturers will be considered.")</f>
        <v>Very satisfied with my broom vacuum cleaner! I am very happy to have acquired this escoba.aspira vacuum very well, both floors and carpets and comes with all accesorios.no need to buy anything else. To put a catch would say the battery lasts long enough to clean the house, about 20 minutos.seguro for the following models that the manufacturers will be considered.</v>
      </c>
    </row>
    <row r="11007">
      <c r="A11007" s="1">
        <v>5.0</v>
      </c>
      <c r="B11007" s="1" t="s">
        <v>10911</v>
      </c>
      <c r="C11007" t="str">
        <f>IFERROR(__xludf.DUMMYFUNCTION("GOOGLETRANSLATE(B11007, ""es"", ""en"")"),"Very nice very nice, shines a lot and my girlfriend loved him")</f>
        <v>Very nice very nice, shines a lot and my girlfriend loved him</v>
      </c>
    </row>
    <row r="11008">
      <c r="A11008" s="1">
        <v>5.0</v>
      </c>
      <c r="B11008" s="1" t="s">
        <v>10912</v>
      </c>
      <c r="C11008" t="str">
        <f>IFERROR(__xludf.DUMMYFUNCTION("GOOGLETRANSLATE(B11008, ""es"", ""en"")"),"3 meter cable with plug type 8 Product is as described in the announcement, a power cable 3 meters long with terminal 8. The shipment arrived about two weeks after ordering. All right.")</f>
        <v>3 meter cable with plug type 8 Product is as described in the announcement, a power cable 3 meters long with terminal 8. The shipment arrived about two weeks after ordering. All right.</v>
      </c>
    </row>
    <row r="11009">
      <c r="A11009" s="1">
        <v>5.0</v>
      </c>
      <c r="B11009" s="1" t="s">
        <v>10913</v>
      </c>
      <c r="C11009" t="str">
        <f>IFERROR(__xludf.DUMMYFUNCTION("GOOGLETRANSLATE(B11009, ""es"", ""en"")"),"Good product work well, sound mui good. The battery lasts enough.")</f>
        <v>Good product work well, sound mui good. The battery lasts enough.</v>
      </c>
    </row>
    <row r="11010">
      <c r="A11010" s="1">
        <v>5.0</v>
      </c>
      <c r="B11010" s="1" t="s">
        <v>10914</v>
      </c>
      <c r="C11010" t="str">
        <f>IFERROR(__xludf.DUMMYFUNCTION("GOOGLETRANSLATE(B11010, ""es"", ""en"")"),"Fast and original.Suunto. Original product at the best price. Need to check their durability, I hope to reach the less than two years. Hehehe. The color possibilities are also possible.")</f>
        <v>Fast and original.Suunto. Original product at the best price. Need to check their durability, I hope to reach the less than two years. Hehehe. The color possibilities are also possible.</v>
      </c>
    </row>
    <row r="11011">
      <c r="A11011" s="1">
        <v>5.0</v>
      </c>
      <c r="B11011" s="1" t="s">
        <v>10915</v>
      </c>
      <c r="C11011" t="str">
        <f>IFERROR(__xludf.DUMMYFUNCTION("GOOGLETRANSLATE(B11011, ""es"", ""en"")"),"HORSE BALM Totally recommended. I have tried many creams and gels as heat and none have given me good result like this. I practice sport is canicross, very explosive and my femoral outputs is very touched with this balm discomfort sometimes not appear thr"&amp;"oughout the race.")</f>
        <v>HORSE BALM Totally recommended. I have tried many creams and gels as heat and none have given me good result like this. I practice sport is canicross, very explosive and my femoral outputs is very touched with this balm discomfort sometimes not appear throughout the race.</v>
      </c>
    </row>
    <row r="11012">
      <c r="A11012" s="1">
        <v>2.0</v>
      </c>
      <c r="B11012" s="1" t="s">
        <v>10916</v>
      </c>
      <c r="C11012" t="str">
        <f>IFERROR(__xludf.DUMMYFUNCTION("GOOGLETRANSLATE(B11012, ""es"", ""en"")"),"Shure MVL This microphone is one of the best I've tasted in my case came to me opened and used, I thought of returning, he came with the cord wrapped put into the case, with foam donning and clip flap position, which normally it comes apart, for everyone "&amp;"to wear.")</f>
        <v>Shure MVL This microphone is one of the best I've tasted in my case came to me opened and used, I thought of returning, he came with the cord wrapped put into the case, with foam donning and clip flap position, which normally it comes apart, for everyone to wear.</v>
      </c>
    </row>
    <row r="11013">
      <c r="A11013" s="1">
        <v>3.0</v>
      </c>
      <c r="B11013" s="1" t="s">
        <v>10917</v>
      </c>
      <c r="C11013" t="str">
        <f>IFERROR(__xludf.DUMMYFUNCTION("GOOGLETRANSLATE(B11013, ""es"", ""en"")"),"Very good brightness and rapudez")</f>
        <v>Very good brightness and rapudez</v>
      </c>
    </row>
    <row r="11014">
      <c r="A11014" s="1">
        <v>3.0</v>
      </c>
      <c r="B11014" s="1" t="s">
        <v>10918</v>
      </c>
      <c r="C11014" t="str">
        <f>IFERROR(__xludf.DUMMYFUNCTION("GOOGLETRANSLATE(B11014, ""es"", ""en"")"),"Regular The trouble is that very little hard green part, in a few days it appears and can only sponge. litte")</f>
        <v>Regular The trouble is that very little hard green part, in a few days it appears and can only sponge. litte</v>
      </c>
    </row>
    <row r="11015">
      <c r="A11015" s="1">
        <v>1.0</v>
      </c>
      <c r="B11015" s="1" t="s">
        <v>10919</v>
      </c>
      <c r="C11015" t="str">
        <f>IFERROR(__xludf.DUMMYFUNCTION("GOOGLETRANSLATE(B11015, ""es"", ""en"")"),"malisimo balls leave metallic taste. Even after lathering with soap and washing them well. In the photos you see a green tea that has left brown. Do not buy some")</f>
        <v>malisimo balls leave metallic taste. Even after lathering with soap and washing them well. In the photos you see a green tea that has left brown. Do not buy some</v>
      </c>
    </row>
    <row r="11016">
      <c r="A11016" s="1">
        <v>1.0</v>
      </c>
      <c r="B11016" s="1" t="s">
        <v>10920</v>
      </c>
      <c r="C11016" t="str">
        <f>IFERROR(__xludf.DUMMYFUNCTION("GOOGLETRANSLATE(B11016, ""es"", ""en"")"),"I did not think. Q so tiny were too small")</f>
        <v>I did not think. Q so tiny were too small</v>
      </c>
    </row>
    <row r="11017">
      <c r="A11017" s="1">
        <v>4.0</v>
      </c>
      <c r="B11017" s="1" t="s">
        <v>10921</v>
      </c>
      <c r="C11017" t="str">
        <f>IFERROR(__xludf.DUMMYFUNCTION("GOOGLETRANSLATE(B11017, ""es"", ""en"")"),"Everything OK but a bit noisy. Everything perfect except for two things: 1. I made a mistake and bought the 1.7 liter while searching one of 0.7 (my mistake in the description that clearly puts it) 2. It is a bit noisy (no way affects the operation ) Heat"&amp;"s water very quickly. 100% recommendable.")</f>
        <v>Everything OK but a bit noisy. Everything perfect except for two things: 1. I made a mistake and bought the 1.7 liter while searching one of 0.7 (my mistake in the description that clearly puts it) 2. It is a bit noisy (no way affects the operation ) Heats water very quickly. 100% recommendable.</v>
      </c>
    </row>
    <row r="11018">
      <c r="A11018" s="1">
        <v>4.0</v>
      </c>
      <c r="B11018" s="1" t="s">
        <v>10922</v>
      </c>
      <c r="C11018" t="str">
        <f>IFERROR(__xludf.DUMMYFUNCTION("GOOGLETRANSLATE(B11018, ""es"", ""en"")"),"Contemporary, current unbeatable value for money. I bought 3 albums of different colors: chalk, gray and beige. The beige is quite clear from what you see in the picture. It is a good buy.")</f>
        <v>Contemporary, current unbeatable value for money. I bought 3 albums of different colors: chalk, gray and beige. The beige is quite clear from what you see in the picture. It is a good buy.</v>
      </c>
    </row>
    <row r="11019">
      <c r="A11019" s="1">
        <v>4.0</v>
      </c>
      <c r="B11019" s="1" t="s">
        <v>10923</v>
      </c>
      <c r="C11019" t="str">
        <f>IFERROR(__xludf.DUMMYFUNCTION("GOOGLETRANSLATE(B11019, ""es"", ""en"")"),"Recommended What is expected of him, maybe he squeezes a little paste but is very aesthetically pleasing")</f>
        <v>Recommended What is expected of him, maybe he squeezes a little paste but is very aesthetically pleasing</v>
      </c>
    </row>
    <row r="11020">
      <c r="A11020" s="1">
        <v>4.0</v>
      </c>
      <c r="B11020" s="1" t="s">
        <v>10924</v>
      </c>
      <c r="C11020" t="str">
        <f>IFERROR(__xludf.DUMMYFUNCTION("GOOGLETRANSLATE(B11020, ""es"", ""en"")"),"Vans good price to sales price. When I bought my doubts whether they were original or not, but look very nice indeed brings the box, tags and stickers as shops.")</f>
        <v>Vans good price to sales price. When I bought my doubts whether they were original or not, but look very nice indeed brings the box, tags and stickers as shops.</v>
      </c>
    </row>
    <row r="11021">
      <c r="A11021" s="1">
        <v>4.0</v>
      </c>
      <c r="B11021" s="1" t="s">
        <v>10925</v>
      </c>
      <c r="C11021" t="str">
        <f>IFERROR(__xludf.DUMMYFUNCTION("GOOGLETRANSLATE(B11021, ""es"", ""en"")"),"They are as expected and are fun is a shoe that draws attention and is the original. They are also really comfortable. As I have seen in other reviews it is true that unboxed come in pouches and do not have a high-quality materials. But they met the expec"&amp;"tations I had with them.")</f>
        <v>They are as expected and are fun is a shoe that draws attention and is the original. They are also really comfortable. As I have seen in other reviews it is true that unboxed come in pouches and do not have a high-quality materials. But they met the expectations I had with them.</v>
      </c>
    </row>
    <row r="11022">
      <c r="A11022" s="1">
        <v>5.0</v>
      </c>
      <c r="B11022" s="1" t="s">
        <v>10926</v>
      </c>
      <c r="C11022" t="str">
        <f>IFERROR(__xludf.DUMMYFUNCTION("GOOGLETRANSLATE(B11022, ""es"", ""en"")"),"Happy with purchase For winter, great. But they are a bit harsh. ....")</f>
        <v>Happy with purchase For winter, great. But they are a bit harsh. ....</v>
      </c>
    </row>
    <row r="11023">
      <c r="A11023" s="1">
        <v>5.0</v>
      </c>
      <c r="B11023" s="1" t="s">
        <v>10927</v>
      </c>
      <c r="C11023" t="str">
        <f>IFERROR(__xludf.DUMMYFUNCTION("GOOGLETRANSLATE(B11023, ""es"", ""en"")"),"Fabulous and fast I liked, as is seen in the photo and very fast shipping")</f>
        <v>Fabulous and fast I liked, as is seen in the photo and very fast shipping</v>
      </c>
    </row>
    <row r="11024">
      <c r="A11024" s="1">
        <v>5.0</v>
      </c>
      <c r="B11024" s="1" t="s">
        <v>10928</v>
      </c>
      <c r="C11024" t="str">
        <f>IFERROR(__xludf.DUMMYFUNCTION("GOOGLETRANSLATE(B11024, ""es"", ""en"")"),"My favorite boots is my third pair of Merrell boots and still very happy with them. The Vibram sole is ageradece, higher adhesion. Correct and quick service")</f>
        <v>My favorite boots is my third pair of Merrell boots and still very happy with them. The Vibram sole is ageradece, higher adhesion. Correct and quick service</v>
      </c>
    </row>
    <row r="11025">
      <c r="A11025" s="1">
        <v>5.0</v>
      </c>
      <c r="B11025" s="1" t="s">
        <v>10929</v>
      </c>
      <c r="C11025" t="str">
        <f>IFERROR(__xludf.DUMMYFUNCTION("GOOGLETRANSLATE(B11025, ""es"", ""en"")"),"They were a very good quality baby gift for a friend so far has not had colic. Van phenomenal and it shows a very good quality product.")</f>
        <v>They were a very good quality baby gift for a friend so far has not had colic. Van phenomenal and it shows a very good quality product.</v>
      </c>
    </row>
    <row r="11026">
      <c r="A11026" s="1">
        <v>5.0</v>
      </c>
      <c r="B11026" s="1" t="s">
        <v>10930</v>
      </c>
      <c r="C11026" t="str">
        <f>IFERROR(__xludf.DUMMYFUNCTION("GOOGLETRANSLATE(B11026, ""es"", ""en"")"),"Super stylish. Value is amazing, very beautiful and very elegant, and the next will be the same in Blue is also very stylish.")</f>
        <v>Super stylish. Value is amazing, very beautiful and very elegant, and the next will be the same in Blue is also very stylish.</v>
      </c>
    </row>
    <row r="11027">
      <c r="A11027" s="1">
        <v>5.0</v>
      </c>
      <c r="B11027" s="1" t="s">
        <v>10931</v>
      </c>
      <c r="C11027" t="str">
        <f>IFERROR(__xludf.DUMMYFUNCTION("GOOGLETRANSLATE(B11027, ""es"", ""en"")"),"Nice and helpful pending buy a new kettle was because I had at home I had broken the lid. And after searching among several I opted for this, the brand did not know but the truth is that it looks good brand. The material looks good, and perfectly fulfills"&amp;" its function. It comes packaged in a box inside a plastic bag to protect it properly. As for the time it takes to heat the water very little and is easy to use, the light turns on when you put it to heat and when hot water is turned off. I use it to heat"&amp;" water for tea, but cooking also saves you enough time to be waiting for hot pot. Value good. Very happy.")</f>
        <v>Nice and helpful pending buy a new kettle was because I had at home I had broken the lid. And after searching among several I opted for this, the brand did not know but the truth is that it looks good brand. The material looks good, and perfectly fulfills its function. It comes packaged in a box inside a plastic bag to protect it properly. As for the time it takes to heat the water very little and is easy to use, the light turns on when you put it to heat and when hot water is turned off. I use it to heat water for tea, but cooking also saves you enough time to be waiting for hot pot. Value good. Very happy.</v>
      </c>
    </row>
    <row r="11028">
      <c r="A11028" s="1">
        <v>5.0</v>
      </c>
      <c r="B11028" s="1" t="s">
        <v>10932</v>
      </c>
      <c r="C11028" t="str">
        <f>IFERROR(__xludf.DUMMYFUNCTION("GOOGLETRANSLATE(B11028, ""es"", ""en"")"),"After several tests I decided on this and I was lucky !! I like good bass sounds very well, improving if the player you install and reproduces with equalizer music, fast synchronization via Bluetooth, is not out of the ears, also not bother after several "&amp;"hours of listening, the battery lasts long described, is easily loaded on your box that the small well be transported in the ears do not sobresale.trae various gums to fit the ear of each, to me they were carrying me well. Finally remark I've tried severa"&amp;"l headphones of this type and all bothered in the ear, with this I managed at last !! . As for what I did not like: nothing to report, I think better impossible, however time will tell and update it.")</f>
        <v>After several tests I decided on this and I was lucky !! I like good bass sounds very well, improving if the player you install and reproduces with equalizer music, fast synchronization via Bluetooth, is not out of the ears, also not bother after several hours of listening, the battery lasts long described, is easily loaded on your box that the small well be transported in the ears do not sobresale.trae various gums to fit the ear of each, to me they were carrying me well. Finally remark I've tried several headphones of this type and all bothered in the ear, with this I managed at last !! . As for what I did not like: nothing to report, I think better impossible, however time will tell and update it.</v>
      </c>
    </row>
    <row r="11029">
      <c r="A11029" s="1">
        <v>5.0</v>
      </c>
      <c r="B11029" s="1" t="s">
        <v>10933</v>
      </c>
      <c r="C11029" t="str">
        <f>IFERROR(__xludf.DUMMYFUNCTION("GOOGLETRANSLATE(B11029, ""es"", ""en"")"),"Perfect bag organizer")</f>
        <v>Perfect bag organizer</v>
      </c>
    </row>
    <row r="11030">
      <c r="A11030" s="1">
        <v>5.0</v>
      </c>
      <c r="B11030" s="1" t="s">
        <v>10934</v>
      </c>
      <c r="C11030" t="str">
        <f>IFERROR(__xludf.DUMMYFUNCTION("GOOGLETRANSLATE(B11030, ""es"", ""en"")"),"LITTLE BIG HERVIDOR¡'m happy with the fast, quiet, economical, with a design very beautiful, good quality. EVERYTHING")</f>
        <v>LITTLE BIG HERVIDOR¡'m happy with the fast, quiet, economical, with a design very beautiful, good quality. EVERYTHING</v>
      </c>
    </row>
    <row r="11031">
      <c r="A11031" s="1">
        <v>5.0</v>
      </c>
      <c r="B11031" s="1" t="s">
        <v>10935</v>
      </c>
      <c r="C11031" t="str">
        <f>IFERROR(__xludf.DUMMYFUNCTION("GOOGLETRANSLATE(B11031, ""es"", ""en"")"),"Pegan works very well!")</f>
        <v>Pegan works very well!</v>
      </c>
    </row>
    <row r="11032">
      <c r="A11032" s="1">
        <v>5.0</v>
      </c>
      <c r="B11032" s="1" t="s">
        <v>10936</v>
      </c>
      <c r="C11032" t="str">
        <f>IFERROR(__xludf.DUMMYFUNCTION("GOOGLETRANSLATE(B11032, ""es"", ""en"")"),"Good buy are the originals. Van well.")</f>
        <v>Good buy are the originals. Van well.</v>
      </c>
    </row>
    <row r="11033">
      <c r="A11033" s="1">
        <v>5.0</v>
      </c>
      <c r="B11033" s="1" t="s">
        <v>10937</v>
      </c>
      <c r="C11033" t="str">
        <f>IFERROR(__xludf.DUMMYFUNCTION("GOOGLETRANSLATE(B11033, ""es"", ""en"")"),"It worked perfectly soon arrived, but it was worth. It works perfectly. I recommend looking for some tutroial on youtube to format the microSD to be put inside.")</f>
        <v>It worked perfectly soon arrived, but it was worth. It works perfectly. I recommend looking for some tutroial on youtube to format the microSD to be put inside.</v>
      </c>
    </row>
    <row r="11034">
      <c r="A11034" s="1">
        <v>5.0</v>
      </c>
      <c r="B11034" s="1" t="s">
        <v>10938</v>
      </c>
      <c r="C11034" t="str">
        <f>IFERROR(__xludf.DUMMYFUNCTION("GOOGLETRANSLATE(B11034, ""es"", ""en"")"),"Everything perfect, as expected. It works perfectly for what it is. I give daily use to heat water and milk, it is what I expected.")</f>
        <v>Everything perfect, as expected. It works perfectly for what it is. I give daily use to heat water and milk, it is what I expected.</v>
      </c>
    </row>
    <row r="11035">
      <c r="A11035" s="1">
        <v>5.0</v>
      </c>
      <c r="B11035" s="1" t="s">
        <v>10939</v>
      </c>
      <c r="C11035" t="str">
        <f>IFERROR(__xludf.DUMMYFUNCTION("GOOGLETRANSLATE(B11035, ""es"", ""en"")"),"Easy to install pay quality, speed is very good, almost no place.")</f>
        <v>Easy to install pay quality, speed is very good, almost no place.</v>
      </c>
    </row>
    <row r="11036">
      <c r="A11036" s="1">
        <v>5.0</v>
      </c>
      <c r="B11036" s="1" t="s">
        <v>10940</v>
      </c>
      <c r="C11036" t="str">
        <f>IFERROR(__xludf.DUMMYFUNCTION("GOOGLETRANSLATE(B11036, ""es"", ""en"")"),"Sizes are well Good size")</f>
        <v>Sizes are well Good size</v>
      </c>
    </row>
    <row r="11037">
      <c r="A11037" s="1">
        <v>5.0</v>
      </c>
      <c r="B11037" s="1" t="s">
        <v>10941</v>
      </c>
      <c r="C11037" t="str">
        <f>IFERROR(__xludf.DUMMYFUNCTION("GOOGLETRANSLATE(B11037, ""es"", ""en"")"),"Studio microphone at a good price A complete kit with acceptable quality. I do not give much tralla and I hope that both the micro and the support have good durability")</f>
        <v>Studio microphone at a good price A complete kit with acceptable quality. I do not give much tralla and I hope that both the micro and the support have good durability</v>
      </c>
    </row>
    <row r="11038">
      <c r="A11038" s="1">
        <v>5.0</v>
      </c>
      <c r="B11038" s="1" t="s">
        <v>10942</v>
      </c>
      <c r="C11038" t="str">
        <f>IFERROR(__xludf.DUMMYFUNCTION("GOOGLETRANSLATE(B11038, ""es"", ""en"")"),"I was not original with the product because I could not see them. But they were beautiful and super good quality, original go. Another thing is that I do not enjoy ... but are super recommended !!!")</f>
        <v>I was not original with the product because I could not see them. But they were beautiful and super good quality, original go. Another thing is that I do not enjoy ... but are super recommended !!!</v>
      </c>
    </row>
    <row r="11039">
      <c r="A11039" s="1">
        <v>5.0</v>
      </c>
      <c r="B11039" s="1" t="s">
        <v>10943</v>
      </c>
      <c r="C11039" t="str">
        <f>IFERROR(__xludf.DUMMYFUNCTION("GOOGLETRANSLATE(B11039, ""es"", ""en"")"),"Precious Love, is very fine, you'd think, which is silver, I recommend it 100%")</f>
        <v>Precious Love, is very fine, you'd think, which is silver, I recommend it 100%</v>
      </c>
    </row>
    <row r="11040">
      <c r="A11040" s="1">
        <v>5.0</v>
      </c>
      <c r="B11040" s="1" t="s">
        <v>10944</v>
      </c>
      <c r="C11040" t="str">
        <f>IFERROR(__xludf.DUMMYFUNCTION("GOOGLETRANSLATE(B11040, ""es"", ""en"")"),"Customer care muuuy good. I had problems with the microphones I bought and sent me other microphones of better quality. Perfect attention to the customer. 10.")</f>
        <v>Customer care muuuy good. I had problems with the microphones I bought and sent me other microphones of better quality. Perfect attention to the customer. 10.</v>
      </c>
    </row>
    <row r="11041">
      <c r="A11041" s="1">
        <v>2.0</v>
      </c>
      <c r="B11041" s="1" t="s">
        <v>10945</v>
      </c>
      <c r="C11041" t="str">
        <f>IFERROR(__xludf.DUMMYFUNCTION("GOOGLETRANSLATE(B11041, ""es"", ""en"")"),"Sony does not work in a7iii is the second card I bought from Amazon, and Sony a7iii card does not recognize any of the possible ways, however buy the same exact card in a physical store and worked perfectly. Discontent by the operation.")</f>
        <v>Sony does not work in a7iii is the second card I bought from Amazon, and Sony a7iii card does not recognize any of the possible ways, however buy the same exact card in a physical store and worked perfectly. Discontent by the operation.</v>
      </c>
    </row>
    <row r="11042">
      <c r="A11042" s="1">
        <v>3.0</v>
      </c>
      <c r="B11042" s="1" t="s">
        <v>10946</v>
      </c>
      <c r="C11042" t="str">
        <f>IFERROR(__xludf.DUMMYFUNCTION("GOOGLETRANSLATE(B11042, ""es"", ""en"")"),"Good value cable looks pretty well protected and connections are not bad, but a week I had to return one has welded connections because it came badly welded stopped ringing.")</f>
        <v>Good value cable looks pretty well protected and connections are not bad, but a week I had to return one has welded connections because it came badly welded stopped ringing.</v>
      </c>
    </row>
    <row r="11043">
      <c r="A11043" s="1">
        <v>3.0</v>
      </c>
      <c r="B11043" s="1" t="s">
        <v>10947</v>
      </c>
      <c r="C11043" t="str">
        <f>IFERROR(__xludf.DUMMYFUNCTION("GOOGLETRANSLATE(B11043, ""es"", ""en"")"),"The battery box and very nice watch is like the photo presentation, the only thing I might add is not brought drums and wine in a box normalitaa")</f>
        <v>The battery box and very nice watch is like the photo presentation, the only thing I might add is not brought drums and wine in a box normalitaa</v>
      </c>
    </row>
    <row r="11044">
      <c r="A11044" s="1">
        <v>1.0</v>
      </c>
      <c r="B11044" s="1" t="s">
        <v>10948</v>
      </c>
      <c r="C11044" t="str">
        <f>IFERROR(__xludf.DUMMYFUNCTION("GOOGLETRANSLATE(B11044, ""es"", ""en"")"),"I put throwing money around a star because I can not put my headset zero.a not funciona.lamentable")</f>
        <v>I put throwing money around a star because I can not put my headset zero.a not funciona.lamentable</v>
      </c>
    </row>
    <row r="11045">
      <c r="A11045" s="1">
        <v>1.0</v>
      </c>
      <c r="B11045" s="1" t="s">
        <v>10949</v>
      </c>
      <c r="C11045" t="str">
        <f>IFERROR(__xludf.DUMMYFUNCTION("GOOGLETRANSLATE(B11045, ""es"", ""en"")"),"Discontent Already there are several that I bought and always the same. Very good sound quality, but work between 9 and 15 months. Always end up breaking the same way: one of the two ear stops working. I have dismounted to see if it is a cable but no. Pri"&amp;"or to these were broken from the plug or the headset. I think they stopped selling them. With these are supposed to have fixed the peg, but the other is not. Summary: headphones with good sound quality but unfortunate duration.")</f>
        <v>Discontent Already there are several that I bought and always the same. Very good sound quality, but work between 9 and 15 months. Always end up breaking the same way: one of the two ear stops working. I have dismounted to see if it is a cable but no. Prior to these were broken from the plug or the headset. I think they stopped selling them. With these are supposed to have fixed the peg, but the other is not. Summary: headphones with good sound quality but unfortunate duration.</v>
      </c>
    </row>
    <row r="11046">
      <c r="A11046" s="1">
        <v>4.0</v>
      </c>
      <c r="B11046" s="1" t="s">
        <v>10950</v>
      </c>
      <c r="C11046" t="str">
        <f>IFERROR(__xludf.DUMMYFUNCTION("GOOGLETRANSLATE(B11046, ""es"", ""en"")"),"It has many practical pockets and more capacity than it seems. I bought it to take to work. It is a fair bit me. But that's my fault. 2 cms taller would have been perfect. But as I say I think good buy")</f>
        <v>It has many practical pockets and more capacity than it seems. I bought it to take to work. It is a fair bit me. But that's my fault. 2 cms taller would have been perfect. But as I say I think good buy</v>
      </c>
    </row>
    <row r="11047">
      <c r="A11047" s="1">
        <v>4.0</v>
      </c>
      <c r="B11047" s="1" t="s">
        <v>10951</v>
      </c>
      <c r="C11047" t="str">
        <f>IFERROR(__xludf.DUMMYFUNCTION("GOOGLETRANSLATE(B11047, ""es"", ""en"")"),"So comfortable !! I use them to work and the soles are very comfortable but I have a 39 and guiding me for the opinions they said to pick up a size 39/40 and asked me are huge but otherwise are great and the next time you buy 38/39 I will get better")</f>
        <v>So comfortable !! I use them to work and the soles are very comfortable but I have a 39 and guiding me for the opinions they said to pick up a size 39/40 and asked me are huge but otherwise are great and the next time you buy 38/39 I will get better</v>
      </c>
    </row>
    <row r="11048">
      <c r="A11048" s="1">
        <v>4.0</v>
      </c>
      <c r="B11048" s="1" t="s">
        <v>10952</v>
      </c>
      <c r="C11048" t="str">
        <f>IFERROR(__xludf.DUMMYFUNCTION("GOOGLETRANSLATE(B11048, ""es"", ""en"")"),"But they are just beautiful finishes are perfect. I am 41 and asked for 41 but I remain pretty fair, so what if I take them along for a long time come to bother. I hope that they start using larger do.")</f>
        <v>But they are just beautiful finishes are perfect. I am 41 and asked for 41 but I remain pretty fair, so what if I take them along for a long time come to bother. I hope that they start using larger do.</v>
      </c>
    </row>
    <row r="11049">
      <c r="A11049" s="1">
        <v>4.0</v>
      </c>
      <c r="B11049" s="1" t="s">
        <v>10953</v>
      </c>
      <c r="C11049" t="str">
        <f>IFERROR(__xludf.DUMMYFUNCTION("GOOGLETRANSLATE(B11049, ""es"", ""en"")"),"I received what I asked to go to the mountain. I do not care")</f>
        <v>I received what I asked to go to the mountain. I do not care</v>
      </c>
    </row>
    <row r="11050">
      <c r="A11050" s="1">
        <v>4.0</v>
      </c>
      <c r="B11050" s="1" t="s">
        <v>10954</v>
      </c>
      <c r="C11050" t="str">
        <f>IFERROR(__xludf.DUMMYFUNCTION("GOOGLETRANSLATE(B11050, ""es"", ""en"")"),"Surprisingly good discounts .Without well constructed loudness loss and a very solid apreciable.Y with a price that is very competitive")</f>
        <v>Surprisingly good discounts .Without well constructed loudness loss and a very solid apreciable.Y with a price that is very competitive</v>
      </c>
    </row>
    <row r="11051">
      <c r="A11051" s="1">
        <v>5.0</v>
      </c>
      <c r="B11051" s="1" t="s">
        <v>10955</v>
      </c>
      <c r="C11051" t="str">
        <f>IFERROR(__xludf.DUMMYFUNCTION("GOOGLETRANSLATE(B11051, ""es"", ""en"")"),"Explosion box was the Holy One of my wife and wanted to give something that surprised him and he liked and frankly I succeeded. We leave it in the car when he went to work and was delighted. It is a very original gift and surprising as to the open you can"&amp;" not imagine that there will be a lot of pictures. The result is spectacular.")</f>
        <v>Explosion box was the Holy One of my wife and wanted to give something that surprised him and he liked and frankly I succeeded. We leave it in the car when he went to work and was delighted. It is a very original gift and surprising as to the open you can not imagine that there will be a lot of pictures. The result is spectacular.</v>
      </c>
    </row>
    <row r="11052">
      <c r="A11052" s="1">
        <v>5.0</v>
      </c>
      <c r="B11052" s="1" t="s">
        <v>10956</v>
      </c>
      <c r="C11052" t="str">
        <f>IFERROR(__xludf.DUMMYFUNCTION("GOOGLETRANSLATE(B11052, ""es"", ""en"")"),"Meets elegant function")</f>
        <v>Meets elegant function</v>
      </c>
    </row>
    <row r="11053">
      <c r="A11053" s="1">
        <v>5.0</v>
      </c>
      <c r="B11053" s="1" t="s">
        <v>10957</v>
      </c>
      <c r="C11053" t="str">
        <f>IFERROR(__xludf.DUMMYFUNCTION("GOOGLETRANSLATE(B11053, ""es"", ""en"")"),"Reliable, high-capacity hard drive that I wanted a good capacity and had recognized brand and to this end gave Maxtor (part of Seagate) 4TB. Aesthetically it is nice with a surface corrugated as very original and the edge is concave, so it has a good grip"&amp;" in the hand. The housing is quite thick, so you have to be careful when choosing a case.")</f>
        <v>Reliable, high-capacity hard drive that I wanted a good capacity and had recognized brand and to this end gave Maxtor (part of Seagate) 4TB. Aesthetically it is nice with a surface corrugated as very original and the edge is concave, so it has a good grip in the hand. The housing is quite thick, so you have to be careful when choosing a case.</v>
      </c>
    </row>
    <row r="11054">
      <c r="A11054" s="1">
        <v>5.0</v>
      </c>
      <c r="B11054" s="1" t="s">
        <v>10958</v>
      </c>
      <c r="C11054" t="str">
        <f>IFERROR(__xludf.DUMMYFUNCTION("GOOGLETRANSLATE(B11054, ""es"", ""en"")"),"Very broad, covering virtually the entire mattress. Very broad, covering virtually the entire mattress. The heat level is good and the power to remove the controls for machine washable a great advantage. Rapid and timely delivery, as usual in amazon.")</f>
        <v>Very broad, covering virtually the entire mattress. Very broad, covering virtually the entire mattress. The heat level is good and the power to remove the controls for machine washable a great advantage. Rapid and timely delivery, as usual in amazon.</v>
      </c>
    </row>
    <row r="11055">
      <c r="A11055" s="1">
        <v>5.0</v>
      </c>
      <c r="B11055" s="1" t="s">
        <v>10959</v>
      </c>
      <c r="C11055" t="str">
        <f>IFERROR(__xludf.DUMMYFUNCTION("GOOGLETRANSLATE(B11055, ""es"", ""en"")"),"Quality / Price insuperable Product as aesthetic and functional. The pictures are really true to the product received. It has a good finish, good quality.")</f>
        <v>Quality / Price insuperable Product as aesthetic and functional. The pictures are really true to the product received. It has a good finish, good quality.</v>
      </c>
    </row>
    <row r="11056">
      <c r="A11056" s="1">
        <v>5.0</v>
      </c>
      <c r="B11056" s="1" t="s">
        <v>10960</v>
      </c>
      <c r="C11056" t="str">
        <f>IFERROR(__xludf.DUMMYFUNCTION("GOOGLETRANSLATE(B11056, ""es"", ""en"")"),"Now I have a Macbook 13 ""2009 is going super fast! Thrilled. I have a Macbook 13"" 2009 I still use and had long been going very slow (probably due to updates of the OS), to the extent that it has impossible to use because it took 5 minutes or longer to "&amp;"react to every click that was ... I thought it was problem with the hard drive and I bought this ssd and seems to have hit. Installing the SSD: I had trouble installing the Mac OS to SSD coming format. But probably the problem of recovery mac. I had to ma"&amp;"nually format it from there as all good and my laptop is now going super fast :)")</f>
        <v>Now I have a Macbook 13 "2009 is going super fast! Thrilled. I have a Macbook 13" 2009 I still use and had long been going very slow (probably due to updates of the OS), to the extent that it has impossible to use because it took 5 minutes or longer to react to every click that was ... I thought it was problem with the hard drive and I bought this ssd and seems to have hit. Installing the SSD: I had trouble installing the Mac OS to SSD coming format. But probably the problem of recovery mac. I had to manually format it from there as all good and my laptop is now going super fast :)</v>
      </c>
    </row>
    <row r="11057">
      <c r="A11057" s="1">
        <v>5.0</v>
      </c>
      <c r="B11057" s="1" t="s">
        <v>10961</v>
      </c>
      <c r="C11057" t="str">
        <f>IFERROR(__xludf.DUMMYFUNCTION("GOOGLETRANSLATE(B11057, ""es"", ""en"")"),"Crown The crown is very elegant, it is light and very pretty girls loves are great for Birthday and events as well. The crown has crystals that look like diamonds which gives more realism")</f>
        <v>Crown The crown is very elegant, it is light and very pretty girls loves are great for Birthday and events as well. The crown has crystals that look like diamonds which gives more realism</v>
      </c>
    </row>
    <row r="11058">
      <c r="A11058" s="1">
        <v>5.0</v>
      </c>
      <c r="B11058" s="1" t="s">
        <v>10962</v>
      </c>
      <c r="C11058" t="str">
        <f>IFERROR(__xludf.DUMMYFUNCTION("GOOGLETRANSLATE(B11058, ""es"", ""en"")"),"Perfect perfect! Correct size! They are thicker than it looks so great for summer and halftime. good buy")</f>
        <v>Perfect perfect! Correct size! They are thicker than it looks so great for summer and halftime. good buy</v>
      </c>
    </row>
    <row r="11059">
      <c r="A11059" s="1">
        <v>5.0</v>
      </c>
      <c r="B11059" s="1" t="s">
        <v>10963</v>
      </c>
      <c r="C11059" t="str">
        <f>IFERROR(__xludf.DUMMYFUNCTION("GOOGLETRANSLATE(B11059, ""es"", ""en"")"),"Durable socks I liked especially the quality of the fabric, and most importantly, where the elastic leg is not subject loosens with the passage of time, which if passed with average marks ""white""; price of 07.05 euros, average quality.")</f>
        <v>Durable socks I liked especially the quality of the fabric, and most importantly, where the elastic leg is not subject loosens with the passage of time, which if passed with average marks "white"; price of 07.05 euros, average quality.</v>
      </c>
    </row>
    <row r="11060">
      <c r="A11060" s="1">
        <v>5.0</v>
      </c>
      <c r="B11060" s="1" t="s">
        <v>10964</v>
      </c>
      <c r="C11060" t="str">
        <f>IFERROR(__xludf.DUMMYFUNCTION("GOOGLETRANSLATE(B11060, ""es"", ""en"")"),"the best nvme large hard drive for high performance, I have made you a gamer laptop that may be too hard drive but with rates as announced by Samsung.")</f>
        <v>the best nvme large hard drive for high performance, I have made you a gamer laptop that may be too hard drive but with rates as announced by Samsung.</v>
      </c>
    </row>
    <row r="11061">
      <c r="A11061" s="1">
        <v>5.0</v>
      </c>
      <c r="B11061" s="1" t="s">
        <v>10965</v>
      </c>
      <c r="C11061" t="str">
        <f>IFERROR(__xludf.DUMMYFUNCTION("GOOGLETRANSLATE(B11061, ""es"", ""en"")"),"High quality high quality watch, and very beautiful, is a great buy.")</f>
        <v>High quality high quality watch, and very beautiful, is a great buy.</v>
      </c>
    </row>
    <row r="11062">
      <c r="A11062" s="1">
        <v>5.0</v>
      </c>
      <c r="B11062" s="1" t="s">
        <v>10966</v>
      </c>
      <c r="C11062" t="str">
        <f>IFERROR(__xludf.DUMMYFUNCTION("GOOGLETRANSLATE(B11062, ""es"", ""en"")"),"Aesthetically beautiful design I like, especially because all my appliances are stainless steel, so it is going very well. the prints are not marked on the catch. It also includes a slightly futuristic blue LED light that gives a very original look. It tu"&amp;"rns off when water has boiled. It is very light and easy to handle. It includes a button that automatically opens the top cover to fill more easily. Good value for money.")</f>
        <v>Aesthetically beautiful design I like, especially because all my appliances are stainless steel, so it is going very well. the prints are not marked on the catch. It also includes a slightly futuristic blue LED light that gives a very original look. It turns off when water has boiled. It is very light and easy to handle. It includes a button that automatically opens the top cover to fill more easily. Good value for money.</v>
      </c>
    </row>
    <row r="11063">
      <c r="A11063" s="1">
        <v>5.0</v>
      </c>
      <c r="B11063" s="1" t="s">
        <v>10967</v>
      </c>
      <c r="C11063" t="str">
        <f>IFERROR(__xludf.DUMMYFUNCTION("GOOGLETRANSLATE(B11063, ""es"", ""en"")"),"PHOTOS This fine, I've been using for almost a year and it's going very well.")</f>
        <v>PHOTOS This fine, I've been using for almost a year and it's going very well.</v>
      </c>
    </row>
    <row r="11064">
      <c r="A11064" s="1">
        <v>5.0</v>
      </c>
      <c r="B11064" s="1" t="s">
        <v>10968</v>
      </c>
      <c r="C11064" t="str">
        <f>IFERROR(__xludf.DUMMYFUNCTION("GOOGLETRANSLATE(B11064, ""es"", ""en"")"),"Great!!!! Very good quality shoes! Highly recommended!")</f>
        <v>Great!!!! Very good quality shoes! Highly recommended!</v>
      </c>
    </row>
    <row r="11065">
      <c r="A11065" s="1">
        <v>5.0</v>
      </c>
      <c r="B11065" s="1" t="s">
        <v>10969</v>
      </c>
      <c r="C11065" t="str">
        <f>IFERROR(__xludf.DUMMYFUNCTION("GOOGLETRANSLATE(B11065, ""es"", ""en"")"),"Super recommended 100% recommend If I fall short. Neck contracture disappears from the first time you use it, releasing stress and discover your neck turns more to either side. You can read and read opinions, but when evidence is when ...... Why not think"&amp;" I will have discovered before ?.")</f>
        <v>Super recommended 100% recommend If I fall short. Neck contracture disappears from the first time you use it, releasing stress and discover your neck turns more to either side. You can read and read opinions, but when evidence is when ...... Why not think I will have discovered before ?.</v>
      </c>
    </row>
    <row r="11066">
      <c r="A11066" s="1">
        <v>5.0</v>
      </c>
      <c r="B11066" s="1" t="s">
        <v>10970</v>
      </c>
      <c r="C11066" t="str">
        <f>IFERROR(__xludf.DUMMYFUNCTION("GOOGLETRANSLATE(B11066, ""es"", ""en"")"),"Working properly transfer speed is very fast and so far I have not had any problems.")</f>
        <v>Working properly transfer speed is very fast and so far I have not had any problems.</v>
      </c>
    </row>
    <row r="11067">
      <c r="A11067" s="1">
        <v>5.0</v>
      </c>
      <c r="B11067" s="1" t="s">
        <v>10971</v>
      </c>
      <c r="C11067" t="str">
        <f>IFERROR(__xludf.DUMMYFUNCTION("GOOGLETRANSLATE(B11067, ""es"", ""en"")"),"Capacity at low cost. All they have worked. Videos carry up to 22MB / s .h264 without problems TVs.")</f>
        <v>Capacity at low cost. All they have worked. Videos carry up to 22MB / s .h264 without problems TVs.</v>
      </c>
    </row>
    <row r="11068">
      <c r="A11068" s="1">
        <v>5.0</v>
      </c>
      <c r="B11068" s="1" t="s">
        <v>10972</v>
      </c>
      <c r="C11068" t="str">
        <f>IFERROR(__xludf.DUMMYFUNCTION("GOOGLETRANSLATE(B11068, ""es"", ""en"")"),"Good quality and price satisfaction")</f>
        <v>Good quality and price satisfaction</v>
      </c>
    </row>
    <row r="11069">
      <c r="A11069" s="1">
        <v>2.0</v>
      </c>
      <c r="B11069" s="1" t="s">
        <v>10973</v>
      </c>
      <c r="C11069" t="str">
        <f>IFERROR(__xludf.DUMMYFUNCTION("GOOGLETRANSLATE(B11069, ""es"", ""en"")"),"Money but a headset is not heard much ado I liked headphones have arrived on time, and very good value for money. The problem is that only listening to a headset for a couple of weeks and I get to fix it does, if I could help with that would be helpful an"&amp;"d improve my score.")</f>
        <v>Money but a headset is not heard much ado I liked headphones have arrived on time, and very good value for money. The problem is that only listening to a headset for a couple of weeks and I get to fix it does, if I could help with that would be helpful and improve my score.</v>
      </c>
    </row>
    <row r="11070">
      <c r="A11070" s="1">
        <v>3.0</v>
      </c>
      <c r="B11070" s="1" t="s">
        <v>10974</v>
      </c>
      <c r="C11070" t="str">
        <f>IFERROR(__xludf.DUMMYFUNCTION("GOOGLETRANSLATE(B11070, ""es"", ""en"")"),"Of the mouse is useless of the keyboard is very comfortable and does the job. Of the mouse just does the opposite. Within minutes you start using it hurt his wrist. At the end I have put to the back and use as a normal mouse. My advice is to only acquire "&amp;"optéis of the keyboard.")</f>
        <v>Of the mouse is useless of the keyboard is very comfortable and does the job. Of the mouse just does the opposite. Within minutes you start using it hurt his wrist. At the end I have put to the back and use as a normal mouse. My advice is to only acquire optéis of the keyboard.</v>
      </c>
    </row>
    <row r="11071">
      <c r="A11071" s="1">
        <v>1.0</v>
      </c>
      <c r="B11071" s="1" t="s">
        <v>10975</v>
      </c>
      <c r="C11071" t="str">
        <f>IFERROR(__xludf.DUMMYFUNCTION("GOOGLETRANSLATE(B11071, ""es"", ""en"")"),"Not recommended for works not copy photos in lpad 6th generation mini and iPad")</f>
        <v>Not recommended for works not copy photos in lpad 6th generation mini and iPad</v>
      </c>
    </row>
    <row r="11072">
      <c r="A11072" s="1">
        <v>1.0</v>
      </c>
      <c r="B11072" s="1" t="s">
        <v>10976</v>
      </c>
      <c r="C11072" t="str">
        <f>IFERROR(__xludf.DUMMYFUNCTION("GOOGLETRANSLATE(B11072, ""es"", ""en"")"),"Painful failure Although the functions / price ratio is excellent, it has a very serious design flaw: clip the skin, causing a small quite painful wounds. I had never happened to me before with a clock. After two episodes of gauze and bandages will not be"&amp;" a third: he finished in a drawer, and has not gone to waste not to contaminate a landfill. You might remove the strap and finish as minidespertador.")</f>
        <v>Painful failure Although the functions / price ratio is excellent, it has a very serious design flaw: clip the skin, causing a small quite painful wounds. I had never happened to me before with a clock. After two episodes of gauze and bandages will not be a third: he finished in a drawer, and has not gone to waste not to contaminate a landfill. You might remove the strap and finish as minidespertador.</v>
      </c>
    </row>
    <row r="11073">
      <c r="A11073" s="1">
        <v>4.0</v>
      </c>
      <c r="B11073" s="1" t="s">
        <v>10977</v>
      </c>
      <c r="C11073" t="str">
        <f>IFERROR(__xludf.DUMMYFUNCTION("GOOGLETRANSLATE(B11073, ""es"", ""en"")"),"Right already had one for my previous tablet and now needed another USB connector type C. It works perfectly and bring it to the child see drawings on the tablet and be able to carry enough variety.")</f>
        <v>Right already had one for my previous tablet and now needed another USB connector type C. It works perfectly and bring it to the child see drawings on the tablet and be able to carry enough variety.</v>
      </c>
    </row>
    <row r="11074">
      <c r="A11074" s="1">
        <v>4.0</v>
      </c>
      <c r="B11074" s="1" t="s">
        <v>10978</v>
      </c>
      <c r="C11074" t="str">
        <f>IFERROR(__xludf.DUMMYFUNCTION("GOOGLETRANSLATE(B11074, ""es"", ""en"")"),"To improve Very fast heating The filter is not effective")</f>
        <v>To improve Very fast heating The filter is not effective</v>
      </c>
    </row>
    <row r="11075">
      <c r="A11075" s="1">
        <v>4.0</v>
      </c>
      <c r="B11075" s="1" t="s">
        <v>10979</v>
      </c>
      <c r="C11075" t="str">
        <f>IFERROR(__xludf.DUMMYFUNCTION("GOOGLETRANSLATE(B11075, ""es"", ""en"")"),"Buana quality / price Very comfortable grip. Small and fulfills its function very well. Very nice use. I would buy.")</f>
        <v>Buana quality / price Very comfortable grip. Small and fulfills its function very well. Very nice use. I would buy.</v>
      </c>
    </row>
    <row r="11076">
      <c r="A11076" s="1">
        <v>4.0</v>
      </c>
      <c r="B11076" s="1" t="s">
        <v>10980</v>
      </c>
      <c r="C11076" t="str">
        <f>IFERROR(__xludf.DUMMYFUNCTION("GOOGLETRANSLATE(B11076, ""es"", ""en"")"),"Good product smells good")</f>
        <v>Good product smells good</v>
      </c>
    </row>
    <row r="11077">
      <c r="A11077" s="1">
        <v>5.0</v>
      </c>
      <c r="B11077" s="1" t="s">
        <v>10981</v>
      </c>
      <c r="C11077" t="str">
        <f>IFERROR(__xludf.DUMMYFUNCTION("GOOGLETRANSLATE(B11077, ""es"", ""en"")"),"Avent is a quality product, I think with all that is said")</f>
        <v>Avent is a quality product, I think with all that is said</v>
      </c>
    </row>
    <row r="11078">
      <c r="A11078" s="1">
        <v>5.0</v>
      </c>
      <c r="B11078" s="1" t="s">
        <v>10982</v>
      </c>
      <c r="C11078" t="str">
        <f>IFERROR(__xludf.DUMMYFUNCTION("GOOGLETRANSLATE(B11078, ""es"", ""en"")"),"Supercómodos extremely comfortable, as everything from Sketchers. They are not cheap, but worth it")</f>
        <v>Supercómodos extremely comfortable, as everything from Sketchers. They are not cheap, but worth it</v>
      </c>
    </row>
    <row r="11079">
      <c r="A11079" s="1">
        <v>5.0</v>
      </c>
      <c r="B11079" s="1" t="s">
        <v>10983</v>
      </c>
      <c r="C11079" t="str">
        <f>IFERROR(__xludf.DUMMYFUNCTION("GOOGLETRANSLATE(B11079, ""es"", ""en"")"),"Come pleasantly surprised with amplifier and USB card. The sound is excellent equalizing a bit (default takes some unreal bass and treble means and tablets, which are good to play but not for music). If I could not equalize not buy them. Well equalized al"&amp;"most sounds like a akg 271 use for many years. resistant and very comfortable material for the ears are. By putting a snag, they do not cover the whole ear and thus also harder to stay in place (though not heard anything from outside)")</f>
        <v>Come pleasantly surprised with amplifier and USB card. The sound is excellent equalizing a bit (default takes some unreal bass and treble means and tablets, which are good to play but not for music). If I could not equalize not buy them. Well equalized almost sounds like a akg 271 use for many years. resistant and very comfortable material for the ears are. By putting a snag, they do not cover the whole ear and thus also harder to stay in place (though not heard anything from outside)</v>
      </c>
    </row>
    <row r="11080">
      <c r="A11080" s="1">
        <v>5.0</v>
      </c>
      <c r="B11080" s="1" t="s">
        <v>10984</v>
      </c>
      <c r="C11080" t="str">
        <f>IFERROR(__xludf.DUMMYFUNCTION("GOOGLETRANSLATE(B11080, ""es"", ""en"")"),"Well at first I thought something bigger than I expected but one day I got used to it and perfect it does not bother me and I feel great took almost a month with and now I have no complaints I love and if I recommend it to and I I have not tested that wat"&amp;"er is not if it's true but I think it looks that itself will be fine.")</f>
        <v>Well at first I thought something bigger than I expected but one day I got used to it and perfect it does not bother me and I feel great took almost a month with and now I have no complaints I love and if I recommend it to and I I have not tested that water is not if it's true but I think it looks that itself will be fine.</v>
      </c>
    </row>
    <row r="11081">
      <c r="A11081" s="1">
        <v>5.0</v>
      </c>
      <c r="B11081" s="1" t="s">
        <v>10985</v>
      </c>
      <c r="C11081" t="str">
        <f>IFERROR(__xludf.DUMMYFUNCTION("GOOGLETRANSLATE(B11081, ""es"", ""en"")"),"Attractive quiet and silent Humidifier with a large tank to store water. The RGB light gives you a touch of glamor to the device. Vaporizing has two levels according to your taste, I recommend using a quality essential oils. I'm very happy with it, I reco"&amp;"mmend purchase.")</f>
        <v>Attractive quiet and silent Humidifier with a large tank to store water. The RGB light gives you a touch of glamor to the device. Vaporizing has two levels according to your taste, I recommend using a quality essential oils. I'm very happy with it, I recommend purchase.</v>
      </c>
    </row>
    <row r="11082">
      <c r="A11082" s="1">
        <v>5.0</v>
      </c>
      <c r="B11082" s="1" t="s">
        <v>10986</v>
      </c>
      <c r="C11082" t="str">
        <f>IFERROR(__xludf.DUMMYFUNCTION("GOOGLETRANSLATE(B11082, ""es"", ""en"")"),".. I liked very buebo Very good")</f>
        <v>.. I liked very buebo Very good</v>
      </c>
    </row>
    <row r="11083">
      <c r="A11083" s="1">
        <v>5.0</v>
      </c>
      <c r="B11083" s="1" t="s">
        <v>10987</v>
      </c>
      <c r="C11083" t="str">
        <f>IFERROR(__xludf.DUMMYFUNCTION("GOOGLETRANSLATE(B11083, ""es"", ""en"")"),"Blue ,, ,, reflecting glass is a precious puntazo ,,")</f>
        <v>Blue ,, ,, reflecting glass is a precious puntazo ,,</v>
      </c>
    </row>
    <row r="11084">
      <c r="A11084" s="1">
        <v>5.0</v>
      </c>
      <c r="B11084" s="1" t="s">
        <v>10988</v>
      </c>
      <c r="C11084" t="str">
        <f>IFERROR(__xludf.DUMMYFUNCTION("GOOGLETRANSLATE(B11084, ""es"", ""en"")"),"Comfortable and stylish is a comfortable and elegant watch, at the same price. For this price, it's hard to find something similar. Moment no problem!")</f>
        <v>Comfortable and stylish is a comfortable and elegant watch, at the same price. For this price, it's hard to find something similar. Moment no problem!</v>
      </c>
    </row>
    <row r="11085">
      <c r="A11085" s="1">
        <v>5.0</v>
      </c>
      <c r="B11085" s="1" t="s">
        <v>10989</v>
      </c>
      <c r="C11085" t="str">
        <f>IFERROR(__xludf.DUMMYFUNCTION("GOOGLETRANSLATE(B11085, ""es"", ""en"")"),"Effective is the best screen cleaners I've used.")</f>
        <v>Effective is the best screen cleaners I've used.</v>
      </c>
    </row>
    <row r="11086">
      <c r="A11086" s="1">
        <v>5.0</v>
      </c>
      <c r="B11086" s="1" t="s">
        <v>10990</v>
      </c>
      <c r="C11086" t="str">
        <f>IFERROR(__xludf.DUMMYFUNCTION("GOOGLETRANSLATE(B11086, ""es"", ""en"")"),"Very happy with the purchase remain perfect (chock 37) and stick to the ground perfectly. Much more comfortable than typical socks for yoga or pilates practice. They are also warm and cold feet are not. Good quality.")</f>
        <v>Very happy with the purchase remain perfect (chock 37) and stick to the ground perfectly. Much more comfortable than typical socks for yoga or pilates practice. They are also warm and cold feet are not. Good quality.</v>
      </c>
    </row>
    <row r="11087">
      <c r="A11087" s="1">
        <v>5.0</v>
      </c>
      <c r="B11087" s="1" t="s">
        <v>10991</v>
      </c>
      <c r="C11087" t="str">
        <f>IFERROR(__xludf.DUMMYFUNCTION("GOOGLETRANSLATE(B11087, ""es"", ""en"")"),"Good quality. It's the best I had.")</f>
        <v>Good quality. It's the best I had.</v>
      </c>
    </row>
    <row r="11088">
      <c r="A11088" s="1">
        <v>5.0</v>
      </c>
      <c r="B11088" s="1" t="s">
        <v>10992</v>
      </c>
      <c r="C11088" t="str">
        <f>IFERROR(__xludf.DUMMYFUNCTION("GOOGLETRANSLATE(B11088, ""es"", ""en"")"),"Good quality and good enough resistente.Buena brand that never fails. I do not see any fault with the adhesive. I recommend and will buy.")</f>
        <v>Good quality and good enough resistente.Buena brand that never fails. I do not see any fault with the adhesive. I recommend and will buy.</v>
      </c>
    </row>
    <row r="11089">
      <c r="A11089" s="1">
        <v>5.0</v>
      </c>
      <c r="B11089" s="1" t="s">
        <v>10993</v>
      </c>
      <c r="C11089" t="str">
        <f>IFERROR(__xludf.DUMMYFUNCTION("GOOGLETRANSLATE(B11089, ""es"", ""en"")"),"A basic plate to take home. It sounds like a contradiction the fact is that it does not slip as well as others, but on the other hand, with fewer passes and just leave it better before. As a salient point, and never better, is that the tip is more pointed"&amp;" than other two I have, with what is best ironed collars, buttons area, etc. Drawback is the color of the tank lets just know what the water level, because it is difficult to appreciate the rest is basically like all other boards in this range. I have not"&amp;" had any problems with either the water or steam")</f>
        <v>A basic plate to take home. It sounds like a contradiction the fact is that it does not slip as well as others, but on the other hand, with fewer passes and just leave it better before. As a salient point, and never better, is that the tip is more pointed than other two I have, with what is best ironed collars, buttons area, etc. Drawback is the color of the tank lets just know what the water level, because it is difficult to appreciate the rest is basically like all other boards in this range. I have not had any problems with either the water or steam</v>
      </c>
    </row>
    <row r="11090">
      <c r="A11090" s="1">
        <v>5.0</v>
      </c>
      <c r="B11090" s="1" t="s">
        <v>10994</v>
      </c>
      <c r="C11090" t="str">
        <f>IFERROR(__xludf.DUMMYFUNCTION("GOOGLETRANSLATE(B11090, ""es"", ""en"")"),"very good product Shipping was fast, it is written and erased well, is magnetic, for my size and height is perfect, it is also stable, the only bad thing I saw are the screws passed me, but nothing more")</f>
        <v>very good product Shipping was fast, it is written and erased well, is magnetic, for my size and height is perfect, it is also stable, the only bad thing I saw are the screws passed me, but nothing more</v>
      </c>
    </row>
    <row r="11091">
      <c r="A11091" s="1">
        <v>5.0</v>
      </c>
      <c r="B11091" s="1" t="s">
        <v>10995</v>
      </c>
      <c r="C11091" t="str">
        <f>IFERROR(__xludf.DUMMYFUNCTION("GOOGLETRANSLATE(B11091, ""es"", ""en"")"),"Siiii a while ago now buy the same shoes and was returned because the interior fabric and leather not as I expected ... this time seeing them with a very good offer to buy safe but I would like to come again, my surprise to have been arrived as I wanted t"&amp;"he first time, as always I bought. Guess what of white cloth inside it will be a more summery version but for me personally I rather like leather, but certainly clean and durable. Amazon as always excellent and shipping very fast. Thank you!!")</f>
        <v>Siiii a while ago now buy the same shoes and was returned because the interior fabric and leather not as I expected ... this time seeing them with a very good offer to buy safe but I would like to come again, my surprise to have been arrived as I wanted the first time, as always I bought. Guess what of white cloth inside it will be a more summery version but for me personally I rather like leather, but certainly clean and durable. Amazon as always excellent and shipping very fast. Thank you!!</v>
      </c>
    </row>
    <row r="11092">
      <c r="A11092" s="1">
        <v>5.0</v>
      </c>
      <c r="B11092" s="1" t="s">
        <v>10996</v>
      </c>
      <c r="C11092" t="str">
        <f>IFERROR(__xludf.DUMMYFUNCTION("GOOGLETRANSLATE(B11092, ""es"", ""en"")"),"They are well suited comfortable and do not hurt me. I've already bought a few and as always to my taste are super comfortable better than years ago that did not change brand.")</f>
        <v>They are well suited comfortable and do not hurt me. I've already bought a few and as always to my taste are super comfortable better than years ago that did not change brand.</v>
      </c>
    </row>
    <row r="11093">
      <c r="A11093" s="1">
        <v>5.0</v>
      </c>
      <c r="B11093" s="1" t="s">
        <v>10997</v>
      </c>
      <c r="C11093" t="str">
        <f>IFERROR(__xludf.DUMMYFUNCTION("GOOGLETRANSLATE(B11093, ""es"", ""en"")"),"Worth to buy'm very happy with this product very nice watch, looks like old, do as this great gift, many thanks")</f>
        <v>Worth to buy'm very happy with this product very nice watch, looks like old, do as this great gift, many thanks</v>
      </c>
    </row>
    <row r="11094">
      <c r="A11094" s="1">
        <v>5.0</v>
      </c>
      <c r="B11094" s="1" t="s">
        <v>10998</v>
      </c>
      <c r="C11094" t="str">
        <f>IFERROR(__xludf.DUMMYFUNCTION("GOOGLETRANSLATE(B11094, ""es"", ""en"")"),"A luxury for use anywhere, my guy is very happy with the boots are waterproof and keeps your feet warm. Great quality")</f>
        <v>A luxury for use anywhere, my guy is very happy with the boots are waterproof and keeps your feet warm. Great quality</v>
      </c>
    </row>
    <row r="11095">
      <c r="A11095" s="1">
        <v>5.0</v>
      </c>
      <c r="B11095" s="1" t="s">
        <v>10999</v>
      </c>
      <c r="C11095" t="str">
        <f>IFERROR(__xludf.DUMMYFUNCTION("GOOGLETRANSLATE(B11095, ""es"", ""en"")"),"Very nice place! No weigh!")</f>
        <v>Very nice place! No weigh!</v>
      </c>
    </row>
    <row r="11096">
      <c r="A11096" s="1">
        <v>2.0</v>
      </c>
      <c r="B11096" s="1" t="s">
        <v>11000</v>
      </c>
      <c r="C11096" t="str">
        <f>IFERROR(__xludf.DUMMYFUNCTION("GOOGLETRANSLATE(B11096, ""es"", ""en"")"),"The letters are the reverse is hard to read and has come all right, but do not tell you that letters are to the upside.")</f>
        <v>The letters are the reverse is hard to read and has come all right, but do not tell you that letters are to the upside.</v>
      </c>
    </row>
    <row r="11097">
      <c r="A11097" s="1">
        <v>3.0</v>
      </c>
      <c r="B11097" s="1" t="s">
        <v>11001</v>
      </c>
      <c r="C11097" t="str">
        <f>IFERROR(__xludf.DUMMYFUNCTION("GOOGLETRANSLATE(B11097, ""es"", ""en"")"),"Overall powerful and for the price I'm satisfied, but heats easily and quickly")</f>
        <v>Overall powerful and for the price I'm satisfied, but heats easily and quickly</v>
      </c>
    </row>
    <row r="11098">
      <c r="A11098" s="1">
        <v>3.0</v>
      </c>
      <c r="B11098" s="1" t="s">
        <v>11002</v>
      </c>
      <c r="C11098" t="str">
        <f>IFERROR(__xludf.DUMMYFUNCTION("GOOGLETRANSLATE(B11098, ""es"", ""en"")"),"Well .. I was short, with a touch I broke me")</f>
        <v>Well .. I was short, with a touch I broke me</v>
      </c>
    </row>
    <row r="11099">
      <c r="A11099" s="1">
        <v>1.0</v>
      </c>
      <c r="B11099" s="1" t="s">
        <v>11003</v>
      </c>
      <c r="C11099" t="str">
        <f>IFERROR(__xludf.DUMMYFUNCTION("GOOGLETRANSLATE(B11099, ""es"", ""en"")"),"Hard 2 newscasts The stone stopped working day, made allergic reaction")</f>
        <v>Hard 2 newscasts The stone stopped working day, made allergic reaction</v>
      </c>
    </row>
    <row r="11100">
      <c r="A11100" s="1">
        <v>1.0</v>
      </c>
      <c r="B11100" s="1" t="s">
        <v>11004</v>
      </c>
      <c r="C11100" t="str">
        <f>IFERROR(__xludf.DUMMYFUNCTION("GOOGLETRANSLATE(B11100, ""es"", ""en"")"),"The liquid spills and to the liquefy also comes with a gap where the liquid is spilled")</f>
        <v>The liquid spills and to the liquefy also comes with a gap where the liquid is spilled</v>
      </c>
    </row>
    <row r="11101">
      <c r="A11101" s="1">
        <v>4.0</v>
      </c>
      <c r="B11101" s="1" t="s">
        <v>11005</v>
      </c>
      <c r="C11101" t="str">
        <f>IFERROR(__xludf.DUMMYFUNCTION("GOOGLETRANSLATE(B11101, ""es"", ""en"")"),"Juan Okay, perfect for winter shelters and weighs nothing, this garment is ideal to spend the cold days")</f>
        <v>Juan Okay, perfect for winter shelters and weighs nothing, this garment is ideal to spend the cold days</v>
      </c>
    </row>
    <row r="11102">
      <c r="A11102" s="1">
        <v>4.0</v>
      </c>
      <c r="B11102" s="1" t="s">
        <v>11006</v>
      </c>
      <c r="C11102" t="str">
        <f>IFERROR(__xludf.DUMMYFUNCTION("GOOGLETRANSLATE(B11102, ""es"", ""en"")"),"The product works perfectly good and works well. I find only one catch: you can find in the market exactly the same, but not the same brand, cheaper two euros.")</f>
        <v>The product works perfectly good and works well. I find only one catch: you can find in the market exactly the same, but not the same brand, cheaper two euros.</v>
      </c>
    </row>
    <row r="11103">
      <c r="A11103" s="1">
        <v>4.0</v>
      </c>
      <c r="B11103" s="1" t="s">
        <v>11007</v>
      </c>
      <c r="C11103" t="str">
        <f>IFERROR(__xludf.DUMMYFUNCTION("GOOGLETRANSLATE(B11103, ""es"", ""en"")"),"You recommended! It fits perfectly to the image. They are of good quality and durable. Certainly they have a good value for money.")</f>
        <v>You recommended! It fits perfectly to the image. They are of good quality and durable. Certainly they have a good value for money.</v>
      </c>
    </row>
    <row r="11104">
      <c r="A11104" s="1">
        <v>4.0</v>
      </c>
      <c r="B11104" s="1" t="s">
        <v>11008</v>
      </c>
      <c r="C11104" t="str">
        <f>IFERROR(__xludf.DUMMYFUNCTION("GOOGLETRANSLATE(B11104, ""es"", ""en"")"),"Good value for money. easy to install device on a table-by the clamp screw has-, and quite how to use. No hitches moment, I'll update if any problems. There is a good quality price relation.")</f>
        <v>Good value for money. easy to install device on a table-by the clamp screw has-, and quite how to use. No hitches moment, I'll update if any problems. There is a good quality price relation.</v>
      </c>
    </row>
    <row r="11105">
      <c r="A11105" s="1">
        <v>4.0</v>
      </c>
      <c r="B11105" s="1" t="s">
        <v>11009</v>
      </c>
      <c r="C11105" t="str">
        <f>IFERROR(__xludf.DUMMYFUNCTION("GOOGLETRANSLATE(B11105, ""es"", ""en"")"),"They are not for me, pity me start by saying I have finished giving a friend helmets that did not fit my ears and I were not at all comfortable. I have small ears and the part that rests on the ear not acoplaba me well, so they moved forward, and I dug in"&amp;"to the upper part of the ear. Other than that, I give it a good score because they are objectively headphones are great. The design is very careful, they are not cheap plastic, they are very light, with the cover is a great success, they are cheap and the"&amp;" quality of the sound, while you can not move, it's very good. Shame they do not serve me ...")</f>
        <v>They are not for me, pity me start by saying I have finished giving a friend helmets that did not fit my ears and I were not at all comfortable. I have small ears and the part that rests on the ear not acoplaba me well, so they moved forward, and I dug into the upper part of the ear. Other than that, I give it a good score because they are objectively headphones are great. The design is very careful, they are not cheap plastic, they are very light, with the cover is a great success, they are cheap and the quality of the sound, while you can not move, it's very good. Shame they do not serve me ...</v>
      </c>
    </row>
    <row r="11106">
      <c r="A11106" s="1">
        <v>5.0</v>
      </c>
      <c r="B11106" s="1" t="s">
        <v>11010</v>
      </c>
      <c r="C11106" t="str">
        <f>IFERROR(__xludf.DUMMYFUNCTION("GOOGLETRANSLATE(B11106, ""es"", ""en"")"),"Offered complies with Vans classic. the truth is that I take them off. The only bad thing is that the boot be are a little roll off and put but good came very fast and good quality. happy.")</f>
        <v>Offered complies with Vans classic. the truth is that I take them off. The only bad thing is that the boot be are a little roll off and put but good came very fast and good quality. happy.</v>
      </c>
    </row>
    <row r="11107">
      <c r="A11107" s="1">
        <v>5.0</v>
      </c>
      <c r="B11107" s="1" t="s">
        <v>11011</v>
      </c>
      <c r="C11107" t="str">
        <f>IFERROR(__xludf.DUMMYFUNCTION("GOOGLETRANSLATE(B11107, ""es"", ""en"")"),"Super timely arrival. I liked a lot.")</f>
        <v>Super timely arrival. I liked a lot.</v>
      </c>
    </row>
    <row r="11108">
      <c r="A11108" s="1">
        <v>5.0</v>
      </c>
      <c r="B11108" s="1" t="s">
        <v>11012</v>
      </c>
      <c r="C11108" t="str">
        <f>IFERROR(__xludf.DUMMYFUNCTION("GOOGLETRANSLATE(B11108, ""es"", ""en"")"),"Blenders perfect mince meat in just seconds. Used to make cocktails with ice, and as blender is perfect. Very happy with it.")</f>
        <v>Blenders perfect mince meat in just seconds. Used to make cocktails with ice, and as blender is perfect. Very happy with it.</v>
      </c>
    </row>
    <row r="11109">
      <c r="A11109" s="1">
        <v>5.0</v>
      </c>
      <c r="B11109" s="1" t="s">
        <v>11013</v>
      </c>
      <c r="C11109" t="str">
        <f>IFERROR(__xludf.DUMMYFUNCTION("GOOGLETRANSLATE(B11109, ""es"", ""en"")"),"Practice. lightweight, high-capacity 32 GB at a great price. Good design and convenient system to hang on a keychain")</f>
        <v>Practice. lightweight, high-capacity 32 GB at a great price. Good design and convenient system to hang on a keychain</v>
      </c>
    </row>
    <row r="11110">
      <c r="A11110" s="1">
        <v>5.0</v>
      </c>
      <c r="B11110" s="1" t="s">
        <v>11014</v>
      </c>
      <c r="C11110" t="str">
        <f>IFERROR(__xludf.DUMMYFUNCTION("GOOGLETRANSLATE(B11110, ""es"", ""en"")"),"MICROPHONE I have used the Iphone to record YouTube videos and the quality is excellent. Very good relation cost quality.")</f>
        <v>MICROPHONE I have used the Iphone to record YouTube videos and the quality is excellent. Very good relation cost quality.</v>
      </c>
    </row>
    <row r="11111">
      <c r="A11111" s="1">
        <v>5.0</v>
      </c>
      <c r="B11111" s="1" t="s">
        <v>11015</v>
      </c>
      <c r="C11111" t="str">
        <f>IFERROR(__xludf.DUMMYFUNCTION("GOOGLETRANSLATE(B11111, ""es"", ""en"")"),"You do not need much more to do most of shakes The truth is that this mixer bushes vessel two birds with one stone, because in addition to the function you expect, which is to make milkshakes, smoothies, etc, as well given a retro touch to the kitchen. Th"&amp;"e design is really nice. On the quality of the materials, I can say that is good, the glass jug is seen strong if somewhat heavy. The cover has rubber that it seals and also has a cap with dosing cup with indications ml. The jar itself also has marks as t"&amp;"o facilitate the preparation of shakes. Over power, I can say I have not had to use maximum power. With one I helped me, although I also set the maximum and I think luxury will crush ice, for example. It also has a position raps chopped, to the left of th"&amp;"e stop position. Washing is easy, since the carafe can be dishwasher safe, and other elements, except for the base. The cable is not too long, but I do not think it necessary to scroll through the kitchen, but it's a good cable that looks very tough. Powe"&amp;"r lever is silver plastic, or I think, and I get the feeling that should be the weakest part of the whole blender. What analog power needle gives a lovely retro touch. Not very noisy. I did test a yogurt smoothie, milk, kiwin, apple and cookies, and was d"&amp;"elicious. I think it takes to do what it takes to peel the fruit and throw it, because in less than 30 seconds he was ready once introduced and covered everything. So, remember to cover the jar. Oh, and very careful with the knife, fingers out if the area"&amp;" is plugged in and not manipuléis. For cleaning is removed below. Ultimately, I found great for the price it has. Decorative and functional.")</f>
        <v>You do not need much more to do most of shakes The truth is that this mixer bushes vessel two birds with one stone, because in addition to the function you expect, which is to make milkshakes, smoothies, etc, as well given a retro touch to the kitchen. The design is really nice. On the quality of the materials, I can say that is good, the glass jug is seen strong if somewhat heavy. The cover has rubber that it seals and also has a cap with dosing cup with indications ml. The jar itself also has marks as to facilitate the preparation of shakes. Over power, I can say I have not had to use maximum power. With one I helped me, although I also set the maximum and I think luxury will crush ice, for example. It also has a position raps chopped, to the left of the stop position. Washing is easy, since the carafe can be dishwasher safe, and other elements, except for the base. The cable is not too long, but I do not think it necessary to scroll through the kitchen, but it's a good cable that looks very tough. Power lever is silver plastic, or I think, and I get the feeling that should be the weakest part of the whole blender. What analog power needle gives a lovely retro touch. Not very noisy. I did test a yogurt smoothie, milk, kiwin, apple and cookies, and was delicious. I think it takes to do what it takes to peel the fruit and throw it, because in less than 30 seconds he was ready once introduced and covered everything. So, remember to cover the jar. Oh, and very careful with the knife, fingers out if the area is plugged in and not manipuléis. For cleaning is removed below. Ultimately, I found great for the price it has. Decorative and functional.</v>
      </c>
    </row>
    <row r="11112">
      <c r="A11112" s="1">
        <v>5.0</v>
      </c>
      <c r="B11112" s="1" t="s">
        <v>11016</v>
      </c>
      <c r="C11112" t="str">
        <f>IFERROR(__xludf.DUMMYFUNCTION("GOOGLETRANSLATE(B11112, ""es"", ""en"")"),"They are perfect for my wife and have loved. Very comfortable and as they come into the picture. Would buy")</f>
        <v>They are perfect for my wife and have loved. Very comfortable and as they come into the picture. Would buy</v>
      </c>
    </row>
    <row r="11113">
      <c r="A11113" s="1">
        <v>5.0</v>
      </c>
      <c r="B11113" s="1" t="s">
        <v>11017</v>
      </c>
      <c r="C11113" t="str">
        <f>IFERROR(__xludf.DUMMYFUNCTION("GOOGLETRANSLATE(B11113, ""es"", ""en"")"),"Great! Very useful! It delivers what it promises. Also the price is very good!")</f>
        <v>Great! Very useful! It delivers what it promises. Also the price is very good!</v>
      </c>
    </row>
    <row r="11114">
      <c r="A11114" s="1">
        <v>5.0</v>
      </c>
      <c r="B11114" s="1" t="s">
        <v>11018</v>
      </c>
      <c r="C11114" t="str">
        <f>IFERROR(__xludf.DUMMYFUNCTION("GOOGLETRANSLATE(B11114, ""es"", ""en"")"),"A success I am delighted with this shoe, a real find. I train with them in the gym and I like the feeling of going barefoot. They are super-super lightweight, breathable and comfortable, resistant as well, because even use them to run on asphalt and earth"&amp;" and hold up well. I find no fault.")</f>
        <v>A success I am delighted with this shoe, a real find. I train with them in the gym and I like the feeling of going barefoot. They are super-super lightweight, breathable and comfortable, resistant as well, because even use them to run on asphalt and earth and hold up well. I find no fault.</v>
      </c>
    </row>
    <row r="11115">
      <c r="A11115" s="1">
        <v>5.0</v>
      </c>
      <c r="B11115" s="1" t="s">
        <v>11019</v>
      </c>
      <c r="C11115" t="str">
        <f>IFERROR(__xludf.DUMMYFUNCTION("GOOGLETRANSLATE(B11115, ""es"", ""en"")"),"Ideal for mothers was a gift and mom was encantadísisma. It is a precious jewel. It does not turn black.")</f>
        <v>Ideal for mothers was a gift and mom was encantadísisma. It is a precious jewel. It does not turn black.</v>
      </c>
    </row>
    <row r="11116">
      <c r="A11116" s="1">
        <v>5.0</v>
      </c>
      <c r="B11116" s="1" t="s">
        <v>11020</v>
      </c>
      <c r="C11116" t="str">
        <f>IFERROR(__xludf.DUMMYFUNCTION("GOOGLETRANSLATE(B11116, ""es"", ""en"")"),"Clogs best quality. There is nothing better for homespun ... last and do not smell anything. They are easily cleaned and are comfy.")</f>
        <v>Clogs best quality. There is nothing better for homespun ... last and do not smell anything. They are easily cleaned and are comfy.</v>
      </c>
    </row>
    <row r="11117">
      <c r="A11117" s="1">
        <v>5.0</v>
      </c>
      <c r="B11117" s="1" t="s">
        <v>11021</v>
      </c>
      <c r="C11117" t="str">
        <f>IFERROR(__xludf.DUMMYFUNCTION("GOOGLETRANSLATE(B11117, ""es"", ""en"")"),"Squeezer is super convenient to prepare smoothies, super quality price")</f>
        <v>Squeezer is super convenient to prepare smoothies, super quality price</v>
      </c>
    </row>
    <row r="11118">
      <c r="A11118" s="1">
        <v>5.0</v>
      </c>
      <c r="B11118" s="1" t="s">
        <v>11022</v>
      </c>
      <c r="C11118" t="str">
        <f>IFERROR(__xludf.DUMMYFUNCTION("GOOGLETRANSLATE(B11118, ""es"", ""en"")"),"I love I love")</f>
        <v>I love I love</v>
      </c>
    </row>
    <row r="11119">
      <c r="A11119" s="1">
        <v>5.0</v>
      </c>
      <c r="B11119" s="1" t="s">
        <v>11023</v>
      </c>
      <c r="C11119" t="str">
        <f>IFERROR(__xludf.DUMMYFUNCTION("GOOGLETRANSLATE(B11119, ""es"", ""en"")"),"Very practical. Very practical for storing notes and save plenty of ring binders.")</f>
        <v>Very practical. Very practical for storing notes and save plenty of ring binders.</v>
      </c>
    </row>
    <row r="11120">
      <c r="A11120" s="1">
        <v>5.0</v>
      </c>
      <c r="B11120" s="1" t="s">
        <v>11024</v>
      </c>
      <c r="C11120" t="str">
        <f>IFERROR(__xludf.DUMMYFUNCTION("GOOGLETRANSLATE(B11120, ""es"", ""en"")"),"nice watch, stylish watch very beautiful and elegant")</f>
        <v>nice watch, stylish watch very beautiful and elegant</v>
      </c>
    </row>
    <row r="11121">
      <c r="A11121" s="1">
        <v>5.0</v>
      </c>
      <c r="B11121" s="1" t="s">
        <v>11025</v>
      </c>
      <c r="C11121" t="str">
        <f>IFERROR(__xludf.DUMMYFUNCTION("GOOGLETRANSLATE(B11121, ""es"", ""en"")"),"Good quality had to buy a small drive pen for radio of the car and good at this say single point which is a pen well priced, neither expensive nor cheap, the ScanDisk line that is a good brand, and to date any kind of problem, although the data processed "&amp;"in terms of speed and not locked, talk that is doing well at home pendrive so very happy and satisfied,")</f>
        <v>Good quality had to buy a small drive pen for radio of the car and good at this say single point which is a pen well priced, neither expensive nor cheap, the ScanDisk line that is a good brand, and to date any kind of problem, although the data processed in terms of speed and not locked, talk that is doing well at home pendrive so very happy and satisfied,</v>
      </c>
    </row>
    <row r="11122">
      <c r="A11122" s="1">
        <v>5.0</v>
      </c>
      <c r="B11122" s="1" t="s">
        <v>11026</v>
      </c>
      <c r="C11122" t="str">
        <f>IFERROR(__xludf.DUMMYFUNCTION("GOOGLETRANSLATE(B11122, ""es"", ""en"")"),"I am very happy very happy with the pop, double layer gives excellent sharpness. It fits very well to the arm and is perfect in front of the microphone.")</f>
        <v>I am very happy very happy with the pop, double layer gives excellent sharpness. It fits very well to the arm and is perfect in front of the microphone.</v>
      </c>
    </row>
    <row r="11123">
      <c r="A11123" s="1">
        <v>5.0</v>
      </c>
      <c r="B11123" s="1" t="s">
        <v>11027</v>
      </c>
      <c r="C11123" t="str">
        <f>IFERROR(__xludf.DUMMYFUNCTION("GOOGLETRANSLATE(B11123, ""es"", ""en"")"),"Bonita The received yesterday and has not yet tasted my daughter but it is very nice")</f>
        <v>Bonita The received yesterday and has not yet tasted my daughter but it is very nice</v>
      </c>
    </row>
    <row r="11124">
      <c r="A11124" s="1">
        <v>5.0</v>
      </c>
      <c r="B11124" s="1" t="s">
        <v>11028</v>
      </c>
      <c r="C11124" t="str">
        <f>IFERROR(__xludf.DUMMYFUNCTION("GOOGLETRANSLATE(B11124, ""es"", ""en"")"),"Good buy Perfect, quality unbeatable price. I use it daily, very well know the moon phase and tides, although divided tidal stretches approximately 2 hours helps calculate the best fishing hours depending on the area.")</f>
        <v>Good buy Perfect, quality unbeatable price. I use it daily, very well know the moon phase and tides, although divided tidal stretches approximately 2 hours helps calculate the best fishing hours depending on the area.</v>
      </c>
    </row>
    <row r="11125">
      <c r="A11125" s="1">
        <v>2.0</v>
      </c>
      <c r="B11125" s="1" t="s">
        <v>11029</v>
      </c>
      <c r="C11125" t="str">
        <f>IFERROR(__xludf.DUMMYFUNCTION("GOOGLETRANSLATE(B11125, ""es"", ""en"")"),"Trash cost me a few cents. They are bad, but they serve to disguise or make jokes")</f>
        <v>Trash cost me a few cents. They are bad, but they serve to disguise or make jokes</v>
      </c>
    </row>
    <row r="11126">
      <c r="A11126" s="1">
        <v>3.0</v>
      </c>
      <c r="B11126" s="1" t="s">
        <v>11030</v>
      </c>
      <c r="C11126" t="str">
        <f>IFERROR(__xludf.DUMMYFUNCTION("GOOGLETRANSLATE(B11126, ""es"", ""en"")"),"Too thin are very comfortable and beautiful, but rather show through.")</f>
        <v>Too thin are very comfortable and beautiful, but rather show through.</v>
      </c>
    </row>
    <row r="11127">
      <c r="A11127" s="1">
        <v>3.0</v>
      </c>
      <c r="B11127" s="1" t="s">
        <v>11031</v>
      </c>
      <c r="C11127" t="str">
        <f>IFERROR(__xludf.DUMMYFUNCTION("GOOGLETRANSLATE(B11127, ""es"", ""en"")"),"Cup heavy I like grinds, it is quite powerful but the glass is too heavy. Not very práctica.Además thought it would be smaller")</f>
        <v>Cup heavy I like grinds, it is quite powerful but the glass is too heavy. Not very práctica.Además thought it would be smaller</v>
      </c>
    </row>
    <row r="11128">
      <c r="A11128" s="1">
        <v>1.0</v>
      </c>
      <c r="B11128" s="1" t="s">
        <v>11032</v>
      </c>
      <c r="C11128" t="str">
        <f>IFERROR(__xludf.DUMMYFUNCTION("GOOGLETRANSLATE(B11128, ""es"", ""en"")"),"Fake it back because it was a fake product, nothing more touching the fabric notice the difference with an original Nike Product")</f>
        <v>Fake it back because it was a fake product, nothing more touching the fabric notice the difference with an original Nike Product</v>
      </c>
    </row>
    <row r="11129">
      <c r="A11129" s="1">
        <v>1.0</v>
      </c>
      <c r="B11129" s="1" t="s">
        <v>11033</v>
      </c>
      <c r="C11129" t="str">
        <f>IFERROR(__xludf.DUMMYFUNCTION("GOOGLETRANSLATE(B11129, ""es"", ""en"")"),"Comfort, quality and price shoes comfortable and safe. Poor quality Very good price")</f>
        <v>Comfort, quality and price shoes comfortable and safe. Poor quality Very good price</v>
      </c>
    </row>
    <row r="11130">
      <c r="A11130" s="1">
        <v>1.0</v>
      </c>
      <c r="B11130" s="1" t="s">
        <v>11034</v>
      </c>
      <c r="C11130" t="str">
        <f>IFERROR(__xludf.DUMMYFUNCTION("GOOGLETRANSLATE(B11130, ""es"", ""en"")"),"Nothing Orrible photo k do with the fatal pants")</f>
        <v>Nothing Orrible photo k do with the fatal pants</v>
      </c>
    </row>
    <row r="11131">
      <c r="A11131" s="1">
        <v>4.0</v>
      </c>
      <c r="B11131" s="1" t="s">
        <v>11035</v>
      </c>
      <c r="C11131" t="str">
        <f>IFERROR(__xludf.DUMMYFUNCTION("GOOGLETRANSLATE(B11131, ""es"", ""en"")"),"Perfect very good. Came fast and in perfect condition. It is of very good quality and looks perfectly natural light or flashlight.")</f>
        <v>Perfect very good. Came fast and in perfect condition. It is of very good quality and looks perfectly natural light or flashlight.</v>
      </c>
    </row>
    <row r="11132">
      <c r="A11132" s="1">
        <v>4.0</v>
      </c>
      <c r="B11132" s="1" t="s">
        <v>11036</v>
      </c>
      <c r="C11132" t="str">
        <f>IFERROR(__xludf.DUMMYFUNCTION("GOOGLETRANSLATE(B11132, ""es"", ""en"")"),"Support good quality / price Pretty good for the price you ... the grasper to the table cunpke to spare and arm generally remains stable. I use a micro Samson GTrack and weight is conciderable ... holds up well.")</f>
        <v>Support good quality / price Pretty good for the price you ... the grasper to the table cunpke to spare and arm generally remains stable. I use a micro Samson GTrack and weight is conciderable ... holds up well.</v>
      </c>
    </row>
    <row r="11133">
      <c r="A11133" s="1">
        <v>4.0</v>
      </c>
      <c r="B11133" s="1" t="s">
        <v>11037</v>
      </c>
      <c r="C11133" t="str">
        <f>IFERROR(__xludf.DUMMYFUNCTION("GOOGLETRANSLATE(B11133, ""es"", ""en"")"),"I like much but watch the likes reading reviews, I ordered one size smaller than you use and looks good, but two days posts are given something of themselves (there are more anchitos) long and very fair. They are very comfortable to stay at home, soft. An"&amp;"d have washed a few times (heating program), and no ""ball"" does not appear, the trouble is that shrink long: if the start I were at the height of the ankle, have now dwindled a pair of two. Personally I do not care too much as say q are to be at home, i"&amp;"n fact, I just bought another color, the price is great. But I repeat, eye size is one more than the Spanish (I am surprised that the seller in the description of the product, Outline otherwise ...)")</f>
        <v>I like much but watch the likes reading reviews, I ordered one size smaller than you use and looks good, but two days posts are given something of themselves (there are more anchitos) long and very fair. They are very comfortable to stay at home, soft. And have washed a few times (heating program), and no "ball" does not appear, the trouble is that shrink long: if the start I were at the height of the ankle, have now dwindled a pair of two. Personally I do not care too much as say q are to be at home, in fact, I just bought another color, the price is great. But I repeat, eye size is one more than the Spanish (I am surprised that the seller in the description of the product, Outline otherwise ...)</v>
      </c>
    </row>
    <row r="11134">
      <c r="A11134" s="1">
        <v>4.0</v>
      </c>
      <c r="B11134" s="1" t="s">
        <v>11038</v>
      </c>
      <c r="C11134" t="str">
        <f>IFERROR(__xludf.DUMMYFUNCTION("GOOGLETRANSLATE(B11134, ""es"", ""en"")"),"Right OK")</f>
        <v>Right OK</v>
      </c>
    </row>
    <row r="11135">
      <c r="A11135" s="1">
        <v>4.0</v>
      </c>
      <c r="B11135" s="1" t="s">
        <v>11039</v>
      </c>
      <c r="C11135" t="str">
        <f>IFERROR(__xludf.DUMMYFUNCTION("GOOGLETRANSLATE(B11135, ""es"", ""en"")"),"Comfortable and easy brand casio")</f>
        <v>Comfortable and easy brand casio</v>
      </c>
    </row>
    <row r="11136">
      <c r="A11136" s="1">
        <v>5.0</v>
      </c>
      <c r="B11136" s="1" t="s">
        <v>11040</v>
      </c>
      <c r="C11136" t="str">
        <f>IFERROR(__xludf.DUMMYFUNCTION("GOOGLETRANSLATE(B11136, ""es"", ""en"")"),"Quality, perfect price I bought them for my children and the truth that the price they are fine, they are very happy liked much")</f>
        <v>Quality, perfect price I bought them for my children and the truth that the price they are fine, they are very happy liked much</v>
      </c>
    </row>
    <row r="11137">
      <c r="A11137" s="1">
        <v>5.0</v>
      </c>
      <c r="B11137" s="1" t="s">
        <v>11041</v>
      </c>
      <c r="C11137" t="str">
        <f>IFERROR(__xludf.DUMMYFUNCTION("GOOGLETRANSLATE(B11137, ""es"", ""en"")"),"LOTION ANTIARRUGAS comes with a drop applicator to facilitate application. I took two days using it, expecting to see results soon.")</f>
        <v>LOTION ANTIARRUGAS comes with a drop applicator to facilitate application. I took two days using it, expecting to see results soon.</v>
      </c>
    </row>
    <row r="11138">
      <c r="A11138" s="1">
        <v>5.0</v>
      </c>
      <c r="B11138" s="1" t="s">
        <v>11042</v>
      </c>
      <c r="C11138" t="str">
        <f>IFERROR(__xludf.DUMMYFUNCTION("GOOGLETRANSLATE(B11138, ""es"", ""en"")"),"Fast speed. Little noise.")</f>
        <v>Fast speed. Little noise.</v>
      </c>
    </row>
    <row r="11139">
      <c r="A11139" s="1">
        <v>5.0</v>
      </c>
      <c r="B11139" s="1" t="s">
        <v>11043</v>
      </c>
      <c r="C11139" t="str">
        <f>IFERROR(__xludf.DUMMYFUNCTION("GOOGLETRANSLATE(B11139, ""es"", ""en"")"),"Small Smaller than the picture")</f>
        <v>Small Smaller than the picture</v>
      </c>
    </row>
    <row r="11140">
      <c r="A11140" s="1">
        <v>5.0</v>
      </c>
      <c r="B11140" s="1" t="s">
        <v>11044</v>
      </c>
      <c r="C11140" t="str">
        <f>IFERROR(__xludf.DUMMYFUNCTION("GOOGLETRANSLATE(B11140, ""es"", ""en"")"),"Bellos perfect size as expected.")</f>
        <v>Bellos perfect size as expected.</v>
      </c>
    </row>
    <row r="11141">
      <c r="A11141" s="1">
        <v>5.0</v>
      </c>
      <c r="B11141" s="1" t="s">
        <v>11045</v>
      </c>
      <c r="C11141" t="str">
        <f>IFERROR(__xludf.DUMMYFUNCTION("GOOGLETRANSLATE(B11141, ""es"", ""en"")"),"Very nice comfortable shoes and have used them on vacation to walk a lot and are very comfortable. I ordered the number 38 is my number and I had to change by 38,5. The woman model seems more comfortable than the child.")</f>
        <v>Very nice comfortable shoes and have used them on vacation to walk a lot and are very comfortable. I ordered the number 38 is my number and I had to change by 38,5. The woman model seems more comfortable than the child.</v>
      </c>
    </row>
    <row r="11142">
      <c r="A11142" s="1">
        <v>5.0</v>
      </c>
      <c r="B11142" s="1" t="s">
        <v>11046</v>
      </c>
      <c r="C11142" t="str">
        <f>IFERROR(__xludf.DUMMYFUNCTION("GOOGLETRANSLATE(B11142, ""es"", ""en"")"),"Best Casio I've had have always used this brand and type of watches and all this is the best I've had, and just the fact of not having to change batteries and especially the shock-protection has made this watch is perfect for the day.")</f>
        <v>Best Casio I've had have always used this brand and type of watches and all this is the best I've had, and just the fact of not having to change batteries and especially the shock-protection has made this watch is perfect for the day.</v>
      </c>
    </row>
    <row r="11143">
      <c r="A11143" s="1">
        <v>5.0</v>
      </c>
      <c r="B11143" s="1" t="s">
        <v>11047</v>
      </c>
      <c r="C11143" t="str">
        <f>IFERROR(__xludf.DUMMYFUNCTION("GOOGLETRANSLATE(B11143, ""es"", ""en"")"),"Its quality is as expected")</f>
        <v>Its quality is as expected</v>
      </c>
    </row>
    <row r="11144">
      <c r="A11144" s="1">
        <v>5.0</v>
      </c>
      <c r="B11144" s="1" t="s">
        <v>11048</v>
      </c>
      <c r="C11144" t="str">
        <f>IFERROR(__xludf.DUMMYFUNCTION("GOOGLETRANSLATE(B11144, ""es"", ""en"")"),"Very useful Do not make effort to wring the mop, so it is very comfortable.")</f>
        <v>Very useful Do not make effort to wring the mop, so it is very comfortable.</v>
      </c>
    </row>
    <row r="11145">
      <c r="A11145" s="1">
        <v>5.0</v>
      </c>
      <c r="B11145" s="1" t="s">
        <v>11049</v>
      </c>
      <c r="C11145" t="str">
        <f>IFERROR(__xludf.DUMMYFUNCTION("GOOGLETRANSLATE(B11145, ""es"", ""en"")"),"Ideal for sports cameras have already bought several units, it is a very tough card and it works quite well with my sports cameras and camera 360 for his writing speed, no failure and is very easy to carry because of its size. If it's true that I recommen"&amp;"d not to touch directly contacts, as they are very small and too sensitive cards to static electricity that can damage them easily although I have not been the case yet.")</f>
        <v>Ideal for sports cameras have already bought several units, it is a very tough card and it works quite well with my sports cameras and camera 360 for his writing speed, no failure and is very easy to carry because of its size. If it's true that I recommend not to touch directly contacts, as they are very small and too sensitive cards to static electricity that can damage them easily although I have not been the case yet.</v>
      </c>
    </row>
    <row r="11146">
      <c r="A11146" s="1">
        <v>5.0</v>
      </c>
      <c r="B11146" s="1" t="s">
        <v>11050</v>
      </c>
      <c r="C11146" t="str">
        <f>IFERROR(__xludf.DUMMYFUNCTION("GOOGLETRANSLATE(B11146, ""es"", ""en"")"),"Good investment preferred digital microwave but this has been very good")</f>
        <v>Good investment preferred digital microwave but this has been very good</v>
      </c>
    </row>
    <row r="11147">
      <c r="A11147" s="1">
        <v>5.0</v>
      </c>
      <c r="B11147" s="1" t="s">
        <v>11051</v>
      </c>
      <c r="C11147" t="str">
        <f>IFERROR(__xludf.DUMMYFUNCTION("GOOGLETRANSLATE(B11147, ""es"", ""en"")"),"Very recommendable know once the nipple is doing well I love to offer the possibility of glass: much more resistant to the passage of time. In the case of my daughter, this is the only tetina he accepted.")</f>
        <v>Very recommendable know once the nipple is doing well I love to offer the possibility of glass: much more resistant to the passage of time. In the case of my daughter, this is the only tetina he accepted.</v>
      </c>
    </row>
    <row r="11148">
      <c r="A11148" s="1">
        <v>5.0</v>
      </c>
      <c r="B11148" s="1" t="s">
        <v>11052</v>
      </c>
      <c r="C11148" t="str">
        <f>IFERROR(__xludf.DUMMYFUNCTION("GOOGLETRANSLATE(B11148, ""es"", ""en"")"),"Perfect Perfect in size, I use a m and is what I ordered. Perfect material, finishes and tones. Strong Buy. In fact I have already bought several items and data and delighted with this brand")</f>
        <v>Perfect Perfect in size, I use a m and is what I ordered. Perfect material, finishes and tones. Strong Buy. In fact I have already bought several items and data and delighted with this brand</v>
      </c>
    </row>
    <row r="11149">
      <c r="A11149" s="1">
        <v>5.0</v>
      </c>
      <c r="B11149" s="1" t="s">
        <v>11053</v>
      </c>
      <c r="C11149" t="str">
        <f>IFERROR(__xludf.DUMMYFUNCTION("GOOGLETRANSLATE(B11149, ""es"", ""en"")"),"good value for money very good product")</f>
        <v>good value for money very good product</v>
      </c>
    </row>
    <row r="11150">
      <c r="A11150" s="1">
        <v>5.0</v>
      </c>
      <c r="B11150" s="1" t="s">
        <v>11054</v>
      </c>
      <c r="C11150" t="str">
        <f>IFERROR(__xludf.DUMMYFUNCTION("GOOGLETRANSLATE(B11150, ""es"", ""en"")"),"Comfort Very nice and very comfortable")</f>
        <v>Comfort Very nice and very comfortable</v>
      </c>
    </row>
    <row r="11151">
      <c r="A11151" s="1">
        <v>5.0</v>
      </c>
      <c r="B11151" s="1" t="s">
        <v>11055</v>
      </c>
      <c r="C11151" t="str">
        <f>IFERROR(__xludf.DUMMYFUNCTION("GOOGLETRANSLATE(B11151, ""es"", ""en"")"),"Very funny and good quality has always loved karaoke and sing, so whenever friends came home put the play Singstar 2 as the songs are very outdated and I bought these professionals micros. They are amazing, and fun. What I do is connect to a portable spea"&amp;"ker and television. And the tablet's connected to the TV with an HDMI cable, put the tablet on youtube and looking for the songs you want karaoke, plain and simple. And we have a professional karaoke at home. Sounds very good, also comes with a cushion to"&amp;" protect them, although I personally prefer not to wear it because then all the babas of others remain. Very good sound quality even on moving to other rooms.")</f>
        <v>Very funny and good quality has always loved karaoke and sing, so whenever friends came home put the play Singstar 2 as the songs are very outdated and I bought these professionals micros. They are amazing, and fun. What I do is connect to a portable speaker and television. And the tablet's connected to the TV with an HDMI cable, put the tablet on youtube and looking for the songs you want karaoke, plain and simple. And we have a professional karaoke at home. Sounds very good, also comes with a cushion to protect them, although I personally prefer not to wear it because then all the babas of others remain. Very good sound quality even on moving to other rooms.</v>
      </c>
    </row>
    <row r="11152">
      <c r="A11152" s="1">
        <v>5.0</v>
      </c>
      <c r="B11152" s="1" t="s">
        <v>11056</v>
      </c>
      <c r="C11152" t="str">
        <f>IFERROR(__xludf.DUMMYFUNCTION("GOOGLETRANSLATE(B11152, ""es"", ""en"")"),"Very happy very good, very happy")</f>
        <v>Very happy very good, very happy</v>
      </c>
    </row>
    <row r="11153">
      <c r="A11153" s="1">
        <v>5.0</v>
      </c>
      <c r="B11153" s="1" t="s">
        <v>11057</v>
      </c>
      <c r="C11153" t="str">
        <f>IFERROR(__xludf.DUMMYFUNCTION("GOOGLETRANSLATE(B11153, ""es"", ""en"")"),"Easy to clean and not too lazy to use it every day I love, extremely easy to use and without dirtying anything. Since q I maintain, as more fruit")</f>
        <v>Easy to clean and not too lazy to use it every day I love, extremely easy to use and without dirtying anything. Since q I maintain, as more fruit</v>
      </c>
    </row>
    <row r="11154">
      <c r="A11154" s="1">
        <v>2.0</v>
      </c>
      <c r="B11154" s="1" t="s">
        <v>11058</v>
      </c>
      <c r="C11154" t="str">
        <f>IFERROR(__xludf.DUMMYFUNCTION("GOOGLETRANSLATE(B11154, ""es"", ""en"")"),"Short duration headphones with good sound and as factory, the big problem as happens to most customers is that at 3 months stopped working the left ear.")</f>
        <v>Short duration headphones with good sound and as factory, the big problem as happens to most customers is that at 3 months stopped working the left ear.</v>
      </c>
    </row>
    <row r="11155">
      <c r="A11155" s="1">
        <v>3.0</v>
      </c>
      <c r="B11155" s="1" t="s">
        <v>11059</v>
      </c>
      <c r="C11155" t="str">
        <f>IFERROR(__xludf.DUMMYFUNCTION("GOOGLETRANSLATE(B11155, ""es"", ""en"")"),"Good design, but slow and took a couple of months using this USB key, and while it is very economical, and has a very practical design to carry with keychain, the truth is that the writing speed is a bit frustrating though USB 2.0 be. For files and docume"&amp;"nts is fine, but when it comes to transfer videos or music, just desesperandote")</f>
        <v>Good design, but slow and took a couple of months using this USB key, and while it is very economical, and has a very practical design to carry with keychain, the truth is that the writing speed is a bit frustrating though USB 2.0 be. For files and documents is fine, but when it comes to transfer videos or music, just desesperandote</v>
      </c>
    </row>
    <row r="11156">
      <c r="A11156" s="1">
        <v>3.0</v>
      </c>
      <c r="B11156" s="1" t="s">
        <v>11060</v>
      </c>
      <c r="C11156" t="str">
        <f>IFERROR(__xludf.DUMMYFUNCTION("GOOGLETRANSLATE(B11156, ""es"", ""en"")"),"Well ... when it works. Because I have bad luck, because I had to ask for a replacement twice: the first card I died last 3 months (having been used in a raspberry wearing two years running perfectly with a smaller card). At the request replacement, the c"&amp;"ard came straight dead, was not detected in windows or mac, linux and I were jumping errors I / O before they even appear in / dev so could not attempt to partition it. Now I'm testing the third card, I hope you die in a few months. Luckily luxury amazon "&amp;"works as always, managing back quickly.")</f>
        <v>Well ... when it works. Because I have bad luck, because I had to ask for a replacement twice: the first card I died last 3 months (having been used in a raspberry wearing two years running perfectly with a smaller card). At the request replacement, the card came straight dead, was not detected in windows or mac, linux and I were jumping errors I / O before they even appear in / dev so could not attempt to partition it. Now I'm testing the third card, I hope you die in a few months. Luckily luxury amazon works as always, managing back quickly.</v>
      </c>
    </row>
    <row r="11157">
      <c r="A11157" s="1">
        <v>1.0</v>
      </c>
      <c r="B11157" s="1" t="s">
        <v>11061</v>
      </c>
      <c r="C11157" t="str">
        <f>IFERROR(__xludf.DUMMYFUNCTION("GOOGLETRANSLATE(B11157, ""es"", ""en"")"),"Sleeves fit liquor bottles, ENORMOUS !! Malisima size ratio, body good, but sleeveless is like a tunnel M30, fatal size ratio")</f>
        <v>Sleeves fit liquor bottles, ENORMOUS !! Malisima size ratio, body good, but sleeveless is like a tunnel M30, fatal size ratio</v>
      </c>
    </row>
    <row r="11158">
      <c r="A11158" s="1">
        <v>1.0</v>
      </c>
      <c r="B11158" s="1" t="s">
        <v>11062</v>
      </c>
      <c r="C11158" t="str">
        <f>IFERROR(__xludf.DUMMYFUNCTION("GOOGLETRANSLATE(B11158, ""es"", ""en"")"),"Very bad After 1 year and a half she stopped working and I lost all my data !!! He used it on mobile. Now you do not recognize any device. Unfortunately I saw that this had happened to several customers who bought SD card on Amazon, especially SanDisc bra"&amp;"nd. Some people say that you can try to counterfeit cards, for example this Samsung should be made in Korea and not in the Philippines (I can no longer see, as I threw the packaging.)")</f>
        <v>Very bad After 1 year and a half she stopped working and I lost all my data !!! He used it on mobile. Now you do not recognize any device. Unfortunately I saw that this had happened to several customers who bought SD card on Amazon, especially SanDisc brand. Some people say that you can try to counterfeit cards, for example this Samsung should be made in Korea and not in the Philippines (I can no longer see, as I threw the packaging.)</v>
      </c>
    </row>
    <row r="11159">
      <c r="A11159" s="1">
        <v>4.0</v>
      </c>
      <c r="B11159" s="1" t="s">
        <v>11063</v>
      </c>
      <c r="C11159" t="str">
        <f>IFERROR(__xludf.DUMMYFUNCTION("GOOGLETRANSLATE(B11159, ""es"", ""en"")"),"Okay For its price it is fine")</f>
        <v>Okay For its price it is fine</v>
      </c>
    </row>
    <row r="11160">
      <c r="A11160" s="1">
        <v>4.0</v>
      </c>
      <c r="B11160" s="1" t="s">
        <v>11064</v>
      </c>
      <c r="C11160" t="str">
        <f>IFERROR(__xludf.DUMMYFUNCTION("GOOGLETRANSLATE(B11160, ""es"", ""en"")"),"What I expected good")</f>
        <v>What I expected good</v>
      </c>
    </row>
    <row r="11161">
      <c r="A11161" s="1">
        <v>4.0</v>
      </c>
      <c r="B11161" s="1" t="s">
        <v>11065</v>
      </c>
      <c r="C11161" t="str">
        <f>IFERROR(__xludf.DUMMYFUNCTION("GOOGLETRANSLATE(B11161, ""es"", ""en"")"),"Ideal machine works great !! nonle put 5 stars because it has been deleted from the handle all the drawings! Including the brand logo !! (in the first week of use) is left alone line color, in my case blue )")</f>
        <v>Ideal machine works great !! nonle put 5 stars because it has been deleted from the handle all the drawings! Including the brand logo !! (in the first week of use) is left alone line color, in my case blue )</v>
      </c>
    </row>
    <row r="11162">
      <c r="A11162" s="1">
        <v>4.0</v>
      </c>
      <c r="B11162" s="1" t="s">
        <v>11066</v>
      </c>
      <c r="C11162" t="str">
        <f>IFERROR(__xludf.DUMMYFUNCTION("GOOGLETRANSLATE(B11162, ""es"", ""en"")"),"practice is useful for travel does not occupy much place")</f>
        <v>practice is useful for travel does not occupy much place</v>
      </c>
    </row>
    <row r="11163">
      <c r="A11163" s="1">
        <v>5.0</v>
      </c>
      <c r="B11163" s="1" t="s">
        <v>11067</v>
      </c>
      <c r="C11163" t="str">
        <f>IFERROR(__xludf.DUMMYFUNCTION("GOOGLETRANSLATE(B11163, ""es"", ""en"")"),"Good sizing and materials very happy with this monkey. It is licra and sliding a bit but the resin is caught quickly and very well. It ajunta very well the body but the sizing is a little big. I use a normal M, S and bought a suits me. For the price, it i"&amp;"s a very good buy.")</f>
        <v>Good sizing and materials very happy with this monkey. It is licra and sliding a bit but the resin is caught quickly and very well. It ajunta very well the body but the sizing is a little big. I use a normal M, S and bought a suits me. For the price, it is a very good buy.</v>
      </c>
    </row>
    <row r="11164">
      <c r="A11164" s="1">
        <v>5.0</v>
      </c>
      <c r="B11164" s="1" t="s">
        <v>11068</v>
      </c>
      <c r="C11164" t="str">
        <f>IFERROR(__xludf.DUMMYFUNCTION("GOOGLETRANSLATE(B11164, ""es"", ""en"")"),"First recommended bought the same in 16 GBs and GBs 32 now and I think this came out worse in the benchmark performed. Still, it's quick sifucientemente than a tostón fill of heavy multimedia files. I would buy without any doubt.")</f>
        <v>First recommended bought the same in 16 GBs and GBs 32 now and I think this came out worse in the benchmark performed. Still, it's quick sifucientemente than a tostón fill of heavy multimedia files. I would buy without any doubt.</v>
      </c>
    </row>
    <row r="11165">
      <c r="A11165" s="1">
        <v>5.0</v>
      </c>
      <c r="B11165" s="1" t="s">
        <v>11069</v>
      </c>
      <c r="C11165" t="str">
        <f>IFERROR(__xludf.DUMMYFUNCTION("GOOGLETRANSLATE(B11165, ""es"", ""en"")"),"Cool. We are very happy with the purchase worthwhile.")</f>
        <v>Cool. We are very happy with the purchase worthwhile.</v>
      </c>
    </row>
    <row r="11166">
      <c r="A11166" s="1">
        <v>5.0</v>
      </c>
      <c r="B11166" s="1" t="s">
        <v>11070</v>
      </c>
      <c r="C11166" t="str">
        <f>IFERROR(__xludf.DUMMYFUNCTION("GOOGLETRANSLATE(B11166, ""es"", ""en"")"),"Luckily I discovered the best bottle I could find. I had to use nipple shield and did not pick any bottle until I found this and has been the best buy of all")</f>
        <v>Luckily I discovered the best bottle I could find. I had to use nipple shield and did not pick any bottle until I found this and has been the best buy of all</v>
      </c>
    </row>
    <row r="11167">
      <c r="A11167" s="1">
        <v>5.0</v>
      </c>
      <c r="B11167" s="1" t="s">
        <v>11071</v>
      </c>
      <c r="C11167" t="str">
        <f>IFERROR(__xludf.DUMMYFUNCTION("GOOGLETRANSLATE(B11167, ""es"", ""en"")"),"So comfortable are very comfortable")</f>
        <v>So comfortable are very comfortable</v>
      </c>
    </row>
    <row r="11168">
      <c r="A11168" s="1">
        <v>5.0</v>
      </c>
      <c r="B11168" s="1" t="s">
        <v>11072</v>
      </c>
      <c r="C11168" t="str">
        <f>IFERROR(__xludf.DUMMYFUNCTION("GOOGLETRANSLATE(B11168, ""es"", ""en"")"),"Well brutal sound serious, what interested me ... Justito quality materials, together for that price and sound ... could not ask for more")</f>
        <v>Well brutal sound serious, what interested me ... Justito quality materials, together for that price and sound ... could not ask for more</v>
      </c>
    </row>
    <row r="11169">
      <c r="A11169" s="1">
        <v>5.0</v>
      </c>
      <c r="B11169" s="1" t="s">
        <v>11073</v>
      </c>
      <c r="C11169" t="str">
        <f>IFERROR(__xludf.DUMMYFUNCTION("GOOGLETRANSLATE(B11169, ""es"", ""en"")"),"It meets my expectations right. Do not disassemble for cleaning.")</f>
        <v>It meets my expectations right. Do not disassemble for cleaning.</v>
      </c>
    </row>
    <row r="11170">
      <c r="A11170" s="1">
        <v>5.0</v>
      </c>
      <c r="B11170" s="1" t="s">
        <v>11074</v>
      </c>
      <c r="C11170" t="str">
        <f>IFERROR(__xludf.DUMMYFUNCTION("GOOGLETRANSLATE(B11170, ""es"", ""en"")"),"I recommend Good performance")</f>
        <v>I recommend Good performance</v>
      </c>
    </row>
    <row r="11171">
      <c r="A11171" s="1">
        <v>5.0</v>
      </c>
      <c r="B11171" s="1" t="s">
        <v>11075</v>
      </c>
      <c r="C11171" t="str">
        <f>IFERROR(__xludf.DUMMYFUNCTION("GOOGLETRANSLATE(B11171, ""es"", ""en"")"),"Great is great. it convenient to use, fits well with both the pin and the tape. Their lenses are coupled easily and looks great with them, to the point of threading a needle smoothly. I use them mainly to read at night in bed is great, with LED lights, yo"&amp;"u do not need any other kind of light and although some say weighed and is somewhat uncomfortable, I have not noticed that. I say that great fit and looks great. Brilliant money. I advise anyone to buy them.")</f>
        <v>Great is great. it convenient to use, fits well with both the pin and the tape. Their lenses are coupled easily and looks great with them, to the point of threading a needle smoothly. I use them mainly to read at night in bed is great, with LED lights, you do not need any other kind of light and although some say weighed and is somewhat uncomfortable, I have not noticed that. I say that great fit and looks great. Brilliant money. I advise anyone to buy them.</v>
      </c>
    </row>
    <row r="11172">
      <c r="A11172" s="1">
        <v>5.0</v>
      </c>
      <c r="B11172" s="1" t="s">
        <v>11076</v>
      </c>
      <c r="C11172" t="str">
        <f>IFERROR(__xludf.DUMMYFUNCTION("GOOGLETRANSLATE(B11172, ""es"", ""en"")"),"A giveaway price, essential'll find countless sellers with this product, each with its brand, and prices from 10 € to triple trouble ... but they all sell the same, there is no difference between them. I do not understand com there are still people that p"&amp;"unctuates as low as depending on increases lenses have to approach more or less to the observed object ... gentlemen, some kind of perspective they would do well, just missing it for 12 €, in addition llevasen optical zoom, ... I said, lack of knowledge o"&amp;"f the product. What does it extremely well, if you handyman, you like to open everything that passes through your hands, or just gone has 40 and the view is not the same as before, this should not be missing in your desk drawer , incredible prestsaciones."&amp;" Led light very decent support, choose the lens that suits you and few things you resist ... Buy it with my eyes closed, secure success")</f>
        <v>A giveaway price, essential'll find countless sellers with this product, each with its brand, and prices from 10 € to triple trouble ... but they all sell the same, there is no difference between them. I do not understand com there are still people that punctuates as low as depending on increases lenses have to approach more or less to the observed object ... gentlemen, some kind of perspective they would do well, just missing it for 12 €, in addition llevasen optical zoom, ... I said, lack of knowledge of the product. What does it extremely well, if you handyman, you like to open everything that passes through your hands, or just gone has 40 and the view is not the same as before, this should not be missing in your desk drawer , incredible prestsaciones. Led light very decent support, choose the lens that suits you and few things you resist ... Buy it with my eyes closed, secure success</v>
      </c>
    </row>
    <row r="11173">
      <c r="A11173" s="1">
        <v>5.0</v>
      </c>
      <c r="B11173" s="1" t="s">
        <v>11077</v>
      </c>
      <c r="C11173" t="str">
        <f>IFERROR(__xludf.DUMMYFUNCTION("GOOGLETRANSLATE(B11173, ""es"", ""en"")"),"robust very good buy and good price")</f>
        <v>robust very good buy and good price</v>
      </c>
    </row>
    <row r="11174">
      <c r="A11174" s="1">
        <v>5.0</v>
      </c>
      <c r="B11174" s="1" t="s">
        <v>11078</v>
      </c>
      <c r="C11174" t="str">
        <f>IFERROR(__xludf.DUMMYFUNCTION("GOOGLETRANSLATE(B11174, ""es"", ""en"")"),"Am I comfortable 😊😊")</f>
        <v>Am I comfortable 😊😊</v>
      </c>
    </row>
    <row r="11175">
      <c r="A11175" s="1">
        <v>5.0</v>
      </c>
      <c r="B11175" s="1" t="s">
        <v>11079</v>
      </c>
      <c r="C11175" t="str">
        <f>IFERROR(__xludf.DUMMYFUNCTION("GOOGLETRANSLATE(B11175, ""es"", ""en"")"),"Big and strong, good grip scissors are good for a good price, the grip is good and the edge too, so you can not ask for more.")</f>
        <v>Big and strong, good grip scissors are good for a good price, the grip is good and the edge too, so you can not ask for more.</v>
      </c>
    </row>
    <row r="11176">
      <c r="A11176" s="1">
        <v>5.0</v>
      </c>
      <c r="B11176" s="1" t="s">
        <v>11080</v>
      </c>
      <c r="C11176" t="str">
        <f>IFERROR(__xludf.DUMMYFUNCTION("GOOGLETRANSLATE(B11176, ""es"", ""en"")"),"Well very useful for people like me who have casettes. Thank you")</f>
        <v>Well very useful for people like me who have casettes. Thank you</v>
      </c>
    </row>
    <row r="11177">
      <c r="A11177" s="1">
        <v>5.0</v>
      </c>
      <c r="B11177" s="1" t="s">
        <v>11081</v>
      </c>
      <c r="C11177" t="str">
        <f>IFERROR(__xludf.DUMMYFUNCTION("GOOGLETRANSLATE(B11177, ""es"", ""en"")"),"After a year must using them daily can ensure that a piece of purchase. So that cost, the sound that offers design, ease of folding, etc. is a highly recommended product. I would buy")</f>
        <v>After a year must using them daily can ensure that a piece of purchase. So that cost, the sound that offers design, ease of folding, etc. is a highly recommended product. I would buy</v>
      </c>
    </row>
    <row r="11178">
      <c r="A11178" s="1">
        <v>5.0</v>
      </c>
      <c r="B11178" s="1" t="s">
        <v>11082</v>
      </c>
      <c r="C11178" t="str">
        <f>IFERROR(__xludf.DUMMYFUNCTION("GOOGLETRANSLATE(B11178, ""es"", ""en"")"),"Ok well watch a little risen in price but worth durasero I've almost since it went on sale a lot of years spent this model clock")</f>
        <v>Ok well watch a little risen in price but worth durasero I've almost since it went on sale a lot of years spent this model clock</v>
      </c>
    </row>
    <row r="11179">
      <c r="A11179" s="1">
        <v>5.0</v>
      </c>
      <c r="B11179" s="1" t="s">
        <v>11083</v>
      </c>
      <c r="C11179" t="str">
        <f>IFERROR(__xludf.DUMMYFUNCTION("GOOGLETRANSLATE(B11179, ""es"", ""en"")"),"I recommend recommend")</f>
        <v>I recommend recommend</v>
      </c>
    </row>
    <row r="11180">
      <c r="A11180" s="1">
        <v>5.0</v>
      </c>
      <c r="B11180" s="1" t="s">
        <v>11084</v>
      </c>
      <c r="C11180" t="str">
        <f>IFERROR(__xludf.DUMMYFUNCTION("GOOGLETRANSLATE(B11180, ""es"", ""en"")"),"Comfort I like everything is super comfy and use to go walking.")</f>
        <v>Comfort I like everything is super comfy and use to go walking.</v>
      </c>
    </row>
    <row r="11181">
      <c r="A11181" s="1">
        <v>5.0</v>
      </c>
      <c r="B11181" s="1" t="s">
        <v>11085</v>
      </c>
      <c r="C11181" t="str">
        <f>IFERROR(__xludf.DUMMYFUNCTION("GOOGLETRANSLATE(B11181, ""es"", ""en"")"),"happy happy with the purchase with purchase")</f>
        <v>happy happy with the purchase with purchase</v>
      </c>
    </row>
    <row r="11182">
      <c r="A11182" s="1">
        <v>2.0</v>
      </c>
      <c r="B11182" s="1" t="s">
        <v>11086</v>
      </c>
      <c r="C11182" t="str">
        <f>IFERROR(__xludf.DUMMYFUNCTION("GOOGLETRANSLATE(B11182, ""es"", ""en"")"),"I filled the entire deposit and the top cover brosa of coffee The design of the coffee well but both paper filters and filter me is permanent passes the brosa of coffee both the coffee prepared as even the water tank. It is assumed that you can prepare up"&amp;" to 16 cups and each scoop of coffee is for one cup, because if you made more than 8 scoops do not know the mess of coffee everywhere.")</f>
        <v>I filled the entire deposit and the top cover brosa of coffee The design of the coffee well but both paper filters and filter me is permanent passes the brosa of coffee both the coffee prepared as even the water tank. It is assumed that you can prepare up to 16 cups and each scoop of coffee is for one cup, because if you made more than 8 scoops do not know the mess of coffee everywhere.</v>
      </c>
    </row>
    <row r="11183">
      <c r="A11183" s="1">
        <v>3.0</v>
      </c>
      <c r="B11183" s="1" t="s">
        <v>11087</v>
      </c>
      <c r="C11183" t="str">
        <f>IFERROR(__xludf.DUMMYFUNCTION("GOOGLETRANSLATE(B11183, ""es"", ""en"")"),"The product quality. In the past, better quality and better packaging and presentation.")</f>
        <v>The product quality. In the past, better quality and better packaging and presentation.</v>
      </c>
    </row>
    <row r="11184">
      <c r="A11184" s="1">
        <v>3.0</v>
      </c>
      <c r="B11184" s="1" t="s">
        <v>11088</v>
      </c>
      <c r="C11184" t="str">
        <f>IFERROR(__xludf.DUMMYFUNCTION("GOOGLETRANSLATE(B11184, ""es"", ""en"")"),"Pretty nice shirt but the neck is wide.")</f>
        <v>Pretty nice shirt but the neck is wide.</v>
      </c>
    </row>
    <row r="11185">
      <c r="A11185" s="1">
        <v>1.0</v>
      </c>
      <c r="B11185" s="1" t="s">
        <v>11089</v>
      </c>
      <c r="C11185" t="str">
        <f>IFERROR(__xludf.DUMMYFUNCTION("GOOGLETRANSLATE(B11185, ""es"", ""en"")"),"I came broken wine I used broken and could not be used")</f>
        <v>I came broken wine I used broken and could not be used</v>
      </c>
    </row>
    <row r="11186">
      <c r="A11186" s="1">
        <v>1.0</v>
      </c>
      <c r="B11186" s="1" t="s">
        <v>11090</v>
      </c>
      <c r="C11186" t="str">
        <f>IFERROR(__xludf.DUMMYFUNCTION("GOOGLETRANSLATE(B11186, ""es"", ""en"")"),"They are not leather or waterproof Super comfortable and look strong, I liked a lot, but ...... color is not nearly the photo and bothered me a lot that are not leather just give back down the mountain and raincoats zilch very disappointed")</f>
        <v>They are not leather or waterproof Super comfortable and look strong, I liked a lot, but ...... color is not nearly the photo and bothered me a lot that are not leather just give back down the mountain and raincoats zilch very disappointed</v>
      </c>
    </row>
    <row r="11187">
      <c r="A11187" s="1">
        <v>4.0</v>
      </c>
      <c r="B11187" s="1" t="s">
        <v>11091</v>
      </c>
      <c r="C11187" t="str">
        <f>IFERROR(__xludf.DUMMYFUNCTION("GOOGLETRANSLATE(B11187, ""es"", ""en"")"),"Perdoradora good product at a reasonable price. Answers my office needs correctly and appropriately. You can trust him.")</f>
        <v>Perdoradora good product at a reasonable price. Answers my office needs correctly and appropriately. You can trust him.</v>
      </c>
    </row>
    <row r="11188">
      <c r="A11188" s="1">
        <v>4.0</v>
      </c>
      <c r="B11188" s="1" t="s">
        <v>11092</v>
      </c>
      <c r="C11188" t="str">
        <f>IFERROR(__xludf.DUMMYFUNCTION("GOOGLETRANSLATE(B11188, ""es"", ""en"")"),"Anti bottle is a bottle that spills will not flow with the system also it brings the be stainless steel thermos made of liquids. The handles makes the small to handle it alone. You can carry if you drop anything in the bag.")</f>
        <v>Anti bottle is a bottle that spills will not flow with the system also it brings the be stainless steel thermos made of liquids. The handles makes the small to handle it alone. You can carry if you drop anything in the bag.</v>
      </c>
    </row>
    <row r="11189">
      <c r="A11189" s="1">
        <v>4.0</v>
      </c>
      <c r="B11189" s="1" t="s">
        <v>11093</v>
      </c>
      <c r="C11189" t="str">
        <f>IFERROR(__xludf.DUMMYFUNCTION("GOOGLETRANSLATE(B11189, ""es"", ""en"")"),"Much better than expected I usually do many crafts and paper cutting at home, I usually use cuter, but I found this contraption and the truth that gives an almost professional finish. Very easy to use and secure because the blade is hidden.")</f>
        <v>Much better than expected I usually do many crafts and paper cutting at home, I usually use cuter, but I found this contraption and the truth that gives an almost professional finish. Very easy to use and secure because the blade is hidden.</v>
      </c>
    </row>
    <row r="11190">
      <c r="A11190" s="1">
        <v>4.0</v>
      </c>
      <c r="B11190" s="1" t="s">
        <v>11094</v>
      </c>
      <c r="C11190" t="str">
        <f>IFERROR(__xludf.DUMMYFUNCTION("GOOGLETRANSLATE(B11190, ""es"", ""en"")"),"Amazing at this price is 50 € a clock appears easily 150-200 €, only have to get close to any shopping center and watchmaking compare: mineral glass with magnifying glass takes the dater, steel box with a mark recorded lateral, quartz movement accurate an"&amp;"d reliable Japanese (of the Seiko group), armis solid steel links in two finishes (polished to a mirror and brushing) and engraved with the brand inside ... the closure may detract a little set since it is made of sheet steel, but falls under usual in thi"&amp;"s price range (have automatic Seiko and Orient more expensive and carry the same type of closure); The only but I put, and why not give 5 stars is that the crown is not threaded in a 200M should be, also comes to the position of time setting easily imagin"&amp;"e at affordable Hattori movement, I have been spent a couple of times on put my hand to the pocket is engaged with the edge and has left the crown, so the watch has stopped, this would have avoided putting a screw that I do not have to understand more exp"&amp;"ensive much product also ensuring greater seal since it is a dive watch, otherwise 10 for the price, I have plenty of watches and this led him almost exclusively since I bought it last summer, also by size, it is very convenient for those who have thin wr"&amp;"ists, and also appeal to women who want a watch something more apparent size.")</f>
        <v>Amazing at this price is 50 € a clock appears easily 150-200 €, only have to get close to any shopping center and watchmaking compare: mineral glass with magnifying glass takes the dater, steel box with a mark recorded lateral, quartz movement accurate and reliable Japanese (of the Seiko group), armis solid steel links in two finishes (polished to a mirror and brushing) and engraved with the brand inside ... the closure may detract a little set since it is made of sheet steel, but falls under usual in this price range (have automatic Seiko and Orient more expensive and carry the same type of closure); The only but I put, and why not give 5 stars is that the crown is not threaded in a 200M should be, also comes to the position of time setting easily imagine at affordable Hattori movement, I have been spent a couple of times on put my hand to the pocket is engaged with the edge and has left the crown, so the watch has stopped, this would have avoided putting a screw that I do not have to understand more expensive much product also ensuring greater seal since it is a dive watch, otherwise 10 for the price, I have plenty of watches and this led him almost exclusively since I bought it last summer, also by size, it is very convenient for those who have thin wrists, and also appeal to women who want a watch something more apparent size.</v>
      </c>
    </row>
    <row r="11191">
      <c r="A11191" s="1">
        <v>4.0</v>
      </c>
      <c r="B11191" s="1" t="s">
        <v>11095</v>
      </c>
      <c r="C11191" t="str">
        <f>IFERROR(__xludf.DUMMYFUNCTION("GOOGLETRANSLATE(B11191, ""es"", ""en"")"),"Anonymous are very cool, but are rather large. I recommend that you ask less than the number that you expend, or put you over other templates.")</f>
        <v>Anonymous are very cool, but are rather large. I recommend that you ask less than the number that you expend, or put you over other templates.</v>
      </c>
    </row>
    <row r="11192">
      <c r="A11192" s="1">
        <v>5.0</v>
      </c>
      <c r="B11192" s="1" t="s">
        <v>11096</v>
      </c>
      <c r="C11192" t="str">
        <f>IFERROR(__xludf.DUMMYFUNCTION("GOOGLETRANSLATE(B11192, ""es"", ""en"")"),"originals are precious to my wife loves dress a lot and are very colorful and comfortable brightness and also ok")</f>
        <v>originals are precious to my wife loves dress a lot and are very colorful and comfortable brightness and also ok</v>
      </c>
    </row>
    <row r="11193">
      <c r="A11193" s="1">
        <v>5.0</v>
      </c>
      <c r="B11193" s="1" t="s">
        <v>11097</v>
      </c>
      <c r="C11193" t="str">
        <f>IFERROR(__xludf.DUMMYFUNCTION("GOOGLETRANSLATE(B11193, ""es"", ""en"")"),"very satisfied very useful when you work with children, and for small things nmanualidades both home and in school is a great buy.")</f>
        <v>very satisfied very useful when you work with children, and for small things nmanualidades both home and in school is a great buy.</v>
      </c>
    </row>
    <row r="11194">
      <c r="A11194" s="1">
        <v>5.0</v>
      </c>
      <c r="B11194" s="1" t="s">
        <v>11098</v>
      </c>
      <c r="C11194" t="str">
        <f>IFERROR(__xludf.DUMMYFUNCTION("GOOGLETRANSLATE(B11194, ""es"", ""en"")"),"Happy with the choice we good quality and price with approximately one year without problems")</f>
        <v>Happy with the choice we good quality and price with approximately one year without problems</v>
      </c>
    </row>
    <row r="11195">
      <c r="A11195" s="1">
        <v>5.0</v>
      </c>
      <c r="B11195" s="1" t="s">
        <v>11099</v>
      </c>
      <c r="C11195" t="str">
        <f>IFERROR(__xludf.DUMMYFUNCTION("GOOGLETRANSLATE(B11195, ""es"", ""en"")"),"Nere Quick delivery. The shirts are as they appear in the photos. The size has come correct. I know I bought my boyfriend and is happy with them. You comfortable.")</f>
        <v>Nere Quick delivery. The shirts are as they appear in the photos. The size has come correct. I know I bought my boyfriend and is happy with them. You comfortable.</v>
      </c>
    </row>
    <row r="11196">
      <c r="A11196" s="1">
        <v>5.0</v>
      </c>
      <c r="B11196" s="1" t="s">
        <v>11100</v>
      </c>
      <c r="C11196" t="str">
        <f>IFERROR(__xludf.DUMMYFUNCTION("GOOGLETRANSLATE(B11196, ""es"", ""en"")"),"I wear a good choice and I asked 95C size L-XL. They are perfect to be at home or sleeping.")</f>
        <v>I wear a good choice and I asked 95C size L-XL. They are perfect to be at home or sleeping.</v>
      </c>
    </row>
    <row r="11197">
      <c r="A11197" s="1">
        <v>5.0</v>
      </c>
      <c r="B11197" s="1" t="s">
        <v>11101</v>
      </c>
      <c r="C11197" t="str">
        <f>IFERROR(__xludf.DUMMYFUNCTION("GOOGLETRANSLATE(B11197, ""es"", ""en"")"),"Formal and fashionable did not have to give my cousin for his birthday, so I decided to give these helmets, then use them told me that he likes a lot, because the quality of the sound and audio are clear and crisp, the conveniences expected to have the us"&amp;"e they are good after spending several hours using it. Note that is a good material, and durable, with respect to the microphone that has, works well when making calls and so the price of these headphones quality are good.")</f>
        <v>Formal and fashionable did not have to give my cousin for his birthday, so I decided to give these helmets, then use them told me that he likes a lot, because the quality of the sound and audio are clear and crisp, the conveniences expected to have the use they are good after spending several hours using it. Note that is a good material, and durable, with respect to the microphone that has, works well when making calls and so the price of these headphones quality are good.</v>
      </c>
    </row>
    <row r="11198">
      <c r="A11198" s="1">
        <v>5.0</v>
      </c>
      <c r="B11198" s="1" t="s">
        <v>11102</v>
      </c>
      <c r="C11198" t="str">
        <f>IFERROR(__xludf.DUMMYFUNCTION("GOOGLETRANSLATE(B11198, ""es"", ""en"")"),"Perfect! I bought some time and is like new. He has not given me any problems. The quality is great and visually is super nice and sturdy.")</f>
        <v>Perfect! I bought some time and is like new. He has not given me any problems. The quality is great and visually is super nice and sturdy.</v>
      </c>
    </row>
    <row r="11199">
      <c r="A11199" s="1">
        <v>5.0</v>
      </c>
      <c r="B11199" s="1" t="s">
        <v>11103</v>
      </c>
      <c r="C11199" t="str">
        <f>IFERROR(__xludf.DUMMYFUNCTION("GOOGLETRANSLATE(B11199, ""es"", ""en"")"),"Great for fruit smoothies This vera i would have taken a lot out creating a lot of juice taking advantage of the maximum fruit. Easy to use. an essential")</f>
        <v>Great for fruit smoothies This vera i would have taken a lot out creating a lot of juice taking advantage of the maximum fruit. Easy to use. an essential</v>
      </c>
    </row>
    <row r="11200">
      <c r="A11200" s="1">
        <v>5.0</v>
      </c>
      <c r="B11200" s="1" t="s">
        <v>11104</v>
      </c>
      <c r="C11200" t="str">
        <f>IFERROR(__xludf.DUMMYFUNCTION("GOOGLETRANSLATE(B11200, ""es"", ""en"")"),"fantastic are fantastic and super comfortable. All I recommend you buy a half or a number less that fit enough")</f>
        <v>fantastic are fantastic and super comfortable. All I recommend you buy a half or a number less that fit enough</v>
      </c>
    </row>
    <row r="11201">
      <c r="A11201" s="1">
        <v>5.0</v>
      </c>
      <c r="B11201" s="1" t="s">
        <v>11105</v>
      </c>
      <c r="C11201" t="str">
        <f>IFERROR(__xludf.DUMMYFUNCTION("GOOGLETRANSLATE(B11201, ""es"", ""en"")"),"Highly recommended Groovy")</f>
        <v>Highly recommended Groovy</v>
      </c>
    </row>
    <row r="11202">
      <c r="A11202" s="1">
        <v>5.0</v>
      </c>
      <c r="B11202" s="1" t="s">
        <v>11106</v>
      </c>
      <c r="C11202" t="str">
        <f>IFERROR(__xludf.DUMMYFUNCTION("GOOGLETRANSLATE(B11202, ""es"", ""en"")"),"Does the job. Good quality materials and does the job.")</f>
        <v>Does the job. Good quality materials and does the job.</v>
      </c>
    </row>
    <row r="11203">
      <c r="A11203" s="1">
        <v>5.0</v>
      </c>
      <c r="B11203" s="1" t="s">
        <v>11107</v>
      </c>
      <c r="C11203" t="str">
        <f>IFERROR(__xludf.DUMMYFUNCTION("GOOGLETRANSLATE(B11203, ""es"", ""en"")"),"Very comfortable and the right size relative to the size are comfortable only have the disadvantage of color, staining with him. The size corresponds to the usual.")</f>
        <v>Very comfortable and the right size relative to the size are comfortable only have the disadvantage of color, staining with him. The size corresponds to the usual.</v>
      </c>
    </row>
    <row r="11204">
      <c r="A11204" s="1">
        <v>5.0</v>
      </c>
      <c r="B11204" s="1" t="s">
        <v>11108</v>
      </c>
      <c r="C11204" t="str">
        <f>IFERROR(__xludf.DUMMYFUNCTION("GOOGLETRANSLATE(B11204, ""es"", ""en"")"),"Prefect ennsu great performance, works in a totally and absolutely good shape. Cunple any of its functions to lamperfeccion, very reomendable and economic")</f>
        <v>Prefect ennsu great performance, works in a totally and absolutely good shape. Cunple any of its functions to lamperfeccion, very reomendable and economic</v>
      </c>
    </row>
    <row r="11205">
      <c r="A11205" s="1">
        <v>5.0</v>
      </c>
      <c r="B11205" s="1" t="s">
        <v>11109</v>
      </c>
      <c r="C11205" t="str">
        <f>IFERROR(__xludf.DUMMYFUNCTION("GOOGLETRANSLATE(B11205, ""es"", ""en"")"),"outsize The color is gorgeous i are very nice. The problem is I usually wear 37 in Bambas and in this case I came enormous. I had to change to another color and I came out a little more expensive.")</f>
        <v>outsize The color is gorgeous i are very nice. The problem is I usually wear 37 in Bambas and in this case I came enormous. I had to change to another color and I came out a little more expensive.</v>
      </c>
    </row>
    <row r="11206">
      <c r="A11206" s="1">
        <v>5.0</v>
      </c>
      <c r="B11206" s="1" t="s">
        <v>11110</v>
      </c>
      <c r="C11206" t="str">
        <f>IFERROR(__xludf.DUMMYFUNCTION("GOOGLETRANSLATE(B11206, ""es"", ""en"")"),"It is very handy going very well both to hang things to write. I chose this assessment because it meets my expectations. I liked this product because it weighs little and is what I was looking for. I would recommend this product to anyone who wants to wri"&amp;"te or use magnets or other things hanging")</f>
        <v>It is very handy going very well both to hang things to write. I chose this assessment because it meets my expectations. I liked this product because it weighs little and is what I was looking for. I would recommend this product to anyone who wants to write or use magnets or other things hanging</v>
      </c>
    </row>
    <row r="11207">
      <c r="A11207" s="1">
        <v>5.0</v>
      </c>
      <c r="B11207" s="1" t="s">
        <v>11111</v>
      </c>
      <c r="C11207" t="str">
        <f>IFERROR(__xludf.DUMMYFUNCTION("GOOGLETRANSLATE(B11207, ""es"", ""en"")"),"For as hard I have a HP stream of only 32 GB hard drive, but as has card reader'll put this and not the bag already. I have the utorrent and Mipony downloading directly to the card and there is no problem of speed. And when I pass files to an external har"&amp;"d drive it is very fast too.")</f>
        <v>For as hard I have a HP stream of only 32 GB hard drive, but as has card reader'll put this and not the bag already. I have the utorrent and Mipony downloading directly to the card and there is no problem of speed. And when I pass files to an external hard drive it is very fast too.</v>
      </c>
    </row>
    <row r="11208">
      <c r="A11208" s="1">
        <v>5.0</v>
      </c>
      <c r="B11208" s="1" t="s">
        <v>11112</v>
      </c>
      <c r="C11208" t="str">
        <f>IFERROR(__xludf.DUMMYFUNCTION("GOOGLETRANSLATE(B11208, ""es"", ""en"")"),"durability and comfort Although slightly higher price, were fully amortized .... the girl is delighted with them.")</f>
        <v>durability and comfort Although slightly higher price, were fully amortized .... the girl is delighted with them.</v>
      </c>
    </row>
    <row r="11209">
      <c r="A11209" s="1">
        <v>5.0</v>
      </c>
      <c r="B11209" s="1" t="s">
        <v>11113</v>
      </c>
      <c r="C11209" t="str">
        <f>IFERROR(__xludf.DUMMYFUNCTION("GOOGLETRANSLATE(B11209, ""es"", ""en"")"),"Comfortable and practical have an ideal size in which even fits an iPad 12.9 ""of 2018, which was one of my fundamental requirements. Fits all the essentials for everyday and not very heavy to carry.")</f>
        <v>Comfortable and practical have an ideal size in which even fits an iPad 12.9 "of 2018, which was one of my fundamental requirements. Fits all the essentials for everyday and not very heavy to carry.</v>
      </c>
    </row>
    <row r="11210">
      <c r="A11210" s="1">
        <v>5.0</v>
      </c>
      <c r="B11210" s="1" t="s">
        <v>11114</v>
      </c>
      <c r="C11210" t="str">
        <f>IFERROR(__xludf.DUMMYFUNCTION("GOOGLETRANSLATE(B11210, ""es"", ""en"")"),". Perfect gift.")</f>
        <v>. Perfect gift.</v>
      </c>
    </row>
    <row r="11211">
      <c r="A11211" s="1">
        <v>2.0</v>
      </c>
      <c r="B11211" s="1" t="s">
        <v>11115</v>
      </c>
      <c r="C11211" t="str">
        <f>IFERROR(__xludf.DUMMYFUNCTION("GOOGLETRANSLATE(B11211, ""es"", ""en"")"),"Normalitos'll have to buy another better and not read more comments")</f>
        <v>Normalitos'll have to buy another better and not read more comments</v>
      </c>
    </row>
    <row r="11212">
      <c r="A11212" s="1">
        <v>3.0</v>
      </c>
      <c r="B11212" s="1" t="s">
        <v>11116</v>
      </c>
      <c r="C11212" t="str">
        <f>IFERROR(__xludf.DUMMYFUNCTION("GOOGLETRANSLATE(B11212, ""es"", ""en"")"),"A folder that will last a course or folder is less clear is nice but cardboard and little time to break down the corners. I recommend that is protected with plastic liner")</f>
        <v>A folder that will last a course or folder is less clear is nice but cardboard and little time to break down the corners. I recommend that is protected with plastic liner</v>
      </c>
    </row>
    <row r="11213">
      <c r="A11213" s="1">
        <v>1.0</v>
      </c>
      <c r="B11213" s="1" t="s">
        <v>11117</v>
      </c>
      <c r="C11213" t="str">
        <f>IFERROR(__xludf.DUMMYFUNCTION("GOOGLETRANSLATE(B11213, ""es"", ""en"")"),"It is almost impossible to find uncomfortable a comfortable position. The balls are strong, and how do too much weight are uncomfortable and even painful. Sorry, but I do not recommend it.")</f>
        <v>It is almost impossible to find uncomfortable a comfortable position. The balls are strong, and how do too much weight are uncomfortable and even painful. Sorry, but I do not recommend it.</v>
      </c>
    </row>
    <row r="11214">
      <c r="A11214" s="1">
        <v>1.0</v>
      </c>
      <c r="B11214" s="1" t="s">
        <v>11118</v>
      </c>
      <c r="C11214" t="str">
        <f>IFERROR(__xludf.DUMMYFUNCTION("GOOGLETRANSLATE(B11214, ""es"", ""en"")"),"Poor presentation, quality questionable earrings come in a box blue with a smell Asian country pulling back, plus earrings comes in could box thinking that come as jewelries life is hooked on the foam rubber turn ..... but not have it rubber foam but come"&amp;" in a plastic bag ... that if we want better to buy another box and give other nuts ...... because it also put It applies to girls but the nut for an adult ...... very very small. They come two games, normal nuts, and other transparent. I let myself be gu"&amp;"ided by the comments and honestly would not buy ever, I spend a tad more in the neighborhood store lifelong and have better quality without hesitation. The I returned because it was given away shame.")</f>
        <v>Poor presentation, quality questionable earrings come in a box blue with a smell Asian country pulling back, plus earrings comes in could box thinking that come as jewelries life is hooked on the foam rubber turn ..... but not have it rubber foam but come in a plastic bag ... that if we want better to buy another box and give other nuts ...... because it also put It applies to girls but the nut for an adult ...... very very small. They come two games, normal nuts, and other transparent. I let myself be guided by the comments and honestly would not buy ever, I spend a tad more in the neighborhood store lifelong and have better quality without hesitation. The I returned because it was given away shame.</v>
      </c>
    </row>
    <row r="11215">
      <c r="A11215" s="1">
        <v>4.0</v>
      </c>
      <c r="B11215" s="1" t="s">
        <v>11119</v>
      </c>
      <c r="C11215" t="str">
        <f>IFERROR(__xludf.DUMMYFUNCTION("GOOGLETRANSLATE(B11215, ""es"", ""en"")"),"I'll buy cleaner to wash washing machine and dishwasher, you leave it well and clear with specific products save enough")</f>
        <v>I'll buy cleaner to wash washing machine and dishwasher, you leave it well and clear with specific products save enough</v>
      </c>
    </row>
    <row r="11216">
      <c r="A11216" s="1">
        <v>4.0</v>
      </c>
      <c r="B11216" s="1" t="s">
        <v>11120</v>
      </c>
      <c r="C11216" t="str">
        <f>IFERROR(__xludf.DUMMYFUNCTION("GOOGLETRANSLATE(B11216, ""es"", ""en"")"),"Great watch Good watch, truth in what looks great")</f>
        <v>Great watch Good watch, truth in what looks great</v>
      </c>
    </row>
    <row r="11217">
      <c r="A11217" s="1">
        <v>4.0</v>
      </c>
      <c r="B11217" s="1" t="s">
        <v>11121</v>
      </c>
      <c r="C11217" t="str">
        <f>IFERROR(__xludf.DUMMYFUNCTION("GOOGLETRANSLATE(B11217, ""es"", ""en"")"),"Good price good cable speaker cable. It is entirely copper and copper not plated other. It also has an interesting detail in red indicating one wire so you no lies at the facility. Recommended for its price.")</f>
        <v>Good price good cable speaker cable. It is entirely copper and copper not plated other. It also has an interesting detail in red indicating one wire so you no lies at the facility. Recommended for its price.</v>
      </c>
    </row>
    <row r="11218">
      <c r="A11218" s="1">
        <v>4.0</v>
      </c>
      <c r="B11218" s="1" t="s">
        <v>11122</v>
      </c>
      <c r="C11218" t="str">
        <f>IFERROR(__xludf.DUMMYFUNCTION("GOOGLETRANSLATE(B11218, ""es"", ""en"")"),"Good product good product, give me managed to carry everything you need for day to day")</f>
        <v>Good product good product, give me managed to carry everything you need for day to day</v>
      </c>
    </row>
    <row r="11219">
      <c r="A11219" s="1">
        <v>4.0</v>
      </c>
      <c r="B11219" s="1" t="s">
        <v>11123</v>
      </c>
      <c r="C11219" t="str">
        <f>IFERROR(__xludf.DUMMYFUNCTION("GOOGLETRANSLATE(B11219, ""es"", ""en"")"),"It is small, it serves if it does not require large quantities or strength.")</f>
        <v>It is small, it serves if it does not require large quantities or strength.</v>
      </c>
    </row>
    <row r="11220">
      <c r="A11220" s="1">
        <v>5.0</v>
      </c>
      <c r="B11220" s="1" t="s">
        <v>11124</v>
      </c>
      <c r="C11220" t="str">
        <f>IFERROR(__xludf.DUMMYFUNCTION("GOOGLETRANSLATE(B11220, ""es"", ""en"")"),"I love it, I look great. Use an S-shirt (sometimes M) and I have a 90C. I asked the L and have successful of the whole, the cups are spacious and I fit, secure enough and make the very comfortable top has chest as compressed as others but if that subject,"&amp;" especially the bottom web is flexible but quite tight. The truth is that I love and use it as a holder for monkeys and bra straps are not visible, because these are much better. All I ask is a little softer fabric, as it is makes you sweat a bit and scra"&amp;"tched a tad.")</f>
        <v>I love it, I look great. Use an S-shirt (sometimes M) and I have a 90C. I asked the L and have successful of the whole, the cups are spacious and I fit, secure enough and make the very comfortable top has chest as compressed as others but if that subject, especially the bottom web is flexible but quite tight. The truth is that I love and use it as a holder for monkeys and bra straps are not visible, because these are much better. All I ask is a little softer fabric, as it is makes you sweat a bit and scratched a tad.</v>
      </c>
    </row>
    <row r="11221">
      <c r="A11221" s="1">
        <v>5.0</v>
      </c>
      <c r="B11221" s="1" t="s">
        <v>11125</v>
      </c>
      <c r="C11221" t="str">
        <f>IFERROR(__xludf.DUMMYFUNCTION("GOOGLETRANSLATE(B11221, ""es"", ""en"")"),"Like clockwork! It is the second I have. I've changed the first wear (buttons). I hope it lasts the more than 10 years of the first.")</f>
        <v>Like clockwork! It is the second I have. I've changed the first wear (buttons). I hope it lasts the more than 10 years of the first.</v>
      </c>
    </row>
    <row r="11222">
      <c r="A11222" s="1">
        <v>5.0</v>
      </c>
      <c r="B11222" s="1" t="s">
        <v>11126</v>
      </c>
      <c r="C11222" t="str">
        <f>IFERROR(__xludf.DUMMYFUNCTION("GOOGLETRANSLATE(B11222, ""es"", ""en"")"),"Cool very good quality, fulfill their function perfectly")</f>
        <v>Cool very good quality, fulfill their function perfectly</v>
      </c>
    </row>
    <row r="11223">
      <c r="A11223" s="1">
        <v>5.0</v>
      </c>
      <c r="B11223" s="1" t="s">
        <v>11127</v>
      </c>
      <c r="C11223" t="str">
        <f>IFERROR(__xludf.DUMMYFUNCTION("GOOGLETRANSLATE(B11223, ""es"", ""en"")"),"Anonymous works very well")</f>
        <v>Anonymous works very well</v>
      </c>
    </row>
    <row r="11224">
      <c r="A11224" s="1">
        <v>5.0</v>
      </c>
      <c r="B11224" s="1" t="s">
        <v>11128</v>
      </c>
      <c r="C11224" t="str">
        <f>IFERROR(__xludf.DUMMYFUNCTION("GOOGLETRANSLATE(B11224, ""es"", ""en"")"),"Apart from being much sucks elegant, perfect for a kitchen We love x super modern design")</f>
        <v>Apart from being much sucks elegant, perfect for a kitchen We love x super modern design</v>
      </c>
    </row>
    <row r="11225">
      <c r="A11225" s="1">
        <v>5.0</v>
      </c>
      <c r="B11225" s="1" t="s">
        <v>11129</v>
      </c>
      <c r="C11225" t="str">
        <f>IFERROR(__xludf.DUMMYFUNCTION("GOOGLETRANSLATE(B11225, ""es"", ""en"")"),"Has a lot of strength and speed I loved, skin leaves nothing tomatoes for example, it crushes everything very well, leaving very few pieces, almost nothing, to make gazpacho is ideal")</f>
        <v>Has a lot of strength and speed I loved, skin leaves nothing tomatoes for example, it crushes everything very well, leaving very few pieces, almost nothing, to make gazpacho is ideal</v>
      </c>
    </row>
    <row r="11226">
      <c r="A11226" s="1">
        <v>5.0</v>
      </c>
      <c r="B11226" s="1" t="s">
        <v>11130</v>
      </c>
      <c r="C11226" t="str">
        <f>IFERROR(__xludf.DUMMYFUNCTION("GOOGLETRANSLATE(B11226, ""es"", ""en"")"),"very nice, full of shops and very practical design practice. A success.")</f>
        <v>very nice, full of shops and very practical design practice. A success.</v>
      </c>
    </row>
    <row r="11227">
      <c r="A11227" s="1">
        <v>5.0</v>
      </c>
      <c r="B11227" s="1" t="s">
        <v>11131</v>
      </c>
      <c r="C11227" t="str">
        <f>IFERROR(__xludf.DUMMYFUNCTION("GOOGLETRANSLATE(B11227, ""es"", ""en"")"),"Ideal for both professional use and for fun &lt;div id = ""video-block-R318C65HVJQKIS"" class = ""a-section a-spacing-small a-spacing-top mini video-block""&gt; &lt;/ div&gt; &lt;input type = ""hidden"" name = """" value = ""https://images-eu.ssl-images-amazon.com/image"&amp;"s/I/D13S+rKtP7S.mp4"" class = ""video-url""&gt; &lt;input type = ""hidden ""name ="" ""value ="" https://images-eu.ssl-images-amazon.com/images/I/81MLmm-9VuS.png ""class ="" video-slate-img-url ""&gt; &amp; nbsp; We bought this pair of wireless microphones for use at "&amp;"home karaoke parties. The design is exactly like the professional microphones, being very stylish and attractive. Weigh very little, so do not annoy you when to use them and we are not tired arm. Start using them is easier than I thought, since there is o"&amp;"nly to put a pair of batteries microphones, connect the wireless receiver to an amplifier or speaker system (eg cinema home) and finally it to your TV or computer where we go to play the music file or video karaoke.")</f>
        <v>Ideal for both professional use and for fun &lt;div id = "video-block-R318C65HVJQKIS" class = "a-section a-spacing-small a-spacing-top mini video-block"&gt; &lt;/ div&gt; &lt;input type = "hidden" name = "" value = "https://images-eu.ssl-images-amazon.com/images/I/D13S+rKtP7S.mp4" class = "video-url"&gt; &lt;input type = "hidden "name =" "value =" https://images-eu.ssl-images-amazon.com/images/I/81MLmm-9VuS.png "class =" video-slate-img-url "&gt; &amp; nbsp; We bought this pair of wireless microphones for use at home karaoke parties. The design is exactly like the professional microphones, being very stylish and attractive. Weigh very little, so do not annoy you when to use them and we are not tired arm. Start using them is easier than I thought, since there is only to put a pair of batteries microphones, connect the wireless receiver to an amplifier or speaker system (eg cinema home) and finally it to your TV or computer where we go to play the music file or video karaoke.</v>
      </c>
    </row>
    <row r="11228">
      <c r="A11228" s="1">
        <v>5.0</v>
      </c>
      <c r="B11228" s="1" t="s">
        <v>11132</v>
      </c>
      <c r="C11228" t="str">
        <f>IFERROR(__xludf.DUMMYFUNCTION("GOOGLETRANSLATE(B11228, ""es"", ""en"")"),"Leather slippers. It is a good product, and the latter is what he bought with this is all said, but is it the only one that comes to size a fair bit.")</f>
        <v>Leather slippers. It is a good product, and the latter is what he bought with this is all said, but is it the only one that comes to size a fair bit.</v>
      </c>
    </row>
    <row r="11229">
      <c r="A11229" s="1">
        <v>5.0</v>
      </c>
      <c r="B11229" s="1" t="s">
        <v>11133</v>
      </c>
      <c r="C11229" t="str">
        <f>IFERROR(__xludf.DUMMYFUNCTION("GOOGLETRANSLATE(B11229, ""es"", ""en"")"),"Very good quality is really very nice quality bag and very elegant. I had my doubts but has largely fulfilled the expectations I had")</f>
        <v>Very good quality is really very nice quality bag and very elegant. I had my doubts but has largely fulfilled the expectations I had</v>
      </c>
    </row>
    <row r="11230">
      <c r="A11230" s="1">
        <v>5.0</v>
      </c>
      <c r="B11230" s="1" t="s">
        <v>11134</v>
      </c>
      <c r="C11230" t="str">
        <f>IFERROR(__xludf.DUMMYFUNCTION("GOOGLETRANSLATE(B11230, ""es"", ""en"")"),"Good quality. Works and corresponds to the description. Good.")</f>
        <v>Good quality. Works and corresponds to the description. Good.</v>
      </c>
    </row>
    <row r="11231">
      <c r="A11231" s="1">
        <v>5.0</v>
      </c>
      <c r="B11231" s="1" t="s">
        <v>11135</v>
      </c>
      <c r="C11231" t="str">
        <f>IFERROR(__xludf.DUMMYFUNCTION("GOOGLETRANSLATE(B11231, ""es"", ""en"")"),"Great quality clothes quality, very comfortable and light")</f>
        <v>Great quality clothes quality, very comfortable and light</v>
      </c>
    </row>
    <row r="11232">
      <c r="A11232" s="1">
        <v>5.0</v>
      </c>
      <c r="B11232" s="1" t="s">
        <v>11136</v>
      </c>
      <c r="C11232" t="str">
        <f>IFERROR(__xludf.DUMMYFUNCTION("GOOGLETRANSLATE(B11232, ""es"", ""en"")"),"Product 5 stars. For me, finding headphones that fit my needs is not an easy task. They provide a level of convenience that will captivate you. I was very pleased how well they are in the ears. They are simple. I have recommended to many already known.")</f>
        <v>Product 5 stars. For me, finding headphones that fit my needs is not an easy task. They provide a level of convenience that will captivate you. I was very pleased how well they are in the ears. They are simple. I have recommended to many already known.</v>
      </c>
    </row>
    <row r="11233">
      <c r="A11233" s="1">
        <v>5.0</v>
      </c>
      <c r="B11233" s="1" t="s">
        <v>11137</v>
      </c>
      <c r="C11233" t="str">
        <f>IFERROR(__xludf.DUMMYFUNCTION("GOOGLETRANSLATE(B11233, ""es"", ""en"")"),"Original and cheaper You save 40 €")</f>
        <v>Original and cheaper You save 40 €</v>
      </c>
    </row>
    <row r="11234">
      <c r="A11234" s="1">
        <v>5.0</v>
      </c>
      <c r="B11234" s="1" t="s">
        <v>11138</v>
      </c>
      <c r="C11234" t="str">
        <f>IFERROR(__xludf.DUMMYFUNCTION("GOOGLETRANSLATE(B11234, ""es"", ""en"")"),"That fulfills its function say about the product: as it fulfills its function, clean before putting vinyl on the turntable. Brush for needle have not used it because the record player I have is new.")</f>
        <v>That fulfills its function say about the product: as it fulfills its function, clean before putting vinyl on the turntable. Brush for needle have not used it because the record player I have is new.</v>
      </c>
    </row>
    <row r="11235">
      <c r="A11235" s="1">
        <v>5.0</v>
      </c>
      <c r="B11235" s="1" t="s">
        <v>11139</v>
      </c>
      <c r="C11235" t="str">
        <f>IFERROR(__xludf.DUMMYFUNCTION("GOOGLETRANSLATE(B11235, ""es"", ""en"")"),"Luxury going very well. Fulfills its function")</f>
        <v>Luxury going very well. Fulfills its function</v>
      </c>
    </row>
    <row r="11236">
      <c r="A11236" s="1">
        <v>5.0</v>
      </c>
      <c r="B11236" s="1" t="s">
        <v>11140</v>
      </c>
      <c r="C11236" t="str">
        <f>IFERROR(__xludf.DUMMYFUNCTION("GOOGLETRANSLATE(B11236, ""es"", ""en"")"),"Perfect Good and fast")</f>
        <v>Perfect Good and fast</v>
      </c>
    </row>
    <row r="11237">
      <c r="A11237" s="1">
        <v>5.0</v>
      </c>
      <c r="B11237" s="1" t="s">
        <v>11141</v>
      </c>
      <c r="C11237" t="str">
        <f>IFERROR(__xludf.DUMMYFUNCTION("GOOGLETRANSLATE(B11237, ""es"", ""en"")"),"Bracelets and good quality !! Good product, is seen to be of good quality, delivery date has been, all right, so I give it 5 stars")</f>
        <v>Bracelets and good quality !! Good product, is seen to be of good quality, delivery date has been, all right, so I give it 5 stars</v>
      </c>
    </row>
    <row r="11238">
      <c r="A11238" s="1">
        <v>2.0</v>
      </c>
      <c r="B11238" s="1" t="s">
        <v>11142</v>
      </c>
      <c r="C11238" t="str">
        <f>IFERROR(__xludf.DUMMYFUNCTION("GOOGLETRANSLATE(B11238, ""es"", ""en"")"),"Water flows below. That only 3 years after 3 years. It was a little rented apartment. mine (not clatatronic is like new after 6 years")</f>
        <v>Water flows below. That only 3 years after 3 years. It was a little rented apartment. mine (not clatatronic is like new after 6 years</v>
      </c>
    </row>
    <row r="11239">
      <c r="A11239" s="1">
        <v>3.0</v>
      </c>
      <c r="B11239" s="1" t="s">
        <v>11143</v>
      </c>
      <c r="C11239" t="str">
        <f>IFERROR(__xludf.DUMMYFUNCTION("GOOGLETRANSLATE(B11239, ""es"", ""en"")"),"I expected more quality ... nothing positive to note in this style slippers, when you pay money for a recognized brand expect quality, comfort and durability, in this case, durability has not been such ... wear color front skin area ... I think he's begun"&amp;" to notice too soon")</f>
        <v>I expected more quality ... nothing positive to note in this style slippers, when you pay money for a recognized brand expect quality, comfort and durability, in this case, durability has not been such ... wear color front skin area ... I think he's begun to notice too soon</v>
      </c>
    </row>
    <row r="11240">
      <c r="A11240" s="1">
        <v>3.0</v>
      </c>
      <c r="B11240" s="1" t="s">
        <v>11144</v>
      </c>
      <c r="C11240" t="str">
        <f>IFERROR(__xludf.DUMMYFUNCTION("GOOGLETRANSLATE(B11240, ""es"", ""en"")"),"its role ago but missing some things in terms of power and sound, sounds loud and fairly clean and clear, is pretty good. Battery moment seems to last more than five hours, but carries no indicator loading or unloading, so you have to load it every time y"&amp;"ou use it to make sure it is unloaded. To my taste it is missing the radio, an outlet to connect another speaker, LED large screen and a little fixing a bracket hub tripod and of course lacks a protective sheath. In my case the wireless microphone does no"&amp;"t work.")</f>
        <v>its role ago but missing some things in terms of power and sound, sounds loud and fairly clean and clear, is pretty good. Battery moment seems to last more than five hours, but carries no indicator loading or unloading, so you have to load it every time you use it to make sure it is unloaded. To my taste it is missing the radio, an outlet to connect another speaker, LED large screen and a little fixing a bracket hub tripod and of course lacks a protective sheath. In my case the wireless microphone does not work.</v>
      </c>
    </row>
    <row r="11241">
      <c r="A11241" s="1">
        <v>1.0</v>
      </c>
      <c r="B11241" s="1" t="s">
        <v>11145</v>
      </c>
      <c r="C11241" t="str">
        <f>IFERROR(__xludf.DUMMYFUNCTION("GOOGLETRANSLATE(B11241, ""es"", ""en"")"),"After two uses bad product, computers cease to recognize two minutes, as if they were connected. I tested with many devices: Windows computers, Debian, Ubuntu, Android and goes on all the same. This is not typical of the brand Kingston, which I bought a l"&amp;"ot and has never disappointed me so far. I think it may be a fake product.")</f>
        <v>After two uses bad product, computers cease to recognize two minutes, as if they were connected. I tested with many devices: Windows computers, Debian, Ubuntu, Android and goes on all the same. This is not typical of the brand Kingston, which I bought a lot and has never disappointed me so far. I think it may be a fake product.</v>
      </c>
    </row>
    <row r="11242">
      <c r="A11242" s="1">
        <v>1.0</v>
      </c>
      <c r="B11242" s="1" t="s">
        <v>11146</v>
      </c>
      <c r="C11242" t="str">
        <f>IFERROR(__xludf.DUMMYFUNCTION("GOOGLETRANSLATE(B11242, ""es"", ""en"")"),"Quality is very small and should be 1 bit more and be larger")</f>
        <v>Quality is very small and should be 1 bit more and be larger</v>
      </c>
    </row>
    <row r="11243">
      <c r="A11243" s="1">
        <v>1.0</v>
      </c>
      <c r="B11243" s="1" t="s">
        <v>11147</v>
      </c>
      <c r="C11243" t="str">
        <f>IFERROR(__xludf.DUMMYFUNCTION("GOOGLETRANSLATE(B11243, ""es"", ""en"")"),"small small")</f>
        <v>small small</v>
      </c>
    </row>
    <row r="11244">
      <c r="A11244" s="1">
        <v>4.0</v>
      </c>
      <c r="B11244" s="1" t="s">
        <v>11148</v>
      </c>
      <c r="C11244" t="str">
        <f>IFERROR(__xludf.DUMMYFUNCTION("GOOGLETRANSLATE(B11244, ""es"", ""en"")"),"He has fulfilled the expectations. Although buying a first zipper was broken. After the return and send a new copy, it meets my expectations.")</f>
        <v>He has fulfilled the expectations. Although buying a first zipper was broken. After the return and send a new copy, it meets my expectations.</v>
      </c>
    </row>
    <row r="11245">
      <c r="A11245" s="1">
        <v>4.0</v>
      </c>
      <c r="B11245" s="1" t="s">
        <v>11149</v>
      </c>
      <c r="C11245" t="str">
        <f>IFERROR(__xludf.DUMMYFUNCTION("GOOGLETRANSLATE(B11245, ""es"", ""en"")"),"recommended great just great cheap in physical stores and other stores of the network the product is correct I mean is aq original, referring to comments q around here and the right size and as always amazon with their shipments on time and nicely package"&amp;"d.")</f>
        <v>recommended great just great cheap in physical stores and other stores of the network the product is correct I mean is aq original, referring to comments q around here and the right size and as always amazon with their shipments on time and nicely packaged.</v>
      </c>
    </row>
    <row r="11246">
      <c r="A11246" s="1">
        <v>4.0</v>
      </c>
      <c r="B11246" s="1" t="s">
        <v>11150</v>
      </c>
      <c r="C11246" t="str">
        <f>IFERROR(__xludf.DUMMYFUNCTION("GOOGLETRANSLATE(B11246, ""es"", ""en"")"),"A classic. The worst thing for me is its emphasis on high frequencies, otherwise fairly flat response without serious enhancement. It serves to mix, is a working headset brilliant sound and is ideal for all types of applications, field recording, video po"&amp;"st-production studios, etc. Corrugated wire is great, is heavy but I can zoom out up to two meters without suffering anything the cable.")</f>
        <v>A classic. The worst thing for me is its emphasis on high frequencies, otherwise fairly flat response without serious enhancement. It serves to mix, is a working headset brilliant sound and is ideal for all types of applications, field recording, video post-production studios, etc. Corrugated wire is great, is heavy but I can zoom out up to two meters without suffering anything the cable.</v>
      </c>
    </row>
    <row r="11247">
      <c r="A11247" s="1">
        <v>4.0</v>
      </c>
      <c r="B11247" s="1" t="s">
        <v>11151</v>
      </c>
      <c r="C11247" t="str">
        <f>IFERROR(__xludf.DUMMYFUNCTION("GOOGLETRANSLATE(B11247, ""es"", ""en"")"),"acceptable takes a while to arrive, but the truth I was surprised how well it clears, it's small and I thought something I fall short because my board is 1'5m, but the truth that is very comfortable. The question is how long, but it looks good, and the pr"&amp;"ice it is pretty good.")</f>
        <v>acceptable takes a while to arrive, but the truth I was surprised how well it clears, it's small and I thought something I fall short because my board is 1'5m, but the truth that is very comfortable. The question is how long, but it looks good, and the price it is pretty good.</v>
      </c>
    </row>
    <row r="11248">
      <c r="A11248" s="1">
        <v>4.0</v>
      </c>
      <c r="B11248" s="1" t="s">
        <v>11152</v>
      </c>
      <c r="C11248" t="str">
        <f>IFERROR(__xludf.DUMMYFUNCTION("GOOGLETRANSLATE(B11248, ""es"", ""en"")"),"Value as expected. Recommendable. Expected for that price. Hook and hang incoming calls. Step to next song in music playback mode. Volume control with sliding potentiometer. Only one drawback; being in playback mode, when a call comes, stops playing music"&amp;" and does not sound the ringer (ring on the speaker of the smartphone). Fair quality audio. Aquarius tested BQ Plus X5.")</f>
        <v>Value as expected. Recommendable. Expected for that price. Hook and hang incoming calls. Step to next song in music playback mode. Volume control with sliding potentiometer. Only one drawback; being in playback mode, when a call comes, stops playing music and does not sound the ringer (ring on the speaker of the smartphone). Fair quality audio. Aquarius tested BQ Plus X5.</v>
      </c>
    </row>
    <row r="11249">
      <c r="A11249" s="1">
        <v>5.0</v>
      </c>
      <c r="B11249" s="1" t="s">
        <v>11153</v>
      </c>
      <c r="C11249" t="str">
        <f>IFERROR(__xludf.DUMMYFUNCTION("GOOGLETRANSLATE(B11249, ""es"", ""en"")"),"Great and nice. It is very nice aesthetically, durable and is like new after washing after two years. Very practical and fun use, the whistle is nice and heard throughout the house.")</f>
        <v>Great and nice. It is very nice aesthetically, durable and is like new after washing after two years. Very practical and fun use, the whistle is nice and heard throughout the house.</v>
      </c>
    </row>
    <row r="11250">
      <c r="A11250" s="1">
        <v>5.0</v>
      </c>
      <c r="B11250" s="1" t="s">
        <v>11154</v>
      </c>
      <c r="C11250" t="str">
        <f>IFERROR(__xludf.DUMMYFUNCTION("GOOGLETRANSLATE(B11250, ""es"", ""en"")"),"Encantada Robusta and with plenty of power. Reminds you of the classic stainless steel, I'm happy with the purchase. A sense of insecurity in securing the cup to the engine but then notice that the weight of the cup plus added do the work.")</f>
        <v>Encantada Robusta and with plenty of power. Reminds you of the classic stainless steel, I'm happy with the purchase. A sense of insecurity in securing the cup to the engine but then notice that the weight of the cup plus added do the work.</v>
      </c>
    </row>
    <row r="11251">
      <c r="A11251" s="1">
        <v>5.0</v>
      </c>
      <c r="B11251" s="1" t="s">
        <v>11155</v>
      </c>
      <c r="C11251" t="str">
        <f>IFERROR(__xludf.DUMMYFUNCTION("GOOGLETRANSLATE(B11251, ""es"", ""en"")"),"Quickly and effectively. Ideal to carry the photocopier card company without being the forgotten let every moment. Diversity of ways of placing and a retractable very fast and flawless system.")</f>
        <v>Quickly and effectively. Ideal to carry the photocopier card company without being the forgotten let every moment. Diversity of ways of placing and a retractable very fast and flawless system.</v>
      </c>
    </row>
    <row r="11252">
      <c r="A11252" s="1">
        <v>5.0</v>
      </c>
      <c r="B11252" s="1" t="s">
        <v>11156</v>
      </c>
      <c r="C11252" t="str">
        <f>IFERROR(__xludf.DUMMYFUNCTION("GOOGLETRANSLATE(B11252, ""es"", ""en"")"),"Well, nice and cheap headphones very good finish, with transport box. The sound is good and the price will buy more when they break.")</f>
        <v>Well, nice and cheap headphones very good finish, with transport box. The sound is good and the price will buy more when they break.</v>
      </c>
    </row>
    <row r="11253">
      <c r="A11253" s="1">
        <v>5.0</v>
      </c>
      <c r="B11253" s="1" t="s">
        <v>11157</v>
      </c>
      <c r="C11253" t="str">
        <f>IFERROR(__xludf.DUMMYFUNCTION("GOOGLETRANSLATE(B11253, ""es"", ""en"")"),"Size seems to me, they are original and fit, but to use 38 and grabbed 37 comments and I think it had to have ordered 37.5")</f>
        <v>Size seems to me, they are original and fit, but to use 38 and grabbed 37 comments and I think it had to have ordered 37.5</v>
      </c>
    </row>
    <row r="11254">
      <c r="A11254" s="1">
        <v>5.0</v>
      </c>
      <c r="B11254" s="1" t="s">
        <v>11158</v>
      </c>
      <c r="C11254" t="str">
        <f>IFERROR(__xludf.DUMMYFUNCTION("GOOGLETRANSLATE(B11254, ""es"", ""en"")"),"Comfortable shoes and delighted sport repeat purchase")</f>
        <v>Comfortable shoes and delighted sport repeat purchase</v>
      </c>
    </row>
    <row r="11255">
      <c r="A11255" s="1">
        <v>5.0</v>
      </c>
      <c r="B11255" s="1" t="s">
        <v>11159</v>
      </c>
      <c r="C11255" t="str">
        <f>IFERROR(__xludf.DUMMYFUNCTION("GOOGLETRANSLATE(B11255, ""es"", ""en"")"),"Spacious gets just what I expected quite a lot is spacious and skin is what I need for me very well")</f>
        <v>Spacious gets just what I expected quite a lot is spacious and skin is what I need for me very well</v>
      </c>
    </row>
    <row r="11256">
      <c r="A11256" s="1">
        <v>5.0</v>
      </c>
      <c r="B11256" s="1" t="s">
        <v>11160</v>
      </c>
      <c r="C11256" t="str">
        <f>IFERROR(__xludf.DUMMYFUNCTION("GOOGLETRANSLATE(B11256, ""es"", ""en"")"),"Beautiful Me comes in handy because my girlfriend called Koala so great. As I asked to be sure, and I will confirm in person really looks like a Koala, and touch the stones it is good, the same as the chain. He does not have the earmarks of a typical Chin"&amp;"ese pendant. It also comes on a roll teeny case that of a wedding ring, so also you can give a good scare your partner. Quite happy with the product. Should deterioration to the passage of time is very beast, I'll update the review.")</f>
        <v>Beautiful Me comes in handy because my girlfriend called Koala so great. As I asked to be sure, and I will confirm in person really looks like a Koala, and touch the stones it is good, the same as the chain. He does not have the earmarks of a typical Chinese pendant. It also comes on a roll teeny case that of a wedding ring, so also you can give a good scare your partner. Quite happy with the product. Should deterioration to the passage of time is very beast, I'll update the review.</v>
      </c>
    </row>
    <row r="11257">
      <c r="A11257" s="1">
        <v>5.0</v>
      </c>
      <c r="B11257" s="1" t="s">
        <v>11161</v>
      </c>
      <c r="C11257" t="str">
        <f>IFERROR(__xludf.DUMMYFUNCTION("GOOGLETRANSLATE(B11257, ""es"", ""en"")"),"Innovative I like the way to be a little out of the usual")</f>
        <v>Innovative I like the way to be a little out of the usual</v>
      </c>
    </row>
    <row r="11258">
      <c r="A11258" s="1">
        <v>5.0</v>
      </c>
      <c r="B11258" s="1" t="s">
        <v>11162</v>
      </c>
      <c r="C11258" t="str">
        <f>IFERROR(__xludf.DUMMYFUNCTION("GOOGLETRANSLATE(B11258, ""es"", ""en"")"),"Very fast kettle kettle needed a home urgently because mine was left annoyed and the truth is that this was not disappointed. It works pretty well and is very fast, you can even turn to catch and good, was worth it.")</f>
        <v>Very fast kettle kettle needed a home urgently because mine was left annoyed and the truth is that this was not disappointed. It works pretty well and is very fast, you can even turn to catch and good, was worth it.</v>
      </c>
    </row>
    <row r="11259">
      <c r="A11259" s="1">
        <v>5.0</v>
      </c>
      <c r="B11259" s="1" t="s">
        <v>11163</v>
      </c>
      <c r="C11259" t="str">
        <f>IFERROR(__xludf.DUMMYFUNCTION("GOOGLETRANSLATE(B11259, ""es"", ""en"")"),"Exceeded Expectations I already have in my possession the CASIO. Meets all my expectations. Setting the clock must make carefully reading the instructions. I managed to set the compass and the result is correct. The issue of temperature, and had to be tak"&amp;"en off the watch, since the heat of the body influences in it, but let's not an issue that worries me. Superb 4 independent alarms and time in various cities of the world. By putting a snag: The time of light to see at night, it is too short. I had given "&amp;"a couple of seconds viewing. I guess that is the subject of saving the battery, but it's too fast.")</f>
        <v>Exceeded Expectations I already have in my possession the CASIO. Meets all my expectations. Setting the clock must make carefully reading the instructions. I managed to set the compass and the result is correct. The issue of temperature, and had to be taken off the watch, since the heat of the body influences in it, but let's not an issue that worries me. Superb 4 independent alarms and time in various cities of the world. By putting a snag: The time of light to see at night, it is too short. I had given a couple of seconds viewing. I guess that is the subject of saving the battery, but it's too fast.</v>
      </c>
    </row>
    <row r="11260">
      <c r="A11260" s="1">
        <v>5.0</v>
      </c>
      <c r="B11260" s="1" t="s">
        <v>11164</v>
      </c>
      <c r="C11260" t="str">
        <f>IFERROR(__xludf.DUMMYFUNCTION("GOOGLETRANSLATE(B11260, ""es"", ""en"")"),"Speed ​​of delivery The clock is fine. Simple, understated and meets my expectations. no hitches")</f>
        <v>Speed ​​of delivery The clock is fine. Simple, understated and meets my expectations. no hitches</v>
      </c>
    </row>
    <row r="11261">
      <c r="A11261" s="1">
        <v>5.0</v>
      </c>
      <c r="B11261" s="1" t="s">
        <v>11165</v>
      </c>
      <c r="C11261" t="str">
        <f>IFERROR(__xludf.DUMMYFUNCTION("GOOGLETRANSLATE(B11261, ""es"", ""en"")"),"Very good value for money I was surprised a lot of strength, the only bad comes by pieces instead of the whole pants")</f>
        <v>Very good value for money I was surprised a lot of strength, the only bad comes by pieces instead of the whole pants</v>
      </c>
    </row>
    <row r="11262">
      <c r="A11262" s="1">
        <v>5.0</v>
      </c>
      <c r="B11262" s="1" t="s">
        <v>11166</v>
      </c>
      <c r="C11262" t="str">
        <f>IFERROR(__xludf.DUMMYFUNCTION("GOOGLETRANSLATE(B11262, ""es"", ""en"")"),"easy to use, gives a good finish I like the drilling stops because the finishes are very neat and fine. This binding system makes very good presentation to my dossiers, the square holes prefer to end up falling apart. It takes about 5 to 6 sheets at a tim"&amp;"e, to drill properly, if you want to drill more sheets, the machine locks. I was very useful, I recommend it.")</f>
        <v>easy to use, gives a good finish I like the drilling stops because the finishes are very neat and fine. This binding system makes very good presentation to my dossiers, the square holes prefer to end up falling apart. It takes about 5 to 6 sheets at a time, to drill properly, if you want to drill more sheets, the machine locks. I was very useful, I recommend it.</v>
      </c>
    </row>
    <row r="11263">
      <c r="A11263" s="1">
        <v>5.0</v>
      </c>
      <c r="B11263" s="1" t="s">
        <v>11167</v>
      </c>
      <c r="C11263" t="str">
        <f>IFERROR(__xludf.DUMMYFUNCTION("GOOGLETRANSLATE(B11263, ""es"", ""en"")"),"All ok. As it described or even better. Very fast and efficient")</f>
        <v>All ok. As it described or even better. Very fast and efficient</v>
      </c>
    </row>
    <row r="11264">
      <c r="A11264" s="1">
        <v>5.0</v>
      </c>
      <c r="B11264" s="1" t="s">
        <v>11168</v>
      </c>
      <c r="C11264" t="str">
        <f>IFERROR(__xludf.DUMMYFUNCTION("GOOGLETRANSLATE(B11264, ""es"", ""en"")"),"Original Original and if you pick a good price I caught a good deal, perfect and fast shipping, but of course I have the premium.")</f>
        <v>Original Original and if you pick a good price I caught a good deal, perfect and fast shipping, but of course I have the premium.</v>
      </c>
    </row>
    <row r="11265">
      <c r="A11265" s="1">
        <v>5.0</v>
      </c>
      <c r="B11265" s="1" t="s">
        <v>11169</v>
      </c>
      <c r="C11265" t="str">
        <f>IFERROR(__xludf.DUMMYFUNCTION("GOOGLETRANSLATE(B11265, ""es"", ""en"")"),"Botas quality of high quality and pretty cool. Is everything you expect from a big boot. Only to recommend you to buy one size smaller.")</f>
        <v>Botas quality of high quality and pretty cool. Is everything you expect from a big boot. Only to recommend you to buy one size smaller.</v>
      </c>
    </row>
    <row r="11266">
      <c r="A11266" s="1">
        <v>5.0</v>
      </c>
      <c r="B11266" s="1" t="s">
        <v>11170</v>
      </c>
      <c r="C11266" t="str">
        <f>IFERROR(__xludf.DUMMYFUNCTION("GOOGLETRANSLATE(B11266, ""es"", ""en"")"),"Sergio L Good sweatshirt for the price it has. The quality of this brand always and expected. When choosing the size and how many people say, order a size smaller than you use (in my case I use an L and I ordered the M and perfect). So does T-shirts same "&amp;"brand and overall I would say that almost all American brands. Good buy.")</f>
        <v>Sergio L Good sweatshirt for the price it has. The quality of this brand always and expected. When choosing the size and how many people say, order a size smaller than you use (in my case I use an L and I ordered the M and perfect). So does T-shirts same brand and overall I would say that almost all American brands. Good buy.</v>
      </c>
    </row>
    <row r="11267">
      <c r="A11267" s="1">
        <v>5.0</v>
      </c>
      <c r="B11267" s="1" t="s">
        <v>11171</v>
      </c>
      <c r="C11267" t="str">
        <f>IFERROR(__xludf.DUMMYFUNCTION("GOOGLETRANSLATE(B11267, ""es"", ""en"")"),"Genial would buy the size is correct Comodisimos the expenditure to work and spend many hours with them")</f>
        <v>Genial would buy the size is correct Comodisimos the expenditure to work and spend many hours with them</v>
      </c>
    </row>
    <row r="11268">
      <c r="A11268" s="1">
        <v>2.0</v>
      </c>
      <c r="B11268" s="1" t="s">
        <v>11172</v>
      </c>
      <c r="C11268" t="str">
        <f>IFERROR(__xludf.DUMMYFUNCTION("GOOGLETRANSLATE(B11268, ""es"", ""en"")"),"Nice but be broken by the toe are very comfortable and beautiful, but quickly broken by the toe.")</f>
        <v>Nice but be broken by the toe are very comfortable and beautiful, but quickly broken by the toe.</v>
      </c>
    </row>
    <row r="11269">
      <c r="A11269" s="1">
        <v>3.0</v>
      </c>
      <c r="B11269" s="1" t="s">
        <v>11173</v>
      </c>
      <c r="C11269" t="str">
        <f>IFERROR(__xludf.DUMMYFUNCTION("GOOGLETRANSLATE(B11269, ""es"", ""en"")"),"Imitacion the price is right, as to the quality ..... I think they are a fake, because I have other home bought in physical store, they were more expensive and better quality, original, so do not buy again.")</f>
        <v>Imitacion the price is right, as to the quality ..... I think they are a fake, because I have other home bought in physical store, they were more expensive and better quality, original, so do not buy again.</v>
      </c>
    </row>
    <row r="11270">
      <c r="A11270" s="1">
        <v>3.0</v>
      </c>
      <c r="B11270" s="1" t="s">
        <v>11174</v>
      </c>
      <c r="C11270" t="str">
        <f>IFERROR(__xludf.DUMMYFUNCTION("GOOGLETRANSLATE(B11270, ""es"", ""en"")"),"Regular paper by next index I liked but the role is to put the subjects, say the index is not laminated paper and being a ring binder breaks into the holes.")</f>
        <v>Regular paper by next index I liked but the role is to put the subjects, say the index is not laminated paper and being a ring binder breaks into the holes.</v>
      </c>
    </row>
    <row r="11271">
      <c r="A11271" s="1">
        <v>1.0</v>
      </c>
      <c r="B11271" s="1" t="s">
        <v>11175</v>
      </c>
      <c r="C11271" t="str">
        <f>IFERROR(__xludf.DUMMYFUNCTION("GOOGLETRANSLATE(B11271, ""es"", ""en"")"),"Cara and I do not recommend a lot of foam, returned the machine before the month complir Amazon and I got a refund l, why? Pros: -the It's pretty cold beer out Cons: - beer very difficult to pull even wetting the glass ... etc shoot out with FOAM - CARA b"&amp;"eer, do not get to leave the vessels that are supposed to have to leave")</f>
        <v>Cara and I do not recommend a lot of foam, returned the machine before the month complir Amazon and I got a refund l, why? Pros: -the It's pretty cold beer out Cons: - beer very difficult to pull even wetting the glass ... etc shoot out with FOAM - CARA beer, do not get to leave the vessels that are supposed to have to leave</v>
      </c>
    </row>
    <row r="11272">
      <c r="A11272" s="1">
        <v>1.0</v>
      </c>
      <c r="B11272" s="1" t="s">
        <v>11176</v>
      </c>
      <c r="C11272" t="str">
        <f>IFERROR(__xludf.DUMMYFUNCTION("GOOGLETRANSLATE(B11272, ""es"", ""en"")"),"Paper garment quality is very bad, looks like a piece of paper, like coveralls throwaway hospitals. It is useless.")</f>
        <v>Paper garment quality is very bad, looks like a piece of paper, like coveralls throwaway hospitals. It is useless.</v>
      </c>
    </row>
    <row r="11273">
      <c r="A11273" s="1">
        <v>4.0</v>
      </c>
      <c r="B11273" s="1" t="s">
        <v>11177</v>
      </c>
      <c r="C11273" t="str">
        <f>IFERROR(__xludf.DUMMYFUNCTION("GOOGLETRANSLATE(B11273, ""es"", ""en"")"),"as you descibe very nice but a little small")</f>
        <v>as you descibe very nice but a little small</v>
      </c>
    </row>
    <row r="11274">
      <c r="A11274" s="1">
        <v>4.0</v>
      </c>
      <c r="B11274" s="1" t="s">
        <v>11178</v>
      </c>
      <c r="C11274" t="str">
        <f>IFERROR(__xludf.DUMMYFUNCTION("GOOGLETRANSLATE(B11274, ""es"", ""en"")"),"Good sound quality for the price at which it is sold. flat cable makes it harder wires curling. The only downside I find them is that over the months helmets and lose grip may fall, it's a bit annoying.")</f>
        <v>Good sound quality for the price at which it is sold. flat cable makes it harder wires curling. The only downside I find them is that over the months helmets and lose grip may fall, it's a bit annoying.</v>
      </c>
    </row>
    <row r="11275">
      <c r="A11275" s="1">
        <v>4.0</v>
      </c>
      <c r="B11275" s="1" t="s">
        <v>11179</v>
      </c>
      <c r="C11275" t="str">
        <f>IFERROR(__xludf.DUMMYFUNCTION("GOOGLETRANSLATE(B11275, ""es"", ""en"")"),"For music lovers delicate details I bought a gift for a musician friend. You taste, the size is somewhat small and I hope it does not get black. Good value for money and I would recommend it.")</f>
        <v>For music lovers delicate details I bought a gift for a musician friend. You taste, the size is somewhat small and I hope it does not get black. Good value for money and I would recommend it.</v>
      </c>
    </row>
    <row r="11276">
      <c r="A11276" s="1">
        <v>4.0</v>
      </c>
      <c r="B11276" s="1" t="s">
        <v>11180</v>
      </c>
      <c r="C11276" t="str">
        <f>IFERROR(__xludf.DUMMYFUNCTION("GOOGLETRANSLATE(B11276, ""es"", ""en"")"),"A large apparatus. It's a great device if good software is used. The answer is somewhat slow (we're talking ms), probably because of the USB 2.0, but it does the job.")</f>
        <v>A large apparatus. It's a great device if good software is used. The answer is somewhat slow (we're talking ms), probably because of the USB 2.0, but it does the job.</v>
      </c>
    </row>
    <row r="11277">
      <c r="A11277" s="1">
        <v>5.0</v>
      </c>
      <c r="B11277" s="1" t="s">
        <v>11181</v>
      </c>
      <c r="C11277" t="str">
        <f>IFERROR(__xludf.DUMMYFUNCTION("GOOGLETRANSLATE(B11277, ""es"", ""en"")"),"Service and speed all right ....")</f>
        <v>Service and speed all right ....</v>
      </c>
    </row>
    <row r="11278">
      <c r="A11278" s="1">
        <v>5.0</v>
      </c>
      <c r="B11278" s="1" t="s">
        <v>11182</v>
      </c>
      <c r="C11278" t="str">
        <f>IFERROR(__xludf.DUMMYFUNCTION("GOOGLETRANSLATE(B11278, ""es"", ""en"")"),"Perfect took more than a year with them and I'm delighted. Basically use to watch the series and movies on the iPad because they offer great sound if you compare with the classic mobile handsets. For the price and quality offered recommend purchase. Is my"&amp;" friend recommended me and I really loved it.")</f>
        <v>Perfect took more than a year with them and I'm delighted. Basically use to watch the series and movies on the iPad because they offer great sound if you compare with the classic mobile handsets. For the price and quality offered recommend purchase. Is my friend recommended me and I really loved it.</v>
      </c>
    </row>
    <row r="11279">
      <c r="A11279" s="1">
        <v>5.0</v>
      </c>
      <c r="B11279" s="1" t="s">
        <v>11183</v>
      </c>
      <c r="C11279" t="str">
        <f>IFERROR(__xludf.DUMMYFUNCTION("GOOGLETRANSLATE(B11279, ""es"", ""en"")"),"Perfect I have already bought that had this same model but about thirty years ago and is still running, but the light did not work anymore and we decided to renew with the same model only hope it lasts as above.")</f>
        <v>Perfect I have already bought that had this same model but about thirty years ago and is still running, but the light did not work anymore and we decided to renew with the same model only hope it lasts as above.</v>
      </c>
    </row>
    <row r="11280">
      <c r="A11280" s="1">
        <v>5.0</v>
      </c>
      <c r="B11280" s="1" t="s">
        <v>11184</v>
      </c>
      <c r="C11280" t="str">
        <f>IFERROR(__xludf.DUMMYFUNCTION("GOOGLETRANSLATE(B11280, ""es"", ""en"")"),"Isabel # # Although a little over a span of tissue three fingers wide, is great for broken cover. It sticks perfectly.")</f>
        <v>Isabel # # Although a little over a span of tissue three fingers wide, is great for broken cover. It sticks perfectly.</v>
      </c>
    </row>
    <row r="11281">
      <c r="A11281" s="1">
        <v>5.0</v>
      </c>
      <c r="B11281" s="1" t="s">
        <v>11185</v>
      </c>
      <c r="C11281" t="str">
        <f>IFERROR(__xludf.DUMMYFUNCTION("GOOGLETRANSLATE(B11281, ""es"", ""en"")"),"formality has been like eperaba, all right.")</f>
        <v>formality has been like eperaba, all right.</v>
      </c>
    </row>
    <row r="11282">
      <c r="A11282" s="1">
        <v>5.0</v>
      </c>
      <c r="B11282" s="1" t="s">
        <v>11186</v>
      </c>
      <c r="C11282" t="str">
        <f>IFERROR(__xludf.DUMMYFUNCTION("GOOGLETRANSLATE(B11282, ""es"", ""en"")"),"GENIAL This watch meets all my expectations. It's great. Great as I wanted and yellow which is the one I liked. I recommend it to anyone who wants a truly spectacular watch.")</f>
        <v>GENIAL This watch meets all my expectations. It's great. Great as I wanted and yellow which is the one I liked. I recommend it to anyone who wants a truly spectacular watch.</v>
      </c>
    </row>
    <row r="11283">
      <c r="A11283" s="1">
        <v>5.0</v>
      </c>
      <c r="B11283" s="1" t="s">
        <v>11187</v>
      </c>
      <c r="C11283" t="str">
        <f>IFERROR(__xludf.DUMMYFUNCTION("GOOGLETRANSLATE(B11283, ""es"", ""en"")"),"exactly meets the above, the clock does exactly as instructed and after observing several weeks does not advance or delayed, for the price you think I made a good purchase, plus the shipping was fast wine before the estimated dates.")</f>
        <v>exactly meets the above, the clock does exactly as instructed and after observing several weeks does not advance or delayed, for the price you think I made a good purchase, plus the shipping was fast wine before the estimated dates.</v>
      </c>
    </row>
    <row r="11284">
      <c r="A11284" s="1">
        <v>5.0</v>
      </c>
      <c r="B11284" s="1" t="s">
        <v>11188</v>
      </c>
      <c r="C11284" t="str">
        <f>IFERROR(__xludf.DUMMYFUNCTION("GOOGLETRANSLATE(B11284, ""es"", ""en"")"),"Perfectly fulfills indicated Heats well and has given no problem. Reaches the desired temperature and cuts the time indicated specifications.")</f>
        <v>Perfectly fulfills indicated Heats well and has given no problem. Reaches the desired temperature and cuts the time indicated specifications.</v>
      </c>
    </row>
    <row r="11285">
      <c r="A11285" s="1">
        <v>5.0</v>
      </c>
      <c r="B11285" s="1" t="s">
        <v>11189</v>
      </c>
      <c r="C11285" t="str">
        <f>IFERROR(__xludf.DUMMYFUNCTION("GOOGLETRANSLATE(B11285, ""es"", ""en"")"),"Cheaper by 64GB. Samsung Note 8 and S8 SUMMARY: quality / price is the cheapest I found on Amazon. For USB3.0 and Type C (for Sansumg Galaxy Note 8). PROS: Inexpensive for 64GB (15 €). USB High Speed ​​Memory (3.0). Taking mobile type C (used and tested i"&amp;"n Samsungs Galaxy Note 8 and S8). Very compact size. AGAINST: nothing for now. Perhaps the plug. USE: Mobile Sansumg Galaxy Note 8 and S8")</f>
        <v>Cheaper by 64GB. Samsung Note 8 and S8 SUMMARY: quality / price is the cheapest I found on Amazon. For USB3.0 and Type C (for Sansumg Galaxy Note 8). PROS: Inexpensive for 64GB (15 €). USB High Speed ​​Memory (3.0). Taking mobile type C (used and tested in Samsungs Galaxy Note 8 and S8). Very compact size. AGAINST: nothing for now. Perhaps the plug. USE: Mobile Sansumg Galaxy Note 8 and S8</v>
      </c>
    </row>
    <row r="11286">
      <c r="A11286" s="1">
        <v>5.0</v>
      </c>
      <c r="B11286" s="1" t="s">
        <v>11190</v>
      </c>
      <c r="C11286" t="str">
        <f>IFERROR(__xludf.DUMMYFUNCTION("GOOGLETRANSLATE(B11286, ""es"", ""en"")"),"Very good gift decided to buy this bracelet as a gift and it was a success. It comes well packaged and presented in its bag that is super cute to use as a wrapper. It is seen that the metal is of good quality and has not been ugly after several days of us"&amp;"e.")</f>
        <v>Very good gift decided to buy this bracelet as a gift and it was a success. It comes well packaged and presented in its bag that is super cute to use as a wrapper. It is seen that the metal is of good quality and has not been ugly after several days of use.</v>
      </c>
    </row>
    <row r="11287">
      <c r="A11287" s="1">
        <v>5.0</v>
      </c>
      <c r="B11287" s="1" t="s">
        <v>11191</v>
      </c>
      <c r="C11287" t="str">
        <f>IFERROR(__xludf.DUMMYFUNCTION("GOOGLETRANSLATE(B11287, ""es"", ""en"")"),"Perfect sd card ppara GoPro, large capacity - price")</f>
        <v>Perfect sd card ppara GoPro, large capacity - price</v>
      </c>
    </row>
    <row r="11288">
      <c r="A11288" s="1">
        <v>5.0</v>
      </c>
      <c r="B11288" s="1" t="s">
        <v>11192</v>
      </c>
      <c r="C11288" t="str">
        <f>IFERROR(__xludf.DUMMYFUNCTION("GOOGLETRANSLATE(B11288, ""es"", ""en"")"),"Excellent is a very good quality card. Speed ​​file transfer is second to none. I bought it as a memory card for my smartphone and I can store video files and images with excellent quality. I recommend it.")</f>
        <v>Excellent is a very good quality card. Speed ​​file transfer is second to none. I bought it as a memory card for my smartphone and I can store video files and images with excellent quality. I recommend it.</v>
      </c>
    </row>
    <row r="11289">
      <c r="A11289" s="1">
        <v>5.0</v>
      </c>
      <c r="B11289" s="1" t="s">
        <v>11193</v>
      </c>
      <c r="C11289" t="str">
        <f>IFERROR(__xludf.DUMMYFUNCTION("GOOGLETRANSLATE(B11289, ""es"", ""en"")"),"relationship quality easy money to use, fast charging and use, just I find a little flaw, not having a separation, and cables for for the phone, but for everything else, good sound and easy handling for children over 8 years, if not need help from a highe"&amp;"r, for wireless connection. Nice design, and comfortable to the ear")</f>
        <v>relationship quality easy money to use, fast charging and use, just I find a little flaw, not having a separation, and cables for for the phone, but for everything else, good sound and easy handling for children over 8 years, if not need help from a higher, for wireless connection. Nice design, and comfortable to the ear</v>
      </c>
    </row>
    <row r="11290">
      <c r="A11290" s="1">
        <v>5.0</v>
      </c>
      <c r="B11290" s="1" t="s">
        <v>11194</v>
      </c>
      <c r="C11290" t="str">
        <f>IFERROR(__xludf.DUMMYFUNCTION("GOOGLETRANSLATE(B11290, ""es"", ""en"")"),"Perfect !! I love the brand, and this particular model, leading Goretex is a good thing for winter and if transitas much damp places. Highly recommended !! look much size, there are tables online")</f>
        <v>Perfect !! I love the brand, and this particular model, leading Goretex is a good thing for winter and if transitas much damp places. Highly recommended !! look much size, there are tables online</v>
      </c>
    </row>
    <row r="11291">
      <c r="A11291" s="1">
        <v>5.0</v>
      </c>
      <c r="B11291" s="1" t="s">
        <v>11195</v>
      </c>
      <c r="C11291" t="str">
        <f>IFERROR(__xludf.DUMMYFUNCTION("GOOGLETRANSLATE(B11291, ""es"", ""en"")"),"mjose already he had a kettle like this and I use it a lot. Easy to clean. I had other and stay with this because the bottom is not damaged and boils water very quickly. It also has a meter to control the amount of cups of water you want to fill.")</f>
        <v>mjose already he had a kettle like this and I use it a lot. Easy to clean. I had other and stay with this because the bottom is not damaged and boils water very quickly. It also has a meter to control the amount of cups of water you want to fill.</v>
      </c>
    </row>
    <row r="11292">
      <c r="A11292" s="1">
        <v>5.0</v>
      </c>
      <c r="B11292" s="1" t="s">
        <v>11196</v>
      </c>
      <c r="C11292" t="str">
        <f>IFERROR(__xludf.DUMMYFUNCTION("GOOGLETRANSLATE(B11292, ""es"", ""en"")"),"They attach very well to the cordone be elastic cords are elastic so not to tie or untie. A big plus. I washed in the washing machine and have not been peeled. As good as new. I recommend")</f>
        <v>They attach very well to the cordone be elastic cords are elastic so not to tie or untie. A big plus. I washed in the washing machine and have not been peeled. As good as new. I recommend</v>
      </c>
    </row>
    <row r="11293">
      <c r="A11293" s="1">
        <v>5.0</v>
      </c>
      <c r="B11293" s="1" t="s">
        <v>11197</v>
      </c>
      <c r="C11293" t="str">
        <f>IFERROR(__xludf.DUMMYFUNCTION("GOOGLETRANSLATE(B11293, ""es"", ""en"")"),"Cable resistant good resistance and good sound quality. Perfect for musicians and studio")</f>
        <v>Cable resistant good resistance and good sound quality. Perfect for musicians and studio</v>
      </c>
    </row>
    <row r="11294">
      <c r="A11294" s="1">
        <v>5.0</v>
      </c>
      <c r="B11294" s="1" t="s">
        <v>11198</v>
      </c>
      <c r="C11294" t="str">
        <f>IFERROR(__xludf.DUMMYFUNCTION("GOOGLETRANSLATE(B11294, ""es"", ""en"")"),"Llego m.paz correctly, as described in the announcement ... I'm trying and I'm happy ... will echo when finished.")</f>
        <v>Llego m.paz correctly, as described in the announcement ... I'm trying and I'm happy ... will echo when finished.</v>
      </c>
    </row>
    <row r="11295">
      <c r="A11295" s="1">
        <v>5.0</v>
      </c>
      <c r="B11295" s="1" t="s">
        <v>11199</v>
      </c>
      <c r="C11295" t="str">
        <f>IFERROR(__xludf.DUMMYFUNCTION("GOOGLETRANSLATE(B11295, ""es"", ""en"")"),"Good blender Almost a month of use and perfect the 1000W is noticeable because when you're going Pure such as pull down notes of very good quality materials. Hooking the various accessories costs a bit until you realize that it takes a position once seen "&amp;"will not cost anything. good materials and good finishes in stainless steel good purchase and recommended product for its value")</f>
        <v>Good blender Almost a month of use and perfect the 1000W is noticeable because when you're going Pure such as pull down notes of very good quality materials. Hooking the various accessories costs a bit until you realize that it takes a position once seen will not cost anything. good materials and good finishes in stainless steel good purchase and recommended product for its value</v>
      </c>
    </row>
    <row r="11296">
      <c r="A11296" s="1">
        <v>2.0</v>
      </c>
      <c r="B11296" s="1" t="s">
        <v>11200</v>
      </c>
      <c r="C11296" t="str">
        <f>IFERROR(__xludf.DUMMYFUNCTION("GOOGLETRANSLATE(B11296, ""es"", ""en"")"),"Latecomer is very binito really liked, it was for a gift. But it came too late")</f>
        <v>Latecomer is very binito really liked, it was for a gift. But it came too late</v>
      </c>
    </row>
    <row r="11297">
      <c r="A11297" s="1">
        <v>3.0</v>
      </c>
      <c r="B11297" s="1" t="s">
        <v>11201</v>
      </c>
      <c r="C11297" t="str">
        <f>IFERROR(__xludf.DUMMYFUNCTION("GOOGLETRANSLATE(B11297, ""es"", ""en"")"),"For detallito sweet table is not bad A small Pelin, entran 5 sugus no more")</f>
        <v>For detallito sweet table is not bad A small Pelin, entran 5 sugus no more</v>
      </c>
    </row>
    <row r="11298">
      <c r="A11298" s="1">
        <v>3.0</v>
      </c>
      <c r="B11298" s="1" t="s">
        <v>11202</v>
      </c>
      <c r="C11298" t="str">
        <f>IFERROR(__xludf.DUMMYFUNCTION("GOOGLETRANSLATE(B11298, ""es"", ""en"")"),"Rachel Slate is good but the support, and a junk brings poor quality materials such as bolts. He did not like")</f>
        <v>Rachel Slate is good but the support, and a junk brings poor quality materials such as bolts. He did not like</v>
      </c>
    </row>
    <row r="11299">
      <c r="A11299" s="1">
        <v>1.0</v>
      </c>
      <c r="B11299" s="1" t="s">
        <v>11203</v>
      </c>
      <c r="C11299" t="str">
        <f>IFERROR(__xludf.DUMMYFUNCTION("GOOGLETRANSLATE(B11299, ""es"", ""en"")"),"They seemed a comfortable sizing extremely large shoes but had to return them because I remained very large.")</f>
        <v>They seemed a comfortable sizing extremely large shoes but had to return them because I remained very large.</v>
      </c>
    </row>
    <row r="11300">
      <c r="A11300" s="1">
        <v>1.0</v>
      </c>
      <c r="B11300" s="1" t="s">
        <v>11204</v>
      </c>
      <c r="C11300" t="str">
        <f>IFERROR(__xludf.DUMMYFUNCTION("GOOGLETRANSLATE(B11300, ""es"", ""en"")"),"is useless for much selling it with the brush, it is worthless")</f>
        <v>is useless for much selling it with the brush, it is worthless</v>
      </c>
    </row>
    <row r="11301">
      <c r="A11301" s="1">
        <v>4.0</v>
      </c>
      <c r="B11301" s="1" t="s">
        <v>11205</v>
      </c>
      <c r="C11301" t="str">
        <f>IFERROR(__xludf.DUMMYFUNCTION("GOOGLETRANSLATE(B11301, ""es"", ""en"")"),"works perfectly fulfills its function and percecpción is that it is a quality product. It's bigger than I expected, but nothing that is a problem")</f>
        <v>works perfectly fulfills its function and percecpción is that it is a quality product. It's bigger than I expected, but nothing that is a problem</v>
      </c>
    </row>
    <row r="11302">
      <c r="A11302" s="1">
        <v>4.0</v>
      </c>
      <c r="B11302" s="1" t="s">
        <v>11206</v>
      </c>
      <c r="C11302" t="str">
        <f>IFERROR(__xludf.DUMMYFUNCTION("GOOGLETRANSLATE(B11302, ""es"", ""en"")"),"Good watch. Good finish, it works correctly is lightweight, easy to view and at an unbeatable price with the quality of a brand like Casio.")</f>
        <v>Good watch. Good finish, it works correctly is lightweight, easy to view and at an unbeatable price with the quality of a brand like Casio.</v>
      </c>
    </row>
    <row r="11303">
      <c r="A11303" s="1">
        <v>4.0</v>
      </c>
      <c r="B11303" s="1" t="s">
        <v>11207</v>
      </c>
      <c r="C11303" t="str">
        <f>IFERROR(__xludf.DUMMYFUNCTION("GOOGLETRANSLATE(B11303, ""es"", ""en"")"),"good looking and very practical Recharges well and is easy to clean. I use it daily and does the job. The platito support is a detail that suit you")</f>
        <v>good looking and very practical Recharges well and is easy to clean. I use it daily and does the job. The platito support is a detail that suit you</v>
      </c>
    </row>
    <row r="11304">
      <c r="A11304" s="1">
        <v>4.0</v>
      </c>
      <c r="B11304" s="1" t="s">
        <v>11208</v>
      </c>
      <c r="C11304" t="str">
        <f>IFERROR(__xludf.DUMMYFUNCTION("GOOGLETRANSLATE(B11304, ""es"", ""en"")"),"Good product I tried several and this model is the most durable and the most temperature reaches. I have 3 in my house except one who has broken the top of the slot where the bag is loaded, all work perfectly, even this to the missing lid.")</f>
        <v>Good product I tried several and this model is the most durable and the most temperature reaches. I have 3 in my house except one who has broken the top of the slot where the bag is loaded, all work perfectly, even this to the missing lid.</v>
      </c>
    </row>
    <row r="11305">
      <c r="A11305" s="1">
        <v>4.0</v>
      </c>
      <c r="B11305" s="1" t="s">
        <v>11209</v>
      </c>
      <c r="C11305" t="str">
        <f>IFERROR(__xludf.DUMMYFUNCTION("GOOGLETRANSLATE(B11305, ""es"", ""en"")"),"Simple, practical, low noise, easy to clean and far more economical than other brands Purchased gift. For just 200 € the machine is great. It is less noisy than my Philips, and 3 programs suction leaves the ground perfectly. I do not recommend you to scru"&amp;"b surfaces more very small. The command is simple and very manageable. Cleaning apparatus is quick. The instructions are drawings, but it is easy to know how it works. Autonomy 2 hours My mother is thrilled")</f>
        <v>Simple, practical, low noise, easy to clean and far more economical than other brands Purchased gift. For just 200 € the machine is great. It is less noisy than my Philips, and 3 programs suction leaves the ground perfectly. I do not recommend you to scrub surfaces more very small. The command is simple and very manageable. Cleaning apparatus is quick. The instructions are drawings, but it is easy to know how it works. Autonomy 2 hours My mother is thrilled</v>
      </c>
    </row>
    <row r="11306">
      <c r="A11306" s="1">
        <v>5.0</v>
      </c>
      <c r="B11306" s="1" t="s">
        <v>11210</v>
      </c>
      <c r="C11306" t="str">
        <f>IFERROR(__xludf.DUMMYFUNCTION("GOOGLETRANSLATE(B11306, ""es"", ""en"")"),"Light and sound quality Good sound quality and lightweight, in accordance with the description that was done in the article when I bought it")</f>
        <v>Light and sound quality Good sound quality and lightweight, in accordance with the description that was done in the article when I bought it</v>
      </c>
    </row>
    <row r="11307">
      <c r="A11307" s="1">
        <v>5.0</v>
      </c>
      <c r="B11307" s="1" t="s">
        <v>11211</v>
      </c>
      <c r="C11307" t="str">
        <f>IFERROR(__xludf.DUMMYFUNCTION("GOOGLETRANSLATE(B11307, ""es"", ""en"")"),"I recommend buying good used just every day and I am delighted with the vacuum cleaner")</f>
        <v>I recommend buying good used just every day and I am delighted with the vacuum cleaner</v>
      </c>
    </row>
    <row r="11308">
      <c r="A11308" s="1">
        <v>5.0</v>
      </c>
      <c r="B11308" s="1" t="s">
        <v>11212</v>
      </c>
      <c r="C11308" t="str">
        <f>IFERROR(__xludf.DUMMYFUNCTION("GOOGLETRANSLATE(B11308, ""es"", ""en"")"),"Perfect Fantastic product. Just expected")</f>
        <v>Perfect Fantastic product. Just expected</v>
      </c>
    </row>
    <row r="11309">
      <c r="A11309" s="1">
        <v>5.0</v>
      </c>
      <c r="B11309" s="1" t="s">
        <v>11213</v>
      </c>
      <c r="C11309" t="str">
        <f>IFERROR(__xludf.DUMMYFUNCTION("GOOGLETRANSLATE(B11309, ""es"", ""en"")"),"Works well is a regular flash drive with USB 3.0 you notice a lot to move the heavy files or installing operating systems is much faster than other USB 2.0 I have. Not recommend anyone buy USB 2.0 at this point. It has a good design and looks sleek and st"&amp;"urdy, well you can carry on your key ring. I bought it for my mother and has not had any complaints so everything works properly for now.")</f>
        <v>Works well is a regular flash drive with USB 3.0 you notice a lot to move the heavy files or installing operating systems is much faster than other USB 2.0 I have. Not recommend anyone buy USB 2.0 at this point. It has a good design and looks sleek and sturdy, well you can carry on your key ring. I bought it for my mother and has not had any complaints so everything works properly for now.</v>
      </c>
    </row>
    <row r="11310">
      <c r="A11310" s="1">
        <v>5.0</v>
      </c>
      <c r="B11310" s="1" t="s">
        <v>11214</v>
      </c>
      <c r="C11310" t="str">
        <f>IFERROR(__xludf.DUMMYFUNCTION("GOOGLETRANSLATE(B11310, ""es"", ""en"")"),"Perfect for what I wanted. Are spectacular allroad As noted in a comment, you have to ask one or half size more than usual. To me, I spend 41 1/2, has me rather a right shoe 42. All")</f>
        <v>Perfect for what I wanted. Are spectacular allroad As noted in a comment, you have to ask one or half size more than usual. To me, I spend 41 1/2, has me rather a right shoe 42. All</v>
      </c>
    </row>
    <row r="11311">
      <c r="A11311" s="1">
        <v>5.0</v>
      </c>
      <c r="B11311" s="1" t="s">
        <v>11215</v>
      </c>
      <c r="C11311" t="str">
        <f>IFERROR(__xludf.DUMMYFUNCTION("GOOGLETRANSLATE(B11311, ""es"", ""en"")"),"Seiko Perfect, looks great at night, is a Christmas present for my husband")</f>
        <v>Seiko Perfect, looks great at night, is a Christmas present for my husband</v>
      </c>
    </row>
    <row r="11312">
      <c r="A11312" s="1">
        <v>5.0</v>
      </c>
      <c r="B11312" s="1" t="s">
        <v>11216</v>
      </c>
      <c r="C11312" t="str">
        <f>IFERROR(__xludf.DUMMYFUNCTION("GOOGLETRANSLATE(B11312, ""es"", ""en"")"),"Wonderful headphones. Wonderful, is impressive both in sound, comfort, battery life and aesthetics. A ten.")</f>
        <v>Wonderful headphones. Wonderful, is impressive both in sound, comfort, battery life and aesthetics. A ten.</v>
      </c>
    </row>
    <row r="11313">
      <c r="A11313" s="1">
        <v>5.0</v>
      </c>
      <c r="B11313" s="1" t="s">
        <v>11217</v>
      </c>
      <c r="C11313" t="str">
        <f>IFERROR(__xludf.DUMMYFUNCTION("GOOGLETRANSLATE(B11313, ""es"", ""en"")"),"They are lightweight comfortable, cool and comfortable, ideal for summer wear footwear in the classic and sporty. The price is pretty good.")</f>
        <v>They are lightweight comfortable, cool and comfortable, ideal for summer wear footwear in the classic and sporty. The price is pretty good.</v>
      </c>
    </row>
    <row r="11314">
      <c r="A11314" s="1">
        <v>5.0</v>
      </c>
      <c r="B11314" s="1" t="s">
        <v>11218</v>
      </c>
      <c r="C11314" t="str">
        <f>IFERROR(__xludf.DUMMYFUNCTION("GOOGLETRANSLATE(B11314, ""es"", ""en"")"),"It was great for a gift and loved it. I thought it would be worse, but we sorprendió.Tiene many possibilities. Sounds great. I recommend it")</f>
        <v>It was great for a gift and loved it. I thought it would be worse, but we sorprendió.Tiene many possibilities. Sounds great. I recommend it</v>
      </c>
    </row>
    <row r="11315">
      <c r="A11315" s="1">
        <v>5.0</v>
      </c>
      <c r="B11315" s="1" t="s">
        <v>11219</v>
      </c>
      <c r="C11315" t="str">
        <f>IFERROR(__xludf.DUMMYFUNCTION("GOOGLETRANSLATE(B11315, ""es"", ""en"")"),"Fast shipping. Perfect compatibility with IOS. A true past. I asked one night at 23: 00h and the next morning at 13: 00h come to my home. Everything perfect, I have Apple Watch and this will also exceeds by far. Perfect compatibility with IOS system. I am"&amp;" delighted with this watch. 100% recommended.")</f>
        <v>Fast shipping. Perfect compatibility with IOS. A true past. I asked one night at 23: 00h and the next morning at 13: 00h come to my home. Everything perfect, I have Apple Watch and this will also exceeds by far. Perfect compatibility with IOS system. I am delighted with this watch. 100% recommended.</v>
      </c>
    </row>
    <row r="11316">
      <c r="A11316" s="1">
        <v>5.0</v>
      </c>
      <c r="B11316" s="1" t="s">
        <v>11220</v>
      </c>
      <c r="C11316" t="str">
        <f>IFERROR(__xludf.DUMMYFUNCTION("GOOGLETRANSLATE(B11316, ""es"", ""en"")"),"Confidence Excellent product and good price, top seller")</f>
        <v>Confidence Excellent product and good price, top seller</v>
      </c>
    </row>
    <row r="11317">
      <c r="A11317" s="1">
        <v>5.0</v>
      </c>
      <c r="B11317" s="1" t="s">
        <v>11221</v>
      </c>
      <c r="C11317" t="str">
        <f>IFERROR(__xludf.DUMMYFUNCTION("GOOGLETRANSLATE(B11317, ""es"", ""en"")"),"Quality I got one and I use it every day, I assure ago that if put on sale again the buyer would not notice, to bring the mobile and wallet spare you (not you ask more)")</f>
        <v>Quality I got one and I use it every day, I assure ago that if put on sale again the buyer would not notice, to bring the mobile and wallet spare you (not you ask more)</v>
      </c>
    </row>
    <row r="11318">
      <c r="A11318" s="1">
        <v>5.0</v>
      </c>
      <c r="B11318" s="1" t="s">
        <v>11222</v>
      </c>
      <c r="C11318" t="str">
        <f>IFERROR(__xludf.DUMMYFUNCTION("GOOGLETRANSLATE(B11318, ""es"", ""en"")"),"For a fast drying Very comfortable to handle. Ideal for laminate flooring or parquet and a rush, so much trickles, which causes the soil to dry very quickly")</f>
        <v>For a fast drying Very comfortable to handle. Ideal for laminate flooring or parquet and a rush, so much trickles, which causes the soil to dry very quickly</v>
      </c>
    </row>
    <row r="11319">
      <c r="A11319" s="1">
        <v>5.0</v>
      </c>
      <c r="B11319" s="1" t="s">
        <v>11223</v>
      </c>
      <c r="C11319" t="str">
        <f>IFERROR(__xludf.DUMMYFUNCTION("GOOGLETRANSLATE(B11319, ""es"", ""en"")"),"the seller is good and original shoes are cheaper than the official price. and even the faces I think, are the Stan Smith lifelong now have become fashionable among girls ... but this does not blame the seller, but Adidas is who sets the price. The 5 star"&amp;" rating is for the seller, not the product. This is good as I say, it's skin, but does not justify its price")</f>
        <v>the seller is good and original shoes are cheaper than the official price. and even the faces I think, are the Stan Smith lifelong now have become fashionable among girls ... but this does not blame the seller, but Adidas is who sets the price. The 5 star rating is for the seller, not the product. This is good as I say, it's skin, but does not justify its price</v>
      </c>
    </row>
    <row r="11320">
      <c r="A11320" s="1">
        <v>5.0</v>
      </c>
      <c r="B11320" s="1" t="s">
        <v>461</v>
      </c>
      <c r="C11320" t="str">
        <f>IFERROR(__xludf.DUMMYFUNCTION("GOOGLETRANSLATE(B11320, ""es"", ""en"")"),"excellent excellent")</f>
        <v>excellent excellent</v>
      </c>
    </row>
    <row r="11321">
      <c r="A11321" s="1">
        <v>5.0</v>
      </c>
      <c r="B11321" s="1" t="s">
        <v>11224</v>
      </c>
      <c r="C11321" t="str">
        <f>IFERROR(__xludf.DUMMYFUNCTION("GOOGLETRANSLATE(B11321, ""es"", ""en"")"),"Very beautiful and functional functional and very attractive vintage look. It is very quick to heat almost two liters of water. The handle is ideal to catch comfortably and do not burn.")</f>
        <v>Very beautiful and functional functional and very attractive vintage look. It is very quick to heat almost two liters of water. The handle is ideal to catch comfortably and do not burn.</v>
      </c>
    </row>
    <row r="11322">
      <c r="A11322" s="1">
        <v>5.0</v>
      </c>
      <c r="B11322" s="1" t="s">
        <v>11225</v>
      </c>
      <c r="C11322" t="str">
        <f>IFERROR(__xludf.DUMMYFUNCTION("GOOGLETRANSLATE(B11322, ""es"", ""en"")"),"80% cotton comfortable, durable and beautifully designed. 80% cotton, do not bite. If I knew before the pack had caught 12 straight but I did not want to risk ...")</f>
        <v>80% cotton comfortable, durable and beautifully designed. 80% cotton, do not bite. If I knew before the pack had caught 12 straight but I did not want to risk ...</v>
      </c>
    </row>
    <row r="11323">
      <c r="A11323" s="1">
        <v>5.0</v>
      </c>
      <c r="B11323" s="1" t="s">
        <v>11226</v>
      </c>
      <c r="C11323" t="str">
        <f>IFERROR(__xludf.DUMMYFUNCTION("GOOGLETRANSLATE(B11323, ""es"", ""en"")"),"Great Value for money 👍🏼")</f>
        <v>Great Value for money 👍🏼</v>
      </c>
    </row>
    <row r="11324">
      <c r="A11324" s="1">
        <v>2.0</v>
      </c>
      <c r="B11324" s="1" t="s">
        <v>11227</v>
      </c>
      <c r="C11324" t="str">
        <f>IFERROR(__xludf.DUMMYFUNCTION("GOOGLETRANSLATE(B11324, ""es"", ""en"")"),"A reverse Scripture")</f>
        <v>A reverse Scripture</v>
      </c>
    </row>
    <row r="11325">
      <c r="A11325" s="1">
        <v>3.0</v>
      </c>
      <c r="B11325" s="1" t="s">
        <v>11228</v>
      </c>
      <c r="C11325" t="str">
        <f>IFERROR(__xludf.DUMMYFUNCTION("GOOGLETRANSLATE(B11325, ""es"", ""en"")"),": - / cheap looking belt ... unpolished edges disconcerts almost cut ... the box, but looks authentic ... casio best remembered in 80 :-)")</f>
        <v>: - / cheap looking belt ... unpolished edges disconcerts almost cut ... the box, but looks authentic ... casio best remembered in 80 :-)</v>
      </c>
    </row>
    <row r="11326">
      <c r="A11326" s="1">
        <v>3.0</v>
      </c>
      <c r="B11326" s="1" t="s">
        <v>11229</v>
      </c>
      <c r="C11326" t="str">
        <f>IFERROR(__xludf.DUMMYFUNCTION("GOOGLETRANSLATE(B11326, ""es"", ""en"")"),"Comfort is comfortable if a little closed")</f>
        <v>Comfort is comfortable if a little closed</v>
      </c>
    </row>
    <row r="11327">
      <c r="A11327" s="1">
        <v>1.0</v>
      </c>
      <c r="B11327" s="1" t="s">
        <v>11230</v>
      </c>
      <c r="C11327" t="str">
        <f>IFERROR(__xludf.DUMMYFUNCTION("GOOGLETRANSLATE(B11327, ""es"", ""en"")"),"bad quality, poor quality did not have to pay postage to buy but to return. It has nothing to do with the picture, neither form nor color,")</f>
        <v>bad quality, poor quality did not have to pay postage to buy but to return. It has nothing to do with the picture, neither form nor color,</v>
      </c>
    </row>
    <row r="11328">
      <c r="A11328" s="1">
        <v>1.0</v>
      </c>
      <c r="B11328" s="1" t="s">
        <v>11231</v>
      </c>
      <c r="C11328" t="str">
        <f>IFERROR(__xludf.DUMMYFUNCTION("GOOGLETRANSLATE(B11328, ""es"", ""en"")"),"descontemta The color has nothing to do with the photo and the size will not answer a M")</f>
        <v>descontemta The color has nothing to do with the photo and the size will not answer a M</v>
      </c>
    </row>
    <row r="11329">
      <c r="A11329" s="1">
        <v>4.0</v>
      </c>
      <c r="B11329" s="1" t="s">
        <v>11232</v>
      </c>
      <c r="C11329" t="str">
        <f>IFERROR(__xludf.DUMMYFUNCTION("GOOGLETRANSLATE(B11329, ""es"", ""en"")"),"Comfortable, very tailored and combinable. JOMA.Lo brand jacket combination is good better than it seems, nothing to envy to other more expensive brands. OKAY")</f>
        <v>Comfortable, very tailored and combinable. JOMA.Lo brand jacket combination is good better than it seems, nothing to envy to other more expensive brands. OKAY</v>
      </c>
    </row>
    <row r="11330">
      <c r="A11330" s="1">
        <v>4.0</v>
      </c>
      <c r="B11330" s="1" t="s">
        <v>11233</v>
      </c>
      <c r="C11330" t="str">
        <f>IFERROR(__xludf.DUMMYFUNCTION("GOOGLETRANSLATE(B11330, ""es"", ""en"")"),"PRODUCT MEDIOCRE everything pretty well except the sole is very stiff, seems to hang out with shoes.")</f>
        <v>PRODUCT MEDIOCRE everything pretty well except the sole is very stiff, seems to hang out with shoes.</v>
      </c>
    </row>
    <row r="11331">
      <c r="A11331" s="1">
        <v>4.0</v>
      </c>
      <c r="B11331" s="1" t="s">
        <v>11234</v>
      </c>
      <c r="C11331" t="str">
        <f>IFERROR(__xludf.DUMMYFUNCTION("GOOGLETRANSLATE(B11331, ""es"", ""en"")"),"Fulfills its function perfectly fulfills its function perfectly without any problems. The plastic could be of better quality and the same connectors, but I guess that's why has that price.")</f>
        <v>Fulfills its function perfectly fulfills its function perfectly without any problems. The plastic could be of better quality and the same connectors, but I guess that's why has that price.</v>
      </c>
    </row>
    <row r="11332">
      <c r="A11332" s="1">
        <v>4.0</v>
      </c>
      <c r="B11332" s="1" t="s">
        <v>11235</v>
      </c>
      <c r="C11332" t="str">
        <f>IFERROR(__xludf.DUMMYFUNCTION("GOOGLETRANSLATE(B11332, ""es"", ""en"")"),"correct correct")</f>
        <v>correct correct</v>
      </c>
    </row>
    <row r="11333">
      <c r="A11333" s="1">
        <v>4.0</v>
      </c>
      <c r="B11333" s="1" t="s">
        <v>11236</v>
      </c>
      <c r="C11333" t="str">
        <f>IFERROR(__xludf.DUMMYFUNCTION("GOOGLETRANSLATE(B11333, ""es"", ""en"")"),"PERFECT are the original shoes, they came with box and supporting Vans label, the same number that I use normally is perfect. Very good buy.")</f>
        <v>PERFECT are the original shoes, they came with box and supporting Vans label, the same number that I use normally is perfect. Very good buy.</v>
      </c>
    </row>
    <row r="11334">
      <c r="A11334" s="1">
        <v>5.0</v>
      </c>
      <c r="B11334" s="1" t="s">
        <v>11237</v>
      </c>
      <c r="C11334" t="str">
        <f>IFERROR(__xludf.DUMMYFUNCTION("GOOGLETRANSLATE(B11334, ""es"", ""en"")"),"Carve large I use a 39 and it's like for a 37. Fast Shipping. Nice and cheap. Shame size")</f>
        <v>Carve large I use a 39 and it's like for a 37. Fast Shipping. Nice and cheap. Shame size</v>
      </c>
    </row>
    <row r="11335">
      <c r="A11335" s="1">
        <v>5.0</v>
      </c>
      <c r="B11335" s="1" t="s">
        <v>11238</v>
      </c>
      <c r="C11335" t="str">
        <f>IFERROR(__xludf.DUMMYFUNCTION("GOOGLETRANSLATE(B11335, ""es"", ""en"")"),"Surprised with the quality of the product I was surprised by the excellent quality of the product! We have already used fairly and slate remains very easy to clean and in excellent condition. I'm very satisfied with the shopping!")</f>
        <v>Surprised with the quality of the product I was surprised by the excellent quality of the product! We have already used fairly and slate remains very easy to clean and in excellent condition. I'm very satisfied with the shopping!</v>
      </c>
    </row>
    <row r="11336">
      <c r="A11336" s="1">
        <v>5.0</v>
      </c>
      <c r="B11336" s="1" t="s">
        <v>11239</v>
      </c>
      <c r="C11336" t="str">
        <f>IFERROR(__xludf.DUMMYFUNCTION("GOOGLETRANSLATE(B11336, ""es"", ""en"")"),"I recommend it 100% Excellent 100% recommended good good quality material, and so great was expected")</f>
        <v>I recommend it 100% Excellent 100% recommended good good quality material, and so great was expected</v>
      </c>
    </row>
    <row r="11337">
      <c r="A11337" s="1">
        <v>5.0</v>
      </c>
      <c r="B11337" s="1" t="s">
        <v>11240</v>
      </c>
      <c r="C11337" t="str">
        <f>IFERROR(__xludf.DUMMYFUNCTION("GOOGLETRANSLATE(B11337, ""es"", ""en"")"),"Very good product. Great clean and very fast. I liked the result, it is perfect !!! I bought to clean a decanter of wine and several bottles of glass way he stay clean; I had tried with hot water and dishwashing detergent, with stronger cleaners, bleach e"&amp;"ven leaving all night and there was no cleaning. He had not been well with brush to clean bottles. The truth is that I bought to try, without much hope that look good, but I really liked the result, I just put a little water, a few drops of dishwasher and"&amp;" put the balls with a funnel. I shook a little and could not be better, put it like new and very fast !!! When finished emptied the contents in a colander to not be lost balls, I put them on a plate with a paper towel to dry and placed them once dry, with"&amp;" a funnel in the container. And until the next cleaning.")</f>
        <v>Very good product. Great clean and very fast. I liked the result, it is perfect !!! I bought to clean a decanter of wine and several bottles of glass way he stay clean; I had tried with hot water and dishwashing detergent, with stronger cleaners, bleach even leaving all night and there was no cleaning. He had not been well with brush to clean bottles. The truth is that I bought to try, without much hope that look good, but I really liked the result, I just put a little water, a few drops of dishwasher and put the balls with a funnel. I shook a little and could not be better, put it like new and very fast !!! When finished emptied the contents in a colander to not be lost balls, I put them on a plate with a paper towel to dry and placed them once dry, with a funnel in the container. And until the next cleaning.</v>
      </c>
    </row>
    <row r="11338">
      <c r="A11338" s="1">
        <v>5.0</v>
      </c>
      <c r="B11338" s="1" t="s">
        <v>11241</v>
      </c>
      <c r="C11338" t="str">
        <f>IFERROR(__xludf.DUMMYFUNCTION("GOOGLETRANSLATE(B11338, ""es"", ""en"")"),"Very happy with product and power in the command control with very good product and beautiful design. It is very easy to use, you plug it, pour water and aroma and ready. Has many colors also give you a relaxed atmosphere. But what is all hacierto is the "&amp;"remote control which can control the device. Very happy the truth")</f>
        <v>Very happy with product and power in the command control with very good product and beautiful design. It is very easy to use, you plug it, pour water and aroma and ready. Has many colors also give you a relaxed atmosphere. But what is all hacierto is the remote control which can control the device. Very happy the truth</v>
      </c>
    </row>
    <row r="11339">
      <c r="A11339" s="1">
        <v>5.0</v>
      </c>
      <c r="B11339" s="1" t="s">
        <v>11242</v>
      </c>
      <c r="C11339" t="str">
        <f>IFERROR(__xludf.DUMMYFUNCTION("GOOGLETRANSLATE(B11339, ""es"", ""en"")"),"I love the scent smells very good, I use it for the truth humidifier and 5 droplets in water is quite noticeable odor and is very nice.")</f>
        <v>I love the scent smells very good, I use it for the truth humidifier and 5 droplets in water is quite noticeable odor and is very nice.</v>
      </c>
    </row>
    <row r="11340">
      <c r="A11340" s="1">
        <v>5.0</v>
      </c>
      <c r="B11340" s="1" t="s">
        <v>11243</v>
      </c>
      <c r="C11340" t="str">
        <f>IFERROR(__xludf.DUMMYFUNCTION("GOOGLETRANSLATE(B11340, ""es"", ""en"")"),"Value very correct 100% natural essential oils with great concentration. The use in combination with humidifier and the different oil, manage eliminate odors, etc .. use massage")</f>
        <v>Value very correct 100% natural essential oils with great concentration. The use in combination with humidifier and the different oil, manage eliminate odors, etc .. use massage</v>
      </c>
    </row>
    <row r="11341">
      <c r="A11341" s="1">
        <v>5.0</v>
      </c>
      <c r="B11341" s="1" t="s">
        <v>11244</v>
      </c>
      <c r="C11341" t="str">
        <f>IFERROR(__xludf.DUMMYFUNCTION("GOOGLETRANSLATE(B11341, ""es"", ""en"")"),"A very nice elegant and very nice watch at a great price.")</f>
        <v>A very nice elegant and very nice watch at a great price.</v>
      </c>
    </row>
    <row r="11342">
      <c r="A11342" s="1">
        <v>5.0</v>
      </c>
      <c r="B11342" s="1" t="s">
        <v>11245</v>
      </c>
      <c r="C11342" t="str">
        <f>IFERROR(__xludf.DUMMYFUNCTION("GOOGLETRANSLATE(B11342, ""es"", ""en"")"),"they feel like a glove models blank sckechers like this are very good because they hold the foot if you put them to work")</f>
        <v>they feel like a glove models blank sckechers like this are very good because they hold the foot if you put them to work</v>
      </c>
    </row>
    <row r="11343">
      <c r="A11343" s="1">
        <v>5.0</v>
      </c>
      <c r="B11343" s="1" t="s">
        <v>11246</v>
      </c>
      <c r="C11343" t="str">
        <f>IFERROR(__xludf.DUMMYFUNCTION("GOOGLETRANSLATE(B11343, ""es"", ""en"")"),"PERFECT I have received in 24 hours. I'm very happy. I have a size 38 and I still great to get a big sock. As he expected. Thank you")</f>
        <v>PERFECT I have received in 24 hours. I'm very happy. I have a size 38 and I still great to get a big sock. As he expected. Thank you</v>
      </c>
    </row>
    <row r="11344">
      <c r="A11344" s="1">
        <v>5.0</v>
      </c>
      <c r="B11344" s="1" t="s">
        <v>11247</v>
      </c>
      <c r="C11344" t="str">
        <f>IFERROR(__xludf.DUMMYFUNCTION("GOOGLETRANSLATE(B11344, ""es"", ""en"")"),"They ARE VERY COMFORTABLE AND LIGHT comfortable and light. AND VERY TOUGH, HE USED THE EVERYDAY months now and continue as new.")</f>
        <v>They ARE VERY COMFORTABLE AND LIGHT comfortable and light. AND VERY TOUGH, HE USED THE EVERYDAY months now and continue as new.</v>
      </c>
    </row>
    <row r="11345">
      <c r="A11345" s="1">
        <v>5.0</v>
      </c>
      <c r="B11345" s="1" t="s">
        <v>11248</v>
      </c>
      <c r="C11345" t="str">
        <f>IFERROR(__xludf.DUMMYFUNCTION("GOOGLETRANSLATE(B11345, ""es"", ""en"")"),"Casio classic quality A basic classic that never disappoints. The only problem encountered is that the plastic watch reacts to certain products or types of mosquitoes repellent sunscreen and melt and stain the clock")</f>
        <v>Casio classic quality A basic classic that never disappoints. The only problem encountered is that the plastic watch reacts to certain products or types of mosquitoes repellent sunscreen and melt and stain the clock</v>
      </c>
    </row>
    <row r="11346">
      <c r="A11346" s="1">
        <v>5.0</v>
      </c>
      <c r="B11346" s="1" t="s">
        <v>11249</v>
      </c>
      <c r="C11346" t="str">
        <f>IFERROR(__xludf.DUMMYFUNCTION("GOOGLETRANSLATE(B11346, ""es"", ""en"")"),"tiemo best massager have a lot to work, and makes neck pain time, this massager easy to use and functional, when rest home usardo very well, which makes it parte.esta masajer very well if you have this product for more people")</f>
        <v>tiemo best massager have a lot to work, and makes neck pain time, this massager easy to use and functional, when rest home usardo very well, which makes it parte.esta masajer very well if you have this product for more people</v>
      </c>
    </row>
    <row r="11347">
      <c r="A11347" s="1">
        <v>5.0</v>
      </c>
      <c r="B11347" s="1" t="s">
        <v>11250</v>
      </c>
      <c r="C11347" t="str">
        <f>IFERROR(__xludf.DUMMYFUNCTION("GOOGLETRANSLATE(B11347, ""es"", ""en"")"),"Value, normal. He really liked my partner, but he hoped the thicker cotton generally okay.")</f>
        <v>Value, normal. He really liked my partner, but he hoped the thicker cotton generally okay.</v>
      </c>
    </row>
    <row r="11348">
      <c r="A11348" s="1">
        <v>5.0</v>
      </c>
      <c r="B11348" s="1" t="s">
        <v>11251</v>
      </c>
      <c r="C11348" t="str">
        <f>IFERROR(__xludf.DUMMYFUNCTION("GOOGLETRANSLATE(B11348, ""es"", ""en"")"),"Just quickly needed")</f>
        <v>Just quickly needed</v>
      </c>
    </row>
    <row r="11349">
      <c r="A11349" s="1">
        <v>5.0</v>
      </c>
      <c r="B11349" s="1" t="s">
        <v>11252</v>
      </c>
      <c r="C11349" t="str">
        <f>IFERROR(__xludf.DUMMYFUNCTION("GOOGLETRANSLATE(B11349, ""es"", ""en"")"),"A gorgeous footwear Footwear is excellent and from past experience I have repurchased. The dark brown is in perfect condition and the package includes cleaning kit and cords and a cloth bag for transport.")</f>
        <v>A gorgeous footwear Footwear is excellent and from past experience I have repurchased. The dark brown is in perfect condition and the package includes cleaning kit and cords and a cloth bag for transport.</v>
      </c>
    </row>
    <row r="11350">
      <c r="A11350" s="1">
        <v>5.0</v>
      </c>
      <c r="B11350" s="1" t="s">
        <v>11253</v>
      </c>
      <c r="C11350" t="str">
        <f>IFERROR(__xludf.DUMMYFUNCTION("GOOGLETRANSLATE(B11350, ""es"", ""en"")"),"They look very cool very large in the picture, for me exaggerated, but have normal size and are very nice")</f>
        <v>They look very cool very large in the picture, for me exaggerated, but have normal size and are very nice</v>
      </c>
    </row>
    <row r="11351">
      <c r="A11351" s="1">
        <v>5.0</v>
      </c>
      <c r="B11351" s="1" t="s">
        <v>11254</v>
      </c>
      <c r="C11351" t="str">
        <f>IFERROR(__xludf.DUMMYFUNCTION("GOOGLETRANSLATE(B11351, ""es"", ""en"")"),"It's great great! Very comfortable and pleasant for sports. I use size 90 and M is perfect. I recommend it. The design is nice, as is the photo.")</f>
        <v>It's great great! Very comfortable and pleasant for sports. I use size 90 and M is perfect. I recommend it. The design is nice, as is the photo.</v>
      </c>
    </row>
    <row r="11352">
      <c r="A11352" s="1">
        <v>5.0</v>
      </c>
      <c r="B11352" s="1" t="s">
        <v>11255</v>
      </c>
      <c r="C11352" t="str">
        <f>IFERROR(__xludf.DUMMYFUNCTION("GOOGLETRANSLATE(B11352, ""es"", ""en"")"),"Very helpful My 6 month old does not accept bottle. We tried from the beginning that it take a bottle, but did not want and reached induced vomiting. With this product we have solved the problem. It can even be adapted to other boats of the same brand for"&amp;" greater capacity.")</f>
        <v>Very helpful My 6 month old does not accept bottle. We tried from the beginning that it take a bottle, but did not want and reached induced vomiting. With this product we have solved the problem. It can even be adapted to other boats of the same brand for greater capacity.</v>
      </c>
    </row>
    <row r="11353">
      <c r="A11353" s="1">
        <v>2.0</v>
      </c>
      <c r="B11353" s="1" t="s">
        <v>11256</v>
      </c>
      <c r="C11353" t="str">
        <f>IFERROR(__xludf.DUMMYFUNCTION("GOOGLETRANSLATE(B11353, ""es"", ""en"")"),"Wrong size Wrong size before asking the sizing looked telling me the page itself, plus read the questions and answers about the size for my measures 1.78 meters and 83Kgr. and I even wear it to the waist Fitted is a very fair and just to wear a shirt with"&amp;"out jersey and closing easy zipper.")</f>
        <v>Wrong size Wrong size before asking the sizing looked telling me the page itself, plus read the questions and answers about the size for my measures 1.78 meters and 83Kgr. and I even wear it to the waist Fitted is a very fair and just to wear a shirt without jersey and closing easy zipper.</v>
      </c>
    </row>
    <row r="11354">
      <c r="A11354" s="1">
        <v>3.0</v>
      </c>
      <c r="B11354" s="1" t="s">
        <v>11257</v>
      </c>
      <c r="C11354" t="str">
        <f>IFERROR(__xludf.DUMMYFUNCTION("GOOGLETRANSLATE(B11354, ""es"", ""en"")"),"Reduced air intake. I reduces the air inlet checked. The downside is that you need to clean a brush is not falling fingers well")</f>
        <v>Reduced air intake. I reduces the air inlet checked. The downside is that you need to clean a brush is not falling fingers well</v>
      </c>
    </row>
    <row r="11355">
      <c r="A11355" s="1">
        <v>1.0</v>
      </c>
      <c r="B11355" s="1" t="s">
        <v>11258</v>
      </c>
      <c r="C11355" t="str">
        <f>IFERROR(__xludf.DUMMYFUNCTION("GOOGLETRANSLATE(B11355, ""es"", ""en"")"),"fragile product. It is better to spend a little more for a pair of headphones mejores.El materials is very weak, a week and I had broken buttons volume, etc are a joke on how small and fragile son.Propio a Chinese store category b.")</f>
        <v>fragile product. It is better to spend a little more for a pair of headphones mejores.El materials is very weak, a week and I had broken buttons volume, etc are a joke on how small and fragile son.Propio a Chinese store category b.</v>
      </c>
    </row>
    <row r="11356">
      <c r="A11356" s="1">
        <v>1.0</v>
      </c>
      <c r="B11356" s="1" t="s">
        <v>11259</v>
      </c>
      <c r="C11356" t="str">
        <f>IFERROR(__xludf.DUMMYFUNCTION("GOOGLETRANSLATE(B11356, ""es"", ""en"")"),"DO NOT BUY THE DEFECTIVE PRODUCT. WHERE THE SQUARES XIAOMI circumference is too large and does not fit.")</f>
        <v>DO NOT BUY THE DEFECTIVE PRODUCT. WHERE THE SQUARES XIAOMI circumference is too large and does not fit.</v>
      </c>
    </row>
    <row r="11357">
      <c r="A11357" s="1">
        <v>1.0</v>
      </c>
      <c r="B11357" s="1" t="s">
        <v>11260</v>
      </c>
      <c r="C11357" t="str">
        <f>IFERROR(__xludf.DUMMYFUNCTION("GOOGLETRANSLATE(B11357, ""es"", ""en"")"),"Not useful Jams ""immediately"". It is not useful. You just start to use the ""tube"" is obstructed and there is no possibility of easy cleaning")</f>
        <v>Not useful Jams "immediately". It is not useful. You just start to use the "tube" is obstructed and there is no possibility of easy cleaning</v>
      </c>
    </row>
    <row r="11358">
      <c r="A11358" s="1">
        <v>4.0</v>
      </c>
      <c r="B11358" s="1" t="s">
        <v>11261</v>
      </c>
      <c r="C11358" t="str">
        <f>IFERROR(__xludf.DUMMYFUNCTION("GOOGLETRANSLATE(B11358, ""es"", ""en"")"),"the results with a little patience I've used it for about a month almost every night with prickly pear oil massaging the areas with small wrinkles and notice the difference noticeable. I get up with the more luminous and less wrinkles smoother skin.")</f>
        <v>the results with a little patience I've used it for about a month almost every night with prickly pear oil massaging the areas with small wrinkles and notice the difference noticeable. I get up with the more luminous and less wrinkles smoother skin.</v>
      </c>
    </row>
    <row r="11359">
      <c r="A11359" s="1">
        <v>4.0</v>
      </c>
      <c r="B11359" s="1" t="s">
        <v>11262</v>
      </c>
      <c r="C11359" t="str">
        <f>IFERROR(__xludf.DUMMYFUNCTION("GOOGLETRANSLATE(B11359, ""es"", ""en"")"),"Good suction power good but a little heavy")</f>
        <v>Good suction power good but a little heavy</v>
      </c>
    </row>
    <row r="11360">
      <c r="A11360" s="1">
        <v>4.0</v>
      </c>
      <c r="B11360" s="1" t="s">
        <v>11263</v>
      </c>
      <c r="C11360" t="str">
        <f>IFERROR(__xludf.DUMMYFUNCTION("GOOGLETRANSLATE(B11360, ""es"", ""en"")"),"Which it is wireless which is sufficient distance wireless. It's a little buzz.")</f>
        <v>Which it is wireless which is sufficient distance wireless. It's a little buzz.</v>
      </c>
    </row>
    <row r="11361">
      <c r="A11361" s="1">
        <v>4.0</v>
      </c>
      <c r="B11361" s="1" t="s">
        <v>11264</v>
      </c>
      <c r="C11361" t="str">
        <f>IFERROR(__xludf.DUMMYFUNCTION("GOOGLETRANSLATE(B11361, ""es"", ""en"")"),"They are as beautiful as pictured, very comfortable")</f>
        <v>They are as beautiful as pictured, very comfortable</v>
      </c>
    </row>
    <row r="11362">
      <c r="A11362" s="1">
        <v>5.0</v>
      </c>
      <c r="B11362" s="1" t="s">
        <v>11265</v>
      </c>
      <c r="C11362" t="str">
        <f>IFERROR(__xludf.DUMMYFUNCTION("GOOGLETRANSLATE(B11362, ""es"", ""en"")"),"Good magnifiers bought it for some jobs requiring few magnifiers of these features is a simple product that meets fine for what, a visor to which you can adapt different magnifiers that come in the box simply needs are magnifiers several increases so you "&amp;"can choose depending if you will need more or less is an LED light that runs on three AAA batteries for better visibility in low light, really good product with supplies pretty good relative to its price, I recommend")</f>
        <v>Good magnifiers bought it for some jobs requiring few magnifiers of these features is a simple product that meets fine for what, a visor to which you can adapt different magnifiers that come in the box simply needs are magnifiers several increases so you can choose depending if you will need more or less is an LED light that runs on three AAA batteries for better visibility in low light, really good product with supplies pretty good relative to its price, I recommend</v>
      </c>
    </row>
    <row r="11363">
      <c r="A11363" s="1">
        <v>5.0</v>
      </c>
      <c r="B11363" s="1" t="s">
        <v>11266</v>
      </c>
      <c r="C11363" t="str">
        <f>IFERROR(__xludf.DUMMYFUNCTION("GOOGLETRANSLATE(B11363, ""es"", ""en"")"),"Very good quality warm when it's cold and washed well. dry rspidisimo")</f>
        <v>Very good quality warm when it's cold and washed well. dry rspidisimo</v>
      </c>
    </row>
    <row r="11364">
      <c r="A11364" s="1">
        <v>5.0</v>
      </c>
      <c r="B11364" s="1" t="s">
        <v>11267</v>
      </c>
      <c r="C11364" t="str">
        <f>IFERROR(__xludf.DUMMYFUNCTION("GOOGLETRANSLATE(B11364, ""es"", ""en"")"),"A very good buy Very happy with headphones, it shows that they are of good quality. Building materials are really good, almost entire aluminum and details in plastic. They have a pillow for the head of fairly good quality and is very comfortable. Ear pads"&amp;" are of very good quality, they are big and fluffy. Microperforations have to be warm unless you ears but do not really believe that serve to much. The adjustment to mind is adequate but you have to open something else account for the bottom of the pad wi"&amp;"ll not head off. The cable is covered by a mesh does not break so easily. With regard to the sound, everything is adequate but not particularly stand out for something. The audio of the micro itself is noteworthy, in all calls I've done with them has been"&amp;" very crisp sound. They are a good buy, something maybe expensive but worth it.")</f>
        <v>A very good buy Very happy with headphones, it shows that they are of good quality. Building materials are really good, almost entire aluminum and details in plastic. They have a pillow for the head of fairly good quality and is very comfortable. Ear pads are of very good quality, they are big and fluffy. Microperforations have to be warm unless you ears but do not really believe that serve to much. The adjustment to mind is adequate but you have to open something else account for the bottom of the pad will not head off. The cable is covered by a mesh does not break so easily. With regard to the sound, everything is adequate but not particularly stand out for something. The audio of the micro itself is noteworthy, in all calls I've done with them has been very crisp sound. They are a good buy, something maybe expensive but worth it.</v>
      </c>
    </row>
    <row r="11365">
      <c r="A11365" s="1">
        <v>5.0</v>
      </c>
      <c r="B11365" s="1" t="s">
        <v>11268</v>
      </c>
      <c r="C11365" t="str">
        <f>IFERROR(__xludf.DUMMYFUNCTION("GOOGLETRANSLATE(B11365, ""es"", ""en"")"),"Versatilidad.tanto for a sportier look like more dress are comfortable, they have padding inside. I've loved, as see in the picture")</f>
        <v>Versatilidad.tanto for a sportier look like more dress are comfortable, they have padding inside. I've loved, as see in the picture</v>
      </c>
    </row>
    <row r="11366">
      <c r="A11366" s="1">
        <v>5.0</v>
      </c>
      <c r="B11366" s="1" t="s">
        <v>11269</v>
      </c>
      <c r="C11366" t="str">
        <f>IFERROR(__xludf.DUMMYFUNCTION("GOOGLETRANSLATE(B11366, ""es"", ""en"")"),"The responsible Everything perfect")</f>
        <v>The responsible Everything perfect</v>
      </c>
    </row>
    <row r="11367">
      <c r="A11367" s="1">
        <v>5.0</v>
      </c>
      <c r="B11367" s="1" t="s">
        <v>11270</v>
      </c>
      <c r="C11367" t="str">
        <f>IFERROR(__xludf.DUMMYFUNCTION("GOOGLETRANSLATE(B11367, ""es"", ""en"")"),"comfortable Very good")</f>
        <v>comfortable Very good</v>
      </c>
    </row>
    <row r="11368">
      <c r="A11368" s="1">
        <v>5.0</v>
      </c>
      <c r="B11368" s="1" t="s">
        <v>11271</v>
      </c>
      <c r="C11368" t="str">
        <f>IFERROR(__xludf.DUMMYFUNCTION("GOOGLETRANSLATE(B11368, ""es"", ""en"")"),"Good pretty and cheap. Very good soled boots are as explained. Cheap, efficient and quality, advise your purchase. I will buy. All good")</f>
        <v>Good pretty and cheap. Very good soled boots are as explained. Cheap, efficient and quality, advise your purchase. I will buy. All good</v>
      </c>
    </row>
    <row r="11369">
      <c r="A11369" s="1">
        <v>5.0</v>
      </c>
      <c r="B11369" s="1" t="s">
        <v>11272</v>
      </c>
      <c r="C11369" t="str">
        <f>IFERROR(__xludf.DUMMYFUNCTION("GOOGLETRANSLATE(B11369, ""es"", ""en"")"),"It seems a cucada adult! I bought it by mistake thinking it was great Jiji returned it with no problem")</f>
        <v>It seems a cucada adult! I bought it by mistake thinking it was great Jiji returned it with no problem</v>
      </c>
    </row>
    <row r="11370">
      <c r="A11370" s="1">
        <v>5.0</v>
      </c>
      <c r="B11370" s="1" t="s">
        <v>11273</v>
      </c>
      <c r="C11370" t="str">
        <f>IFERROR(__xludf.DUMMYFUNCTION("GOOGLETRANSLATE(B11370, ""es"", ""en"")"),"Such that the product is shown Organizers of useful leads for my taste. Small clips to paste where best suits you and Velcro straps if you need to organize many wires at once.")</f>
        <v>Such that the product is shown Organizers of useful leads for my taste. Small clips to paste where best suits you and Velcro straps if you need to organize many wires at once.</v>
      </c>
    </row>
    <row r="11371">
      <c r="A11371" s="1">
        <v>5.0</v>
      </c>
      <c r="B11371" s="1" t="s">
        <v>11274</v>
      </c>
      <c r="C11371" t="str">
        <f>IFERROR(__xludf.DUMMYFUNCTION("GOOGLETRANSLATE(B11371, ""es"", ""en"")"),"Great !! Comfortable, good quality price.")</f>
        <v>Great !! Comfortable, good quality price.</v>
      </c>
    </row>
    <row r="11372">
      <c r="A11372" s="1">
        <v>5.0</v>
      </c>
      <c r="B11372" s="1" t="s">
        <v>11275</v>
      </c>
      <c r="C11372" t="str">
        <f>IFERROR(__xludf.DUMMYFUNCTION("GOOGLETRANSLATE(B11372, ""es"", ""en"")"),"Great sound at low cost I was surprised by the sound quality for the low cost of helmets, transport box is very cool, it has opened the lid circular opening and are very light. Fit very well to the ear and put up good positions to run, the battery holds a"&amp;" lot, I've been traveling and the plane 3 hours without problem.")</f>
        <v>Great sound at low cost I was surprised by the sound quality for the low cost of helmets, transport box is very cool, it has opened the lid circular opening and are very light. Fit very well to the ear and put up good positions to run, the battery holds a lot, I've been traveling and the plane 3 hours without problem.</v>
      </c>
    </row>
    <row r="11373">
      <c r="A11373" s="1">
        <v>5.0</v>
      </c>
      <c r="B11373" s="1" t="s">
        <v>11276</v>
      </c>
      <c r="C11373" t="str">
        <f>IFERROR(__xludf.DUMMYFUNCTION("GOOGLETRANSLATE(B11373, ""es"", ""en"")"),"Awesome! &lt;Div id = ""video-block-R3VBKBBYJFIUCH"" class = ""section a-a-a-spacing-small spacing-top-video mini-block""&gt; &lt;div tabindex = ""0"" class = ""airy airy-svg vmin- supported airy-skin-beacon ""style ="" background-color: rgb (0, 0, 0) position: re"&amp;"lative; width: 100%; height: 100%; font-size: 0px; overflow: hidden; outline: none ; ""&gt; &lt;div class ="" airy-renderer-container ""style ="" position: relative; height: 100%; width: 100%; ""&gt; &lt;video id ="" 23 ""preload ="" auto ""src ="" https: //images-eu"&amp;".ssl-images-amazon.com/images/I/A1b4TyoOHoS.mp4 ""style ="" position: absolute; left: 0px; top: 0px; overflow: hidden; height: 1px; width: 1px; "" &gt; &lt;/ video&gt; &lt;/ div&gt; &lt;div id = ""airy-slate-preload"" style = ""background-color: rgb (0, 0, 0); background-i"&amp;"mage: url (&amp; quot; https: // images- eu.ssl-images-amazon.com/images/I/910R0t2vfpS.png&amp;quot;); background-size: Contain; background-position: center center; background-repeat: no-repeat; position: absolute; top: 0px; left : 0px; visibility: visible; width"&amp;": 100%; height: 100%; ""&gt; &lt;/ div&gt; &lt;iframe scrolling ="" no ""frameborder = ""0"" src = ""about: blank"" style = ""display: none;""&gt; &lt;/ iframe&gt; &lt;div tabindex = ""- 1"" class = ""airy-controls-container"" style = ""opacity: 0; visibility: hidden; ""&gt; &lt;div t"&amp;"abindex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air"&amp;"y-on ""&gt; &lt;/ div&gt; &lt;div tabindex ="" - 1 ""class ="" airy-audio-container ""style = ""opacity: 0; visibility: hidden; ""&gt; &lt;div tabindex ="" - 1 ""class ="" airy-audio-track-bar ""style ="" height: 80%; ""&gt; &lt;div tabindex ="" - 1 ""class ="" airy-audio- Scrub"&amp;"ber-bar ""style ="" height: 85%; ""&gt; &lt;/ div&gt; &lt;div tabindex ="" - 1 ""class ="" airy-audio-scrubber ""style ="" height: 12px; bottom: 85% ""&gt; &lt;/ div&gt; &lt;/ div&gt; &lt;/ div&gt; &lt;/ div&gt; &lt;div tabindex ="" - 1 ""class ="" airy-duration-label ""style ="" float: right; wi"&amp;"dth: 26px; margin-right: 4px; text-align: center; ""&gt; 0:00 &lt;/ div&gt; &lt;div tabindex ="" - 1 ""class ="" airy-track-bar-spacer-right ""style ="" float: right; width: 11px; ""&gt; &lt;/ div&gt; &lt;div tabindex ="" - 1 ""class ="" airy-track-bar-container ""style ="" marg"&amp;"in-left: 35px; margin-right: 75px; ""&gt; &lt;div tabindex ="" - 1 ""class ="" airy-airy-track-bar vertically-centering-table ""&gt; &lt;div tabindex ="" - 1 ""class ="" airy-Vertical-centering- table-cell ""&gt; &lt;div tabindex ="" - 1 ""class ="" airy-track-bar-elements"&amp;" ""&gt; &lt;div tabindex ="" - 1 ""class ="" airy-progress-bar ""&gt; &lt;/ div&gt; &lt;div tabindex = ""- 1"" class = ""airy-scrubber-bar""&gt; &lt;/ div&gt; &lt;div tabindex = ""- 1"" class = ""airy-scrubber""&gt; &lt;div tabindex = ""- 1"" class = ""airy-scrubber- icon ""&gt; &lt;/ div&gt; &lt;div t"&amp;"abindex ="" - 1 ""class ="" airy-adjusted-AUI-tooltip ""style ="" opacity: 0; visibility: hidden; ""&gt; &lt;div tabindex ="" - 1 ""class ="" airy-adjusted-aui-tooltip-inner ""&gt; &lt;div tabindex ="" - 1 ""class ="" airy-current-time-label ""&gt; 0: 00 &lt;/ div&gt; &lt;/ div&gt;"&amp;" &lt;div tabindex = ""- 1"" class = ""airy-adjusted-AUI-arrow-border""&gt; &lt;div tabindex = ""- 1"" class = ""airy-adjusted-AUI-arrow"" &gt; &lt;/ div&gt; &lt;/ div&gt; &lt;/ div&gt; &lt;/ div&gt; &lt;/ div&gt; &lt;/ div&gt; &lt;/ div&gt; &lt;/ div&gt; &lt;/ div&gt; &lt;/ div&gt; &lt;div tabindex = ""- 1"" class = ""airy-age-g"&amp;"ate airy-stage airy-Vertical-centering-table airy-dialog"" style = ""opacity: 0; visibility: hidden; ""&gt; &lt;div tabindex ="" - 1 ""class ="" airy-age-gate-Vertical-centering-table-cell airy-Vertical-centering-table-cell ""&gt; &lt;div tabindex ="" - 1 ""class = "&amp;"""airy-Vertical-centering-wrapper airy-age-gate-elements-wrapper""&gt; &lt;div tabindex = ""- 1"" class = ""airy-age-gate-elements airy-dialog-elements""&gt; &lt;div tabindex = "" -1 ""class ="" airy-age-gate-prompt ""&gt; This video is not Intended for all audiences Wh"&amp;"at date were you born &lt;/ div&gt; &lt;div tabindex =.?"" - 1 ""class ="" airy-age-gate -inputs airy-dialog-inner-elements ""&gt; &lt;select tabindex ="" - 1 ""class ="" airy-age-gate-month ""&gt; &lt;option value ="" 1 ""&gt; January &lt;/ option&gt; &lt;option value ="" 2 ""&gt; February"&amp;" &lt;/ option&gt; &lt;option value ="" 3 ""&gt; March &lt;/ option&gt; &lt;option value ="" 4 ""&gt; April &lt;/ option&gt; &lt;option value ="" 5 ""&gt; May &lt;/ option&gt; &lt;option value = ""6""&gt; June &lt;/ option&gt; &lt;option value = ""7""&gt; July &lt;/ option&gt; &lt;option value = ""8""&gt; August &lt;/ option&gt; &lt;op"&amp;"tion value = ""9""&gt; September &lt;/ option&gt; &lt;option value = ""10""&gt; October &lt;/ option&gt; &lt;option value = ""11""&gt; November &lt;/ option&gt; &lt;option value = ""12""&gt; December &lt;/ option&gt; &lt;/ select&gt; &lt;select tabindex = ""- 1"" class = ""airy-age-gate-day""&gt; &lt;opti on value"&amp;" = ""1""&gt; 1 &lt;/ option&gt; &lt;option value = ""2""&gt; 2 &lt;/ option&gt; &lt;option value = ""3""&gt; 3 &lt;/ option&gt; &lt;option value = ""4""&gt; 4 &lt;/ option &gt; &lt;option value = ""5""&gt; 5 &lt;/ option&gt; &lt;option value = ""6""&gt; 6 &lt;/ option&gt; &lt;option value = ""7""&gt; 7 &lt;/ option&gt; &lt;option value ="&amp;" ""8""&gt; 8 &lt; / option&gt; &lt;option value = ""9""&gt; 9 &lt;/ option&gt; &lt;option value = ""10""&gt; 10 &lt;/ option&gt; &lt;option value = ""11""&gt; 11 &lt;/ option&gt; &lt;option value = ""12""&gt; 12 &lt;/ option&gt; &lt;option value = ""13""&gt; 13 &lt;/ option&gt; &lt;option value = ""14""&gt; 14 &lt;/ option&gt; &lt;option"&amp;" value = ""15""&gt; 15 &lt;/ option&gt; &lt;option value = ""16 ""&gt; 16 &lt;/ option&gt; &lt;option value ="" 17 ""&gt; 17 &lt;/ option&gt; &lt;option value ="" 18 ""&gt; 18 &lt;/ option&gt; &lt;option value ="" 19 ""&gt; 19 &lt;/ option&gt; &lt;option value = ""20""&gt; 20 &lt;/ option&gt; &lt;option value = ""21""&gt; 21 &lt;/ "&amp;"option&gt; &lt;option value = ""22""&gt; 22 &lt;/ option&gt; &lt;option value = ""23""&gt; 23 &lt;/ option&gt; &lt;option value = ""24""&gt; 24 &lt;/ option&gt; &lt;option value = ""25""&gt; 25 &lt;/ option&gt; &lt;option value = ""26""&gt; 26 &lt;/ option&gt; &lt;option value = ""27""&gt; 27 &lt;/ option&gt; &lt;option value = ""2"&amp;"8""&gt; 28 &lt;/ option&gt; &lt;option value = ""29""&gt; 29 &lt;/ option&gt; &lt;option value = ""30""&gt; 30 &lt;/ option&gt; &lt;option value = ""31""&gt; 31 &lt;/ option&gt; &lt;/ select&gt; &lt;select tabindex = ""- 1"" class = ""airy-age-gate-year""&gt; &lt;option value = ""2019""&gt; 2019 &lt;/ option&gt; &lt; option v"&amp;"alue = ""2018""&gt; 2018 &lt;/ option&gt; &lt;option value = ""2017""&gt; 2017 &lt;/ option&gt; &lt;option value = ""2016""&gt; ​​2016 &lt;/ option&gt; &lt;option value = ""2015""&gt; 2015 &lt;/ option &gt; &lt;option value = ""2014""&gt; 2014 &lt;/ option&gt; &lt;option value = ""2013""&gt; 2013 &lt;/ option&gt; &lt;option v"&amp;"alue = ""2012""&gt; 2012 &lt;/ option&gt; &lt;option value = ""2011""&gt; 2011 &lt; / option&gt; &lt;option value = ""2010""&gt; 2010 &lt;/ option&gt; &lt;option value = ""2009""&gt; 2009 &lt;/ option&gt; &lt;option value = ""2008""&gt; 2008 &lt;/ option&gt; &lt;option value = ""2007""&gt; 2007 &lt;/ option&gt; &lt;option val"&amp;"ue = ""2006""&gt; 2006 &lt;/ option&gt; &lt;option value = ""2005""&gt; 2005 &lt;/ option&gt; &lt;option value = ""2004""&gt; 2004 &lt;/ option&gt; &lt;option value = ""2003 ""&gt; 2003 &lt;/ option&gt; &lt;option value ="" 2002 ""&gt; 2002 &lt;/ option&gt; &lt;option value ="" 2001 ""&gt; 2001 &lt;/ option&gt; &lt;option val"&amp;"ue ="" 2000 ""&gt; 2000 &lt;/ option&gt; &lt;option value = ""1999""&gt; 1999 &lt;/ option&gt; &lt;option value = ""1998""&gt; 1998 &lt;/ option&gt; &lt;option value = ""1997""&gt; 1997 &lt;/ option&gt; &lt;option value = ""1996""&gt; 1996 &lt;/ option&gt; &lt;option value = ""1995""&gt; 1995 &lt;/ option&gt; &lt;option value"&amp;" = ""1994""&gt;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"&amp;"= ""1982""&gt; 1982 &lt;/ option&gt; &lt; option value = ""1981""&gt; 1981 &lt;/ option&gt; &lt;option value = ""1980""&gt; 1980 &lt;/ option&gt; &lt;option value = ""1979""&gt; 1979 &lt;/ option&gt; &lt;option value = ""1978""&gt; 1978 &lt;/ option &gt; &lt;option value = ""1977""&gt; 1977 &lt;/ option&gt; &lt;option value ="&amp;" ""1976""&gt;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 "&amp;"""1958""&gt; 1958 &lt;/ option&gt; &lt;option value = ""1957""&gt; 1957 &lt;/ option&gt; &lt;option value = ""1956""&gt; 1956 &lt;/ option&gt; &lt;option value = ""1955""&gt; 1955 &lt;/ option&gt; &lt;option value = ""1954""&gt; 1954 &lt;/ option&gt; &lt;option value = ""1953""&gt; 1953 &lt;/ option&gt; &lt;option value = ""1"&amp;"952"" &gt; 1952 &lt;/ option&gt; &lt;option value = ""1951""&gt; 1951 &lt;/ option&gt; &lt;option value = ""1950""&gt; 1950 &lt;/ option&gt; &lt;option value = ""1949""&gt; 1949 &lt;/ option&gt; &lt;option value = "" 1948 ""&gt; 1948 &lt;/ option&gt; &lt;option value ="" 1947 ""&gt; 1947 &lt;/ option&gt; &lt;option value ="" "&amp;"1946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""19"&amp;"34""&gt; 1934 &lt;/ option&gt; &lt;option value = ""1933""&gt; 1933 &lt; / option&gt; &lt;option value = ""1932""&gt; 1932 &lt;/ option&gt; &lt;option value = ""1931""&gt; 1931 &lt;/ option&gt; &lt;option v alue = ""1930""&gt; 1930 &lt;/ option&gt; &lt;option value = ""1929""&gt; 1929 &lt;/ option&gt; &lt;option value = ""192"&amp;"8""&gt;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 1"&amp;"916 &lt;/ option&gt; &lt;option value = ""1915"" &gt; 1915 &lt;/ option&gt; &lt;option value = ""1914""&gt; 1914 &lt;/ option&gt; &lt;option value = ""1913""&gt; 1913 &lt;/ option&gt; &lt;option value = ""1912""&gt; 1912 &lt;/ option&gt; &lt;option value = "" 1911 ""&gt; 1911 &lt;/ option&gt; &lt;option value ="" 1910 ""&gt; "&amp;"1910 &lt;/ option&gt; &lt;option value ="" 1909 ""&gt; 1909 &lt;/ option&gt; &lt;option value ="" 1908 ""&gt; 1908 &lt;/ option&gt; &lt;value option = ""1907""&gt; 1907 &lt;/ option&gt; &lt;option value = ""1906""&gt; 1906 &lt;/ option&gt; &lt;option value = ""1905""&gt; 1905 &lt;/ option&gt; &lt;option value = ""1904""&gt; 1"&amp;"904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tabindex =."" - 1 ""class ="" airy-install-flash-"&amp;"button-wrapper airy -dialog-inner-elements ""&gt; &lt;div tabindex ="" - 1 ""class ="" airy-install-flash-button airy-button ""&gt; install Flash Player &lt;/ div&gt; &lt;/ div&gt; &lt;/ div&gt; &lt;/ div&gt; &lt;/ div&gt; &lt;/ div&gt; &lt;div tabindex = ""- 1"" class = ""airy-video-unsupported-dialog"&amp;" 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A1b4TyoOHoS.mp4 ""Class ="" video-url ""&gt; &lt;input type ="" hidden ""name ="" ""value ="" https://images-eu.ssl-images-amazon.com/images/I/910R0t2vfpS.png ""class ="" video-slate-img-url ""&gt; &amp; nbsp; Stunning! One last! The truth that I "&amp;"loved! In addition you can give heat and can give you speed and comes for you to take hold hands and go driving where you want to give you the massage! Descontractura you the truth and appreciated! In addition you can take it anywhere because it does not "&amp;"occupy much! Very good!")</f>
        <v>Awesome! &lt;Div id = "video-block-R3VBKBBYJFIUCH" class = "section a-a-a-spacing-small spacing-top-video mini-block"&gt; &lt;div tabindex = "0" class = "airy airy-svg vmin- supported airy-skin-beacon "style =" background-color: rgb (0, 0, 0) position: relative; width: 100%; height: 100%; font-size: 0px; overflow: hidden; outline: none ; "&gt; &lt;div class =" airy-renderer-container "style =" position: relative; height: 100%; width: 100%; "&gt; &lt;video id =" 23 "preload =" auto "src =" https: //images-eu.ssl-images-amazon.com/images/I/A1b4TyoOHoS.mp4 "style =" position: absolute; left: 0px; top: 0px; overflow: hidden; height: 1px; width: 1px; " &gt; &lt;/ video&gt; &lt;/ div&gt; &lt;div id = "airy-slate-preload" style = "background-color: rgb (0, 0, 0); background-image: url (&amp; quot; https: // images- eu.ssl-images-amazon.com/images/I/910R0t2vfpS.png&amp;quot;); background-size: Contain; background-position: center center; background-repeat: no-repeat; position: absolute; top: 0px; left :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A1b4TyoOHoS.mp4 "Class =" video-url "&gt; &lt;input type =" hidden "name =" "value =" https://images-eu.ssl-images-amazon.com/images/I/910R0t2vfpS.png "class =" video-slate-img-url "&gt; &amp; nbsp; Stunning! One last! The truth that I loved! In addition you can give heat and can give you speed and comes for you to take hold hands and go driving where you want to give you the massage! Descontractura you the truth and appreciated! In addition you can take it anywhere because it does not occupy much! Very good!</v>
      </c>
    </row>
    <row r="11374">
      <c r="A11374" s="1">
        <v>5.0</v>
      </c>
      <c r="B11374" s="1" t="s">
        <v>11277</v>
      </c>
      <c r="C11374" t="str">
        <f>IFERROR(__xludf.DUMMYFUNCTION("GOOGLETRANSLATE(B11374, ""es"", ""en"")"),"Steam instant !! &lt;Div id = ""video-block-R37RDBUU9BMT7J"" class = ""section a-a-a-spacing-small spacing-top-video mini-block""&gt; &lt;div tabindex = ""0"" class = ""airy airy-svg vmin- unsupported airy-skin-beacon ""style ="" background-color: rgb (0, 0, 0) po"&amp;"sition: relative; width: 100%; height: 100%; font-size: 0px; overflow: hidden; outline: none ; ""&gt; &lt;div class ="" airy-renderer-container ""style ="" position: relative; height: 100%; width: 100%; ""&gt; &lt;video id ="" 61 ""preload ="" auto ""src ="" https: /"&amp;"/images-eu.ssl-images-amazon.com/images/I/A1tllYnR39S.mp4 ""style ="" position: absolute; left: 0px; top: 0px; overflow: hidden; height: 1px; width: 1px; "" &gt; &lt;/ video&gt; &lt;/ div&gt; &lt;div id = ""airy-slate-preload"" style = ""background-color: rgb (0, 0, 0); ba"&amp;"ckground-image: url (&amp; quot; https: // images- eu.ssl-images-amazon.com/images/I/91yqCwkznQS.png&amp;quot;); background-size: Contain; background-position: center center; background-repeat: no-repeat; position: absolute; top: 0px; left : 0px; visibility: visi"&amp;"ble; width: 100%; height: 100%; ""&gt; &lt;/ div&gt; &lt;iframe scrolling ="" no ""framebord er = ""0"" src = ""about: blank"" style = ""display: none;""&gt; &lt;/ iframe&gt; &lt;div tabindex = ""- 1"" class = ""airy-controls-container"" style = ""opacity: 0; visibility: hidden;"&amp;" ""&gt; &lt;div tabindex ="" - 1 ""class ="" airy-screen-size-toggle airy-fullscreen ""&gt; &lt;/ div&gt; &lt;div tabindex ="" - 1 ""class ="" airy-container-bottom "" &gt; &lt;div tabindex = ""- 1"" class = ""airy-track-bar-spacer-left"" style = ""width: 11px;""&gt; &lt;/ div&gt; &lt;div t"&amp;"abindex = ""- 1"" class = ""airy-play- airy toggle-play ""style ="" width: 12px; margin-right: 12px; ""&gt; &lt;/ div&gt; &lt;div tabindex ="" - 1 ""class ="" airy-audio-elements ""style ="" float: right; width: 34px; ""&gt; &lt;div tabindex ="" - 1 ""class ="" airy-audio-"&amp;"toggle airy-on ""&gt; &lt;/ div&gt; &lt;div tabindex ="" - 1 ""class ="" airy-audio-container ""style = ""opacity: 0; visibility: hidden; ""&gt; &lt;div tabindex ="" - 1 ""class ="" airy-audio-track-bar ""style ="" height: 80%; ""&gt; &lt;div tabindex ="" - 1 ""class ="" airy-au"&amp;"dio- Scrubber-bar ""style ="" height: 85%; ""&gt; &lt;/ div&gt; &lt;div tabindex ="" - 1 ""class ="" airy-audio-scrubber ""style ="" height: 12px; bottom: 85% ""&gt; &lt;/ div&gt; &lt;/ div&gt; &lt;/ div&gt; &lt;/ div&gt; &lt;div tabindex ="" - 1 ""class ="" airy-duration-label ""style ="" float:"&amp;" right; width: 26px; margin-right: 4px; text-align: center; ""&gt; 0:00 &lt;/ div&gt; &lt;div tabindex ="" - 1 ""class ="" airy-track-bar-spacer-right ""style ="" float: right; width: 11px; ""&gt; &lt;/ div&gt; &lt;div tabindex ="" - 1 ""class ="" airy-track-bar-container ""styl"&amp;"e ="" margin-left: 35px; margin-right: 75px; ""&gt; &lt;div tabindex ="" - 1 ""class ="" airy-airy-track-bar vertically-centering-table ""&gt; &lt;div tabindex ="" - 1 ""class ="" airy-Vertical-centering- table-cell ""&gt; &lt;div tabindex ="" - 1 ""class ="" airy-track-ba"&amp;"r-elements ""&gt; &lt;div tabindex ="" - 1 ""class ="" airy-progress-bar ""&gt; &lt;/ div&gt; &lt;div tabindex = ""- 1"" class = ""airy-scrubber-bar""&gt; &lt;/ div&gt; &lt;div tabindex = ""- 1"" class = ""airy-scrubber""&gt; &lt;div tabindex = ""- 1"" class = ""airy-scrubber- icon ""&gt; &lt;/ d"&amp;"iv&gt; &lt;div tabindex ="" - 1 ""class ="" airy-adjusted-AUI-tooltip ""style ="" opacity: 0; visibility: hidden; ""&gt; &lt;div tabindex ="" - 1 ""class ="" airy-adjusted-aui-tooltip-inner ""&gt; &lt;div tabindex ="" - 1 ""class ="" airy-current-time-label ""&gt; 0: 00 &lt;/ di"&amp;"v&gt; &lt;/ div&gt; &lt;div tabindex = ""- 1"" class = ""airy-adjusted-AUI-arrow-border""&gt; &lt;div tabindex = ""- 1"" class = ""airy-adjusted-AUI-arrow"" &gt; &lt;/ div&gt; &lt;/ div&gt; &lt;/ div&gt; &lt;/ div&gt; &lt;/ div&gt; &lt;/ div&gt; &lt;/ div&gt; &lt;/ div&gt; &lt;/ div&gt; &lt;/ div&gt; &lt;div tabindex = ""- 1"" class = """&amp;"airy-age-gate airy-stage airy-Vertical-centering-table airy-dialog"" style = ""opacity: 0; visibility: hidden; ""&gt; &lt;div tabindex ="" - 1 ""class ="" airy-age-gate-Vertical-centering-table-cell airy-Vertical-centering-table-cell ""&gt; &lt;div tabindex ="" - 1 "&amp;"""class = ""airy-Vertical-centering-wrapper airy-age-gate-elements-wrapper""&gt; &lt;div tabindex = ""- 1"" class = ""airy-age-gate-elements airy-dialog-elements""&gt; &lt;div tabindex = "" -1 ""class ="" airy-age-gate-prompt ""&gt; This video is not Intended for all au"&amp;"diences What date were you born &lt;/ div&gt; &lt;div tabindex =.?"" - 1 ""class ="" airy-age-gate -inputs airy-dialog-inner-elements ""&gt; &lt;select tabindex ="" - 1 ""class ="" airy-age-gate-month ""&gt; &lt;option value ="" 1 ""&gt; January &lt;/ option&gt; &lt;option value ="" 2 """&amp;"&gt; February &lt;/ option&gt; &lt;option value ="" 3 ""&gt; March &lt;/ option&gt; &lt;option value ="" 4 ""&gt; April &lt;/ option&gt; &lt;option value ="" 5 ""&gt; May &lt;/ option&gt; &lt;option value = ""6""&gt; June &lt;/ option&gt; &lt;option value = ""7""&gt; July &lt;/ option&gt; &lt;option value = ""8""&gt; August &lt;/ o"&amp;"ption&gt; &lt;option value = ""9""&gt; September &lt;/ option&gt; &lt;option value = ""10""&gt; October &lt;/ option&gt; &lt;option value = ""11""&gt; November &lt;/ option&gt; &lt;option value = ""12""&gt; December &lt;/ option&gt; &lt;/ select&gt; &lt;select tabindex = ""- 1"" class = ""airy-age-gate-day""&gt; &lt;opt"&amp;"i on value = ""1""&gt; 1 &lt;/ option&gt; &lt;option value = ""2""&gt; 2 &lt;/ option&gt; &lt;option value = ""3""&gt; 3 &lt;/ option&gt; &lt;option value = ""4""&gt; 4 &lt;/ option &gt; &lt;option value = ""5""&gt; 5 &lt;/ option&gt; &lt;option value = ""6""&gt; 6 &lt;/ option&gt; &lt;option value = ""7""&gt; 7 &lt;/ option&gt; &lt;opti"&amp;"on value = ""8""&gt; 8 &lt; / option&gt; &lt;option value = ""9""&gt; 9 &lt;/ option&gt; &lt;option value = ""10""&gt; 10 &lt;/ option&gt; &lt;option value = ""11""&gt; 11 &lt;/ option&gt; &lt;option value = ""12""&gt; 12 &lt;/ option&gt; &lt;option value = ""13""&gt; 13 &lt;/ option&gt; &lt;option value = ""14""&gt; 14 &lt;/ optio"&amp;"n&gt; &lt;option value = ""15""&gt; 15 &lt;/ option&gt; &lt;option value = ""16 ""&gt; 16 &lt;/ option&gt; &lt;option value ="" 17 ""&gt; 17 &lt;/ option&gt; &lt;option value ="" 18 ""&gt; 18 &lt;/ option&gt; &lt;option value ="" 19 ""&gt; 19 &lt;/ option&gt; &lt;option value = ""20""&gt; 20 &lt;/ option&gt; &lt;option value = ""21"&amp;"""&gt; 21 &lt;/ option&gt; &lt;option value = ""22""&gt; 22 &lt;/ option&gt; &lt;option value = ""23""&gt; 23 &lt;/ option&gt; &lt;option value = ""24""&gt; 24 &lt;/ option&gt; &lt;option value = ""25""&gt; 25 &lt;/ option&gt; &lt;option value = ""26""&gt; 26 &lt;/ option&gt; &lt;option value = ""27""&gt; 27 &lt;/ option&gt; &lt;option v"&amp;"alue = ""28""&gt; 28 &lt;/ option&gt; &lt;option value = ""29""&gt; 29 &lt;/ option&gt; &lt;option value = ""30""&gt; 30 &lt;/ option&gt; &lt;option value = ""31""&gt; 31 &lt;/ option&gt; &lt;/ select&gt; &lt;select tabindex = ""- 1"" class = ""airy-age-gate-year""&gt; &lt;option value = ""2019""&gt; 2019 &lt;/ option&gt; "&amp;"&lt; option value = ""2018""&gt; 2018 &lt;/ option&gt; &lt;option value = ""2017""&gt; 2017 &lt;/ option&gt; &lt;option value = ""2016""&gt; ​​2016 &lt;/ option&gt; &lt;option value = ""2015""&gt; 2015 &lt;/ option &gt; &lt;option value = ""2014""&gt; 2014 &lt;/ option&gt; &lt;option value = ""2013""&gt; 2013 &lt;/ option&gt;"&amp;" &lt;option value = ""2012""&gt; 2012 &lt;/ option&gt; &lt;option value = ""2011""&gt; 2011 &lt; / option&gt; &lt;option value = ""2010""&gt; 2010 &lt;/ option&gt; &lt;option value = ""2009""&gt; 2009 &lt;/ option&gt; &lt;option value = ""2008""&gt; 2008 &lt;/ option&gt; &lt;option value = ""2007""&gt; 2007 &lt;/ option&gt; &lt;"&amp;"option value = ""2006""&gt; 2006 &lt;/ option&gt; &lt;option value = ""2005""&gt; 2005 &lt;/ option&gt; &lt;option value = ""2004""&gt; 2004 &lt;/ option&gt; &lt;option value = ""2003 ""&gt; 2003 &lt;/ option&gt; &lt;option value ="" 2002 ""&gt; 2002 &lt;/ option&gt; &lt;option value ="" 2001 ""&gt; 2001 &lt;/ option&gt; &lt;"&amp;"option value ="" 2000 ""&gt; 2000 &lt;/ option&gt; &lt;option value = ""1999""&gt; 1999 &lt;/ option&gt; &lt;option value = ""1998""&gt; 1998 &lt;/ option&gt; &lt;option value = ""1997""&gt; 1997 &lt;/ option&gt; &lt;option value = ""1996""&gt; 1996 &lt;/ option&gt; &lt;option value = ""1995""&gt; 1995 &lt;/ option&gt; &lt;op"&amp;"tion value = ""1994""&gt; 1994 &lt;/ option&gt; &lt;option value = ""1993""&gt; 1993 &lt;/ option&gt; &lt;option value = ""1992""&gt; 1992 &lt;/ option&gt; &lt;option value = ""1991""&gt; 1991 &lt;/ option&gt; &lt;option value = ""1990""&gt; 1990 &lt;/ option&gt; &lt;option value = "" 1989 ""&gt; 1989 &lt;/ option&gt; &lt;opt"&amp;"ion value ="" 1988 ""&gt; 1988 &lt;/ option&gt; &lt;option value ="" 1987 ""&gt; 1987 &lt;/ option&gt; &lt;option value ="" 1986 ""&gt; 1986 &lt;/ option&gt; &lt;value option = ""1985""&gt; 1985 &lt;/ option&gt; &lt;option value = ""1984""&gt; 1984 &lt;/ option&gt; &lt;option value = ""1983""&gt; 1983 &lt;/ option&gt; &lt;opt"&amp;"ion value = ""1982""&gt; 1982 &lt;/ option&gt; &lt; option value = ""1981""&gt; 1981 &lt;/ option&gt; &lt;option value = ""1980""&gt; 1980 &lt;/ option&gt; &lt;option value = ""1979""&gt; 1979 &lt;/ option&gt; &lt;option value = ""1978""&gt; 1978 &lt;/ option &gt; &lt;option value = ""1977""&gt; 1977 &lt;/ option&gt; &lt;opti"&amp;"on value = ""1976""&gt; 1976 &lt;/ option&gt; &lt;option value = ""1975""&gt; 1975 &lt;/ option&gt; &lt;option value = ""1974""&gt; 1974 &lt; / option&gt; &lt;option value = ""1973""&gt; 1973 &lt;/ option&gt; &lt;option value = ""1972""&gt; 1972 &lt;/ option&gt; &lt;option value = ""1971""&gt; 1971 &lt;/ option&gt; &lt;option"&amp;" value = ""1970""&gt; 1970 &lt;/ option&gt; &lt;option value = ""1969""&gt; 1969 &lt;/ option&gt; &lt;option value = ""1968""&gt; 1968 &lt;/ option&gt; &lt;option value = ""1967""&gt; 1967 &lt;/ option&gt; &lt;option value = ""1966 ""&gt; 1966 &lt;/ option&gt; &lt;option value ="" 1965 ""&gt; 1965 &lt;/ option&gt; &lt;option "&amp;"value ="" 1964 ""&gt; 1964 &lt;/ option&gt; &lt;option value ="" 1963 ""&gt; 1963 &lt;/ option&gt; &lt;option value = ""1962""&gt; 1962 &lt;/ option&gt; &lt;option value = ""1961""&gt; 1961 &lt;/ option&gt; &lt;option value = ""1960""&gt; 1960 &lt;/ op tion&gt; &lt;option value = ""1959""&gt; 1959 &lt;/ option&gt; &lt;option "&amp;"value = ""1958""&gt; 1958 &lt;/ option&gt; &lt;option value = ""1957""&gt; 1957 &lt;/ option&gt; &lt;option value = ""1956""&gt; 1956 &lt;/ option&gt; &lt;option value = ""1955""&gt; 1955 &lt;/ option&gt; &lt;option value = ""1954""&gt; 1954 &lt;/ option&gt; &lt;option value = ""1953""&gt; 1953 &lt;/ option&gt; &lt;option val"&amp;"ue = ""1952"" &gt; 1952 &lt;/ option&gt; &lt;option value = ""1951""&gt; 1951 &lt;/ option&gt; &lt;option value = ""1950""&gt; 1950 &lt;/ option&gt; &lt;option value = ""1949""&gt; 1949 &lt;/ option&gt; &lt;option value = "" 1948 ""&gt; 1948 &lt;/ option&gt; &lt;option value ="" 1947 ""&gt; 1947 &lt;/ option&gt; &lt;option va"&amp;"lue ="" 1946 ""&gt; 1946 &lt;/ option&gt; &lt;option value ="" 1945 ""&gt; 1945 &lt;/ option&gt; &lt;value option = ""1944""&gt; 1944 &lt;/ option&gt; &lt;option value = ""1943""&gt; 1943 &lt;/ option&gt; &lt;option value = ""1942""&gt; 1942 &lt;/ option&gt; &lt;option value = ""1941""&gt; 1941 &lt;/ option&gt; &lt; option va"&amp;"lue = ""1940""&gt; 1940 &lt;/ option&gt; &lt;option value = ""1939""&gt; 1939 &lt;/ option&gt; &lt;option value = ""1938""&gt; 1938 &lt;/ option&gt; &lt;option value = ""1937""&gt; 1937 &lt;/ option &gt; &lt;option value = ""1936""&gt; 1936 &lt;/ option&gt; &lt;option value = ""1935""&gt; 1935 &lt;/ option&gt; &lt;option valu"&amp;"e = ""1934""&gt; 1934 &lt;/ option&gt; &lt;option value = ""1933""&gt; 1933 &lt; / option&gt; &lt;option value = ""1932""&gt; 1932 &lt;/ option&gt; &lt;option value = ""1931""&gt; 1931 &lt;/ option&gt; &lt;option v alue = ""1930""&gt; 1930 &lt;/ option&gt; &lt;option value = ""1929""&gt; 1929 &lt;/ option&gt; &lt;option value"&amp;" = ""1928""&gt; 1928 &lt;/ option&gt; &lt;option value = ""1927""&gt; 1927 &lt;/ option&gt; &lt;option value = ""1926""&gt; 1926 &lt;/ option&gt; &lt;option value = ""1925""&gt; 1925 &lt;/ option&gt; &lt;option value = ""1924""&gt; 1924 &lt;/ option&gt; &lt;option value = ""1923""&gt; 1923 &lt;/ option&gt; &lt;option value = "&amp;"""1922""&gt; 1922 &lt;/ option&gt; &lt;option value = ""1921""&gt; 1921 &lt;/ option&gt; &lt;option value = ""1920""&gt; 1920 &lt;/ option&gt; &lt;option value = ""1919""&gt; 1919 &lt;/ option&gt; &lt;option value = ""1918""&gt; 1918 &lt;/ option&gt; &lt;option value = ""1917""&gt; 1917 &lt;/ option&gt; &lt;option value = ""1"&amp;"916""&gt; 1916 &lt;/ option&gt; &lt;option value = ""1915"" &gt; 1915 &lt;/ option&gt; &lt;option value = ""1914""&gt; 1914 &lt;/ option&gt; &lt;option value = ""1913""&gt; 1913 &lt;/ option&gt; &lt;option value = ""1912""&gt; 1912 &lt;/ option&gt; &lt;option value = "" 1911 ""&gt; 1911 &lt;/ option&gt; &lt;option value ="" 1"&amp;"910 ""&gt; 1910 &lt;/ option&gt; &lt;option value ="" 1909 ""&gt; 1909 &lt;/ option&gt; &lt;option value ="" 1908 ""&gt; 1908 &lt;/ option&gt; &lt;value option = ""1907""&gt; 1907 &lt;/ option&gt; &lt;option value = ""1906""&gt; 1906 &lt;/ option&gt; &lt;option value = ""1905""&gt; 1905 &lt;/ option&gt; &lt;option value = ""1"&amp;"904""&gt; 1904 &lt;/ option&gt; &lt; option value = ""1903""&gt; 1903 &lt;/ option&gt; &lt;option value = ""1902""&gt; 1902 &lt;/ option&gt; &lt;option value = ""1901""&gt; 19 01 &lt;/ option&gt; &lt;option value = ""1900""&gt; 1900 &lt;/ option&gt; &lt;/ select&gt; &lt;div tabindex = ""- 1"" class = ""airy-age-gate-sub"&amp;"mit airy-submit-button airy airy-submit- disabled ""&gt; Submit &lt;/ div&gt; &lt;/ div&gt; &lt;/ div&gt; &lt;/ div&gt; &lt;/ div&gt; &lt;/ div&gt; &lt;div tabindex ="" - 1 ""class ="" airy-install-flash-dialog airy-stage airy -vertical-centering-table-dialog airy airy-denied ""style ="" opacity:"&amp;" 0; visibility: hidden; ""&gt; &lt;div tabindex ="" - 1 ""class ="" airy-install-flash-Vertical-centering-table-cell airy-Vertical-centering-table-cell ""&gt; &lt;div tabindex ="" - 1 ""class = ""airy-Vertical-centering-wrapper airy-install-flash-elements-wrapper""&gt; "&amp;"&lt;div tabindex = ""- 1"" class = ""airy-install-flash-elements airy-dialog-elements""&gt; &lt;div tabindex = "" -1 ""class ="" airy-install-flash-prompt ""&gt; Adobe Flash Player is required to watch this video &lt;/ div&gt; &lt;div tabindex =."" - 1 ""class ="" airy-instal"&amp;"l-flash-button-wrapper airy -dialog-inner-elements ""&gt; &lt;div tabindex ="" - 1 ""class ="" airy-install-flash-button airy-button ""&gt; install Flash Player &lt;/ div&gt; &lt;/ div&gt; &lt;/ div&gt; &lt;/ div&gt; &lt;/ div&gt; &lt;/ div&gt; &lt;div tabindex = ""- 1"" class = ""airy-video-unsupporte"&amp;"d-dialog airy-stage airy-Vertical-centering-table airy-dialog airy-denied"" style = ""opacity: 0; visibility: hidden; ""&gt; &lt;div tabindex ="" - 1 ""class ="" airy-video-unsupported-Vertical-centering-table-cell airy-Vertical-centering-table-cell ""&gt; &lt;div ta"&amp;"bindex ="" - 1 ""class = ""airy-Vertical-centering-wrapper airy-video-unsupported-elements-wrapper""&gt; &lt;div tabindex = ""- 1"" class = ""airy-video-unsupported-elements airy-dialog-elements""&gt; &lt;div tabindex = "" -1 ""class ="" airy-video-unsupported-prompt"&amp;" ""&gt; &lt;/ div&gt; &lt;/ div&gt; &lt;/ div&gt; &lt;/ div&gt; &lt;/ div&gt; &lt;div tabindex ="" - 1 ""class ="" airy-loading- spinner-stage airy-stage ""&gt; &lt;div tabindex ="" - 1 ""class ="" airy-loading-spinner-Vertical-centering-table-cell airy-Vertical-centering-table-cell ""&gt; &lt;div tabi"&amp;"ndex ="" - 1 ""class ="" airy-loading-spinner-container airy-scalable-hint-container ""&gt; &lt;div tabindex ="" - 1 ""class ="" airy-loading-spinner-dummy airy-scalable-dummy ""&gt; &lt;/ div&gt; &lt; div tabindex = ""- 1"" class = ""airy-loading-spinner airy-hint"" style"&amp;" = ""visibility: hidden;""&gt; &lt;/ div&gt; &lt;/ div&gt; &lt;/ div&gt; &lt;/ div&gt; &lt;div tabindex = ""- 1 ""class ="" airy-ads-screen-size-toggle airy-screen-size-toggle-fullscreen airy ""style ="" visibility: hidden; ""&gt; &lt;/ div&gt; &lt;div tabindex = ""-1"" class = ""airy-ad-prompt-c"&amp;"ontainer"" style = ""visibility: hidden;""&gt; &lt;div tabindex = ""- 1"" class = ""airy-ad-prompt-Vertical-centering-table-vertically airy centering-table ""&gt; &lt;div tabindex ="" - 1 ""class ="" airy-ad-prompt-Vertical-centering-table-cell airy-Vertical-centerin"&amp;"g-table-cell ""&gt; &lt;div tabindex ="" - 1 ""class = ""airy-ad-prompt-label""&gt; &lt;/ div&gt; &lt;/ div&gt; &lt;/ div&gt; &lt;/ div&gt; &lt;div tabindex = ""- 1"" class = ""airy-ads-controls-container"" style = ""visibility: hidden; ""&gt; &lt;div tabindex ="" - 1 ""class ="" airy-ads-audio-t"&amp;"oggle airy-audio-toggle airy-on ""style ="" visibility: hidden; ""&gt; &lt;/ div&gt; &lt;div tabindex ="" - 1 ""class ="" airy-time-remaining-label-container ""&gt; &lt;div tabindex ="" - 1 ""class ="" airy-time-remaining-Vertical-centering-table airy-Vertical-centering-ta"&amp;"ble ""&gt; &lt;div tabindex = ""- 1"" class = ""airy-time-remaining-Vertical-centering-table-cell airy-Vertical-centering-table-cell""&gt; &lt;div tabindex = ""- 1"" class = ""airy-Vertical-centering-wrapper airy-time-remaining-label-wrapper ""&gt; &lt;div tabindex ="" - 1"&amp;" ""class ="" airy-time-remaining-label ""style ="" visibility: hidden; ""&gt; &lt;/ div&gt; &lt;div tabi ndex = ""- 1"" class = ""airy-ad-skip"" style = ""visibility: hidden;""&gt; &lt;/ div&gt; &lt;div tabindex = ""- 1"" class = ""airy-ad-end"" style = ""visibility: hidden ""&gt; "&amp;"&lt;/ div&gt; &lt;/ div&gt; &lt;/ div&gt; &lt;/ div&gt; &lt;/ div&gt; &lt;div tabindex ="" - 1 ""class ="" airy-learn-more ""style ="" visibility: hidden; ""&gt; &lt;/ div&gt; &lt;/ div&gt; &lt;div tabindex = ""- 1"" class = ""airy-play-toggle-hint-stage airy-stage airy-cursor""&gt; &lt;div tabindex = ""- 1"" c"&amp;"lass = ""airy-play -toggle-hint-Vertical-centering-table-cell airy-Vertical-centering-table-cell airy-cursor ""&gt; &lt;div tabindex ="" - 1 ""class ="" airy-play-toggle-hint-container airy-scalable- Hint-container ""&gt; &lt;div tabindex ="" - 1 ""class ="" airy-pla"&amp;"y-toggle-hint-dummy airy-scalable-dummy ""&gt; &lt;/ div&gt; &lt;div tabindex ="" - 1 ""class ="" airy-play -toggle-hint hint airy-airy-play-hint ""style ="" opacity: 1; visibility: visible; ""&gt; &lt;/ div&gt; &lt;/ div&gt; &lt;/ div&gt; &lt;/ div&gt; &lt;div tabindex ="" - 1 ""class ="" airy-r"&amp;"eplay-hint-stage airy-stage ""style ="" visibility: hidden ; ""&gt; &lt;div tabindex ="" - 1 ""class ="" airy-replay-hint-Vertical-centering-table-cell airy-Vertical-centering-table-cell airy-cursor ""&gt; &lt;div tabindex ="" - 1 ""class = ""airy-replay-hint-contain"&amp;"er airy-scalable-hint-container""&gt; &lt;div tabindex = ""- 1"" class = ""airy-replay-hint-dummy airy-scalable-dummy""&gt; &lt;/ div&gt; &lt;div tabindex = ""- 1"" class = ""airy-replay-hint airy-hint""&gt; &lt;/ div&gt; &lt;/ div&gt; &lt;/ div&gt; &lt;/ div&gt; &lt;div tabindex = ""- 1"" class = ""ai"&amp;"ry-autoplay-hint -stage airy-stage ""style ="" visibility: hidden; ""&gt; &lt;div tabindex ="" - 1 ""class ="" airy-autoplay-hint-Vertical-centering-table-cell airy-Vertical-centering-table-cell airy- cursor ""&gt; &lt;div tabindex ="" - 1 ""class ="" autoplay airy-a"&amp;"iry-hint-container-scalable-hint-container ""&gt; &lt;div tabindex ="" - 1 ""class ="" airy-autoplay-hint-dummy airy- scalable-dummy ""&gt; &lt;/ div&gt; &lt;/ div&gt; &lt;/ div&gt; &lt;/ div&gt; &lt;/ div&gt; &lt;/ div&gt; &lt;input type ="" hidden ""name ="" ""value ="" https: // images-eu .ssl-image"&amp;"s-amazon.com / images / I / A1tllYnR39S.mp4 ""Class ="" video-url ""&gt; &lt;input type ="" hidden ""name ="" ""value ="" https://images-eu.ssl-images-amazon.com/images/I/91yqCwkznQS.png ""class ="" video-slate-img-url ""&gt; &amp; nbsp; After testing several models a"&amp;"cquired here and there (Natura, Carrefour, Tienduchas, etc ...) I decided on fanciest a few euros more and try this model that was very good paints and I could not have a better success. At first glance, it seems a small thing in the box because all you s"&amp;"ee is the outside of the device, but once you open it, you find inside both the power cable and a remote control that works like a charm. The humidifier is completely configurable, lets you choose from illumine (in different colors) or not illuminate, you"&amp;" can adjust the flow humidification (low / high), turn on the humidifier continuously or intermittently, etc ... I use it on a quite large and just turn a couple of minutes and can smell all the corridors of the block of flat in which I live lounge !! =)")</f>
        <v>Steam instant !! &lt;Div id = "video-block-R37RDBUU9BMT7J" class = "section a-a-a-spacing-small spacing-top-video mini-block"&gt; &lt;div tabindex = "0" class = "airy airy-svg vmin- unsupported airy-skin-beacon "style =" background-color: rgb (0, 0, 0) position: relative; width: 100%; height: 100%; font-size: 0px; overflow: hidden; outline: none ; "&gt; &lt;div class =" airy-renderer-container "style =" position: relative; height: 100%; width: 100%; "&gt; &lt;video id =" 61 "preload =" auto "src =" https: //images-eu.ssl-images-amazon.com/images/I/A1tllYnR39S.mp4 "style =" position: absolute; left: 0px; top: 0px; overflow: hidden; height: 1px; width: 1px; " &gt; &lt;/ video&gt; &lt;/ div&gt; &lt;div id = "airy-slate-preload" style = "background-color: rgb (0, 0, 0); background-image: url (&amp; quot; https: // images- eu.ssl-images-amazon.com/images/I/91yqCwkznQS.png&amp;quot;); background-size: Contain; background-position: center center; background-repeat: no-repeat; position: absolute; top: 0px; left : 0px; visibility: visible; width: 100%; height: 100%; "&gt; &lt;/ div&gt; &lt;iframe scrolling =" no "framebord 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A1tllYnR39S.mp4 "Class =" video-url "&gt; &lt;input type =" hidden "name =" "value =" https://images-eu.ssl-images-amazon.com/images/I/91yqCwkznQS.png "class =" video-slate-img-url "&gt; &amp; nbsp; After testing several models acquired here and there (Natura, Carrefour, Tienduchas, etc ...) I decided on fanciest a few euros more and try this model that was very good paints and I could not have a better success. At first glance, it seems a small thing in the box because all you see is the outside of the device, but once you open it, you find inside both the power cable and a remote control that works like a charm. The humidifier is completely configurable, lets you choose from illumine (in different colors) or not illuminate, you can adjust the flow humidification (low / high), turn on the humidifier continuously or intermittently, etc ... I use it on a quite large and just turn a couple of minutes and can smell all the corridors of the block of flat in which I live lounge !! =)</v>
      </c>
    </row>
    <row r="11375">
      <c r="A11375" s="1">
        <v>5.0</v>
      </c>
      <c r="B11375" s="1" t="s">
        <v>11278</v>
      </c>
      <c r="C11375" t="str">
        <f>IFERROR(__xludf.DUMMYFUNCTION("GOOGLETRANSLATE(B11375, ""es"", ""en"")"),"Very cool !! Very comfortable. As seen in the photo. Carve according to the number you order. They were for a gift and guessed right completely.")</f>
        <v>Very cool !! Very comfortable. As seen in the photo. Carve according to the number you order. They were for a gift and guessed right completely.</v>
      </c>
    </row>
    <row r="11376">
      <c r="A11376" s="1">
        <v>5.0</v>
      </c>
      <c r="B11376" s="1" t="s">
        <v>11279</v>
      </c>
      <c r="C11376" t="str">
        <f>IFERROR(__xludf.DUMMYFUNCTION("GOOGLETRANSLATE(B11376, ""es"", ""en"")"),"The great truth is that only happens purees I used it once to try it, I like purees more ""thick"" and I'd rather pass them by hand. The rods are great! Amount cream often and are still perfect as the first day.")</f>
        <v>The great truth is that only happens purees I used it once to try it, I like purees more "thick" and I'd rather pass them by hand. The rods are great! Amount cream often and are still perfect as the first day.</v>
      </c>
    </row>
    <row r="11377">
      <c r="A11377" s="1">
        <v>5.0</v>
      </c>
      <c r="B11377" s="1" t="s">
        <v>11280</v>
      </c>
      <c r="C11377" t="str">
        <f>IFERROR(__xludf.DUMMYFUNCTION("GOOGLETRANSLATE(B11377, ""es"", ""en"")"),"perfect Comfortable")</f>
        <v>perfect Comfortable</v>
      </c>
    </row>
    <row r="11378">
      <c r="A11378" s="1">
        <v>5.0</v>
      </c>
      <c r="B11378" s="1" t="s">
        <v>11281</v>
      </c>
      <c r="C11378" t="str">
        <f>IFERROR(__xludf.DUMMYFUNCTION("GOOGLETRANSLATE(B11378, ""es"", ""en"")"),"Good Good power, easy to use, bring two glasses each with its cover, easier to prepare all kinds of drinks and smoothies")</f>
        <v>Good Good power, easy to use, bring two glasses each with its cover, easier to prepare all kinds of drinks and smoothies</v>
      </c>
    </row>
    <row r="11379">
      <c r="A11379" s="1">
        <v>5.0</v>
      </c>
      <c r="B11379" s="1" t="s">
        <v>11282</v>
      </c>
      <c r="C11379" t="str">
        <f>IFERROR(__xludf.DUMMYFUNCTION("GOOGLETRANSLATE(B11379, ""es"", ""en"")"),"Recommended 100% &lt;div id = ""video-block-RLTFZK1G0AODD"" class = ""a-section to small-spacing-to-spacing-top mini-video-block""&gt; &lt;div tabindex = ""0"" class = ""airy airy- svg vmin-supported airy-skin-beacon ""style ="" background-color: rgb (0, 0, 0) pos"&amp;"ition: relative; width: 100%; height: 100%; font-size: 0px; overflow: hidden; outline: none; ""&gt; &lt;div class ="" airy-renderer-container ""style ="" position: relative; height: 100%; width: 100%; ""&gt; &lt;video id ="" 15 ""preload ="" auto ""src = ""https://im"&amp;"ages-eu.ssl-images-amazon.com/images/I/B1eGEtsxX3S.mp4"" style = ""position: absolute; left: 0px; top: 0px; overflow: hidden; height: 1px; width: 1px; ""&gt; &lt;/ video&gt; &lt;/ div&gt; &lt;div id ="" airy-slate-preload ""style ="" background-color: rgb (0, 0, 0); backgr"&amp;"ound-image: url (&amp; quot; https: / /images-eu.ssl-images-amazon.com/images/I/91z7MqYS5GS.png&amp;quot;); background-size: Contain; background-position: center center; background-repeat: no-repeat; position: absolute; top: 0px; left: 0px; visibility: visible; w"&amp;"idth: 100%; height: 100%; ""&gt; &lt;/ div&gt; &lt;iframe scrolling = ""No"" frameborder = ""0"" src = ""about: blank"" style = ""display: none;""&gt; &lt;/ iframe&gt; &lt;div tabindex = ""- 1"" class = ""airy-controls-container"" style = ""opacity : 0; visibility: hidden; ""&gt; &lt;"&amp;"div tabindex ="" - 1 ""class ="" airy-screen-size-toggle airy-fullscreen ""&gt; &lt;/ div&gt; &lt;div tabindex ="" - 1 ""class ="" airy-container-bottom "" &gt; &lt;div tabindex = ""- 1"" class = ""airy-track-bar-spacer-left"" style = ""width: 11px;""&gt; &lt;/ div&gt; &lt;div tabinde"&amp;"x = ""- 1"" class = ""airy-play- airy toggle-play ""style ="" width: 12px; margin-right: 12px; ""&gt; &lt;/ div&gt; &lt;div tabindex ="" - 1 ""class ="" airy-audio-elements ""style ="" float: right; width: 34px; ""&gt; &lt;div tabindex ="" - 1 ""class ="" airy-audio-toggle"&amp;" airy-on ""&gt; &lt;/ div&gt; &lt;div tabindex ="" - 1 ""class ="" airy-audio-container ""style = ""opacity: 0; visibility: hidden; ""&gt; &lt;div tabindex ="" - 1 ""class ="" airy-audio-track-bar ""style ="" height: 80%; ""&gt; &lt;div tabindex ="" - 1 ""class ="" airy-audio- S"&amp;"crubber-bar ""style ="" height: 85%; ""&gt; &lt;/ div&gt; &lt;div tabindex ="" - 1 ""class ="" airy-audio-scrubber ""style ="" height: 12px; bottom: 85% ""&gt; &lt;/ div&gt; &lt;/ div&gt; &lt;/ div&gt; &lt;/ div&gt; &lt;div tabindex ="" - 1 ""class ="" airy-duration-label ""style ="" float: right"&amp;"; width: 26px; margin-right: 4px; text-align: center; ""&gt; 0:00 &lt;/ div&gt; &lt;div tabindex ="" - 1 ""class ="" airy-track-bar-spacer-right ""style ="" float: right; width: 11px; ""&gt; &lt;/ div&gt; &lt;div tabindex ="" - 1 ""class ="" airy-track-bar-container ""style ="" "&amp;"margin-left: 35px; margin-right: 75px; ""&gt; &lt;div tabindex ="" - 1 ""class ="" airy-airy-track-bar vertically-centering-table ""&gt; &lt;div tabindex ="" - 1 ""class ="" airy-Vertical-centering- table-cell ""&gt; &lt;div tabindex ="" - 1 ""class ="" airy-track-bar-elem"&amp;"ents ""&gt; &lt;div tabindex ="" - 1 ""class ="" airy-progress-bar ""&gt; &lt;/ div&gt; &lt;div tabindex = ""- 1"" class = ""airy-scrubber-bar""&gt; &lt;/ div&gt; &lt;div tabindex = ""- 1"" class = ""airy-scrubber""&gt; &lt;div tabindex = ""- 1"" class = ""airy-scrubber- icon ""&gt; &lt;/ div&gt; &lt;d"&amp;"iv tabindex ="" - 1 ""class ="" airy-adjusted-AUI-tooltip ""style ="" opacity: 0; visibility: hidden; ""&gt; &lt;div tabindex ="" - 1 ""class ="" airy-adjusted-aui-tooltip-inner ""&gt; &lt;div tabindex ="" - 1 ""class ="" airy-current-time-label ""&gt; 0: 00 &lt;/ div&gt; &lt;/ "&amp;"div&gt; &lt;div tabindex = ""- 1"" class = ""airy-adjusted-AUI-arrow-border""&gt; &lt;div tabindex = ""- 1"" class = ""airy-adjusted-AUI-arrow"" &gt; &lt;/ div&gt; &lt;/ div&gt; &lt;/ div&gt; &lt;/ div&gt; &lt;/ div&gt; &lt;/ div&gt; &lt;/ div&gt; &lt;/ div&gt; &lt;/ div&gt; &lt;/ div&gt; &lt;div tabindex = ""- 1"" class = ""airy-a"&amp;"ge-gate airy-stage airy-Vertical-centering-table airy-dialog"" style = ""opacity: 0; visibility: hidden; ""&gt; &lt;div tabindex ="" - 1 ""class ="" airy-age-gate-Vertical-centering-table-cell airy-Vertical-centering-table-cell ""&gt; &lt;div tabindex ="" - 1 ""class"&amp;" = ""airy-Vertical-centering-wrapper airy-age-gate-elements-wrapper""&gt; &lt;div tabindex = ""- 1"" class = ""airy-age-gate-elements airy-dialog-elements""&gt; &lt;div tabindex = "" -1 ""class ="" airy-age-gate-prompt ""&gt; This video is not Intended for all audiences"&amp;" What date were you born &lt;/ div&gt; &lt;div tabindex =.?"" - 1 ""class ="" airy-age-gate -inputs airy-dialog-inner-elements ""&gt; &lt;select tabindex ="" - 1 ""class ="" airy-age-gate-month ""&gt; &lt;option value ="" 1 ""&gt; January &lt;/ option&gt; &lt;option value ="" 2 ""&gt; Febru"&amp;"ary &lt;/ option&gt; &lt;option value ="" 3 ""&gt; March &lt;/ option&gt; &lt;option value ="" 4 ""&gt; April &lt;/ option&gt; &lt;option value ="" 5 ""&gt; May &lt;/ option&gt; &lt;option value = ""6""&gt; June &lt;/ option&gt; &lt;option value = ""7""&gt; July &lt;/ option&gt; &lt;option value = ""8""&gt; August &lt;/ option&gt; "&amp;"&lt;option value = ""9""&gt; September &lt;/ option&gt; &lt;option value = ""10""&gt; October &lt;/ option&gt; &lt;option value = ""11""&gt; November &lt;/ option&gt; &lt;option value = ""12""&gt; December &lt;/ option&gt; &lt;/ select&gt; &lt;select tabindex = ""- 1"" class = ""airy-age-gate-day""&gt; &lt;opti on va"&amp;"lue = ""1""&gt; 1 &lt;/ option&gt; &lt;option value = ""2""&gt; 2 &lt;/ option&gt; &lt;option value = ""3""&gt; 3 &lt;/ option&gt; &lt;option value = ""4""&gt; 4 &lt;/ option &gt; &lt;option value = ""5""&gt; 5 &lt;/ option&gt; &lt;option value = ""6""&gt; 6 &lt;/ option&gt; &lt;option value = ""7""&gt; 7 &lt;/ option&gt; &lt;option valu"&amp;"e = ""8""&gt; 8 &lt; / option&gt; &lt;option value = ""9""&gt; 9 &lt;/ option&gt; &lt;option value = ""10""&gt; 10 &lt;/ option&gt; &lt;option value = ""11""&gt; 11 &lt;/ option&gt; &lt;option value = ""12""&gt; 12 &lt;/ option&gt; &lt;option value = ""13""&gt; 13 &lt;/ option&gt; &lt;option value = ""14""&gt; 14 &lt;/ option&gt; &lt;opt"&amp;"ion value = ""15""&gt; 15 &lt;/ option&gt; &lt;option value = ""16 ""&gt; 16 &lt;/ option&gt; &lt;option value ="" 17 ""&gt; 17 &lt;/ option&gt; &lt;option value ="" 18 ""&gt; 18 &lt;/ option&gt; &lt;option value ="" 19 ""&gt; 19 &lt;/ option&gt; &lt;option value = ""20""&gt; 20 &lt;/ option&gt; &lt;option value = ""21""&gt; 21 "&amp;"&lt;/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optio"&amp;"n value = ""2018""&gt; 2018 &lt;/ option&gt; &lt;option value = ""2017""&gt; 2017 &lt;/ option&gt; &lt;option value = ""2016""&gt; ​​2016 &lt;/ option&gt; &lt;option value = ""2015""&gt; 2015 &lt;/ option &gt; &lt;option value = ""2014""&gt; 2014 &lt;/ option&gt; &lt;option value = ""2013""&gt; 2013 &lt;/ option&gt; &lt;optio"&amp;"n value = ""2012""&gt; 2012 &lt;/ option&gt; &lt;option value = ""2011""&gt; 2011 &lt; / option&gt; &lt;option value = ""2010""&gt; 2010 &lt;/ option&gt; &lt;option value = ""2009""&gt; 2009 &lt;/ option&gt; &lt;option value = ""2008""&gt; 2008 &lt;/ option&gt; &lt;option value = ""2007""&gt; 2007 &lt;/ option&gt; &lt;option "&amp;"value = ""2006""&gt; 2006 &lt;/ option&gt; &lt;option value = ""2005""&gt; 2005 &lt;/ option&gt; &lt;option value = ""2004""&gt; 2004 &lt;/ option&gt; &lt;option value = ""2003 ""&gt; 2003 &lt;/ option&gt; &lt;option value ="" 2002 ""&gt; 2002 &lt;/ option&gt; &lt;option value ="" 2001 ""&gt; 2001 &lt;/ option&gt; &lt;option "&amp;"value ="" 2000 ""&gt; 2000 &lt;/ option&gt; &lt;option value = ""1999""&gt; 1999 &lt;/ option&gt; &lt;option value = ""1998""&gt; 1998 &lt;/ option&gt; &lt;option value = ""1997""&gt; 1997 &lt;/ option&gt; &lt;option value = ""1996""&gt; 1996 &lt;/ option&gt; &lt;option value = ""1995""&gt; 1995 &lt;/ option&gt; &lt;option va"&amp;"lue = ""1994""&gt; 1994 &lt;/ option&gt; &lt;option value = ""1993""&gt; 1993 &lt;/ option&gt; &lt;option value = ""1992""&gt; 1992 &lt;/ option&gt; &lt;option value = ""1991""&gt; 1991 &lt;/ option&gt; &lt;option value = ""1990""&gt; 1990 &lt;/ option&gt; &lt;option value = "" 1989 ""&gt; 1989 &lt;/ option&gt; &lt;option val"&amp;"ue ="" 1988 ""&gt; 1988 &lt;/ option&gt; &lt;option value ="" 1987 ""&gt; 1987 &lt;/ option&gt; &lt;option value ="" 1986 ""&gt; 1986 &lt;/ option&gt; &lt;value option = ""1985""&gt; 1985 &lt;/ option&gt; &lt;option value = ""1984""&gt; 1984 &lt;/ option&gt; &lt;option value = ""1983""&gt; 1983 &lt;/ option&gt; &lt;option val"&amp;"ue = ""1982""&gt; 1982 &lt;/ option&gt; &lt; option value = ""1981""&gt; 1981 &lt;/ option&gt; &lt;option value = ""1980""&gt; 1980 &lt;/ option&gt; &lt;option value = ""1979""&gt; 1979 &lt;/ option&gt; &lt;option value = ""1978""&gt; 1978 &lt;/ option &gt; &lt;option value = ""1977""&gt; 1977 &lt;/ option&gt; &lt;option valu"&amp;"e = ""1976""&gt; 1976 &lt;/ option&gt; &lt;option value = ""1975""&gt; 1975 &lt;/ option&gt; &lt;option value = ""1974""&gt; 1974 &lt; / option&gt; &lt;option value = ""1973""&gt; 1973 &lt;/ option&gt; &lt;option value = ""1972""&gt; 1972 &lt;/ option&gt; &lt;option value = ""1971""&gt; 1971 &lt;/ option&gt; &lt;option value "&amp;"= ""1970""&gt;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="&amp;" ""1958""&gt; 1958 &lt;/ option&gt; &lt;option value = ""1957""&gt; 1957 &lt;/ option&gt; &lt;option value = ""1956""&gt; 1956 &lt;/ option&gt; &lt;option value = ""1955""&gt; 1955 &lt;/ option&gt; &lt;option value = ""1954""&gt; 1954 &lt;/ option&gt; &lt;option value = ""1953""&gt; 1953 &lt;/ option&gt; &lt;option value = """&amp;"1952""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""1"&amp;"928""&gt;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""1916""&gt;"&amp;" 1916 &lt;/ option&gt; &lt;option value = ""1915"" &gt; 1915 &lt;/ option&gt; &lt;option value = ""1914""&gt; 1914 &lt;/ option&gt; &lt;option value = ""1913""&gt; 1913 &lt;/ option&gt; &lt;option value = ""1912""&gt; 1912 &lt;/ option&gt; &lt;option value = "" 1911 ""&gt; 1911 &lt;/ option&gt; &lt;option value ="" 1910 """&amp;"&gt; 1910 &lt;/ option&gt; &lt;option value ="" 1909 ""&gt; 1909 &lt;/ option&gt; &lt;option value ="" 1908 ""&gt; 1908 &lt;/ option&gt; &lt;value option = ""1907""&gt; 1907 &lt;/ option&gt; &lt;option value = ""1906""&gt; 1906 &lt;/ option&gt; &lt;option value = ""1905""&gt; 1905 &lt;/ option&gt; &lt;option value = ""1904""&gt;"&amp;" 1904 &lt;/ option&gt; &lt; option value = ""1903""&gt; 1903 &lt;/ option&gt; &lt;option value = ""1902""&gt; 1902 &lt;/ option&gt; &lt;option value = ""1901""&gt; 19 01 &lt;/ option&gt; &lt;option value = ""1900""&gt; 1900 &lt;/ option&gt; &lt;/ select&gt; &lt;div tabindex = ""- 1"" class = ""airy-age-gate-submit ai"&amp;"ry-submit-button airy airy-submit- disabled ""&gt; Submit &lt;/ div&gt; &lt;/ div&gt; &lt;/ div&gt; &lt;/ div&gt; &lt;/ div&gt; &lt;/ div&gt; &lt;div tabindex ="" - 1 ""class ="" airy-install-flash-dialog airy-stage airy -vertical-centering-table-dialog airy airy-denied ""style ="" opacity: 0; vi"&amp;"sibility: hidden; ""&gt; &lt;div tabindex ="" - 1 ""class ="" airy-install-flash-Vertical-centering-table-cell airy-Vertical-centering-table-cell ""&gt; &lt;div tabindex ="" - 1 ""class = ""airy-Vertical-centering-wrapper airy-install-flash-elements-wrapper""&gt; &lt;div t"&amp;"abindex = ""- 1"" class = ""airy-install-flash-elements airy-dialog-elements""&gt; &lt;div tabindex = "" -1 ""class ="" airy-install-flash-prompt ""&gt; Adobe Flash Player is required to watch this video &lt;/ div&gt; &lt;div tabindex =."" - 1 ""class ="" airy-install-flas"&amp;"h-button-wrapper airy -dialog-inner-elements ""&gt; &lt;div tabindex ="" - 1 ""class ="" airy-install-flash-button airy-button ""&gt; install Flash Player &lt;/ div&gt; &lt;/ div&gt; &lt;/ div&gt; &lt;/ div&gt; &lt;/ div&gt; &lt;/ div&gt; &lt;div tabindex = ""- 1"" class = ""airy-video-unsupported-dial"&amp;"og airy-stage airy-Vertical-centering-table airy-dialog airy-denied"" style = ""opacity: 0; visibility: hidden; ""&gt; &lt;div tabindex ="" - 1 ""class ="" airy-video-unsupported-Vertical-centering-table-cell airy-Vertical-centering-table-cell ""&gt; &lt;div tabindex"&amp;" ="" - 1 ""class = ""airy-Vertical-centering-wrapper airy-video-unsupported-elements-wrapper""&gt; &lt;div tabindex = ""- 1"" class = ""airy-video-unsupported-elements airy-dialog-elements""&gt; &lt;div tabindex = "" -1 ""class ="" airy-video-unsupported-prompt ""&gt; &lt;"&amp;"/ 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""v"&amp;"isibility: hidden;""&gt; &lt;/ div&gt; &lt;/ div&gt; &lt;/ div&gt; &lt;/ div&gt; &lt;div tabindex = ""- 1 ""class ="" airy-ads-screen-size-toggle airy-screen-size-toggle-fullscreen airy ""style ="" visibility: hidden; ""&gt; &lt;/ div&gt; &lt;div tabindex = ""-1"" class = ""airy-ad-prompt-contain"&amp;"er"" style = ""visibility: hidden;""&gt; &lt;div tabindex = ""- 1"" class = ""airy-ad-prompt-Vertical-centering-table-vertically airy centering-table ""&gt; &lt;div tabindex ="" - 1 ""class ="" airy-ad-prompt-Vertical-centering-table-cell airy-Vertical-centering-tabl"&amp;"e-cell ""&gt; &lt;div tabindex ="" - 1 ""class = ""airy-ad-prompt-label""&gt; &lt;/ div&gt; &lt;/ div&gt; &lt;/ div&gt; &lt;/ div&gt; &lt;div tabindex = ""- 1"" class = ""airy-ads-controls-container"" style = ""visibility: hidden; ""&gt; &lt;div tabindex ="" - 1 ""class ="" airy-ads-audio-toggle "&amp;"airy-audio-toggle airy-on ""style ="" visibility: hidden; ""&gt; &lt;/ div&gt; &lt;div tabindex ="" - 1 ""class ="" airy-time-remaining-label-container ""&gt; &lt;div tabindex ="" - 1 ""class ="" airy-time-remaining-Vertical-centering-table airy-Vertical-centering-table """&amp;"&gt; &lt;div tabindex = ""- 1"" class = ""airy-time-remaining-Vertical-centering-table-cell airy-Vertical-centering-table-cell""&gt; &lt;div tabindex = ""- 1"" class = ""airy-Vertical-centering-wrapper airy-time-remaining-label-wrapper ""&gt; &lt;div tabindex ="" - 1 ""cla"&amp;"ss ="" airy-time-remaining-label ""style ="" visibility: hidden; ""&gt; &lt;/ div&gt; &lt;div tabi ndex = ""- 1"" class = ""airy-ad-skip"" style = ""visibility: hidden;""&gt; &lt;/ div&gt; &lt;div tabindex = ""- 1"" class = ""airy-ad-end"" style = ""visibility: hidden ""&gt; &lt;/ div"&amp;"&gt; &lt;/ div&gt; &lt;/ div&gt; &lt;/ div&gt; &lt;/ div&gt; &lt;div tabindex ="" - 1 ""class ="" airy-learn-more ""style ="" visibility: hidden; ""&gt; &lt;/ div&gt; &lt;/ div&gt; &lt;div tabindex = ""- 1"" class = ""airy-play-toggle-hint-stage airy-stage airy-cursor""&gt; &lt;div tabindex = ""- 1"" class ="&amp;" ""airy-play -toggle-hint-Vertical-centering-table-cell airy-Vertical-centering-table-cell airy-cursor ""&gt; &lt;div tabindex ="" - 1 ""class ="" airy-play-toggle-hint-container airy-scalable- Hint-container ""&gt; &lt;div tabindex ="" - 1 ""class ="" airy-play-togg"&amp;"le-hint-dummy airy-scalable-dummy ""&gt; &lt;/ div&gt; &lt;div tabindex ="" - 1 ""class ="" airy-play -toggle-hint hint airy-airy-play-hint ""style ="" opacity: 1; visibility: visible; ""&gt; &lt;/ div&gt; &lt;/ div&gt; &lt;/ div&gt; &lt;/ div&gt; &lt;div tabindex ="" - 1 ""class ="" airy-replay-"&amp;"hint-stage airy-stage ""style ="" visibility: hidden ; ""&gt; &lt;div tabindex ="" - 1 ""class ="" airy-replay-hint-Vertical-centering-table-cell airy-Vertical-centering-table-cell airy-cursor ""&gt; &lt;div tabindex ="" - 1 ""class = ""airy-replay-hint-container air"&amp;"y-scalable-hint-container""&gt; &lt;div tabindex = ""- 1"" class = ""airy-replay-hint-dummy airy-scalable-dummy""&gt; &lt;/ div&gt; &lt;div tabindex = ""- 1"" class = ""airy-replay-hint airy-hint""&gt; &lt;/ div&gt; &lt;/ div&gt; &lt;/ div&gt; &lt;/ div&gt; &lt;div tabindex = ""- 1"" class = ""airy-aut"&amp;"oplay-hint -stage airy-stage ""style ="" visibility: hidden; ""&gt; &lt;div tabindex ="" - 1 ""class ="" airy-autoplay-hint-Vertical-centering-table-cell airy-Vertical-centering-table-cell airy- cursor ""&gt; &lt;div tabindex ="" - 1 ""class ="" autoplay airy-airy-hi"&amp;"nt-container-scalable-hint-container ""&gt; &lt;div tabindex ="" - 1 ""class ="" airy-autoplay-hint-dummy airy- scalable-dummy ""&gt; &lt;/ div&gt; &lt;/ div&gt; &lt;/ div&gt; &lt;/ div&gt; &lt;/ div&gt; &lt;/ div&gt; &lt;input type ="" hidden ""name ="" ""value ="" https: // images-eu .ssl-images-amaz"&amp;"on.com / images / I / B1eGEtsxX3S.mp4 ""Class ="" video-url ""&gt; &lt;input type ="" hidden ""name ="" ""value ="" https://images-eu.ssl-images-amazon.com/images/I/91z7MqYS5GS.png ""class ="" video-slate-img-url ""&gt; &amp; nbsp; the tree of life symbolizes energy a"&amp;"nd health has a very nice, also the colors of the most beautiful is stone design, than the photos, it fits all sizes is I have given my mother and I really liked it")</f>
        <v>Recommended 100% &lt;div id = "video-block-RLTFZK1G0AODD" class = "a-section to small-spacing-to-spacing-top mini-video-block"&gt; &lt;div tabindex = "0" class = "airy airy- svg vmin-supported airy-skin-beacon "style =" background-color: rgb (0, 0, 0) position: relative; width: 100%; height: 100%; font-size: 0px; overflow: hidden; outline: none; "&gt; &lt;div class =" airy-renderer-container "style =" position: relative; height: 100%; width: 100%; "&gt; &lt;video id =" 15 "preload =" auto "src = "https://images-eu.ssl-images-amazon.com/images/I/B1eGEtsxX3S.mp4" style = "position: absolute; left: 0px; top: 0px; overflow: hidden; height: 1px; width: 1px; "&gt; &lt;/ video&gt; &lt;/ div&gt; &lt;div id =" airy-slate-preload "style =" background-color: rgb (0, 0, 0); background-image: url (&amp; quot; https: / /images-eu.ssl-images-amazon.com/images/I/91z7MqYS5GS.png&amp;quot;); background-size: Contain; background-position: center center; background-repeat: no-repeat; position: absolute; top: 0px; left: 0px; visibility: visible; width: 100%; height: 100%; "&gt; &lt;/ div&gt; &lt;iframe scrolling = "No" frameborder = "0" src = "about: blank" style = "display: none;"&gt; &lt;/ iframe&gt; &lt;div tabindex = "- 1" class = "airy-controls-container" style = "opacity :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B1eGEtsxX3S.mp4 "Class =" video-url "&gt; &lt;input type =" hidden "name =" "value =" https://images-eu.ssl-images-amazon.com/images/I/91z7MqYS5GS.png "class =" video-slate-img-url "&gt; &amp; nbsp; the tree of life symbolizes energy and health has a very nice, also the colors of the most beautiful is stone design, than the photos, it fits all sizes is I have given my mother and I really liked it</v>
      </c>
    </row>
    <row r="11380">
      <c r="A11380" s="1">
        <v>5.0</v>
      </c>
      <c r="B11380" s="1" t="s">
        <v>11283</v>
      </c>
      <c r="C11380" t="str">
        <f>IFERROR(__xludf.DUMMYFUNCTION("GOOGLETRANSLATE(B11380, ""es"", ""en"")"),"More than a bracelet. Beautiful, elegant, very safe the enganches.sin definitely a good buy.")</f>
        <v>More than a bracelet. Beautiful, elegant, very safe the enganches.sin definitely a good buy.</v>
      </c>
    </row>
    <row r="11381">
      <c r="A11381" s="1">
        <v>2.0</v>
      </c>
      <c r="B11381" s="1" t="s">
        <v>11284</v>
      </c>
      <c r="C11381" t="str">
        <f>IFERROR(__xludf.DUMMYFUNCTION("GOOGLETRANSLATE(B11381, ""es"", ""en"")"),"NO FL STUDIO comes configured with Pense that came pre-configured also for fl studio but it turned out not")</f>
        <v>NO FL STUDIO comes configured with Pense that came pre-configured also for fl studio but it turned out not</v>
      </c>
    </row>
    <row r="11382">
      <c r="A11382" s="1">
        <v>3.0</v>
      </c>
      <c r="B11382" s="1" t="s">
        <v>11285</v>
      </c>
      <c r="C11382" t="str">
        <f>IFERROR(__xludf.DUMMYFUNCTION("GOOGLETRANSLATE(B11382, ""es"", ""en"")"),"Comfort and relaxation with faint heat. This calientapiés is a good choice to relax your feet with comfort and warmth of low intensity. I do not think it's a good choice for those who expect a great radiation (not a brazier), or are very sensitive to cold"&amp;", since this apparatus operates at 100 W, and small air heaters usually around 2000-3000W. Rather than heat, remove the cold feet, and relax, but not immediately. I recommend to use the 90 least 45 minutes maximum. It is a good product, but not miraculous"&amp;". Think that an electric fabric product should not achieve much temperature, logic and security. The best is the relaxation that occurs, the worst thing is the minimum time to reach the ideal state.")</f>
        <v>Comfort and relaxation with faint heat. This calientapiés is a good choice to relax your feet with comfort and warmth of low intensity. I do not think it's a good choice for those who expect a great radiation (not a brazier), or are very sensitive to cold, since this apparatus operates at 100 W, and small air heaters usually around 2000-3000W. Rather than heat, remove the cold feet, and relax, but not immediately. I recommend to use the 90 least 45 minutes maximum. It is a good product, but not miraculous. Think that an electric fabric product should not achieve much temperature, logic and security. The best is the relaxation that occurs, the worst thing is the minimum time to reach the ideal state.</v>
      </c>
    </row>
    <row r="11383">
      <c r="A11383" s="1">
        <v>3.0</v>
      </c>
      <c r="B11383" s="1" t="s">
        <v>11286</v>
      </c>
      <c r="C11383" t="str">
        <f>IFERROR(__xludf.DUMMYFUNCTION("GOOGLETRANSLATE(B11383, ""es"", ""en"")"),"Faded letters Reduced Price")</f>
        <v>Faded letters Reduced Price</v>
      </c>
    </row>
    <row r="11384">
      <c r="A11384" s="1">
        <v>3.0</v>
      </c>
      <c r="B11384" s="1" t="s">
        <v>11287</v>
      </c>
      <c r="C11384" t="str">
        <f>IFERROR(__xludf.DUMMYFUNCTION("GOOGLETRANSLATE(B11384, ""es"", ""en"")"),"Casio Wristwatch EF-552-1AVEF GUSTE IS HOPE FOR A GIFT")</f>
        <v>Casio Wristwatch EF-552-1AVEF GUSTE IS HOPE FOR A GIFT</v>
      </c>
    </row>
    <row r="11385">
      <c r="A11385" s="1">
        <v>1.0</v>
      </c>
      <c r="B11385" s="1" t="s">
        <v>11288</v>
      </c>
      <c r="C11385" t="str">
        <f>IFERROR(__xludf.DUMMYFUNCTION("GOOGLETRANSLATE(B11385, ""es"", ""en"")"),"Such ropey from the first day and get into pc as the error message format shoot me. Try giving it even with external programs windows and no way. A return is said. Very funny but poor quality ...")</f>
        <v>Such ropey from the first day and get into pc as the error message format shoot me. Try giving it even with external programs windows and no way. A return is said. Very funny but poor quality ...</v>
      </c>
    </row>
    <row r="11386">
      <c r="A11386" s="1">
        <v>4.0</v>
      </c>
      <c r="B11386" s="1" t="s">
        <v>11289</v>
      </c>
      <c r="C11386" t="str">
        <f>IFERROR(__xludf.DUMMYFUNCTION("GOOGLETRANSLATE(B11386, ""es"", ""en"")"),"good sound is linked easily, are comfortable, wear different ""pads"" and fastenings to combine best suited to your ears")</f>
        <v>good sound is linked easily, are comfortable, wear different "pads" and fastenings to combine best suited to your ears</v>
      </c>
    </row>
    <row r="11387">
      <c r="A11387" s="1">
        <v>4.0</v>
      </c>
      <c r="B11387" s="1" t="s">
        <v>11290</v>
      </c>
      <c r="C11387" t="str">
        <f>IFERROR(__xludf.DUMMYFUNCTION("GOOGLETRANSLATE(B11387, ""es"", ""en"")"),"My daughter loved my daughter has loved")</f>
        <v>My daughter loved my daughter has loved</v>
      </c>
    </row>
    <row r="11388">
      <c r="A11388" s="1">
        <v>4.0</v>
      </c>
      <c r="B11388" s="1" t="s">
        <v>11291</v>
      </c>
      <c r="C11388" t="str">
        <f>IFERROR(__xludf.DUMMYFUNCTION("GOOGLETRANSLATE(B11388, ""es"", ""en"")"),"I like this biberon great ... all I see k k gets colored plastic .... ... they are comfortable and are great price. The would buy")</f>
        <v>I like this biberon great ... all I see k k gets colored plastic .... ... they are comfortable and are great price. The would buy</v>
      </c>
    </row>
    <row r="11389">
      <c r="A11389" s="1">
        <v>4.0</v>
      </c>
      <c r="B11389" s="1" t="s">
        <v>11292</v>
      </c>
      <c r="C11389" t="str">
        <f>IFERROR(__xludf.DUMMYFUNCTION("GOOGLETRANSLATE(B11389, ""es"", ""en"")"),"Value This great for a gift. It is original and interesting. The only downside that I received the album ennuna corner stained green. The lid being brown cardboard")</f>
        <v>Value This great for a gift. It is original and interesting. The only downside that I received the album ennuna corner stained green. The lid being brown cardboard</v>
      </c>
    </row>
    <row r="11390">
      <c r="A11390" s="1">
        <v>4.0</v>
      </c>
      <c r="B11390" s="1" t="s">
        <v>11293</v>
      </c>
      <c r="C11390" t="str">
        <f>IFERROR(__xludf.DUMMYFUNCTION("GOOGLETRANSLATE(B11390, ""es"", ""en"")"),"Great and well priced. Great and well priced. For you put them one is hits that are slightly longer than A4 size, which do not enter conventional maletones, representing me a hard time.")</f>
        <v>Great and well priced. Great and well priced. For you put them one is hits that are slightly longer than A4 size, which do not enter conventional maletones, representing me a hard time.</v>
      </c>
    </row>
    <row r="11391">
      <c r="A11391" s="1">
        <v>5.0</v>
      </c>
      <c r="B11391" s="1" t="s">
        <v>11294</v>
      </c>
      <c r="C11391" t="str">
        <f>IFERROR(__xludf.DUMMYFUNCTION("GOOGLETRANSLATE(B11391, ""es"", ""en"")"),"So comfortable Perfect. I love all the clothes of this brand. Convenient, inexpensive and outstanding quality. I've already asked several things very well.")</f>
        <v>So comfortable Perfect. I love all the clothes of this brand. Convenient, inexpensive and outstanding quality. I've already asked several things very well.</v>
      </c>
    </row>
    <row r="11392">
      <c r="A11392" s="1">
        <v>5.0</v>
      </c>
      <c r="B11392" s="1" t="s">
        <v>11295</v>
      </c>
      <c r="C11392" t="str">
        <f>IFERROR(__xludf.DUMMYFUNCTION("GOOGLETRANSLATE(B11392, ""es"", ""en"")"),"Warm great price, I already took two, the first or the strap broke but after more than two large very good Number relog")</f>
        <v>Warm great price, I already took two, the first or the strap broke but after more than two large very good Number relog</v>
      </c>
    </row>
    <row r="11393">
      <c r="A11393" s="1">
        <v>5.0</v>
      </c>
      <c r="B11393" s="1" t="s">
        <v>11296</v>
      </c>
      <c r="C11393" t="str">
        <f>IFERROR(__xludf.DUMMYFUNCTION("GOOGLETRANSLATE(B11393, ""es"", ""en"")"),"Good product Very satisfied with this product. I have not measured anything but if I can say it goes much faster than my old hard drive mechanic and works very well. I recommend it.")</f>
        <v>Good product Very satisfied with this product. I have not measured anything but if I can say it goes much faster than my old hard drive mechanic and works very well. I recommend it.</v>
      </c>
    </row>
    <row r="11394">
      <c r="A11394" s="1">
        <v>5.0</v>
      </c>
      <c r="B11394" s="1" t="s">
        <v>11297</v>
      </c>
      <c r="C11394" t="str">
        <f>IFERROR(__xludf.DUMMYFUNCTION("GOOGLETRANSLATE(B11394, ""es"", ""en"")"),"Paste yet very good product, it sounds just, and it comes with the command to change the LED lights as you want, have a good water bowl, and you can program it with the command so that whenever you want lights, and lovely design as seen, combines all, hig"&amp;"hly recommended")</f>
        <v>Paste yet very good product, it sounds just, and it comes with the command to change the LED lights as you want, have a good water bowl, and you can program it with the command so that whenever you want lights, and lovely design as seen, combines all, highly recommended</v>
      </c>
    </row>
    <row r="11395">
      <c r="A11395" s="1">
        <v>5.0</v>
      </c>
      <c r="B11395" s="1" t="s">
        <v>11298</v>
      </c>
      <c r="C11395" t="str">
        <f>IFERROR(__xludf.DUMMYFUNCTION("GOOGLETRANSLATE(B11395, ""es"", ""en"")"),"comfortable very well, the use for day to day and are perfect. Just they do not have laces.")</f>
        <v>comfortable very well, the use for day to day and are perfect. Just they do not have laces.</v>
      </c>
    </row>
    <row r="11396">
      <c r="A11396" s="1">
        <v>5.0</v>
      </c>
      <c r="B11396" s="1" t="s">
        <v>11299</v>
      </c>
      <c r="C11396" t="str">
        <f>IFERROR(__xludf.DUMMYFUNCTION("GOOGLETRANSLATE(B11396, ""es"", ""en"")"),"I recommend Assorted colors are great, untried safe, but well and with great cameo cut unstuck, I'll buy")</f>
        <v>I recommend Assorted colors are great, untried safe, but well and with great cameo cut unstuck, I'll buy</v>
      </c>
    </row>
    <row r="11397">
      <c r="A11397" s="1">
        <v>5.0</v>
      </c>
      <c r="B11397" s="1" t="s">
        <v>11300</v>
      </c>
      <c r="C11397" t="str">
        <f>IFERROR(__xludf.DUMMYFUNCTION("GOOGLETRANSLATE(B11397, ""es"", ""en"")"),"Great buy, great seller quality materials, excellent seller and very professional, works perfectly and has a huge power.")</f>
        <v>Great buy, great seller quality materials, excellent seller and very professional, works perfectly and has a huge power.</v>
      </c>
    </row>
    <row r="11398">
      <c r="A11398" s="1">
        <v>5.0</v>
      </c>
      <c r="B11398" s="1" t="s">
        <v>11301</v>
      </c>
      <c r="C11398" t="str">
        <f>IFERROR(__xludf.DUMMYFUNCTION("GOOGLETRANSLATE(B11398, ""es"", ""en"")"),"Soft Very soft, this season can be really real is comfortable for more than a stone can be adjusted. He sprawled on the couch to wrap it's really cool.")</f>
        <v>Soft Very soft, this season can be really real is comfortable for more than a stone can be adjusted. He sprawled on the couch to wrap it's really cool.</v>
      </c>
    </row>
    <row r="11399">
      <c r="A11399" s="1">
        <v>5.0</v>
      </c>
      <c r="B11399" s="1" t="s">
        <v>11302</v>
      </c>
      <c r="C11399" t="str">
        <f>IFERROR(__xludf.DUMMYFUNCTION("GOOGLETRANSLATE(B11399, ""es"", ""en"")"),"Very fine and dandy As in the pictures, and when I give you, very much liked the recipient")</f>
        <v>Very fine and dandy As in the pictures, and when I give you, very much liked the recipient</v>
      </c>
    </row>
    <row r="11400">
      <c r="A11400" s="1">
        <v>5.0</v>
      </c>
      <c r="B11400" s="1" t="s">
        <v>11303</v>
      </c>
      <c r="C11400" t="str">
        <f>IFERROR(__xludf.DUMMYFUNCTION("GOOGLETRANSLATE(B11400, ""es"", ""en"")"),"Handbag department is what I expected and good description of the product")</f>
        <v>Handbag department is what I expected and good description of the product</v>
      </c>
    </row>
    <row r="11401">
      <c r="A11401" s="1">
        <v>5.0</v>
      </c>
      <c r="B11401" s="1" t="s">
        <v>11304</v>
      </c>
      <c r="C11401" t="str">
        <f>IFERROR(__xludf.DUMMYFUNCTION("GOOGLETRANSLATE(B11401, ""es"", ""en"")"),"Filer Well finished")</f>
        <v>Filer Well finished</v>
      </c>
    </row>
    <row r="11402">
      <c r="A11402" s="1">
        <v>5.0</v>
      </c>
      <c r="B11402" s="1" t="s">
        <v>11305</v>
      </c>
      <c r="C11402" t="str">
        <f>IFERROR(__xludf.DUMMYFUNCTION("GOOGLETRANSLATE(B11402, ""es"", ""en"")"),"Lovely! Very nice bracelet! It is delicate and bright, so far so good, I take a shower with her and has not been black since, it seems really silver.")</f>
        <v>Lovely! Very nice bracelet! It is delicate and bright, so far so good, I take a shower with her and has not been black since, it seems really silver.</v>
      </c>
    </row>
    <row r="11403">
      <c r="A11403" s="1">
        <v>5.0</v>
      </c>
      <c r="B11403" s="1" t="s">
        <v>11306</v>
      </c>
      <c r="C11403" t="str">
        <f>IFERROR(__xludf.DUMMYFUNCTION("GOOGLETRANSLATE(B11403, ""es"", ""en"")"),"Astonishing is amazing, zero noise and amazing sound quality. Recommended for voice recording, amplifiers, for use for podcasts, online conferences ... in short, value more than justified")</f>
        <v>Astonishing is amazing, zero noise and amazing sound quality. Recommended for voice recording, amplifiers, for use for podcasts, online conferences ... in short, value more than justified</v>
      </c>
    </row>
    <row r="11404">
      <c r="A11404" s="1">
        <v>5.0</v>
      </c>
      <c r="B11404" s="1" t="s">
        <v>11307</v>
      </c>
      <c r="C11404" t="str">
        <f>IFERROR(__xludf.DUMMYFUNCTION("GOOGLETRANSLATE(B11404, ""es"", ""en"")"),"Buying quality: great. They are regale my husband is delighted. For foot wide, narrow a tad. We took 1/2 number more than 45.5 (my husband is between 45 and 46 depending on the type of footwear)")</f>
        <v>Buying quality: great. They are regale my husband is delighted. For foot wide, narrow a tad. We took 1/2 number more than 45.5 (my husband is between 45 and 46 depending on the type of footwear)</v>
      </c>
    </row>
    <row r="11405">
      <c r="A11405" s="1">
        <v>5.0</v>
      </c>
      <c r="B11405" s="1" t="s">
        <v>11308</v>
      </c>
      <c r="C11405" t="str">
        <f>IFERROR(__xludf.DUMMYFUNCTION("GOOGLETRANSLATE(B11405, ""es"", ""en"")"),"Value great I liked it, than I expected for this price. Warm, nice, very soft, but still not as left after washing the moment I love")</f>
        <v>Value great I liked it, than I expected for this price. Warm, nice, very soft, but still not as left after washing the moment I love</v>
      </c>
    </row>
    <row r="11406">
      <c r="A11406" s="1">
        <v>5.0</v>
      </c>
      <c r="B11406" s="1" t="s">
        <v>11309</v>
      </c>
      <c r="C11406" t="str">
        <f>IFERROR(__xludf.DUMMYFUNCTION("GOOGLETRANSLATE(B11406, ""es"", ""en"")"),"Recommendable! I have safely arrived in original box and before the due date, are original, white skin, ideal for winter, like the photo. I've taken the same size it had in other converse and perfect, is my normal number, Carve normal.")</f>
        <v>Recommendable! I have safely arrived in original box and before the due date, are original, white skin, ideal for winter, like the photo. I've taken the same size it had in other converse and perfect, is my normal number, Carve normal.</v>
      </c>
    </row>
    <row r="11407">
      <c r="A11407" s="1">
        <v>5.0</v>
      </c>
      <c r="B11407" s="1" t="s">
        <v>11310</v>
      </c>
      <c r="C11407" t="str">
        <f>IFERROR(__xludf.DUMMYFUNCTION("GOOGLETRANSLATE(B11407, ""es"", ""en"")"),"very good! I took a year with squeezer and I'm really happy. We do juices all day, so I wanted to make juice fast and easy to clean out ... and I was right!")</f>
        <v>very good! I took a year with squeezer and I'm really happy. We do juices all day, so I wanted to make juice fast and easy to clean out ... and I was right!</v>
      </c>
    </row>
    <row r="11408">
      <c r="A11408" s="1">
        <v>5.0</v>
      </c>
      <c r="B11408" s="1" t="s">
        <v>11311</v>
      </c>
      <c r="C11408" t="str">
        <f>IFERROR(__xludf.DUMMYFUNCTION("GOOGLETRANSLATE(B11408, ""es"", ""en"")"),"👍👍👍👍👍 who wants a powerful blender and not hot here it is I'm pretty happy with the product.")</f>
        <v>👍👍👍👍👍 who wants a powerful blender and not hot here it is I'm pretty happy with the product.</v>
      </c>
    </row>
    <row r="11409">
      <c r="A11409" s="1">
        <v>5.0</v>
      </c>
      <c r="B11409" s="1" t="s">
        <v>11312</v>
      </c>
      <c r="C11409" t="str">
        <f>IFERROR(__xludf.DUMMYFUNCTION("GOOGLETRANSLATE(B11409, ""es"", ""en"")"),"Very good buy very happy with the most beautiful compra.es to the natural size as most people say getting a more gender of q usa.buen.")</f>
        <v>Very good buy very happy with the most beautiful compra.es to the natural size as most people say getting a more gender of q usa.buen.</v>
      </c>
    </row>
    <row r="11410">
      <c r="A11410" s="1">
        <v>2.0</v>
      </c>
      <c r="B11410" s="1" t="s">
        <v>11313</v>
      </c>
      <c r="C11410" t="str">
        <f>IFERROR(__xludf.DUMMYFUNCTION("GOOGLETRANSLATE(B11410, ""es"", ""en"")"),"Does not meet expectations. We are disappointed, because it does not meet expectations. The microphone that captures the sound medium must speak very loudly. They not isolated, and do not give powerful sound.")</f>
        <v>Does not meet expectations. We are disappointed, because it does not meet expectations. The microphone that captures the sound medium must speak very loudly. They not isolated, and do not give powerful sound.</v>
      </c>
    </row>
    <row r="11411">
      <c r="A11411" s="1">
        <v>3.0</v>
      </c>
      <c r="B11411" s="1" t="s">
        <v>11314</v>
      </c>
      <c r="C11411" t="str">
        <f>IFERROR(__xludf.DUMMYFUNCTION("GOOGLETRANSLATE(B11411, ""es"", ""en"")"),"Comfortable, but I would not buy them. They peel off right, but at 2 weeks I started to take off an side")</f>
        <v>Comfortable, but I would not buy them. They peel off right, but at 2 weeks I started to take off an side</v>
      </c>
    </row>
    <row r="11412">
      <c r="A11412" s="1">
        <v>1.0</v>
      </c>
      <c r="B11412" s="1" t="s">
        <v>11315</v>
      </c>
      <c r="C11412" t="str">
        <f>IFERROR(__xludf.DUMMYFUNCTION("GOOGLETRANSLATE(B11412, ""es"", ""en"")"),"Imitation are an imitation. lining, the end of the sole is not gray like the original, finishes and especially the skin: compared with original differences are. imitation clear")</f>
        <v>Imitation are an imitation. lining, the end of the sole is not gray like the original, finishes and especially the skin: compared with original differences are. imitation clear</v>
      </c>
    </row>
    <row r="11413">
      <c r="A11413" s="1">
        <v>1.0</v>
      </c>
      <c r="B11413" s="1" t="s">
        <v>11316</v>
      </c>
      <c r="C11413" t="str">
        <f>IFERROR(__xludf.DUMMYFUNCTION("GOOGLETRANSLATE(B11413, ""es"", ""en"")"),"It's bad imitation Dyson sell you that an application can graduate suction power as I take two months, which makes the have and have still been impossible, because they ask for code ????????? And for cleaning the tank, impossible to dismantle it completel"&amp;"y, sell it as better than Dysson but it is not even the sole is")</f>
        <v>It's bad imitation Dyson sell you that an application can graduate suction power as I take two months, which makes the have and have still been impossible, because they ask for code ????????? And for cleaning the tank, impossible to dismantle it completely, sell it as better than Dysson but it is not even the sole is</v>
      </c>
    </row>
    <row r="11414">
      <c r="A11414" s="1">
        <v>1.0</v>
      </c>
      <c r="B11414" s="1" t="s">
        <v>11317</v>
      </c>
      <c r="C11414" t="str">
        <f>IFERROR(__xludf.DUMMYFUNCTION("GOOGLETRANSLATE(B11414, ""es"", ""en"")"),"WATCH OUT, SCAM! Well, it turns out that I've been waiting this item sold and shipped by Amazon since May (3 months ago) because, they said in their post, the delivery date dilating would not really know why ... Total, which finally deign to deliver the i"&amp;"tem and when I open the box from Amazon, so apparent and bulky, I find a single roll of adhesive tape (when they had to come 10). My theory is that it ran out and sent to each customer a roll of heat for not cancel the order and stay bitches ... Who knows"&amp;" ... Anyway, once again, CUTRE-AMAZON. Next time, bidding step and I'll stationery neighborhood.")</f>
        <v>WATCH OUT, SCAM! Well, it turns out that I've been waiting this item sold and shipped by Amazon since May (3 months ago) because, they said in their post, the delivery date dilating would not really know why ... Total, which finally deign to deliver the item and when I open the box from Amazon, so apparent and bulky, I find a single roll of adhesive tape (when they had to come 10). My theory is that it ran out and sent to each customer a roll of heat for not cancel the order and stay bitches ... Who knows ... Anyway, once again, CUTRE-AMAZON. Next time, bidding step and I'll stationery neighborhood.</v>
      </c>
    </row>
    <row r="11415">
      <c r="A11415" s="1">
        <v>4.0</v>
      </c>
      <c r="B11415" s="1" t="s">
        <v>11318</v>
      </c>
      <c r="C11415" t="str">
        <f>IFERROR(__xludf.DUMMYFUNCTION("GOOGLETRANSLATE(B11415, ""es"", ""en"")"),"They are very small in size but very small are nice for a little girl to an adult not look how small we are")</f>
        <v>They are very small in size but very small are nice for a little girl to an adult not look how small we are</v>
      </c>
    </row>
    <row r="11416">
      <c r="A11416" s="1">
        <v>4.0</v>
      </c>
      <c r="B11416" s="1" t="s">
        <v>11319</v>
      </c>
      <c r="C11416" t="str">
        <f>IFERROR(__xludf.DUMMYFUNCTION("GOOGLETRANSLATE(B11416, ""es"", ""en"")"),"Shoes was a gift and the person who received them is very happy with them, it will buy again for sure")</f>
        <v>Shoes was a gift and the person who received them is very happy with them, it will buy again for sure</v>
      </c>
    </row>
    <row r="11417">
      <c r="A11417" s="1">
        <v>4.0</v>
      </c>
      <c r="B11417" s="1" t="s">
        <v>11320</v>
      </c>
      <c r="C11417" t="str">
        <f>IFERROR(__xludf.DUMMYFUNCTION("GOOGLETRANSLATE(B11417, ""es"", ""en"")"),"The recomiendo- and after two years without battery I update after 2 years. It is fabulous, good battery. It is also true that if you have little capacity dog. But it takes up little space and comfort in its charging base. Two years later ..... It seems t"&amp;"hat everything is scheduled to end the guarantee .... The question us have been great during this time, we realize now that no longer does the batería..justo to the end of the warranty and this is verídico.ya fails to suck 80 -100 square meters ... Pensan"&amp;"dolo either lasted two years without any problem either yes !!! But not a brand mark was nueva..es lifetime I think we, so I think negative lsnoarte bad score in that regard to the Taurus brand.")</f>
        <v>The recomiendo- and after two years without battery I update after 2 years. It is fabulous, good battery. It is also true that if you have little capacity dog. But it takes up little space and comfort in its charging base. Two years later ..... It seems that everything is scheduled to end the guarantee .... The question us have been great during this time, we realize now that no longer does the batería..justo to the end of the warranty and this is verídico.ya fails to suck 80 -100 square meters ... Pensandolo either lasted two years without any problem either yes !!! But not a brand mark was nueva..es lifetime I think we, so I think negative lsnoarte bad score in that regard to the Taurus brand.</v>
      </c>
    </row>
    <row r="11418">
      <c r="A11418" s="1">
        <v>4.0</v>
      </c>
      <c r="B11418" s="1" t="s">
        <v>42</v>
      </c>
      <c r="C11418" t="str">
        <f>IFERROR(__xludf.DUMMYFUNCTION("GOOGLETRANSLATE(B11418, ""es"", ""en"")"),"Well well")</f>
        <v>Well well</v>
      </c>
    </row>
    <row r="11419">
      <c r="A11419" s="1">
        <v>4.0</v>
      </c>
      <c r="B11419" s="1" t="s">
        <v>11321</v>
      </c>
      <c r="C11419" t="str">
        <f>IFERROR(__xludf.DUMMYFUNCTION("GOOGLETRANSLATE(B11419, ""es"", ""en"")"),"Good product. Bota perfect, only downside is the hardness of the skin it takes to fit the foot.")</f>
        <v>Good product. Bota perfect, only downside is the hardness of the skin it takes to fit the foot.</v>
      </c>
    </row>
    <row r="11420">
      <c r="A11420" s="1">
        <v>5.0</v>
      </c>
      <c r="B11420" s="1" t="s">
        <v>11322</v>
      </c>
      <c r="C11420" t="str">
        <f>IFERROR(__xludf.DUMMYFUNCTION("GOOGLETRANSLATE(B11420, ""es"", ""en"")"),"Lightweight and good sound quality After buying these wireless headphones I say they are cane !! Neither the manzanita approach the sound of these! Very competitive price, the Bluetooth connection is very fast and has no cuts! Once you plug it in and do j"&amp;"ust every time you use them. Bring a box where trasportas and above the loads! They adapt very well to ear and not fall even running! It has very good grip! The battery has about two hours to all cane! Simply put it in your box loaded soon are very modern"&amp;" and have their own style, I quite like shape. I think it was a good buy!")</f>
        <v>Lightweight and good sound quality After buying these wireless headphones I say they are cane !! Neither the manzanita approach the sound of these! Very competitive price, the Bluetooth connection is very fast and has no cuts! Once you plug it in and do just every time you use them. Bring a box where trasportas and above the loads! They adapt very well to ear and not fall even running! It has very good grip! The battery has about two hours to all cane! Simply put it in your box loaded soon are very modern and have their own style, I quite like shape. I think it was a good buy!</v>
      </c>
    </row>
    <row r="11421">
      <c r="A11421" s="1">
        <v>5.0</v>
      </c>
      <c r="B11421" s="1" t="s">
        <v>11323</v>
      </c>
      <c r="C11421" t="str">
        <f>IFERROR(__xludf.DUMMYFUNCTION("GOOGLETRANSLATE(B11421, ""es"", ""en"")"),"Excellent The package arrived in perfect condition and the delivery was very fast. The quality of these bottles is excellent, I bought on the recommendation of a friend and seeing them seemed a success. What I like most is that they are very practical to "&amp;"wash because they have a big mouth.")</f>
        <v>Excellent The package arrived in perfect condition and the delivery was very fast. The quality of these bottles is excellent, I bought on the recommendation of a friend and seeing them seemed a success. What I like most is that they are very practical to wash because they have a big mouth.</v>
      </c>
    </row>
    <row r="11422">
      <c r="A11422" s="1">
        <v>5.0</v>
      </c>
      <c r="B11422" s="1" t="s">
        <v>11324</v>
      </c>
      <c r="C11422" t="str">
        <f>IFERROR(__xludf.DUMMYFUNCTION("GOOGLETRANSLATE(B11422, ""es"", ""en"")"),"clasicazo great as they come, unisex, perfect to continuously carry and work ensuciándote, get into the sea, take a shower with him, anything. The timer function is great to work in the lab and keep track of time for experimentation, and for the money you"&amp;" have, you can rest assured that if you drop something on it is not a big pérdida.Tuve to give others because several colleagues of the laboratory they borrowed me. Very happy, I am confident this watch 100%.")</f>
        <v>clasicazo great as they come, unisex, perfect to continuously carry and work ensuciándote, get into the sea, take a shower with him, anything. The timer function is great to work in the lab and keep track of time for experimentation, and for the money you have, you can rest assured that if you drop something on it is not a big pérdida.Tuve to give others because several colleagues of the laboratory they borrowed me. Very happy, I am confident this watch 100%.</v>
      </c>
    </row>
    <row r="11423">
      <c r="A11423" s="1">
        <v>5.0</v>
      </c>
      <c r="B11423" s="1" t="s">
        <v>11325</v>
      </c>
      <c r="C11423" t="str">
        <f>IFERROR(__xludf.DUMMYFUNCTION("GOOGLETRANSLATE(B11423, ""es"", ""en"")"),"It is very tough to beat and accurate I liked personally. I bought it for day to day so do not take it off for anything (to bathe) and is truly reliable in every way. I recommend it")</f>
        <v>It is very tough to beat and accurate I liked personally. I bought it for day to day so do not take it off for anything (to bathe) and is truly reliable in every way. I recommend it</v>
      </c>
    </row>
    <row r="11424">
      <c r="A11424" s="1">
        <v>5.0</v>
      </c>
      <c r="B11424" s="1" t="s">
        <v>11326</v>
      </c>
      <c r="C11424" t="str">
        <f>IFERROR(__xludf.DUMMYFUNCTION("GOOGLETRANSLATE(B11424, ""es"", ""en"")"),"Campaign price is all in 9/10 for this range of oven. Easy to install and LED lighting is super good. We cook at home all the time and still can smell the cooked food in any other room, but near the stove. That blower starts and have the neighbors smell w"&amp;"hat you're cooking. Home we cooked enough and helps us bastante.Mi old campaign of Spoiling few weeks ago and we spent cleaning the kitchen twice tiempo.Ahorra are much better")</f>
        <v>Campaign price is all in 9/10 for this range of oven. Easy to install and LED lighting is super good. We cook at home all the time and still can smell the cooked food in any other room, but near the stove. That blower starts and have the neighbors smell what you're cooking. Home we cooked enough and helps us bastante.Mi old campaign of Spoiling few weeks ago and we spent cleaning the kitchen twice tiempo.Ahorra are much better</v>
      </c>
    </row>
    <row r="11425">
      <c r="A11425" s="1">
        <v>5.0</v>
      </c>
      <c r="B11425" s="1" t="s">
        <v>11327</v>
      </c>
      <c r="C11425" t="str">
        <f>IFERROR(__xludf.DUMMYFUNCTION("GOOGLETRANSLATE(B11425, ""es"", ""en"")"),"Go rision microphone karaoke microphone, he would regale my granddaughter 3 years and is delighted goofing around, it's like a Bluetooth speaker that has microphone")</f>
        <v>Go rision microphone karaoke microphone, he would regale my granddaughter 3 years and is delighted goofing around, it's like a Bluetooth speaker that has microphone</v>
      </c>
    </row>
    <row r="11426">
      <c r="A11426" s="1">
        <v>5.0</v>
      </c>
      <c r="B11426" s="1" t="s">
        <v>11328</v>
      </c>
      <c r="C11426" t="str">
        <f>IFERROR(__xludf.DUMMYFUNCTION("GOOGLETRANSLATE(B11426, ""es"", ""en"")"),"Highly recommended Peoducto perfect, arrived ahead of schedule. highly recommended")</f>
        <v>Highly recommended Peoducto perfect, arrived ahead of schedule. highly recommended</v>
      </c>
    </row>
    <row r="11427">
      <c r="A11427" s="1">
        <v>5.0</v>
      </c>
      <c r="B11427" s="1" t="s">
        <v>11329</v>
      </c>
      <c r="C11427" t="str">
        <f>IFERROR(__xludf.DUMMYFUNCTION("GOOGLETRANSLATE(B11427, ""es"", ""en"")"),"Product 10 just need to say that last weekend I went with my friends travel and take me to teach them helmets only. Sound and excellent soundproofing. Furthermore, they are comfortable and are made with good materials")</f>
        <v>Product 10 just need to say that last weekend I went with my friends travel and take me to teach them helmets only. Sound and excellent soundproofing. Furthermore, they are comfortable and are made with good materials</v>
      </c>
    </row>
    <row r="11428">
      <c r="A11428" s="1">
        <v>5.0</v>
      </c>
      <c r="B11428" s="1" t="s">
        <v>11330</v>
      </c>
      <c r="C11428" t="str">
        <f>IFERROR(__xludf.DUMMYFUNCTION("GOOGLETRANSLATE(B11428, ""es"", ""en"")"),"Micro high quality sound money either for video, Skype or any reason. Clear and distinct modes that help solve any situation")</f>
        <v>Micro high quality sound money either for video, Skype or any reason. Clear and distinct modes that help solve any situation</v>
      </c>
    </row>
    <row r="11429">
      <c r="A11429" s="1">
        <v>5.0</v>
      </c>
      <c r="B11429" s="1" t="s">
        <v>11331</v>
      </c>
      <c r="C11429" t="str">
        <f>IFERROR(__xludf.DUMMYFUNCTION("GOOGLETRANSLATE(B11429, ""es"", ""en"")"),"Very good very good product")</f>
        <v>Very good very good product</v>
      </c>
    </row>
    <row r="11430">
      <c r="A11430" s="1">
        <v>5.0</v>
      </c>
      <c r="B11430" s="1" t="s">
        <v>11332</v>
      </c>
      <c r="C11430" t="str">
        <f>IFERROR(__xludf.DUMMYFUNCTION("GOOGLETRANSLATE(B11430, ""es"", ""en"")"),"Very good USB memory to any computer (PC, LT and SW). A single memory we can expect to save information securely, and this will only know over the years. At the moment, it does, as expected. It is very useful for its dual connector: USB 3.0 and USB-C, bei"&amp;"ng recognized by the phone quickly.")</f>
        <v>Very good USB memory to any computer (PC, LT and SW). A single memory we can expect to save information securely, and this will only know over the years. At the moment, it does, as expected. It is very useful for its dual connector: USB 3.0 and USB-C, being recognized by the phone quickly.</v>
      </c>
    </row>
    <row r="11431">
      <c r="A11431" s="1">
        <v>5.0</v>
      </c>
      <c r="B11431" s="1" t="s">
        <v>11333</v>
      </c>
      <c r="C11431" t="str">
        <f>IFERROR(__xludf.DUMMYFUNCTION("GOOGLETRANSLATE(B11431, ""es"", ""en"")"),"Recommended 100% fully recommended card, in my case very satisfied with the purchase. Meets the speed and capacity indicating article completely original, no copy is Chinese.")</f>
        <v>Recommended 100% fully recommended card, in my case very satisfied with the purchase. Meets the speed and capacity indicating article completely original, no copy is Chinese.</v>
      </c>
    </row>
    <row r="11432">
      <c r="A11432" s="1">
        <v>5.0</v>
      </c>
      <c r="B11432" s="1" t="s">
        <v>11334</v>
      </c>
      <c r="C11432" t="str">
        <f>IFERROR(__xludf.DUMMYFUNCTION("GOOGLETRANSLATE(B11432, ""es"", ""en"")"),"Good product, fast reliable and fast temperature with temperature selection that works very well. A bit noisy as others, but it works very well.")</f>
        <v>Good product, fast reliable and fast temperature with temperature selection that works very well. A bit noisy as others, but it works very well.</v>
      </c>
    </row>
    <row r="11433">
      <c r="A11433" s="1">
        <v>5.0</v>
      </c>
      <c r="B11433" s="1" t="s">
        <v>11335</v>
      </c>
      <c r="C11433" t="str">
        <f>IFERROR(__xludf.DUMMYFUNCTION("GOOGLETRANSLATE(B11433, ""es"", ""en"")"),"Podcast and YouTube ideal for microphones I used once, but not like this. There was also dabbled in speaker facet of the networks, via podcast or YouTube. So I did not want fanciest a pretty penny to do the test nor the quality of the team was woefully in"&amp;"adequate. So, in what he had seen out there, I felt that this was one of the best options for introducing me to the scene without having to hock a kidney. The equipment is basic but very complete to start. Takes the mic with protective foam and a couple o"&amp;"f accessories for off noises that hurt listening, like breathing in these pauses between sentences. I have to confess I do not know the jargon to name all these supplements, but I know pretty much use and I see that is quite enough game. It comes with sup"&amp;"port for attaching to the table and has everything you need to make the recordings are of decent quality. I tried using various recording programs and the result has been better than expected. I was surprised at hearing my own voice much improved and I ev"&amp;"en seemed prettier than I thought. So I can say I am very happy with the purchase of this microphone and hope it lasts me a lot. I think, with this price, anyone can dare to enter the world of voice and try the many options that technology allows us today"&amp;".")</f>
        <v>Podcast and YouTube ideal for microphones I used once, but not like this. There was also dabbled in speaker facet of the networks, via podcast or YouTube. So I did not want fanciest a pretty penny to do the test nor the quality of the team was woefully inadequate. So, in what he had seen out there, I felt that this was one of the best options for introducing me to the scene without having to hock a kidney. The equipment is basic but very complete to start. Takes the mic with protective foam and a couple of accessories for off noises that hurt listening, like breathing in these pauses between sentences. I have to confess I do not know the jargon to name all these supplements, but I know pretty much use and I see that is quite enough game. It comes with support for attaching to the table and has everything you need to make the recordings are of decent quality. I tried using various recording programs and the result has been better than expected. I was surprised at hearing my own voice much improved and I even seemed prettier than I thought. So I can say I am very happy with the purchase of this microphone and hope it lasts me a lot. I think, with this price, anyone can dare to enter the world of voice and try the many options that technology allows us today.</v>
      </c>
    </row>
    <row r="11434">
      <c r="A11434" s="1">
        <v>5.0</v>
      </c>
      <c r="B11434" s="1" t="s">
        <v>11336</v>
      </c>
      <c r="C11434" t="str">
        <f>IFERROR(__xludf.DUMMYFUNCTION("GOOGLETRANSLATE(B11434, ""es"", ""en"")"),"Adriana Nice design, sturdy and works perfectly. I've bought a couple of months, I have no complaint. Good choice and economic! !!")</f>
        <v>Adriana Nice design, sturdy and works perfectly. I've bought a couple of months, I have no complaint. Good choice and economic! !!</v>
      </c>
    </row>
    <row r="11435">
      <c r="A11435" s="1">
        <v>5.0</v>
      </c>
      <c r="B11435" s="1" t="s">
        <v>11337</v>
      </c>
      <c r="C11435" t="str">
        <f>IFERROR(__xludf.DUMMYFUNCTION("GOOGLETRANSLATE(B11435, ""es"", ""en"")"),"Ultrafast and perfect size! I use pair music and going super fast. If you dj and use pen drive to puncture, this is the best market USB undoubtedly")</f>
        <v>Ultrafast and perfect size! I use pair music and going super fast. If you dj and use pen drive to puncture, this is the best market USB undoubtedly</v>
      </c>
    </row>
    <row r="11436">
      <c r="A11436" s="1">
        <v>5.0</v>
      </c>
      <c r="B11436" s="1" t="s">
        <v>11338</v>
      </c>
      <c r="C11436" t="str">
        <f>IFERROR(__xludf.DUMMYFUNCTION("GOOGLETRANSLATE(B11436, ""es"", ""en"")"),"Good device'm autonomous and lame calls from the car and is very comfortable. I want to emphasize that you have a system that whoever is on the other side of the phone does not listen noise environment. In my case they do not hear the noise of the car.")</f>
        <v>Good device'm autonomous and lame calls from the car and is very comfortable. I want to emphasize that you have a system that whoever is on the other side of the phone does not listen noise environment. In my case they do not hear the noise of the car.</v>
      </c>
    </row>
    <row r="11437">
      <c r="A11437" s="1">
        <v>5.0</v>
      </c>
      <c r="B11437" s="1" t="s">
        <v>11339</v>
      </c>
      <c r="C11437" t="str">
        <f>IFERROR(__xludf.DUMMYFUNCTION("GOOGLETRANSLATE(B11437, ""es"", ""en"")"),"precision quality and elegance A large acquisition, delighted with my headphones. Excellent sound for both music anywhere to attend phone calls. Sharpness both for me and for those who receive the call. Sound isolating adjusting my ear perfectly fine. The"&amp;"y are easy to program and load very fast just an hour and the same battery lasts several hours running butt. They are discreet and you can use it on any occasion.")</f>
        <v>precision quality and elegance A large acquisition, delighted with my headphones. Excellent sound for both music anywhere to attend phone calls. Sharpness both for me and for those who receive the call. Sound isolating adjusting my ear perfectly fine. They are easy to program and load very fast just an hour and the same battery lasts several hours running butt. They are discreet and you can use it on any occasion.</v>
      </c>
    </row>
    <row r="11438">
      <c r="A11438" s="1">
        <v>2.0</v>
      </c>
      <c r="B11438" s="1" t="s">
        <v>11340</v>
      </c>
      <c r="C11438" t="str">
        <f>IFERROR(__xludf.DUMMYFUNCTION("GOOGLETRANSLATE(B11438, ""es"", ""en"")"),"I was disappointed enough. It is true that this brand is what it is. But the leaves are dull, and the knob that regulates the height thereof, moves alone. with the same machine vibration, it is moving and it is impossible to use because once started, star"&amp;"ts just rotate and height is changing. I had to give perforations and insert a pin to ""lock"" the knob and thus leave fixed in the desired position.")</f>
        <v>I was disappointed enough. It is true that this brand is what it is. But the leaves are dull, and the knob that regulates the height thereof, moves alone. with the same machine vibration, it is moving and it is impossible to use because once started, starts just rotate and height is changing. I had to give perforations and insert a pin to "lock" the knob and thus leave fixed in the desired position.</v>
      </c>
    </row>
    <row r="11439">
      <c r="A11439" s="1">
        <v>3.0</v>
      </c>
      <c r="B11439" s="1" t="s">
        <v>11341</v>
      </c>
      <c r="C11439" t="str">
        <f>IFERROR(__xludf.DUMMYFUNCTION("GOOGLETRANSLATE(B11439, ""es"", ""en"")"),"cheap option for air travel is worth for air travel. I broke the zipper by using it 3 or 4 times.")</f>
        <v>cheap option for air travel is worth for air travel. I broke the zipper by using it 3 or 4 times.</v>
      </c>
    </row>
    <row r="11440">
      <c r="A11440" s="1">
        <v>3.0</v>
      </c>
      <c r="B11440" s="1" t="s">
        <v>11342</v>
      </c>
      <c r="C11440" t="str">
        <f>IFERROR(__xludf.DUMMYFUNCTION("GOOGLETRANSLATE(B11440, ""es"", ""en"")"),"Although difficult to use fulfills its function, is not the easiest to use of all those I have had. Good price.")</f>
        <v>Although difficult to use fulfills its function, is not the easiest to use of all those I have had. Good price.</v>
      </c>
    </row>
    <row r="11441">
      <c r="A11441" s="1">
        <v>1.0</v>
      </c>
      <c r="B11441" s="1" t="s">
        <v>11343</v>
      </c>
      <c r="C11441" t="str">
        <f>IFERROR(__xludf.DUMMYFUNCTION("GOOGLETRANSLATE(B11441, ""es"", ""en"")"),"Horrible do not like me, you've missed like 20 drops and does not smell like anything .. a disaster, if I know do not buy ......")</f>
        <v>Horrible do not like me, you've missed like 20 drops and does not smell like anything .. a disaster, if I know do not buy ......</v>
      </c>
    </row>
    <row r="11442">
      <c r="A11442" s="1">
        <v>1.0</v>
      </c>
      <c r="B11442" s="1" t="s">
        <v>11344</v>
      </c>
      <c r="C11442" t="str">
        <f>IFERROR(__xludf.DUMMYFUNCTION("GOOGLETRANSLATE(B11442, ""es"", ""en"")"),"Something expensive fine is expensive for what it is! And because I'm worth because I sent a xxl when ordered an xl")</f>
        <v>Something expensive fine is expensive for what it is! And because I'm worth because I sent a xxl when ordered an xl</v>
      </c>
    </row>
    <row r="11443">
      <c r="A11443" s="1">
        <v>4.0</v>
      </c>
      <c r="B11443" s="1" t="s">
        <v>11345</v>
      </c>
      <c r="C11443" t="str">
        <f>IFERROR(__xludf.DUMMYFUNCTION("GOOGLETRANSLATE(B11443, ""es"", ""en"")"),"Very good power good power, very useful although micros are no big deal. The only downside is that USB gives Central glitches but out of this problem will be solved, very good product.")</f>
        <v>Very good power good power, very useful although micros are no big deal. The only downside is that USB gives Central glitches but out of this problem will be solved, very good product.</v>
      </c>
    </row>
    <row r="11444">
      <c r="A11444" s="1">
        <v>4.0</v>
      </c>
      <c r="B11444" s="1" t="s">
        <v>11346</v>
      </c>
      <c r="C11444" t="str">
        <f>IFERROR(__xludf.DUMMYFUNCTION("GOOGLETRANSLATE(B11444, ""es"", ""en"")"),"Value for money for what I paid, the result was optimal. I would recommend it for those who can not spend a bundle. They are comfortable and hear very well")</f>
        <v>Value for money for what I paid, the result was optimal. I would recommend it for those who can not spend a bundle. They are comfortable and hear very well</v>
      </c>
    </row>
    <row r="11445">
      <c r="A11445" s="1">
        <v>4.0</v>
      </c>
      <c r="B11445" s="1" t="s">
        <v>11347</v>
      </c>
      <c r="C11445" t="str">
        <f>IFERROR(__xludf.DUMMYFUNCTION("GOOGLETRANSLATE(B11445, ""es"", ""en"")"),"Recommended works very well, is very cool design and Bosch is always a guarantee so recommended 100% By putting a snag, it's like all these pots, cumbersome to clean")</f>
        <v>Recommended works very well, is very cool design and Bosch is always a guarantee so recommended 100% By putting a snag, it's like all these pots, cumbersome to clean</v>
      </c>
    </row>
    <row r="11446">
      <c r="A11446" s="1">
        <v>4.0</v>
      </c>
      <c r="B11446" s="1" t="s">
        <v>11348</v>
      </c>
      <c r="C11446" t="str">
        <f>IFERROR(__xludf.DUMMYFUNCTION("GOOGLETRANSLATE(B11446, ""es"", ""en"")"),"Good shoes Very comfortable, even for delicate feet as has been the case for which they were purchased. It should be noted that due to the thickness and fluffiness of the workforce in this area is not very fresh. Otherwise, perfect.")</f>
        <v>Good shoes Very comfortable, even for delicate feet as has been the case for which they were purchased. It should be noted that due to the thickness and fluffiness of the workforce in this area is not very fresh. Otherwise, perfect.</v>
      </c>
    </row>
    <row r="11447">
      <c r="A11447" s="1">
        <v>4.0</v>
      </c>
      <c r="B11447" s="1" t="s">
        <v>11349</v>
      </c>
      <c r="C11447" t="str">
        <f>IFERROR(__xludf.DUMMYFUNCTION("GOOGLETRANSLATE(B11447, ""es"", ""en"")"),"It works perfectly comfortable, I bought one for my job and I've also purchased for home")</f>
        <v>It works perfectly comfortable, I bought one for my job and I've also purchased for home</v>
      </c>
    </row>
    <row r="11448">
      <c r="A11448" s="1">
        <v>5.0</v>
      </c>
      <c r="B11448" s="1" t="s">
        <v>11350</v>
      </c>
      <c r="C11448" t="str">
        <f>IFERROR(__xludf.DUMMYFUNCTION("GOOGLETRANSLATE(B11448, ""es"", ""en"")"),"dimo cartridges have proven a cartridge in my dimo and aora works perfectly")</f>
        <v>dimo cartridges have proven a cartridge in my dimo and aora works perfectly</v>
      </c>
    </row>
    <row r="11449">
      <c r="A11449" s="1">
        <v>5.0</v>
      </c>
      <c r="B11449" s="1" t="s">
        <v>11351</v>
      </c>
      <c r="C11449" t="str">
        <f>IFERROR(__xludf.DUMMYFUNCTION("GOOGLETRANSLATE(B11449, ""es"", ""en"")"),"Very useful Value very good. Wrist rests only looking for the mouse, but this group has found me the usefulness of the palm rest for the keyboard. Now I work more comfortable and wearing mouse pad with mouse is much more comfortable.")</f>
        <v>Very useful Value very good. Wrist rests only looking for the mouse, but this group has found me the usefulness of the palm rest for the keyboard. Now I work more comfortable and wearing mouse pad with mouse is much more comfortable.</v>
      </c>
    </row>
    <row r="11450">
      <c r="A11450" s="1">
        <v>5.0</v>
      </c>
      <c r="B11450" s="1" t="s">
        <v>11352</v>
      </c>
      <c r="C11450" t="str">
        <f>IFERROR(__xludf.DUMMYFUNCTION("GOOGLETRANSLATE(B11450, ""es"", ""en"")"),"Encantada all right with my partner bambas")</f>
        <v>Encantada all right with my partner bambas</v>
      </c>
    </row>
    <row r="11451">
      <c r="A11451" s="1">
        <v>5.0</v>
      </c>
      <c r="B11451" s="1" t="s">
        <v>11353</v>
      </c>
      <c r="C11451" t="str">
        <f>IFERROR(__xludf.DUMMYFUNCTION("GOOGLETRANSLATE(B11451, ""es"", ""en"")"),"This good is a bag with several compartments what fits you what you take in every day, in principle zippers and fabric are sturdy, will have to wait a while to use to check.")</f>
        <v>This good is a bag with several compartments what fits you what you take in every day, in principle zippers and fabric are sturdy, will have to wait a while to use to check.</v>
      </c>
    </row>
    <row r="11452">
      <c r="A11452" s="1">
        <v>5.0</v>
      </c>
      <c r="B11452" s="1" t="s">
        <v>11354</v>
      </c>
      <c r="C11452" t="str">
        <f>IFERROR(__xludf.DUMMYFUNCTION("GOOGLETRANSLATE(B11452, ""es"", ""en"")"),"José Manuel The backpack meets all expectations. Good quality. Several separate compartments. I liked it and recommend it to others")</f>
        <v>José Manuel The backpack meets all expectations. Good quality. Several separate compartments. I liked it and recommend it to others</v>
      </c>
    </row>
    <row r="11453">
      <c r="A11453" s="1">
        <v>5.0</v>
      </c>
      <c r="B11453" s="1" t="s">
        <v>11355</v>
      </c>
      <c r="C11453" t="str">
        <f>IFERROR(__xludf.DUMMYFUNCTION("GOOGLETRANSLATE(B11453, ""es"", ""en"")"),"Just great Connects to the first smooth, easy to use and the sound quality is very good. The distance from the micro to the receiver have managed to reach 18-20m maintaining the connection and sound quality. The materials are very robust. Perhaps I would "&amp;"have liked to carry the micro battery instead of batteries, although it is true that for prolonged use in faster changing batteries in 10 seconds having to charge the battery. Highly recommended to have, good and economical single wireless microphone.")</f>
        <v>Just great Connects to the first smooth, easy to use and the sound quality is very good. The distance from the micro to the receiver have managed to reach 18-20m maintaining the connection and sound quality. The materials are very robust. Perhaps I would have liked to carry the micro battery instead of batteries, although it is true that for prolonged use in faster changing batteries in 10 seconds having to charge the battery. Highly recommended to have, good and economical single wireless microphone.</v>
      </c>
    </row>
    <row r="11454">
      <c r="A11454" s="1">
        <v>5.0</v>
      </c>
      <c r="B11454" s="1" t="s">
        <v>11356</v>
      </c>
      <c r="C11454" t="str">
        <f>IFERROR(__xludf.DUMMYFUNCTION("GOOGLETRANSLATE(B11454, ""es"", ""en"")"),"Micro SD rapidilla really fast ... faster than any of the apparatus where I could try. At least my camera recognizes the card I record perfectly smoothly and the 4k With my previous sd was no way, as it was much slower. Although certainly I not need to re"&amp;"cord a 4k .... speed tests on my PC get what you give, since it is not too new my computer, but it's still nice to see that is achieved smoothly move from 30MB in recording, and walk about 90 in reading. It seems that delivers what it promises, so whoever"&amp;" has it burn to 4k well with this card, but equally would be better advised throw by 128, to ensure enough space")</f>
        <v>Micro SD rapidilla really fast ... faster than any of the apparatus where I could try. At least my camera recognizes the card I record perfectly smoothly and the 4k With my previous sd was no way, as it was much slower. Although certainly I not need to record a 4k .... speed tests on my PC get what you give, since it is not too new my computer, but it's still nice to see that is achieved smoothly move from 30MB in recording, and walk about 90 in reading. It seems that delivers what it promises, so whoever has it burn to 4k well with this card, but equally would be better advised throw by 128, to ensure enough space</v>
      </c>
    </row>
    <row r="11455">
      <c r="A11455" s="1">
        <v>5.0</v>
      </c>
      <c r="B11455" s="1" t="s">
        <v>11357</v>
      </c>
      <c r="C11455" t="str">
        <f>IFERROR(__xludf.DUMMYFUNCTION("GOOGLETRANSLATE(B11455, ""es"", ""en"")"),"Perfect sportiness, elegance, robustness, very comfortable to wear, etc. Without doubt the best I've had. I reloj.Recomendado great 100% 100.")</f>
        <v>Perfect sportiness, elegance, robustness, very comfortable to wear, etc. Without doubt the best I've had. I reloj.Recomendado great 100% 100.</v>
      </c>
    </row>
    <row r="11456">
      <c r="A11456" s="1">
        <v>5.0</v>
      </c>
      <c r="B11456" s="1" t="s">
        <v>11358</v>
      </c>
      <c r="C11456" t="str">
        <f>IFERROR(__xludf.DUMMYFUNCTION("GOOGLETRANSLATE(B11456, ""es"", ""en"")"),"My wife have loved it. My wife have loved it. You must buy an average number and the more you have.")</f>
        <v>My wife have loved it. My wife have loved it. You must buy an average number and the more you have.</v>
      </c>
    </row>
    <row r="11457">
      <c r="A11457" s="1">
        <v>5.0</v>
      </c>
      <c r="B11457" s="1" t="s">
        <v>11359</v>
      </c>
      <c r="C11457" t="str">
        <f>IFERROR(__xludf.DUMMYFUNCTION("GOOGLETRANSLATE(B11457, ""es"", ""en"")"),"Encantada have size and shape (thanks to buttons) it is ideal for comfortable carrying. Very hot and very fast. I am very, very wedges and to have it at the ratillode 6 have to lower it to the level 1 and so am super agusto. Everything a success!")</f>
        <v>Encantada have size and shape (thanks to buttons) it is ideal for comfortable carrying. Very hot and very fast. I am very, very wedges and to have it at the ratillode 6 have to lower it to the level 1 and so am super agusto. Everything a success!</v>
      </c>
    </row>
    <row r="11458">
      <c r="A11458" s="1">
        <v>5.0</v>
      </c>
      <c r="B11458" s="1" t="s">
        <v>11360</v>
      </c>
      <c r="C11458" t="str">
        <f>IFERROR(__xludf.DUMMYFUNCTION("GOOGLETRANSLATE(B11458, ""es"", ""en"")"),"AND PERFECTLY COMFORTABLE FIT PERFECT FOR WALKING")</f>
        <v>AND PERFECTLY COMFORTABLE FIT PERFECT FOR WALKING</v>
      </c>
    </row>
    <row r="11459">
      <c r="A11459" s="1">
        <v>5.0</v>
      </c>
      <c r="B11459" s="1" t="s">
        <v>11361</v>
      </c>
      <c r="C11459" t="str">
        <f>IFERROR(__xludf.DUMMYFUNCTION("GOOGLETRANSLATE(B11459, ""es"", ""en"")"),"Very practical and functional. I liked ,, I find it very comfortable to handle and very light.")</f>
        <v>Very practical and functional. I liked ,, I find it very comfortable to handle and very light.</v>
      </c>
    </row>
    <row r="11460">
      <c r="A11460" s="1">
        <v>5.0</v>
      </c>
      <c r="B11460" s="1" t="s">
        <v>11362</v>
      </c>
      <c r="C11460" t="str">
        <f>IFERROR(__xludf.DUMMYFUNCTION("GOOGLETRANSLATE(B11460, ""es"", ""en"")"),"Roses and perfect !! Great!! The best: the pink Barbie makes no one at home except my daughter, I want them removed. But they have lots more good stuff !! They adapt to the most special ears (never before had gotten a wireless headset abide without fallin"&amp;"g), they have good sound, fast connectivity, are very easy to use with quick keystrokes or maintained, can be used as a handsfree without interference, its battery it is durable, small size ... of course, they are the best headphones I've had this, becaus"&amp;"e I always look for a value and I balance these if they comply perfectly. For me, a very good option if you do not want the last article brand that stands out and what you want is to enjoy music on the bus, on the way to class in the pool ...")</f>
        <v>Roses and perfect !! Great!! The best: the pink Barbie makes no one at home except my daughter, I want them removed. But they have lots more good stuff !! They adapt to the most special ears (never before had gotten a wireless headset abide without falling), they have good sound, fast connectivity, are very easy to use with quick keystrokes or maintained, can be used as a handsfree without interference, its battery it is durable, small size ... of course, they are the best headphones I've had this, because I always look for a value and I balance these if they comply perfectly. For me, a very good option if you do not want the last article brand that stands out and what you want is to enjoy music on the bus, on the way to class in the pool ...</v>
      </c>
    </row>
    <row r="11461">
      <c r="A11461" s="1">
        <v>5.0</v>
      </c>
      <c r="B11461" s="1" t="s">
        <v>11363</v>
      </c>
      <c r="C11461" t="str">
        <f>IFERROR(__xludf.DUMMYFUNCTION("GOOGLETRANSLATE(B11461, ""es"", ""en"")"),"We bought very comfortable helmet for a child of 4 years and we are very happy with it.")</f>
        <v>We bought very comfortable helmet for a child of 4 years and we are very happy with it.</v>
      </c>
    </row>
    <row r="11462">
      <c r="A11462" s="1">
        <v>5.0</v>
      </c>
      <c r="B11462" s="1" t="s">
        <v>11364</v>
      </c>
      <c r="C11462" t="str">
        <f>IFERROR(__xludf.DUMMYFUNCTION("GOOGLETRANSLATE(B11462, ""es"", ""en"")"),"Silvia The microphone is light to be condenser. Very nice and incredibly bright, crisp sound. Excellent quality / price. Super easy to place on the spider directly without having to unscrew anything. I use it to covers and the sound is very professional. "&amp;"I've even used the hand holding it and the quality of the sound does not change if you do not move. If you keep it at a distance I have noticed no effect pop and whistle in S but not use the filter. I have two friends who use it to make online tutorials a"&amp;"bout singing and talking as much when they sing the sound is very good. I arrived at the appointed time and very well packaged. I recommend it.")</f>
        <v>Silvia The microphone is light to be condenser. Very nice and incredibly bright, crisp sound. Excellent quality / price. Super easy to place on the spider directly without having to unscrew anything. I use it to covers and the sound is very professional. I've even used the hand holding it and the quality of the sound does not change if you do not move. If you keep it at a distance I have noticed no effect pop and whistle in S but not use the filter. I have two friends who use it to make online tutorials about singing and talking as much when they sing the sound is very good. I arrived at the appointed time and very well packaged. I recommend it.</v>
      </c>
    </row>
    <row r="11463">
      <c r="A11463" s="1">
        <v>5.0</v>
      </c>
      <c r="B11463" s="1" t="s">
        <v>11365</v>
      </c>
      <c r="C11463" t="str">
        <f>IFERROR(__xludf.DUMMYFUNCTION("GOOGLETRANSLATE(B11463, ""es"", ""en"")"),"Seems a gshock Excellent performance and style.")</f>
        <v>Seems a gshock Excellent performance and style.</v>
      </c>
    </row>
    <row r="11464">
      <c r="A11464" s="1">
        <v>5.0</v>
      </c>
      <c r="B11464" s="1" t="s">
        <v>11366</v>
      </c>
      <c r="C11464" t="str">
        <f>IFERROR(__xludf.DUMMYFUNCTION("GOOGLETRANSLATE(B11464, ""es"", ""en"")"),"I recommend Easy to use, heats up fast and practical design.")</f>
        <v>I recommend Easy to use, heats up fast and practical design.</v>
      </c>
    </row>
    <row r="11465">
      <c r="A11465" s="1">
        <v>5.0</v>
      </c>
      <c r="B11465" s="1" t="s">
        <v>11367</v>
      </c>
      <c r="C11465" t="str">
        <f>IFERROR(__xludf.DUMMYFUNCTION("GOOGLETRANSLATE(B11465, ""es"", ""en"")"),"Serve to rediscover music My first quality headphones for music rather sub-bass and bass lines are cane bike, not distorted and super clean hear from indie, techno, electronic, pop (apparently lied but you can see the paste-level inverted yield in many so"&amp;"ngs of famous pop), maybe to rock, punk and metal is little appreciated but often is a matter of the mixing of the songs themselves because in most recent works of metal can be seen a more powerful and relevant low. Leaving bass, mids i also spectacular a"&amp;"re highs and together give a sense of depth very particular and pleasant. Also use them for production, sometimes going 8 hours of pull with them, they are not heavy or uncomfortable, but if you spend much time with them to the take them off is a relief. "&amp;"As for the finish, it seems pretty tough because of the metal reinforcement have, so even those have looked like a baby. For now, best buy I've done in headphones and may be the best purchase of my life, I spend whole evenings with them just listening to "&amp;"music, I can not enjoy music with other media, I need help :(")</f>
        <v>Serve to rediscover music My first quality headphones for music rather sub-bass and bass lines are cane bike, not distorted and super clean hear from indie, techno, electronic, pop (apparently lied but you can see the paste-level inverted yield in many songs of famous pop), maybe to rock, punk and metal is little appreciated but often is a matter of the mixing of the songs themselves because in most recent works of metal can be seen a more powerful and relevant low. Leaving bass, mids i also spectacular are highs and together give a sense of depth very particular and pleasant. Also use them for production, sometimes going 8 hours of pull with them, they are not heavy or uncomfortable, but if you spend much time with them to the take them off is a relief. As for the finish, it seems pretty tough because of the metal reinforcement have, so even those have looked like a baby. For now, best buy I've done in headphones and may be the best purchase of my life, I spend whole evenings with them just listening to music, I can not enjoy music with other media, I need help :(</v>
      </c>
    </row>
    <row r="11466">
      <c r="A11466" s="1">
        <v>5.0</v>
      </c>
      <c r="B11466" s="1" t="s">
        <v>11368</v>
      </c>
      <c r="C11466" t="str">
        <f>IFERROR(__xludf.DUMMYFUNCTION("GOOGLETRANSLATE(B11466, ""es"", ""en"")"),"New connection. I used multiple hard drives but this is the first that has USB connection C and I must say it is something very new. It is as fast as a USB 3.0 and runs smoothly. Also with W7 it detected no problems and configured to first. He also came a"&amp;"t a great price. I recommend it.")</f>
        <v>New connection. I used multiple hard drives but this is the first that has USB connection C and I must say it is something very new. It is as fast as a USB 3.0 and runs smoothly. Also with W7 it detected no problems and configured to first. He also came at a great price. I recommend it.</v>
      </c>
    </row>
    <row r="11467">
      <c r="A11467" s="1">
        <v>2.0</v>
      </c>
      <c r="B11467" s="1" t="s">
        <v>11369</v>
      </c>
      <c r="C11467" t="str">
        <f>IFERROR(__xludf.DUMMYFUNCTION("GOOGLETRANSLATE(B11467, ""es"", ""en"")"),"They are not for whether you're expecting an extreme bass will tell you that do not buy for 28 euros have bluetooth headphones that sound three times .. comes with 3 sponges to size if you orejon and a bag to keep them but as I say if you're expecting who"&amp;" will very loud do not buy! I have a few that came with the phone ringing more ...")</f>
        <v>They are not for whether you're expecting an extreme bass will tell you that do not buy for 28 euros have bluetooth headphones that sound three times .. comes with 3 sponges to size if you orejon and a bag to keep them but as I say if you're expecting who will very loud do not buy! I have a few that came with the phone ringing more ...</v>
      </c>
    </row>
    <row r="11468">
      <c r="A11468" s="1">
        <v>3.0</v>
      </c>
      <c r="B11468" s="1" t="s">
        <v>11370</v>
      </c>
      <c r="C11468" t="str">
        <f>IFERROR(__xludf.DUMMYFUNCTION("GOOGLETRANSLATE(B11468, ""es"", ""en"")"),"Gift For the price is not bad. It is as described. Gift is also perfect size are nice and fair.")</f>
        <v>Gift For the price is not bad. It is as described. Gift is also perfect size are nice and fair.</v>
      </c>
    </row>
    <row r="11469">
      <c r="A11469" s="1">
        <v>3.0</v>
      </c>
      <c r="B11469" s="1" t="s">
        <v>11371</v>
      </c>
      <c r="C11469" t="str">
        <f>IFERROR(__xludf.DUMMYFUNCTION("GOOGLETRANSLATE(B11469, ""es"", ""en"")"),"We bought bought gift and birthday gift shoulder function apart we buy a battery to recharge phones and to whom I give you hopped on one foot of joy, you molo.")</f>
        <v>We bought bought gift and birthday gift shoulder function apart we buy a battery to recharge phones and to whom I give you hopped on one foot of joy, you molo.</v>
      </c>
    </row>
    <row r="11470">
      <c r="A11470" s="1">
        <v>1.0</v>
      </c>
      <c r="B11470" s="1" t="s">
        <v>11372</v>
      </c>
      <c r="C11470" t="str">
        <f>IFERROR(__xludf.DUMMYFUNCTION("GOOGLETRANSLATE(B11470, ""es"", ""en"")"),"Not next image! The image corresponds to the Cedre product, and description puts Cotonet.")</f>
        <v>Not next image! The image corresponds to the Cedre product, and description puts Cotonet.</v>
      </c>
    </row>
    <row r="11471">
      <c r="A11471" s="1">
        <v>1.0</v>
      </c>
      <c r="B11471" s="1" t="s">
        <v>11373</v>
      </c>
      <c r="C11471" t="str">
        <f>IFERROR(__xludf.DUMMYFUNCTION("GOOGLETRANSLATE(B11471, ""es"", ""en"")"),"A cheap and lousy 64GB USB 3.0 so slow that died within 2 months of use. ill-considered")</f>
        <v>A cheap and lousy 64GB USB 3.0 so slow that died within 2 months of use. ill-considered</v>
      </c>
    </row>
    <row r="11472">
      <c r="A11472" s="1">
        <v>1.0</v>
      </c>
      <c r="B11472" s="1" t="s">
        <v>11374</v>
      </c>
      <c r="C11472" t="str">
        <f>IFERROR(__xludf.DUMMYFUNCTION("GOOGLETRANSLATE(B11472, ""es"", ""en"")"),"Mala comprq not comfortable. Not would buy again. Bad buy. I thought that victory would be more comfortable.")</f>
        <v>Mala comprq not comfortable. Not would buy again. Bad buy. I thought that victory would be more comfortable.</v>
      </c>
    </row>
    <row r="11473">
      <c r="A11473" s="1">
        <v>4.0</v>
      </c>
      <c r="B11473" s="1" t="s">
        <v>3378</v>
      </c>
      <c r="C11473" t="str">
        <f>IFERROR(__xludf.DUMMYFUNCTION("GOOGLETRANSLATE(B11473, ""es"", ""en"")"),"right right")</f>
        <v>right right</v>
      </c>
    </row>
    <row r="11474">
      <c r="A11474" s="1">
        <v>4.0</v>
      </c>
      <c r="B11474" s="1" t="s">
        <v>11375</v>
      </c>
      <c r="C11474" t="str">
        <f>IFERROR(__xludf.DUMMYFUNCTION("GOOGLETRANSLATE(B11474, ""es"", ""en"")"),"Comodisimos Very comfortable, all highlight something big coming")</f>
        <v>Comodisimos Very comfortable, all highlight something big coming</v>
      </c>
    </row>
    <row r="11475">
      <c r="A11475" s="1">
        <v>4.0</v>
      </c>
      <c r="B11475" s="1" t="s">
        <v>11376</v>
      </c>
      <c r="C11475" t="str">
        <f>IFERROR(__xludf.DUMMYFUNCTION("GOOGLETRANSLATE(B11475, ""es"", ""en"")"),"Large Numbering large order one size smaller")</f>
        <v>Large Numbering large order one size smaller</v>
      </c>
    </row>
    <row r="11476">
      <c r="A11476" s="1">
        <v>4.0</v>
      </c>
      <c r="B11476" s="1" t="s">
        <v>11377</v>
      </c>
      <c r="C11476" t="str">
        <f>IFERROR(__xludf.DUMMYFUNCTION("GOOGLETRANSLATE(B11476, ""es"", ""en"")"),"Improvable does its job but the cord is very loose tube to buy another")</f>
        <v>Improvable does its job but the cord is very loose tube to buy another</v>
      </c>
    </row>
    <row r="11477">
      <c r="A11477" s="1">
        <v>5.0</v>
      </c>
      <c r="B11477" s="1" t="s">
        <v>11378</v>
      </c>
      <c r="C11477" t="str">
        <f>IFERROR(__xludf.DUMMYFUNCTION("GOOGLETRANSLATE(B11477, ""es"", ""en"")"),"Quality is the same as photo")</f>
        <v>Quality is the same as photo</v>
      </c>
    </row>
    <row r="11478">
      <c r="A11478" s="1">
        <v>5.0</v>
      </c>
      <c r="B11478" s="1" t="s">
        <v>11379</v>
      </c>
      <c r="C11478" t="str">
        <f>IFERROR(__xludf.DUMMYFUNCTION("GOOGLETRANSLATE(B11478, ""es"", ""en"")"),"Very handy SSD external portable 500GB. In my case I bought as refurbished which as I said before, if it were not for the sticker that indicates nobody would say, mine came up sealed. Is quite small, it has a faster read / very good for writing USB 3.0, i"&amp;"f you connect to a 3.1 port (USB - C), the speeds are better but have not been able to test performance. I'll update the comment with a capture speed test. In the box has two USB cables, on the one hand to a USB-USB C-C and on the other USB-C to USB 3.0. "&amp;"It can be used interchangeably on Macs and Windows when you format as long as Ex-FAT or NTFS if you use Mac OS use some software to write to NTFS as Tuxera NTFS or Paragon NTFS. Highly recommended.")</f>
        <v>Very handy SSD external portable 500GB. In my case I bought as refurbished which as I said before, if it were not for the sticker that indicates nobody would say, mine came up sealed. Is quite small, it has a faster read / very good for writing USB 3.0, if you connect to a 3.1 port (USB - C), the speeds are better but have not been able to test performance. I'll update the comment with a capture speed test. In the box has two USB cables, on the one hand to a USB-USB C-C and on the other USB-C to USB 3.0. It can be used interchangeably on Macs and Windows when you format as long as Ex-FAT or NTFS if you use Mac OS use some software to write to NTFS as Tuxera NTFS or Paragon NTFS. Highly recommended.</v>
      </c>
    </row>
    <row r="11479">
      <c r="A11479" s="1">
        <v>5.0</v>
      </c>
      <c r="B11479" s="1" t="s">
        <v>11380</v>
      </c>
      <c r="C11479" t="str">
        <f>IFERROR(__xludf.DUMMYFUNCTION("GOOGLETRANSLATE(B11479, ""es"", ""en"")"),"Fast Shipping All perfect")</f>
        <v>Fast Shipping All perfect</v>
      </c>
    </row>
    <row r="11480">
      <c r="A11480" s="1">
        <v>5.0</v>
      </c>
      <c r="B11480" s="1" t="s">
        <v>11381</v>
      </c>
      <c r="C11480" t="str">
        <f>IFERROR(__xludf.DUMMYFUNCTION("GOOGLETRANSLATE(B11480, ""es"", ""en"")"),"It is recommended comodisima")</f>
        <v>It is recommended comodisima</v>
      </c>
    </row>
    <row r="11481">
      <c r="A11481" s="1">
        <v>5.0</v>
      </c>
      <c r="B11481" s="1" t="s">
        <v>11382</v>
      </c>
      <c r="C11481" t="str">
        <f>IFERROR(__xludf.DUMMYFUNCTION("GOOGLETRANSLATE(B11481, ""es"", ""en"")"),"This bracelet is perfect gift perfect for a gift. It is very thin and elegant, combining with any style, whether casual or fixed. It is good quality and it seems durable. It is a bag for storage and as I said, is perfect gift. Drawing The Tree of Life it "&amp;"is surrounded by a circle composed of small pebbles that make it even prettier and distinguished. The black velvet rope bracelet is attached to the circumference on both sides making the drawing is always right; It also is soft to touch and therefore does"&amp;" not damage the skin. This bracelet can perfectly fit any wrist thanks to the closing carrying, being very easy I wear it yourself without help.")</f>
        <v>This bracelet is perfect gift perfect for a gift. It is very thin and elegant, combining with any style, whether casual or fixed. It is good quality and it seems durable. It is a bag for storage and as I said, is perfect gift. Drawing The Tree of Life it is surrounded by a circle composed of small pebbles that make it even prettier and distinguished. The black velvet rope bracelet is attached to the circumference on both sides making the drawing is always right; It also is soft to touch and therefore does not damage the skin. This bracelet can perfectly fit any wrist thanks to the closing carrying, being very easy I wear it yourself without help.</v>
      </c>
    </row>
    <row r="11482">
      <c r="A11482" s="1">
        <v>5.0</v>
      </c>
      <c r="B11482" s="1" t="s">
        <v>11383</v>
      </c>
      <c r="C11482" t="str">
        <f>IFERROR(__xludf.DUMMYFUNCTION("GOOGLETRANSLATE(B11482, ""es"", ""en"")"),"I love The sole is as squishy and comfortable gel ... for the summer skin not give heat in winter but jeans are super-cute ... I really like the truth. Very happy.")</f>
        <v>I love The sole is as squishy and comfortable gel ... for the summer skin not give heat in winter but jeans are super-cute ... I really like the truth. Very happy.</v>
      </c>
    </row>
    <row r="11483">
      <c r="A11483" s="1">
        <v>5.0</v>
      </c>
      <c r="B11483" s="1" t="s">
        <v>11384</v>
      </c>
      <c r="C11483" t="str">
        <f>IFERROR(__xludf.DUMMYFUNCTION("GOOGLETRANSLATE(B11483, ""es"", ""en"")"),"Frog jumps ... cnformere received.")</f>
        <v>Frog jumps ... cnformere received.</v>
      </c>
    </row>
    <row r="11484">
      <c r="A11484" s="1">
        <v>5.0</v>
      </c>
      <c r="B11484" s="1" t="s">
        <v>11385</v>
      </c>
      <c r="C11484" t="str">
        <f>IFERROR(__xludf.DUMMYFUNCTION("GOOGLETRANSLATE(B11484, ""es"", ""en"")"),"Original is beautiful, but gives little size, ideal for between time")</f>
        <v>Original is beautiful, but gives little size, ideal for between time</v>
      </c>
    </row>
    <row r="11485">
      <c r="A11485" s="1">
        <v>5.0</v>
      </c>
      <c r="B11485" s="1" t="s">
        <v>11386</v>
      </c>
      <c r="C11485" t="str">
        <f>IFERROR(__xludf.DUMMYFUNCTION("GOOGLETRANSLATE(B11485, ""es"", ""en"")"),"Ok it is the right size. as I expected. It is the right size is as I expected. Next time buy the same brand again")</f>
        <v>Ok it is the right size. as I expected. It is the right size is as I expected. Next time buy the same brand again</v>
      </c>
    </row>
    <row r="11486">
      <c r="A11486" s="1">
        <v>5.0</v>
      </c>
      <c r="B11486" s="1" t="s">
        <v>11387</v>
      </c>
      <c r="C11486" t="str">
        <f>IFERROR(__xludf.DUMMYFUNCTION("GOOGLETRANSLATE(B11486, ""es"", ""en"")"),"Elected fulfills its function to connect different machines for cardio workouts / bike / static. It works perfectly and meets its specifications getting connect multiple devices simultaneously.")</f>
        <v>Elected fulfills its function to connect different machines for cardio workouts / bike / static. It works perfectly and meets its specifications getting connect multiple devices simultaneously.</v>
      </c>
    </row>
    <row r="11487">
      <c r="A11487" s="1">
        <v>5.0</v>
      </c>
      <c r="B11487" s="1" t="s">
        <v>11388</v>
      </c>
      <c r="C11487" t="str">
        <f>IFERROR(__xludf.DUMMYFUNCTION("GOOGLETRANSLATE(B11487, ""es"", ""en"")"),"perfect gift for a gift, very beautiful, sterling silver beautifully packaged with seal and guarantee lotus. there is a beautiful inscription loved me and sure to delight the person who is addressed")</f>
        <v>perfect gift for a gift, very beautiful, sterling silver beautifully packaged with seal and guarantee lotus. there is a beautiful inscription loved me and sure to delight the person who is addressed</v>
      </c>
    </row>
    <row r="11488">
      <c r="A11488" s="1">
        <v>5.0</v>
      </c>
      <c r="B11488" s="1" t="s">
        <v>11389</v>
      </c>
      <c r="C11488" t="str">
        <f>IFERROR(__xludf.DUMMYFUNCTION("GOOGLETRANSLATE(B11488, ""es"", ""en"")"),"Casio watch golden color. + Nice esthetically. + Casio is synonymous with quality and durable battery. + Good quality / price. Nothing negative highlight. Complies at all.")</f>
        <v>Casio watch golden color. + Nice esthetically. + Casio is synonymous with quality and durable battery. + Good quality / price. Nothing negative highlight. Complies at all.</v>
      </c>
    </row>
    <row r="11489">
      <c r="A11489" s="1">
        <v>5.0</v>
      </c>
      <c r="B11489" s="1" t="s">
        <v>11390</v>
      </c>
      <c r="C11489" t="str">
        <f>IFERROR(__xludf.DUMMYFUNCTION("GOOGLETRANSLATE(B11489, ""es"", ""en"")"),"Very discreet and easy to use Llego very dated and in good condition. It is very comfortable and discreet to use. It is also very easy to use. The only downside is that it is very fragile. This is the second I bought because the first one I fell into a de"&amp;"apiste and stopped working. Despite that I recommend.")</f>
        <v>Very discreet and easy to use Llego very dated and in good condition. It is very comfortable and discreet to use. It is also very easy to use. The only downside is that it is very fragile. This is the second I bought because the first one I fell into a deapiste and stopped working. Despite that I recommend.</v>
      </c>
    </row>
    <row r="11490">
      <c r="A11490" s="1">
        <v>5.0</v>
      </c>
      <c r="B11490" s="1" t="s">
        <v>11391</v>
      </c>
      <c r="C11490" t="str">
        <f>IFERROR(__xludf.DUMMYFUNCTION("GOOGLETRANSLATE(B11490, ""es"", ""en"")"),"Great is very spacious, very good to massage, and comfortable. Holds great weight, very good stretcher. I recommend it.")</f>
        <v>Great is very spacious, very good to massage, and comfortable. Holds great weight, very good stretcher. I recommend it.</v>
      </c>
    </row>
    <row r="11491">
      <c r="A11491" s="1">
        <v>5.0</v>
      </c>
      <c r="B11491" s="1" t="s">
        <v>11392</v>
      </c>
      <c r="C11491" t="str">
        <f>IFERROR(__xludf.DUMMYFUNCTION("GOOGLETRANSLATE(B11491, ""es"", ""en"")"),"Botas excellent product quality name brand Dunlop. The received very fast and very well. They are of very good quality and have a nice design. I recommend it. If this view was useless to you, do not forget to leave me a vote.")</f>
        <v>Botas excellent product quality name brand Dunlop. The received very fast and very well. They are of very good quality and have a nice design. I recommend it. If this view was useless to you, do not forget to leave me a vote.</v>
      </c>
    </row>
    <row r="11492">
      <c r="A11492" s="1">
        <v>5.0</v>
      </c>
      <c r="B11492" s="1" t="s">
        <v>11393</v>
      </c>
      <c r="C11492" t="str">
        <f>IFERROR(__xludf.DUMMYFUNCTION("GOOGLETRANSLATE(B11492, ""es"", ""en"")"),"Justito is what it is, so it will not ask for more, does not make strange noises and it works really well.")</f>
        <v>Justito is what it is, so it will not ask for more, does not make strange noises and it works really well.</v>
      </c>
    </row>
    <row r="11493">
      <c r="A11493" s="1">
        <v>5.0</v>
      </c>
      <c r="B11493" s="1" t="s">
        <v>11394</v>
      </c>
      <c r="C11493" t="str">
        <f>IFERROR(__xludf.DUMMYFUNCTION("GOOGLETRANSLATE(B11493, ""es"", ""en"")"),"Andrea Nice nice nice. The quality of materials is very good, the power of the engine never fails, perfect product to buy")</f>
        <v>Andrea Nice nice nice. The quality of materials is very good, the power of the engine never fails, perfect product to buy</v>
      </c>
    </row>
    <row r="11494">
      <c r="A11494" s="1">
        <v>5.0</v>
      </c>
      <c r="B11494" s="1" t="s">
        <v>11395</v>
      </c>
      <c r="C11494" t="str">
        <f>IFERROR(__xludf.DUMMYFUNCTION("GOOGLETRANSLATE(B11494, ""es"", ""en"")"),"Perfect Perfect size for size medium / small kitchen works very well.")</f>
        <v>Perfect Perfect size for size medium / small kitchen works very well.</v>
      </c>
    </row>
    <row r="11495">
      <c r="A11495" s="1">
        <v>5.0</v>
      </c>
      <c r="B11495" s="1" t="s">
        <v>11396</v>
      </c>
      <c r="C11495" t="str">
        <f>IFERROR(__xludf.DUMMYFUNCTION("GOOGLETRANSLATE(B11495, ""es"", ""en"")"),"meets described this very well the bucket cleaner for walls and ceilings phenomenal, this is not the Bible to having to write a textamento")</f>
        <v>meets described this very well the bucket cleaner for walls and ceilings phenomenal, this is not the Bible to having to write a textamento</v>
      </c>
    </row>
    <row r="11496">
      <c r="A11496" s="1">
        <v>2.0</v>
      </c>
      <c r="B11496" s="1" t="s">
        <v>11397</v>
      </c>
      <c r="C11496" t="str">
        <f>IFERROR(__xludf.DUMMYFUNCTION("GOOGLETRANSLATE(B11496, ""es"", ""en"")"),"Simple and inexpensive. Sencillita, does the job. Good value for money. Disassemble the head does not allow for washing but is priced very tight.")</f>
        <v>Simple and inexpensive. Sencillita, does the job. Good value for money. Disassemble the head does not allow for washing but is priced very tight.</v>
      </c>
    </row>
    <row r="11497">
      <c r="A11497" s="1">
        <v>3.0</v>
      </c>
      <c r="B11497" s="1" t="s">
        <v>11398</v>
      </c>
      <c r="C11497" t="str">
        <f>IFERROR(__xludf.DUMMYFUNCTION("GOOGLETRANSLATE(B11497, ""es"", ""en"")"),"USB ECONOMIC, FOR FILES large well, many small MAL I dedicate many years to computer and can give an opinion from my technical perspective on this report, I notice that it is not the best I've had, economical but slow usually. The USB memory reaches a bli"&amp;"ster like most USB flash drives. I've been using and testing on two different laptops, to make sure, measurements and tests, they were correct. This is the USB version arcanite 256 GB USB 3.1. • This memory comes in FAT32 format, freeing really a 115Gbyte"&amp;" amount of memory, this is normal because it reserves a part for the system, do not be scared by it. • The full format, not quick, it takes your thing, but I always like to do it with new memories newcomers. • As for copying speed is not as fast as advert"&amp;"ised, with large files works well, but for many small copying the result is bad. In the test I've done you are appreciated latter, speed close to 323 Mb / s in reading and 104.4Mb in writing, provided sequentially in small sizes is seen to be very poor pe"&amp;"rformance it has. NTFS formatted to work somewhat faster, but without a difference to note. Therefore it is a USB stick that has an acceptable performance with large files, for many small files and the worse thing by far and away from the promised 400MB r"&amp;"eading (though it says so). Copies files recommended if large and looking for an affordable USB, otherwise no.")</f>
        <v>USB ECONOMIC, FOR FILES large well, many small MAL I dedicate many years to computer and can give an opinion from my technical perspective on this report, I notice that it is not the best I've had, economical but slow usually. The USB memory reaches a blister like most USB flash drives. I've been using and testing on two different laptops, to make sure, measurements and tests, they were correct. This is the USB version arcanite 256 GB USB 3.1. • This memory comes in FAT32 format, freeing really a 115Gbyte amount of memory, this is normal because it reserves a part for the system, do not be scared by it. • The full format, not quick, it takes your thing, but I always like to do it with new memories newcomers. • As for copying speed is not as fast as advertised, with large files works well, but for many small copying the result is bad. In the test I've done you are appreciated latter, speed close to 323 Mb / s in reading and 104.4Mb in writing, provided sequentially in small sizes is seen to be very poor performance it has. NTFS formatted to work somewhat faster, but without a difference to note. Therefore it is a USB stick that has an acceptable performance with large files, for many small files and the worse thing by far and away from the promised 400MB reading (though it says so). Copies files recommended if large and looking for an affordable USB, otherwise no.</v>
      </c>
    </row>
    <row r="11498">
      <c r="A11498" s="1">
        <v>3.0</v>
      </c>
      <c r="B11498" s="1" t="s">
        <v>11399</v>
      </c>
      <c r="C11498" t="str">
        <f>IFERROR(__xludf.DUMMYFUNCTION("GOOGLETRANSLATE(B11498, ""es"", ""en"")"),"Price and normal quality .. They are the best for day to day is how to solve pa for 1 or 2 months are normal ... between price and quality fit ..")</f>
        <v>Price and normal quality .. They are the best for day to day is how to solve pa for 1 or 2 months are normal ... between price and quality fit ..</v>
      </c>
    </row>
    <row r="11499">
      <c r="A11499" s="1">
        <v>1.0</v>
      </c>
      <c r="B11499" s="1" t="s">
        <v>11400</v>
      </c>
      <c r="C11499" t="str">
        <f>IFERROR(__xludf.DUMMYFUNCTION("GOOGLETRANSLATE(B11499, ""es"", ""en"")"),"It brings good luck but it is of poor quality. Two days were lost little balls bearing and the eye was released to the short time of use.")</f>
        <v>It brings good luck but it is of poor quality. Two days were lost little balls bearing and the eye was released to the short time of use.</v>
      </c>
    </row>
    <row r="11500">
      <c r="A11500" s="1">
        <v>4.0</v>
      </c>
      <c r="B11500" s="1" t="s">
        <v>11401</v>
      </c>
      <c r="C11500" t="str">
        <f>IFERROR(__xludf.DUMMYFUNCTION("GOOGLETRANSLATE(B11500, ""es"", ""en"")"),"Very good buy never had hooves of a good brand. Just watch the box and the presentation of the product makes you see that these helmets are different. After several hours I look very comfortable and isolate the necessary from the outside. The audio I feel"&amp;" very good, neutral and lets you hear all the instruments without any tape to another. Yes, they 42ohm start asking a fountain with some chicha. If they are for use with mobile'd better take a good listen DAC or low.")</f>
        <v>Very good buy never had hooves of a good brand. Just watch the box and the presentation of the product makes you see that these helmets are different. After several hours I look very comfortable and isolate the necessary from the outside. The audio I feel very good, neutral and lets you hear all the instruments without any tape to another. Yes, they 42ohm start asking a fountain with some chicha. If they are for use with mobile'd better take a good listen DAC or low.</v>
      </c>
    </row>
    <row r="11501">
      <c r="A11501" s="1">
        <v>4.0</v>
      </c>
      <c r="B11501" s="1" t="s">
        <v>11402</v>
      </c>
      <c r="C11501" t="str">
        <f>IFERROR(__xludf.DUMMYFUNCTION("GOOGLETRANSLATE(B11501, ""es"", ""en"")"),"The size is small return the product for a larger size, I llelvo usually from 42.5 to 43, I bought the 43 and I will jutisimo")</f>
        <v>The size is small return the product for a larger size, I llelvo usually from 42.5 to 43, I bought the 43 and I will jutisimo</v>
      </c>
    </row>
    <row r="11502">
      <c r="A11502" s="1">
        <v>4.0</v>
      </c>
      <c r="B11502" s="1" t="s">
        <v>11403</v>
      </c>
      <c r="C11502" t="str">
        <f>IFERROR(__xludf.DUMMYFUNCTION("GOOGLETRANSLATE(B11502, ""es"", ""en"")"),"Filer cards acceptable quality acceptable quality covers and plastic sheets to keep the cards besides having a notch to extract power in the seam there is a small gap for a better introduction of the card. a greeting")</f>
        <v>Filer cards acceptable quality acceptable quality covers and plastic sheets to keep the cards besides having a notch to extract power in the seam there is a small gap for a better introduction of the card. a greeting</v>
      </c>
    </row>
    <row r="11503">
      <c r="A11503" s="1">
        <v>4.0</v>
      </c>
      <c r="B11503" s="1" t="s">
        <v>11404</v>
      </c>
      <c r="C11503" t="str">
        <f>IFERROR(__xludf.DUMMYFUNCTION("GOOGLETRANSLATE(B11503, ""es"", ""en"")"),"I like good buy because if not make noises to the use grinds very quickly and also the emulsifier sauces")</f>
        <v>I like good buy because if not make noises to the use grinds very quickly and also the emulsifier sauces</v>
      </c>
    </row>
    <row r="11504">
      <c r="A11504" s="1">
        <v>4.0</v>
      </c>
      <c r="B11504" s="1" t="s">
        <v>11405</v>
      </c>
      <c r="C11504" t="str">
        <f>IFERROR(__xludf.DUMMYFUNCTION("GOOGLETRANSLATE(B11504, ""es"", ""en"")"),"Good buys the product is good and for that price come two bottles. Good quality, the scale of numbers is not erased by washing.")</f>
        <v>Good buys the product is good and for that price come two bottles. Good quality, the scale of numbers is not erased by washing.</v>
      </c>
    </row>
    <row r="11505">
      <c r="A11505" s="1">
        <v>5.0</v>
      </c>
      <c r="B11505" s="1" t="s">
        <v>11406</v>
      </c>
      <c r="C11505" t="str">
        <f>IFERROR(__xludf.DUMMYFUNCTION("GOOGLETRANSLATE(B11505, ""es"", ""en"")"),"Watch eighties style but updated aesthetics Although I bought it for a gift and can not vouch for their use, appearance is very beautiful and elegant. Thinner than the previous version we all remember small. And it is waterproof and is well priced. The sh"&amp;"ipping was very fast. I recommend it and would buy.")</f>
        <v>Watch eighties style but updated aesthetics Although I bought it for a gift and can not vouch for their use, appearance is very beautiful and elegant. Thinner than the previous version we all remember small. And it is waterproof and is well priced. The shipping was very fast. I recommend it and would buy.</v>
      </c>
    </row>
    <row r="11506">
      <c r="A11506" s="1">
        <v>5.0</v>
      </c>
      <c r="B11506" s="1" t="s">
        <v>11407</v>
      </c>
      <c r="C11506" t="str">
        <f>IFERROR(__xludf.DUMMYFUNCTION("GOOGLETRANSLATE(B11506, ""es"", ""en"")"),"Are very rude man woman Are you sign for both women and for men, but they are buying more crude in the finish, I had to buy them but not cool woman swims spend and buy back very badly")</f>
        <v>Are very rude man woman Are you sign for both women and for men, but they are buying more crude in the finish, I had to buy them but not cool woman swims spend and buy back very badly</v>
      </c>
    </row>
    <row r="11507">
      <c r="A11507" s="1">
        <v>5.0</v>
      </c>
      <c r="B11507" s="1" t="s">
        <v>11408</v>
      </c>
      <c r="C11507" t="str">
        <f>IFERROR(__xludf.DUMMYFUNCTION("GOOGLETRANSLATE(B11507, ""es"", ""en"")"),"the casio watch is very good brand and also the watch is a handsome past.")</f>
        <v>the casio watch is very good brand and also the watch is a handsome past.</v>
      </c>
    </row>
    <row r="11508">
      <c r="A11508" s="1">
        <v>5.0</v>
      </c>
      <c r="B11508" s="1" t="s">
        <v>11409</v>
      </c>
      <c r="C11508" t="str">
        <f>IFERROR(__xludf.DUMMYFUNCTION("GOOGLETRANSLATE(B11508, ""es"", ""en"")"),"Good watch This watch is great, very light and beautiful. It is comfortable, not noticeable, for this price you ask for anything more, excellent")</f>
        <v>Good watch This watch is great, very light and beautiful. It is comfortable, not noticeable, for this price you ask for anything more, excellent</v>
      </c>
    </row>
    <row r="11509">
      <c r="A11509" s="1">
        <v>5.0</v>
      </c>
      <c r="B11509" s="1" t="s">
        <v>11410</v>
      </c>
      <c r="C11509" t="str">
        <f>IFERROR(__xludf.DUMMYFUNCTION("GOOGLETRANSLATE(B11509, ""es"", ""en"")"),"Practical and original classic Casio watch with all the usual functions (alarm, chrome and light). Say that light is not like watches before you had to hold down the button to light, it has an orange light that lasts a few seconds. Very nice color, but it"&amp;" is not as rosy as images of the announcement, I would rather a mix of pink and copper. Very happy with the purchase.")</f>
        <v>Practical and original classic Casio watch with all the usual functions (alarm, chrome and light). Say that light is not like watches before you had to hold down the button to light, it has an orange light that lasts a few seconds. Very nice color, but it is not as rosy as images of the announcement, I would rather a mix of pink and copper. Very happy with the purchase.</v>
      </c>
    </row>
    <row r="11510">
      <c r="A11510" s="1">
        <v>5.0</v>
      </c>
      <c r="B11510" s="1" t="s">
        <v>11411</v>
      </c>
      <c r="C11510" t="str">
        <f>IFERROR(__xludf.DUMMYFUNCTION("GOOGLETRANSLATE(B11510, ""es"", ""en"")"),"Very convenient and great quality, I liked")</f>
        <v>Very convenient and great quality, I liked</v>
      </c>
    </row>
    <row r="11511">
      <c r="A11511" s="1">
        <v>5.0</v>
      </c>
      <c r="B11511" s="1" t="s">
        <v>11412</v>
      </c>
      <c r="C11511" t="str">
        <f>IFERROR(__xludf.DUMMYFUNCTION("GOOGLETRANSLATE(B11511, ""es"", ""en"")"),"Very good at the price they recommend these RAM modules, complies perfectly with everything it advertises, has arrived in time and is useful / cheap mu. Thank you very much and recommend it.")</f>
        <v>Very good at the price they recommend these RAM modules, complies perfectly with everything it advertises, has arrived in time and is useful / cheap mu. Thank you very much and recommend it.</v>
      </c>
    </row>
    <row r="11512">
      <c r="A11512" s="1">
        <v>5.0</v>
      </c>
      <c r="B11512" s="1" t="s">
        <v>11413</v>
      </c>
      <c r="C11512" t="str">
        <f>IFERROR(__xludf.DUMMYFUNCTION("GOOGLETRANSLATE(B11512, ""es"", ""en"")"),"Very good choice. All you have to bear in mind is that the camera or device to which it is intended supports the SDHC cards. Only format the card with the utility supplied by Toshiba, or not function again ...")</f>
        <v>Very good choice. All you have to bear in mind is that the camera or device to which it is intended supports the SDHC cards. Only format the card with the utility supplied by Toshiba, or not function again ...</v>
      </c>
    </row>
    <row r="11513">
      <c r="A11513" s="1">
        <v>5.0</v>
      </c>
      <c r="B11513" s="1" t="s">
        <v>11414</v>
      </c>
      <c r="C11513" t="str">
        <f>IFERROR(__xludf.DUMMYFUNCTION("GOOGLETRANSLATE(B11513, ""es"", ""en"")"),"As in the photo 5 of 5 in all, thoroughly recommended. The sound is very good, they are comfortable, I wear glasses and do not bother and the price you are of sufficient quality.")</f>
        <v>As in the photo 5 of 5 in all, thoroughly recommended. The sound is very good, they are comfortable, I wear glasses and do not bother and the price you are of sufficient quality.</v>
      </c>
    </row>
    <row r="11514">
      <c r="A11514" s="1">
        <v>5.0</v>
      </c>
      <c r="B11514" s="1" t="s">
        <v>11415</v>
      </c>
      <c r="C11514" t="str">
        <f>IFERROR(__xludf.DUMMYFUNCTION("GOOGLETRANSLATE(B11514, ""es"", ""en"")"),"Atrial stunning !! The headphones are spectacular, I could not believe they were so good quality at the price it is perfectly hear and of course have tremendous reach, I reach all corners of the house, it's super easy to connect to any single device there"&amp;" to remove them from the cargo box and are automatically connected. Headphone battery lasts a lot, around 10h of operation and the cargo box has 4 full loads, cargo box is loaded very fast. The box is very nice and has a very good seal to prevent them fro"&amp;"m falling, the box is super small and manageable. The headset has a touch screen mini with just a touch to the handset passed and resume music, with two touches song changed, and we can pick up and hang up calls just touching the handset. His aesthetic is"&amp;" very nice and very comfortable, not at all heavy, so you can take them without hurt you or your hearts content by weight. I recommend 100%")</f>
        <v>Atrial stunning !! The headphones are spectacular, I could not believe they were so good quality at the price it is perfectly hear and of course have tremendous reach, I reach all corners of the house, it's super easy to connect to any single device there to remove them from the cargo box and are automatically connected. Headphone battery lasts a lot, around 10h of operation and the cargo box has 4 full loads, cargo box is loaded very fast. The box is very nice and has a very good seal to prevent them from falling, the box is super small and manageable. The headset has a touch screen mini with just a touch to the handset passed and resume music, with two touches song changed, and we can pick up and hang up calls just touching the handset. His aesthetic is very nice and very comfortable, not at all heavy, so you can take them without hurt you or your hearts content by weight. I recommend 100%</v>
      </c>
    </row>
    <row r="11515">
      <c r="A11515" s="1">
        <v>5.0</v>
      </c>
      <c r="B11515" s="1" t="s">
        <v>11416</v>
      </c>
      <c r="C11515" t="str">
        <f>IFERROR(__xludf.DUMMYFUNCTION("GOOGLETRANSLATE(B11515, ""es"", ""en"")"),"Good material as in the description")</f>
        <v>Good material as in the description</v>
      </c>
    </row>
    <row r="11516">
      <c r="A11516" s="1">
        <v>5.0</v>
      </c>
      <c r="B11516" s="1" t="s">
        <v>11417</v>
      </c>
      <c r="C11516" t="str">
        <f>IFERROR(__xludf.DUMMYFUNCTION("GOOGLETRANSLATE(B11516, ""es"", ""en"")"),"Simplicity gift, and a success is simple and comes beautifully presented in its case.")</f>
        <v>Simplicity gift, and a success is simple and comes beautifully presented in its case.</v>
      </c>
    </row>
    <row r="11517">
      <c r="A11517" s="1">
        <v>5.0</v>
      </c>
      <c r="B11517" s="1" t="s">
        <v>11418</v>
      </c>
      <c r="C11517" t="str">
        <f>IFERROR(__xludf.DUMMYFUNCTION("GOOGLETRANSLATE(B11517, ""es"", ""en"")"),"Is silver is silver, not spoiled. Very pretty")</f>
        <v>Is silver is silver, not spoiled. Very pretty</v>
      </c>
    </row>
    <row r="11518">
      <c r="A11518" s="1">
        <v>5.0</v>
      </c>
      <c r="B11518" s="1" t="s">
        <v>11419</v>
      </c>
      <c r="C11518" t="str">
        <f>IFERROR(__xludf.DUMMYFUNCTION("GOOGLETRANSLATE(B11518, ""es"", ""en"")"),"Very good warm jacket. I light practice")</f>
        <v>Very good warm jacket. I light practice</v>
      </c>
    </row>
    <row r="11519">
      <c r="A11519" s="1">
        <v>5.0</v>
      </c>
      <c r="B11519" s="1" t="s">
        <v>11420</v>
      </c>
      <c r="C11519" t="str">
        <f>IFERROR(__xludf.DUMMYFUNCTION("GOOGLETRANSLATE(B11519, ""es"", ""en"")"),"The name says it all is a brand that I personally have never let me down. I use it in my Mavic Air and runs smoothly. Read speeds and actual writing, in some tests I would have gone even higher than indicated by the manufacturer. Checked with a USB 3.0 Re"&amp;"ader SanDisk on a MacBook Pro.")</f>
        <v>The name says it all is a brand that I personally have never let me down. I use it in my Mavic Air and runs smoothly. Read speeds and actual writing, in some tests I would have gone even higher than indicated by the manufacturer. Checked with a USB 3.0 Reader SanDisk on a MacBook Pro.</v>
      </c>
    </row>
    <row r="11520">
      <c r="A11520" s="1">
        <v>5.0</v>
      </c>
      <c r="B11520" s="1" t="s">
        <v>11421</v>
      </c>
      <c r="C11520" t="str">
        <f>IFERROR(__xludf.DUMMYFUNCTION("GOOGLETRANSLATE(B11520, ""es"", ""en"")"),"Perfect Cool !!! right sizing and my brother delighted with his gift. Only a defect would put q not even default miss a second pair of shoelaces in another color to the next position, then it would be a hoot.")</f>
        <v>Perfect Cool !!! right sizing and my brother delighted with his gift. Only a defect would put q not even default miss a second pair of shoelaces in another color to the next position, then it would be a hoot.</v>
      </c>
    </row>
    <row r="11521">
      <c r="A11521" s="1">
        <v>5.0</v>
      </c>
      <c r="B11521" s="1" t="s">
        <v>11422</v>
      </c>
      <c r="C11521" t="str">
        <f>IFERROR(__xludf.DUMMYFUNCTION("GOOGLETRANSLATE(B11521, ""es"", ""en"")"),"Very nice ragalo I bought it for my father and happy ha. Going great plus large numbers for him are very important. Very good finish and a good price Casio always gives great product. I recommend it.")</f>
        <v>Very nice ragalo I bought it for my father and happy ha. Going great plus large numbers for him are very important. Very good finish and a good price Casio always gives great product. I recommend it.</v>
      </c>
    </row>
    <row r="11522">
      <c r="A11522" s="1">
        <v>5.0</v>
      </c>
      <c r="B11522" s="1" t="s">
        <v>11423</v>
      </c>
      <c r="C11522" t="str">
        <f>IFERROR(__xludf.DUMMYFUNCTION("GOOGLETRANSLATE(B11522, ""es"", ""en"")"),"The size is perfect correct. No need to ask neither more nor less size. Boots are sturdy, comfortable, high quality and are noticeable p .... mother. Sending as always very fast and at a very cheap price for the product is. 100% Recommended")</f>
        <v>The size is perfect correct. No need to ask neither more nor less size. Boots are sturdy, comfortable, high quality and are noticeable p .... mother. Sending as always very fast and at a very cheap price for the product is. 100% Recommended</v>
      </c>
    </row>
    <row r="11523">
      <c r="A11523" s="1">
        <v>2.0</v>
      </c>
      <c r="B11523" s="1" t="s">
        <v>11424</v>
      </c>
      <c r="C11523" t="str">
        <f>IFERROR(__xludf.DUMMYFUNCTION("GOOGLETRANSLATE(B11523, ""es"", ""en"")"),"Uncomfortable The design of these Bibes is very cool, but having so wide the mouth is quite uncomfortable to drink. The large yet but little do not recommend it.")</f>
        <v>Uncomfortable The design of these Bibes is very cool, but having so wide the mouth is quite uncomfortable to drink. The large yet but little do not recommend it.</v>
      </c>
    </row>
    <row r="11524">
      <c r="A11524" s="1">
        <v>3.0</v>
      </c>
      <c r="B11524" s="1" t="s">
        <v>11425</v>
      </c>
      <c r="C11524" t="str">
        <f>IFERROR(__xludf.DUMMYFUNCTION("GOOGLETRANSLATE(B11524, ""es"", ""en"")"),"Not the same color is not the same color as pictured")</f>
        <v>Not the same color is not the same color as pictured</v>
      </c>
    </row>
    <row r="11525">
      <c r="A11525" s="1">
        <v>1.0</v>
      </c>
      <c r="B11525" s="1" t="s">
        <v>11426</v>
      </c>
      <c r="C11525" t="str">
        <f>IFERROR(__xludf.DUMMYFUNCTION("GOOGLETRANSLATE(B11525, ""es"", ""en"")"),"is not what I expected after two weeks of use beads apart hitch lift off that silver has to be not very good quality pq produce an allergic reaction")</f>
        <v>is not what I expected after two weeks of use beads apart hitch lift off that silver has to be not very good quality pq produce an allergic reaction</v>
      </c>
    </row>
    <row r="11526">
      <c r="A11526" s="1">
        <v>1.0</v>
      </c>
      <c r="B11526" s="1" t="s">
        <v>11427</v>
      </c>
      <c r="C11526" t="str">
        <f>IFERROR(__xludf.DUMMYFUNCTION("GOOGLETRANSLATE(B11526, ""es"", ""en"")"),"SCAM, shabby imitation is a scam, are a poor imitation, the same as you can see the street vendors in your city. The box arrived broken a corner, the tough sole (everything is a single piece of plastic), has a strange way, fit much smaller than the origin"&amp;"al and the sole has arrived broken. Of course the I have returned. A shame.")</f>
        <v>SCAM, shabby imitation is a scam, are a poor imitation, the same as you can see the street vendors in your city. The box arrived broken a corner, the tough sole (everything is a single piece of plastic), has a strange way, fit much smaller than the original and the sole has arrived broken. Of course the I have returned. A shame.</v>
      </c>
    </row>
    <row r="11527">
      <c r="A11527" s="1">
        <v>1.0</v>
      </c>
      <c r="B11527" s="1" t="s">
        <v>11428</v>
      </c>
      <c r="C11527" t="str">
        <f>IFERROR(__xludf.DUMMYFUNCTION("GOOGLETRANSLATE(B11527, ""es"", ""en"")"),"No use to paste Japanese curtains type panel detaches easily, wanted to hold type panel curtains Japanese but is off")</f>
        <v>No use to paste Japanese curtains type panel detaches easily, wanted to hold type panel curtains Japanese but is off</v>
      </c>
    </row>
    <row r="11528">
      <c r="A11528" s="1">
        <v>4.0</v>
      </c>
      <c r="B11528" s="1" t="s">
        <v>11429</v>
      </c>
      <c r="C11528" t="str">
        <f>IFERROR(__xludf.DUMMYFUNCTION("GOOGLETRANSLATE(B11528, ""es"", ""en"")"),"Good quality / price Value are fine, we have not released neither my daughter nor I do not know the outcome. But a warning: SMALL Calzan. My daughter asked 40 and 38, do the numbers we use and get us a little fair. Average number recommend ordering more.")</f>
        <v>Good quality / price Value are fine, we have not released neither my daughter nor I do not know the outcome. But a warning: SMALL Calzan. My daughter asked 40 and 38, do the numbers we use and get us a little fair. Average number recommend ordering more.</v>
      </c>
    </row>
    <row r="11529">
      <c r="A11529" s="1">
        <v>4.0</v>
      </c>
      <c r="B11529" s="1" t="s">
        <v>11430</v>
      </c>
      <c r="C11529" t="str">
        <f>IFERROR(__xludf.DUMMYFUNCTION("GOOGLETRANSLATE(B11529, ""es"", ""en"")"),"It's cheap, you can not ask for more is something dry. You could clean better, but for the price they have little could ask for. Value more than correct.")</f>
        <v>It's cheap, you can not ask for more is something dry. You could clean better, but for the price they have little could ask for. Value more than correct.</v>
      </c>
    </row>
    <row r="11530">
      <c r="A11530" s="1">
        <v>4.0</v>
      </c>
      <c r="B11530" s="1" t="s">
        <v>11431</v>
      </c>
      <c r="C11530" t="str">
        <f>IFERROR(__xludf.DUMMYFUNCTION("GOOGLETRANSLATE(B11530, ""es"", ""en"")"),"Normal and current Leggin It's nothing like another world, perhaps is a little small (though perhaps if using). Good value for money. For 5 euros this truth very well, I have seen Leggins Chinese bazaars that are more expensive and are much meaner than th"&amp;"is")</f>
        <v>Normal and current Leggin It's nothing like another world, perhaps is a little small (though perhaps if using). Good value for money. For 5 euros this truth very well, I have seen Leggins Chinese bazaars that are more expensive and are much meaner than this</v>
      </c>
    </row>
    <row r="11531">
      <c r="A11531" s="1">
        <v>4.0</v>
      </c>
      <c r="B11531" s="1" t="s">
        <v>11432</v>
      </c>
      <c r="C11531" t="str">
        <f>IFERROR(__xludf.DUMMYFUNCTION("GOOGLETRANSLATE(B11531, ""es"", ""en"")"),"Good product Good quality product but a shame since the publication regarding the size confused and not clear about other publications. big stick. You can not use it.")</f>
        <v>Good product Good quality product but a shame since the publication regarding the size confused and not clear about other publications. big stick. You can not use it.</v>
      </c>
    </row>
    <row r="11532">
      <c r="A11532" s="1">
        <v>4.0</v>
      </c>
      <c r="B11532" s="1" t="s">
        <v>11433</v>
      </c>
      <c r="C11532" t="str">
        <f>IFERROR(__xludf.DUMMYFUNCTION("GOOGLETRANSLATE(B11532, ""es"", ""en"")"),"I recommend different products used to prevent the fall of hair, this is one of the best ue result has given me.")</f>
        <v>I recommend different products used to prevent the fall of hair, this is one of the best ue result has given me.</v>
      </c>
    </row>
    <row r="11533">
      <c r="A11533" s="1">
        <v>5.0</v>
      </c>
      <c r="B11533" s="1" t="s">
        <v>11434</v>
      </c>
      <c r="C11533" t="str">
        <f>IFERROR(__xludf.DUMMYFUNCTION("GOOGLETRANSLATE(B11533, ""es"", ""en"")"),"100% natural oils I have been quite surprised. I never had bought some oil, but had the humidifier and wanted to try them. At the end, I decided on this and I have to say they are magnificent. They are very cuquis in his box, and smell great. In opening t"&amp;"he box and the smell that it shows. They last much and are 100% pure and natural. I recommend both the quality- price, as they are quite affordable as they give off odors. Thank you.")</f>
        <v>100% natural oils I have been quite surprised. I never had bought some oil, but had the humidifier and wanted to try them. At the end, I decided on this and I have to say they are magnificent. They are very cuquis in his box, and smell great. In opening the box and the smell that it shows. They last much and are 100% pure and natural. I recommend both the quality- price, as they are quite affordable as they give off odors. Thank you.</v>
      </c>
    </row>
    <row r="11534">
      <c r="A11534" s="1">
        <v>5.0</v>
      </c>
      <c r="B11534" s="1" t="s">
        <v>11435</v>
      </c>
      <c r="C11534" t="str">
        <f>IFERROR(__xludf.DUMMYFUNCTION("GOOGLETRANSLATE(B11534, ""es"", ""en"")"),"It has efficiency and quality &lt;div id = ""video-block-R3LFZKPK7X3OLK"" class = ""a-section a-spacing-small a-spacing-top mini video-block""&gt; &lt;div tabindex = ""0"" class = ""airy airy -svg vmin-unsupported airy-skin-beacon ""style ="" background-color: rgb"&amp;" (0, 0, 0) position: relative; width: 100%; height: 100%; font-size: 0px; overflow: hidden ; outline: none; ""&gt; &lt;div class ="" airy-renderer-container ""style ="" position: relative; height: 100%; width: 100%; ""&gt; &lt;video id ="" 7 ""preload ="" auto ""src "&amp;"= ""https://images-eu.ssl-images-amazon.com/images/I/E1KfqavTqKS.mp4"" style = ""position: absolute; left: 0px; top: 0px; overflow: hidden; height: 1px; width : 1px; ""&gt; &lt;/ video&gt; &lt;/ div&gt; &lt;div id ="" airy-slate-preload ""style ="" background-color: rgb (0"&amp;", 0, 0); background-image: url (&amp; quot; https: //images-eu.ssl-images-amazon.com/images/I/A1-AryNXXTS.png&amp;quot;); background-size: Contain; background-position: center center; background-repeat: no-repeat; position: absolute ; top: 0px; left: 0px; visibil"&amp;"ity: visible; width: 100%; height: 100%; ""&gt; &lt;/ div&gt; &lt;ifram and scrolling = ""no"" frameborder = ""0"" src = ""about: blank"" style = ""display: none;""&gt; &lt;/ iframe&gt; &lt;div tabindex = ""- 1"" class = ""airy-controls-container"" style = ""opacity: 0; visibili"&amp;"ty: hidden; ""&gt; &lt;div tabindex ="" - 1 ""class ="" airy-screen-size-toggle airy-fullscreen ""&gt; &lt;/ div&gt; &lt;div tabindex ="" - 1 ""class ="" airy-container-bottom "" &gt; &lt;div tabindex = ""- 1"" class = ""airy-track-bar-spacer-left"" style = ""width: 11px;""&gt; &lt;/ "&amp;"div&gt; &lt;div tabindex = ""- 1"" class = ""airy-play- airy toggle-play ""style ="" width: 12px; margin-right: 12px; ""&gt; &lt;/ div&gt; &lt;div tabindex ="" - 1 ""class ="" airy-audio-elements ""style ="" float: right; width: 34px; ""&gt; &lt;div tabindex ="" - 1 ""class ="" "&amp;"airy-audio-toggle airy-on ""&gt; &lt;/ div&gt; &lt;div tabindex ="" - 1 ""class ="" airy-audio-container ""style = ""opacity: 0; visibility: hidden; ""&gt; &lt;div tabindex ="" - 1 ""class ="" airy-audio-track-bar ""style ="" height: 80%; ""&gt; &lt;div tabindex ="" - 1 ""class "&amp;"="" airy-audio- Scrubber-bar ""style ="" height: 85%; ""&gt; &lt;/ div&gt; &lt;div tabindex ="" - 1 ""class ="" airy-audio-scrubber ""style ="" height: 12px; bottom: 85% ""&gt; &lt;/ div&gt; &lt;/ div&gt; &lt;/ div&gt; &lt;/ div&gt; &lt;div tabindex ="" - 1 ""class ="" airy-duration-label ""style"&amp;" ="" float: right; width: 26px; margin-right: 4px; text-align: center; ""&gt; 4:27 &lt;/ div&gt; &lt;div tabindex ="" - 1 ""class ="" airy-track-bar-spacer-right ""style ="" float: right; width: 11px; ""&gt; &lt;/ div&gt; &lt;div tabindex ="" - 1 ""class ="" airy-track-bar-conta"&amp;"iner ""style ="" margin-left: 35px; margin-right: 75px; ""&gt; &lt;div tabindex ="" - 1 ""class ="" airy-airy-track-bar vertically-centering-table ""&gt; &lt;div tabindex ="" - 1 ""class ="" airy-Vertical-centering- table-cell ""&gt; &lt;div tabindex ="" - 1 ""class ="" ai"&amp;"ry-track-bar-elements ""&gt; &lt;div tabindex ="" - 1 ""class ="" airy-progress-bar ""style ="" width: 1.97403%; ""&gt; &lt;/ div&gt; &lt;div tabindex ="" - 1 ""class ="" airy-scrubber-bar ""&gt; &lt;/ div&gt; &lt;div tabindex ="" - 1 ""class ="" airy-scrubber ""&gt; &lt;div tabindex ="" - "&amp;"1 ""class ="" airy-scrubber-icon ""&gt; &lt;/ div&gt; &lt;div tabindex ="" - 1 ""class ="" airy-adjusted-AUI-tooltip ""style ="" opacity: 0; visibility: hidden; ""&gt; &lt;div tabindex ="" - 1 ""class ="" airy-adjusted-aui-tooltip-inner ""&gt; &lt;div tabindex ="" - 1 ""class ="&amp;""" airy-current-time-label ""&gt; 0: 00 &lt;/ div&gt; &lt;/ div&gt; &lt;div tabindex = ""- 1"" class = ""airy-adjusted-AUI-arrow-border""&gt; &lt;div tabindex = ""- 1"" class = ""airy-adjusted-AUI-arrow"" &gt; &lt;/ div&gt; &lt;/ div&gt; &lt;/ div&gt; &lt;/ div&gt; &lt;/ div&gt; &lt;/ div&gt; &lt;/ div&gt; &lt;/ div&gt; &lt;/ div&gt; "&amp;"&lt;/ div&gt; &lt;div tabindex = ""- 1"" class = ""airy-age-gate airy-stage airy-Vertical-centering-table airy-dialog"" style = ""opacity: 0; visibility: hidden; ""&gt; &lt;div tabindex ="" - 1 ""class ="" airy-age-gate-Vertical-centering-table-cell airy-Vertical-center"&amp;"ing-table-cell ""&gt; &lt;div tabindex ="" - 1 ""class = ""airy-Vertical-centering-wrapper airy-age-gate-elements-wrapper""&gt; &lt;div tabindex = ""- 1"" class = ""airy-age-gate-elements airy-dialog-elements""&gt; &lt;div tabindex = "" -1 ""class ="" airy-age-gate-prompt "&amp;"""&gt; This video is not Intended for all audiences What date were you born &lt;/ div&gt; &lt;div tabindex =.?"" - 1 ""class ="" airy-age-gate -inputs airy-dialog-inner-elements ""&gt; &lt;select tabindex ="" - 1 ""class ="" airy-age-gate-month ""&gt; &lt;option value ="" 1 ""&gt; "&amp;"January &lt;/ option&gt; &lt;option value ="" 2 ""&gt; February &lt;/ option&gt; &lt;option value ="" 3 ""&gt; March &lt;/ option&gt; &lt;option value ="" 4 ""&gt; April &lt;/ option&gt; &lt;option value ="" 5 ""&gt; May &lt;/ option&gt; &lt;option value = ""6""&gt; June &lt;/ option&gt; &lt;option value = ""7""&gt; July &lt;/ o"&amp;"ption&gt; &lt;option value = ""8""&gt; August &lt;/ option&gt; &lt;option value = ""9""&gt; September &lt;/ option&gt; &lt;option value = ""10""&gt; October &lt;/ option&gt; &lt;option value = ""11""&gt; November &lt;/ option&gt; &lt;option value = ""12""&gt; December &lt;/ option&gt; &lt;/ select&gt; &lt;select tabindex = """&amp;"- 1"" class = ""airy-age-gate-day""&gt; &lt;opti on value = ""1""&gt; 1 &lt;/ option&gt; &lt;option value = ""2""&gt; 2 &lt;/ option&gt; &lt;option value = ""3""&gt; 3 &lt;/ option&gt; &lt;option value = ""4""&gt; 4 &lt;/ option &gt; &lt;option value = ""5""&gt; 5 &lt;/ option&gt; &lt;option value = ""6""&gt; 6 &lt;/ option&gt; "&amp;"&lt;option value = ""7""&gt; 7 &lt;/ option&gt; &lt;option value = ""8""&gt; 8 &lt; / option&gt; &lt;option value = ""9""&gt; 9 &lt;/ option&gt; &lt;option value = ""10""&gt; 10 &lt;/ option&gt; &lt;option value = ""11""&gt; 11 &lt;/ option&gt; &lt;option value = ""12""&gt; 12 &lt;/ option&gt; &lt;option value = ""13""&gt; 13 &lt;/ op"&amp;"tion&gt; &lt;option value = ""14""&gt; 14 &lt;/ option&gt; &lt;option value = ""15""&gt; 15 &lt;/ option&gt; &lt;option value = ""16 ""&gt; 16 &lt;/ option&gt; &lt;option value ="" 17 ""&gt; 17 &lt;/ option&gt; &lt;option value ="" 18 ""&gt; 18 &lt;/ option&gt; &lt;option value ="" 19 ""&gt; 19 &lt;/ option&gt; &lt;option value = "&amp;"""20""&gt; 20 &lt;/ option&gt; &lt;option value = ""21""&gt; 21 &lt;/ option&gt; &lt;option value = ""22""&gt; 22 &lt;/ option&gt; &lt;option value = ""23""&gt; 23 &lt;/ option&gt; &lt;option value = ""24""&gt; 24 &lt;/ option&gt; &lt;option value = ""25""&gt; 25 &lt;/ option&gt; &lt;option value = ""26""&gt; 26 &lt;/ option&gt; &lt;opti"&amp;"on value = ""27""&gt; 27 &lt;/ option&gt; &lt;option value = ""28""&gt; 28 &lt;/ option&gt; &lt;option value = ""29""&gt; 29 &lt;/ option&gt; &lt;option value = ""30""&gt; 30 &lt;/ option&gt; &lt;option value = ""31""&gt; 31 &lt;/ option&gt; &lt;/ select&gt; &lt;select tabindex = ""- 1"" class = ""airy-age-gate-year""&gt; "&amp;"&lt;option value = ""2019""&gt; 2019 &lt;/ option&gt; &lt; option value = ""2018""&gt; 2018 &lt;/ option&gt; &lt;option value = ""2017""&gt; 2017 &lt;/ option&gt; &lt;option value = ""2016""&gt; ​​2016 &lt;/ option&gt; &lt;option value = ""2015""&gt; 2015 &lt;/ option &gt; &lt;option value = ""2014""&gt; 2014 &lt;/ option&gt;"&amp;" &lt;option value = ""2013""&gt; 2013 &lt;/ option&gt; &lt;option value = ""2012""&gt; 2012 &lt;/ option&gt; &lt;option value = ""2011""&gt; 2011 &lt; / option&gt; &lt;option value = ""2010""&gt; 2010 &lt;/ option&gt; &lt;option value = ""2009""&gt; 2009 &lt;/ option&gt; &lt;option value = ""2008""&gt; 2008 &lt;/ option&gt; &lt;"&amp;"option value = ""2007""&gt; 2007 &lt;/ option&gt; &lt;option value = ""2006""&gt; 2006 &lt;/ option&gt; &lt;option value = ""2005""&gt; 2005 &lt;/ option&gt; &lt;option value = ""2004""&gt; 2004 &lt;/ option&gt; &lt;option value = ""2003 ""&gt; 2003 &lt;/ option&gt; &lt;option value ="" 2002 ""&gt; 2002 &lt;/ option&gt; &lt;o"&amp;"ption value ="" 2001 ""&gt; 2001 &lt;/ option&gt; &lt;option value ="" 2000 ""&gt; 2000 &lt;/ option&gt; &lt;option value = ""1999""&gt; 1999 &lt;/ option&gt; &lt;option value = ""1998""&gt; 1998 &lt;/ option&gt; &lt;option value = ""1997""&gt; 1997 &lt;/ option&gt; &lt;option value = ""1996""&gt; 1996 &lt;/ option&gt; &lt;op"&amp;"tion value = ""1995""&gt; 1995 &lt;/ option&gt; &lt;option value = ""1994""&gt; 1994 &lt;/ option&gt; &lt;option value = ""1993""&gt; 1993 &lt;/ option&gt; &lt;option value = ""1992""&gt; 1992 &lt;/ option&gt; &lt;option value = ""1991""&gt; 1991 &lt;/ option&gt; &lt;option value = ""1990""&gt; 1990 &lt;/ option&gt; &lt;optio"&amp;"n value = "" 1989 ""&gt; 1989 &lt;/ option&gt; &lt;option value ="" 1988 ""&gt; 1988 &lt;/ option&gt; &lt;option value ="" 1987 ""&gt; 1987 &lt;/ option&gt; &lt;option value ="" 1986 ""&gt; 1986 &lt;/ option&gt; &lt;value option = ""1985""&gt; 1985 &lt;/ option&gt; &lt;option value = ""1984""&gt; 1984 &lt;/ option&gt; &lt;opt"&amp;"ion value = ""1983""&gt; 1983 &lt;/ option&gt; &lt;option value = ""1982""&gt; 1982 &lt;/ option&gt; &lt; option value = ""1981""&gt; 1981 &lt;/ option&gt; &lt;option value = ""1980""&gt; 1980 &lt;/ option&gt; &lt;option value = ""1979""&gt; 1979 &lt;/ option&gt; &lt;option value = ""1978""&gt; 1978 &lt;/ option &gt; &lt;opti"&amp;"on value = ""1977""&gt; 1977 &lt;/ option&gt; &lt;option value = ""1976""&gt; 1976 &lt;/ option&gt; &lt;option value = ""1975""&gt; 1975 &lt;/ option&gt; &lt;option value = ""1974""&gt; 1974 &lt; / option&gt; &lt;option value = ""1973""&gt; 1973 &lt;/ option&gt; &lt;option value = ""1972""&gt; 1972 &lt;/ option&gt; &lt;option"&amp;" value = ""1971""&gt; 1971 &lt;/ option&gt; &lt;option value = ""1970""&gt; 1970 &lt;/ option&gt; &lt;option value = ""1969""&gt; 1969 &lt;/ option&gt; &lt;option value = ""1968""&gt; 1968 &lt;/ option&gt; &lt;option value = ""1967""&gt; 1967 &lt;/ option&gt; &lt;option value = ""1966 ""&gt; 1966 &lt;/ option&gt; &lt;option v"&amp;"alue ="" 1965 ""&gt; 1965 &lt;/ option&gt; &lt;option value ="" 1964 ""&gt; 1964 &lt;/ option&gt; &lt;option value ="" 1963 ""&gt; 1963 &lt;/ option&gt; &lt;option value = ""1962""&gt; 1962 &lt;/ option&gt; &lt;option value = ""1961""&gt; 1961 &lt;/ option&gt; &lt;option value = ""1960""&gt; 1960 &lt;/ op tion&gt; &lt;option "&amp;"value = ""1959""&gt; 1959 &lt;/ option&gt; &lt;option value = ""1958""&gt; 1958 &lt;/ option&gt; &lt;option value = ""1957""&gt; 1957 &lt;/ option&gt; &lt;option value = ""1956""&gt; 1956 &lt;/ option&gt; &lt;option value = ""1955""&gt; 1955 &lt;/ option&gt; &lt;option value = ""1954""&gt; 1954 &lt;/ option&gt; &lt;option val"&amp;"ue = ""1953""&gt; 1953 &lt;/ option&gt; &lt;option value = ""1952"" &gt; 1952 &lt;/ option&gt; &lt;option value = ""1951""&gt; 1951 &lt;/ option&gt; &lt;option value = ""1950""&gt; 1950 &lt;/ option&gt; &lt;option value = ""1949""&gt; 1949 &lt;/ option&gt; &lt;option value = "" 1948 ""&gt; 1948 &lt;/ option&gt; &lt;option val"&amp;"ue ="" 1947 ""&gt; 1947 &lt;/ option&gt; &lt;option value ="" 1946 ""&gt; 1946 &lt;/ option&gt; &lt;option value ="" 1945 ""&gt; 1945 &lt;/ option&gt; &lt;value option = ""1944""&gt; 1944 &lt;/ option&gt; &lt;option value = ""1943""&gt; 1943 &lt;/ option&gt; &lt;option value = ""1942""&gt; 1942 &lt;/ option&gt; &lt;option val"&amp;"ue = ""1941""&gt; 1941 &lt;/ option&gt; &lt; option value = ""1940""&gt; 1940 &lt;/ option&gt; &lt;option value = ""1939""&gt; 1939 &lt;/ option&gt; &lt;option value = ""1938""&gt; 1938 &lt;/ option&gt; &lt;option value = ""1937""&gt; 1937 &lt;/ option &gt; &lt;option value = ""1936""&gt; 1936 &lt;/ option&gt; &lt;option valu"&amp;"e = ""1935""&gt; 1935 &lt;/ option&gt; &lt;option value = ""1934""&gt; 1934 &lt;/ option&gt; &lt;option value = ""1933""&gt; 1933 &lt; / option&gt; &lt;option value = ""1932""&gt; 1932 &lt;/ option&gt; &lt;option value = ""1931""&gt; 1931 &lt;/ option&gt; &lt;option v alue = ""1930""&gt; 1930 &lt;/ option&gt; &lt;option value"&amp;" = ""1929""&gt; 1929 &lt;/ option&gt; &lt;option value = ""1928""&gt; 1928 &lt;/ option&gt; &lt;option value = ""1927""&gt; 1927 &lt;/ option&gt; &lt;option value = ""1926""&gt; 1926 &lt;/ option&gt; &lt;option value = ""1925""&gt; 1925 &lt;/ option&gt; &lt;option value = ""1924""&gt; 1924 &lt;/ option&gt; &lt;option value = "&amp;"""1923""&gt; 1923 &lt;/ option&gt; &lt;option value = ""1922""&gt; 1922 &lt;/ option&gt; &lt;option value = ""1921""&gt; 1921 &lt;/ option&gt; &lt;option value = ""1920""&gt; 1920 &lt;/ option&gt; &lt;option value = ""1919""&gt; 1919 &lt;/ option&gt; &lt;option value = ""1918""&gt; 1918 &lt;/ option&gt; &lt;option value = ""1"&amp;"917""&gt; 1917 &lt;/ option&gt; &lt;option value = ""1916""&gt; 1916 &lt;/ option&gt; &lt;option value = ""1915"" &gt; 1915 &lt;/ option&gt; &lt;option value = ""1914""&gt; 1914 &lt;/ option&gt; &lt;option value = ""1913""&gt; 1913 &lt;/ option&gt; &lt;option value = ""1912""&gt; 1912 &lt;/ option&gt; &lt;option value = "" 19"&amp;"11 ""&gt; 1911 &lt;/ option&gt; &lt;option value ="" 1910 ""&gt; 1910 &lt;/ option&gt; &lt;option value ="" 1909 ""&gt; 1909 &lt;/ option&gt; &lt;option value ="" 1908 ""&gt; 1908 &lt;/ option&gt; &lt;value option = ""1907""&gt; 1907 &lt;/ option&gt; &lt;option value = ""1906""&gt; 1906 &lt;/ option&gt; &lt;option value = ""1"&amp;"905""&gt; 1905 &lt;/ option&gt; &lt;option value = ""1904""&gt; 1904 &lt;/ option&gt; &lt; option value = ""1903""&gt; 1903 &lt;/ option&gt; &lt;option value = ""1902""&gt; 1902 &lt;/ option&gt; &lt;option value = ""1901""&gt; 19 01 &lt;/ option&gt; &lt;option value = ""1900""&gt; 1900 &lt;/ option&gt; &lt;/ select&gt; &lt;div tabi"&amp;"ndex = ""- 1"" class = ""airy-age-gate-submit airy-submit-button airy airy-submit- disabled ""&gt; Submit &lt;/ div&gt; &lt;/ div&gt; &lt;/ div&gt; &lt;/ div&gt; &lt;/ div&gt; &lt;/ div&gt; &lt;div tabindex ="" - 1 ""class ="" airy-install-flash-dialog airy-stage airy -vertical-centering-table-di"&amp;"alog airy airy-denied ""style ="" opacity: 0; visibility: hidden; ""&gt; &lt;div tabindex ="" - 1 ""class ="" airy-install-flash-Vertical-centering-table-cell airy-Vertical-centering-table-cell ""&gt; &lt;div tabindex ="" - 1 ""class = ""airy-Vertical-centering-wrapp"&amp;"er airy-install-flash-elements-wrapper""&gt; &lt;div tabindex = ""- 1"" class = ""airy-install-flash-elements airy-dialog-elements""&gt; &lt;div tabindex = "" -1 ""class ="" airy-install-flash-prompt ""&gt; Adobe Flash Player is required to watch this video &lt;/ div&gt; &lt;div"&amp;" tabindex =."" - 1 ""class ="" airy-install-flash-button-wrapper airy -dialog-inner-elements ""&gt; &lt;div tabindex ="" - 1 ""class ="" airy-install-flash-button airy-button ""&gt; install Flash Player &lt;/ div&gt; &lt;/ div&gt; &lt;/ div&gt; &lt;/ div&gt; &lt;/ div&gt; &lt;/ div&gt; &lt;div tabindex"&amp;" = ""- 1"" class = ""airy-video-unsupported-dialog airy-stage airy-Vertical-centering-table airy-dialog airy-denied"" style = ""opacity: 0; visibility: hidden; ""&gt; &lt;div tabindex ="" - 1 ""class ="" airy-video-unsupported-Vertical-centering-table-cell airy"&amp;"-Vertical-centering-table-cell ""&gt; &lt;div tabindex ="" - 1 ""class = ""airy-Vertical-centering-wrapper airy-video-unsupported-elements-wrapper""&gt; &lt;div tabindex = ""- 1"" class = ""airy-video-unsupported-elements airy-dialog-elements""&gt; &lt;div tabindex = "" -1"&amp;" ""class ="" airy-video-unsupported-prompt ""&gt; &lt;/ div&gt; &lt;/ div&gt; &lt;/ div&gt; &lt;/ div&gt; &lt;/ div&gt; &lt;div tabindex ="" - 1 ""class ="" airy-loading- spinner-stage airy-stage ""&gt; &lt;div tabindex ="" - 1 ""class ="" airy-loading-spinner-Vertical-centering-table-cell airy-V"&amp;"ertical-centering-table-cell ""&gt; &lt;div tabindex ="" - 1 ""class ="" airy-loading-spinner-container airy-scalable-hint-container ""&gt; &lt;div tabindex ="" - 1 ""class ="" airy-loading-spinner-dummy airy-scalable-dummy ""&gt; &lt;/ div&gt; &lt; div tabindex = ""- 1"" class "&amp;"= ""airy-loading-spinner airy-hint"" style = ""visibility: hidden;""&gt; &lt;/ div&gt; &lt;/ div&gt; &lt;/ div&gt; &lt;/ div&gt; &lt;div tabindex = ""- 1 ""class ="" airy-ads-screen-size-toggle airy-screen-size-toggle-fullscreen airy ""style ="" visibility: hidden; ""&gt; &lt;/ div&gt; &lt;div ta"&amp;"bindex = ""-1"" class = ""airy-ad-prompt-container"" style = ""visibility: hidden;""&gt; &lt;div tabindex = ""- 1"" class = ""airy-ad-prompt-Vertical-centering-table-vertically airy centering-table ""&gt; &lt;div tabindex ="" - 1 ""class ="" airy-ad-prompt-Vertical-c"&amp;"entering-table-cell airy-Vertical-centering-table-cell ""&gt; &lt;div tabindex ="" - 1 ""class = ""airy-ad-prompt-label""&gt; &lt;/ div&gt; &lt;/ div&gt; &lt;/ div&gt; &lt;/ div&gt; &lt;div tabindex = ""- 1"" class = ""airy-ads-controls-container"" style = ""visibility: hidden; ""&gt; &lt;div tab"&amp;"index ="" - 1 ""class ="" airy-ads-audio-toggle airy-audio-toggle airy-on ""style ="" visibility: hidden; ""&gt; &lt;/ div&gt; &lt;div tabindex ="" - 1 ""class ="" airy-time-remaining-label-container ""&gt; &lt;div tabindex ="" - 1 ""class ="" airy-time-remaining-Vertical-"&amp;"centering-table airy-Vertical-centering-table ""&gt; &lt;div tabindex = ""- 1"" class = ""airy-time-remaining-Vertical-centering-table-cell airy-Vertical-centering-table-cell""&gt; &lt;div tabindex = ""- 1"" class = ""airy-Vertical-centering-wrapper airy-time-remaini"&amp;"ng-label-wrapper ""&gt; &lt;div tabindex ="" - 1 ""class ="" airy-time-remaining-label ""style ="" visibility: hidden; ""&gt; &lt;/ div&gt; &lt;div tabi ndex = ""- 1"" class = ""airy-ad-skip"" style = ""visibility: hidden;""&gt; &lt;/ div&gt; &lt;div tabindex = ""- 1"" class = ""airy-"&amp;"ad-end"" style = ""visibility: hidden ""&gt; &lt;/ div&gt; &lt;/ div&gt; &lt;/ div&gt; &lt;/ div&gt; &lt;/ div&gt; &lt;div tabindex ="" - 1 ""class ="" airy-learn-more ""style ="" visibility: hidden; ""&gt; &lt;/ div&gt; &lt;/ div&gt; &lt;div tabindex = ""- 1"" class = ""airy-play-toggle-hint-stage airy-stag"&amp;"e airy-cursor""&gt; &lt;div tabindex = ""- 1"" class = ""airy-play -toggle-hint-Vertical-centering-table-cell airy-Vertical-centering-table-cell airy-cursor ""&gt; &lt;div tabindex ="" - 1 ""class ="" airy-play-toggle-hint-container airy-scalable- Hint-container ""&gt; "&amp;"&lt;div tabindex ="" - 1 ""class ="" airy-play-toggle-hint-dummy airy-scalable-dummy ""&gt; &lt;/ div&gt; &lt;div tabindex ="" - 1 ""class ="" airy-play -toggle-hint hint airy-airy-play-hint ""style ="" opacity: 1; visibility: visible; ""&gt; &lt;/ div&gt; &lt;/ div&gt; &lt;/ div&gt; &lt;/ div"&amp;"&gt; &lt;div tabindex ="" - 1 ""class ="" airy-replay-hint-stage airy-stage ""style ="" visibility: hidden ; ""&gt; &lt;div tabindex ="" - 1 ""class ="" airy-replay-hint-Vertical-centering-table-cell airy-Vertical-centering-table-cell airy-cursor ""&gt; &lt;div tabindex ="&amp;""" - 1 ""class = ""airy-replay-hint-container airy-scalable-hint-container""&gt; &lt;div tabindex = ""- 1"" class = ""airy-replay-hint-dummy airy-scalable-dummy""&gt; &lt;/ div&gt; &lt;div tabindex = ""- 1"" class = ""airy-replay-hint airy-hint""&gt; &lt;/ div&gt; &lt;/ div&gt; &lt;/ div&gt; &lt;"&amp;"/ div&gt; &lt;div tabindex = ""- 1"" class = ""airy-autoplay-hint -stage airy-stage ""style ="" visibility: hidden; ""&gt; &lt;div tabindex ="" - 1 ""class ="" airy-autoplay-hint-Vertical-centering-table-cell airy-Vertical-centering-table-cell airy- cursor ""&gt; &lt;div t"&amp;"abindex ="" - 1 ""class ="" autoplay airy-airy-hint-container-scalable-hint-container ""&gt; &lt;div tabindex ="" - 1 ""class ="" airy-autoplay-hint-dummy airy- scalable-dummy ""&gt; &lt;/ div&gt; &lt;/ div&gt; &lt;/ div&gt; &lt;/ div&gt; &lt;/ div&gt; &lt;/ div&gt; &lt;input type ="" hidden ""name ="""&amp;" ""value ="" https: // images-eu .ssl-images-amazon.com / images / I / E1KfqavTqKS.mp4 ""Class ="" video-url ""&gt; &lt;input type ="" hidden ""name ="" ""value ="" https://images-eu.ssl-images-amazon.com/images/I/A1-AryNXXTS.png ""class = ""video-slate-img-url"&amp;"""&gt; &amp; nbsp; I tested the Roomba 981 model and can confirm that it is one of the best models you can find today. In my case, the model is black. Although it can work perfectly without using the iRobot HOME app for Smartphone (which may be of interest to ol"&amp;"der people who want something simple), it pays to use with this model, since it can monitor the robot remotely and manage it as if it were a remote control. The 981 has 3 buttons: -CLEAN: for operation, general cleaning -Spot: to clean circling a particul"&amp;"ar point -DOCK: to start and return to the charging station has unevenness sensor, so you can upload carpets without getting stuck, leaving them clean of debris (other models are stuck in failing to offset the edges of the carpet). Passes perfectly under "&amp;"furniture, sofas, etc. Bring a book of instructions in several languages ​​(including Spanish) and explains perfectly: -Using robot -Maintenance -Solution problems, etc. It works very well, moving around the room and if half working battery runs out, retu"&amp;"rns to the charging station, which recharges and returns to finish your work where you left off. If you want to interrupt the work of the first robot CLEAN button and then DOCK and return to base. A the same as other models, it has a removable tank which "&amp;"collects all that collects. You can empty each time you use it or do it after two or three days, depending on how full the tank. It has 2 virtual walls, including batteries, to avoid passing by where we do not want, or collision with items that we want to"&amp;" protect, vases, etc. A feature of this model that can make you probably go for him instead of other more economical is its suction power, 10 times higher than in the 600 series for the same surface is able to pick up more dirt than other models, what can"&amp;" justify the price difference. At the moment, it is the best model of the house (and other brands) that I could try, and if you look for a high-end robot vacuum cleaner, I'd probably do with this model.")</f>
        <v>It has efficiency and quality &lt;div id = "video-block-R3LFZKPK7X3OLK" class = "a-section a-spacing-small a-spacing-top mini video-block"&gt; &lt;div tabindex = "0" class = "airy airy -svg vmin-unsupported airy-skin-beacon "style =" background-color: rgb (0, 0, 0) position: relative; width: 100%; height: 100%; font-size: 0px; overflow: hidden ; outline: none; "&gt; &lt;div class =" airy-renderer-container "style =" position: relative; height: 100%; width: 100%; "&gt; &lt;video id =" 7 "preload =" auto "src = "https://images-eu.ssl-images-amazon.com/images/I/E1KfqavTqKS.mp4" style = "position: absolute; left: 0px; top: 0px; overflow: hidden; height: 1px; width : 1px; "&gt; &lt;/ video&gt; &lt;/ div&gt; &lt;div id =" airy-slate-preload "style =" background-color: rgb (0, 0, 0); background-image: url (&amp; quot; https: //images-eu.ssl-images-amazon.com/images/I/A1-AryNXXTS.png&amp;quot;); background-size: Contain; background-position: center center; background-repeat: no-repeat; position: absolute ; top: 0px; left: 0px; visibility: visible; width: 100%; height: 100%; "&gt; &lt;/ div&gt; &lt;ifram and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4:27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1.97403%;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E1KfqavTqKS.mp4 "Class =" video-url "&gt; &lt;input type =" hidden "name =" "value =" https://images-eu.ssl-images-amazon.com/images/I/A1-AryNXXTS.png "class = "video-slate-img-url"&gt; &amp; nbsp; I tested the Roomba 981 model and can confirm that it is one of the best models you can find today. In my case, the model is black. Although it can work perfectly without using the iRobot HOME app for Smartphone (which may be of interest to older people who want something simple), it pays to use with this model, since it can monitor the robot remotely and manage it as if it were a remote control. The 981 has 3 buttons: -CLEAN: for operation, general cleaning -Spot: to clean circling a particular point -DOCK: to start and return to the charging station has unevenness sensor, so you can upload carpets without getting stuck, leaving them clean of debris (other models are stuck in failing to offset the edges of the carpet). Passes perfectly under furniture, sofas, etc. Bring a book of instructions in several languages ​​(including Spanish) and explains perfectly: -Using robot -Maintenance -Solution problems, etc. It works very well, moving around the room and if half working battery runs out, returns to the charging station, which recharges and returns to finish your work where you left off. If you want to interrupt the work of the first robot CLEAN button and then DOCK and return to base. A the same as other models, it has a removable tank which collects all that collects. You can empty each time you use it or do it after two or three days, depending on how full the tank. It has 2 virtual walls, including batteries, to avoid passing by where we do not want, or collision with items that we want to protect, vases, etc. A feature of this model that can make you probably go for him instead of other more economical is its suction power, 10 times higher than in the 600 series for the same surface is able to pick up more dirt than other models, what can justify the price difference. At the moment, it is the best model of the house (and other brands) that I could try, and if you look for a high-end robot vacuum cleaner, I'd probably do with this model.</v>
      </c>
    </row>
    <row r="11535">
      <c r="A11535" s="1">
        <v>5.0</v>
      </c>
      <c r="B11535" s="1" t="s">
        <v>11436</v>
      </c>
      <c r="C11535" t="str">
        <f>IFERROR(__xludf.DUMMYFUNCTION("GOOGLETRANSLATE(B11535, ""es"", ""en"")"),"Stapler some months ago that I have and use frequently. To date there has never failed me. I am very satisfied with this purchase")</f>
        <v>Stapler some months ago that I have and use frequently. To date there has never failed me. I am very satisfied with this purchase</v>
      </c>
    </row>
    <row r="11536">
      <c r="A11536" s="1">
        <v>5.0</v>
      </c>
      <c r="B11536" s="1" t="s">
        <v>11437</v>
      </c>
      <c r="C11536" t="str">
        <f>IFERROR(__xludf.DUMMYFUNCTION("GOOGLETRANSLATE(B11536, ""es"", ""en"")"),"Good sound simple and easy to be folded for storage auticulares He was looking for a simple headband, which could be folded for easy storage. Not have the best sound quality of the market, but to use that give them and the price they have, I have been ple"&amp;"asantly surprised. They fold easily and fit into any drawer.")</f>
        <v>Good sound simple and easy to be folded for storage auticulares He was looking for a simple headband, which could be folded for easy storage. Not have the best sound quality of the market, but to use that give them and the price they have, I have been pleasantly surprised. They fold easily and fit into any drawer.</v>
      </c>
    </row>
    <row r="11537">
      <c r="A11537" s="1">
        <v>5.0</v>
      </c>
      <c r="B11537" s="1" t="s">
        <v>11438</v>
      </c>
      <c r="C11537" t="str">
        <f>IFERROR(__xludf.DUMMYFUNCTION("GOOGLETRANSLATE(B11537, ""es"", ""en"")"),"Good buy 👍🏻")</f>
        <v>Good buy 👍🏻</v>
      </c>
    </row>
    <row r="11538">
      <c r="A11538" s="1">
        <v>5.0</v>
      </c>
      <c r="B11538" s="1" t="s">
        <v>11439</v>
      </c>
      <c r="C11538" t="str">
        <f>IFERROR(__xludf.DUMMYFUNCTION("GOOGLETRANSLATE(B11538, ""es"", ""en"")"),"Perfect Very good Kalidad")</f>
        <v>Perfect Very good Kalidad</v>
      </c>
    </row>
    <row r="11539">
      <c r="A11539" s="1">
        <v>5.0</v>
      </c>
      <c r="B11539" s="1" t="s">
        <v>11440</v>
      </c>
      <c r="C11539" t="str">
        <f>IFERROR(__xludf.DUMMYFUNCTION("GOOGLETRANSLATE(B11539, ""es"", ""en"")"),"100% RECOMMENDABLE! A fabulous value and convenience. Very complete kit with tools to remove and put the past. The material is well finished, no scratches or anything out of the ordinary. The dimensions very accurate. Weight! But I do not mean to complain"&amp;", since we are talking about a metal strap, so it is normal.")</f>
        <v>100% RECOMMENDABLE! A fabulous value and convenience. Very complete kit with tools to remove and put the past. The material is well finished, no scratches or anything out of the ordinary. The dimensions very accurate. Weight! But I do not mean to complain, since we are talking about a metal strap, so it is normal.</v>
      </c>
    </row>
    <row r="11540">
      <c r="A11540" s="1">
        <v>5.0</v>
      </c>
      <c r="B11540" s="1" t="s">
        <v>11441</v>
      </c>
      <c r="C11540" t="str">
        <f>IFERROR(__xludf.DUMMYFUNCTION("GOOGLETRANSLATE(B11540, ""es"", ""en"")"),"Super Cool comfortable. purchase excellent")</f>
        <v>Super Cool comfortable. purchase excellent</v>
      </c>
    </row>
    <row r="11541">
      <c r="A11541" s="1">
        <v>5.0</v>
      </c>
      <c r="B11541" s="1" t="s">
        <v>11442</v>
      </c>
      <c r="C11541" t="str">
        <f>IFERROR(__xludf.DUMMYFUNCTION("GOOGLETRANSLATE(B11541, ""es"", ""en"")"),"As in the picture is very good cable quality is seen")</f>
        <v>As in the picture is very good cable quality is seen</v>
      </c>
    </row>
    <row r="11542">
      <c r="A11542" s="1">
        <v>5.0</v>
      </c>
      <c r="B11542" s="1" t="s">
        <v>11443</v>
      </c>
      <c r="C11542" t="str">
        <f>IFERROR(__xludf.DUMMYFUNCTION("GOOGLETRANSLATE(B11542, ""es"", ""en"")"),"Comodos Calentitos")</f>
        <v>Comodos Calentitos</v>
      </c>
    </row>
    <row r="11543">
      <c r="A11543" s="1">
        <v>5.0</v>
      </c>
      <c r="B11543" s="1" t="s">
        <v>11444</v>
      </c>
      <c r="C11543" t="str">
        <f>IFERROR(__xludf.DUMMYFUNCTION("GOOGLETRANSLATE(B11543, ""es"", ""en"")"),"I honestly incredibly good buy these headphones, because I saw that the vast majority of users who had bought and put through the roof and I was curious. because he did not think so cheap headset quality diesen they said. Well, the buy !! and they are inc"&amp;"redibly good with a perfect sound quality and a price practically given away. For my taste we are also comfy, with large ""earmuffs"" that fit well and can spend hours with them on without any problems. I am completely amazed at the quality of these headp"&amp;"hones. I have headphones 200 euros or more, and I can assure that they can get in sound quality. I am shocked. Recommended.")</f>
        <v>I honestly incredibly good buy these headphones, because I saw that the vast majority of users who had bought and put through the roof and I was curious. because he did not think so cheap headset quality diesen they said. Well, the buy !! and they are incredibly good with a perfect sound quality and a price practically given away. For my taste we are also comfy, with large "earmuffs" that fit well and can spend hours with them on without any problems. I am completely amazed at the quality of these headphones. I have headphones 200 euros or more, and I can assure that they can get in sound quality. I am shocked. Recommended.</v>
      </c>
    </row>
    <row r="11544">
      <c r="A11544" s="1">
        <v>5.0</v>
      </c>
      <c r="B11544" s="1" t="s">
        <v>11445</v>
      </c>
      <c r="C11544" t="str">
        <f>IFERROR(__xludf.DUMMYFUNCTION("GOOGLETRANSLATE(B11544, ""es"", ""en"")"),"They are perfect just what I wanted")</f>
        <v>They are perfect just what I wanted</v>
      </c>
    </row>
    <row r="11545">
      <c r="A11545" s="1">
        <v>5.0</v>
      </c>
      <c r="B11545" s="1" t="s">
        <v>11446</v>
      </c>
      <c r="C11545" t="str">
        <f>IFERROR(__xludf.DUMMYFUNCTION("GOOGLETRANSLATE(B11545, ""es"", ""en"")"),"sweatshirt do not think it will sweat a lot with the sweatshirt, but the girl loves")</f>
        <v>sweatshirt do not think it will sweat a lot with the sweatshirt, but the girl loves</v>
      </c>
    </row>
    <row r="11546">
      <c r="A11546" s="1">
        <v>5.0</v>
      </c>
      <c r="B11546" s="1" t="s">
        <v>11447</v>
      </c>
      <c r="C11546" t="str">
        <f>IFERROR(__xludf.DUMMYFUNCTION("GOOGLETRANSLATE(B11546, ""es"", ""en"")"),"BARBECUE BRUSH useful after a barbecue, get remove everything that gets stuck has never been easy. because since I BARBECUE BRUSH truth that everything is clean and without traces. It is doing great")</f>
        <v>BARBECUE BRUSH useful after a barbecue, get remove everything that gets stuck has never been easy. because since I BARBECUE BRUSH truth that everything is clean and without traces. It is doing great</v>
      </c>
    </row>
    <row r="11547">
      <c r="A11547" s="1">
        <v>5.0</v>
      </c>
      <c r="B11547" s="1" t="s">
        <v>11448</v>
      </c>
      <c r="C11547" t="str">
        <f>IFERROR(__xludf.DUMMYFUNCTION("GOOGLETRANSLATE(B11547, ""es"", ""en"")"),"Very comfortable shoes very comfortable and in my case are perfect.")</f>
        <v>Very comfortable shoes very comfortable and in my case are perfect.</v>
      </c>
    </row>
    <row r="11548">
      <c r="A11548" s="1">
        <v>5.0</v>
      </c>
      <c r="B11548" s="1" t="s">
        <v>11449</v>
      </c>
      <c r="C11548" t="str">
        <f>IFERROR(__xludf.DUMMYFUNCTION("GOOGLETRANSLATE(B11548, ""es"", ""en"")"),"Pantalon Deportivo Very good product for all occasions, not to put anything underneath fits perfectly and the skin breathes perfectly cast to look good and surprise.")</f>
        <v>Pantalon Deportivo Very good product for all occasions, not to put anything underneath fits perfectly and the skin breathes perfectly cast to look good and surprise.</v>
      </c>
    </row>
    <row r="11549">
      <c r="A11549" s="1">
        <v>5.0</v>
      </c>
      <c r="B11549" s="1" t="s">
        <v>11450</v>
      </c>
      <c r="C11549" t="str">
        <f>IFERROR(__xludf.DUMMYFUNCTION("GOOGLETRANSLATE(B11549, ""es"", ""en"")"),"Cool! For comments had doubts about the size. My size is 38 and was the one who bought it and is perfect both long and wide, I have a narrow foot but was guided by the likes of Nikes that I have and when I saw that had the same sizing I decided on my numb"&amp;"er and I was right. They are very comfortable and combinable and are very cool! I caught him for the daily use and for long walks but not to run because they do not practice running and in this respect can not comment, but otherwise great !! I am delighte"&amp;"d with them.")</f>
        <v>Cool! For comments had doubts about the size. My size is 38 and was the one who bought it and is perfect both long and wide, I have a narrow foot but was guided by the likes of Nikes that I have and when I saw that had the same sizing I decided on my number and I was right. They are very comfortable and combinable and are very cool! I caught him for the daily use and for long walks but not to run because they do not practice running and in this respect can not comment, but otherwise great !! I am delighted with them.</v>
      </c>
    </row>
    <row r="11550">
      <c r="A11550" s="1">
        <v>5.0</v>
      </c>
      <c r="B11550" s="1" t="s">
        <v>11451</v>
      </c>
      <c r="C11550" t="str">
        <f>IFERROR(__xludf.DUMMYFUNCTION("GOOGLETRANSLATE(B11550, ""es"", ""en"")"),"I like the quality precoi Love")</f>
        <v>I like the quality precoi Love</v>
      </c>
    </row>
    <row r="11551">
      <c r="A11551" s="1">
        <v>5.0</v>
      </c>
      <c r="B11551" s="1" t="s">
        <v>11452</v>
      </c>
      <c r="C11551" t="str">
        <f>IFERROR(__xludf.DUMMYFUNCTION("GOOGLETRANSLATE(B11551, ""es"", ""en"")"),"Practical and functional surprised me for good, good product sounds good, perhaps limited scope however is something q no longer me.preocupa which usually carry mobile in pocket or purse. Music also sounds very good and handles well. Android moment I was "&amp;"connected with Windows Mobile tube more but more el.movil problem that the device, once paired the two devices, the connection when turned on is immediate. Is comfortable to wear, I am happy with the product")</f>
        <v>Practical and functional surprised me for good, good product sounds good, perhaps limited scope however is something q no longer me.preocupa which usually carry mobile in pocket or purse. Music also sounds very good and handles well. Android moment I was connected with Windows Mobile tube more but more el.movil problem that the device, once paired the two devices, the connection when turned on is immediate. Is comfortable to wear, I am happy with the product</v>
      </c>
    </row>
    <row r="11552">
      <c r="A11552" s="1">
        <v>2.0</v>
      </c>
      <c r="B11552" s="1" t="s">
        <v>11453</v>
      </c>
      <c r="C11552" t="str">
        <f>IFERROR(__xludf.DUMMYFUNCTION("GOOGLETRANSLATE(B11552, ""es"", ""en"")"),"128GB high capacity - Low speed not recommend to be writing a large amount of data usually because the speed is very slow (5Mb / s). However if you would recommend as a source of music or video files.")</f>
        <v>128GB high capacity - Low speed not recommend to be writing a large amount of data usually because the speed is very slow (5Mb / s). However if you would recommend as a source of music or video files.</v>
      </c>
    </row>
    <row r="11553">
      <c r="A11553" s="1">
        <v>3.0</v>
      </c>
      <c r="B11553" s="1" t="s">
        <v>11454</v>
      </c>
      <c r="C11553" t="str">
        <f>IFERROR(__xludf.DUMMYFUNCTION("GOOGLETRANSLATE(B11553, ""es"", ""en"")"),"Well they are pretty good, somewhat uncomfortable when you take more than an hour with them. Sound something serious when you turn up the volume, but generally recommended.")</f>
        <v>Well they are pretty good, somewhat uncomfortable when you take more than an hour with them. Sound something serious when you turn up the volume, but generally recommended.</v>
      </c>
    </row>
    <row r="11554">
      <c r="A11554" s="1">
        <v>3.0</v>
      </c>
      <c r="B11554" s="1" t="s">
        <v>11455</v>
      </c>
      <c r="C11554" t="str">
        <f>IFERROR(__xludf.DUMMYFUNCTION("GOOGLETRANSLATE(B11554, ""es"", ""en"")"),"Nice but loose quality. Aesthetically it is very nice. Price / quality ratio good. The use is very simple. The quality of plastics is what I find very loose. In theory it is dishwasher safe but the first wash cover glass has been stained as a brown color "&amp;"does not come out. The plastic material of the entire mixer is of poor quality, I have had similar and plastics quality was far superior and were white label. Even I used to know little durability, as in two months no longer works, apparently seen by the "&amp;"amount of negative opinions about Cecotec I've read lately. What it is true is that I sent an email to Cecotec attaching photos as had been the top after the first wash and neither have breathed, nor will I guess. I hope that the company change its policy"&amp;" with these things and after-sales service is another promising Spanish company that is going to hell for mismanagement. If I had to buy a mixer of this type, today, I think I would choose another brand, but aesthetically I like this.")</f>
        <v>Nice but loose quality. Aesthetically it is very nice. Price / quality ratio good. The use is very simple. The quality of plastics is what I find very loose. In theory it is dishwasher safe but the first wash cover glass has been stained as a brown color does not come out. The plastic material of the entire mixer is of poor quality, I have had similar and plastics quality was far superior and were white label. Even I used to know little durability, as in two months no longer works, apparently seen by the amount of negative opinions about Cecotec I've read lately. What it is true is that I sent an email to Cecotec attaching photos as had been the top after the first wash and neither have breathed, nor will I guess. I hope that the company change its policy with these things and after-sales service is another promising Spanish company that is going to hell for mismanagement. If I had to buy a mixer of this type, today, I think I would choose another brand, but aesthetically I like this.</v>
      </c>
    </row>
    <row r="11555">
      <c r="A11555" s="1">
        <v>1.0</v>
      </c>
      <c r="B11555" s="1" t="s">
        <v>11456</v>
      </c>
      <c r="C11555" t="str">
        <f>IFERROR(__xludf.DUMMYFUNCTION("GOOGLETRANSLATE(B11555, ""es"", ""en"")"),"The size small size nothing is what it corresponds. It is estremadamente small. So I bought it for my wife and it's going to be my 9 years. I not return it because it is not worth it for 9 € it cost.")</f>
        <v>The size small size nothing is what it corresponds. It is estremadamente small. So I bought it for my wife and it's going to be my 9 years. I not return it because it is not worth it for 9 € it cost.</v>
      </c>
    </row>
    <row r="11556">
      <c r="A11556" s="1">
        <v>1.0</v>
      </c>
      <c r="B11556" s="1" t="s">
        <v>11457</v>
      </c>
      <c r="C11556" t="str">
        <f>IFERROR(__xludf.DUMMYFUNCTION("GOOGLETRANSLATE(B11556, ""es"", ""en"")"),"Biberon the worst I bought Fatal, look I bought bottles of Dr. Brown and they have left me lousy, milk goes by the thread ALWAYS .....")</f>
        <v>Biberon the worst I bought Fatal, look I bought bottles of Dr. Brown and they have left me lousy, milk goes by the thread ALWAYS .....</v>
      </c>
    </row>
    <row r="11557">
      <c r="A11557" s="1">
        <v>4.0</v>
      </c>
      <c r="B11557" s="1" t="s">
        <v>11458</v>
      </c>
      <c r="C11557" t="str">
        <f>IFERROR(__xludf.DUMMYFUNCTION("GOOGLETRANSLATE(B11557, ""es"", ""en"")"),"Good quality good quality clips for this box of 100 units a well known brand in the sector at an excellent price.")</f>
        <v>Good quality good quality clips for this box of 100 units a well known brand in the sector at an excellent price.</v>
      </c>
    </row>
    <row r="11558">
      <c r="A11558" s="1">
        <v>4.0</v>
      </c>
      <c r="B11558" s="1" t="s">
        <v>11459</v>
      </c>
      <c r="C11558" t="str">
        <f>IFERROR(__xludf.DUMMYFUNCTION("GOOGLETRANSLATE(B11558, ""es"", ""en"")"),"Slippers home great Although I have suspicions that they were used or tested slightly above (the sole was a little dirty), I decided to stay with them and I think it is a wise move. Very comfortable (if somewhat small, it shows the gum back and the label "&amp;"brings) padded and are great to go home. The sole grips well and not paree to mark the floor. I recommend")</f>
        <v>Slippers home great Although I have suspicions that they were used or tested slightly above (the sole was a little dirty), I decided to stay with them and I think it is a wise move. Very comfortable (if somewhat small, it shows the gum back and the label brings) padded and are great to go home. The sole grips well and not paree to mark the floor. I recommend</v>
      </c>
    </row>
    <row r="11559">
      <c r="A11559" s="1">
        <v>4.0</v>
      </c>
      <c r="B11559" s="1" t="s">
        <v>11460</v>
      </c>
      <c r="C11559" t="str">
        <f>IFERROR(__xludf.DUMMYFUNCTION("GOOGLETRANSLATE(B11559, ""es"", ""en"")"),"Meets practical function")</f>
        <v>Meets practical function</v>
      </c>
    </row>
    <row r="11560">
      <c r="A11560" s="1">
        <v>4.0</v>
      </c>
      <c r="B11560" s="1" t="s">
        <v>11461</v>
      </c>
      <c r="C11560" t="str">
        <f>IFERROR(__xludf.DUMMYFUNCTION("GOOGLETRANSLATE(B11560, ""es"", ""en"")"),"Excellent quality / price in my case I use it for micros battery plates, and the stability offered is more than correct.")</f>
        <v>Excellent quality / price in my case I use it for micros battery plates, and the stability offered is more than correct.</v>
      </c>
    </row>
    <row r="11561">
      <c r="A11561" s="1">
        <v>5.0</v>
      </c>
      <c r="B11561" s="1" t="s">
        <v>11462</v>
      </c>
      <c r="C11561" t="str">
        <f>IFERROR(__xludf.DUMMYFUNCTION("GOOGLETRANSLATE(B11561, ""es"", ""en"")"),"wireless headsets are fine, you hear both at the same time not like other headphones you hear one, and also comfort and good sound quality")</f>
        <v>wireless headsets are fine, you hear both at the same time not like other headphones you hear one, and also comfort and good sound quality</v>
      </c>
    </row>
    <row r="11562">
      <c r="A11562" s="1">
        <v>5.0</v>
      </c>
      <c r="B11562" s="1" t="s">
        <v>11463</v>
      </c>
      <c r="C11562" t="str">
        <f>IFERROR(__xludf.DUMMYFUNCTION("GOOGLETRANSLATE(B11562, ""es"", ""en"")"),"Borra ... what to do &amp; lt; What else are you going to ask a draft? Well, erase correctly. In addition, the surface is magnetized so it sticks to the metal slate and is convenient to the not require support.")</f>
        <v>Borra ... what to do &amp; lt; What else are you going to ask a draft? Well, erase correctly. In addition, the surface is magnetized so it sticks to the metal slate and is convenient to the not require support.</v>
      </c>
    </row>
    <row r="11563">
      <c r="A11563" s="1">
        <v>5.0</v>
      </c>
      <c r="B11563" s="1" t="s">
        <v>11464</v>
      </c>
      <c r="C11563" t="str">
        <f>IFERROR(__xludf.DUMMYFUNCTION("GOOGLETRANSLATE(B11563, ""es"", ""en"")"),"Great Works great. Already he had an equal earlier that also gave excellent results. Ideal for purees, juice cocktails ... clean easy, but beware because the blades are very sharp.")</f>
        <v>Great Works great. Already he had an equal earlier that also gave excellent results. Ideal for purees, juice cocktails ... clean easy, but beware because the blades are very sharp.</v>
      </c>
    </row>
    <row r="11564">
      <c r="A11564" s="1">
        <v>5.0</v>
      </c>
      <c r="B11564" s="1" t="s">
        <v>11465</v>
      </c>
      <c r="C11564" t="str">
        <f>IFERROR(__xludf.DUMMYFUNCTION("GOOGLETRANSLATE(B11564, ""es"", ""en"")"),"Excellent Very good SD card. He has never given me problems. Fast enough and good value for money. I have another meeting the same characteristics and mark on my Nikon D7200 and are great.")</f>
        <v>Excellent Very good SD card. He has never given me problems. Fast enough and good value for money. I have another meeting the same characteristics and mark on my Nikon D7200 and are great.</v>
      </c>
    </row>
    <row r="11565">
      <c r="A11565" s="1">
        <v>5.0</v>
      </c>
      <c r="B11565" s="1" t="s">
        <v>11466</v>
      </c>
      <c r="C11565" t="str">
        <f>IFERROR(__xludf.DUMMYFUNCTION("GOOGLETRANSLATE(B11565, ""es"", ""en"")"),"price excellent price")</f>
        <v>price excellent price</v>
      </c>
    </row>
    <row r="11566">
      <c r="A11566" s="1">
        <v>5.0</v>
      </c>
      <c r="B11566" s="1" t="s">
        <v>11467</v>
      </c>
      <c r="C11566" t="str">
        <f>IFERROR(__xludf.DUMMYFUNCTION("GOOGLETRANSLATE(B11566, ""es"", ""en"")"),"Perfect place to relax and relieve stress;) I bought the product and it works perfectly. Massage changes the direction of rotation and its speed is configurable by 3 points. Also applies heat.")</f>
        <v>Perfect place to relax and relieve stress;) I bought the product and it works perfectly. Massage changes the direction of rotation and its speed is configurable by 3 points. Also applies heat.</v>
      </c>
    </row>
    <row r="11567">
      <c r="A11567" s="1">
        <v>5.0</v>
      </c>
      <c r="B11567" s="1" t="s">
        <v>11468</v>
      </c>
      <c r="C11567" t="str">
        <f>IFERROR(__xludf.DUMMYFUNCTION("GOOGLETRANSLATE(B11567, ""es"", ""en"")"),"Great buy comfortable with a great length of the heat, more than two hours! I recommend it!!! Better than an electric blanket. It heats up fast too.")</f>
        <v>Great buy comfortable with a great length of the heat, more than two hours! I recommend it!!! Better than an electric blanket. It heats up fast too.</v>
      </c>
    </row>
    <row r="11568">
      <c r="A11568" s="1">
        <v>5.0</v>
      </c>
      <c r="B11568" s="1" t="s">
        <v>11469</v>
      </c>
      <c r="C11568" t="str">
        <f>IFERROR(__xludf.DUMMYFUNCTION("GOOGLETRANSLATE(B11568, ""es"", ""en"")"),"One such wonder as described in your ad, without guile and came very quickly")</f>
        <v>One such wonder as described in your ad, without guile and came very quickly</v>
      </c>
    </row>
    <row r="11569">
      <c r="A11569" s="1">
        <v>5.0</v>
      </c>
      <c r="B11569" s="1" t="s">
        <v>11470</v>
      </c>
      <c r="C11569" t="str">
        <f>IFERROR(__xludf.DUMMYFUNCTION("GOOGLETRANSLATE(B11569, ""es"", ""en"")"),"Great album. Thanks goes like a shot to a record of these finally my laptop goes smoothly, and that no matter how good your laptop, have a mechanical drive, this will be an amazing bottle neck. And for a desktop it is also the best investment you can make"&amp;" along with increased RAM if you plan it right. To use the SSD for the operating system partition and where programs are installed frequently used is more than enough. To store files, videos, photos, documents, ... you only have good mechanical disk; inde"&amp;"ed it is better because the SSD age by scriptures (watch many large files often save). Anyway this record is not very important this because normal use before you change it by old man to reach the end of their useful life. Applying Samsung cloned disk inc"&amp;"luding a CD is very good and I worked perfectly. Careful if you use it as an external disk (not something you see very interesting) with a housing that does not support TRIM, for your SSD can die very quickly. It is a pity that in the last year instead of"&amp;" down have gone up in price this type of discs. In short: Totally recommended, although not the cheapest, but the quality is worth it.")</f>
        <v>Great album. Thanks goes like a shot to a record of these finally my laptop goes smoothly, and that no matter how good your laptop, have a mechanical drive, this will be an amazing bottle neck. And for a desktop it is also the best investment you can make along with increased RAM if you plan it right. To use the SSD for the operating system partition and where programs are installed frequently used is more than enough. To store files, videos, photos, documents, ... you only have good mechanical disk; indeed it is better because the SSD age by scriptures (watch many large files often save). Anyway this record is not very important this because normal use before you change it by old man to reach the end of their useful life. Applying Samsung cloned disk including a CD is very good and I worked perfectly. Careful if you use it as an external disk (not something you see very interesting) with a housing that does not support TRIM, for your SSD can die very quickly. It is a pity that in the last year instead of down have gone up in price this type of discs. In short: Totally recommended, although not the cheapest, but the quality is worth it.</v>
      </c>
    </row>
    <row r="11570">
      <c r="A11570" s="1">
        <v>5.0</v>
      </c>
      <c r="B11570" s="1" t="s">
        <v>11471</v>
      </c>
      <c r="C11570" t="str">
        <f>IFERROR(__xludf.DUMMYFUNCTION("GOOGLETRANSLATE(B11570, ""es"", ""en"")"),"Useful convenient to use and wear. By putting a snag the handle weighs a little and drain if your hands are wet")</f>
        <v>Useful convenient to use and wear. By putting a snag the handle weighs a little and drain if your hands are wet</v>
      </c>
    </row>
    <row r="11571">
      <c r="A11571" s="1">
        <v>5.0</v>
      </c>
      <c r="B11571" s="1" t="s">
        <v>11472</v>
      </c>
      <c r="C11571" t="str">
        <f>IFERROR(__xludf.DUMMYFUNCTION("GOOGLETRANSLATE(B11571, ""es"", ""en"")"),"Comfortable, lightweight and sturdy. something big but appreciated for when descending so that fingers do not come in contact, very comfortable and are resistant. The only bad thing is that sometimes notice the rivet cord inside. But very satisfied with t"&amp;"hem the truth. 100% recomedables")</f>
        <v>Comfortable, lightweight and sturdy. something big but appreciated for when descending so that fingers do not come in contact, very comfortable and are resistant. The only bad thing is that sometimes notice the rivet cord inside. But very satisfied with them the truth. 100% recomedables</v>
      </c>
    </row>
    <row r="11572">
      <c r="A11572" s="1">
        <v>5.0</v>
      </c>
      <c r="B11572" s="1" t="s">
        <v>11473</v>
      </c>
      <c r="C11572" t="str">
        <f>IFERROR(__xludf.DUMMYFUNCTION("GOOGLETRANSLATE(B11572, ""es"", ""en"")"),"Great original and according to the product description. Fully recommended. Sizes match perfectly. It comes in box and original packaging.")</f>
        <v>Great original and according to the product description. Fully recommended. Sizes match perfectly. It comes in box and original packaging.</v>
      </c>
    </row>
    <row r="11573">
      <c r="A11573" s="1">
        <v>5.0</v>
      </c>
      <c r="B11573" s="1" t="s">
        <v>11474</v>
      </c>
      <c r="C11573" t="str">
        <f>IFERROR(__xludf.DUMMYFUNCTION("GOOGLETRANSLATE(B11573, ""es"", ""en"")"),"Come ok great, and have many utilities, some folders are not for life but for carrying papers, such as medical, are great and can be distinguished quite well for their color-")</f>
        <v>Come ok great, and have many utilities, some folders are not for life but for carrying papers, such as medical, are great and can be distinguished quite well for their color-</v>
      </c>
    </row>
    <row r="11574">
      <c r="A11574" s="1">
        <v>5.0</v>
      </c>
      <c r="B11574" s="1" t="s">
        <v>11475</v>
      </c>
      <c r="C11574" t="str">
        <f>IFERROR(__xludf.DUMMYFUNCTION("GOOGLETRANSLATE(B11574, ""es"", ""en"")"),"Well great stay perfect")</f>
        <v>Well great stay perfect</v>
      </c>
    </row>
    <row r="11575">
      <c r="A11575" s="1">
        <v>5.0</v>
      </c>
      <c r="B11575" s="1" t="s">
        <v>11476</v>
      </c>
      <c r="C11575" t="str">
        <f>IFERROR(__xludf.DUMMYFUNCTION("GOOGLETRANSLATE(B11575, ""es"", ""en"")"),"surpasses what I expected ... perfect ... vintage, super price and exactly what I expected ...")</f>
        <v>surpasses what I expected ... perfect ... vintage, super price and exactly what I expected ...</v>
      </c>
    </row>
    <row r="11576">
      <c r="A11576" s="1">
        <v>5.0</v>
      </c>
      <c r="B11576" s="1" t="s">
        <v>11477</v>
      </c>
      <c r="C11576" t="str">
        <f>IFERROR(__xludf.DUMMYFUNCTION("GOOGLETRANSLATE(B11576, ""es"", ""en"")"),"I will repeat'm a lover of sport and use much the Adidas brand in response Climacool model and ClimaLite estrus. This Nike is spectacular, its fabric and embroidered logo. Yes the Nike shoe size is tighter than Adidas and I like to make a sterile body.")</f>
        <v>I will repeat'm a lover of sport and use much the Adidas brand in response Climacool model and ClimaLite estrus. This Nike is spectacular, its fabric and embroidered logo. Yes the Nike shoe size is tighter than Adidas and I like to make a sterile body.</v>
      </c>
    </row>
    <row r="11577">
      <c r="A11577" s="1">
        <v>5.0</v>
      </c>
      <c r="B11577" s="1" t="s">
        <v>11478</v>
      </c>
      <c r="C11577" t="str">
        <f>IFERROR(__xludf.DUMMYFUNCTION("GOOGLETRANSLATE(B11577, ""es"", ""en"")"),"All right all right")</f>
        <v>All right all right</v>
      </c>
    </row>
    <row r="11578">
      <c r="A11578" s="1">
        <v>5.0</v>
      </c>
      <c r="B11578" s="1" t="s">
        <v>11479</v>
      </c>
      <c r="C11578" t="str">
        <f>IFERROR(__xludf.DUMMYFUNCTION("GOOGLETRANSLATE(B11578, ""es"", ""en"")"),"Very nice are very nice, as shown in the pictures, but the little ones will have to have a little skill to close. Positions are very cuckoos.")</f>
        <v>Very nice are very nice, as shown in the pictures, but the little ones will have to have a little skill to close. Positions are very cuckoos.</v>
      </c>
    </row>
    <row r="11579">
      <c r="A11579" s="1">
        <v>5.0</v>
      </c>
      <c r="B11579" s="1" t="s">
        <v>11480</v>
      </c>
      <c r="C11579" t="str">
        <f>IFERROR(__xludf.DUMMYFUNCTION("GOOGLETRANSLATE(B11579, ""es"", ""en"")"),"Storage capacity and value Effective and efficient")</f>
        <v>Storage capacity and value Effective and efficient</v>
      </c>
    </row>
    <row r="11580">
      <c r="A11580" s="1">
        <v>2.0</v>
      </c>
      <c r="B11580" s="1" t="s">
        <v>11481</v>
      </c>
      <c r="C11580" t="str">
        <f>IFERROR(__xludf.DUMMYFUNCTION("GOOGLETRANSLATE(B11580, ""es"", ""en"")"),"They came missing part of the product open and did not reach 100")</f>
        <v>They came missing part of the product open and did not reach 100</v>
      </c>
    </row>
    <row r="11581">
      <c r="A11581" s="1">
        <v>3.0</v>
      </c>
      <c r="B11581" s="1" t="s">
        <v>11482</v>
      </c>
      <c r="C11581" t="str">
        <f>IFERROR(__xludf.DUMMYFUNCTION("GOOGLETRANSLATE(B11581, ""es"", ""en"")"),"Nonremovable head Well, the price can not ask for more. It includes measuring cup. It has little power to certain foods. I hope it is useful")</f>
        <v>Nonremovable head Well, the price can not ask for more. It includes measuring cup. It has little power to certain foods. I hope it is useful</v>
      </c>
    </row>
    <row r="11582">
      <c r="A11582" s="1">
        <v>3.0</v>
      </c>
      <c r="B11582" s="1" t="s">
        <v>11483</v>
      </c>
      <c r="C11582" t="str">
        <f>IFERROR(__xludf.DUMMYFUNCTION("GOOGLETRANSLATE(B11582, ""es"", ""en"")"),"They are nien depends know if you have the finite or wide foot will be worth it or not. They are very pretty. The sole is rubber, but above this padding is water repellent so maybe it was just cracking. The girls love it.")</f>
        <v>They are nien depends know if you have the finite or wide foot will be worth it or not. They are very pretty. The sole is rubber, but above this padding is water repellent so maybe it was just cracking. The girls love it.</v>
      </c>
    </row>
    <row r="11583">
      <c r="A11583" s="1">
        <v>1.0</v>
      </c>
      <c r="B11583" s="1" t="s">
        <v>11484</v>
      </c>
      <c r="C11583" t="str">
        <f>IFERROR(__xludf.DUMMYFUNCTION("GOOGLETRANSLATE(B11583, ""es"", ""en"")"),"I have damaged the functionality of the body during use I have caused desfunción plant which has led me to have muscle spasms that kept walking me, I worked limping and in pain, every time I had a spasm I failed the muscles and could not hold during that "&amp;"moment and fell. Not recommended at all. Moreover, I think I'll sue the company. I do not give 0 stars because I can not. It was change my shoes and begin to recover.")</f>
        <v>I have damaged the functionality of the body during use I have caused desfunción plant which has led me to have muscle spasms that kept walking me, I worked limping and in pain, every time I had a spasm I failed the muscles and could not hold during that moment and fell. Not recommended at all. Moreover, I think I'll sue the company. I do not give 0 stars because I can not. It was change my shoes and begin to recover.</v>
      </c>
    </row>
    <row r="11584">
      <c r="A11584" s="1">
        <v>1.0</v>
      </c>
      <c r="B11584" s="1" t="s">
        <v>11485</v>
      </c>
      <c r="C11584" t="str">
        <f>IFERROR(__xludf.DUMMYFUNCTION("GOOGLETRANSLATE(B11584, ""es"", ""en"")"),"The rear scuff do scuffs on the heels ago.")</f>
        <v>The rear scuff do scuffs on the heels ago.</v>
      </c>
    </row>
    <row r="11585">
      <c r="A11585" s="1">
        <v>4.0</v>
      </c>
      <c r="B11585" s="1" t="s">
        <v>11486</v>
      </c>
      <c r="C11585" t="str">
        <f>IFERROR(__xludf.DUMMYFUNCTION("GOOGLETRANSLATE(B11585, ""es"", ""en"")"),"They are a bit small small, I'm usually 39 but I remained very tight, narrow fingers, the 40's a little big feel.")</f>
        <v>They are a bit small small, I'm usually 39 but I remained very tight, narrow fingers, the 40's a little big feel.</v>
      </c>
    </row>
    <row r="11586">
      <c r="A11586" s="1">
        <v>4.0</v>
      </c>
      <c r="B11586" s="1" t="s">
        <v>11487</v>
      </c>
      <c r="C11586" t="str">
        <f>IFERROR(__xludf.DUMMYFUNCTION("GOOGLETRANSLATE(B11586, ""es"", ""en"")"),"Teapot warmer Very Good. Convenient and comfortable. Heats quickly on induction cooktop. It has much ability and an elegant and functional style.")</f>
        <v>Teapot warmer Very Good. Convenient and comfortable. Heats quickly on induction cooktop. It has much ability and an elegant and functional style.</v>
      </c>
    </row>
    <row r="11587">
      <c r="A11587" s="1">
        <v>4.0</v>
      </c>
      <c r="B11587" s="1" t="s">
        <v>11488</v>
      </c>
      <c r="C11587" t="str">
        <f>IFERROR(__xludf.DUMMYFUNCTION("GOOGLETRANSLATE(B11587, ""es"", ""en"")"),"Watch that fulfills its mission. Knight basic clock, pretty sphere in dark blue, with large numbers. Correa practical and comfortable. Nothing else noteworthy.")</f>
        <v>Watch that fulfills its mission. Knight basic clock, pretty sphere in dark blue, with large numbers. Correa practical and comfortable. Nothing else noteworthy.</v>
      </c>
    </row>
    <row r="11588">
      <c r="A11588" s="1">
        <v>4.0</v>
      </c>
      <c r="B11588" s="1" t="s">
        <v>11489</v>
      </c>
      <c r="C11588" t="str">
        <f>IFERROR(__xludf.DUMMYFUNCTION("GOOGLETRANSLATE(B11588, ""es"", ""en"")"),"It is wrong for now not bad for now")</f>
        <v>It is wrong for now not bad for now</v>
      </c>
    </row>
    <row r="11589">
      <c r="A11589" s="1">
        <v>4.0</v>
      </c>
      <c r="B11589" s="1" t="s">
        <v>11490</v>
      </c>
      <c r="C11589" t="str">
        <f>IFERROR(__xludf.DUMMYFUNCTION("GOOGLETRANSLATE(B11589, ""es"", ""en"")"),"For money we are well used a robot 990 CECOTEC and as we all (my father had another) clean and behaves well until a year and a half stops working. We decided on this for the views and the quality of the brand and I can say the following in comparison with"&amp;" the previous one: It's loud and clean randomly colliding slowly with furniture or objects (although it is true that cleans all made more efficient without hitting the CECOTEC) it is faster and the quality of materials is more correct than the CECOTEC. In"&amp;" summary accounts if it lasts more than CECOTEC if not, the other robot is better cleaning efficiency")</f>
        <v>For money we are well used a robot 990 CECOTEC and as we all (my father had another) clean and behaves well until a year and a half stops working. We decided on this for the views and the quality of the brand and I can say the following in comparison with the previous one: It's loud and clean randomly colliding slowly with furniture or objects (although it is true that cleans all made more efficient without hitting the CECOTEC) it is faster and the quality of materials is more correct than the CECOTEC. In summary accounts if it lasts more than CECOTEC if not, the other robot is better cleaning efficiency</v>
      </c>
    </row>
    <row r="11590">
      <c r="A11590" s="1">
        <v>5.0</v>
      </c>
      <c r="B11590" s="1" t="s">
        <v>11491</v>
      </c>
      <c r="C11590" t="str">
        <f>IFERROR(__xludf.DUMMYFUNCTION("GOOGLETRANSLATE(B11590, ""es"", ""en"")"),"Fulfills its function The fact that this very well and buy it for use in the pool and wake up calls. It consumes little power and is often shut down for not spending. It's small and weighs nothing ... Let's see how it ...")</f>
        <v>Fulfills its function The fact that this very well and buy it for use in the pool and wake up calls. It consumes little power and is often shut down for not spending. It's small and weighs nothing ... Let's see how it ...</v>
      </c>
    </row>
    <row r="11591">
      <c r="A11591" s="1">
        <v>5.0</v>
      </c>
      <c r="B11591" s="1" t="s">
        <v>11492</v>
      </c>
      <c r="C11591" t="str">
        <f>IFERROR(__xludf.DUMMYFUNCTION("GOOGLETRANSLATE(B11591, ""es"", ""en"")"),"perfectly fulfills its function. Perfect for what we buy, easy to paste, comfortable and not peel off over time. Fast shipping and perfect packaging.")</f>
        <v>perfectly fulfills its function. Perfect for what we buy, easy to paste, comfortable and not peel off over time. Fast shipping and perfect packaging.</v>
      </c>
    </row>
    <row r="11592">
      <c r="A11592" s="1">
        <v>5.0</v>
      </c>
      <c r="B11592" s="1" t="s">
        <v>11493</v>
      </c>
      <c r="C11592" t="str">
        <f>IFERROR(__xludf.DUMMYFUNCTION("GOOGLETRANSLATE(B11592, ""es"", ""en"")"),"Excellent product quality product, comfortable and functional.")</f>
        <v>Excellent product quality product, comfortable and functional.</v>
      </c>
    </row>
    <row r="11593">
      <c r="A11593" s="1">
        <v>5.0</v>
      </c>
      <c r="B11593" s="1" t="s">
        <v>11494</v>
      </c>
      <c r="C11593" t="str">
        <f>IFERROR(__xludf.DUMMYFUNCTION("GOOGLETRANSLATE(B11593, ""es"", ""en"")"),"Perfect nothing to say that is not known")</f>
        <v>Perfect nothing to say that is not known</v>
      </c>
    </row>
    <row r="11594">
      <c r="A11594" s="1">
        <v>5.0</v>
      </c>
      <c r="B11594" s="1" t="s">
        <v>11495</v>
      </c>
      <c r="C11594" t="str">
        <f>IFERROR(__xludf.DUMMYFUNCTION("GOOGLETRANSLATE(B11594, ""es"", ""en"")"),"Comfortable and convenient wireless For now, doing great. Thanks and regards")</f>
        <v>Comfortable and convenient wireless For now, doing great. Thanks and regards</v>
      </c>
    </row>
    <row r="11595">
      <c r="A11595" s="1">
        <v>5.0</v>
      </c>
      <c r="B11595" s="1" t="s">
        <v>11496</v>
      </c>
      <c r="C11595" t="str">
        <f>IFERROR(__xludf.DUMMYFUNCTION("GOOGLETRANSLATE(B11595, ""es"", ""en"")"),"ALL PERFECT The jacket is quite long and very hot. I have arrived much earlier than expected.")</f>
        <v>ALL PERFECT The jacket is quite long and very hot. I have arrived much earlier than expected.</v>
      </c>
    </row>
    <row r="11596">
      <c r="A11596" s="1">
        <v>5.0</v>
      </c>
      <c r="B11596" s="1" t="s">
        <v>11497</v>
      </c>
      <c r="C11596" t="str">
        <f>IFERROR(__xludf.DUMMYFUNCTION("GOOGLETRANSLATE(B11596, ""es"", ""en"")"),"I loved Encantada equal to or better than photo")</f>
        <v>I loved Encantada equal to or better than photo</v>
      </c>
    </row>
    <row r="11597">
      <c r="A11597" s="1">
        <v>5.0</v>
      </c>
      <c r="B11597" s="1" t="s">
        <v>11498</v>
      </c>
      <c r="C11597" t="str">
        <f>IFERROR(__xludf.DUMMYFUNCTION("GOOGLETRANSLATE(B11597, ""es"", ""en"")"),"Hot water in minutes! &lt;Div id = ""video-block-R220MECHT7K33X"" class = ""a-section a-spacing-small a-spacing-top mini video-block""&gt; &lt;/ div&gt; &lt;input type = ""hidden"" name = """" value = ""https://images-eu.ssl-images-amazon.com/images/I/818lw9AM09S.mp4"" "&amp;"class = ""video-url""&gt; &lt;input type = ""hidden"" name = """" value = ""https: //images-eu.ssl-images-amazon.com/images/I/A1BBtYoVw7S.png ""class ="" video-slate-img-url ""&gt; &amp; nbsp; I took this tea after evaluating long among the many proposed options for A"&amp;"mazon, and I must admit that I really was surprised. The package arrived quickly, well packed and very accurate delivery. As described, the kettle is made of borosilicate glass and the base glass kettle water is made of stainless steel. All parts in conta"&amp;"ct with the degree of water are made from food materials. The materials are of excellent quality and even when the water boils, but feel the heat, risks getting burned. I use it regularly and several times a day, especially in this winter period, to heat "&amp;"water for tea, pasta, etc. Despite the continuous use, it behaves very well and works well. Very easy to use: simply insert the socket and press the lever. The blue color is elegant and not annoying, and it seems very modern, gives a high-tech touch to th"&amp;"e kitchen. When it is hot it is quite noisy, but offset by a very rapid heating All materials are durable and easy to clean. Inside there is a very clear instruction manual in several languages ​​containing all warnings, instructions and a guide thorough "&amp;"cleaning. Buy more, I'm very happy.")</f>
        <v>Hot water in minutes! &lt;Div id = "video-block-R220MECHT7K33X" class = "a-section a-spacing-small a-spacing-top mini video-block"&gt; &lt;/ div&gt; &lt;input type = "hidden" name = "" value = "https://images-eu.ssl-images-amazon.com/images/I/818lw9AM09S.mp4" class = "video-url"&gt; &lt;input type = "hidden" name = "" value = "https: //images-eu.ssl-images-amazon.com/images/I/A1BBtYoVw7S.png "class =" video-slate-img-url "&gt; &amp; nbsp; I took this tea after evaluating long among the many proposed options for Amazon, and I must admit that I really was surprised. The package arrived quickly, well packed and very accurate delivery. As described, the kettle is made of borosilicate glass and the base glass kettle water is made of stainless steel. All parts in contact with the degree of water are made from food materials. The materials are of excellent quality and even when the water boils, but feel the heat, risks getting burned. I use it regularly and several times a day, especially in this winter period, to heat water for tea, pasta, etc. Despite the continuous use, it behaves very well and works well. Very easy to use: simply insert the socket and press the lever. The blue color is elegant and not annoying, and it seems very modern, gives a high-tech touch to the kitchen. When it is hot it is quite noisy, but offset by a very rapid heating All materials are durable and easy to clean. Inside there is a very clear instruction manual in several languages ​​containing all warnings, instructions and a guide thorough cleaning. Buy more, I'm very happy.</v>
      </c>
    </row>
    <row r="11598">
      <c r="A11598" s="1">
        <v>5.0</v>
      </c>
      <c r="B11598" s="1" t="s">
        <v>11499</v>
      </c>
      <c r="C11598" t="str">
        <f>IFERROR(__xludf.DUMMYFUNCTION("GOOGLETRANSLATE(B11598, ""es"", ""en"")"),"Good quality headphones perfect packaging")</f>
        <v>Good quality headphones perfect packaging</v>
      </c>
    </row>
    <row r="11599">
      <c r="A11599" s="1">
        <v>5.0</v>
      </c>
      <c r="B11599" s="1" t="s">
        <v>11500</v>
      </c>
      <c r="C11599" t="str">
        <f>IFERROR(__xludf.DUMMYFUNCTION("GOOGLETRANSLATE(B11599, ""es"", ""en"")"),"We liked very good stuff but we thought q was smaller. very good material but not being of the size we were looking for q returned it and the truth is that we will continue buying. He arrived in a week")</f>
        <v>We liked very good stuff but we thought q was smaller. very good material but not being of the size we were looking for q returned it and the truth is that we will continue buying. He arrived in a week</v>
      </c>
    </row>
    <row r="11600">
      <c r="A11600" s="1">
        <v>5.0</v>
      </c>
      <c r="B11600" s="1" t="s">
        <v>11501</v>
      </c>
      <c r="C11600" t="str">
        <f>IFERROR(__xludf.DUMMYFUNCTION("GOOGLETRANSLATE(B11600, ""es"", ""en"")"),"Ideal Take the bottles very easily")</f>
        <v>Ideal Take the bottles very easily</v>
      </c>
    </row>
    <row r="11601">
      <c r="A11601" s="1">
        <v>5.0</v>
      </c>
      <c r="B11601" s="1" t="s">
        <v>11502</v>
      </c>
      <c r="C11601" t="str">
        <f>IFERROR(__xludf.DUMMYFUNCTION("GOOGLETRANSLATE(B11601, ""es"", ""en"")"),"Good product has met my expectations")</f>
        <v>Good product has met my expectations</v>
      </c>
    </row>
    <row r="11602">
      <c r="A11602" s="1">
        <v>5.0</v>
      </c>
      <c r="B11602" s="1" t="s">
        <v>11503</v>
      </c>
      <c r="C11602" t="str">
        <f>IFERROR(__xludf.DUMMYFUNCTION("GOOGLETRANSLATE(B11602, ""es"", ""en"")"),"Good value for money. Excellent.")</f>
        <v>Good value for money. Excellent.</v>
      </c>
    </row>
    <row r="11603">
      <c r="A11603" s="1">
        <v>5.0</v>
      </c>
      <c r="B11603" s="1" t="s">
        <v>11504</v>
      </c>
      <c r="C11603" t="str">
        <f>IFERROR(__xludf.DUMMYFUNCTION("GOOGLETRANSLATE(B11603, ""es"", ""en"")"),"Never Fails Like everything I buy from Ugreen is of good quality and at the right price. Whenever I prefer this brand!")</f>
        <v>Never Fails Like everything I buy from Ugreen is of good quality and at the right price. Whenever I prefer this brand!</v>
      </c>
    </row>
    <row r="11604">
      <c r="A11604" s="1">
        <v>5.0</v>
      </c>
      <c r="B11604" s="1" t="s">
        <v>11505</v>
      </c>
      <c r="C11604" t="str">
        <f>IFERROR(__xludf.DUMMYFUNCTION("GOOGLETRANSLATE(B11604, ""es"", ""en"")"),"habitual user of Amazon Very good overall")</f>
        <v>habitual user of Amazon Very good overall</v>
      </c>
    </row>
    <row r="11605">
      <c r="A11605" s="1">
        <v>5.0</v>
      </c>
      <c r="B11605" s="1" t="s">
        <v>11506</v>
      </c>
      <c r="C11605" t="str">
        <f>IFERROR(__xludf.DUMMYFUNCTION("GOOGLETRANSLATE(B11605, ""es"", ""en"")"),"modern, comfortable, lightweight, very good pitcher, excellent design to regulate temperature.")</f>
        <v>modern, comfortable, lightweight, very good pitcher, excellent design to regulate temperature.</v>
      </c>
    </row>
    <row r="11606">
      <c r="A11606" s="1">
        <v>5.0</v>
      </c>
      <c r="B11606" s="1" t="s">
        <v>11507</v>
      </c>
      <c r="C11606" t="str">
        <f>IFERROR(__xludf.DUMMYFUNCTION("GOOGLETRANSLATE(B11606, ""es"", ""en"")"),"Very good sound quality sound with clear sound and great bass. The call sound is very good too, isolating much, almost imperceptible outside noise. Subjection to the ear is very good, barely move, even to the sport. After a couple hours of wearing them, t"&amp;"hey do not hurt. They carry the cargo box, where guards and loads the same time. The charging case is of very good quality with a semirugoso touch.")</f>
        <v>Very good sound quality sound with clear sound and great bass. The call sound is very good too, isolating much, almost imperceptible outside noise. Subjection to the ear is very good, barely move, even to the sport. After a couple hours of wearing them, they do not hurt. They carry the cargo box, where guards and loads the same time. The charging case is of very good quality with a semirugoso touch.</v>
      </c>
    </row>
    <row r="11607">
      <c r="A11607" s="1">
        <v>5.0</v>
      </c>
      <c r="B11607" s="1" t="s">
        <v>11508</v>
      </c>
      <c r="C11607" t="str">
        <f>IFERROR(__xludf.DUMMYFUNCTION("GOOGLETRANSLATE(B11607, ""es"", ""en"")"),"/ Value've tried only the first few hours, the sound quality without being the best is acceptable for the price. Time we will see if the materials hold up well;)")</f>
        <v>/ Value've tried only the first few hours, the sound quality without being the best is acceptable for the price. Time we will see if the materials hold up well;)</v>
      </c>
    </row>
    <row r="11608">
      <c r="A11608" s="1">
        <v>2.0</v>
      </c>
      <c r="B11608" s="1" t="s">
        <v>11509</v>
      </c>
      <c r="C11608" t="str">
        <f>IFERROR(__xludf.DUMMYFUNCTION("GOOGLETRANSLATE(B11608, ""es"", ""en"")"),"It does not work in two applications. It stopped working the display. With only two applications from purchase.")</f>
        <v>It does not work in two applications. It stopped working the display. With only two applications from purchase.</v>
      </c>
    </row>
    <row r="11609">
      <c r="A11609" s="1">
        <v>3.0</v>
      </c>
      <c r="B11609" s="1" t="s">
        <v>11510</v>
      </c>
      <c r="C11609" t="str">
        <f>IFERROR(__xludf.DUMMYFUNCTION("GOOGLETRANSLATE(B11609, ""es"", ""en"")"),"Very satisfied Wireless moment with the printer, working for wireless can be placed in the appropriate space more and not necessarily attached to the computer. It took a while to connect to the router, but once achieved other devices are linked seamlessly"&amp;". The print quality is good considering it is inkjet. What I do not like is that the scan documents as jpg and does not give option to do so in pdf directly.")</f>
        <v>Very satisfied Wireless moment with the printer, working for wireless can be placed in the appropriate space more and not necessarily attached to the computer. It took a while to connect to the router, but once achieved other devices are linked seamlessly. The print quality is good considering it is inkjet. What I do not like is that the scan documents as jpg and does not give option to do so in pdf directly.</v>
      </c>
    </row>
    <row r="11610">
      <c r="A11610" s="1">
        <v>3.0</v>
      </c>
      <c r="B11610" s="1" t="s">
        <v>11511</v>
      </c>
      <c r="C11610" t="str">
        <f>IFERROR(__xludf.DUMMYFUNCTION("GOOGLETRANSLATE(B11610, ""es"", ""en"")"),"Regular shooting is normalillo bad finish. Zippers work well but sees weak. Together is smaller than it seems, there is a tablet 10 "". The cords that make handles zippers destan gaze and force you to redo them every so often. It is slackening the tie slo"&amp;"wly and must be adjusted very often. the carabiner strap is plastic, it looks pretty weak and does not look to last long. fulfills its function in an urban environment, but not suitable for outdoor")</f>
        <v>Regular shooting is normalillo bad finish. Zippers work well but sees weak. Together is smaller than it seems, there is a tablet 10 ". The cords that make handles zippers destan gaze and force you to redo them every so often. It is slackening the tie slowly and must be adjusted very often. the carabiner strap is plastic, it looks pretty weak and does not look to last long. fulfills its function in an urban environment, but not suitable for outdoor</v>
      </c>
    </row>
    <row r="11611">
      <c r="A11611" s="1">
        <v>1.0</v>
      </c>
      <c r="B11611" s="1" t="s">
        <v>11512</v>
      </c>
      <c r="C11611" t="str">
        <f>IFERROR(__xludf.DUMMYFUNCTION("GOOGLETRANSLATE(B11611, ""es"", ""en"")"),"Tiny is tiny. Only serves to the little finger. Expensive for the size it is.")</f>
        <v>Tiny is tiny. Only serves to the little finger. Expensive for the size it is.</v>
      </c>
    </row>
    <row r="11612">
      <c r="A11612" s="1">
        <v>1.0</v>
      </c>
      <c r="B11612" s="1" t="s">
        <v>11513</v>
      </c>
      <c r="C11612" t="str">
        <f>IFERROR(__xludf.DUMMYFUNCTION("GOOGLETRANSLATE(B11612, ""es"", ""en"")"),"The volume is very low and most people do not hear hardly hears")</f>
        <v>The volume is very low and most people do not hear hardly hears</v>
      </c>
    </row>
    <row r="11613">
      <c r="A11613" s="1">
        <v>4.0</v>
      </c>
      <c r="B11613" s="1" t="s">
        <v>11514</v>
      </c>
      <c r="C11613" t="str">
        <f>IFERROR(__xludf.DUMMYFUNCTION("GOOGLETRANSLATE(B11613, ""es"", ""en"")"),"Water I liked, but I expected that night numbers would not only needles")</f>
        <v>Water I liked, but I expected that night numbers would not only needles</v>
      </c>
    </row>
    <row r="11614">
      <c r="A11614" s="1">
        <v>4.0</v>
      </c>
      <c r="B11614" s="1" t="s">
        <v>11515</v>
      </c>
      <c r="C11614" t="str">
        <f>IFERROR(__xludf.DUMMYFUNCTION("GOOGLETRANSLATE(B11614, ""es"", ""en"")"),"Super very small children.")</f>
        <v>Super very small children.</v>
      </c>
    </row>
    <row r="11615">
      <c r="A11615" s="1">
        <v>4.0</v>
      </c>
      <c r="B11615" s="1" t="s">
        <v>11516</v>
      </c>
      <c r="C11615" t="str">
        <f>IFERROR(__xludf.DUMMYFUNCTION("GOOGLETRANSLATE(B11615, ""es"", ""en"")"),"Socks Hello !!! The only thing that could put a negative comment is that for me ""is a very personal opinion"" may be a little rough sock, but otherwise very nice. I hope it helps and does not take very bad ... it is a simple opinion I hope you do not min"&amp;"d. A greeting!")</f>
        <v>Socks Hello !!! The only thing that could put a negative comment is that for me "is a very personal opinion" may be a little rough sock, but otherwise very nice. I hope it helps and does not take very bad ... it is a simple opinion I hope you do not mind. A greeting!</v>
      </c>
    </row>
    <row r="11616">
      <c r="A11616" s="1">
        <v>4.0</v>
      </c>
      <c r="B11616" s="1" t="s">
        <v>11517</v>
      </c>
      <c r="C11616" t="str">
        <f>IFERROR(__xludf.DUMMYFUNCTION("GOOGLETRANSLATE(B11616, ""es"", ""en"")"),"I bought a size large to size less than I use and perfect. Very comfortable.")</f>
        <v>I bought a size large to size less than I use and perfect. Very comfortable.</v>
      </c>
    </row>
    <row r="11617">
      <c r="A11617" s="1">
        <v>4.0</v>
      </c>
      <c r="B11617" s="1" t="s">
        <v>11518</v>
      </c>
      <c r="C11617" t="str">
        <f>IFERROR(__xludf.DUMMYFUNCTION("GOOGLETRANSLATE(B11617, ""es"", ""en"")"),"Good value but not very fast (processing) · Packaging: Good packaging is usually the principal of the ""brands"". · Positive Feedback: Good quality for use in tablets and phones. Good material and product quality. · Negative Feedback: I think it is not va"&amp;"lid for cameras that require faster processing. · Conclusions: Good product and good value but always seeing the use which has to be directed.")</f>
        <v>Good value but not very fast (processing) · Packaging: Good packaging is usually the principal of the "brands". · Positive Feedback: Good quality for use in tablets and phones. Good material and product quality. · Negative Feedback: I think it is not valid for cameras that require faster processing. · Conclusions: Good product and good value but always seeing the use which has to be directed.</v>
      </c>
    </row>
    <row r="11618">
      <c r="A11618" s="1">
        <v>5.0</v>
      </c>
      <c r="B11618" s="1" t="s">
        <v>11519</v>
      </c>
      <c r="C11618" t="str">
        <f>IFERROR(__xludf.DUMMYFUNCTION("GOOGLETRANSLATE(B11618, ""es"", ""en"")"),"Good product good product brand typical glue stick. For my taste, it is the best brand in these products.")</f>
        <v>Good product good product brand typical glue stick. For my taste, it is the best brand in these products.</v>
      </c>
    </row>
    <row r="11619">
      <c r="A11619" s="1">
        <v>5.0</v>
      </c>
      <c r="B11619" s="1" t="s">
        <v>11520</v>
      </c>
      <c r="C11619" t="str">
        <f>IFERROR(__xludf.DUMMYFUNCTION("GOOGLETRANSLATE(B11619, ""es"", ""en"")"),"All right all perfect. expected, soft and warm Size")</f>
        <v>All right all perfect. expected, soft and warm Size</v>
      </c>
    </row>
    <row r="11620">
      <c r="A11620" s="1">
        <v>5.0</v>
      </c>
      <c r="B11620" s="1" t="s">
        <v>11521</v>
      </c>
      <c r="C11620" t="str">
        <f>IFERROR(__xludf.DUMMYFUNCTION("GOOGLETRANSLATE(B11620, ""es"", ""en"")"),"Great little pendrive've had endless pen drives before and this is the best so far, it shows their quality with just open it. The body is entirely metal gives an added plus. In speed read and write just excellent, fast and stable, with no unusual spikes o"&amp;"r other problems. Certainly a great Pendrive! Pros: size, capacity, speed and price. Cons: So far I can not report any.")</f>
        <v>Great little pendrive've had endless pen drives before and this is the best so far, it shows their quality with just open it. The body is entirely metal gives an added plus. In speed read and write just excellent, fast and stable, with no unusual spikes or other problems. Certainly a great Pendrive! Pros: size, capacity, speed and price. Cons: So far I can not report any.</v>
      </c>
    </row>
    <row r="11621">
      <c r="A11621" s="1">
        <v>5.0</v>
      </c>
      <c r="B11621" s="1" t="s">
        <v>11522</v>
      </c>
      <c r="C11621" t="str">
        <f>IFERROR(__xludf.DUMMYFUNCTION("GOOGLETRANSLATE(B11621, ""es"", ""en"")"),"Super fast shipping good quality, not transparent at all. Shipping in 24 hours")</f>
        <v>Super fast shipping good quality, not transparent at all. Shipping in 24 hours</v>
      </c>
    </row>
    <row r="11622">
      <c r="A11622" s="1">
        <v>5.0</v>
      </c>
      <c r="B11622" s="1" t="s">
        <v>11523</v>
      </c>
      <c r="C11622" t="str">
        <f>IFERROR(__xludf.DUMMYFUNCTION("GOOGLETRANSLATE(B11622, ""es"", ""en"")"),"I loved I liked, had another but it had to change. What I like most is how quickly heat water 2 or 3 minutes is already boiling and therefore for the, infusions or when I cook and I need to have hot water is phenomenal. Easy to clean and use. Place it on "&amp;"your platform you give the safety button and the LED tells you when hot water. Price, use, cleaning at an affordable price. Excellent")</f>
        <v>I loved I liked, had another but it had to change. What I like most is how quickly heat water 2 or 3 minutes is already boiling and therefore for the, infusions or when I cook and I need to have hot water is phenomenal. Easy to clean and use. Place it on your platform you give the safety button and the LED tells you when hot water. Price, use, cleaning at an affordable price. Excellent</v>
      </c>
    </row>
    <row r="11623">
      <c r="A11623" s="1">
        <v>5.0</v>
      </c>
      <c r="B11623" s="1" t="s">
        <v>11524</v>
      </c>
      <c r="C11623" t="str">
        <f>IFERROR(__xludf.DUMMYFUNCTION("GOOGLETRANSLATE(B11623, ""es"", ""en"")"),"Save photos from the phone to the USB I liked how convenient it is to move photos, files and videos from the phone to the device, did not like that is not worth for the Mac book pro")</f>
        <v>Save photos from the phone to the USB I liked how convenient it is to move photos, files and videos from the phone to the device, did not like that is not worth for the Mac book pro</v>
      </c>
    </row>
    <row r="11624">
      <c r="A11624" s="1">
        <v>5.0</v>
      </c>
      <c r="B11624" s="1" t="s">
        <v>11525</v>
      </c>
      <c r="C11624" t="str">
        <f>IFERROR(__xludf.DUMMYFUNCTION("GOOGLETRANSLATE(B11624, ""es"", ""en"")"),"Perfect very good, my wife is haunted.")</f>
        <v>Perfect very good, my wife is haunted.</v>
      </c>
    </row>
    <row r="11625">
      <c r="A11625" s="1">
        <v>5.0</v>
      </c>
      <c r="B11625" s="1" t="s">
        <v>11526</v>
      </c>
      <c r="C11625" t="str">
        <f>IFERROR(__xludf.DUMMYFUNCTION("GOOGLETRANSLATE(B11625, ""es"", ""en"")"),"Comfortable and good quality Apart from its beautiful design are very comfortable. I have days with them listening to music and sometimes play games, and I mean the sound is really good. They are very light and come with a clip for comfort, so the cables "&amp;"or entangle not bother you. I have proven with Samsung and Ipad and great. They also have a microphone to talk hands-free. Overall I have no hits. Very good quality for a good price.")</f>
        <v>Comfortable and good quality Apart from its beautiful design are very comfortable. I have days with them listening to music and sometimes play games, and I mean the sound is really good. They are very light and come with a clip for comfort, so the cables or entangle not bother you. I have proven with Samsung and Ipad and great. They also have a microphone to talk hands-free. Overall I have no hits. Very good quality for a good price.</v>
      </c>
    </row>
    <row r="11626">
      <c r="A11626" s="1">
        <v>5.0</v>
      </c>
      <c r="B11626" s="1" t="s">
        <v>11527</v>
      </c>
      <c r="C11626" t="str">
        <f>IFERROR(__xludf.DUMMYFUNCTION("GOOGLETRANSLATE(B11626, ""es"", ""en"")"),"Fast and compact. I bought this card for my camera action and I am delighted. Besides having a lot of capacity: 64GB, it is very fast. It was a wise move to buy it. 100% recommendable.")</f>
        <v>Fast and compact. I bought this card for my camera action and I am delighted. Besides having a lot of capacity: 64GB, it is very fast. It was a wise move to buy it. 100% recommendable.</v>
      </c>
    </row>
    <row r="11627">
      <c r="A11627" s="1">
        <v>5.0</v>
      </c>
      <c r="B11627" s="1" t="s">
        <v>11528</v>
      </c>
      <c r="C11627" t="str">
        <f>IFERROR(__xludf.DUMMYFUNCTION("GOOGLETRANSLATE(B11627, ""es"", ""en"")"),"Very comfortable very comfortable, cushioned insoles, soft touch inside, attractive and modern design")</f>
        <v>Very comfortable very comfortable, cushioned insoles, soft touch inside, attractive and modern design</v>
      </c>
    </row>
    <row r="11628">
      <c r="A11628" s="1">
        <v>5.0</v>
      </c>
      <c r="B11628" s="1" t="s">
        <v>11529</v>
      </c>
      <c r="C11628" t="str">
        <f>IFERROR(__xludf.DUMMYFUNCTION("GOOGLETRANSLATE(B11628, ""es"", ""en"")"),"As picture Supe well, with many departments")</f>
        <v>As picture Supe well, with many departments</v>
      </c>
    </row>
    <row r="11629">
      <c r="A11629" s="1">
        <v>5.0</v>
      </c>
      <c r="B11629" s="1" t="s">
        <v>11530</v>
      </c>
      <c r="C11629" t="str">
        <f>IFERROR(__xludf.DUMMYFUNCTION("GOOGLETRANSLATE(B11629, ""es"", ""en"")"),"Perfect Very pleased with purchase. My laptop MSI CX72 7QL only came with a HDD, which Windows was quite slow. With this SSD I've been able to give a second life now he is very fluid. In addition, move everything (including Windows) from one disk to anoth"&amp;"er is super simple.")</f>
        <v>Perfect Very pleased with purchase. My laptop MSI CX72 7QL only came with a HDD, which Windows was quite slow. With this SSD I've been able to give a second life now he is very fluid. In addition, move everything (including Windows) from one disk to another is super simple.</v>
      </c>
    </row>
    <row r="11630">
      <c r="A11630" s="1">
        <v>5.0</v>
      </c>
      <c r="B11630" s="1" t="s">
        <v>11531</v>
      </c>
      <c r="C11630" t="str">
        <f>IFERROR(__xludf.DUMMYFUNCTION("GOOGLETRANSLATE(B11630, ""es"", ""en"")"),"Ideal I liked is beautiful")</f>
        <v>Ideal I liked is beautiful</v>
      </c>
    </row>
    <row r="11631">
      <c r="A11631" s="1">
        <v>5.0</v>
      </c>
      <c r="B11631" s="1" t="s">
        <v>11532</v>
      </c>
      <c r="C11631" t="str">
        <f>IFERROR(__xludf.DUMMYFUNCTION("GOOGLETRANSLATE(B11631, ""es"", ""en"")"),"Good quality milk. There is a good quality price relation. The very rapid shipment.")</f>
        <v>Good quality milk. There is a good quality price relation. The very rapid shipment.</v>
      </c>
    </row>
    <row r="11632">
      <c r="A11632" s="1">
        <v>5.0</v>
      </c>
      <c r="B11632" s="1" t="s">
        <v>11533</v>
      </c>
      <c r="C11632" t="str">
        <f>IFERROR(__xludf.DUMMYFUNCTION("GOOGLETRANSLATE(B11632, ""es"", ""en"")"),"Mop Bucket Very satisfactory product weighs nothing, very good and very fast delivery")</f>
        <v>Mop Bucket Very satisfactory product weighs nothing, very good and very fast delivery</v>
      </c>
    </row>
    <row r="11633">
      <c r="A11633" s="1">
        <v>5.0</v>
      </c>
      <c r="B11633" s="1" t="s">
        <v>11534</v>
      </c>
      <c r="C11633" t="str">
        <f>IFERROR(__xludf.DUMMYFUNCTION("GOOGLETRANSLATE(B11633, ""es"", ""en"")"),"A brown Betia ma always liked Crucial for 20 years I love everything that is flash memory complaints, I had RAM, SSDs and even SD cards old when they were about megas and not like now that are gigas. This SSD has a good price and a very good performance m"&amp;"ay not be as extreme version of another manufacturer but it costs half. In the company I work for has failed us some other brands as Kington, OCZ and Corsair, Crucial and Samsung but we have never failed. The specific technical performance is as described"&amp;" in 490 and 515 dandome between MB / s writing and reading and an average of 89K iops. I would definitely recommend, I have this 1TB in pricipal Pc and then another 3 (of smaller capacities) mounted as drive C on two laptops and a smaller computer.")</f>
        <v>A brown Betia ma always liked Crucial for 20 years I love everything that is flash memory complaints, I had RAM, SSDs and even SD cards old when they were about megas and not like now that are gigas. This SSD has a good price and a very good performance may not be as extreme version of another manufacturer but it costs half. In the company I work for has failed us some other brands as Kington, OCZ and Corsair, Crucial and Samsung but we have never failed. The specific technical performance is as described in 490 and 515 dandome between MB / s writing and reading and an average of 89K iops. I would definitely recommend, I have this 1TB in pricipal Pc and then another 3 (of smaller capacities) mounted as drive C on two laptops and a smaller computer.</v>
      </c>
    </row>
    <row r="11634">
      <c r="A11634" s="1">
        <v>5.0</v>
      </c>
      <c r="B11634" s="1" t="s">
        <v>11535</v>
      </c>
      <c r="C11634" t="str">
        <f>IFERROR(__xludf.DUMMYFUNCTION("GOOGLETRANSLATE(B11634, ""es"", ""en"")"),"I really like with these headphones, you will not go wrong between the price of medio.Los headphones are not pressed on the head (even after a long game, ears do not feel pain because they take a long time)")</f>
        <v>I really like with these headphones, you will not go wrong between the price of medio.Los headphones are not pressed on the head (even after a long game, ears do not feel pain because they take a long time)</v>
      </c>
    </row>
    <row r="11635">
      <c r="A11635" s="1">
        <v>5.0</v>
      </c>
      <c r="B11635" s="1" t="s">
        <v>11536</v>
      </c>
      <c r="C11635" t="str">
        <f>IFERROR(__xludf.DUMMYFUNCTION("GOOGLETRANSLATE(B11635, ""es"", ""en"")"),"As shown in the description I'm super happy with these shoes. The sizing is perfect, quality as expected. Not long in coming, they are fully as I expected. The purchase and would recommend it 100%.")</f>
        <v>As shown in the description I'm super happy with these shoes. The sizing is perfect, quality as expected. Not long in coming, they are fully as I expected. The purchase and would recommend it 100%.</v>
      </c>
    </row>
    <row r="11636">
      <c r="A11636" s="1">
        <v>5.0</v>
      </c>
      <c r="B11636" s="1" t="s">
        <v>11537</v>
      </c>
      <c r="C11636" t="str">
        <f>IFERROR(__xludf.DUMMYFUNCTION("GOOGLETRANSLATE(B11636, ""es"", ""en"")"),"Sporting goods are super comfortable These headphones I've been using for sport and are amazing as they hear and especially how comfortable they are also the best we have are the battery is not lasting already burrada and a half without having to put on i"&amp;"ts base to load, but is that the base is a powerbank of big and you can be smoothly 1 whole day without stepping on a plug without stop listening to music Spotify, the truth is that super-happy with them, the principle was somewhat skeptical for the price"&amp;" they cost but worth it 100%.")</f>
        <v>Sporting goods are super comfortable These headphones I've been using for sport and are amazing as they hear and especially how comfortable they are also the best we have are the battery is not lasting already burrada and a half without having to put on its base to load, but is that the base is a powerbank of big and you can be smoothly 1 whole day without stepping on a plug without stop listening to music Spotify, the truth is that super-happy with them, the principle was somewhat skeptical for the price they cost but worth it 100%.</v>
      </c>
    </row>
    <row r="11637">
      <c r="A11637" s="1">
        <v>2.0</v>
      </c>
      <c r="B11637" s="1" t="s">
        <v>11538</v>
      </c>
      <c r="C11637" t="str">
        <f>IFERROR(__xludf.DUMMYFUNCTION("GOOGLETRANSLATE(B11637, ""es"", ""en"")"),"It gets ugly quickly. Tarnishes quickly I did not give away. It gets ugly quickly")</f>
        <v>It gets ugly quickly. Tarnishes quickly I did not give away. It gets ugly quickly</v>
      </c>
    </row>
    <row r="11638">
      <c r="A11638" s="1">
        <v>3.0</v>
      </c>
      <c r="B11638" s="1" t="s">
        <v>11539</v>
      </c>
      <c r="C11638" t="str">
        <f>IFERROR(__xludf.DUMMYFUNCTION("GOOGLETRANSLATE(B11638, ""es"", ""en"")"),"Running not worth the product works well, is heard quite well and brings quite a long cable. The problem is that as sports headphones is far from satisfactory ... as you sweat a little running start to fall and no longer stop, if you want a headset to run"&amp;" not recommend them.")</f>
        <v>Running not worth the product works well, is heard quite well and brings quite a long cable. The problem is that as sports headphones is far from satisfactory ... as you sweat a little running start to fall and no longer stop, if you want a headset to run not recommend them.</v>
      </c>
    </row>
    <row r="11639">
      <c r="A11639" s="1">
        <v>1.0</v>
      </c>
      <c r="B11639" s="1" t="s">
        <v>11540</v>
      </c>
      <c r="C11639" t="str">
        <f>IFERROR(__xludf.DUMMYFUNCTION("GOOGLETRANSLATE(B11639, ""es"", ""en"")"),"Last very disappointing product I buy Sandisk. A month and a broken memory (3 brings the package). He had already happened with microSD memories of the same brand, but will not fall more, this brand is ruled out forever. Amazon even slip counterfeit SanDi"&amp;"sk, look for this in Google and see examples of counterfeits to which I refer: sandisk amazon scam")</f>
        <v>Last very disappointing product I buy Sandisk. A month and a broken memory (3 brings the package). He had already happened with microSD memories of the same brand, but will not fall more, this brand is ruled out forever. Amazon even slip counterfeit SanDisk, look for this in Google and see examples of counterfeits to which I refer: sandisk amazon scam</v>
      </c>
    </row>
    <row r="11640">
      <c r="A11640" s="1">
        <v>1.0</v>
      </c>
      <c r="B11640" s="1" t="s">
        <v>11541</v>
      </c>
      <c r="C11640" t="str">
        <f>IFERROR(__xludf.DUMMYFUNCTION("GOOGLETRANSLATE(B11640, ""es"", ""en"")"),"Watermarks do not disappear. Watermarks do not go away, so that one side of the paper is damaged. Not true what he says advertising.")</f>
        <v>Watermarks do not disappear. Watermarks do not go away, so that one side of the paper is damaged. Not true what he says advertising.</v>
      </c>
    </row>
    <row r="11641">
      <c r="A11641" s="1">
        <v>1.0</v>
      </c>
      <c r="B11641" s="1" t="s">
        <v>11542</v>
      </c>
      <c r="C11641" t="str">
        <f>IFERROR(__xludf.DUMMYFUNCTION("GOOGLETRANSLATE(B11641, ""es"", ""en"")"),"It does not work and is used not operate the engine. The package came open and one of the blades seems this used. One of the blades fits very fair and hard to remove. The other two if they leave and go well.")</f>
        <v>It does not work and is used not operate the engine. The package came open and one of the blades seems this used. One of the blades fits very fair and hard to remove. The other two if they leave and go well.</v>
      </c>
    </row>
    <row r="11642">
      <c r="A11642" s="1">
        <v>4.0</v>
      </c>
      <c r="B11642" s="1" t="s">
        <v>11543</v>
      </c>
      <c r="C11642" t="str">
        <f>IFERROR(__xludf.DUMMYFUNCTION("GOOGLETRANSLATE(B11642, ""es"", ""en"")"),"Very useful was what I needed. Rigid plastic that protects well card and key ring that can engage in belt loop or clip which makes it more versatile. And the retractable system that makes it practical in my case since I have to access different areas with"&amp;" the card and thus always have on hand. Good product.")</f>
        <v>Very useful was what I needed. Rigid plastic that protects well card and key ring that can engage in belt loop or clip which makes it more versatile. And the retractable system that makes it practical in my case since I have to access different areas with the card and thus always have on hand. Good product.</v>
      </c>
    </row>
    <row r="11643">
      <c r="A11643" s="1">
        <v>4.0</v>
      </c>
      <c r="B11643" s="1" t="s">
        <v>11544</v>
      </c>
      <c r="C11643" t="str">
        <f>IFERROR(__xludf.DUMMYFUNCTION("GOOGLETRANSLATE(B11643, ""es"", ""en"")"),"Great Good grip and very comfortable")</f>
        <v>Great Good grip and very comfortable</v>
      </c>
    </row>
    <row r="11644">
      <c r="A11644" s="1">
        <v>4.0</v>
      </c>
      <c r="B11644" s="1" t="s">
        <v>11545</v>
      </c>
      <c r="C11644" t="str">
        <f>IFERROR(__xludf.DUMMYFUNCTION("GOOGLETRANSLATE(B11644, ""es"", ""en"")"),"You need perfectly done not have found nowhere more than here, you connect simply and does not generate noise function makes it great.")</f>
        <v>You need perfectly done not have found nowhere more than here, you connect simply and does not generate noise function makes it great.</v>
      </c>
    </row>
    <row r="11645">
      <c r="A11645" s="1">
        <v>4.0</v>
      </c>
      <c r="B11645" s="1" t="s">
        <v>11546</v>
      </c>
      <c r="C11645" t="str">
        <f>IFERROR(__xludf.DUMMYFUNCTION("GOOGLETRANSLATE(B11645, ""es"", ""en"")"),"Big disappointment. Too slow for that capacity. After copying nearly 4TB of files between 1 and 3 Gb (film SLR camera converted to MKV and MP4), the results are as follows: speed media writing (and almost maximum): 65 MB / s (slower 25% my old records) sp"&amp;"eed average reading: 170 MB / s (15% faster on average than my old records) Its only use is to store data that are not renewed, but to be read with some speed. In short: Used to back up (slowly, because he writes very slow) and save it on a shelf, where i"&amp;"t is very nice. To check how many years will put up data without deteriorating. I update: made sounds rare and disconnected several times yesterday. I changed the USB cable for one another WD and the noise has disappeared and has not returned to lose the "&amp;"connection. I pulled the original cable. I recommend to hear noises and loss of connection try another USB cable.")</f>
        <v>Big disappointment. Too slow for that capacity. After copying nearly 4TB of files between 1 and 3 Gb (film SLR camera converted to MKV and MP4), the results are as follows: speed media writing (and almost maximum): 65 MB / s (slower 25% my old records) speed average reading: 170 MB / s (15% faster on average than my old records) Its only use is to store data that are not renewed, but to be read with some speed. In short: Used to back up (slowly, because he writes very slow) and save it on a shelf, where it is very nice. To check how many years will put up data without deteriorating. I update: made sounds rare and disconnected several times yesterday. I changed the USB cable for one another WD and the noise has disappeared and has not returned to lose the connection. I pulled the original cable. I recommend to hear noises and loss of connection try another USB cable.</v>
      </c>
    </row>
    <row r="11646">
      <c r="A11646" s="1">
        <v>4.0</v>
      </c>
      <c r="B11646" s="1" t="s">
        <v>11547</v>
      </c>
      <c r="C11646" t="str">
        <f>IFERROR(__xludf.DUMMYFUNCTION("GOOGLETRANSLATE(B11646, ""es"", ""en"")"),"They are very comfortable I like a lot, are very comfortable but you have to tie them well because having so much sole weighs a little more than a conventional victory")</f>
        <v>They are very comfortable I like a lot, are very comfortable but you have to tie them well because having so much sole weighs a little more than a conventional victory</v>
      </c>
    </row>
    <row r="11647">
      <c r="A11647" s="1">
        <v>5.0</v>
      </c>
      <c r="B11647" s="1" t="s">
        <v>11548</v>
      </c>
      <c r="C11647" t="str">
        <f>IFERROR(__xludf.DUMMYFUNCTION("GOOGLETRANSLATE(B11647, ""es"", ""en"")"),"very fast arrival I really like is a perfect belt")</f>
        <v>very fast arrival I really like is a perfect belt</v>
      </c>
    </row>
    <row r="11648">
      <c r="A11648" s="1">
        <v>5.0</v>
      </c>
      <c r="B11648" s="1" t="s">
        <v>11549</v>
      </c>
      <c r="C11648" t="str">
        <f>IFERROR(__xludf.DUMMYFUNCTION("GOOGLETRANSLATE(B11648, ""es"", ""en"")"),"Perfectas very comfortable. They fit like a glove. It seems that I go home slippers")</f>
        <v>Perfectas very comfortable. They fit like a glove. It seems that I go home slippers</v>
      </c>
    </row>
    <row r="11649">
      <c r="A11649" s="1">
        <v>5.0</v>
      </c>
      <c r="B11649" s="1" t="s">
        <v>11550</v>
      </c>
      <c r="C11649" t="str">
        <f>IFERROR(__xludf.DUMMYFUNCTION("GOOGLETRANSLATE(B11649, ""es"", ""en"")"),"Great all right, nothing to say. Value to the top")</f>
        <v>Great all right, nothing to say. Value to the top</v>
      </c>
    </row>
    <row r="11650">
      <c r="A11650" s="1">
        <v>5.0</v>
      </c>
      <c r="B11650" s="1" t="s">
        <v>11551</v>
      </c>
      <c r="C11650" t="str">
        <f>IFERROR(__xludf.DUMMYFUNCTION("GOOGLETRANSLATE(B11650, ""es"", ""en"")"),"🙌 marveling came in the estimated time, the ring is very beautiful with a lovely stone well secured, for that price I'm surprised that it's worth, I love it.")</f>
        <v>🙌 marveling came in the estimated time, the ring is very beautiful with a lovely stone well secured, for that price I'm surprised that it's worth, I love it.</v>
      </c>
    </row>
    <row r="11651">
      <c r="A11651" s="1">
        <v>5.0</v>
      </c>
      <c r="B11651" s="1" t="s">
        <v>11552</v>
      </c>
      <c r="C11651" t="str">
        <f>IFERROR(__xludf.DUMMYFUNCTION("GOOGLETRANSLATE(B11651, ""es"", ""en"")"),"Large battery, good sound and high, very very comodos.etc ... I have only good words for this product and surplus exceeding the galaxy and apple buds airpods and I had. The sound is spectacular. Especially the high volume of sound that can reach. Are in e"&amp;"ar so isolated, the battery is brutal and been training days and lowered himself only to 80-90%. I train with them at least 2 hours a day, treadmill running, jogging with rain sometimes in the gym sweat from running perfectly and plenty of sweat support, "&amp;"water well, but are not logically fit to dive. And also using for pushups, situps marrow and also miss sudden movements. And used all the training without 2-3-3.30h take them off for anything comfortable they are, really are very comfortable this time and"&amp;" do you no harm, of course you have to wear accessories (gums) to suit your ear . No weights almost nothing. Bluetooth 5.0 very fast connection. In 4 weeks using them every day, I have not fallen even once, nor have I hurt I miss having them set by the wi"&amp;"de range of accessories (gums) to adjust your comfort they bring. I bought the galaxy buds, apple airpods 2 and check the unthinkable was my connection with those prices and changed product range is not only much less than the galaxy buds. Aislan are very"&amp;" comfortable, big battery, the resistance (the brutal low) sweat and water, great sound quality and can have very high sound. They are excellent. Seriously. And come apart from accessories to fit your ear type (gums) comes with a perfect round carrying ca"&amp;"se. I recommend it 100%.")</f>
        <v>Large battery, good sound and high, very very comodos.etc ... I have only good words for this product and surplus exceeding the galaxy and apple buds airpods and I had. The sound is spectacular. Especially the high volume of sound that can reach. Are in ear so isolated, the battery is brutal and been training days and lowered himself only to 80-90%. I train with them at least 2 hours a day, treadmill running, jogging with rain sometimes in the gym sweat from running perfectly and plenty of sweat support, water well, but are not logically fit to dive. And also using for pushups, situps marrow and also miss sudden movements. And used all the training without 2-3-3.30h take them off for anything comfortable they are, really are very comfortable this time and do you no harm, of course you have to wear accessories (gums) to suit your ear . No weights almost nothing. Bluetooth 5.0 very fast connection. In 4 weeks using them every day, I have not fallen even once, nor have I hurt I miss having them set by the wide range of accessories (gums) to adjust your comfort they bring. I bought the galaxy buds, apple airpods 2 and check the unthinkable was my connection with those prices and changed product range is not only much less than the galaxy buds. Aislan are very comfortable, big battery, the resistance (the brutal low) sweat and water, great sound quality and can have very high sound. They are excellent. Seriously. And come apart from accessories to fit your ear type (gums) comes with a perfect round carrying case. I recommend it 100%.</v>
      </c>
    </row>
    <row r="11652">
      <c r="A11652" s="1">
        <v>5.0</v>
      </c>
      <c r="B11652" s="1" t="s">
        <v>11553</v>
      </c>
      <c r="C11652" t="str">
        <f>IFERROR(__xludf.DUMMYFUNCTION("GOOGLETRANSLATE(B11652, ""es"", ""en"")"),"It's simple and elegant It looks good and looks very nice")</f>
        <v>It's simple and elegant It looks good and looks very nice</v>
      </c>
    </row>
    <row r="11653">
      <c r="A11653" s="1">
        <v>5.0</v>
      </c>
      <c r="B11653" s="1" t="s">
        <v>11554</v>
      </c>
      <c r="C11653" t="str">
        <f>IFERROR(__xludf.DUMMYFUNCTION("GOOGLETRANSLATE(B11653, ""es"", ""en"")"),"It's going great I going great")</f>
        <v>It's going great I going great</v>
      </c>
    </row>
    <row r="11654">
      <c r="A11654" s="1">
        <v>5.0</v>
      </c>
      <c r="B11654" s="1" t="s">
        <v>11555</v>
      </c>
      <c r="C11654" t="str">
        <f>IFERROR(__xludf.DUMMYFUNCTION("GOOGLETRANSLATE(B11654, ""es"", ""en"")"),"I recommend using the recommended size guide on the website of the manufacturer, to me it was perfect. Shoes have seemed very comfortable and very nice design. Also say that keep the foot dry and perspire good. Missing now see as they age, hopefully good."&amp;" very fast shipping.")</f>
        <v>I recommend using the recommended size guide on the website of the manufacturer, to me it was perfect. Shoes have seemed very comfortable and very nice design. Also say that keep the foot dry and perspire good. Missing now see as they age, hopefully good. very fast shipping.</v>
      </c>
    </row>
    <row r="11655">
      <c r="A11655" s="1">
        <v>5.0</v>
      </c>
      <c r="B11655" s="1" t="s">
        <v>11556</v>
      </c>
      <c r="C11655" t="str">
        <f>IFERROR(__xludf.DUMMYFUNCTION("GOOGLETRANSLATE(B11655, ""es"", ""en"")"),"Headphones 100% recommended headphones for his birthday money to perfection, very pleased 10/10.")</f>
        <v>Headphones 100% recommended headphones for his birthday money to perfection, very pleased 10/10.</v>
      </c>
    </row>
    <row r="11656">
      <c r="A11656" s="1">
        <v>5.0</v>
      </c>
      <c r="B11656" s="1" t="s">
        <v>11557</v>
      </c>
      <c r="C11656" t="str">
        <f>IFERROR(__xludf.DUMMYFUNCTION("GOOGLETRANSLATE(B11656, ""es"", ""en"")"),"Highly recommended. Very good product at a great price. Fast shipping. The perfect size with the number soil usually used in other shoes. Fully recommended.")</f>
        <v>Highly recommended. Very good product at a great price. Fast shipping. The perfect size with the number soil usually used in other shoes. Fully recommended.</v>
      </c>
    </row>
    <row r="11657">
      <c r="A11657" s="1">
        <v>5.0</v>
      </c>
      <c r="B11657" s="1" t="s">
        <v>11558</v>
      </c>
      <c r="C11657" t="str">
        <f>IFERROR(__xludf.DUMMYFUNCTION("GOOGLETRANSLATE(B11657, ""es"", ""en"")"),"Clara Very good price compared to buying in a drugstore. average size and the hole is slow flow nipple")</f>
        <v>Clara Very good price compared to buying in a drugstore. average size and the hole is slow flow nipple</v>
      </c>
    </row>
    <row r="11658">
      <c r="A11658" s="1">
        <v>5.0</v>
      </c>
      <c r="B11658" s="1" t="s">
        <v>11559</v>
      </c>
      <c r="C11658" t="str">
        <f>IFERROR(__xludf.DUMMYFUNCTION("GOOGLETRANSLATE(B11658, ""es"", ""en"")"),"Perfect gift for babies Amber relieves pain teeth")</f>
        <v>Perfect gift for babies Amber relieves pain teeth</v>
      </c>
    </row>
    <row r="11659">
      <c r="A11659" s="1">
        <v>5.0</v>
      </c>
      <c r="B11659" s="1" t="s">
        <v>11560</v>
      </c>
      <c r="C11659" t="str">
        <f>IFERROR(__xludf.DUMMYFUNCTION("GOOGLETRANSLATE(B11659, ""es"", ""en"")"),"cute is nice today I came uviera I liked more support in the breasts but it is exactly like the picture is beautiful I love")</f>
        <v>cute is nice today I came uviera I liked more support in the breasts but it is exactly like the picture is beautiful I love</v>
      </c>
    </row>
    <row r="11660">
      <c r="A11660" s="1">
        <v>5.0</v>
      </c>
      <c r="B11660" s="1" t="s">
        <v>11561</v>
      </c>
      <c r="C11660" t="str">
        <f>IFERROR(__xludf.DUMMYFUNCTION("GOOGLETRANSLATE(B11660, ""es"", ""en"")"),"Desmaquillante ecological very good result. But most important is that it is environmentally friendly. No need to use much makeup remover and cotton pads. It costs a bit more remove makeup of eyelashes, but it works perfectly with all else. And the enviro"&amp;"nment will thank us.")</f>
        <v>Desmaquillante ecological very good result. But most important is that it is environmentally friendly. No need to use much makeup remover and cotton pads. It costs a bit more remove makeup of eyelashes, but it works perfectly with all else. And the environment will thank us.</v>
      </c>
    </row>
    <row r="11661">
      <c r="A11661" s="1">
        <v>5.0</v>
      </c>
      <c r="B11661" s="1" t="s">
        <v>11562</v>
      </c>
      <c r="C11661" t="str">
        <f>IFERROR(__xludf.DUMMYFUNCTION("GOOGLETRANSLATE(B11661, ""es"", ""en"")"),"Toaster beautifully designed and practical beautiful, decorative and practical toaster")</f>
        <v>Toaster beautifully designed and practical beautiful, decorative and practical toaster</v>
      </c>
    </row>
    <row r="11662">
      <c r="A11662" s="1">
        <v>5.0</v>
      </c>
      <c r="B11662" s="1" t="s">
        <v>11563</v>
      </c>
      <c r="C11662" t="str">
        <f>IFERROR(__xludf.DUMMYFUNCTION("GOOGLETRANSLATE(B11662, ""es"", ""en"")"),"Perfect super-comfortable")</f>
        <v>Perfect super-comfortable</v>
      </c>
    </row>
    <row r="11663">
      <c r="A11663" s="1">
        <v>5.0</v>
      </c>
      <c r="B11663" s="1" t="s">
        <v>11564</v>
      </c>
      <c r="C11663" t="str">
        <f>IFERROR(__xludf.DUMMYFUNCTION("GOOGLETRANSLATE(B11663, ""es"", ""en"")"),"A good buy at the beginning I had my doubts, because I have the meteor samson mic, that's fine. The Rode is on another level, much more balanced, with means and clear treble. I had to equalize recordings, and does not capture as much background noise, con"&amp;"sidering that it is a condenser microphone. Disadvantageously, the size. excellent materials. If you're wondering, I recommend investing a little more money and bet on this micro, will not disappoint.")</f>
        <v>A good buy at the beginning I had my doubts, because I have the meteor samson mic, that's fine. The Rode is on another level, much more balanced, with means and clear treble. I had to equalize recordings, and does not capture as much background noise, considering that it is a condenser microphone. Disadvantageously, the size. excellent materials. If you're wondering, I recommend investing a little more money and bet on this micro, will not disappoint.</v>
      </c>
    </row>
    <row r="11664">
      <c r="A11664" s="1">
        <v>5.0</v>
      </c>
      <c r="B11664" s="1" t="s">
        <v>11565</v>
      </c>
      <c r="C11664" t="str">
        <f>IFERROR(__xludf.DUMMYFUNCTION("GOOGLETRANSLATE(B11664, ""es"", ""en"")"),"It is as advertised just as the announcement")</f>
        <v>It is as advertised just as the announcement</v>
      </c>
    </row>
    <row r="11665">
      <c r="A11665" s="1">
        <v>5.0</v>
      </c>
      <c r="B11665" s="1" t="s">
        <v>11566</v>
      </c>
      <c r="C11665" t="str">
        <f>IFERROR(__xludf.DUMMYFUNCTION("GOOGLETRANSLATE(B11665, ""es"", ""en"")"),"Product Correct use it to connect a PC (Win-7) with a Yamaha keyboard (from 2007) with Synthesia and it works. I've also connected to a quite old and also works Casio keyboard. Driver installation is automatic and fast. Just follow the simple instructions"&amp;" contained in the box itself. For my needs it has been totally adequate. Recommendable. Although nothing is indicated in the description of the product, it has luminous indicators of operation.")</f>
        <v>Product Correct use it to connect a PC (Win-7) with a Yamaha keyboard (from 2007) with Synthesia and it works. I've also connected to a quite old and also works Casio keyboard. Driver installation is automatic and fast. Just follow the simple instructions contained in the box itself. For my needs it has been totally adequate. Recommendable. Although nothing is indicated in the description of the product, it has luminous indicators of operation.</v>
      </c>
    </row>
    <row r="11666">
      <c r="A11666" s="1">
        <v>2.0</v>
      </c>
      <c r="B11666" s="1" t="s">
        <v>11567</v>
      </c>
      <c r="C11666" t="str">
        <f>IFERROR(__xludf.DUMMYFUNCTION("GOOGLETRANSLATE(B11666, ""es"", ""en"")"),"Much slack in the outer dial A receiving the order and open the outer dial watch, it has a lot of slack and the dater does not change when I asked for a replacement product Amazon as usual luxury-term")</f>
        <v>Much slack in the outer dial A receiving the order and open the outer dial watch, it has a lot of slack and the dater does not change when I asked for a replacement product Amazon as usual luxury-term</v>
      </c>
    </row>
    <row r="11667">
      <c r="A11667" s="1">
        <v>3.0</v>
      </c>
      <c r="B11667" s="1" t="s">
        <v>11568</v>
      </c>
      <c r="C11667" t="str">
        <f>IFERROR(__xludf.DUMMYFUNCTION("GOOGLETRANSLATE(B11667, ""es"", ""en"")"),"Lot size long, order 1/2 number less, it gives more size than expected, especially long.")</f>
        <v>Lot size long, order 1/2 number less, it gives more size than expected, especially long.</v>
      </c>
    </row>
    <row r="11668">
      <c r="A11668" s="1">
        <v>3.0</v>
      </c>
      <c r="B11668" s="1" t="s">
        <v>11569</v>
      </c>
      <c r="C11668" t="str">
        <f>IFERROR(__xludf.DUMMYFUNCTION("GOOGLETRANSLATE(B11668, ""es"", ""en"")"),"Product wisecracking answers the description of the manufacturer, but not suitable for people taller than 1.80 tall, as the handle is a bit short and mop to be big and weigh more than normal becomes uncomfortable to handle. Ideal for tiny people. Trickles"&amp;" perfect as what everyone wants.")</f>
        <v>Product wisecracking answers the description of the manufacturer, but not suitable for people taller than 1.80 tall, as the handle is a bit short and mop to be big and weigh more than normal becomes uncomfortable to handle. Ideal for tiny people. Trickles perfect as what everyone wants.</v>
      </c>
    </row>
    <row r="11669">
      <c r="A11669" s="1">
        <v>3.0</v>
      </c>
      <c r="B11669" s="1" t="s">
        <v>11570</v>
      </c>
      <c r="C11669" t="str">
        <f>IFERROR(__xludf.DUMMYFUNCTION("GOOGLETRANSLATE(B11669, ""es"", ""en"")"),"They fulfill their function as expected, today I not broken any (as I expected what was thinner plastic and pressure to close and open giving winding). In addition to very bright colors that make them stand out in any tissue.")</f>
        <v>They fulfill their function as expected, today I not broken any (as I expected what was thinner plastic and pressure to close and open giving winding). In addition to very bright colors that make them stand out in any tissue.</v>
      </c>
    </row>
    <row r="11670">
      <c r="A11670" s="1">
        <v>1.0</v>
      </c>
      <c r="B11670" s="1" t="s">
        <v>11571</v>
      </c>
      <c r="C11670" t="str">
        <f>IFERROR(__xludf.DUMMYFUNCTION("GOOGLETRANSLATE(B11670, ""es"", ""en"")"),"The first shower water gets When I arrived and suspected to seeing a speck of dust inside the dial, but I did not give too much importance, and the first shower with him (with closed obviously crown) water gets inside ...")</f>
        <v>The first shower water gets When I arrived and suspected to seeing a speck of dust inside the dial, but I did not give too much importance, and the first shower with him (with closed obviously crown) water gets inside ...</v>
      </c>
    </row>
    <row r="11671">
      <c r="A11671" s="1">
        <v>1.0</v>
      </c>
      <c r="B11671" s="1" t="s">
        <v>11572</v>
      </c>
      <c r="C11671" t="str">
        <f>IFERROR(__xludf.DUMMYFUNCTION("GOOGLETRANSLATE(B11671, ""es"", ""en"")"),"Bad and for the price it is a mess Device The quality of the sound is terrible, I had headphones 3 times cheaper infinitely better, microphone or yell and let yourself throat or impossible for anyone to hear you, Windows computer does not recognize tests "&amp;"reproduction or screaming, the clanging as could be. I will return because it is a mess and deception and for this price I bought three that are more effective and better sound quality and reproduction, certainly less apparent, but infinitely better sound"&amp;". A disappointment.")</f>
        <v>Bad and for the price it is a mess Device The quality of the sound is terrible, I had headphones 3 times cheaper infinitely better, microphone or yell and let yourself throat or impossible for anyone to hear you, Windows computer does not recognize tests reproduction or screaming, the clanging as could be. I will return because it is a mess and deception and for this price I bought three that are more effective and better sound quality and reproduction, certainly less apparent, but infinitely better sound. A disappointment.</v>
      </c>
    </row>
    <row r="11672">
      <c r="A11672" s="1">
        <v>4.0</v>
      </c>
      <c r="B11672" s="1" t="s">
        <v>11573</v>
      </c>
      <c r="C11672" t="str">
        <f>IFERROR(__xludf.DUMMYFUNCTION("GOOGLETRANSLATE(B11672, ""es"", ""en"")"),"Good product is a good bottle. For me personally I like it more glass. The nipple is comfortable and you like it. Sometimes the collapses a little and not let the milk, but minimally moving mouth is solved.")</f>
        <v>Good product is a good bottle. For me personally I like it more glass. The nipple is comfortable and you like it. Sometimes the collapses a little and not let the milk, but minimally moving mouth is solved.</v>
      </c>
    </row>
    <row r="11673">
      <c r="A11673" s="1">
        <v>4.0</v>
      </c>
      <c r="B11673" s="1" t="s">
        <v>11574</v>
      </c>
      <c r="C11673" t="str">
        <f>IFERROR(__xludf.DUMMYFUNCTION("GOOGLETRANSLATE(B11673, ""es"", ""en"")"),"I think it's pretty good and has enough capacity for school comes in handy is original and good quality'm happy")</f>
        <v>I think it's pretty good and has enough capacity for school comes in handy is original and good quality'm happy</v>
      </c>
    </row>
    <row r="11674">
      <c r="A11674" s="1">
        <v>4.0</v>
      </c>
      <c r="B11674" s="1" t="s">
        <v>11575</v>
      </c>
      <c r="C11674" t="str">
        <f>IFERROR(__xludf.DUMMYFUNCTION("GOOGLETRANSLATE(B11674, ""es"", ""en"")"),"comfortable but ..... they are good, value for money, good. but part of the heel has a bump that creates some discomfort")</f>
        <v>comfortable but ..... they are good, value for money, good. but part of the heel has a bump that creates some discomfort</v>
      </c>
    </row>
    <row r="11675">
      <c r="A11675" s="1">
        <v>4.0</v>
      </c>
      <c r="B11675" s="1" t="s">
        <v>11576</v>
      </c>
      <c r="C11675" t="str">
        <f>IFERROR(__xludf.DUMMYFUNCTION("GOOGLETRANSLATE(B11675, ""es"", ""en"")"),"Meals comfortable but a little thin soles barely have lasted me five months")</f>
        <v>Meals comfortable but a little thin soles barely have lasted me five months</v>
      </c>
    </row>
    <row r="11676">
      <c r="A11676" s="1">
        <v>5.0</v>
      </c>
      <c r="B11676" s="1" t="s">
        <v>11577</v>
      </c>
      <c r="C11676" t="str">
        <f>IFERROR(__xludf.DUMMYFUNCTION("GOOGLETRANSLATE(B11676, ""es"", ""en"")"),"Perfect for my friend bought new earrings, necklace over this time to a friend. She is delighted with them. In the photo you sent me shows that the slope is small, but looks good. They came well protected; Good silver and a fine and elegant product with a"&amp;" good price! Surely I repeat.")</f>
        <v>Perfect for my friend bought new earrings, necklace over this time to a friend. She is delighted with them. In the photo you sent me shows that the slope is small, but looks good. They came well protected; Good silver and a fine and elegant product with a good price! Surely I repeat.</v>
      </c>
    </row>
    <row r="11677">
      <c r="A11677" s="1">
        <v>5.0</v>
      </c>
      <c r="B11677" s="1" t="s">
        <v>11578</v>
      </c>
      <c r="C11677" t="str">
        <f>IFERROR(__xludf.DUMMYFUNCTION("GOOGLETRANSLATE(B11677, ""es"", ""en"")"),"Encantado I loved the product. It has a design quite elegant which gives a great sense of quality. They are quite comfortable to wear in the ear and well adjusted, it is very difficult that you fall, as they adapt very well to the contours of your ear. Th"&amp;"e battery is another strong point of the product as it has a long life. The volume control from the headset, with its buttons is very convenient and useful. It has an easy and intuitive connectivity, without having used before others will know to connect "&amp;"without nigún problem. The quality of the sound is perfect, because no interference is heard, no fog, but a clean sound that many other headphones of the market would like. As can be seen in the photos accompanying the review, the kit is quite complete, i"&amp;"n good condition and successful accessories like cable to charge the headset or the various pads that best suit your ear. In conclusion, it is a product that recommend and would buy because it applies to all kinds of things, you can use them to study, to "&amp;"lie, to work or just to play sports without worrying that they can fall.")</f>
        <v>Encantado I loved the product. It has a design quite elegant which gives a great sense of quality. They are quite comfortable to wear in the ear and well adjusted, it is very difficult that you fall, as they adapt very well to the contours of your ear. The battery is another strong point of the product as it has a long life. The volume control from the headset, with its buttons is very convenient and useful. It has an easy and intuitive connectivity, without having used before others will know to connect without nigún problem. The quality of the sound is perfect, because no interference is heard, no fog, but a clean sound that many other headphones of the market would like. As can be seen in the photos accompanying the review, the kit is quite complete, in good condition and successful accessories like cable to charge the headset or the various pads that best suit your ear. In conclusion, it is a product that recommend and would buy because it applies to all kinds of things, you can use them to study, to lie, to work or just to play sports without worrying that they can fall.</v>
      </c>
    </row>
    <row r="11678">
      <c r="A11678" s="1">
        <v>5.0</v>
      </c>
      <c r="B11678" s="1" t="s">
        <v>11579</v>
      </c>
      <c r="C11678" t="str">
        <f>IFERROR(__xludf.DUMMYFUNCTION("GOOGLETRANSLATE(B11678, ""es"", ""en"")"),"Perfect I encatado")</f>
        <v>Perfect I encatado</v>
      </c>
    </row>
    <row r="11679">
      <c r="A11679" s="1">
        <v>5.0</v>
      </c>
      <c r="B11679" s="1" t="s">
        <v>11580</v>
      </c>
      <c r="C11679" t="str">
        <f>IFERROR(__xludf.DUMMYFUNCTION("GOOGLETRANSLATE(B11679, ""es"", ""en"")"),"Everything perfect size, perfect materials and steel tip and as expected")</f>
        <v>Everything perfect size, perfect materials and steel tip and as expected</v>
      </c>
    </row>
    <row r="11680">
      <c r="A11680" s="1">
        <v>5.0</v>
      </c>
      <c r="B11680" s="1" t="s">
        <v>11581</v>
      </c>
      <c r="C11680" t="str">
        <f>IFERROR(__xludf.DUMMYFUNCTION("GOOGLETRANSLATE(B11680, ""es"", ""en"")"),"Good impression. I bought them for printing labels and go very well with the printer.")</f>
        <v>Good impression. I bought them for printing labels and go very well with the printer.</v>
      </c>
    </row>
    <row r="11681">
      <c r="A11681" s="1">
        <v>5.0</v>
      </c>
      <c r="B11681" s="1" t="s">
        <v>11582</v>
      </c>
      <c r="C11681" t="str">
        <f>IFERROR(__xludf.DUMMYFUNCTION("GOOGLETRANSLATE(B11681, ""es"", ""en"")"),"Very good product very good product. Enter a lot of things inside and it is very convenient when you want to have organized have inside.")</f>
        <v>Very good product very good product. Enter a lot of things inside and it is very convenient when you want to have organized have inside.</v>
      </c>
    </row>
    <row r="11682">
      <c r="A11682" s="1">
        <v>5.0</v>
      </c>
      <c r="B11682" s="1" t="s">
        <v>11583</v>
      </c>
      <c r="C11682" t="str">
        <f>IFERROR(__xludf.DUMMYFUNCTION("GOOGLETRANSLATE(B11682, ""es"", ""en"")"),"Compact, lightweight and large storage capacity is a USB drive capacity 64 GB with a nice design and amazing animal-shaped footprint. Aesthetically is a very striking pendrive at first glance, but with a high storage capacity, so you can save a lot of inf"&amp;"ormation in it. On the other hand it is very compact and lightweight, so it takes up very little space and is very light. It is ideal for both everyday wear in your pocket and have it always at hand. Finally add that once connected to the USB port on your"&amp;" computer, it detects very quickly, as fast as you access the information stored on it. I definitely recommend it as a good buy !!")</f>
        <v>Compact, lightweight and large storage capacity is a USB drive capacity 64 GB with a nice design and amazing animal-shaped footprint. Aesthetically is a very striking pendrive at first glance, but with a high storage capacity, so you can save a lot of information in it. On the other hand it is very compact and lightweight, so it takes up very little space and is very light. It is ideal for both everyday wear in your pocket and have it always at hand. Finally add that once connected to the USB port on your computer, it detects very quickly, as fast as you access the information stored on it. I definitely recommend it as a good buy !!</v>
      </c>
    </row>
    <row r="11683">
      <c r="A11683" s="1">
        <v>5.0</v>
      </c>
      <c r="B11683" s="1" t="s">
        <v>11584</v>
      </c>
      <c r="C11683" t="str">
        <f>IFERROR(__xludf.DUMMYFUNCTION("GOOGLETRANSLATE(B11683, ""es"", ""en"")"),"Excellent Nothing to do with the rest, is perfectly strength and paste, you note not like the others cheaper quality.")</f>
        <v>Excellent Nothing to do with the rest, is perfectly strength and paste, you note not like the others cheaper quality.</v>
      </c>
    </row>
    <row r="11684">
      <c r="A11684" s="1">
        <v>5.0</v>
      </c>
      <c r="B11684" s="1" t="s">
        <v>11585</v>
      </c>
      <c r="C11684" t="str">
        <f>IFERROR(__xludf.DUMMYFUNCTION("GOOGLETRANSLATE(B11684, ""es"", ""en"")"),"Good Product great. Very nice and pack at a very good price.")</f>
        <v>Good Product great. Very nice and pack at a very good price.</v>
      </c>
    </row>
    <row r="11685">
      <c r="A11685" s="1">
        <v>5.0</v>
      </c>
      <c r="B11685" s="1" t="s">
        <v>11586</v>
      </c>
      <c r="C11685" t="str">
        <f>IFERROR(__xludf.DUMMYFUNCTION("GOOGLETRANSLATE(B11685, ""es"", ""en"")"),"Same as the photo The product is fine. It was a gift and everything is well kept, neat and visible. Too bad they did not fall it can no outstanding save large hoop.")</f>
        <v>Same as the photo The product is fine. It was a gift and everything is well kept, neat and visible. Too bad they did not fall it can no outstanding save large hoop.</v>
      </c>
    </row>
    <row r="11686">
      <c r="A11686" s="1">
        <v>5.0</v>
      </c>
      <c r="B11686" s="1" t="s">
        <v>11587</v>
      </c>
      <c r="C11686" t="str">
        <f>IFERROR(__xludf.DUMMYFUNCTION("GOOGLETRANSLATE(B11686, ""es"", ""en"")"),"Works perfectly could not get my phone or my camera will record the audio from an external professional microphone (which had 2 black stripes on the jack). So I bought this adapter (with three stripes on the jack) and now I can record audio from the exter"&amp;"nal microphone.")</f>
        <v>Works perfectly could not get my phone or my camera will record the audio from an external professional microphone (which had 2 black stripes on the jack). So I bought this adapter (with three stripes on the jack) and now I can record audio from the external microphone.</v>
      </c>
    </row>
    <row r="11687">
      <c r="A11687" s="1">
        <v>5.0</v>
      </c>
      <c r="B11687" s="1" t="s">
        <v>11588</v>
      </c>
      <c r="C11687" t="str">
        <f>IFERROR(__xludf.DUMMYFUNCTION("GOOGLETRANSLATE(B11687, ""es"", ""en"")"),"Separators Very pretty and practical")</f>
        <v>Separators Very pretty and practical</v>
      </c>
    </row>
    <row r="11688">
      <c r="A11688" s="1">
        <v>5.0</v>
      </c>
      <c r="B11688" s="1" t="s">
        <v>11589</v>
      </c>
      <c r="C11688" t="str">
        <f>IFERROR(__xludf.DUMMYFUNCTION("GOOGLETRANSLATE(B11688, ""es"", ""en"")"),"Satisfied comfortable, light and beautiful, which to put in time not biene in Castilian, but not been difficult")</f>
        <v>Satisfied comfortable, light and beautiful, which to put in time not biene in Castilian, but not been difficult</v>
      </c>
    </row>
    <row r="11689">
      <c r="A11689" s="1">
        <v>5.0</v>
      </c>
      <c r="B11689" s="1" t="s">
        <v>11590</v>
      </c>
      <c r="C11689" t="str">
        <f>IFERROR(__xludf.DUMMYFUNCTION("GOOGLETRANSLATE(B11689, ""es"", ""en"")"),"Very useful and practical. Good quality bought primarily for children can hear the same from the tablet in the car, which is in the center of the two rear seats, wireless mediate. And it works great. In addition, I used to listen to music with my Xiaomi a"&amp;"nd the quality is very good. You can also use them as two separate Bluetooth headsets, which have a stroke two mono headphones if needed. Cargo box perfectly. Without complaint.")</f>
        <v>Very useful and practical. Good quality bought primarily for children can hear the same from the tablet in the car, which is in the center of the two rear seats, wireless mediate. And it works great. In addition, I used to listen to music with my Xiaomi and the quality is very good. You can also use them as two separate Bluetooth headsets, which have a stroke two mono headphones if needed. Cargo box perfectly. Without complaint.</v>
      </c>
    </row>
    <row r="11690">
      <c r="A11690" s="1">
        <v>5.0</v>
      </c>
      <c r="B11690" s="1" t="s">
        <v>11591</v>
      </c>
      <c r="C11690" t="str">
        <f>IFERROR(__xludf.DUMMYFUNCTION("GOOGLETRANSLATE(B11690, ""es"", ""en"")"),"I never knew existed, and now I can not live without it. As a result, 9! I do not put 10 because the lids can be lost easily. The application that you have to download that would greatly improve themselves; It is unintuitive and not knowing what you expor"&amp;"t and where it is stored.")</f>
        <v>I never knew existed, and now I can not live without it. As a result, 9! I do not put 10 because the lids can be lost easily. The application that you have to download that would greatly improve themselves; It is unintuitive and not knowing what you export and where it is stored.</v>
      </c>
    </row>
    <row r="11691">
      <c r="A11691" s="1">
        <v>5.0</v>
      </c>
      <c r="B11691" s="1" t="s">
        <v>11592</v>
      </c>
      <c r="C11691" t="str">
        <f>IFERROR(__xludf.DUMMYFUNCTION("GOOGLETRANSLATE(B11691, ""es"", ""en"")"),"Reliable and durable. It is not the first time I buy this USB. It goes very well and overall I always been very reliable data to take into account.")</f>
        <v>Reliable and durable. It is not the first time I buy this USB. It goes very well and overall I always been very reliable data to take into account.</v>
      </c>
    </row>
    <row r="11692">
      <c r="A11692" s="1">
        <v>5.0</v>
      </c>
      <c r="B11692" s="1" t="s">
        <v>11593</v>
      </c>
      <c r="C11692" t="str">
        <f>IFERROR(__xludf.DUMMYFUNCTION("GOOGLETRANSLATE(B11692, ""es"", ""en"")"),"Very comfortable and practical very comfortable, I use them for the hospitality so spend many hours standing with them and adapt very quickly, with non-slip soles will be great and very handy waterproof, fully recommend.")</f>
        <v>Very comfortable and practical very comfortable, I use them for the hospitality so spend many hours standing with them and adapt very quickly, with non-slip soles will be great and very handy waterproof, fully recommend.</v>
      </c>
    </row>
    <row r="11693">
      <c r="A11693" s="1">
        <v>5.0</v>
      </c>
      <c r="B11693" s="1" t="s">
        <v>11594</v>
      </c>
      <c r="C11693" t="str">
        <f>IFERROR(__xludf.DUMMYFUNCTION("GOOGLETRANSLATE(B11693, ""es"", ""en"")"),"Fabulosos I am fortunate to have tried different models of Bluetooth headsets and these are my favorites, the reasons are: - Easy - Grasping well, all I've tried these grab me very well. It is true that this is subjective. - not give problems to the conne"&amp;"ct and after the first synchronization with the smartphone are connected immediately. - The works OK button, will touch button models but it responds wonderfully. - The battery lasts long, in fact in 5 days of intensive yet I have not had to bear. No doub"&amp;"t this is my favorite model.")</f>
        <v>Fabulosos I am fortunate to have tried different models of Bluetooth headsets and these are my favorites, the reasons are: - Easy - Grasping well, all I've tried these grab me very well. It is true that this is subjective. - not give problems to the connect and after the first synchronization with the smartphone are connected immediately. - The works OK button, will touch button models but it responds wonderfully. - The battery lasts long, in fact in 5 days of intensive yet I have not had to bear. No doubt this is my favorite model.</v>
      </c>
    </row>
    <row r="11694">
      <c r="A11694" s="1">
        <v>2.0</v>
      </c>
      <c r="B11694" s="1" t="s">
        <v>11595</v>
      </c>
      <c r="C11694" t="str">
        <f>IFERROR(__xludf.DUMMYFUNCTION("GOOGLETRANSLATE(B11694, ""es"", ""en"")"),"They were broken Good to the open of the package were unstitched by side I pour everything inside., also does not heat more than half an hour, it does not fulfill its promises, moreover requested the return and great all very fast and eficaz.-")</f>
        <v>They were broken Good to the open of the package were unstitched by side I pour everything inside., also does not heat more than half an hour, it does not fulfill its promises, moreover requested the return and great all very fast and eficaz.-</v>
      </c>
    </row>
    <row r="11695">
      <c r="A11695" s="1">
        <v>3.0</v>
      </c>
      <c r="B11695" s="1" t="s">
        <v>11596</v>
      </c>
      <c r="C11695" t="str">
        <f>IFERROR(__xludf.DUMMYFUNCTION("GOOGLETRANSLATE(B11695, ""es"", ""en"")"),"Good quality for music listening, worse hands free headphones have a good appearance and packaging is correct. Listening to music are very good. The problem - in my case is using handsfree, listen to me very badly, as if you were away ... I use a Samsung "&amp;"S7, if someone Android also happens :-(")</f>
        <v>Good quality for music listening, worse hands free headphones have a good appearance and packaging is correct. Listening to music are very good. The problem - in my case is using handsfree, listen to me very badly, as if you were away ... I use a Samsung S7, if someone Android also happens :-(</v>
      </c>
    </row>
    <row r="11696">
      <c r="A11696" s="1">
        <v>1.0</v>
      </c>
      <c r="B11696" s="1" t="s">
        <v>11597</v>
      </c>
      <c r="C11696" t="str">
        <f>IFERROR(__xludf.DUMMYFUNCTION("GOOGLETRANSLATE(B11696, ""es"", ""en"")"),"Very bad Pesimo product, in 3 months worn sole use and inside the entire liner shattered. This product does not leave any good brand")</f>
        <v>Very bad Pesimo product, in 3 months worn sole use and inside the entire liner shattered. This product does not leave any good brand</v>
      </c>
    </row>
    <row r="11697">
      <c r="A11697" s="1">
        <v>1.0</v>
      </c>
      <c r="B11697" s="1" t="s">
        <v>11598</v>
      </c>
      <c r="C11697" t="str">
        <f>IFERROR(__xludf.DUMMYFUNCTION("GOOGLETRANSLATE(B11697, ""es"", ""en"")"),"I lasted two months if it comes to me has lasted very little, does not reach 2 months at the minimum blow that goodbye jack takes, I do not buy more of this brand I do not give away money")</f>
        <v>I lasted two months if it comes to me has lasted very little, does not reach 2 months at the minimum blow that goodbye jack takes, I do not buy more of this brand I do not give away money</v>
      </c>
    </row>
    <row r="11698">
      <c r="A11698" s="1">
        <v>4.0</v>
      </c>
      <c r="B11698" s="1" t="s">
        <v>11599</v>
      </c>
      <c r="C11698" t="str">
        <f>IFERROR(__xludf.DUMMYFUNCTION("GOOGLETRANSLATE(B11698, ""es"", ""en"")"),"Good Buy After using this vacuum cleaner three weeks I can say that it meets what I expected. The battery lasts long enough to clean my floor 90metros. The suction capacity is better than I expected for a cordless vacuum. And how to empty the tank is extr"&amp;"emely easy and very clean. The worst thing I can say is it is very noisy and not kept up. Overall I think it was a good buy")</f>
        <v>Good Buy After using this vacuum cleaner three weeks I can say that it meets what I expected. The battery lasts long enough to clean my floor 90metros. The suction capacity is better than I expected for a cordless vacuum. And how to empty the tank is extremely easy and very clean. The worst thing I can say is it is very noisy and not kept up. Overall I think it was a good buy</v>
      </c>
    </row>
    <row r="11699">
      <c r="A11699" s="1">
        <v>4.0</v>
      </c>
      <c r="B11699" s="1" t="s">
        <v>11600</v>
      </c>
      <c r="C11699" t="str">
        <f>IFERROR(__xludf.DUMMYFUNCTION("GOOGLETRANSLATE(B11699, ""es"", ""en"")"),"Simple and practical Blender good brand for very little money. It works great for everyday meals and very little, consume 300 watts. I recommend it for value. It came as always on time and very well packaged.")</f>
        <v>Simple and practical Blender good brand for very little money. It works great for everyday meals and very little, consume 300 watts. I recommend it for value. It came as always on time and very well packaged.</v>
      </c>
    </row>
    <row r="11700">
      <c r="A11700" s="1">
        <v>4.0</v>
      </c>
      <c r="B11700" s="1" t="s">
        <v>11601</v>
      </c>
      <c r="C11700" t="str">
        <f>IFERROR(__xludf.DUMMYFUNCTION("GOOGLETRANSLATE(B11700, ""es"", ""en"")"),"light a little small.")</f>
        <v>light a little small.</v>
      </c>
    </row>
    <row r="11701">
      <c r="A11701" s="1">
        <v>4.0</v>
      </c>
      <c r="B11701" s="1" t="s">
        <v>11602</v>
      </c>
      <c r="C11701" t="str">
        <f>IFERROR(__xludf.DUMMYFUNCTION("GOOGLETRANSLATE(B11701, ""es"", ""en"")"),"After the sport after sport use in areas sometimes I have some ailment, and do well")</f>
        <v>After the sport after sport use in areas sometimes I have some ailment, and do well</v>
      </c>
    </row>
    <row r="11702">
      <c r="A11702" s="1">
        <v>4.0</v>
      </c>
      <c r="B11702" s="1" t="s">
        <v>11603</v>
      </c>
      <c r="C11702" t="str">
        <f>IFERROR(__xludf.DUMMYFUNCTION("GOOGLETRANSLATE(B11702, ""es"", ""en"")"),"Perfect Very nice. Quick to arrive. And sunsets are very good. They are also high. White and girls. Thank you all")</f>
        <v>Perfect Very nice. Quick to arrive. And sunsets are very good. They are also high. White and girls. Thank you all</v>
      </c>
    </row>
    <row r="11703">
      <c r="A11703" s="1">
        <v>5.0</v>
      </c>
      <c r="B11703" s="1" t="s">
        <v>11604</v>
      </c>
      <c r="C11703" t="str">
        <f>IFERROR(__xludf.DUMMYFUNCTION("GOOGLETRANSLATE(B11703, ""es"", ""en"")"),"Excellent product is not always easy to find a shoe that fit you well if you must use templates, but these are perfect! I am very happy with the purchase, for your convenience. My only regret is that price has risen!")</f>
        <v>Excellent product is not always easy to find a shoe that fit you well if you must use templates, but these are perfect! I am very happy with the purchase, for your convenience. My only regret is that price has risen!</v>
      </c>
    </row>
    <row r="11704">
      <c r="A11704" s="1">
        <v>5.0</v>
      </c>
      <c r="B11704" s="1" t="s">
        <v>11605</v>
      </c>
      <c r="C11704" t="str">
        <f>IFERROR(__xludf.DUMMYFUNCTION("GOOGLETRANSLATE(B11704, ""es"", ""en"")"),"10 am delighted, and beat well. I recommend it")</f>
        <v>10 am delighted, and beat well. I recommend it</v>
      </c>
    </row>
    <row r="11705">
      <c r="A11705" s="1">
        <v>5.0</v>
      </c>
      <c r="B11705" s="1" t="s">
        <v>11606</v>
      </c>
      <c r="C11705" t="str">
        <f>IFERROR(__xludf.DUMMYFUNCTION("GOOGLETRANSLATE(B11705, ""es"", ""en"")"),"good socks well, breathe, you feel great, and look strong, I've washed and do not seem to change anything.")</f>
        <v>good socks well, breathe, you feel great, and look strong, I've washed and do not seem to change anything.</v>
      </c>
    </row>
    <row r="11706">
      <c r="A11706" s="1">
        <v>5.0</v>
      </c>
      <c r="B11706" s="1" t="s">
        <v>238</v>
      </c>
      <c r="C11706" t="str">
        <f>IFERROR(__xludf.DUMMYFUNCTION("GOOGLETRANSLATE(B11706, ""es"", ""en"")"),"perfect perfect")</f>
        <v>perfect perfect</v>
      </c>
    </row>
    <row r="11707">
      <c r="A11707" s="1">
        <v>5.0</v>
      </c>
      <c r="B11707" s="1" t="s">
        <v>11607</v>
      </c>
      <c r="C11707" t="str">
        <f>IFERROR(__xludf.DUMMYFUNCTION("GOOGLETRANSLATE(B11707, ""es"", ""en"")"),"Magnificent great product")</f>
        <v>Magnificent great product</v>
      </c>
    </row>
    <row r="11708">
      <c r="A11708" s="1">
        <v>5.0</v>
      </c>
      <c r="B11708" s="1" t="s">
        <v>11608</v>
      </c>
      <c r="C11708" t="str">
        <f>IFERROR(__xludf.DUMMYFUNCTION("GOOGLETRANSLATE(B11708, ""es"", ""en"")"),"Everything is very good looking perfect sound and comfortable for me I needed to come in handy")</f>
        <v>Everything is very good looking perfect sound and comfortable for me I needed to come in handy</v>
      </c>
    </row>
    <row r="11709">
      <c r="A11709" s="1">
        <v>5.0</v>
      </c>
      <c r="B11709" s="1" t="s">
        <v>11609</v>
      </c>
      <c r="C11709" t="str">
        <f>IFERROR(__xludf.DUMMYFUNCTION("GOOGLETRANSLATE(B11709, ""es"", ""en"")"),"Robust and easy to change Robust construction and ease of handling small change. I I'm shopping and I'm always driving change, it has given me the job.")</f>
        <v>Robust and easy to change Robust construction and ease of handling small change. I I'm shopping and I'm always driving change, it has given me the job.</v>
      </c>
    </row>
    <row r="11710">
      <c r="A11710" s="1">
        <v>5.0</v>
      </c>
      <c r="B11710" s="1" t="s">
        <v>11610</v>
      </c>
      <c r="C11710" t="str">
        <f>IFERROR(__xludf.DUMMYFUNCTION("GOOGLETRANSLATE(B11710, ""es"", ""en"")"),"Aqupuncture. My opinion is that worth buying, is what he wanted ...")</f>
        <v>Aqupuncture. My opinion is that worth buying, is what he wanted ...</v>
      </c>
    </row>
    <row r="11711">
      <c r="A11711" s="1">
        <v>5.0</v>
      </c>
      <c r="B11711" s="1" t="s">
        <v>11611</v>
      </c>
      <c r="C11711" t="str">
        <f>IFERROR(__xludf.DUMMYFUNCTION("GOOGLETRANSLATE(B11711, ""es"", ""en"")"),"Brilliant size is small / light comfortable to carry anywhere, the rest is expected from an external SSD. I add that is not heated almost nothing when I'm giving 100% use and very happy with the purchase, I recommend it.")</f>
        <v>Brilliant size is small / light comfortable to carry anywhere, the rest is expected from an external SSD. I add that is not heated almost nothing when I'm giving 100% use and very happy with the purchase, I recommend it.</v>
      </c>
    </row>
    <row r="11712">
      <c r="A11712" s="1">
        <v>5.0</v>
      </c>
      <c r="B11712" s="1" t="s">
        <v>11612</v>
      </c>
      <c r="C11712" t="str">
        <f>IFERROR(__xludf.DUMMYFUNCTION("GOOGLETRANSLATE(B11712, ""es"", ""en"")"),"Perfect. It is ideal. Very easy to apply and remove. Good quality.")</f>
        <v>Perfect. It is ideal. Very easy to apply and remove. Good quality.</v>
      </c>
    </row>
    <row r="11713">
      <c r="A11713" s="1">
        <v>5.0</v>
      </c>
      <c r="B11713" s="1" t="s">
        <v>11613</v>
      </c>
      <c r="C11713" t="str">
        <f>IFERROR(__xludf.DUMMYFUNCTION("GOOGLETRANSLATE(B11713, ""es"", ""en"")"),"All right already we had seen in the shop so it's what I expected.")</f>
        <v>All right already we had seen in the shop so it's what I expected.</v>
      </c>
    </row>
    <row r="11714">
      <c r="A11714" s="1">
        <v>5.0</v>
      </c>
      <c r="B11714" s="1" t="s">
        <v>11614</v>
      </c>
      <c r="C11714" t="str">
        <f>IFERROR(__xludf.DUMMYFUNCTION("GOOGLETRANSLATE(B11714, ""es"", ""en"")"),"The socks are perfect size as the first day even after having already washed a few times. The fabric seems to be quality.")</f>
        <v>The socks are perfect size as the first day even after having already washed a few times. The fabric seems to be quality.</v>
      </c>
    </row>
    <row r="11715">
      <c r="A11715" s="1">
        <v>5.0</v>
      </c>
      <c r="B11715" s="1" t="s">
        <v>11615</v>
      </c>
      <c r="C11715" t="str">
        <f>IFERROR(__xludf.DUMMYFUNCTION("GOOGLETRANSLATE(B11715, ""es"", ""en"")"),"Casco very comfortable and cushy. The town is very soft and comfortable for children, my 2 and a half years is delighted with the volume is low, but for kids think it's okay.")</f>
        <v>Casco very comfortable and cushy. The town is very soft and comfortable for children, my 2 and a half years is delighted with the volume is low, but for kids think it's okay.</v>
      </c>
    </row>
    <row r="11716">
      <c r="A11716" s="1">
        <v>5.0</v>
      </c>
      <c r="B11716" s="1" t="s">
        <v>11616</v>
      </c>
      <c r="C11716" t="str">
        <f>IFERROR(__xludf.DUMMYFUNCTION("GOOGLETRANSLATE(B11716, ""es"", ""en"")"),"I recommend it very easy to use and economical price")</f>
        <v>I recommend it very easy to use and economical price</v>
      </c>
    </row>
    <row r="11717">
      <c r="A11717" s="1">
        <v>5.0</v>
      </c>
      <c r="B11717" s="1" t="s">
        <v>11617</v>
      </c>
      <c r="C11717" t="str">
        <f>IFERROR(__xludf.DUMMYFUNCTION("GOOGLETRANSLATE(B11717, ""es"", ""en"")"),"Beautiful and practical Meets what is expected for the price and quality, buy for the summer house so do not use it every day but it's okay to have an iron.")</f>
        <v>Beautiful and practical Meets what is expected for the price and quality, buy for the summer house so do not use it every day but it's okay to have an iron.</v>
      </c>
    </row>
    <row r="11718">
      <c r="A11718" s="1">
        <v>5.0</v>
      </c>
      <c r="B11718" s="1" t="s">
        <v>11618</v>
      </c>
      <c r="C11718" t="str">
        <f>IFERROR(__xludf.DUMMYFUNCTION("GOOGLETRANSLATE(B11718, ""es"", ""en"")"),"PERFECTOS I used wired headset, now I've settled on this wireless. The battery lasts enough, are comfortable to wear, and the sound is perfect. The charger box is good because if for whatever reason you run out of battery on the headphones, put them in yo"&amp;"ur box and loaded. For little money you have excellent wireless headphones, listen to music when you play sports or just walk and even answer the phone. I recommend it.")</f>
        <v>PERFECTOS I used wired headset, now I've settled on this wireless. The battery lasts enough, are comfortable to wear, and the sound is perfect. The charger box is good because if for whatever reason you run out of battery on the headphones, put them in your box and loaded. For little money you have excellent wireless headphones, listen to music when you play sports or just walk and even answer the phone. I recommend it.</v>
      </c>
    </row>
    <row r="11719">
      <c r="A11719" s="1">
        <v>5.0</v>
      </c>
      <c r="B11719" s="1" t="s">
        <v>11619</v>
      </c>
      <c r="C11719" t="str">
        <f>IFERROR(__xludf.DUMMYFUNCTION("GOOGLETRANSLATE(B11719, ""es"", ""en"")"),"Good product, very practical After several days of use'm happy with it, maybe a little small but ideal for specific areas, such lumbar, cervical. Is easy to use and very practical, it has heat levels and is well suited to the needs of relieving pain, usua"&amp;"lly 4-5 use intensity for 10 minutes only.")</f>
        <v>Good product, very practical After several days of use'm happy with it, maybe a little small but ideal for specific areas, such lumbar, cervical. Is easy to use and very practical, it has heat levels and is well suited to the needs of relieving pain, usually 4-5 use intensity for 10 minutes only.</v>
      </c>
    </row>
    <row r="11720">
      <c r="A11720" s="1">
        <v>5.0</v>
      </c>
      <c r="B11720" s="1" t="s">
        <v>11620</v>
      </c>
      <c r="C11720" t="str">
        <f>IFERROR(__xludf.DUMMYFUNCTION("GOOGLETRANSLATE(B11720, ""es"", ""en"")"),"The. Would you purchase I've used a couple of times now and it is a joy, removes very good hair, and the only one but it has is the release button of the q roll unintentionally you squeeze and open, but it's just a question of gripping the handle otherwis"&amp;"e")</f>
        <v>The. Would you purchase I've used a couple of times now and it is a joy, removes very good hair, and the only one but it has is the release button of the q roll unintentionally you squeeze and open, but it's just a question of gripping the handle otherwise</v>
      </c>
    </row>
    <row r="11721">
      <c r="A11721" s="1">
        <v>5.0</v>
      </c>
      <c r="B11721" s="1" t="s">
        <v>11621</v>
      </c>
      <c r="C11721" t="str">
        <f>IFERROR(__xludf.DUMMYFUNCTION("GOOGLETRANSLATE(B11721, ""es"", ""en"")"),"Super recomendables..Sería shoes have more variables and beautiful colors. Previously, I have given an erroneous assessment by confusion with another product. I want to change and reassess, if possible. Skechers, great !!")</f>
        <v>Super recomendables..Sería shoes have more variables and beautiful colors. Previously, I have given an erroneous assessment by confusion with another product. I want to change and reassess, if possible. Skechers, great !!</v>
      </c>
    </row>
    <row r="11722">
      <c r="A11722" s="1">
        <v>2.0</v>
      </c>
      <c r="B11722" s="1" t="s">
        <v>11622</v>
      </c>
      <c r="C11722" t="str">
        <f>IFERROR(__xludf.DUMMYFUNCTION("GOOGLETRANSLATE(B11722, ""es"", ""en"")"),"as espereaba pretty good. Comfortable but lack some comfort in the sole.")</f>
        <v>as espereaba pretty good. Comfortable but lack some comfort in the sole.</v>
      </c>
    </row>
    <row r="11723">
      <c r="A11723" s="1">
        <v>3.0</v>
      </c>
      <c r="B11723" s="1" t="s">
        <v>11623</v>
      </c>
      <c r="C11723" t="str">
        <f>IFERROR(__xludf.DUMMYFUNCTION("GOOGLETRANSLATE(B11723, ""es"", ""en"")"),"Which it is adjustable okay because it is conformable material but soft because the second day I broke.")</f>
        <v>Which it is adjustable okay because it is conformable material but soft because the second day I broke.</v>
      </c>
    </row>
    <row r="11724">
      <c r="A11724" s="1">
        <v>3.0</v>
      </c>
      <c r="B11724" s="1" t="s">
        <v>11624</v>
      </c>
      <c r="C11724" t="str">
        <f>IFERROR(__xludf.DUMMYFUNCTION("GOOGLETRANSLATE(B11724, ""es"", ""en"")"),"It does not work. It is never dry! Although it has set an hour. The smell is rare and did not notice any improvement in my skin after using it several times.")</f>
        <v>It does not work. It is never dry! Although it has set an hour. The smell is rare and did not notice any improvement in my skin after using it several times.</v>
      </c>
    </row>
    <row r="11725">
      <c r="A11725" s="1">
        <v>1.0</v>
      </c>
      <c r="B11725" s="1" t="s">
        <v>11625</v>
      </c>
      <c r="C11725" t="str">
        <f>IFERROR(__xludf.DUMMYFUNCTION("GOOGLETRANSLATE(B11725, ""es"", ""en"")"),"Poor quality poor quality. When you trim opens and if you trim curve worst online. For those who do crafts it has often causes us to lose too much time to make it half decent. In addition reslate it does not help the brightness of the image as it should b"&amp;"e, but leaves it opaque. I just hope it does not spoil the material as time passes because it is open to the whole. Very disappointed")</f>
        <v>Poor quality poor quality. When you trim opens and if you trim curve worst online. For those who do crafts it has often causes us to lose too much time to make it half decent. In addition reslate it does not help the brightness of the image as it should be, but leaves it opaque. I just hope it does not spoil the material as time passes because it is open to the whole. Very disappointed</v>
      </c>
    </row>
    <row r="11726">
      <c r="A11726" s="1">
        <v>1.0</v>
      </c>
      <c r="B11726" s="1" t="s">
        <v>11626</v>
      </c>
      <c r="C11726" t="str">
        <f>IFERROR(__xludf.DUMMYFUNCTION("GOOGLETRANSLATE(B11726, ""es"", ""en"")"),"NO adquitir ... HOLA. I leave a star because I can not remove it. Basically a plastic cylinder painted in two tones. Apparent in the picture but ugly and ridiculous in reality. As for its function, I could not turn it on because the mechanics of the butto"&amp;"ns is terrible and barely redponde hard. The worst I've acquired in Amaxon.")</f>
        <v>NO adquitir ... HOLA. I leave a star because I can not remove it. Basically a plastic cylinder painted in two tones. Apparent in the picture but ugly and ridiculous in reality. As for its function, I could not turn it on because the mechanics of the buttons is terrible and barely redponde hard. The worst I've acquired in Amaxon.</v>
      </c>
    </row>
    <row r="11727">
      <c r="A11727" s="1">
        <v>4.0</v>
      </c>
      <c r="B11727" s="1" t="s">
        <v>11627</v>
      </c>
      <c r="C11727" t="str">
        <f>IFERROR(__xludf.DUMMYFUNCTION("GOOGLETRANSLATE(B11727, ""es"", ""en"")"),"Good value for money. Equal. They are the same as Samsung and listens very well. Perhaps it has taken a little bit.")</f>
        <v>Good value for money. Equal. They are the same as Samsung and listens very well. Perhaps it has taken a little bit.</v>
      </c>
    </row>
    <row r="11728">
      <c r="A11728" s="1">
        <v>4.0</v>
      </c>
      <c r="B11728" s="1" t="s">
        <v>11628</v>
      </c>
      <c r="C11728" t="str">
        <f>IFERROR(__xludf.DUMMYFUNCTION("GOOGLETRANSLATE(B11728, ""es"", ""en"")"),"Very refreshing very good result great sense of relief. But perhaps too strong odor given off by applying to the treatment area")</f>
        <v>Very refreshing very good result great sense of relief. But perhaps too strong odor given off by applying to the treatment area</v>
      </c>
    </row>
    <row r="11729">
      <c r="A11729" s="1">
        <v>4.0</v>
      </c>
      <c r="B11729" s="1" t="s">
        <v>11629</v>
      </c>
      <c r="C11729" t="str">
        <f>IFERROR(__xludf.DUMMYFUNCTION("GOOGLETRANSLATE(B11729, ""es"", ""en"")"),"Relaxing is wonderful. Relaxes a lot. The only bad thing, and neither it is, weighing and can tire your hand. FEMAS so either power, that is wireless is a plus point, the battery lasts, very good heads. I recommend it.")</f>
        <v>Relaxing is wonderful. Relaxes a lot. The only bad thing, and neither it is, weighing and can tire your hand. FEMAS so either power, that is wireless is a plus point, the battery lasts, very good heads. I recommend it.</v>
      </c>
    </row>
    <row r="11730">
      <c r="A11730" s="1">
        <v>4.0</v>
      </c>
      <c r="B11730" s="1" t="s">
        <v>11630</v>
      </c>
      <c r="C11730" t="str">
        <f>IFERROR(__xludf.DUMMYFUNCTION("GOOGLETRANSLATE(B11730, ""es"", ""en"")"),"Casio fashion. I received it in a cardboard box ¿? Inside there was a small velvet pouch / blue plastic with clock inside. Quality and functionality like similar models. Value for money quite acceptable. Its instructions and sealed guarantee for 2 years.")</f>
        <v>Casio fashion. I received it in a cardboard box ¿? Inside there was a small velvet pouch / blue plastic with clock inside. Quality and functionality like similar models. Value for money quite acceptable. Its instructions and sealed guarantee for 2 years.</v>
      </c>
    </row>
    <row r="11731">
      <c r="A11731" s="1">
        <v>4.0</v>
      </c>
      <c r="B11731" s="1" t="s">
        <v>11631</v>
      </c>
      <c r="C11731" t="str">
        <f>IFERROR(__xludf.DUMMYFUNCTION("GOOGLETRANSLATE(B11731, ""es"", ""en"")"),"This great but with some perio The pad is great. 3 intensity levels have regulated temperature levels fairly well marked. One aspect that has positive / negative is that time have activated a level, security is off. That means that if you're reading or do"&amp;"ing something so long, you have to manually reactivate it. The regulator is too large and may be more comfortable if it were smaller and discreet.")</f>
        <v>This great but with some perio The pad is great. 3 intensity levels have regulated temperature levels fairly well marked. One aspect that has positive / negative is that time have activated a level, security is off. That means that if you're reading or doing something so long, you have to manually reactivate it. The regulator is too large and may be more comfortable if it were smaller and discreet.</v>
      </c>
    </row>
    <row r="11732">
      <c r="A11732" s="1">
        <v>5.0</v>
      </c>
      <c r="B11732" s="1" t="s">
        <v>11632</v>
      </c>
      <c r="C11732" t="str">
        <f>IFERROR(__xludf.DUMMYFUNCTION("GOOGLETRANSLATE(B11732, ""es"", ""en"")"),"Midi Cable Midi efficient single i used to Msc")</f>
        <v>Midi Cable Midi efficient single i used to Msc</v>
      </c>
    </row>
    <row r="11733">
      <c r="A11733" s="1">
        <v>5.0</v>
      </c>
      <c r="B11733" s="1" t="s">
        <v>11633</v>
      </c>
      <c r="C11733" t="str">
        <f>IFERROR(__xludf.DUMMYFUNCTION("GOOGLETRANSLATE(B11733, ""es"", ""en"")"),"Light comfortable and I expected no less from this brand are super comfortable and lightweight, bought them for the day and are perfect, I recommend them.")</f>
        <v>Light comfortable and I expected no less from this brand are super comfortable and lightweight, bought them for the day and are perfect, I recommend them.</v>
      </c>
    </row>
    <row r="11734">
      <c r="A11734" s="1">
        <v>5.0</v>
      </c>
      <c r="B11734" s="1" t="s">
        <v>11634</v>
      </c>
      <c r="C11734" t="str">
        <f>IFERROR(__xludf.DUMMYFUNCTION("GOOGLETRANSLATE(B11734, ""es"", ""en"")"),"It delivers what it promises! Not much explanation: If you are looking for an electric blanket to keep warm this is the best solution. Easy to use, great and very helpful Highly recommended!")</f>
        <v>It delivers what it promises! Not much explanation: If you are looking for an electric blanket to keep warm this is the best solution. Easy to use, great and very helpful Highly recommended!</v>
      </c>
    </row>
    <row r="11735">
      <c r="A11735" s="1">
        <v>5.0</v>
      </c>
      <c r="B11735" s="1" t="s">
        <v>11635</v>
      </c>
      <c r="C11735" t="str">
        <f>IFERROR(__xludf.DUMMYFUNCTION("GOOGLETRANSLATE(B11735, ""es"", ""en"")"),"I recommend Super nice, excellent value / price.")</f>
        <v>I recommend Super nice, excellent value / price.</v>
      </c>
    </row>
    <row r="11736">
      <c r="A11736" s="1">
        <v>5.0</v>
      </c>
      <c r="B11736" s="1" t="s">
        <v>11636</v>
      </c>
      <c r="C11736" t="str">
        <f>IFERROR(__xludf.DUMMYFUNCTION("GOOGLETRANSLATE(B11736, ""es"", ""en"")"),"Price quality!!! fully met my expectations, very comfortable shoe, always order a size too small because they come, I recommend !!")</f>
        <v>Price quality!!! fully met my expectations, very comfortable shoe, always order a size too small because they come, I recommend !!</v>
      </c>
    </row>
    <row r="11737">
      <c r="A11737" s="1">
        <v>5.0</v>
      </c>
      <c r="B11737" s="1" t="s">
        <v>11637</v>
      </c>
      <c r="C11737" t="str">
        <f>IFERROR(__xludf.DUMMYFUNCTION("GOOGLETRANSLATE(B11737, ""es"", ""en"")"),"Robustness and shipping very fast recently I gave my daughter one, is delighted with the Pen, very robust and without any problems, so I bought one for me and so perfect, so I flipa is me fast delivery , buy one afternoon and the next day I was waking up "&amp;"at 9:00 to deliver")</f>
        <v>Robustness and shipping very fast recently I gave my daughter one, is delighted with the Pen, very robust and without any problems, so I bought one for me and so perfect, so I flipa is me fast delivery , buy one afternoon and the next day I was waking up at 9:00 to deliver</v>
      </c>
    </row>
    <row r="11738">
      <c r="A11738" s="1">
        <v>5.0</v>
      </c>
      <c r="B11738" s="1" t="s">
        <v>11638</v>
      </c>
      <c r="C11738" t="str">
        <f>IFERROR(__xludf.DUMMYFUNCTION("GOOGLETRANSLATE(B11738, ""es"", ""en"")"),"Good product Beaba vinegar works very well. I have already used twice and the first decalcified my Babycook. I left for another 2 uses more. I recommend it because it is the specific product of the machine and think those things best not to gamble.")</f>
        <v>Good product Beaba vinegar works very well. I have already used twice and the first decalcified my Babycook. I left for another 2 uses more. I recommend it because it is the specific product of the machine and think those things best not to gamble.</v>
      </c>
    </row>
    <row r="11739">
      <c r="A11739" s="1">
        <v>5.0</v>
      </c>
      <c r="B11739" s="1" t="s">
        <v>11639</v>
      </c>
      <c r="C11739" t="str">
        <f>IFERROR(__xludf.DUMMYFUNCTION("GOOGLETRANSLATE(B11739, ""es"", ""en"")"),"It works good card perfectly, reaching rates of almost 30 Mb / s real in writing and 90 in reading through a USB3 reader; very similar to the Samsung Evo Plus, but something cheaper, so that happy moment. I hope they last.")</f>
        <v>It works good card perfectly, reaching rates of almost 30 Mb / s real in writing and 90 in reading through a USB3 reader; very similar to the Samsung Evo Plus, but something cheaper, so that happy moment. I hope they last.</v>
      </c>
    </row>
    <row r="11740">
      <c r="A11740" s="1">
        <v>5.0</v>
      </c>
      <c r="B11740" s="1" t="s">
        <v>7171</v>
      </c>
      <c r="C11740" t="str">
        <f>IFERROR(__xludf.DUMMYFUNCTION("GOOGLETRANSLATE(B11740, ""es"", ""en"")"),"All right all right")</f>
        <v>All right all right</v>
      </c>
    </row>
    <row r="11741">
      <c r="A11741" s="1">
        <v>5.0</v>
      </c>
      <c r="B11741" s="1" t="s">
        <v>11640</v>
      </c>
      <c r="C11741" t="str">
        <f>IFERROR(__xludf.DUMMYFUNCTION("GOOGLETRANSLATE(B11741, ""es"", ""en"")"),"Converse Fast and as expected")</f>
        <v>Converse Fast and as expected</v>
      </c>
    </row>
    <row r="11742">
      <c r="A11742" s="1">
        <v>5.0</v>
      </c>
      <c r="B11742" s="1" t="s">
        <v>11641</v>
      </c>
      <c r="C11742" t="str">
        <f>IFERROR(__xludf.DUMMYFUNCTION("GOOGLETRANSLATE(B11742, ""es"", ""en"")"),"A big clock at a great price. Watch great, I really love that. It works with energy and recharged simply one wearing it. The time is updated single radio. I've given enough battle and so far has not given any problems or have fallen screws as indicated by"&amp;" other reviewers. Moment very pleased with purchase")</f>
        <v>A big clock at a great price. Watch great, I really love that. It works with energy and recharged simply one wearing it. The time is updated single radio. I've given enough battle and so far has not given any problems or have fallen screws as indicated by other reviewers. Moment very pleased with purchase</v>
      </c>
    </row>
    <row r="11743">
      <c r="A11743" s="1">
        <v>5.0</v>
      </c>
      <c r="B11743" s="1" t="s">
        <v>11642</v>
      </c>
      <c r="C11743" t="str">
        <f>IFERROR(__xludf.DUMMYFUNCTION("GOOGLETRANSLATE(B11743, ""es"", ""en"")"),"It was good quality for a gift and he loved the girl. I recommend it if you want to look good;)")</f>
        <v>It was good quality for a gift and he loved the girl. I recommend it if you want to look good;)</v>
      </c>
    </row>
    <row r="11744">
      <c r="A11744" s="1">
        <v>5.0</v>
      </c>
      <c r="B11744" s="1" t="s">
        <v>11643</v>
      </c>
      <c r="C11744" t="str">
        <f>IFERROR(__xludf.DUMMYFUNCTION("GOOGLETRANSLATE(B11744, ""es"", ""en"")"),"Greatly reduces noise does his job well enough, short enough noise from the wind, just enough to make it natural and consistent with the image")</f>
        <v>Greatly reduces noise does his job well enough, short enough noise from the wind, just enough to make it natural and consistent with the image</v>
      </c>
    </row>
    <row r="11745">
      <c r="A11745" s="1">
        <v>5.0</v>
      </c>
      <c r="B11745" s="1" t="s">
        <v>11644</v>
      </c>
      <c r="C11745" t="str">
        <f>IFERROR(__xludf.DUMMYFUNCTION("GOOGLETRANSLATE(B11745, ""es"", ""en"")"),"They feel perfectly good quality. Comfortable and quality")</f>
        <v>They feel perfectly good quality. Comfortable and quality</v>
      </c>
    </row>
    <row r="11746">
      <c r="A11746" s="1">
        <v>5.0</v>
      </c>
      <c r="B11746" s="1" t="s">
        <v>11645</v>
      </c>
      <c r="C11746" t="str">
        <f>IFERROR(__xludf.DUMMYFUNCTION("GOOGLETRANSLATE(B11746, ""es"", ""en"")"),"Only gives the trick. The chain has lasted three weeks as the moon begins to take a darker by the day. The chain broke very easily. I bought another in jewelry and nothing to do.")</f>
        <v>Only gives the trick. The chain has lasted three weeks as the moon begins to take a darker by the day. The chain broke very easily. I bought another in jewelry and nothing to do.</v>
      </c>
    </row>
    <row r="11747">
      <c r="A11747" s="1">
        <v>5.0</v>
      </c>
      <c r="B11747" s="1" t="s">
        <v>11646</v>
      </c>
      <c r="C11747" t="str">
        <f>IFERROR(__xludf.DUMMYFUNCTION("GOOGLETRANSLATE(B11747, ""es"", ""en"")"),"Comfortable, garters and beautiful. I liked a lot, they are very comfortable, the box is very small and liguera. The sound quality is fine, the theme of the insulation with the outside sound could be improved, the battery Now I have a couple of days using"&amp;" it, despite being the button is not out of the ear, which happened to me with much others.")</f>
        <v>Comfortable, garters and beautiful. I liked a lot, they are very comfortable, the box is very small and liguera. The sound quality is fine, the theme of the insulation with the outside sound could be improved, the battery Now I have a couple of days using it, despite being the button is not out of the ear, which happened to me with much others.</v>
      </c>
    </row>
    <row r="11748">
      <c r="A11748" s="1">
        <v>5.0</v>
      </c>
      <c r="B11748" s="1" t="s">
        <v>11647</v>
      </c>
      <c r="C11748" t="str">
        <f>IFERROR(__xludf.DUMMYFUNCTION("GOOGLETRANSLATE(B11748, ""es"", ""en"")"),"Q The wait ... perfect firm grip! Meets all expectations ... carving is not normal ... I use a 90a and I had q buy a 85b")</f>
        <v>Q The wait ... perfect firm grip! Meets all expectations ... carving is not normal ... I use a 90a and I had q buy a 85b</v>
      </c>
    </row>
    <row r="11749">
      <c r="A11749" s="1">
        <v>5.0</v>
      </c>
      <c r="B11749" s="1" t="s">
        <v>11648</v>
      </c>
      <c r="C11749" t="str">
        <f>IFERROR(__xludf.DUMMYFUNCTION("GOOGLETRANSLATE(B11749, ""es"", ""en"")"),"As expected size Luckily I chose it was me. He had no other shoes this brand / model and how well they served me. For the rest say? Good article, as expected, good quality.")</f>
        <v>As expected size Luckily I chose it was me. He had no other shoes this brand / model and how well they served me. For the rest say? Good article, as expected, good quality.</v>
      </c>
    </row>
    <row r="11750">
      <c r="A11750" s="1">
        <v>5.0</v>
      </c>
      <c r="B11750" s="1" t="s">
        <v>11649</v>
      </c>
      <c r="C11750" t="str">
        <f>IFERROR(__xludf.DUMMYFUNCTION("GOOGLETRANSLATE(B11750, ""es"", ""en"")"),"Good product I bought as a gift for parents, they suffer a lot of his feet. Good product is heated only with cold water and maintains the temperature. Very easy to use for them.")</f>
        <v>Good product I bought as a gift for parents, they suffer a lot of his feet. Good product is heated only with cold water and maintains the temperature. Very easy to use for them.</v>
      </c>
    </row>
    <row r="11751">
      <c r="A11751" s="1">
        <v>2.0</v>
      </c>
      <c r="B11751" s="1" t="s">
        <v>11650</v>
      </c>
      <c r="C11751" t="str">
        <f>IFERROR(__xludf.DUMMYFUNCTION("GOOGLETRANSLATE(B11751, ""es"", ""en"")"),"Tatty but works works but is very stiff")</f>
        <v>Tatty but works works but is very stiff</v>
      </c>
    </row>
    <row r="11752">
      <c r="A11752" s="1">
        <v>3.0</v>
      </c>
      <c r="B11752" s="1" t="s">
        <v>11651</v>
      </c>
      <c r="C11752" t="str">
        <f>IFERROR(__xludf.DUMMYFUNCTION("GOOGLETRANSLATE(B11752, ""es"", ""en"")"),"More aesthetic than anything else. Also has broken me is easy to carry because it weighs nothing. Light, indeed, not worth. The digital clock works, but my hands have been blocked. I have to send to repair. Statics It is more than anything else ...")</f>
        <v>More aesthetic than anything else. Also has broken me is easy to carry because it weighs nothing. Light, indeed, not worth. The digital clock works, but my hands have been blocked. I have to send to repair. Statics It is more than anything else ...</v>
      </c>
    </row>
    <row r="11753">
      <c r="A11753" s="1">
        <v>3.0</v>
      </c>
      <c r="B11753" s="1" t="s">
        <v>11652</v>
      </c>
      <c r="C11753" t="str">
        <f>IFERROR(__xludf.DUMMYFUNCTION("GOOGLETRANSLATE(B11753, ""es"", ""en"")"),"Not bad little hard, but the effect lasts just a shame")</f>
        <v>Not bad little hard, but the effect lasts just a shame</v>
      </c>
    </row>
    <row r="11754">
      <c r="A11754" s="1">
        <v>1.0</v>
      </c>
      <c r="B11754" s="1" t="s">
        <v>11653</v>
      </c>
      <c r="C11754" t="str">
        <f>IFERROR(__xludf.DUMMYFUNCTION("GOOGLETRANSLATE(B11754, ""es"", ""en"")"),"can not judge was refitted and had to return because the alarm does not work properly.")</f>
        <v>can not judge was refitted and had to return because the alarm does not work properly.</v>
      </c>
    </row>
    <row r="11755">
      <c r="A11755" s="1">
        <v>1.0</v>
      </c>
      <c r="B11755" s="1" t="s">
        <v>11654</v>
      </c>
      <c r="C11755" t="str">
        <f>IFERROR(__xludf.DUMMYFUNCTION("GOOGLETRANSLATE(B11755, ""es"", ""en"")"),"Fruits shattered sleazy I give only 2 star because they were all nuts shattered ... there are q put a few in the washer and then I'll have to put many small pieces. I've been reading and informandone when they come online and broken is because they are fr"&amp;"uits of very poor quality. If I see that the less wash well go up the stars but that moment did not like shattered and a very dark, very characteristics of bad fruit. Under a star score because despite putting many fruit chunks and soak in hot water befor"&amp;"e q soften this does not make soap. It really is like washing with water. I guess that will be the fruits of this brand are very bad quality.")</f>
        <v>Fruits shattered sleazy I give only 2 star because they were all nuts shattered ... there are q put a few in the washer and then I'll have to put many small pieces. I've been reading and informandone when they come online and broken is because they are fruits of very poor quality. If I see that the less wash well go up the stars but that moment did not like shattered and a very dark, very characteristics of bad fruit. Under a star score because despite putting many fruit chunks and soak in hot water before q soften this does not make soap. It really is like washing with water. I guess that will be the fruits of this brand are very bad quality.</v>
      </c>
    </row>
    <row r="11756">
      <c r="A11756" s="1">
        <v>1.0</v>
      </c>
      <c r="B11756" s="1" t="s">
        <v>11655</v>
      </c>
      <c r="C11756" t="str">
        <f>IFERROR(__xludf.DUMMYFUNCTION("GOOGLETRANSLATE(B11756, ""es"", ""en"")"),"You get a different shoe for you Purchases asked for the model Smash V2 White and I come from a different model. Rather disappointing, not recommended.")</f>
        <v>You get a different shoe for you Purchases asked for the model Smash V2 White and I come from a different model. Rather disappointing, not recommended.</v>
      </c>
    </row>
    <row r="11757">
      <c r="A11757" s="1">
        <v>4.0</v>
      </c>
      <c r="B11757" s="1" t="s">
        <v>11656</v>
      </c>
      <c r="C11757" t="str">
        <f>IFERROR(__xludf.DUMMYFUNCTION("GOOGLETRANSLATE(B11757, ""es"", ""en"")"),"What good watch I bought about 4 years ago and still like the first day, a quality product at a good price, highly recommendable.")</f>
        <v>What good watch I bought about 4 years ago and still like the first day, a quality product at a good price, highly recommendable.</v>
      </c>
    </row>
    <row r="11758">
      <c r="A11758" s="1">
        <v>4.0</v>
      </c>
      <c r="B11758" s="1" t="s">
        <v>11657</v>
      </c>
      <c r="C11758" t="str">
        <f>IFERROR(__xludf.DUMMYFUNCTION("GOOGLETRANSLATE(B11758, ""es"", ""en"")"),"Little room. I bought it because it was the bag I wanted my nephew. For the price it is expected to be a little larger, with more space. Why not give it 5 stars. One can only wallet, mobile and little else. Anyway, he is delighted with her reticule :)")</f>
        <v>Little room. I bought it because it was the bag I wanted my nephew. For the price it is expected to be a little larger, with more space. Why not give it 5 stars. One can only wallet, mobile and little else. Anyway, he is delighted with her reticule :)</v>
      </c>
    </row>
    <row r="11759">
      <c r="A11759" s="1">
        <v>4.0</v>
      </c>
      <c r="B11759" s="1" t="s">
        <v>11658</v>
      </c>
      <c r="C11759" t="str">
        <f>IFERROR(__xludf.DUMMYFUNCTION("GOOGLETRANSLATE(B11759, ""es"", ""en"")"),"Recommended readings very entertaining your children and lovers of this saga, received super fast.")</f>
        <v>Recommended readings very entertaining your children and lovers of this saga, received super fast.</v>
      </c>
    </row>
    <row r="11760">
      <c r="A11760" s="1">
        <v>4.0</v>
      </c>
      <c r="B11760" s="1" t="s">
        <v>11659</v>
      </c>
      <c r="C11760" t="str">
        <f>IFERROR(__xludf.DUMMYFUNCTION("GOOGLETRANSLATE(B11760, ""es"", ""en"")"),"Good. The shipping was very fast. It is how it is said in the description. Today tried them in the gym, listening to Spotify and perfect. I had read that if beeps or if they were very young ... I did not hear any beep even dare say that I have left fair. "&amp;"I am satisfied with this purchase")</f>
        <v>Good. The shipping was very fast. It is how it is said in the description. Today tried them in the gym, listening to Spotify and perfect. I had read that if beeps or if they were very young ... I did not hear any beep even dare say that I have left fair. I am satisfied with this purchase</v>
      </c>
    </row>
    <row r="11761">
      <c r="A11761" s="1">
        <v>5.0</v>
      </c>
      <c r="B11761" s="1" t="s">
        <v>11660</v>
      </c>
      <c r="C11761" t="str">
        <f>IFERROR(__xludf.DUMMYFUNCTION("GOOGLETRANSLATE(B11761, ""es"", ""en"")"),"Meets the massage function is going well and no space")</f>
        <v>Meets the massage function is going well and no space</v>
      </c>
    </row>
    <row r="11762">
      <c r="A11762" s="1">
        <v>5.0</v>
      </c>
      <c r="B11762" s="1" t="s">
        <v>11661</v>
      </c>
      <c r="C11762" t="str">
        <f>IFERROR(__xludf.DUMMYFUNCTION("GOOGLETRANSLATE(B11762, ""es"", ""en"")"),"Well it has done everything perfect. It is sized to carry glasses in their case more personal items. Interior Department has zipper others to carry more cards, one outer breast pocket with its own space and one zippered rear also. The quality of the produ"&amp;"ct is good. I am satisfied with the very practical compra.Es not have to carry loaded pockets. Insurance that can go with the carrying strap, small, hooked")</f>
        <v>Well it has done everything perfect. It is sized to carry glasses in their case more personal items. Interior Department has zipper others to carry more cards, one outer breast pocket with its own space and one zippered rear also. The quality of the product is good. I am satisfied with the very practical compra.Es not have to carry loaded pockets. Insurance that can go with the carrying strap, small, hooked</v>
      </c>
    </row>
    <row r="11763">
      <c r="A11763" s="1">
        <v>5.0</v>
      </c>
      <c r="B11763" s="1" t="s">
        <v>11662</v>
      </c>
      <c r="C11763" t="str">
        <f>IFERROR(__xludf.DUMMYFUNCTION("GOOGLETRANSLATE(B11763, ""es"", ""en"")"),"I love gave it 4 stars because I did not like how they sounded, they change guards (I was small) for about sony uff I had and the digerencia is awesome, I emcantan so comfortable and practical")</f>
        <v>I love gave it 4 stars because I did not like how they sounded, they change guards (I was small) for about sony uff I had and the digerencia is awesome, I emcantan so comfortable and practical</v>
      </c>
    </row>
    <row r="11764">
      <c r="A11764" s="1">
        <v>5.0</v>
      </c>
      <c r="B11764" s="1" t="s">
        <v>11663</v>
      </c>
      <c r="C11764" t="str">
        <f>IFERROR(__xludf.DUMMYFUNCTION("GOOGLETRANSLATE(B11764, ""es"", ""en"")"),"Well as in explaining")</f>
        <v>Well as in explaining</v>
      </c>
    </row>
    <row r="11765">
      <c r="A11765" s="1">
        <v>5.0</v>
      </c>
      <c r="B11765" s="1" t="s">
        <v>11664</v>
      </c>
      <c r="C11765" t="str">
        <f>IFERROR(__xludf.DUMMYFUNCTION("GOOGLETRANSLATE(B11765, ""es"", ""en"")"),"Original Optima")</f>
        <v>Original Optima</v>
      </c>
    </row>
    <row r="11766">
      <c r="A11766" s="1">
        <v>5.0</v>
      </c>
      <c r="B11766" s="1" t="s">
        <v>11665</v>
      </c>
      <c r="C11766" t="str">
        <f>IFERROR(__xludf.DUMMYFUNCTION("GOOGLETRANSLATE(B11766, ""es"", ""en"")"),"Beautiful finest what you see in the picture, elegant ... very nice, thank you")</f>
        <v>Beautiful finest what you see in the picture, elegant ... very nice, thank you</v>
      </c>
    </row>
    <row r="11767">
      <c r="A11767" s="1">
        <v>5.0</v>
      </c>
      <c r="B11767" s="1" t="s">
        <v>11666</v>
      </c>
      <c r="C11767" t="str">
        <f>IFERROR(__xludf.DUMMYFUNCTION("GOOGLETRANSLATE(B11767, ""es"", ""en"")"),"Are original Truth when pedi was afraid they were not original but I was wrong, they came good and really good quality sonde and the right size")</f>
        <v>Are original Truth when pedi was afraid they were not original but I was wrong, they came good and really good quality sonde and the right size</v>
      </c>
    </row>
    <row r="11768">
      <c r="A11768" s="1">
        <v>5.0</v>
      </c>
      <c r="B11768" s="1" t="s">
        <v>11667</v>
      </c>
      <c r="C11768" t="str">
        <f>IFERROR(__xludf.DUMMYFUNCTION("GOOGLETRANSLATE(B11768, ""es"", ""en"")"),"Nice and comfortable They are a very nice and easy shoes to match with any clothes. I had to change for a number less and the whole operation was quick and correct.")</f>
        <v>Nice and comfortable They are a very nice and easy shoes to match with any clothes. I had to change for a number less and the whole operation was quick and correct.</v>
      </c>
    </row>
    <row r="11769">
      <c r="A11769" s="1">
        <v>5.0</v>
      </c>
      <c r="B11769" s="1" t="s">
        <v>11668</v>
      </c>
      <c r="C11769" t="str">
        <f>IFERROR(__xludf.DUMMYFUNCTION("GOOGLETRANSLATE(B11769, ""es"", ""en"")"),"Durabilidade Easy to use")</f>
        <v>Durabilidade Easy to use</v>
      </c>
    </row>
    <row r="11770">
      <c r="A11770" s="1">
        <v>5.0</v>
      </c>
      <c r="B11770" s="1" t="s">
        <v>11669</v>
      </c>
      <c r="C11770" t="str">
        <f>IFERROR(__xludf.DUMMYFUNCTION("GOOGLETRANSLATE(B11770, ""es"", ""en"")"),"Tous watch Color cheating on the photo looks more and more pink lilac but overall very good")</f>
        <v>Tous watch Color cheating on the photo looks more and more pink lilac but overall very good</v>
      </c>
    </row>
    <row r="11771">
      <c r="A11771" s="1">
        <v>5.0</v>
      </c>
      <c r="B11771" s="1" t="s">
        <v>11670</v>
      </c>
      <c r="C11771" t="str">
        <f>IFERROR(__xludf.DUMMYFUNCTION("GOOGLETRANSLATE(B11771, ""es"", ""en"")"),"All right has fulfilled all expectations, quality and price quickly")</f>
        <v>All right has fulfilled all expectations, quality and price quickly</v>
      </c>
    </row>
    <row r="11772">
      <c r="A11772" s="1">
        <v>5.0</v>
      </c>
      <c r="B11772" s="1" t="s">
        <v>11671</v>
      </c>
      <c r="C11772" t="str">
        <f>IFERROR(__xludf.DUMMYFUNCTION("GOOGLETRANSLATE(B11772, ""es"", ""en"")"),"Kettle Perfect for what is indicated, very good product and it arrived in time, I recommend it 100%. to heat the milk goes a little wrong because the bottom is dirty.")</f>
        <v>Kettle Perfect for what is indicated, very good product and it arrived in time, I recommend it 100%. to heat the milk goes a little wrong because the bottom is dirty.</v>
      </c>
    </row>
    <row r="11773">
      <c r="A11773" s="1">
        <v>5.0</v>
      </c>
      <c r="B11773" s="1" t="s">
        <v>11672</v>
      </c>
      <c r="C11773" t="str">
        <f>IFERROR(__xludf.DUMMYFUNCTION("GOOGLETRANSLATE(B11773, ""es"", ""en"")"),"Good Very good size correctly")</f>
        <v>Good Very good size correctly</v>
      </c>
    </row>
    <row r="11774">
      <c r="A11774" s="1">
        <v>5.0</v>
      </c>
      <c r="B11774" s="1" t="s">
        <v>11673</v>
      </c>
      <c r="C11774" t="str">
        <f>IFERROR(__xludf.DUMMYFUNCTION("GOOGLETRANSLATE(B11774, ""es"", ""en"")"),"Autenteica I like everything, looks good as well with Aqueros")</f>
        <v>Autenteica I like everything, looks good as well with Aqueros</v>
      </c>
    </row>
    <row r="11775">
      <c r="A11775" s="1">
        <v>5.0</v>
      </c>
      <c r="B11775" s="1" t="s">
        <v>11674</v>
      </c>
      <c r="C11775" t="str">
        <f>IFERROR(__xludf.DUMMYFUNCTION("GOOGLETRANSLATE(B11775, ""es"", ""en"")"),"Good product works great, manageable")</f>
        <v>Good product works great, manageable</v>
      </c>
    </row>
    <row r="11776">
      <c r="A11776" s="1">
        <v>5.0</v>
      </c>
      <c r="B11776" s="1" t="s">
        <v>11675</v>
      </c>
      <c r="C11776" t="str">
        <f>IFERROR(__xludf.DUMMYFUNCTION("GOOGLETRANSLATE(B11776, ""es"", ""en"")"),"Massaging is a past! Masajeador professional, it consists of a long base where we have the power button and to give more or less power, includes different heads for different parts of the body. Is long and weighs something, but that's why being a good dev"&amp;"ice")</f>
        <v>Massaging is a past! Masajeador professional, it consists of a long base where we have the power button and to give more or less power, includes different heads for different parts of the body. Is long and weighs something, but that's why being a good device</v>
      </c>
    </row>
    <row r="11777">
      <c r="A11777" s="1">
        <v>5.0</v>
      </c>
      <c r="B11777" s="1" t="s">
        <v>11676</v>
      </c>
      <c r="C11777" t="str">
        <f>IFERROR(__xludf.DUMMYFUNCTION("GOOGLETRANSLATE(B11777, ""es"", ""en"")"),"Well I'm delighted, let me very clean scalp.")</f>
        <v>Well I'm delighted, let me very clean scalp.</v>
      </c>
    </row>
    <row r="11778">
      <c r="A11778" s="1">
        <v>5.0</v>
      </c>
      <c r="B11778" s="1" t="s">
        <v>11677</v>
      </c>
      <c r="C11778" t="str">
        <f>IFERROR(__xludf.DUMMYFUNCTION("GOOGLETRANSLATE(B11778, ""es"", ""en"")"),"How well they sound Genisl")</f>
        <v>How well they sound Genisl</v>
      </c>
    </row>
    <row r="11779">
      <c r="A11779" s="1">
        <v>2.0</v>
      </c>
      <c r="B11779" s="1" t="s">
        <v>11678</v>
      </c>
      <c r="C11779" t="str">
        <f>IFERROR(__xludf.DUMMYFUNCTION("GOOGLETRANSLATE(B11779, ""es"", ""en"")"),"It could be very good but bad design details Overall the machine appears to be of good quality. Finely crush everything he says in the ad. So far so good. But when there is bad use design details ... Pe. If you use the boat ""to go"" and if you do not shu"&amp;"t perfectly, the direction of opening is the same when you take it out of the engine which was if not 100% closed at this time you open it with the result that everything I headed over to the engine. Putting against the closure could not happen ... For a "&amp;"girl is very difficult to close and open properly, it is very hard. Especially when you crush seems always a little overpressure is created within (as this sealed). Clear glass could be used but the boat ""to go"" is very practical to clean. Overall it co"&amp;"uld be a good machine but with these details and this price because no ... a shame. I do not recommend. It is not as practical as it seems.")</f>
        <v>It could be very good but bad design details Overall the machine appears to be of good quality. Finely crush everything he says in the ad. So far so good. But when there is bad use design details ... Pe. If you use the boat "to go" and if you do not shut perfectly, the direction of opening is the same when you take it out of the engine which was if not 100% closed at this time you open it with the result that everything I headed over to the engine. Putting against the closure could not happen ... For a girl is very difficult to close and open properly, it is very hard. Especially when you crush seems always a little overpressure is created within (as this sealed). Clear glass could be used but the boat "to go" is very practical to clean. Overall it could be a good machine but with these details and this price because no ... a shame. I do not recommend. It is not as practical as it seems.</v>
      </c>
    </row>
    <row r="11780">
      <c r="A11780" s="1">
        <v>3.0</v>
      </c>
      <c r="B11780" s="1" t="s">
        <v>11679</v>
      </c>
      <c r="C11780" t="str">
        <f>IFERROR(__xludf.DUMMYFUNCTION("GOOGLETRANSLATE(B11780, ""es"", ""en"")"),"Cristofer are only compatible with classic teats, and are not easy to find or not find them and are not cheap or so it seems")</f>
        <v>Cristofer are only compatible with classic teats, and are not easy to find or not find them and are not cheap or so it seems</v>
      </c>
    </row>
    <row r="11781">
      <c r="A11781" s="1">
        <v>3.0</v>
      </c>
      <c r="B11781" s="1" t="s">
        <v>11680</v>
      </c>
      <c r="C11781" t="str">
        <f>IFERROR(__xludf.DUMMYFUNCTION("GOOGLETRANSLATE(B11781, ""es"", ""en"")"),"Passable so it is a thin jacket, a bit long waist")</f>
        <v>Passable so it is a thin jacket, a bit long waist</v>
      </c>
    </row>
    <row r="11782">
      <c r="A11782" s="1">
        <v>1.0</v>
      </c>
      <c r="B11782" s="1" t="s">
        <v>11681</v>
      </c>
      <c r="C11782" t="str">
        <f>IFERROR(__xludf.DUMMYFUNCTION("GOOGLETRANSLATE(B11782, ""es"", ""en"")"),"Not Fatal legit, not the advertised item")</f>
        <v>Not Fatal legit, not the advertised item</v>
      </c>
    </row>
    <row r="11783">
      <c r="A11783" s="1">
        <v>1.0</v>
      </c>
      <c r="B11783" s="1" t="s">
        <v>11682</v>
      </c>
      <c r="C11783" t="str">
        <f>IFERROR(__xludf.DUMMYFUNCTION("GOOGLETRANSLATE(B11783, ""es"", ""en"")"),"Broken shoes shoes arrived broken without glue joints.")</f>
        <v>Broken shoes shoes arrived broken without glue joints.</v>
      </c>
    </row>
    <row r="11784">
      <c r="A11784" s="1">
        <v>4.0</v>
      </c>
      <c r="B11784" s="1" t="s">
        <v>11683</v>
      </c>
      <c r="C11784" t="str">
        <f>IFERROR(__xludf.DUMMYFUNCTION("GOOGLETRANSLATE(B11784, ""es"", ""en"")"),"Davizz davizz ... I liked quite correct order arrived ahead of time ..... and so normal ... the only thing I dislike is coming unsealed and something given as new must come sealed ... then the visibility of the needles is somewhat poor but looks good ....")</f>
        <v>Davizz davizz ... I liked quite correct order arrived ahead of time ..... and so normal ... the only thing I dislike is coming unsealed and something given as new must come sealed ... then the visibility of the needles is somewhat poor but looks good ....</v>
      </c>
    </row>
    <row r="11785">
      <c r="A11785" s="1">
        <v>4.0</v>
      </c>
      <c r="B11785" s="1" t="s">
        <v>11684</v>
      </c>
      <c r="C11785" t="str">
        <f>IFERROR(__xludf.DUMMYFUNCTION("GOOGLETRANSLATE(B11785, ""es"", ""en"")"),"Moisturizes. Aromatherapy. Chromotherapy. Very practical and relaxing, you can add essences.")</f>
        <v>Moisturizes. Aromatherapy. Chromotherapy. Very practical and relaxing, you can add essences.</v>
      </c>
    </row>
    <row r="11786">
      <c r="A11786" s="1">
        <v>4.0</v>
      </c>
      <c r="B11786" s="1" t="s">
        <v>11685</v>
      </c>
      <c r="C11786" t="str">
        <f>IFERROR(__xludf.DUMMYFUNCTION("GOOGLETRANSLATE(B11786, ""es"", ""en"")"),"It conforms to the described product and attractive price Best as always products Prime is its speed of delivery, bought Friday delivered on saturday bag is generally well sewn and seems resistant to being a plasticized skin-like fabric poly presumably wh"&amp;"ich will be waterproof all are zippers that are not waterproof and zippered pocket clip here it may enter water as it is open interior compartmentalized and pockets great for a bag this size well structured to bring the portfolio, keys, wallet and phone i"&amp;"s left over but do not put much more")</f>
        <v>It conforms to the described product and attractive price Best as always products Prime is its speed of delivery, bought Friday delivered on saturday bag is generally well sewn and seems resistant to being a plasticized skin-like fabric poly presumably which will be waterproof all are zippers that are not waterproof and zippered pocket clip here it may enter water as it is open interior compartmentalized and pockets great for a bag this size well structured to bring the portfolio, keys, wallet and phone is left over but do not put much more</v>
      </c>
    </row>
    <row r="11787">
      <c r="A11787" s="1">
        <v>4.0</v>
      </c>
      <c r="B11787" s="1" t="s">
        <v>11686</v>
      </c>
      <c r="C11787" t="str">
        <f>IFERROR(__xludf.DUMMYFUNCTION("GOOGLETRANSLATE(B11787, ""es"", ""en"")"),"one number plus the purchase of my number and I pressed a lot thought it was the last, returned them and pedi another number. perfect and very comfortable")</f>
        <v>one number plus the purchase of my number and I pressed a lot thought it was the last, returned them and pedi another number. perfect and very comfortable</v>
      </c>
    </row>
    <row r="11788">
      <c r="A11788" s="1">
        <v>4.0</v>
      </c>
      <c r="B11788" s="1" t="s">
        <v>11687</v>
      </c>
      <c r="C11788" t="str">
        <f>IFERROR(__xludf.DUMMYFUNCTION("GOOGLETRANSLATE(B11788, ""es"", ""en"")"),"Work protection for cards with NFC in good and working, pull out the card cover every time you use it, that's normal, but it's not so easy to put back the card into the sleeve, on the other hand with the cover does not fit into the normal slots purses or "&amp;"wallets, you should consider this to buying this product. Generally it works very well and I recommend it.")</f>
        <v>Work protection for cards with NFC in good and working, pull out the card cover every time you use it, that's normal, but it's not so easy to put back the card into the sleeve, on the other hand with the cover does not fit into the normal slots purses or wallets, you should consider this to buying this product. Generally it works very well and I recommend it.</v>
      </c>
    </row>
    <row r="11789">
      <c r="A11789" s="1">
        <v>5.0</v>
      </c>
      <c r="B11789" s="1" t="s">
        <v>11688</v>
      </c>
      <c r="C11789" t="str">
        <f>IFERROR(__xludf.DUMMYFUNCTION("GOOGLETRANSLATE(B11789, ""es"", ""en"")"),"So convenient for the family I posted on my home everywhere, especially in the kitchen. &amp; Nbsp; Meto some kitchen utensils on the wall and left a lot of space. &amp; Nbsp; It is so convenient, thank you!")</f>
        <v>So convenient for the family I posted on my home everywhere, especially in the kitchen. &amp; Nbsp; Meto some kitchen utensils on the wall and left a lot of space. &amp; Nbsp; It is so convenient, thank you!</v>
      </c>
    </row>
    <row r="11790">
      <c r="A11790" s="1">
        <v>5.0</v>
      </c>
      <c r="B11790" s="1" t="s">
        <v>11689</v>
      </c>
      <c r="C11790" t="str">
        <f>IFERROR(__xludf.DUMMYFUNCTION("GOOGLETRANSLATE(B11790, ""es"", ""en"")"),"Many yoga perfect for haver perfect quality for yoga")</f>
        <v>Many yoga perfect for haver perfect quality for yoga</v>
      </c>
    </row>
    <row r="11791">
      <c r="A11791" s="1">
        <v>5.0</v>
      </c>
      <c r="B11791" s="1" t="s">
        <v>11690</v>
      </c>
      <c r="C11791" t="str">
        <f>IFERROR(__xludf.DUMMYFUNCTION("GOOGLETRANSLATE(B11791, ""es"", ""en"")"),"I love my leggings are very good quality very comfortable with a cloth and nice touch. It fits very well. 100% recommended this brand! Good quality products.")</f>
        <v>I love my leggings are very good quality very comfortable with a cloth and nice touch. It fits very well. 100% recommended this brand! Good quality products.</v>
      </c>
    </row>
    <row r="11792">
      <c r="A11792" s="1">
        <v>5.0</v>
      </c>
      <c r="B11792" s="1" t="s">
        <v>11691</v>
      </c>
      <c r="C11792" t="str">
        <f>IFERROR(__xludf.DUMMYFUNCTION("GOOGLETRANSLATE(B11792, ""es"", ""en"")"),"I expected great")</f>
        <v>I expected great</v>
      </c>
    </row>
    <row r="11793">
      <c r="A11793" s="1">
        <v>5.0</v>
      </c>
      <c r="B11793" s="1" t="s">
        <v>11692</v>
      </c>
      <c r="C11793" t="str">
        <f>IFERROR(__xludf.DUMMYFUNCTION("GOOGLETRANSLATE(B11793, ""es"", ""en"")"),"Excellent value after use several times I can say that are of excellent quality. very good sound with bass and treble compensated (anyway you can equalize the sound from the phone). The touchscreen works very fine for music, stop and receive calls, but ca"&amp;"n not control the volume that have to do for the mobile. It lasts long battery 4 hours with continuous music, and the base has enough charge for about 4 times. The ascpecto is very nice and quality finish. Purchase and would recommend not worth spending a"&amp;" fortune on other options.")</f>
        <v>Excellent value after use several times I can say that are of excellent quality. very good sound with bass and treble compensated (anyway you can equalize the sound from the phone). The touchscreen works very fine for music, stop and receive calls, but can not control the volume that have to do for the mobile. It lasts long battery 4 hours with continuous music, and the base has enough charge for about 4 times. The ascpecto is very nice and quality finish. Purchase and would recommend not worth spending a fortune on other options.</v>
      </c>
    </row>
    <row r="11794">
      <c r="A11794" s="1">
        <v>5.0</v>
      </c>
      <c r="B11794" s="1" t="s">
        <v>11693</v>
      </c>
      <c r="C11794" t="str">
        <f>IFERROR(__xludf.DUMMYFUNCTION("GOOGLETRANSLATE(B11794, ""es"", ""en"")"),"Well s Better than expected, very well recommend and arrived quickly")</f>
        <v>Well s Better than expected, very well recommend and arrived quickly</v>
      </c>
    </row>
    <row r="11795">
      <c r="A11795" s="1">
        <v>5.0</v>
      </c>
      <c r="B11795" s="1" t="s">
        <v>11694</v>
      </c>
      <c r="C11795" t="str">
        <f>IFERROR(__xludf.DUMMYFUNCTION("GOOGLETRANSLATE(B11795, ""es"", ""en"")"),"Highly recommended 100% elegant and lightweight design. Ip68.resistente to the agua.Máxima comfort with many options for sport elegir.Perfecto regalo.Repetiré no doubt.")</f>
        <v>Highly recommended 100% elegant and lightweight design. Ip68.resistente to the agua.Máxima comfort with many options for sport elegir.Perfecto regalo.Repetiré no doubt.</v>
      </c>
    </row>
    <row r="11796">
      <c r="A11796" s="1">
        <v>5.0</v>
      </c>
      <c r="B11796" s="1" t="s">
        <v>11695</v>
      </c>
      <c r="C11796" t="str">
        <f>IFERROR(__xludf.DUMMYFUNCTION("GOOGLETRANSLATE(B11796, ""es"", ""en"")"),"Ten bottle. I use these bottles since the birth of my son. I began by glass, and I were very good. Now my son begins to try to hold them alone and I bought plastic ones, and I'm very happy with them. I recommend it a lot, there was no confusion between br"&amp;"eastfeeding and bottle, I do not know how to assess the anti-colic system, but if I can say that my baby has not had colic, do not know if anything of the bottle or fortunately. Are comfortable and easy to clean, there are a variety of teats for different"&amp;" types of liquids. In short, they are fantastic. I keep wearing them and buying them. I have the experience of a friend who every so often bought a different brand of bottle, because your baby is not eating well. I have not had this problem, I tried it in"&amp;" the gift basket pregnancy and as I say, great.")</f>
        <v>Ten bottle. I use these bottles since the birth of my son. I began by glass, and I were very good. Now my son begins to try to hold them alone and I bought plastic ones, and I'm very happy with them. I recommend it a lot, there was no confusion between breastfeeding and bottle, I do not know how to assess the anti-colic system, but if I can say that my baby has not had colic, do not know if anything of the bottle or fortunately. Are comfortable and easy to clean, there are a variety of teats for different types of liquids. In short, they are fantastic. I keep wearing them and buying them. I have the experience of a friend who every so often bought a different brand of bottle, because your baby is not eating well. I have not had this problem, I tried it in the gift basket pregnancy and as I say, great.</v>
      </c>
    </row>
    <row r="11797">
      <c r="A11797" s="1">
        <v>5.0</v>
      </c>
      <c r="B11797" s="1" t="s">
        <v>11696</v>
      </c>
      <c r="C11797" t="str">
        <f>IFERROR(__xludf.DUMMYFUNCTION("GOOGLETRANSLATE(B11797, ""es"", ""en"")"),"Quality and presentation a few days ago I bought the companion pendant and its appearance, size and presentation were perfect (andcannot making the assessment because the page has prevented me) In the absence of the passage of time to see the quality of t"&amp;"he plating, now he has a ten everything else.")</f>
        <v>Quality and presentation a few days ago I bought the companion pendant and its appearance, size and presentation were perfect (andcannot making the assessment because the page has prevented me) In the absence of the passage of time to see the quality of the plating, now he has a ten everything else.</v>
      </c>
    </row>
    <row r="11798">
      <c r="A11798" s="1">
        <v>5.0</v>
      </c>
      <c r="B11798" s="1" t="s">
        <v>11697</v>
      </c>
      <c r="C11798" t="str">
        <f>IFERROR(__xludf.DUMMYFUNCTION("GOOGLETRANSLATE(B11798, ""es"", ""en"")"),"Excellent sound and aesthetic So are some nice esthetically headphones adapt to the great ear pretty good sinudo, you can also talk on the phone, I mainly use them for the gym and is a luxury not have cable gave me jerks, quite comfortable, recommendable.")</f>
        <v>Excellent sound and aesthetic So are some nice esthetically headphones adapt to the great ear pretty good sinudo, you can also talk on the phone, I mainly use them for the gym and is a luxury not have cable gave me jerks, quite comfortable, recommendable.</v>
      </c>
    </row>
    <row r="11799">
      <c r="A11799" s="1">
        <v>5.0</v>
      </c>
      <c r="B11799" s="1" t="s">
        <v>11698</v>
      </c>
      <c r="C11799" t="str">
        <f>IFERROR(__xludf.DUMMYFUNCTION("GOOGLETRANSLATE(B11799, ""es"", ""en"")"),"Very easy and useful easy to use and clean")</f>
        <v>Very easy and useful easy to use and clean</v>
      </c>
    </row>
    <row r="11800">
      <c r="A11800" s="1">
        <v>5.0</v>
      </c>
      <c r="B11800" s="1" t="s">
        <v>11699</v>
      </c>
      <c r="C11800" t="str">
        <f>IFERROR(__xludf.DUMMYFUNCTION("GOOGLETRANSLATE(B11800, ""es"", ""en"")"),"Iphone headset for my child are those of the iphone is broken and I saw them and were looking for the same. The probe when put and the sound is perfecto.Se fits nicely in the ear and use them when you go home by bus and is delighted. I'll buy other spare "&amp;"in case you lose them.")</f>
        <v>Iphone headset for my child are those of the iphone is broken and I saw them and were looking for the same. The probe when put and the sound is perfecto.Se fits nicely in the ear and use them when you go home by bus and is delighted. I'll buy other spare in case you lose them.</v>
      </c>
    </row>
    <row r="11801">
      <c r="A11801" s="1">
        <v>5.0</v>
      </c>
      <c r="B11801" s="1" t="s">
        <v>11700</v>
      </c>
      <c r="C11801" t="str">
        <f>IFERROR(__xludf.DUMMYFUNCTION("GOOGLETRANSLATE(B11801, ""es"", ""en"")"),"Powerful and versatile useful. Also it does not consume too much battery. The accessories that come allow blending, mixing, stirring. Better than any other I have Ikea")</f>
        <v>Powerful and versatile useful. Also it does not consume too much battery. The accessories that come allow blending, mixing, stirring. Better than any other I have Ikea</v>
      </c>
    </row>
    <row r="11802">
      <c r="A11802" s="1">
        <v>5.0</v>
      </c>
      <c r="B11802" s="1" t="s">
        <v>11701</v>
      </c>
      <c r="C11802" t="str">
        <f>IFERROR(__xludf.DUMMYFUNCTION("GOOGLETRANSLATE(B11802, ""es"", ""en"")"),"Pretty module is like the F91W of the casio lifetime but this size is much closer to the g-shock 5600 with what they see much better numbers on the screen and the LED leads illuminates the entire screen , for those who believe that they outgrow F91W would"&amp;" recommend this model.")</f>
        <v>Pretty module is like the F91W of the casio lifetime but this size is much closer to the g-shock 5600 with what they see much better numbers on the screen and the LED leads illuminates the entire screen , for those who believe that they outgrow F91W would recommend this model.</v>
      </c>
    </row>
    <row r="11803">
      <c r="A11803" s="1">
        <v>5.0</v>
      </c>
      <c r="B11803" s="1" t="s">
        <v>11702</v>
      </c>
      <c r="C11803" t="str">
        <f>IFERROR(__xludf.DUMMYFUNCTION("GOOGLETRANSLATE(B11803, ""es"", ""en"")"),"Top Very lovely top came as expected. It is not a blanket as I sought, but a cushion covers. Then lie down on you and do not tapas with it ... it makes you get into an oven every night (except anti-Semitic joke or other nonsense) Very good buy I recommend"&amp;" 👌🏻")</f>
        <v>Top Very lovely top came as expected. It is not a blanket as I sought, but a cushion covers. Then lie down on you and do not tapas with it ... it makes you get into an oven every night (except anti-Semitic joke or other nonsense) Very good buy I recommend 👌🏻</v>
      </c>
    </row>
    <row r="11804">
      <c r="A11804" s="1">
        <v>5.0</v>
      </c>
      <c r="B11804" s="1" t="s">
        <v>11703</v>
      </c>
      <c r="C11804" t="str">
        <f>IFERROR(__xludf.DUMMYFUNCTION("GOOGLETRANSLATE(B11804, ""es"", ""en"")"),"You are perfect! Excellent office scissors. Do not expect to use them in cooking or professionally are not for it. For use to which they are intended they are great")</f>
        <v>You are perfect! Excellent office scissors. Do not expect to use them in cooking or professionally are not for it. For use to which they are intended they are great</v>
      </c>
    </row>
    <row r="11805">
      <c r="A11805" s="1">
        <v>5.0</v>
      </c>
      <c r="B11805" s="1" t="s">
        <v>11704</v>
      </c>
      <c r="C11805" t="str">
        <f>IFERROR(__xludf.DUMMYFUNCTION("GOOGLETRANSLATE(B11805, ""es"", ""en"")"),"A big present!! I gave these helmets to my sister for her birthday and have been a great success. In principle stand out for its sleek and modern look, then you realize that connect seamlessly and isolate you from the world completely, and finally check t"&amp;"he quality of the sound is very good. In addition to this, the seller makes a description of the product quite close to reality. In short, a headset with a value very interesting !!")</f>
        <v>A big present!! I gave these helmets to my sister for her birthday and have been a great success. In principle stand out for its sleek and modern look, then you realize that connect seamlessly and isolate you from the world completely, and finally check the quality of the sound is very good. In addition to this, the seller makes a description of the product quite close to reality. In short, a headset with a value very interesting !!</v>
      </c>
    </row>
    <row r="11806">
      <c r="A11806" s="1">
        <v>5.0</v>
      </c>
      <c r="B11806" s="1" t="s">
        <v>11705</v>
      </c>
      <c r="C11806" t="str">
        <f>IFERROR(__xludf.DUMMYFUNCTION("GOOGLETRANSLATE(B11806, ""es"", ""en"")"),"High quality and very comfortable I use size S in almost everything I asked and me size S comes as ring finger. Mido 167cm and my complexion is athletic. Weight 64kg. Overall very pleased with the high quality, how soft it is and the comfort it provides.")</f>
        <v>High quality and very comfortable I use size S in almost everything I asked and me size S comes as ring finger. Mido 167cm and my complexion is athletic. Weight 64kg. Overall very pleased with the high quality, how soft it is and the comfort it provides.</v>
      </c>
    </row>
    <row r="11807">
      <c r="A11807" s="1">
        <v>5.0</v>
      </c>
      <c r="B11807" s="1" t="s">
        <v>11706</v>
      </c>
      <c r="C11807" t="str">
        <f>IFERROR(__xludf.DUMMYFUNCTION("GOOGLETRANSLATE(B11807, ""es"", ""en"")"),"Better cleaning, greater precision and less waste Although out a little more expensive per gram choice are brush really worth this option with plastic bottle and brush for cleaning, do not stain hands, precision putting glue is better so the product is no"&amp;"t wasted and better maintained, besides not dry so I think it's a very good choice if you want to use glue Loctite")</f>
        <v>Better cleaning, greater precision and less waste Although out a little more expensive per gram choice are brush really worth this option with plastic bottle and brush for cleaning, do not stain hands, precision putting glue is better so the product is not wasted and better maintained, besides not dry so I think it's a very good choice if you want to use glue Loctite</v>
      </c>
    </row>
    <row r="11808">
      <c r="A11808" s="1">
        <v>2.0</v>
      </c>
      <c r="B11808" s="1" t="s">
        <v>11707</v>
      </c>
      <c r="C11808" t="str">
        <f>IFERROR(__xludf.DUMMYFUNCTION("GOOGLETRANSLATE(B11808, ""es"", ""en"")"),"Do not justify the price they have time ago I wanted to have some boots Panama Jack, because I find the most beautiful in this style and I was told they were very toasty and comfortable. After a season wearing them, I can say that part of aesthetics, litt"&amp;"le more can be said about them. Neither they are particularly comfortable, not particularly comfortable. So, in my opinion, is not justified the high price as they have. I hope that they are less durable, something that currently can not judge. Not recomm"&amp;"end")</f>
        <v>Do not justify the price they have time ago I wanted to have some boots Panama Jack, because I find the most beautiful in this style and I was told they were very toasty and comfortable. After a season wearing them, I can say that part of aesthetics, little more can be said about them. Neither they are particularly comfortable, not particularly comfortable. So, in my opinion, is not justified the high price as they have. I hope that they are less durable, something that currently can not judge. Not recommend</v>
      </c>
    </row>
    <row r="11809">
      <c r="A11809" s="1">
        <v>3.0</v>
      </c>
      <c r="B11809" s="1" t="s">
        <v>11708</v>
      </c>
      <c r="C11809" t="str">
        <f>IFERROR(__xludf.DUMMYFUNCTION("GOOGLETRANSLATE(B11809, ""es"", ""en"")"),"They not bad lasted naaaa")</f>
        <v>They not bad lasted naaaa</v>
      </c>
    </row>
    <row r="11810">
      <c r="A11810" s="1">
        <v>3.0</v>
      </c>
      <c r="B11810" s="1" t="s">
        <v>11709</v>
      </c>
      <c r="C11810" t="str">
        <f>IFERROR(__xludf.DUMMYFUNCTION("GOOGLETRANSLATE(B11810, ""es"", ""en"")"),"What I can do? The wireless microphone is not working")</f>
        <v>What I can do? The wireless microphone is not working</v>
      </c>
    </row>
    <row r="11811">
      <c r="A11811" s="1">
        <v>1.0</v>
      </c>
      <c r="B11811" s="1" t="s">
        <v>11710</v>
      </c>
      <c r="C11811" t="str">
        <f>IFERROR(__xludf.DUMMYFUNCTION("GOOGLETRANSLATE(B11811, ""es"", ""en"")"),"Nice but low quality is very nice but the band has come unstitched, rather cracked and is breaking more.")</f>
        <v>Nice but low quality is very nice but the band has come unstitched, rather cracked and is breaking more.</v>
      </c>
    </row>
    <row r="11812">
      <c r="A11812" s="1">
        <v>1.0</v>
      </c>
      <c r="B11812" s="1" t="s">
        <v>11711</v>
      </c>
      <c r="C11812" t="str">
        <f>IFERROR(__xludf.DUMMYFUNCTION("GOOGLETRANSLATE(B11812, ""es"", ""en"")"),"blender has broken me a piece !!! ajjj me have picked up on Thursday, 12 and today 17 I know nothing of my blender .... and no I have broken piece l must not be defective ... I recommend ... aunuqe well looked after by I phone. be without it for more days"&amp;" than expected")</f>
        <v>blender has broken me a piece !!! ajjj me have picked up on Thursday, 12 and today 17 I know nothing of my blender .... and no I have broken piece l must not be defective ... I recommend ... aunuqe well looked after by I phone. be without it for more days than expected</v>
      </c>
    </row>
    <row r="11813">
      <c r="A11813" s="1">
        <v>4.0</v>
      </c>
      <c r="B11813" s="1" t="s">
        <v>11712</v>
      </c>
      <c r="C11813" t="str">
        <f>IFERROR(__xludf.DUMMYFUNCTION("GOOGLETRANSLATE(B11813, ""es"", ""en"")"),"Well I think the device helps you get a habit of relaxation before bedtime, in that sense helps you, guides you as breathing and is useful in that. But I thought that would be a more elaborate lights which would project for the price you have, but I thoug"&amp;"ht it has that weakness. I would recommend it if you had a lower price, because I think the price is too = S")</f>
        <v>Well I think the device helps you get a habit of relaxation before bedtime, in that sense helps you, guides you as breathing and is useful in that. But I thought that would be a more elaborate lights which would project for the price you have, but I thought it has that weakness. I would recommend it if you had a lower price, because I think the price is too = S</v>
      </c>
    </row>
    <row r="11814">
      <c r="A11814" s="1">
        <v>4.0</v>
      </c>
      <c r="B11814" s="1" t="s">
        <v>11713</v>
      </c>
      <c r="C11814" t="str">
        <f>IFERROR(__xludf.DUMMYFUNCTION("GOOGLETRANSLATE(B11814, ""es"", ""en"")"),"Perfect to combine with breastfeeding I bought this Teat Medela (also includes a bottle) to combine feeding my baby with breastfeeding (we used with the expressed milk) and it went very well. My son was hooked to the chest without any problems despite sta"&amp;"rting with a bottle shortly after the month of life. The nipple is formed by a pair of valves that make the child has to make effort to eat, because the flow is obtained it is similar to that of the chest, and if not suck milk does not come out. It is a b"&amp;"it more cumbersome to clean than other teats to being formed of 3 parts but none of the other world. The manufacturer says more or less be changed every 3 months. In my case we had two teats, which we used about 4 times per day (each) and were in perfect "&amp;"condition lasted just over 3 months. From there the valves they should be starting to play catch, and for example when Put them upside down and the baby is not sucking, reached a point where he lost a little milk to the flip. But hey, being careful to tur"&amp;"n around the bottle over a muslin not to spot the baby did not pass hence the problem ... I not give 5 stars because for the price that each tetina I think they should put up a little more. I would appreciate you to give a helpful vote if my comment has s"&amp;"erved you for help.")</f>
        <v>Perfect to combine with breastfeeding I bought this Teat Medela (also includes a bottle) to combine feeding my baby with breastfeeding (we used with the expressed milk) and it went very well. My son was hooked to the chest without any problems despite starting with a bottle shortly after the month of life. The nipple is formed by a pair of valves that make the child has to make effort to eat, because the flow is obtained it is similar to that of the chest, and if not suck milk does not come out. It is a bit more cumbersome to clean than other teats to being formed of 3 parts but none of the other world. The manufacturer says more or less be changed every 3 months. In my case we had two teats, which we used about 4 times per day (each) and were in perfect condition lasted just over 3 months. From there the valves they should be starting to play catch, and for example when Put them upside down and the baby is not sucking, reached a point where he lost a little milk to the flip. But hey, being careful to turn around the bottle over a muslin not to spot the baby did not pass hence the problem ... I not give 5 stars because for the price that each tetina I think they should put up a little more. I would appreciate you to give a helpful vote if my comment has served you for help.</v>
      </c>
    </row>
    <row r="11815">
      <c r="A11815" s="1">
        <v>4.0</v>
      </c>
      <c r="B11815" s="1" t="s">
        <v>11714</v>
      </c>
      <c r="C11815" t="str">
        <f>IFERROR(__xludf.DUMMYFUNCTION("GOOGLETRANSLATE(B11815, ""es"", ""en"")"),"Good album, reasonably priced purchased to install it on a ProLiant MicroServer Gen8 with ESXi, has worked flawlessly from the start. It's fast and quiet. I later buy another equal to install Raid0 with this.")</f>
        <v>Good album, reasonably priced purchased to install it on a ProLiant MicroServer Gen8 with ESXi, has worked flawlessly from the start. It's fast and quiet. I later buy another equal to install Raid0 with this.</v>
      </c>
    </row>
    <row r="11816">
      <c r="A11816" s="1">
        <v>4.0</v>
      </c>
      <c r="B11816" s="1" t="s">
        <v>11715</v>
      </c>
      <c r="C11816" t="str">
        <f>IFERROR(__xludf.DUMMYFUNCTION("GOOGLETRANSLATE(B11816, ""es"", ""en"")"),"Clean fine dust, fulfills its mission is very versatile because it can bend and adjust at any point in the duster and is very thick and soft, with a fine dust traps")</f>
        <v>Clean fine dust, fulfills its mission is very versatile because it can bend and adjust at any point in the duster and is very thick and soft, with a fine dust traps</v>
      </c>
    </row>
    <row r="11817">
      <c r="A11817" s="1">
        <v>4.0</v>
      </c>
      <c r="B11817" s="1" t="s">
        <v>11716</v>
      </c>
      <c r="C11817" t="str">
        <f>IFERROR(__xludf.DUMMYFUNCTION("GOOGLETRANSLATE(B11817, ""es"", ""en"")"),"Better than you expect TRRS need a TRS adapter to record with an iPad or an iPhone, but the Mac working properly. The quality is better than expected, thanks to the winds that have not caught short hisses or anything like that. Recommended.")</f>
        <v>Better than you expect TRRS need a TRS adapter to record with an iPad or an iPhone, but the Mac working properly. The quality is better than expected, thanks to the winds that have not caught short hisses or anything like that. Recommended.</v>
      </c>
    </row>
    <row r="11818">
      <c r="A11818" s="1">
        <v>5.0</v>
      </c>
      <c r="B11818" s="1" t="s">
        <v>11717</v>
      </c>
      <c r="C11818" t="str">
        <f>IFERROR(__xludf.DUMMYFUNCTION("GOOGLETRANSLATE(B11818, ""es"", ""en"")"),"It is very firm is like what I needed. Well drilling")</f>
        <v>It is very firm is like what I needed. Well drilling</v>
      </c>
    </row>
    <row r="11819">
      <c r="A11819" s="1">
        <v>5.0</v>
      </c>
      <c r="B11819" s="1" t="s">
        <v>11718</v>
      </c>
      <c r="C11819" t="str">
        <f>IFERROR(__xludf.DUMMYFUNCTION("GOOGLETRANSLATE(B11819, ""es"", ""en"")"),"Unbeatable can only say that amply meets my expectations, purees and creams to my daughters love, leaves no grumito makes them super creamy, has not yet had time to use all the accessories but I'm sure that will be great 😍😍")</f>
        <v>Unbeatable can only say that amply meets my expectations, purees and creams to my daughters love, leaves no grumito makes them super creamy, has not yet had time to use all the accessories but I'm sure that will be great 😍😍</v>
      </c>
    </row>
    <row r="11820">
      <c r="A11820" s="1">
        <v>5.0</v>
      </c>
      <c r="B11820" s="1" t="s">
        <v>11719</v>
      </c>
      <c r="C11820" t="str">
        <f>IFERROR(__xludf.DUMMYFUNCTION("GOOGLETRANSLATE(B11820, ""es"", ""en"")"),"Very useful is slightly thicker than a pen and about as long, holds up well in hand and weighs just")</f>
        <v>Very useful is slightly thicker than a pen and about as long, holds up well in hand and weighs just</v>
      </c>
    </row>
    <row r="11821">
      <c r="A11821" s="1">
        <v>5.0</v>
      </c>
      <c r="B11821" s="1" t="s">
        <v>11720</v>
      </c>
      <c r="C11821" t="str">
        <f>IFERROR(__xludf.DUMMYFUNCTION("GOOGLETRANSLATE(B11821, ""es"", ""en"")"),"tj excellent memory 128GB for less than 20 € you most want ?, the quality is outstanding, though. As a tip for photography, I try to make backups as soon as possible if you tend to let the card will surely end before breaking down fill and you'll lose all"&amp;" photos / videos. The best of these cards is to use video since you can record up to 4k since tj speed is up to 90MB / s, which for that price is pretty difficult to find.")</f>
        <v>tj excellent memory 128GB for less than 20 € you most want ?, the quality is outstanding, though. As a tip for photography, I try to make backups as soon as possible if you tend to let the card will surely end before breaking down fill and you'll lose all photos / videos. The best of these cards is to use video since you can record up to 4k since tj speed is up to 90MB / s, which for that price is pretty difficult to find.</v>
      </c>
    </row>
    <row r="11822">
      <c r="A11822" s="1">
        <v>5.0</v>
      </c>
      <c r="B11822" s="1" t="s">
        <v>11721</v>
      </c>
      <c r="C11822" t="str">
        <f>IFERROR(__xludf.DUMMYFUNCTION("GOOGLETRANSLATE(B11822, ""es"", ""en"")"),"Great without any complaints, I expected much less and surprised me.")</f>
        <v>Great without any complaints, I expected much less and surprised me.</v>
      </c>
    </row>
    <row r="11823">
      <c r="A11823" s="1">
        <v>5.0</v>
      </c>
      <c r="B11823" s="1" t="s">
        <v>11722</v>
      </c>
      <c r="C11823" t="str">
        <f>IFERROR(__xludf.DUMMYFUNCTION("GOOGLETRANSLATE(B11823, ""es"", ""en"")"),"Power Cable needed a longer cable for my Samsung TV and this is perfect.")</f>
        <v>Power Cable needed a longer cable for my Samsung TV and this is perfect.</v>
      </c>
    </row>
    <row r="11824">
      <c r="A11824" s="1">
        <v>5.0</v>
      </c>
      <c r="B11824" s="1" t="s">
        <v>11723</v>
      </c>
      <c r="C11824" t="str">
        <f>IFERROR(__xludf.DUMMYFUNCTION("GOOGLETRANSLATE(B11824, ""es"", ""en"")"),"Good fabric for sports with good weather Ideal for between-time, would not recommend it for winter as it is not thick enough. Like all American brand must choose a smaller size which is commonly used. Otherwise it compresses enough but without being annoy"&amp;"ing, recommended")</f>
        <v>Good fabric for sports with good weather Ideal for between-time, would not recommend it for winter as it is not thick enough. Like all American brand must choose a smaller size which is commonly used. Otherwise it compresses enough but without being annoying, recommended</v>
      </c>
    </row>
    <row r="11825">
      <c r="A11825" s="1">
        <v>5.0</v>
      </c>
      <c r="B11825" s="1" t="s">
        <v>11724</v>
      </c>
      <c r="C11825" t="str">
        <f>IFERROR(__xludf.DUMMYFUNCTION("GOOGLETRANSLATE(B11825, ""es"", ""en"")"),"They are fully seated in the ear sound quality and feels good to the touch. What I care a handset is to stay fixed on the ear because I suel out, they came with gumdrops spare other size and found that I was perfect, I live a week using them and all great"&amp;".")</f>
        <v>They are fully seated in the ear sound quality and feels good to the touch. What I care a handset is to stay fixed on the ear because I suel out, they came with gumdrops spare other size and found that I was perfect, I live a week using them and all great.</v>
      </c>
    </row>
    <row r="11826">
      <c r="A11826" s="1">
        <v>5.0</v>
      </c>
      <c r="B11826" s="1" t="s">
        <v>11725</v>
      </c>
      <c r="C11826" t="str">
        <f>IFERROR(__xludf.DUMMYFUNCTION("GOOGLETRANSLATE(B11826, ""es"", ""en"")"),"Like walking on clouds no doubt are super comfortable, as well as the design and color are very good, certainly the would buy, I coji 40 that is the foot that I have and is perfect.")</f>
        <v>Like walking on clouds no doubt are super comfortable, as well as the design and color are very good, certainly the would buy, I coji 40 that is the foot that I have and is perfect.</v>
      </c>
    </row>
    <row r="11827">
      <c r="A11827" s="1">
        <v>5.0</v>
      </c>
      <c r="B11827" s="1" t="s">
        <v>850</v>
      </c>
      <c r="C11827" t="str">
        <f>IFERROR(__xludf.DUMMYFUNCTION("GOOGLETRANSLATE(B11827, ""es"", ""en"")"),"👍 👍")</f>
        <v>👍 👍</v>
      </c>
    </row>
    <row r="11828">
      <c r="A11828" s="1">
        <v>5.0</v>
      </c>
      <c r="B11828" s="1" t="s">
        <v>11726</v>
      </c>
      <c r="C11828" t="str">
        <f>IFERROR(__xludf.DUMMYFUNCTION("GOOGLETRANSLATE(B11828, ""es"", ""en"")"),"Nice design and vivid colors. Sweatshirt made of good quality materials with beautiful design, I bought orange / black that make a good color contrast. The fabric thickness is an average thing, nor too thick or thin, so it serves for putting something und"&amp;"er cold and using it alone halftime. Is comfortable to wear both if used alone as if you put a T-shirt underneath.")</f>
        <v>Nice design and vivid colors. Sweatshirt made of good quality materials with beautiful design, I bought orange / black that make a good color contrast. The fabric thickness is an average thing, nor too thick or thin, so it serves for putting something under cold and using it alone halftime. Is comfortable to wear both if used alone as if you put a T-shirt underneath.</v>
      </c>
    </row>
    <row r="11829">
      <c r="A11829" s="1">
        <v>5.0</v>
      </c>
      <c r="B11829" s="1" t="s">
        <v>11727</v>
      </c>
      <c r="C11829" t="str">
        <f>IFERROR(__xludf.DUMMYFUNCTION("GOOGLETRANSLATE(B11829, ""es"", ""en"")"),"Very nice carving Great delivery time")</f>
        <v>Very nice carving Great delivery time</v>
      </c>
    </row>
    <row r="11830">
      <c r="A11830" s="1">
        <v>5.0</v>
      </c>
      <c r="B11830" s="1" t="s">
        <v>11728</v>
      </c>
      <c r="C11830" t="str">
        <f>IFERROR(__xludf.DUMMYFUNCTION("GOOGLETRANSLATE(B11830, ""es"", ""en"")"),". Excellent")</f>
        <v>. Excellent</v>
      </c>
    </row>
    <row r="11831">
      <c r="A11831" s="1">
        <v>5.0</v>
      </c>
      <c r="B11831" s="1" t="s">
        <v>11729</v>
      </c>
      <c r="C11831" t="str">
        <f>IFERROR(__xludf.DUMMYFUNCTION("GOOGLETRANSLATE(B11831, ""es"", ""en"")"),"Design and very nice looking. I bought these headphones for my daughter, mainly for the price and type of fit in the ear (only likes of this type). Now that my hand and I tried, I have to say they are very, very nice. The part of the ear is metal on the o"&amp;"utside (or the least it seems I) and the handle of the pin and the cylindrical part delimiting where divides one to two cables. In addition, the cable is twisted and coated with a transparent coating, which also liked a lot. Bring the box also pliers to g"&amp;"rab the microphone cable to the lapel of his shirt. Regarding the sound, this is very, very decent given its price. They also have noise cancellation and the typical button which also houses the microphone to change the song, or answer a call. Highly reco"&amp;"mmended.")</f>
        <v>Design and very nice looking. I bought these headphones for my daughter, mainly for the price and type of fit in the ear (only likes of this type). Now that my hand and I tried, I have to say they are very, very nice. The part of the ear is metal on the outside (or the least it seems I) and the handle of the pin and the cylindrical part delimiting where divides one to two cables. In addition, the cable is twisted and coated with a transparent coating, which also liked a lot. Bring the box also pliers to grab the microphone cable to the lapel of his shirt. Regarding the sound, this is very, very decent given its price. They also have noise cancellation and the typical button which also houses the microphone to change the song, or answer a call. Highly recommended.</v>
      </c>
    </row>
    <row r="11832">
      <c r="A11832" s="1">
        <v>5.0</v>
      </c>
      <c r="B11832" s="1" t="s">
        <v>11730</v>
      </c>
      <c r="C11832" t="str">
        <f>IFERROR(__xludf.DUMMYFUNCTION("GOOGLETRANSLATE(B11832, ""es"", ""en"")"),"Big man watch design is very nice. I bought it for a gift and triumph. It looks good quality and durable. It is resistant to water, it is also true that water, especially hot, it will reduce the life of watches. It includes a screwdriver, either because i"&amp;"t breaks something or to help remove any mesh. It has minute, seconds and date. Delighted with purchase.")</f>
        <v>Big man watch design is very nice. I bought it for a gift and triumph. It looks good quality and durable. It is resistant to water, it is also true that water, especially hot, it will reduce the life of watches. It includes a screwdriver, either because it breaks something or to help remove any mesh. It has minute, seconds and date. Delighted with purchase.</v>
      </c>
    </row>
    <row r="11833">
      <c r="A11833" s="1">
        <v>5.0</v>
      </c>
      <c r="B11833" s="1" t="s">
        <v>11731</v>
      </c>
      <c r="C11833" t="str">
        <f>IFERROR(__xludf.DUMMYFUNCTION("GOOGLETRANSLATE(B11833, ""es"", ""en"")"),"Very satisfied The product works well, and paste the ""subject"". Furthermore, the rubber will be removed.")</f>
        <v>Very satisfied The product works well, and paste the "subject". Furthermore, the rubber will be removed.</v>
      </c>
    </row>
    <row r="11834">
      <c r="A11834" s="1">
        <v>5.0</v>
      </c>
      <c r="B11834" s="1" t="s">
        <v>11732</v>
      </c>
      <c r="C11834" t="str">
        <f>IFERROR(__xludf.DUMMYFUNCTION("GOOGLETRANSLATE(B11834, ""es"", ""en"")"),"Great useful, looking for a watch for sports and I opted for this, for its price and simplicity. Also has stopwatch, useful for use with the past. I also put it to sleep, it is extremely comfortable to see the time without even having to get up.")</f>
        <v>Great useful, looking for a watch for sports and I opted for this, for its price and simplicity. Also has stopwatch, useful for use with the past. I also put it to sleep, it is extremely comfortable to see the time without even having to get up.</v>
      </c>
    </row>
    <row r="11835">
      <c r="A11835" s="1">
        <v>5.0</v>
      </c>
      <c r="B11835" s="1" t="s">
        <v>11733</v>
      </c>
      <c r="C11835" t="str">
        <f>IFERROR(__xludf.DUMMYFUNCTION("GOOGLETRANSLATE(B11835, ""es"", ""en"")"),"Indispensable Indispensable to walk around town in winter, especially for those who live in the north. They keep you very very hot feet, with good thermal socks and forget to go back with my feet wet and cold. *** jodi mind are comfortable, at the end of "&amp;"the day, you have that feeling that you need descalzarte. for Goretex, (I took this version more) are very fine, footwear Goretex usually very rough. What most impressed me is the grip of the sole on wet grip lot, pra walk safely. If they caught offer, he"&amp;"ad for them. I caught the olive green version of Goretex 115 € and makes you want to catch you another pair for when you break them.")</f>
        <v>Indispensable Indispensable to walk around town in winter, especially for those who live in the north. They keep you very very hot feet, with good thermal socks and forget to go back with my feet wet and cold. *** jodi mind are comfortable, at the end of the day, you have that feeling that you need descalzarte. for Goretex, (I took this version more) are very fine, footwear Goretex usually very rough. What most impressed me is the grip of the sole on wet grip lot, pra walk safely. If they caught offer, head for them. I caught the olive green version of Goretex 115 € and makes you want to catch you another pair for when you break them.</v>
      </c>
    </row>
    <row r="11836">
      <c r="A11836" s="1">
        <v>5.0</v>
      </c>
      <c r="B11836" s="1" t="s">
        <v>11734</v>
      </c>
      <c r="C11836" t="str">
        <f>IFERROR(__xludf.DUMMYFUNCTION("GOOGLETRANSLATE(B11836, ""es"", ""en"")"),"soft velvet is great to cover the bed, is velvet warm, I'll e given to my wife and this enchanted, you and I proven at full power and heat a lot, and minimum power is the warm blanket, the plug is very discreet and barely upset.")</f>
        <v>soft velvet is great to cover the bed, is velvet warm, I'll e given to my wife and this enchanted, you and I proven at full power and heat a lot, and minimum power is the warm blanket, the plug is very discreet and barely upset.</v>
      </c>
    </row>
    <row r="11837">
      <c r="A11837" s="1">
        <v>2.0</v>
      </c>
      <c r="B11837" s="1" t="s">
        <v>11735</v>
      </c>
      <c r="C11837" t="str">
        <f>IFERROR(__xludf.DUMMYFUNCTION("GOOGLETRANSLATE(B11837, ""es"", ""en"")"),"Q Puts capsules comes with 5 capsules, chuchara and little brush, and I have just arrived 3 of 5 capsules.")</f>
        <v>Q Puts capsules comes with 5 capsules, chuchara and little brush, and I have just arrived 3 of 5 capsules.</v>
      </c>
    </row>
    <row r="11838">
      <c r="A11838" s="1">
        <v>3.0</v>
      </c>
      <c r="B11838" s="1" t="s">
        <v>11736</v>
      </c>
      <c r="C11838" t="str">
        <f>IFERROR(__xludf.DUMMYFUNCTION("GOOGLETRANSLATE(B11838, ""es"", ""en"")"),"Well first correct shipping and packing 10 as usual Amazon. Then headphones hear well well, I have them through USB and hear well people complain they hear low but we are fine for me. You casualties software Logitech web site and there entangle a bit with"&amp;" the ecu 7.1 and little else. I buy the rebate to 50% is fine but pay double for these helmets are not interested because the quality amteriales pparecen not simple avista but hey we'll see how they come out. I give it 3 stars for the issue of materials t"&amp;"hat seem plasticuchos.")</f>
        <v>Well first correct shipping and packing 10 as usual Amazon. Then headphones hear well well, I have them through USB and hear well people complain they hear low but we are fine for me. You casualties software Logitech web site and there entangle a bit with the ecu 7.1 and little else. I buy the rebate to 50% is fine but pay double for these helmets are not interested because the quality amteriales pparecen not simple avista but hey we'll see how they come out. I give it 3 stars for the issue of materials that seem plasticuchos.</v>
      </c>
    </row>
    <row r="11839">
      <c r="A11839" s="1">
        <v>1.0</v>
      </c>
      <c r="B11839" s="1" t="s">
        <v>11737</v>
      </c>
      <c r="C11839" t="str">
        <f>IFERROR(__xludf.DUMMYFUNCTION("GOOGLETRANSLATE(B11839, ""es"", ""en"")"),"tombolas watches the show are better than this penalty, I've thrown away. It's a joke. The clock looks like a toy.")</f>
        <v>tombolas watches the show are better than this penalty, I've thrown away. It's a joke. The clock looks like a toy.</v>
      </c>
    </row>
    <row r="11840">
      <c r="A11840" s="1">
        <v>1.0</v>
      </c>
      <c r="B11840" s="1" t="s">
        <v>11738</v>
      </c>
      <c r="C11840" t="str">
        <f>IFERROR(__xludf.DUMMYFUNCTION("GOOGLETRANSLATE(B11840, ""es"", ""en"")"),"It denouement of the mobile is constantly unlinked. Amazon / Huawei Excellent service, I changed the smartwach but the problem continues. I have a Samsung J5, at the beginning everything was perfect, the watch is beautiful and perfect for what I need, but"&amp;" I leave at night or off remotely and the next morning serious trouble linking.")</f>
        <v>It denouement of the mobile is constantly unlinked. Amazon / Huawei Excellent service, I changed the smartwach but the problem continues. I have a Samsung J5, at the beginning everything was perfect, the watch is beautiful and perfect for what I need, but I leave at night or off remotely and the next morning serious trouble linking.</v>
      </c>
    </row>
    <row r="11841">
      <c r="A11841" s="1">
        <v>4.0</v>
      </c>
      <c r="B11841" s="1" t="s">
        <v>11739</v>
      </c>
      <c r="C11841" t="str">
        <f>IFERROR(__xludf.DUMMYFUNCTION("GOOGLETRANSLATE(B11841, ""es"", ""en"")"),"Good watch good watch with basic features. Good value for money. I bought it for 20 € and well. Typical functions: time, stopwatch, alarm ... I had a little adjust the strap to the wrist but I imagine that when you do a couple more times, end up being eas"&amp;"ier.")</f>
        <v>Good watch good watch with basic features. Good value for money. I bought it for 20 € and well. Typical functions: time, stopwatch, alarm ... I had a little adjust the strap to the wrist but I imagine that when you do a couple more times, end up being easier.</v>
      </c>
    </row>
    <row r="11842">
      <c r="A11842" s="1">
        <v>4.0</v>
      </c>
      <c r="B11842" s="1" t="s">
        <v>11740</v>
      </c>
      <c r="C11842" t="str">
        <f>IFERROR(__xludf.DUMMYFUNCTION("GOOGLETRANSLATE(B11842, ""es"", ""en"")"),"Relieves pain The product meets expectations, q only the power button is a bit hidden when you put in place the massager")</f>
        <v>Relieves pain The product meets expectations, q only the power button is a bit hidden when you put in place the massager</v>
      </c>
    </row>
    <row r="11843">
      <c r="A11843" s="1">
        <v>4.0</v>
      </c>
      <c r="B11843" s="1" t="s">
        <v>11741</v>
      </c>
      <c r="C11843" t="str">
        <f>IFERROR(__xludf.DUMMYFUNCTION("GOOGLETRANSLATE(B11843, ""es"", ""en"")"),"It is good shoes, but at the beginning slips a little ... It's good shoes, but the principle slips a little sole. Although the sole slip when new, is the second pair I bought the same, and again repeated.")</f>
        <v>It is good shoes, but at the beginning slips a little ... It's good shoes, but the principle slips a little sole. Although the sole slip when new, is the second pair I bought the same, and again repeated.</v>
      </c>
    </row>
    <row r="11844">
      <c r="A11844" s="1">
        <v>4.0</v>
      </c>
      <c r="B11844" s="1" t="s">
        <v>11742</v>
      </c>
      <c r="C11844" t="str">
        <f>IFERROR(__xludf.DUMMYFUNCTION("GOOGLETRANSLATE(B11844, ""es"", ""en"")"),"good buy, upgrade Truth is super good price and the amount of storage, it looks pretty sturdy and the size is normal for me because almost always lose and this brings to put a cord if you want perfect fit. UPDATE: slow, late a remarkable moment for the co"&amp;"mpu read it, I thought it was mine and spent two more, 4 stars xq for the price you can not ask for more")</f>
        <v>good buy, upgrade Truth is super good price and the amount of storage, it looks pretty sturdy and the size is normal for me because almost always lose and this brings to put a cord if you want perfect fit. UPDATE: slow, late a remarkable moment for the compu read it, I thought it was mine and spent two more, 4 stars xq for the price you can not ask for more</v>
      </c>
    </row>
    <row r="11845">
      <c r="A11845" s="1">
        <v>4.0</v>
      </c>
      <c r="B11845" s="1" t="s">
        <v>11743</v>
      </c>
      <c r="C11845" t="str">
        <f>IFERROR(__xludf.DUMMYFUNCTION("GOOGLETRANSLATE(B11845, ""es"", ""en"")"),".Good product, good price Good product, good price")</f>
        <v>.Good product, good price Good product, good price</v>
      </c>
    </row>
    <row r="11846">
      <c r="A11846" s="1">
        <v>5.0</v>
      </c>
      <c r="B11846" s="1" t="s">
        <v>11744</v>
      </c>
      <c r="C11846" t="str">
        <f>IFERROR(__xludf.DUMMYFUNCTION("GOOGLETRANSLATE(B11846, ""es"", ""en"")"),"I love a very comfortable and very cute bag perfect for carrying a few things and very lovely color comfortable liked it")</f>
        <v>I love a very comfortable and very cute bag perfect for carrying a few things and very lovely color comfortable liked it</v>
      </c>
    </row>
    <row r="11847">
      <c r="A11847" s="1">
        <v>5.0</v>
      </c>
      <c r="B11847" s="1" t="s">
        <v>11745</v>
      </c>
      <c r="C11847" t="str">
        <f>IFERROR(__xludf.DUMMYFUNCTION("GOOGLETRANSLATE(B11847, ""es"", ""en"")"),"good fabric Pantalon is fine, but it is something great, my daughter grabbed m and is something big, I have to retocarselo. Otherwise I recommend it.")</f>
        <v>good fabric Pantalon is fine, but it is something great, my daughter grabbed m and is something big, I have to retocarselo. Otherwise I recommend it.</v>
      </c>
    </row>
    <row r="11848">
      <c r="A11848" s="1">
        <v>5.0</v>
      </c>
      <c r="B11848" s="1" t="s">
        <v>11746</v>
      </c>
      <c r="C11848" t="str">
        <f>IFERROR(__xludf.DUMMYFUNCTION("GOOGLETRANSLATE(B11848, ""es"", ""en"")"),"Awesome! Awesome !!!! is the first time I buy them but will have no hesitation dn buy again! Amazing, super comfortable! To drive, to go to the beach, to be at home, not me .... off for nothing! the perfect size")</f>
        <v>Awesome! Awesome !!!! is the first time I buy them but will have no hesitation dn buy again! Amazing, super comfortable! To drive, to go to the beach, to be at home, not me .... off for nothing! the perfect size</v>
      </c>
    </row>
    <row r="11849">
      <c r="A11849" s="1">
        <v>5.0</v>
      </c>
      <c r="B11849" s="1" t="s">
        <v>11747</v>
      </c>
      <c r="C11849" t="str">
        <f>IFERROR(__xludf.DUMMYFUNCTION("GOOGLETRANSLATE(B11849, ""es"", ""en"")"),"All very well packed great, fits perfectly and very well packaged.")</f>
        <v>All very well packed great, fits perfectly and very well packaged.</v>
      </c>
    </row>
    <row r="11850">
      <c r="A11850" s="1">
        <v>5.0</v>
      </c>
      <c r="B11850" s="1" t="s">
        <v>11748</v>
      </c>
      <c r="C11850" t="str">
        <f>IFERROR(__xludf.DUMMYFUNCTION("GOOGLETRANSLATE(B11850, ""es"", ""en"")"),"Perfect excellent product, fast, capable and easily transportable")</f>
        <v>Perfect excellent product, fast, capable and easily transportable</v>
      </c>
    </row>
    <row r="11851">
      <c r="A11851" s="1">
        <v>5.0</v>
      </c>
      <c r="B11851" s="1" t="s">
        <v>11749</v>
      </c>
      <c r="C11851" t="str">
        <f>IFERROR(__xludf.DUMMYFUNCTION("GOOGLETRANSLATE(B11851, ""es"", ""en"")"),"Joma pants pants perfect for sports or daily use. Very convenient and practical. Very good stuff. Undoubtedly, good product.")</f>
        <v>Joma pants pants perfect for sports or daily use. Very convenient and practical. Very good stuff. Undoubtedly, good product.</v>
      </c>
    </row>
    <row r="11852">
      <c r="A11852" s="1">
        <v>5.0</v>
      </c>
      <c r="B11852" s="1" t="s">
        <v>11750</v>
      </c>
      <c r="C11852" t="str">
        <f>IFERROR(__xludf.DUMMYFUNCTION("GOOGLETRANSLATE(B11852, ""es"", ""en"")"),"It's my first shoe Trail and super happy. I loved it. For me it is the first shoe trail and I've certainly made a good choice. I followed the advice and ordered a number more of my size (eye one more number 2 just in case). As for the user experience it w"&amp;"as very good. I put a new standard (or thick / or thin) sock and throw me to the mountain for really tough roads and slopes very difficult, with many loose stones not lost traction at any time. As're taking you give more confidence and are also very comfo"&amp;"rtable. A single blister newly released. I give them a 9.5 score. I think it's difficult to overcome.")</f>
        <v>It's my first shoe Trail and super happy. I loved it. For me it is the first shoe trail and I've certainly made a good choice. I followed the advice and ordered a number more of my size (eye one more number 2 just in case). As for the user experience it was very good. I put a new standard (or thick / or thin) sock and throw me to the mountain for really tough roads and slopes very difficult, with many loose stones not lost traction at any time. As're taking you give more confidence and are also very comfortable. A single blister newly released. I give them a 9.5 score. I think it's difficult to overcome.</v>
      </c>
    </row>
    <row r="11853">
      <c r="A11853" s="1">
        <v>5.0</v>
      </c>
      <c r="B11853" s="1" t="s">
        <v>11751</v>
      </c>
      <c r="C11853" t="str">
        <f>IFERROR(__xludf.DUMMYFUNCTION("GOOGLETRANSLATE(B11853, ""es"", ""en"")"),"Comodas Very happy")</f>
        <v>Comodas Very happy</v>
      </c>
    </row>
    <row r="11854">
      <c r="A11854" s="1">
        <v>5.0</v>
      </c>
      <c r="B11854" s="1" t="s">
        <v>11752</v>
      </c>
      <c r="C11854" t="str">
        <f>IFERROR(__xludf.DUMMYFUNCTION("GOOGLETRANSLATE(B11854, ""es"", ""en"")"),"Juices and smoothies Manageable quick and easy, fast and simple. Both the juicer and glasses for smoothies are easy to use and clean. It makes noise, but not excessive. Squeezer wheel in one direction only, not going alternated as others do, the juice is "&amp;"obtained quickly. In addition the strainer is so fine that I stopped sneak orange juice as it used to do. It's nice and functional, just what I wanted. This model excludes tubes for freezing for vessels to shake, but can be purchased separately. Very happ"&amp;"y with the purchase.")</f>
        <v>Juices and smoothies Manageable quick and easy, fast and simple. Both the juicer and glasses for smoothies are easy to use and clean. It makes noise, but not excessive. Squeezer wheel in one direction only, not going alternated as others do, the juice is obtained quickly. In addition the strainer is so fine that I stopped sneak orange juice as it used to do. It's nice and functional, just what I wanted. This model excludes tubes for freezing for vessels to shake, but can be purchased separately. Very happy with the purchase.</v>
      </c>
    </row>
    <row r="11855">
      <c r="A11855" s="1">
        <v>5.0</v>
      </c>
      <c r="B11855" s="1" t="s">
        <v>11753</v>
      </c>
      <c r="C11855" t="str">
        <f>IFERROR(__xludf.DUMMYFUNCTION("GOOGLETRANSLATE(B11855, ""es"", ""en"")"),"Versatility, power and great use of space. Combines power with the versatility of all accessories. Perfect for juices and smoothies with small vessels but also as mincer and blenders normal spleen. All in the same support and occupying minimal space. The "&amp;"materials that are manufactured are apparently very resistant and intuition to be a device that lasts a long time. Also highlight the ease of handling.")</f>
        <v>Versatility, power and great use of space. Combines power with the versatility of all accessories. Perfect for juices and smoothies with small vessels but also as mincer and blenders normal spleen. All in the same support and occupying minimal space. The materials that are manufactured are apparently very resistant and intuition to be a device that lasts a long time. Also highlight the ease of handling.</v>
      </c>
    </row>
    <row r="11856">
      <c r="A11856" s="1">
        <v>5.0</v>
      </c>
      <c r="B11856" s="1" t="s">
        <v>11754</v>
      </c>
      <c r="C11856" t="str">
        <f>IFERROR(__xludf.DUMMYFUNCTION("GOOGLETRANSLATE(B11856, ""es"", ""en"")"),"The best option I had others of the same brand that have lasted me 8 years and are as new despite trotting across the field that gave. But the sole lost his grip. After much searching, finally found them again. I have already comfortable shoes and sturdy "&amp;"for another 8 years. What a joy.")</f>
        <v>The best option I had others of the same brand that have lasted me 8 years and are as new despite trotting across the field that gave. But the sole lost his grip. After much searching, finally found them again. I have already comfortable shoes and sturdy for another 8 years. What a joy.</v>
      </c>
    </row>
    <row r="11857">
      <c r="A11857" s="1">
        <v>5.0</v>
      </c>
      <c r="B11857" s="1" t="s">
        <v>11755</v>
      </c>
      <c r="C11857" t="str">
        <f>IFERROR(__xludf.DUMMYFUNCTION("GOOGLETRANSLATE(B11857, ""es"", ""en"")"),"It's going very well very well, I can not say anything negative, thanks")</f>
        <v>It's going very well very well, I can not say anything negative, thanks</v>
      </c>
    </row>
    <row r="11858">
      <c r="A11858" s="1">
        <v>5.0</v>
      </c>
      <c r="B11858" s="1" t="s">
        <v>11756</v>
      </c>
      <c r="C11858" t="str">
        <f>IFERROR(__xludf.DUMMYFUNCTION("GOOGLETRANSLATE(B11858, ""es"", ""en"")"),"Grand Microphone for iPhone / iPad The product is perfect, meets expectations. The cable is long enough to reach from the pocket where it connects to the phone to the chest or neck where the micro clip attaches to clothing. The sound quality is superior t"&amp;"o that achieved with Micro iPhone / iPad, it is also equipped with a windbreak sponge. Certainly the value is perfect.")</f>
        <v>Grand Microphone for iPhone / iPad The product is perfect, meets expectations. The cable is long enough to reach from the pocket where it connects to the phone to the chest or neck where the micro clip attaches to clothing. The sound quality is superior to that achieved with Micro iPhone / iPad, it is also equipped with a windbreak sponge. Certainly the value is perfect.</v>
      </c>
    </row>
    <row r="11859">
      <c r="A11859" s="1">
        <v>5.0</v>
      </c>
      <c r="B11859" s="1" t="s">
        <v>11757</v>
      </c>
      <c r="C11859" t="str">
        <f>IFERROR(__xludf.DUMMYFUNCTION("GOOGLETRANSLATE(B11859, ""es"", ""en"")"),"It was a gift very happy. He responded at all to the description and what was expected of him. .At to buy carve right price markdown stay very well. Arrived ahead of schedule and delivery without incident")</f>
        <v>It was a gift very happy. He responded at all to the description and what was expected of him. .At to buy carve right price markdown stay very well. Arrived ahead of schedule and delivery without incident</v>
      </c>
    </row>
    <row r="11860">
      <c r="A11860" s="1">
        <v>5.0</v>
      </c>
      <c r="B11860" s="1" t="s">
        <v>11758</v>
      </c>
      <c r="C11860" t="str">
        <f>IFERROR(__xludf.DUMMYFUNCTION("GOOGLETRANSLATE(B11860, ""es"", ""en"")"),"Kettle works perfectly simple water, but heats very fast and works perfectly.")</f>
        <v>Kettle works perfectly simple water, but heats very fast and works perfectly.</v>
      </c>
    </row>
    <row r="11861">
      <c r="A11861" s="1">
        <v>5.0</v>
      </c>
      <c r="B11861" s="1" t="s">
        <v>11759</v>
      </c>
      <c r="C11861" t="str">
        <f>IFERROR(__xludf.DUMMYFUNCTION("GOOGLETRANSLATE(B11861, ""es"", ""en"")"),"Very useful and good price are very robust cable. They work perfectly. / Quality excellent price.")</f>
        <v>Very useful and good price are very robust cable. They work perfectly. / Quality excellent price.</v>
      </c>
    </row>
    <row r="11862">
      <c r="A11862" s="1">
        <v>5.0</v>
      </c>
      <c r="B11862" s="1" t="s">
        <v>11760</v>
      </c>
      <c r="C11862" t="str">
        <f>IFERROR(__xludf.DUMMYFUNCTION("GOOGLETRANSLATE(B11862, ""es"", ""en"")"),"Bellas is pefect. I am how I expected")</f>
        <v>Bellas is pefect. I am how I expected</v>
      </c>
    </row>
    <row r="11863">
      <c r="A11863" s="1">
        <v>5.0</v>
      </c>
      <c r="B11863" s="1" t="s">
        <v>11761</v>
      </c>
      <c r="C11863" t="str">
        <f>IFERROR(__xludf.DUMMYFUNCTION("GOOGLETRANSLATE(B11863, ""es"", ""en"")"),"Perfect support Ideal for holding notes or books!")</f>
        <v>Perfect support Ideal for holding notes or books!</v>
      </c>
    </row>
    <row r="11864">
      <c r="A11864" s="1">
        <v>2.0</v>
      </c>
      <c r="B11864" s="1" t="s">
        <v>11762</v>
      </c>
      <c r="C11864" t="str">
        <f>IFERROR(__xludf.DUMMYFUNCTION("GOOGLETRANSLATE(B11864, ""es"", ""en"")"),"meren not worth the cost a little money but also have very good. They are as dull. Pictured should have plenty of light and therefore look better")</f>
        <v>meren not worth the cost a little money but also have very good. They are as dull. Pictured should have plenty of light and therefore look better</v>
      </c>
    </row>
    <row r="11865">
      <c r="A11865" s="1">
        <v>3.0</v>
      </c>
      <c r="B11865" s="1" t="s">
        <v>11763</v>
      </c>
      <c r="C11865" t="str">
        <f>IFERROR(__xludf.DUMMYFUNCTION("GOOGLETRANSLATE(B11865, ""es"", ""en"")"),"Not conducive to its continued use months that I have the product already. not given me any problems, but the truth is that I do not use too much, because no time I felt comfortable with him. It is not easy to clean, not to use. Plastic containers became "&amp;"somewhat opaque from the first wash. It's slow and it does not take much to spend fruit for juice obtained. To top it uses enough space on the counter and the two plastic containers are always misplaced, so long ago that was lost in a closet. I think I sh"&amp;"ould have chosen other appliance.")</f>
        <v>Not conducive to its continued use months that I have the product already. not given me any problems, but the truth is that I do not use too much, because no time I felt comfortable with him. It is not easy to clean, not to use. Plastic containers became somewhat opaque from the first wash. It's slow and it does not take much to spend fruit for juice obtained. To top it uses enough space on the counter and the two plastic containers are always misplaced, so long ago that was lost in a closet. I think I should have chosen other appliance.</v>
      </c>
    </row>
    <row r="11866">
      <c r="A11866" s="1">
        <v>3.0</v>
      </c>
      <c r="B11866" s="1" t="s">
        <v>11764</v>
      </c>
      <c r="C11866" t="str">
        <f>IFERROR(__xludf.DUMMYFUNCTION("GOOGLETRANSLATE(B11866, ""es"", ""en"")"),"Okay but ... The juicer has served us well at all times, but the truth is that in the 3 or 4 first uses began to smoke at the bottom and a smell of burning. I do not know if this is some kind of varnish to be burned but still working properly. Likewise, t"&amp;"he shock of seeing the machine is fuming generates some mistrust. As for the operation is intended for the use of tall glass. Easy assembly and disassembly can wash it relatively easily, making it an acceptable mid-range squeezer. You do not expect anythi"&amp;"ng special part of their design, because the operation has what can supply the same much cheaper another way.")</f>
        <v>Okay but ... The juicer has served us well at all times, but the truth is that in the 3 or 4 first uses began to smoke at the bottom and a smell of burning. I do not know if this is some kind of varnish to be burned but still working properly. Likewise, the shock of seeing the machine is fuming generates some mistrust. As for the operation is intended for the use of tall glass. Easy assembly and disassembly can wash it relatively easily, making it an acceptable mid-range squeezer. You do not expect anything special part of their design, because the operation has what can supply the same much cheaper another way.</v>
      </c>
    </row>
    <row r="11867">
      <c r="A11867" s="1">
        <v>1.0</v>
      </c>
      <c r="B11867" s="1" t="s">
        <v>11765</v>
      </c>
      <c r="C11867" t="str">
        <f>IFERROR(__xludf.DUMMYFUNCTION("GOOGLETRANSLATE(B11867, ""es"", ""en"")"),"Quality? I was waiting for higher quality")</f>
        <v>Quality? I was waiting for higher quality</v>
      </c>
    </row>
    <row r="11868">
      <c r="A11868" s="1">
        <v>1.0</v>
      </c>
      <c r="B11868" s="1" t="s">
        <v>11766</v>
      </c>
      <c r="C11868" t="str">
        <f>IFERROR(__xludf.DUMMYFUNCTION("GOOGLETRANSLATE(B11868, ""es"", ""en"")"),"Disappointment decided to try this brand because it has generally good reviews. As soon as I arrived and started using them, even though my size, the inseams made me grazes on pinkies (at that point make a crease that is going near). Thinking it would be "&amp;"casual and the shoe would yield, I continued using them with bandaids, and then both soles started making noise at treading do not know if they are taking off. But we, the person who will listen to your side so perfectly, it's like pisases a wet shoe. Aft"&amp;"er many attempts, and already be impossible to return them, I decided that the best place for them is garbage.")</f>
        <v>Disappointment decided to try this brand because it has generally good reviews. As soon as I arrived and started using them, even though my size, the inseams made me grazes on pinkies (at that point make a crease that is going near). Thinking it would be casual and the shoe would yield, I continued using them with bandaids, and then both soles started making noise at treading do not know if they are taking off. But we, the person who will listen to your side so perfectly, it's like pisases a wet shoe. After many attempts, and already be impossible to return them, I decided that the best place for them is garbage.</v>
      </c>
    </row>
    <row r="11869">
      <c r="A11869" s="1">
        <v>1.0</v>
      </c>
      <c r="B11869" s="1" t="s">
        <v>11767</v>
      </c>
      <c r="C11869" t="str">
        <f>IFERROR(__xludf.DUMMYFUNCTION("GOOGLETRANSLATE(B11869, ""es"", ""en"")"),"Expensive for what it gives Ado, an amateur xlr that gets enough noise for the price it has")</f>
        <v>Expensive for what it gives Ado, an amateur xlr that gets enough noise for the price it has</v>
      </c>
    </row>
    <row r="11870">
      <c r="A11870" s="1">
        <v>4.0</v>
      </c>
      <c r="B11870" s="1" t="s">
        <v>11768</v>
      </c>
      <c r="C11870" t="str">
        <f>IFERROR(__xludf.DUMMYFUNCTION("GOOGLETRANSLATE(B11870, ""es"", ""en"")"),"Combine well with all kinds of clothes Hello, based on size which is chock 43 is perfect. Very fast delivery. Like all footwear to the principle that hardness must be removed.")</f>
        <v>Combine well with all kinds of clothes Hello, based on size which is chock 43 is perfect. Very fast delivery. Like all footwear to the principle that hardness must be removed.</v>
      </c>
    </row>
    <row r="11871">
      <c r="A11871" s="1">
        <v>4.0</v>
      </c>
      <c r="B11871" s="1" t="s">
        <v>11769</v>
      </c>
      <c r="C11871" t="str">
        <f>IFERROR(__xludf.DUMMYFUNCTION("GOOGLETRANSLATE(B11871, ""es"", ""en"")"),"Comprehensive is quite complete for its performance. Easy and intuitive to use. well designed control and correct assurances")</f>
        <v>Comprehensive is quite complete for its performance. Easy and intuitive to use. well designed control and correct assurances</v>
      </c>
    </row>
    <row r="11872">
      <c r="A11872" s="1">
        <v>4.0</v>
      </c>
      <c r="B11872" s="1" t="s">
        <v>11770</v>
      </c>
      <c r="C11872" t="str">
        <f>IFERROR(__xludf.DUMMYFUNCTION("GOOGLETRANSLATE(B11872, ""es"", ""en"")"),"While only a small accessory but if the fruit is not loose anything liquefies no nonconforming pica lowering the content of the base")</f>
        <v>While only a small accessory but if the fruit is not loose anything liquefies no nonconforming pica lowering the content of the base</v>
      </c>
    </row>
    <row r="11873">
      <c r="A11873" s="1">
        <v>4.0</v>
      </c>
      <c r="B11873" s="1" t="s">
        <v>11771</v>
      </c>
      <c r="C11873" t="str">
        <f>IFERROR(__xludf.DUMMYFUNCTION("GOOGLETRANSLATE(B11873, ""es"", ""en"")"),"Really a good purchase was a good buy for the price they have, they do not reach the quality of the original but fully meet the expectations.")</f>
        <v>Really a good purchase was a good buy for the price they have, they do not reach the quality of the original but fully meet the expectations.</v>
      </c>
    </row>
    <row r="11874">
      <c r="A11874" s="1">
        <v>5.0</v>
      </c>
      <c r="B11874" s="1" t="s">
        <v>11772</v>
      </c>
      <c r="C11874" t="str">
        <f>IFERROR(__xludf.DUMMYFUNCTION("GOOGLETRANSLATE(B11874, ""es"", ""en"")"),"Phenomenal external hard drive This was my first 4TB hard drive. It is delightful pass from January 1 tb to this. Here no longer will you have space problems. You can save all series, movies and movies with better quality.")</f>
        <v>Phenomenal external hard drive This was my first 4TB hard drive. It is delightful pass from January 1 tb to this. Here no longer will you have space problems. You can save all series, movies and movies with better quality.</v>
      </c>
    </row>
    <row r="11875">
      <c r="A11875" s="1">
        <v>5.0</v>
      </c>
      <c r="B11875" s="1" t="s">
        <v>11773</v>
      </c>
      <c r="C11875" t="str">
        <f>IFERROR(__xludf.DUMMYFUNCTION("GOOGLETRANSLATE(B11875, ""es"", ""en"")"),"Nice Very nice, looks great, although the colors are not as vivid")</f>
        <v>Nice Very nice, looks great, although the colors are not as vivid</v>
      </c>
    </row>
    <row r="11876">
      <c r="A11876" s="1">
        <v>5.0</v>
      </c>
      <c r="B11876" s="1" t="s">
        <v>11774</v>
      </c>
      <c r="C11876" t="str">
        <f>IFERROR(__xludf.DUMMYFUNCTION("GOOGLETRANSLATE(B11876, ""es"", ""en"")"),"Good quality good brush with a very strong metal tines, good handle")</f>
        <v>Good quality good brush with a very strong metal tines, good handle</v>
      </c>
    </row>
    <row r="11877">
      <c r="A11877" s="1">
        <v>5.0</v>
      </c>
      <c r="B11877" s="1" t="s">
        <v>11775</v>
      </c>
      <c r="C11877" t="str">
        <f>IFERROR(__xludf.DUMMYFUNCTION("GOOGLETRANSLATE(B11877, ""es"", ""en"")"),"Ideal for small quantities wanted a glass blender to make fruit porridge my baby just starting with them and needed it to be small to small quantities and this is perfect. Poquita even fruit well crushed leaves at a time. And when I fancy myself a shake m"&amp;"y genial.Es is also very easy to clean and takes up little space.")</f>
        <v>Ideal for small quantities wanted a glass blender to make fruit porridge my baby just starting with them and needed it to be small to small quantities and this is perfect. Poquita even fruit well crushed leaves at a time. And when I fancy myself a shake my genial.Es is also very easy to clean and takes up little space.</v>
      </c>
    </row>
    <row r="11878">
      <c r="A11878" s="1">
        <v>5.0</v>
      </c>
      <c r="B11878" s="1" t="s">
        <v>11776</v>
      </c>
      <c r="C11878" t="str">
        <f>IFERROR(__xludf.DUMMYFUNCTION("GOOGLETRANSLATE(B11878, ""es"", ""en"")"),"No colicky infant use this type of bottle for my baby pq prevents you from infant colic and lead q as a built-in valve which does not allow swallowing air when eating.")</f>
        <v>No colicky infant use this type of bottle for my baby pq prevents you from infant colic and lead q as a built-in valve which does not allow swallowing air when eating.</v>
      </c>
    </row>
    <row r="11879">
      <c r="A11879" s="1">
        <v>5.0</v>
      </c>
      <c r="B11879" s="1" t="s">
        <v>11777</v>
      </c>
      <c r="C11879" t="str">
        <f>IFERROR(__xludf.DUMMYFUNCTION("GOOGLETRANSLATE(B11879, ""es"", ""en"")"),"Laura are very comfortable and flexible. A skin being soiled less than cloth. Very happy with the purchase. Amazon shipped very fast. Great!")</f>
        <v>Laura are very comfortable and flexible. A skin being soiled less than cloth. Very happy with the purchase. Amazon shipped very fast. Great!</v>
      </c>
    </row>
    <row r="11880">
      <c r="A11880" s="1">
        <v>5.0</v>
      </c>
      <c r="B11880" s="1" t="s">
        <v>11778</v>
      </c>
      <c r="C11880" t="str">
        <f>IFERROR(__xludf.DUMMYFUNCTION("GOOGLETRANSLATE(B11880, ""es"", ""en"")"),"Strong adhesive, superb product very good product that does the job smoothly. I used to paste an artifact not too heavy, but bulky, Gotele on a wall, and the adhesive is superb, as it has already several weeks fixed to the wall without any problems.")</f>
        <v>Strong adhesive, superb product very good product that does the job smoothly. I used to paste an artifact not too heavy, but bulky, Gotele on a wall, and the adhesive is superb, as it has already several weeks fixed to the wall without any problems.</v>
      </c>
    </row>
    <row r="11881">
      <c r="A11881" s="1">
        <v>5.0</v>
      </c>
      <c r="B11881" s="1" t="s">
        <v>11779</v>
      </c>
      <c r="C11881" t="str">
        <f>IFERROR(__xludf.DUMMYFUNCTION("GOOGLETRANSLATE(B11881, ""es"", ""en"")"),"I liked the price to")</f>
        <v>I liked the price to</v>
      </c>
    </row>
    <row r="11882">
      <c r="A11882" s="1">
        <v>5.0</v>
      </c>
      <c r="B11882" s="1" t="s">
        <v>11780</v>
      </c>
      <c r="C11882" t="str">
        <f>IFERROR(__xludf.DUMMYFUNCTION("GOOGLETRANSLATE(B11882, ""es"", ""en"")"),"I thought that love would be larger but is a right size. They are very pretty. They weigh nothing")</f>
        <v>I thought that love would be larger but is a right size. They are very pretty. They weigh nothing</v>
      </c>
    </row>
    <row r="11883">
      <c r="A11883" s="1">
        <v>5.0</v>
      </c>
      <c r="B11883" s="1" t="s">
        <v>11781</v>
      </c>
      <c r="C11883" t="str">
        <f>IFERROR(__xludf.DUMMYFUNCTION("GOOGLETRANSLATE(B11883, ""es"", ""en"")"),"Perfectes Perfecte")</f>
        <v>Perfectes Perfecte</v>
      </c>
    </row>
    <row r="11884">
      <c r="A11884" s="1">
        <v>5.0</v>
      </c>
      <c r="B11884" s="1" t="s">
        <v>11782</v>
      </c>
      <c r="C11884" t="str">
        <f>IFERROR(__xludf.DUMMYFUNCTION("GOOGLETRANSLATE(B11884, ""es"", ""en"")"),"Perfect! Light, well-built, beautiful and practical. The value is excellent.")</f>
        <v>Perfect! Light, well-built, beautiful and practical. The value is excellent.</v>
      </c>
    </row>
    <row r="11885">
      <c r="A11885" s="1">
        <v>5.0</v>
      </c>
      <c r="B11885" s="1" t="s">
        <v>11783</v>
      </c>
      <c r="C11885" t="str">
        <f>IFERROR(__xludf.DUMMYFUNCTION("GOOGLETRANSLATE(B11885, ""es"", ""en"")"),"Cool beautiful and very comfortable")</f>
        <v>Cool beautiful and very comfortable</v>
      </c>
    </row>
    <row r="11886">
      <c r="A11886" s="1">
        <v>5.0</v>
      </c>
      <c r="B11886" s="1" t="s">
        <v>11784</v>
      </c>
      <c r="C11886" t="str">
        <f>IFERROR(__xludf.DUMMYFUNCTION("GOOGLETRANSLATE(B11886, ""es"", ""en"")"),"As always very good as always very good. Little more can be said. Comfortable, classic and youth, very practical and above all timeless. very fast and convenient shipping. The right size and finish that is expected from this brand 10.")</f>
        <v>As always very good as always very good. Little more can be said. Comfortable, classic and youth, very practical and above all timeless. very fast and convenient shipping. The right size and finish that is expected from this brand 10.</v>
      </c>
    </row>
    <row r="11887">
      <c r="A11887" s="1">
        <v>5.0</v>
      </c>
      <c r="B11887" s="1" t="s">
        <v>11785</v>
      </c>
      <c r="C11887" t="str">
        <f>IFERROR(__xludf.DUMMYFUNCTION("GOOGLETRANSLATE(B11887, ""es"", ""en"")"),"Comfortable and quality helmets arrived in perfect condition and within the time indicated. The box in which they come is very practical and convenient for storage and loading. Helmets connect well to the phone and also can be connected independently of e"&amp;"ach other. Escuhan is very good with good sound quality on calls but sometimes, you hear a little far. They are very comfortable and fit well in the ears, have a nice touch.")</f>
        <v>Comfortable and quality helmets arrived in perfect condition and within the time indicated. The box in which they come is very practical and convenient for storage and loading. Helmets connect well to the phone and also can be connected independently of each other. Escuhan is very good with good sound quality on calls but sometimes, you hear a little far. They are very comfortable and fit well in the ears, have a nice touch.</v>
      </c>
    </row>
    <row r="11888">
      <c r="A11888" s="1">
        <v>5.0</v>
      </c>
      <c r="B11888" s="1" t="s">
        <v>11786</v>
      </c>
      <c r="C11888" t="str">
        <f>IFERROR(__xludf.DUMMYFUNCTION("GOOGLETRANSLATE(B11888, ""es"", ""en"")"),"Perfect is the second buy, very happy, comfortable and very good subject.")</f>
        <v>Perfect is the second buy, very happy, comfortable and very good subject.</v>
      </c>
    </row>
    <row r="11889">
      <c r="A11889" s="1">
        <v>5.0</v>
      </c>
      <c r="B11889" s="1" t="s">
        <v>11787</v>
      </c>
      <c r="C11889" t="str">
        <f>IFERROR(__xludf.DUMMYFUNCTION("GOOGLETRANSLATE(B11889, ""es"", ""en"")"),"Okay, improves the performance of my laptop quite Well I bought a new laptop with good performance but offer more basic equipment, and the money saved bought me equipment I want, at the end were also good deals. With the Samsung Evo Plus and high-performa"&amp;"nce operating system and software installations (with 500GB worth), more memory and additional Samsung SSD slower, but still significantly faster than a hard drive, the laptop is great ... How ... uh, start? Yes of course the machine has to boot. Ah, but "&amp;"I soon asked me the password :-D hehehe")</f>
        <v>Okay, improves the performance of my laptop quite Well I bought a new laptop with good performance but offer more basic equipment, and the money saved bought me equipment I want, at the end were also good deals. With the Samsung Evo Plus and high-performance operating system and software installations (with 500GB worth), more memory and additional Samsung SSD slower, but still significantly faster than a hard drive, the laptop is great ... How ... uh, start? Yes of course the machine has to boot. Ah, but I soon asked me the password :-D hehehe</v>
      </c>
    </row>
    <row r="11890">
      <c r="A11890" s="1">
        <v>5.0</v>
      </c>
      <c r="B11890" s="1" t="s">
        <v>11788</v>
      </c>
      <c r="C11890" t="str">
        <f>IFERROR(__xludf.DUMMYFUNCTION("GOOGLETRANSLATE(B11890, ""es"", ""en"")"),"Super heater compact and very fast steel heats a cup of water in less than a minute. With circular base allows your easily attach. It has three marks inside for easy filling for one, two and three large cups. Also next to the handle with a pint marker, th"&amp;"ree quarters and one liter, which is the maximum capacity. The switch on / off is just below the handle. It goes out only when the water begins to boil. No internal resistance, which is heated is the base. Care must be taken that the steel surface is very"&amp;" hot, but do not need to touch it to pour the hot water. I am very happy with the purchase.")</f>
        <v>Super heater compact and very fast steel heats a cup of water in less than a minute. With circular base allows your easily attach. It has three marks inside for easy filling for one, two and three large cups. Also next to the handle with a pint marker, three quarters and one liter, which is the maximum capacity. The switch on / off is just below the handle. It goes out only when the water begins to boil. No internal resistance, which is heated is the base. Care must be taken that the steel surface is very hot, but do not need to touch it to pour the hot water. I am very happy with the purchase.</v>
      </c>
    </row>
    <row r="11891">
      <c r="A11891" s="1">
        <v>5.0</v>
      </c>
      <c r="B11891" s="1" t="s">
        <v>11789</v>
      </c>
      <c r="C11891" t="str">
        <f>IFERROR(__xludf.DUMMYFUNCTION("GOOGLETRANSLATE(B11891, ""es"", ""en"")"),"Very fast both reading and writing Excellent speed both read and write. I am using it as an extension of internal memory in a Box Xiaomi Mi S and is perfect. Highly recommended.")</f>
        <v>Very fast both reading and writing Excellent speed both read and write. I am using it as an extension of internal memory in a Box Xiaomi Mi S and is perfect. Highly recommended.</v>
      </c>
    </row>
    <row r="11892">
      <c r="A11892" s="1">
        <v>5.0</v>
      </c>
      <c r="B11892" s="1" t="s">
        <v>11790</v>
      </c>
      <c r="C11892" t="str">
        <f>IFERROR(__xludf.DUMMYFUNCTION("GOOGLETRANSLATE(B11892, ""es"", ""en"")"),"Ideal served me for what I wanted and I could use every pot several times, is very good and with a tiny drop could well stick anything.")</f>
        <v>Ideal served me for what I wanted and I could use every pot several times, is very good and with a tiny drop could well stick anything.</v>
      </c>
    </row>
    <row r="11893">
      <c r="A11893" s="1">
        <v>2.0</v>
      </c>
      <c r="B11893" s="1" t="s">
        <v>11791</v>
      </c>
      <c r="C11893" t="str">
        <f>IFERROR(__xludf.DUMMYFUNCTION("GOOGLETRANSLATE(B11893, ""es"", ""en"")"),"Justito quality When I bought the tried and well, to the wash them seems to have subsided and I go great, I will not serve.")</f>
        <v>Justito quality When I bought the tried and well, to the wash them seems to have subsided and I go great, I will not serve.</v>
      </c>
    </row>
    <row r="11894">
      <c r="A11894" s="1">
        <v>3.0</v>
      </c>
      <c r="B11894" s="1" t="s">
        <v>11792</v>
      </c>
      <c r="C11894" t="str">
        <f>IFERROR(__xludf.DUMMYFUNCTION("GOOGLETRANSLATE(B11894, ""es"", ""en"")"),"Just okay but has a piece at the end of the brush that will not let him get to the bottom of the blades of the Thermomix.")</f>
        <v>Just okay but has a piece at the end of the brush that will not let him get to the bottom of the blades of the Thermomix.</v>
      </c>
    </row>
    <row r="11895">
      <c r="A11895" s="1">
        <v>3.0</v>
      </c>
      <c r="B11895" s="1" t="s">
        <v>11793</v>
      </c>
      <c r="C11895" t="str">
        <f>IFERROR(__xludf.DUMMYFUNCTION("GOOGLETRANSLATE(B11895, ""es"", ""en"")"),"Not so tough it is nice and convenient, but expected to be more resistant. I bought another product Koolerton as a gift and hoped that this bag just out well. But it's been a few months and the tape is already tearing at.")</f>
        <v>Not so tough it is nice and convenient, but expected to be more resistant. I bought another product Koolerton as a gift and hoped that this bag just out well. But it's been a few months and the tape is already tearing at.</v>
      </c>
    </row>
    <row r="11896">
      <c r="A11896" s="1">
        <v>1.0</v>
      </c>
      <c r="B11896" s="1" t="s">
        <v>11794</v>
      </c>
      <c r="C11896" t="str">
        <f>IFERROR(__xludf.DUMMYFUNCTION("GOOGLETRANSLATE(B11896, ""es"", ""en"")"),"Recording speed ratios and much lower than those indicated does not reach the speed ratios indicated reading. Speed ​​test conducted in-tester falls to 50% of the specified performance. Not original blister packaging. Defects recording HD videos for bette"&amp;"r viewing ruin your experiences. Too bad the money spent on it and just can not say it's economic.")</f>
        <v>Recording speed ratios and much lower than those indicated does not reach the speed ratios indicated reading. Speed ​​test conducted in-tester falls to 50% of the specified performance. Not original blister packaging. Defects recording HD videos for better viewing ruin your experiences. Too bad the money spent on it and just can not say it's economic.</v>
      </c>
    </row>
    <row r="11897">
      <c r="A11897" s="1">
        <v>1.0</v>
      </c>
      <c r="B11897" s="1" t="s">
        <v>11795</v>
      </c>
      <c r="C11897" t="str">
        <f>IFERROR(__xludf.DUMMYFUNCTION("GOOGLETRANSLATE(B11897, ""es"", ""en"")"),"Virginia used it to make vegetable puree and stay in the red plastic, q is not removed .... Osea dyed plastic vegetables. Amazing")</f>
        <v>Virginia used it to make vegetable puree and stay in the red plastic, q is not removed .... Osea dyed plastic vegetables. Amazing</v>
      </c>
    </row>
    <row r="11898">
      <c r="A11898" s="1">
        <v>4.0</v>
      </c>
      <c r="B11898" s="1" t="s">
        <v>11796</v>
      </c>
      <c r="C11898" t="str">
        <f>IFERROR(__xludf.DUMMYFUNCTION("GOOGLETRANSLATE(B11898, ""es"", ""en"")"),"pretty necklace fast shipping, well packaged and collar very nice the only downside I see is him so thin chain which makes her look little tough and fragile if I ever get hooked, it is almost break insured but otherwise very nice and seal 925 sterling sil"&amp;"ver.")</f>
        <v>pretty necklace fast shipping, well packaged and collar very nice the only downside I see is him so thin chain which makes her look little tough and fragile if I ever get hooked, it is almost break insured but otherwise very nice and seal 925 sterling silver.</v>
      </c>
    </row>
    <row r="11899">
      <c r="A11899" s="1">
        <v>4.0</v>
      </c>
      <c r="B11899" s="1" t="s">
        <v>11797</v>
      </c>
      <c r="C11899" t="str">
        <f>IFERROR(__xludf.DUMMYFUNCTION("GOOGLETRANSLATE(B11899, ""es"", ""en"")"),"Good value good value for money")</f>
        <v>Good value good value for money</v>
      </c>
    </row>
    <row r="11900">
      <c r="A11900" s="1">
        <v>4.0</v>
      </c>
      <c r="B11900" s="1" t="s">
        <v>11798</v>
      </c>
      <c r="C11900" t="str">
        <f>IFERROR(__xludf.DUMMYFUNCTION("GOOGLETRANSLATE(B11900, ""es"", ""en"")"),"Dura much use for my lower back, I really am relieved, I recommend !!")</f>
        <v>Dura much use for my lower back, I really am relieved, I recommend !!</v>
      </c>
    </row>
    <row r="11901">
      <c r="A11901" s="1">
        <v>4.0</v>
      </c>
      <c r="B11901" s="1" t="s">
        <v>11799</v>
      </c>
      <c r="C11901" t="str">
        <f>IFERROR(__xludf.DUMMYFUNCTION("GOOGLETRANSLATE(B11901, ""es"", ""en"")"),"The value I have just received and the truth that the price did not expect the audio quality, which looks a little flimsy sure hard time carefully.")</f>
        <v>The value I have just received and the truth that the price did not expect the audio quality, which looks a little flimsy sure hard time carefully.</v>
      </c>
    </row>
    <row r="11902">
      <c r="A11902" s="1">
        <v>4.0</v>
      </c>
      <c r="B11902" s="1" t="s">
        <v>11800</v>
      </c>
      <c r="C11902" t="str">
        <f>IFERROR(__xludf.DUMMYFUNCTION("GOOGLETRANSLATE(B11902, ""es"", ""en"")"),"Very good buy good quality materials, good shot at the seams, very comfortable shoulder strap. Good value for money.")</f>
        <v>Very good buy good quality materials, good shot at the seams, very comfortable shoulder strap. Good value for money.</v>
      </c>
    </row>
    <row r="11903">
      <c r="A11903" s="1">
        <v>5.0</v>
      </c>
      <c r="B11903" s="1" t="s">
        <v>11801</v>
      </c>
      <c r="C11903" t="str">
        <f>IFERROR(__xludf.DUMMYFUNCTION("GOOGLETRANSLATE(B11903, ""es"", ""en"")"),"THE RELIABILITY The quality of the product is apparently good, but it remains to be seen, trust brand ""CASIO"". The seriousness of the seller is very important, you can trust him, I've been happy with the purchase, of course I would buy, the order has ar"&amp;"rived within the deadlines and the product conforms conforms to the announcement.")</f>
        <v>THE RELIABILITY The quality of the product is apparently good, but it remains to be seen, trust brand "CASIO". The seriousness of the seller is very important, you can trust him, I've been happy with the purchase, of course I would buy, the order has arrived within the deadlines and the product conforms conforms to the announcement.</v>
      </c>
    </row>
    <row r="11904">
      <c r="A11904" s="1">
        <v>5.0</v>
      </c>
      <c r="B11904" s="1" t="s">
        <v>11802</v>
      </c>
      <c r="C11904" t="str">
        <f>IFERROR(__xludf.DUMMYFUNCTION("GOOGLETRANSLATE(B11904, ""es"", ""en"")"),"Good buy is a quality cable. Use it to replace the one that came from the factory in an appliance. It has a perfect fit. Does the job.")</f>
        <v>Good buy is a quality cable. Use it to replace the one that came from the factory in an appliance. It has a perfect fit. Does the job.</v>
      </c>
    </row>
    <row r="11905">
      <c r="A11905" s="1">
        <v>5.0</v>
      </c>
      <c r="B11905" s="1" t="s">
        <v>11803</v>
      </c>
      <c r="C11905" t="str">
        <f>IFERROR(__xludf.DUMMYFUNCTION("GOOGLETRANSLATE(B11905, ""es"", ""en"")"),"A very good gift The quality is very good, strong and good finishes leaves.")</f>
        <v>A very good gift The quality is very good, strong and good finishes leaves.</v>
      </c>
    </row>
    <row r="11906">
      <c r="A11906" s="1">
        <v>5.0</v>
      </c>
      <c r="B11906" s="1" t="s">
        <v>11804</v>
      </c>
      <c r="C11906" t="str">
        <f>IFERROR(__xludf.DUMMYFUNCTION("GOOGLETRANSLATE(B11906, ""es"", ""en"")"),"Much endurance is the heat gave my girlfriend and lasts midnight with no problem. At the beginning you have to be careful because the temperature is quite high and long in the same place may actually cause some discomfort. Now let stand 30 minutes before "&amp;"use and is very happy.")</f>
        <v>Much endurance is the heat gave my girlfriend and lasts midnight with no problem. At the beginning you have to be careful because the temperature is quite high and long in the same place may actually cause some discomfort. Now let stand 30 minutes before use and is very happy.</v>
      </c>
    </row>
    <row r="11907">
      <c r="A11907" s="1">
        <v>5.0</v>
      </c>
      <c r="B11907" s="1" t="s">
        <v>11805</v>
      </c>
      <c r="C11907" t="str">
        <f>IFERROR(__xludf.DUMMYFUNCTION("GOOGLETRANSLATE(B11907, ""es"", ""en"")"),"Marker is a great idea so you do not have to put tape to mark the clothes once riding letters clothing brand at a time colorfast in washings if obliterates but to redial now ready again marked pledge with the letters you have a drawing to decorate the nam"&amp;"e")</f>
        <v>Marker is a great idea so you do not have to put tape to mark the clothes once riding letters clothing brand at a time colorfast in washings if obliterates but to redial now ready again marked pledge with the letters you have a drawing to decorate the name</v>
      </c>
    </row>
    <row r="11908">
      <c r="A11908" s="1">
        <v>5.0</v>
      </c>
      <c r="B11908" s="1" t="s">
        <v>11806</v>
      </c>
      <c r="C11908" t="str">
        <f>IFERROR(__xludf.DUMMYFUNCTION("GOOGLETRANSLATE(B11908, ""es"", ""en"")"),"The king CASIO ... to say ...? For a great watch as I like. All right both product and shipping.")</f>
        <v>The king CASIO ... to say ...? For a great watch as I like. All right both product and shipping.</v>
      </c>
    </row>
    <row r="11909">
      <c r="A11909" s="1">
        <v>5.0</v>
      </c>
      <c r="B11909" s="1" t="s">
        <v>11807</v>
      </c>
      <c r="C11909" t="str">
        <f>IFERROR(__xludf.DUMMYFUNCTION("GOOGLETRANSLATE(B11909, ""es"", ""en"")"),"A perfect shoe for walking, running, whatever you want. Very comfortable and impressive quality")</f>
        <v>A perfect shoe for walking, running, whatever you want. Very comfortable and impressive quality</v>
      </c>
    </row>
    <row r="11910">
      <c r="A11910" s="1">
        <v>5.0</v>
      </c>
      <c r="B11910" s="1" t="s">
        <v>11808</v>
      </c>
      <c r="C11910" t="str">
        <f>IFERROR(__xludf.DUMMYFUNCTION("GOOGLETRANSLATE(B11910, ""es"", ""en"")"),"Very useful Very useful in sewing and easy to use")</f>
        <v>Very useful Very useful in sewing and easy to use</v>
      </c>
    </row>
    <row r="11911">
      <c r="A11911" s="1">
        <v>5.0</v>
      </c>
      <c r="B11911" s="1" t="s">
        <v>11809</v>
      </c>
      <c r="C11911" t="str">
        <f>IFERROR(__xludf.DUMMYFUNCTION("GOOGLETRANSLATE(B11911, ""es"", ""en"")"),"Pilar are beautiful and very comfortable, but give little size have to choose at least one more whole number, we had to change from 42.5 to 44")</f>
        <v>Pilar are beautiful and very comfortable, but give little size have to choose at least one more whole number, we had to change from 42.5 to 44</v>
      </c>
    </row>
    <row r="11912">
      <c r="A11912" s="1">
        <v>5.0</v>
      </c>
      <c r="B11912" s="1" t="s">
        <v>11810</v>
      </c>
      <c r="C11912" t="str">
        <f>IFERROR(__xludf.DUMMYFUNCTION("GOOGLETRANSLATE(B11912, ""es"", ""en"")"),"One of the great !!! After months and months thinking about whether I buy or not buy, at the end I decided. Not that he doubted his qualities as it had looked online and remirado opinions everywhere. I really needed if I wanted to touch my right quality v"&amp;"ideos for courses and not stay that step back. Big difference. simple and time use here is, it is also extremely decorative and I loved this color also cheaper than typical. I would definitely recommend it and wished I had decided to take the step before.")</f>
        <v>One of the great !!! After months and months thinking about whether I buy or not buy, at the end I decided. Not that he doubted his qualities as it had looked online and remirado opinions everywhere. I really needed if I wanted to touch my right quality videos for courses and not stay that step back. Big difference. simple and time use here is, it is also extremely decorative and I loved this color also cheaper than typical. I would definitely recommend it and wished I had decided to take the step before.</v>
      </c>
    </row>
    <row r="11913">
      <c r="A11913" s="1">
        <v>5.0</v>
      </c>
      <c r="B11913" s="1" t="s">
        <v>11811</v>
      </c>
      <c r="C11913" t="str">
        <f>IFERROR(__xludf.DUMMYFUNCTION("GOOGLETRANSLATE(B11913, ""es"", ""en"")"),"Ideal for truth blender gazpacho, salmorejo, mayonnaise, cream, ice pick .... Power and quality.")</f>
        <v>Ideal for truth blender gazpacho, salmorejo, mayonnaise, cream, ice pick .... Power and quality.</v>
      </c>
    </row>
    <row r="11914">
      <c r="A11914" s="1">
        <v>5.0</v>
      </c>
      <c r="B11914" s="1" t="s">
        <v>11812</v>
      </c>
      <c r="C11914" t="str">
        <f>IFERROR(__xludf.DUMMYFUNCTION("GOOGLETRANSLATE(B11914, ""es"", ""en"")"),"Excellent product a little bigger than I thought but I love q")</f>
        <v>Excellent product a little bigger than I thought but I love q</v>
      </c>
    </row>
    <row r="11915">
      <c r="A11915" s="1">
        <v>5.0</v>
      </c>
      <c r="B11915" s="1" t="s">
        <v>11813</v>
      </c>
      <c r="C11915" t="str">
        <f>IFERROR(__xludf.DUMMYFUNCTION("GOOGLETRANSLATE(B11915, ""es"", ""en"")"),"Good Good qualities")</f>
        <v>Good Good qualities</v>
      </c>
    </row>
    <row r="11916">
      <c r="A11916" s="1">
        <v>5.0</v>
      </c>
      <c r="B11916" s="1" t="s">
        <v>11814</v>
      </c>
      <c r="C11916" t="str">
        <f>IFERROR(__xludf.DUMMYFUNCTION("GOOGLETRANSLATE(B11916, ""es"", ""en"")"),"Perfect would buy more times. They are perfect. Dupersuaves and calentitas. Withstands heat. If I had to put some downside EU weigh a peak")</f>
        <v>Perfect would buy more times. They are perfect. Dupersuaves and calentitas. Withstands heat. If I had to put some downside EU weigh a peak</v>
      </c>
    </row>
    <row r="11917">
      <c r="A11917" s="1">
        <v>5.0</v>
      </c>
      <c r="B11917" s="1" t="s">
        <v>11815</v>
      </c>
      <c r="C11917" t="str">
        <f>IFERROR(__xludf.DUMMYFUNCTION("GOOGLETRANSLATE(B11917, ""es"", ""en"")"),"It is naturally very intense. With just a few drops. I will take a lot of years")</f>
        <v>It is naturally very intense. With just a few drops. I will take a lot of years</v>
      </c>
    </row>
    <row r="11918">
      <c r="A11918" s="1">
        <v>5.0</v>
      </c>
      <c r="B11918" s="1" t="s">
        <v>11816</v>
      </c>
      <c r="C11918" t="str">
        <f>IFERROR(__xludf.DUMMYFUNCTION("GOOGLETRANSLATE(B11918, ""es"", ""en"")"),"good product I tried it on a porcelain figurine and turned out very well, also on a screen of the motorbike helmet and it was great.")</f>
        <v>good product I tried it on a porcelain figurine and turned out very well, also on a screen of the motorbike helmet and it was great.</v>
      </c>
    </row>
    <row r="11919">
      <c r="A11919" s="1">
        <v>5.0</v>
      </c>
      <c r="B11919" s="1" t="s">
        <v>11817</v>
      </c>
      <c r="C11919" t="str">
        <f>IFERROR(__xludf.DUMMYFUNCTION("GOOGLETRANSLATE(B11919, ""es"", ""en"")"),"I love! Sandals are cool and is very beautiful in the foot. They are very comfortable and allow you to take long walks around the city. But keep in mind that fit a tad less than normal.")</f>
        <v>I love! Sandals are cool and is very beautiful in the foot. They are very comfortable and allow you to take long walks around the city. But keep in mind that fit a tad less than normal.</v>
      </c>
    </row>
    <row r="11920">
      <c r="A11920" s="1">
        <v>5.0</v>
      </c>
      <c r="B11920" s="1" t="s">
        <v>11818</v>
      </c>
      <c r="C11920" t="str">
        <f>IFERROR(__xludf.DUMMYFUNCTION("GOOGLETRANSLATE(B11920, ""es"", ""en"")"),"Nike pretty basic and quality assurance ....")</f>
        <v>Nike pretty basic and quality assurance ....</v>
      </c>
    </row>
    <row r="11921">
      <c r="A11921" s="1">
        <v>5.0</v>
      </c>
      <c r="B11921" s="1" t="s">
        <v>11819</v>
      </c>
      <c r="C11921" t="str">
        <f>IFERROR(__xludf.DUMMYFUNCTION("GOOGLETRANSLATE(B11921, ""es"", ""en"")"),"Like a glove. Perfect, just look at the shoe and the best, the heel does not move.")</f>
        <v>Like a glove. Perfect, just look at the shoe and the best, the heel does not move.</v>
      </c>
    </row>
    <row r="11922">
      <c r="A11922" s="1">
        <v>2.0</v>
      </c>
      <c r="B11922" s="1" t="s">
        <v>11820</v>
      </c>
      <c r="C11922" t="str">
        <f>IFERROR(__xludf.DUMMYFUNCTION("GOOGLETRANSLATE(B11922, ""es"", ""en"")"),"They do not like are very wide for my wife and a number less too small")</f>
        <v>They do not like are very wide for my wife and a number less too small</v>
      </c>
    </row>
    <row r="11923">
      <c r="A11923" s="1">
        <v>3.0</v>
      </c>
      <c r="B11923" s="1" t="s">
        <v>11821</v>
      </c>
      <c r="C11923" t="str">
        <f>IFERROR(__xludf.DUMMYFUNCTION("GOOGLETRANSLATE(B11923, ""es"", ""en"")"),"Good but with problems saved video is suitable for recording 4k and records fluid. The problem that gives me, and I do not know if also the rest, I just save the videos archives groups of 3,9GB and then start recording to a new file. Ie get a complete vid"&amp;"eo game about 1h small files, which is a bummer. It is normal? How do you manage? Used in sports camera SJCAM SJ7 STAR")</f>
        <v>Good but with problems saved video is suitable for recording 4k and records fluid. The problem that gives me, and I do not know if also the rest, I just save the videos archives groups of 3,9GB and then start recording to a new file. Ie get a complete video game about 1h small files, which is a bummer. It is normal? How do you manage? Used in sports camera SJCAM SJ7 STAR</v>
      </c>
    </row>
    <row r="11924">
      <c r="A11924" s="1">
        <v>3.0</v>
      </c>
      <c r="B11924" s="1" t="s">
        <v>11822</v>
      </c>
      <c r="C11924" t="str">
        <f>IFERROR(__xludf.DUMMYFUNCTION("GOOGLETRANSLATE(B11924, ""es"", ""en"")"),"Good quality in relation to the quality and price is an excellent product. It takes little to boil and keeps the hot water for a few minutes.")</f>
        <v>Good quality in relation to the quality and price is an excellent product. It takes little to boil and keeps the hot water for a few minutes.</v>
      </c>
    </row>
    <row r="11925">
      <c r="A11925" s="1">
        <v>1.0</v>
      </c>
      <c r="B11925" s="1" t="s">
        <v>11823</v>
      </c>
      <c r="C11925" t="str">
        <f>IFERROR(__xludf.DUMMYFUNCTION("GOOGLETRANSLATE(B11925, ""es"", ""en"")"),"It does not support I've returned hope to order the return y'a I did because the card does not support putting on your computer")</f>
        <v>It does not support I've returned hope to order the return y'a I did because the card does not support putting on your computer</v>
      </c>
    </row>
    <row r="11926">
      <c r="A11926" s="1">
        <v>1.0</v>
      </c>
      <c r="B11926" s="1" t="s">
        <v>11824</v>
      </c>
      <c r="C11926" t="str">
        <f>IFERROR(__xludf.DUMMYFUNCTION("GOOGLETRANSLATE(B11926, ""es"", ""en"")"),"Swindle large well not silver.")</f>
        <v>Swindle large well not silver.</v>
      </c>
    </row>
    <row r="11927">
      <c r="A11927" s="1">
        <v>4.0</v>
      </c>
      <c r="B11927" s="1" t="s">
        <v>11825</v>
      </c>
      <c r="C11927" t="str">
        <f>IFERROR(__xludf.DUMMYFUNCTION("GOOGLETRANSLATE(B11927, ""es"", ""en"")"),"I used to what I find safe and I used to take several things besides the mandatory documents")</f>
        <v>I used to what I find safe and I used to take several things besides the mandatory documents</v>
      </c>
    </row>
    <row r="11928">
      <c r="A11928" s="1">
        <v>4.0</v>
      </c>
      <c r="B11928" s="1" t="s">
        <v>11826</v>
      </c>
      <c r="C11928" t="str">
        <f>IFERROR(__xludf.DUMMYFUNCTION("GOOGLETRANSLATE(B11928, ""es"", ""en"")"),"Useful recommended, good sound quality but little battery life.")</f>
        <v>Useful recommended, good sound quality but little battery life.</v>
      </c>
    </row>
    <row r="11929">
      <c r="A11929" s="1">
        <v>4.0</v>
      </c>
      <c r="B11929" s="1" t="s">
        <v>11827</v>
      </c>
      <c r="C11929" t="str">
        <f>IFERROR(__xludf.DUMMYFUNCTION("GOOGLETRANSLATE(B11929, ""es"", ""en"")"),"Fulfills its function The alarm works well as specified and awakenings are very nice. It would miss a speaker highest quality for more natural sounds, but overall the quality is good.")</f>
        <v>Fulfills its function The alarm works well as specified and awakenings are very nice. It would miss a speaker highest quality for more natural sounds, but overall the quality is good.</v>
      </c>
    </row>
    <row r="11930">
      <c r="A11930" s="1">
        <v>4.0</v>
      </c>
      <c r="B11930" s="1" t="s">
        <v>11828</v>
      </c>
      <c r="C11930" t="str">
        <f>IFERROR(__xludf.DUMMYFUNCTION("GOOGLETRANSLATE(B11930, ""es"", ""en"")"),"A classic light and small. Perfect for small and light dolls.")</f>
        <v>A classic light and small. Perfect for small and light dolls.</v>
      </c>
    </row>
    <row r="11931">
      <c r="A11931" s="1">
        <v>4.0</v>
      </c>
      <c r="B11931" s="1" t="s">
        <v>11829</v>
      </c>
      <c r="C11931" t="str">
        <f>IFERROR(__xludf.DUMMYFUNCTION("GOOGLETRANSLATE(B11931, ""es"", ""en"")"),"Converse Chuck Taylor All Star Core Hi, Slippers my daughter was very happy. The classic lifetime. At a very good price. Evil that deform and take off right away. This is no fault or Amazon or the seller is from the brand that seems like every time the fa"&amp;"bric is thinner. So I do not get 5 stars. Thank you.")</f>
        <v>Converse Chuck Taylor All Star Core Hi, Slippers my daughter was very happy. The classic lifetime. At a very good price. Evil that deform and take off right away. This is no fault or Amazon or the seller is from the brand that seems like every time the fabric is thinner. So I do not get 5 stars. Thank you.</v>
      </c>
    </row>
    <row r="11932">
      <c r="A11932" s="1">
        <v>5.0</v>
      </c>
      <c r="B11932" s="1" t="s">
        <v>11830</v>
      </c>
      <c r="C11932" t="str">
        <f>IFERROR(__xludf.DUMMYFUNCTION("GOOGLETRANSLATE(B11932, ""es"", ""en"")"),"Ana Very good to repair a feather is dark blue and the color changes a little but was expected to stick very well change and at the moment everything ok")</f>
        <v>Ana Very good to repair a feather is dark blue and the color changes a little but was expected to stick very well change and at the moment everything ok</v>
      </c>
    </row>
    <row r="11933">
      <c r="A11933" s="1">
        <v>5.0</v>
      </c>
      <c r="B11933" s="1" t="s">
        <v>11831</v>
      </c>
      <c r="C11933" t="str">
        <f>IFERROR(__xludf.DUMMYFUNCTION("GOOGLETRANSLATE(B11933, ""es"", ""en"")"),"Calendula simply love it.")</f>
        <v>Calendula simply love it.</v>
      </c>
    </row>
    <row r="11934">
      <c r="A11934" s="1">
        <v>5.0</v>
      </c>
      <c r="B11934" s="1" t="s">
        <v>11832</v>
      </c>
      <c r="C11934" t="str">
        <f>IFERROR(__xludf.DUMMYFUNCTION("GOOGLETRANSLATE(B11934, ""es"", ""en"")"),"A good buy my husband loved")</f>
        <v>A good buy my husband loved</v>
      </c>
    </row>
    <row r="11935">
      <c r="A11935" s="1">
        <v>5.0</v>
      </c>
      <c r="B11935" s="1" t="s">
        <v>11833</v>
      </c>
      <c r="C11935" t="str">
        <f>IFERROR(__xludf.DUMMYFUNCTION("GOOGLETRANSLATE(B11935, ""es"", ""en"")"),"Feel very good, are pegaditas as I wanted.")</f>
        <v>Feel very good, are pegaditas as I wanted.</v>
      </c>
    </row>
    <row r="11936">
      <c r="A11936" s="1">
        <v>5.0</v>
      </c>
      <c r="B11936" s="1" t="s">
        <v>11834</v>
      </c>
      <c r="C11936" t="str">
        <f>IFERROR(__xludf.DUMMYFUNCTION("GOOGLETRANSLATE(B11936, ""es"", ""en"")"),"Very original is very comfortable and original gift to a enbarazada.")</f>
        <v>Very original is very comfortable and original gift to a enbarazada.</v>
      </c>
    </row>
    <row r="11937">
      <c r="A11937" s="1">
        <v>5.0</v>
      </c>
      <c r="B11937" s="1" t="s">
        <v>11835</v>
      </c>
      <c r="C11937" t="str">
        <f>IFERROR(__xludf.DUMMYFUNCTION("GOOGLETRANSLATE(B11937, ""es"", ""en"")"),"I was delighted I bought a trial for my mother, who suffers from osteoarthritis in hands and thus pain daily. Sincerely for the moment seems quite relieved, this month we are testing and no complaints. Do not expect to cure, this is not a miracle gel prod"&amp;"uces only temporary relief of various pain (joints, muscles, bones, etc ..) but function works, why go 5 stars. Vick vaporub it smells.")</f>
        <v>I was delighted I bought a trial for my mother, who suffers from osteoarthritis in hands and thus pain daily. Sincerely for the moment seems quite relieved, this month we are testing and no complaints. Do not expect to cure, this is not a miracle gel produces only temporary relief of various pain (joints, muscles, bones, etc ..) but function works, why go 5 stars. Vick vaporub it smells.</v>
      </c>
    </row>
    <row r="11938">
      <c r="A11938" s="1">
        <v>5.0</v>
      </c>
      <c r="B11938" s="1" t="s">
        <v>11836</v>
      </c>
      <c r="C11938" t="str">
        <f>IFERROR(__xludf.DUMMYFUNCTION("GOOGLETRANSLATE(B11938, ""es"", ""en"")"),"Quality and price! The package has arrived great. Van in their box very well presented, for the price they have is a great product. Also they smell great, especially Lemongrass.")</f>
        <v>Quality and price! The package has arrived great. Van in their box very well presented, for the price they have is a great product. Also they smell great, especially Lemongrass.</v>
      </c>
    </row>
    <row r="11939">
      <c r="A11939" s="1">
        <v>5.0</v>
      </c>
      <c r="B11939" s="1" t="s">
        <v>11837</v>
      </c>
      <c r="C11939" t="str">
        <f>IFERROR(__xludf.DUMMYFUNCTION("GOOGLETRANSLATE(B11939, ""es"", ""en"")"),"Very successful product works great super convenient to clean any bottle or glass container, works great, a little water bottle 1/4 approx. pellets and stirring, the bottles are super clean, highly recommendable,")</f>
        <v>Very successful product works great super convenient to clean any bottle or glass container, works great, a little water bottle 1/4 approx. pellets and stirring, the bottles are super clean, highly recommendable,</v>
      </c>
    </row>
    <row r="11940">
      <c r="A11940" s="1">
        <v>5.0</v>
      </c>
      <c r="B11940" s="1" t="s">
        <v>11838</v>
      </c>
      <c r="C11940" t="str">
        <f>IFERROR(__xludf.DUMMYFUNCTION("GOOGLETRANSLATE(B11940, ""es"", ""en"")"),"Party Microfono very top microphone for my little gift to this freaking out. Very good sound quality, connects via Bluetooth to the phone plays music to karaoke mode. Very nice and battery charge and even not using it enough.")</f>
        <v>Party Microfono very top microphone for my little gift to this freaking out. Very good sound quality, connects via Bluetooth to the phone plays music to karaoke mode. Very nice and battery charge and even not using it enough.</v>
      </c>
    </row>
    <row r="11941">
      <c r="A11941" s="1">
        <v>5.0</v>
      </c>
      <c r="B11941" s="1" t="s">
        <v>11839</v>
      </c>
      <c r="C11941" t="str">
        <f>IFERROR(__xludf.DUMMYFUNCTION("GOOGLETRANSLATE(B11941, ""es"", ""en"")"),"Good quality and is the second that I have, I think good quality and right for the features offered.")</f>
        <v>Good quality and is the second that I have, I think good quality and right for the features offered.</v>
      </c>
    </row>
    <row r="11942">
      <c r="A11942" s="1">
        <v>5.0</v>
      </c>
      <c r="B11942" s="1" t="s">
        <v>11840</v>
      </c>
      <c r="C11942" t="str">
        <f>IFERROR(__xludf.DUMMYFUNCTION("GOOGLETRANSLATE(B11942, ""es"", ""en"")"),"All figures have are precious. I liked all outstanding ideal for kids and not so little ones. They are super simple. Actually I did not expect so pretty. Thank you")</f>
        <v>All figures have are precious. I liked all outstanding ideal for kids and not so little ones. They are super simple. Actually I did not expect so pretty. Thank you</v>
      </c>
    </row>
    <row r="11943">
      <c r="A11943" s="1">
        <v>5.0</v>
      </c>
      <c r="B11943" s="1" t="s">
        <v>11841</v>
      </c>
      <c r="C11943" t="str">
        <f>IFERROR(__xludf.DUMMYFUNCTION("GOOGLETRANSLATE(B11943, ""es"", ""en"")"),"Very funny very funny")</f>
        <v>Very funny very funny</v>
      </c>
    </row>
    <row r="11944">
      <c r="A11944" s="1">
        <v>5.0</v>
      </c>
      <c r="B11944" s="1" t="s">
        <v>11842</v>
      </c>
      <c r="C11944" t="str">
        <f>IFERROR(__xludf.DUMMYFUNCTION("GOOGLETRANSLATE(B11944, ""es"", ""en"")"),"I love super fast shipping. The package is delivered very well wrapped. The great products, and have a very good smell. Thank you")</f>
        <v>I love super fast shipping. The package is delivered very well wrapped. The great products, and have a very good smell. Thank you</v>
      </c>
    </row>
    <row r="11945">
      <c r="A11945" s="1">
        <v>5.0</v>
      </c>
      <c r="B11945" s="1" t="s">
        <v>11843</v>
      </c>
      <c r="C11945" t="str">
        <f>IFERROR(__xludf.DUMMYFUNCTION("GOOGLETRANSLATE(B11945, ""es"", ""en"")"),"I have found it extremely comfortable so comfortable right now I'm going back to buy it in another color. As they say in another opinion it fits like a glove. You feel very subject's chest but does not hurt or upset. The straps are very comfortable and no"&amp;"t dig and shape of the back helps release tension in the shoulders. It comes as acolchadito by side. In summary a very pleasant surprise. Much more comfortable than the left got at the hospital. I recommend it. I use a 95/100 B and bought a L.")</f>
        <v>I have found it extremely comfortable so comfortable right now I'm going back to buy it in another color. As they say in another opinion it fits like a glove. You feel very subject's chest but does not hurt or upset. The straps are very comfortable and not dig and shape of the back helps release tension in the shoulders. It comes as acolchadito by side. In summary a very pleasant surprise. Much more comfortable than the left got at the hospital. I recommend it. I use a 95/100 B and bought a L.</v>
      </c>
    </row>
    <row r="11946">
      <c r="A11946" s="1">
        <v>5.0</v>
      </c>
      <c r="B11946" s="1" t="s">
        <v>11844</v>
      </c>
      <c r="C11946" t="str">
        <f>IFERROR(__xludf.DUMMYFUNCTION("GOOGLETRANSLATE(B11946, ""es"", ""en"")"),"good good")</f>
        <v>good good</v>
      </c>
    </row>
    <row r="11947">
      <c r="A11947" s="1">
        <v>5.0</v>
      </c>
      <c r="B11947" s="1" t="s">
        <v>11845</v>
      </c>
      <c r="C11947" t="str">
        <f>IFERROR(__xludf.DUMMYFUNCTION("GOOGLETRANSLATE(B11947, ""es"", ""en"")"),"Bag elegant and beautiful men needed for a long time a bag to get out as they go to sites with backpack or fanny pack was a little unsightly, and I decided to buy this little bag for men, and the truth that has left me very good impressions. The material "&amp;"of this bag is very good quality, to the touch it you realize how soft and comfortable it is the fabric. Regarding the design is really elegant and beautiful with a system of zip fasteners that are quite fluid without getting any jammed, also a bag with a"&amp;" close button. In the pockets theme it is great as there are pockets of all sizes, ideal for storing Moblogs up the keys through annotations, wallet or whatever you want. I recommend this bag especially those men tired of not knowing where to keep all obj"&amp;"ects when we went outside, and wants to wear a nice look with this bag. Great product, give them five stars because I loved it. The only downside would be that would put q tape q hangs by something girl, but I also pq am quite tall, I measure 1.92. Otherw"&amp;"ise great.")</f>
        <v>Bag elegant and beautiful men needed for a long time a bag to get out as they go to sites with backpack or fanny pack was a little unsightly, and I decided to buy this little bag for men, and the truth that has left me very good impressions. The material of this bag is very good quality, to the touch it you realize how soft and comfortable it is the fabric. Regarding the design is really elegant and beautiful with a system of zip fasteners that are quite fluid without getting any jammed, also a bag with a close button. In the pockets theme it is great as there are pockets of all sizes, ideal for storing Moblogs up the keys through annotations, wallet or whatever you want. I recommend this bag especially those men tired of not knowing where to keep all objects when we went outside, and wants to wear a nice look with this bag. Great product, give them five stars because I loved it. The only downside would be that would put q tape q hangs by something girl, but I also pq am quite tall, I measure 1.92. Otherwise great.</v>
      </c>
    </row>
    <row r="11948">
      <c r="A11948" s="1">
        <v>5.0</v>
      </c>
      <c r="B11948" s="1" t="s">
        <v>11846</v>
      </c>
      <c r="C11948" t="str">
        <f>IFERROR(__xludf.DUMMYFUNCTION("GOOGLETRANSLATE(B11948, ""es"", ""en"")"),"Excellent product Very nice comfortable and beautiful")</f>
        <v>Excellent product Very nice comfortable and beautiful</v>
      </c>
    </row>
    <row r="11949">
      <c r="A11949" s="1">
        <v>5.0</v>
      </c>
      <c r="B11949" s="1" t="s">
        <v>11847</v>
      </c>
      <c r="C11949" t="str">
        <f>IFERROR(__xludf.DUMMYFUNCTION("GOOGLETRANSLATE(B11949, ""es"", ""en"")"),"Wonderful wonderful, arrived this morning and I've used 5 minutes this morning and 5 at night now, at the beginning there haha ​​q get used to the idea is like this hosti click! but then notes as you relax your back. For now delighted!")</f>
        <v>Wonderful wonderful, arrived this morning and I've used 5 minutes this morning and 5 at night now, at the beginning there haha ​​q get used to the idea is like this hosti click! but then notes as you relax your back. For now delighted!</v>
      </c>
    </row>
    <row r="11950">
      <c r="A11950" s="1">
        <v>2.0</v>
      </c>
      <c r="B11950" s="1" t="s">
        <v>11848</v>
      </c>
      <c r="C11950" t="str">
        <f>IFERROR(__xludf.DUMMYFUNCTION("GOOGLETRANSLATE(B11950, ""es"", ""en"")"),"Too opinion of 5 stars Let's see, first of all, this is not bad hooves, but to be top-sellers when bought, are nothing of the other world. When you have an opinion and complete'll update the review, and if I have to increase the number of stars I will ..."&amp;" for now, I leave my bit ... are not the best headphones I've tried for this price")</f>
        <v>Too opinion of 5 stars Let's see, first of all, this is not bad hooves, but to be top-sellers when bought, are nothing of the other world. When you have an opinion and complete'll update the review, and if I have to increase the number of stars I will ... for now, I leave my bit ... are not the best headphones I've tried for this price</v>
      </c>
    </row>
    <row r="11951">
      <c r="A11951" s="1">
        <v>3.0</v>
      </c>
      <c r="B11951" s="1" t="s">
        <v>11849</v>
      </c>
      <c r="C11951" t="str">
        <f>IFERROR(__xludf.DUMMYFUNCTION("GOOGLETRANSLATE(B11951, ""es"", ""en"")"),"Nice ... for a while when they came to my partner loved and truth are great. Yes, they get dirty very easily. Must take great care to maintain the original color.")</f>
        <v>Nice ... for a while when they came to my partner loved and truth are great. Yes, they get dirty very easily. Must take great care to maintain the original color.</v>
      </c>
    </row>
    <row r="11952">
      <c r="A11952" s="1">
        <v>3.0</v>
      </c>
      <c r="B11952" s="1" t="s">
        <v>6533</v>
      </c>
      <c r="C11952" t="str">
        <f>IFERROR(__xludf.DUMMYFUNCTION("GOOGLETRANSLATE(B11952, ""es"", ""en"")"),"Good quality good quality")</f>
        <v>Good quality good quality</v>
      </c>
    </row>
    <row r="11953">
      <c r="A11953" s="1">
        <v>1.0</v>
      </c>
      <c r="B11953" s="1" t="s">
        <v>11850</v>
      </c>
      <c r="C11953" t="str">
        <f>IFERROR(__xludf.DUMMYFUNCTION("GOOGLETRANSLATE(B11953, ""es"", ""en"")"),"Mer not have liked. A disappointment. The fabric is very thin, not recomiendo.No have quality and give little size.")</f>
        <v>Mer not have liked. A disappointment. The fabric is very thin, not recomiendo.No have quality and give little size.</v>
      </c>
    </row>
    <row r="11954">
      <c r="A11954" s="1">
        <v>1.0</v>
      </c>
      <c r="B11954" s="1" t="s">
        <v>11851</v>
      </c>
      <c r="C11954" t="str">
        <f>IFERROR(__xludf.DUMMYFUNCTION("GOOGLETRANSLATE(B11954, ""es"", ""en"")"),"4 TB hard drive 5400 rpm and 256 MB of cache that comes without formatting. It tries reformatting and gives bad sectors. It comes packed in bubble wrap and a carrying case too large.")</f>
        <v>4 TB hard drive 5400 rpm and 256 MB of cache that comes without formatting. It tries reformatting and gives bad sectors. It comes packed in bubble wrap and a carrying case too large.</v>
      </c>
    </row>
    <row r="11955">
      <c r="A11955" s="1">
        <v>4.0</v>
      </c>
      <c r="B11955" s="1" t="s">
        <v>11852</v>
      </c>
      <c r="C11955" t="str">
        <f>IFERROR(__xludf.DUMMYFUNCTION("GOOGLETRANSLATE(B11955, ""es"", ""en"")"),"Sports As I expected")</f>
        <v>Sports As I expected</v>
      </c>
    </row>
    <row r="11956">
      <c r="A11956" s="1">
        <v>4.0</v>
      </c>
      <c r="B11956" s="1" t="s">
        <v>11853</v>
      </c>
      <c r="C11956" t="str">
        <f>IFERROR(__xludf.DUMMYFUNCTION("GOOGLETRANSLATE(B11956, ""es"", ""en"")"),"Okay perfect product")</f>
        <v>Okay perfect product</v>
      </c>
    </row>
    <row r="11957">
      <c r="A11957" s="1">
        <v>4.0</v>
      </c>
      <c r="B11957" s="1" t="s">
        <v>11854</v>
      </c>
      <c r="C11957" t="str">
        <f>IFERROR(__xludf.DUMMYFUNCTION("GOOGLETRANSLATE(B11957, ""es"", ""en"")"),"Presenter simple, compact and easy to use. I bought this presenter to avoid having to go to the computer to give the key breakthrough in the presentations I had to make during a course. It connects easily to your computer, simply by entering the antenna a"&amp;"nd ready USB, functions are simple (forward, reverse, pause and enter / exit the slide show) is very compact, it does not occupy even half of the palm of my hand and USB antenna is inserted into the controller itself that comes with a holster, making it t"&amp;"ranportable to the maximum. Laser pointer do not use it much, but it's a red dot and powerful well. I have been very happy, it's what relamente sought.")</f>
        <v>Presenter simple, compact and easy to use. I bought this presenter to avoid having to go to the computer to give the key breakthrough in the presentations I had to make during a course. It connects easily to your computer, simply by entering the antenna and ready USB, functions are simple (forward, reverse, pause and enter / exit the slide show) is very compact, it does not occupy even half of the palm of my hand and USB antenna is inserted into the controller itself that comes with a holster, making it tranportable to the maximum. Laser pointer do not use it much, but it's a red dot and powerful well. I have been very happy, it's what relamente sought.</v>
      </c>
    </row>
    <row r="11958">
      <c r="A11958" s="1">
        <v>4.0</v>
      </c>
      <c r="B11958" s="1" t="s">
        <v>11855</v>
      </c>
      <c r="C11958" t="str">
        <f>IFERROR(__xludf.DUMMYFUNCTION("GOOGLETRANSLATE(B11958, ""es"", ""en"")"),"INCREDIBLE! I chose it as a gift for my sister on my wedding day, as scrapbook since childhood and was a success! The quality of the pages is very good, tapas are tough and consistent and very good finish. Still, some of the sticks that are included do no"&amp;"t stick much and some pens do not look good on the leaves, so I recommend buying a part some stickers and pens to decorate the album.")</f>
        <v>INCREDIBLE! I chose it as a gift for my sister on my wedding day, as scrapbook since childhood and was a success! The quality of the pages is very good, tapas are tough and consistent and very good finish. Still, some of the sticks that are included do not stick much and some pens do not look good on the leaves, so I recommend buying a part some stickers and pens to decorate the album.</v>
      </c>
    </row>
    <row r="11959">
      <c r="A11959" s="1">
        <v>5.0</v>
      </c>
      <c r="B11959" s="1" t="s">
        <v>11856</v>
      </c>
      <c r="C11959" t="str">
        <f>IFERROR(__xludf.DUMMYFUNCTION("GOOGLETRANSLATE(B11959, ""es"", ""en"")"),"Relax all received perfect packaging and agreed date. It is a blast apparatus, massage any back area also can be used also for the legs.")</f>
        <v>Relax all received perfect packaging and agreed date. It is a blast apparatus, massage any back area also can be used also for the legs.</v>
      </c>
    </row>
    <row r="11960">
      <c r="A11960" s="1">
        <v>5.0</v>
      </c>
      <c r="B11960" s="1" t="s">
        <v>11857</v>
      </c>
      <c r="C11960" t="str">
        <f>IFERROR(__xludf.DUMMYFUNCTION("GOOGLETRANSLATE(B11960, ""es"", ""en"")"),"As pictured Everything ok")</f>
        <v>As pictured Everything ok</v>
      </c>
    </row>
    <row r="11961">
      <c r="A11961" s="1">
        <v>5.0</v>
      </c>
      <c r="B11961" s="1" t="s">
        <v>11858</v>
      </c>
      <c r="C11961" t="str">
        <f>IFERROR(__xludf.DUMMYFUNCTION("GOOGLETRANSLATE(B11961, ""es"", ""en"")"),"Design, comfort and price. I think unbeatable value for money very good. To see the passage of time as you feel")</f>
        <v>Design, comfort and price. I think unbeatable value for money very good. To see the passage of time as you feel</v>
      </c>
    </row>
    <row r="11962">
      <c r="A11962" s="1">
        <v>5.0</v>
      </c>
      <c r="B11962" s="1" t="s">
        <v>11859</v>
      </c>
      <c r="C11962" t="str">
        <f>IFERROR(__xludf.DUMMYFUNCTION("GOOGLETRANSLATE(B11962, ""es"", ""en"")"),"Saavedra Alfonso Taboada Extraordinary jewel, my wife remained enchanted, it is the size that was not a few millimeters in diameter Largest")</f>
        <v>Saavedra Alfonso Taboada Extraordinary jewel, my wife remained enchanted, it is the size that was not a few millimeters in diameter Largest</v>
      </c>
    </row>
    <row r="11963">
      <c r="A11963" s="1">
        <v>5.0</v>
      </c>
      <c r="B11963" s="1" t="s">
        <v>11860</v>
      </c>
      <c r="C11963" t="str">
        <f>IFERROR(__xludf.DUMMYFUNCTION("GOOGLETRANSLATE(B11963, ""es"", ""en"")"),"Excellent bracelet has impressed me first was sent packing very quickly and in perfect condition. In addition the design of the bracelet is very beautiful, with a modern twist and vertical screen makes it very attractive. The battery is one thing that dra"&amp;"ws attention, I take 4 days using the bracelet and I still half the battery is. In addition to having many other activities modes. Notifications and calls arrive correctly and you can even read messages if many in that single case'll read who has written "&amp;"do not accumulate. The price has to be impermeable and make it a great and highly recommended purchase. I am very happy with the product.")</f>
        <v>Excellent bracelet has impressed me first was sent packing very quickly and in perfect condition. In addition the design of the bracelet is very beautiful, with a modern twist and vertical screen makes it very attractive. The battery is one thing that draws attention, I take 4 days using the bracelet and I still half the battery is. In addition to having many other activities modes. Notifications and calls arrive correctly and you can even read messages if many in that single case'll read who has written do not accumulate. The price has to be impermeable and make it a great and highly recommended purchase. I am very happy with the product.</v>
      </c>
    </row>
    <row r="11964">
      <c r="A11964" s="1">
        <v>5.0</v>
      </c>
      <c r="B11964" s="1" t="s">
        <v>11861</v>
      </c>
      <c r="C11964" t="str">
        <f>IFERROR(__xludf.DUMMYFUNCTION("GOOGLETRANSLATE(B11964, ""es"", ""en"")"),"Nice and good quality Llego makes only 10 days, but so far we are very happy. The kettle (red) is nice, good quality looks and works well. It does not look great in the kitchen but has a capacity of 1 liter, large enough for 4 cups of water. Boils fast an"&amp;"d automatically turns off a few seconds later. It is guaranteed for two years and can extend for 1 year only register online. Overall, highly recommended.")</f>
        <v>Nice and good quality Llego makes only 10 days, but so far we are very happy. The kettle (red) is nice, good quality looks and works well. It does not look great in the kitchen but has a capacity of 1 liter, large enough for 4 cups of water. Boils fast and automatically turns off a few seconds later. It is guaranteed for two years and can extend for 1 year only register online. Overall, highly recommended.</v>
      </c>
    </row>
    <row r="11965">
      <c r="A11965" s="1">
        <v>5.0</v>
      </c>
      <c r="B11965" s="1" t="s">
        <v>11862</v>
      </c>
      <c r="C11965" t="str">
        <f>IFERROR(__xludf.DUMMYFUNCTION("GOOGLETRANSLATE(B11965, ""es"", ""en"")"),"Casio, quality. Meets promised, good finishes, good size numbers, good finishes ... Good choice for money.")</f>
        <v>Casio, quality. Meets promised, good finishes, good size numbers, good finishes ... Good choice for money.</v>
      </c>
    </row>
    <row r="11966">
      <c r="A11966" s="1">
        <v>5.0</v>
      </c>
      <c r="B11966" s="1" t="s">
        <v>11863</v>
      </c>
      <c r="C11966" t="str">
        <f>IFERROR(__xludf.DUMMYFUNCTION("GOOGLETRANSLATE(B11966, ""es"", ""en"")"),"It worked accordance with the recommendation of GOPRO, he exceeded the problem I had with another card less than this feature. I still have not tried to 4K, but I'm sure it works. Recommendations:")</f>
        <v>It worked accordance with the recommendation of GOPRO, he exceeded the problem I had with another card less than this feature. I still have not tried to 4K, but I'm sure it works. Recommendations:</v>
      </c>
    </row>
    <row r="11967">
      <c r="A11967" s="1">
        <v>5.0</v>
      </c>
      <c r="B11967" s="1" t="s">
        <v>11864</v>
      </c>
      <c r="C11967" t="str">
        <f>IFERROR(__xludf.DUMMYFUNCTION("GOOGLETRANSLATE(B11967, ""es"", ""en"")"),"Necklace Tree of Life is a precious necklace of a tree of life with five colorful Swarovski crystals, all surrounded by a circle made of Swarovski crystals too. A very stylish gift.")</f>
        <v>Necklace Tree of Life is a precious necklace of a tree of life with five colorful Swarovski crystals, all surrounded by a circle made of Swarovski crystals too. A very stylish gift.</v>
      </c>
    </row>
    <row r="11968">
      <c r="A11968" s="1">
        <v>5.0</v>
      </c>
      <c r="B11968" s="1" t="s">
        <v>11865</v>
      </c>
      <c r="C11968" t="str">
        <f>IFERROR(__xludf.DUMMYFUNCTION("GOOGLETRANSLATE(B11968, ""es"", ""en"")"),"For superior service quality")</f>
        <v>For superior service quality</v>
      </c>
    </row>
    <row r="11969">
      <c r="A11969" s="1">
        <v>5.0</v>
      </c>
      <c r="B11969" s="1" t="s">
        <v>11866</v>
      </c>
      <c r="C11969" t="str">
        <f>IFERROR(__xludf.DUMMYFUNCTION("GOOGLETRANSLATE(B11969, ""es"", ""en"")"),"Headphones with many features recommended. Very good headphones for sports today with about 4 hours of battery life and charging case connect up to 22h with function calls Siro and answers and ends calls and rejects music playback pause function next and "&amp;"previous song. Definitive headphone very good quality with a lot of functions. It has 4 pairs of ear hooks for added security.")</f>
        <v>Headphones with many features recommended. Very good headphones for sports today with about 4 hours of battery life and charging case connect up to 22h with function calls Siro and answers and ends calls and rejects music playback pause function next and previous song. Definitive headphone very good quality with a lot of functions. It has 4 pairs of ear hooks for added security.</v>
      </c>
    </row>
    <row r="11970">
      <c r="A11970" s="1">
        <v>5.0</v>
      </c>
      <c r="B11970" s="1" t="s">
        <v>11867</v>
      </c>
      <c r="C11970" t="str">
        <f>IFERROR(__xludf.DUMMYFUNCTION("GOOGLETRANSLATE(B11970, ""es"", ""en"")"),"GENIAL good brand, the best brands, ALWAYS REPITO")</f>
        <v>GENIAL good brand, the best brands, ALWAYS REPITO</v>
      </c>
    </row>
    <row r="11971">
      <c r="A11971" s="1">
        <v>5.0</v>
      </c>
      <c r="B11971" s="1" t="s">
        <v>11868</v>
      </c>
      <c r="C11971" t="str">
        <f>IFERROR(__xludf.DUMMYFUNCTION("GOOGLETRANSLATE(B11971, ""es"", ""en"")"),"Genial The product was in perfect condition and does the job. It is very comfortable and easy to wear at the waist. Bulges very little at the waist.")</f>
        <v>Genial The product was in perfect condition and does the job. It is very comfortable and easy to wear at the waist. Bulges very little at the waist.</v>
      </c>
    </row>
    <row r="11972">
      <c r="A11972" s="1">
        <v>5.0</v>
      </c>
      <c r="B11972" s="1" t="s">
        <v>11869</v>
      </c>
      <c r="C11972" t="str">
        <f>IFERROR(__xludf.DUMMYFUNCTION("GOOGLETRANSLATE(B11972, ""es"", ""en"")"),"Good price and good service. The cover sheet 90 microns have been of great utility because the 120 micron not find them I took a chance for them and has really worked me say, keep a look put cardboard A4 hold up well for what I wanted. Advised for whom th"&amp;"e need to purchase price and quality. Good service and delivery.")</f>
        <v>Good price and good service. The cover sheet 90 microns have been of great utility because the 120 micron not find them I took a chance for them and has really worked me say, keep a look put cardboard A4 hold up well for what I wanted. Advised for whom the need to purchase price and quality. Good service and delivery.</v>
      </c>
    </row>
    <row r="11973">
      <c r="A11973" s="1">
        <v>5.0</v>
      </c>
      <c r="B11973" s="1" t="s">
        <v>11870</v>
      </c>
      <c r="C11973" t="str">
        <f>IFERROR(__xludf.DUMMYFUNCTION("GOOGLETRANSLATE(B11973, ""es"", ""en"")"),"Perfect. Original, large, with instructions, display box and everything in order.")</f>
        <v>Perfect. Original, large, with instructions, display box and everything in order.</v>
      </c>
    </row>
    <row r="11974">
      <c r="A11974" s="1">
        <v>5.0</v>
      </c>
      <c r="B11974" s="1" t="s">
        <v>11871</v>
      </c>
      <c r="C11974" t="str">
        <f>IFERROR(__xludf.DUMMYFUNCTION("GOOGLETRANSLATE(B11974, ""es"", ""en"")"),"I got everything right on schedule. Very nice and super quality. It costs a little to see the time with little luz.Gracias!")</f>
        <v>I got everything right on schedule. Very nice and super quality. It costs a little to see the time with little luz.Gracias!</v>
      </c>
    </row>
    <row r="11975">
      <c r="A11975" s="1">
        <v>5.0</v>
      </c>
      <c r="B11975" s="1" t="s">
        <v>238</v>
      </c>
      <c r="C11975" t="str">
        <f>IFERROR(__xludf.DUMMYFUNCTION("GOOGLETRANSLATE(B11975, ""es"", ""en"")"),"perfect perfect")</f>
        <v>perfect perfect</v>
      </c>
    </row>
    <row r="11976">
      <c r="A11976" s="1">
        <v>5.0</v>
      </c>
      <c r="B11976" s="1" t="s">
        <v>11872</v>
      </c>
      <c r="C11976" t="str">
        <f>IFERROR(__xludf.DUMMYFUNCTION("GOOGLETRANSLATE(B11976, ""es"", ""en"")"),"Excellent best.")</f>
        <v>Excellent best.</v>
      </c>
    </row>
    <row r="11977">
      <c r="A11977" s="1">
        <v>5.0</v>
      </c>
      <c r="B11977" s="1" t="s">
        <v>11873</v>
      </c>
      <c r="C11977" t="str">
        <f>IFERROR(__xludf.DUMMYFUNCTION("GOOGLETRANSLATE(B11977, ""es"", ""en"")"),"Very happy! Amazon as always perfect about shipping! As for the watch it has the functions of all Casio (time, alarm, stopwatch ...) But the design is very careful, very elegant and finished very fine The only downside would be you lud led, it is not like"&amp;" his a168w brother glows blue entire screen, but if you are darkened looks good with light the second is that if you are male and you have some other hair on his arm from time to time you will notice that you hooked one on the clock, but it's no big deal.")</f>
        <v>Very happy! Amazon as always perfect about shipping! As for the watch it has the functions of all Casio (time, alarm, stopwatch ...) But the design is very careful, very elegant and finished very fine The only downside would be you lud led, it is not like his a168w brother glows blue entire screen, but if you are darkened looks good with light the second is that if you are male and you have some other hair on his arm from time to time you will notice that you hooked one on the clock, but it's no big deal.</v>
      </c>
    </row>
    <row r="11978">
      <c r="A11978" s="1">
        <v>2.0</v>
      </c>
      <c r="B11978" s="1" t="s">
        <v>11874</v>
      </c>
      <c r="C11978" t="str">
        <f>IFERROR(__xludf.DUMMYFUNCTION("GOOGLETRANSLATE(B11978, ""es"", ""en"")"),"I do not recommend low quality of life one month ago more water than the Titanic")</f>
        <v>I do not recommend low quality of life one month ago more water than the Titanic</v>
      </c>
    </row>
    <row r="11979">
      <c r="A11979" s="1">
        <v>3.0</v>
      </c>
      <c r="B11979" s="1" t="s">
        <v>11875</v>
      </c>
      <c r="C11979" t="str">
        <f>IFERROR(__xludf.DUMMYFUNCTION("GOOGLETRANSLATE(B11979, ""es"", ""en"")"),"Coming soon is just a few meters")</f>
        <v>Coming soon is just a few meters</v>
      </c>
    </row>
    <row r="11980">
      <c r="A11980" s="1">
        <v>1.0</v>
      </c>
      <c r="B11980" s="1" t="s">
        <v>11876</v>
      </c>
      <c r="C11980" t="str">
        <f>IFERROR(__xludf.DUMMYFUNCTION("GOOGLETRANSLATE(B11980, ""es"", ""en"")"),"Cold well ... I liked, until I made mashed calabacin the glass was as show in the pictures .... It glass?")</f>
        <v>Cold well ... I liked, until I made mashed calabacin the glass was as show in the pictures .... It glass?</v>
      </c>
    </row>
    <row r="11981">
      <c r="A11981" s="1">
        <v>1.0</v>
      </c>
      <c r="B11981" s="1" t="s">
        <v>11877</v>
      </c>
      <c r="C11981" t="str">
        <f>IFERROR(__xludf.DUMMYFUNCTION("GOOGLETRANSLATE(B11981, ""es"", ""en"")"),"Faber? Crappy quality, similar to any outfit you can buy at the store for elementary and significantly cheaper. Nothing to do with my old faber")</f>
        <v>Faber? Crappy quality, similar to any outfit you can buy at the store for elementary and significantly cheaper. Nothing to do with my old faber</v>
      </c>
    </row>
    <row r="11982">
      <c r="A11982" s="1">
        <v>4.0</v>
      </c>
      <c r="B11982" s="1" t="s">
        <v>11878</v>
      </c>
      <c r="C11982" t="str">
        <f>IFERROR(__xludf.DUMMYFUNCTION("GOOGLETRANSLATE(B11982, ""es"", ""en"")"),"Salomon XA Pro 3D Slipper somewhat cramped and expected more cushioning in the front, good finishes.")</f>
        <v>Salomon XA Pro 3D Slipper somewhat cramped and expected more cushioning in the front, good finishes.</v>
      </c>
    </row>
    <row r="11983">
      <c r="A11983" s="1">
        <v>4.0</v>
      </c>
      <c r="B11983" s="1" t="s">
        <v>11879</v>
      </c>
      <c r="C11983" t="str">
        <f>IFERROR(__xludf.DUMMYFUNCTION("GOOGLETRANSLATE(B11983, ""es"", ""en"")"),"👌 👌")</f>
        <v>👌 👌</v>
      </c>
    </row>
    <row r="11984">
      <c r="A11984" s="1">
        <v>4.0</v>
      </c>
      <c r="B11984" s="1" t="s">
        <v>11880</v>
      </c>
      <c r="C11984" t="str">
        <f>IFERROR(__xludf.DUMMYFUNCTION("GOOGLETRANSLATE(B11984, ""es"", ""en"")"),"Very well is a model that works very well, the previous one had, the same brand and the like and have repurchased, is for something.")</f>
        <v>Very well is a model that works very well, the previous one had, the same brand and the like and have repurchased, is for something.</v>
      </c>
    </row>
    <row r="11985">
      <c r="A11985" s="1">
        <v>4.0</v>
      </c>
      <c r="B11985" s="1" t="s">
        <v>11881</v>
      </c>
      <c r="C11985" t="str">
        <f>IFERROR(__xludf.DUMMYFUNCTION("GOOGLETRANSLATE(B11985, ""es"", ""en"")"),"Good but heavy .. very comfortable truth, the only thing I find very heavy ...")</f>
        <v>Good but heavy .. very comfortable truth, the only thing I find very heavy ...</v>
      </c>
    </row>
    <row r="11986">
      <c r="A11986" s="1">
        <v>4.0</v>
      </c>
      <c r="B11986" s="1" t="s">
        <v>11882</v>
      </c>
      <c r="C11986" t="str">
        <f>IFERROR(__xludf.DUMMYFUNCTION("GOOGLETRANSLATE(B11986, ""es"", ""en"")"),"Correctísimo product for the price and what deals not be asked much more. Sounds good helmets and home speakers. Perfect to practice in your room without disturbing the neighbors.")</f>
        <v>Correctísimo product for the price and what deals not be asked much more. Sounds good helmets and home speakers. Perfect to practice in your room without disturbing the neighbors.</v>
      </c>
    </row>
    <row r="11987">
      <c r="A11987" s="1">
        <v>5.0</v>
      </c>
      <c r="B11987" s="1" t="s">
        <v>11883</v>
      </c>
      <c r="C11987" t="str">
        <f>IFERROR(__xludf.DUMMYFUNCTION("GOOGLETRANSLATE(B11987, ""es"", ""en"")"),"Very good time ago and I use it and love it. It notes that is an essential oil warm. I love the aroma and texture it has. I recommend it")</f>
        <v>Very good time ago and I use it and love it. It notes that is an essential oil warm. I love the aroma and texture it has. I recommend it</v>
      </c>
    </row>
    <row r="11988">
      <c r="A11988" s="1">
        <v>5.0</v>
      </c>
      <c r="B11988" s="1" t="s">
        <v>11884</v>
      </c>
      <c r="C11988" t="str">
        <f>IFERROR(__xludf.DUMMYFUNCTION("GOOGLETRANSLATE(B11988, ""es"", ""en"")"),"pink shirts. They are very nice and comfortable.")</f>
        <v>pink shirts. They are very nice and comfortable.</v>
      </c>
    </row>
    <row r="11989">
      <c r="A11989" s="1">
        <v>5.0</v>
      </c>
      <c r="B11989" s="1" t="s">
        <v>11885</v>
      </c>
      <c r="C11989" t="str">
        <f>IFERROR(__xludf.DUMMYFUNCTION("GOOGLETRANSLATE(B11989, ""es"", ""en"")"),"Super lightweight comfortable and happy! Comfortable and light. Have used them several times and endure the whip, they are like new.")</f>
        <v>Super lightweight comfortable and happy! Comfortable and light. Have used them several times and endure the whip, they are like new.</v>
      </c>
    </row>
    <row r="11990">
      <c r="A11990" s="1">
        <v>5.0</v>
      </c>
      <c r="B11990" s="1" t="s">
        <v>11886</v>
      </c>
      <c r="C11990" t="str">
        <f>IFERROR(__xludf.DUMMYFUNCTION("GOOGLETRANSLATE(B11990, ""es"", ""en"")"),"I have surprised pleasantly surprised with the Casio G-Shock and truth that is past and many features, the price was on offer and the truth that came well protected with steel case.")</f>
        <v>I have surprised pleasantly surprised with the Casio G-Shock and truth that is past and many features, the price was on offer and the truth that came well protected with steel case.</v>
      </c>
    </row>
    <row r="11991">
      <c r="A11991" s="1">
        <v>5.0</v>
      </c>
      <c r="B11991" s="1" t="s">
        <v>11887</v>
      </c>
      <c r="C11991" t="str">
        <f>IFERROR(__xludf.DUMMYFUNCTION("GOOGLETRANSLATE(B11991, ""es"", ""en"")"),"Nice design. Sports are packaged in vacuum and in a cloth bag with a handle, zipper and a transparent window to see what's inside the bag: It will be very convenient to wear shoes in the suitcase on a trip, very nice touch by the seller!!! Sports design i"&amp;"s very beautiful and original, with vivid color gradient to black. And I really like that do not carry any absurd name written on the shoe (or running, or fashion or anything) so is not where they come from the same, or if they are in one or another rare "&amp;"brand.")</f>
        <v>Nice design. Sports are packaged in vacuum and in a cloth bag with a handle, zipper and a transparent window to see what's inside the bag: It will be very convenient to wear shoes in the suitcase on a trip, very nice touch by the seller!!! Sports design is very beautiful and original, with vivid color gradient to black. And I really like that do not carry any absurd name written on the shoe (or running, or fashion or anything) so is not where they come from the same, or if they are in one or another rare brand.</v>
      </c>
    </row>
    <row r="11992">
      <c r="A11992" s="1">
        <v>5.0</v>
      </c>
      <c r="B11992" s="1" t="s">
        <v>11888</v>
      </c>
      <c r="C11992" t="str">
        <f>IFERROR(__xludf.DUMMYFUNCTION("GOOGLETRANSLATE(B11992, ""es"", ""en"")"),"Perfect Good Quality")</f>
        <v>Perfect Good Quality</v>
      </c>
    </row>
    <row r="11993">
      <c r="A11993" s="1">
        <v>5.0</v>
      </c>
      <c r="B11993" s="1" t="s">
        <v>11889</v>
      </c>
      <c r="C11993" t="str">
        <f>IFERROR(__xludf.DUMMYFUNCTION("GOOGLETRANSLATE(B11993, ""es"", ""en"")"),"The first thing if I was priced out of Amazone cost 20 euros. If you want a watch for a person who is careless with their things this is the watch you were looking for. It is virtually unbreakable. The person I gave him is very happy. Yes, it is a clock b"&amp;"attle for every day line and youthful style.")</f>
        <v>The first thing if I was priced out of Amazone cost 20 euros. If you want a watch for a person who is careless with their things this is the watch you were looking for. It is virtually unbreakable. The person I gave him is very happy. Yes, it is a clock battle for every day line and youthful style.</v>
      </c>
    </row>
    <row r="11994">
      <c r="A11994" s="1">
        <v>5.0</v>
      </c>
      <c r="B11994" s="1" t="s">
        <v>11890</v>
      </c>
      <c r="C11994" t="str">
        <f>IFERROR(__xludf.DUMMYFUNCTION("GOOGLETRANSLATE(B11994, ""es"", ""en"")"),"Original. Perfect meets speeds W / R. Original.")</f>
        <v>Original. Perfect meets speeds W / R. Original.</v>
      </c>
    </row>
    <row r="11995">
      <c r="A11995" s="1">
        <v>5.0</v>
      </c>
      <c r="B11995" s="1" t="s">
        <v>11891</v>
      </c>
      <c r="C11995" t="str">
        <f>IFERROR(__xludf.DUMMYFUNCTION("GOOGLETRANSLATE(B11995, ""es"", ""en"")"),"Super comfortable I have heard very little and all handsets hurt me a few minutes. This however will not notice them, are super comfortable and perfectly fit my ear not making me no harm. The sound quality is very good and isolation as well. That is loade"&amp;"d into the box gives me much longer of use before having to load them again. Great detail the parts of the gums in a more modern color. Very easy to link with your phone")</f>
        <v>Super comfortable I have heard very little and all handsets hurt me a few minutes. This however will not notice them, are super comfortable and perfectly fit my ear not making me no harm. The sound quality is very good and isolation as well. That is loaded into the box gives me much longer of use before having to load them again. Great detail the parts of the gums in a more modern color. Very easy to link with your phone</v>
      </c>
    </row>
    <row r="11996">
      <c r="A11996" s="1">
        <v>5.0</v>
      </c>
      <c r="B11996" s="1" t="s">
        <v>11892</v>
      </c>
      <c r="C11996" t="str">
        <f>IFERROR(__xludf.DUMMYFUNCTION("GOOGLETRANSLATE(B11996, ""es"", ""en"")"),"excellent")</f>
        <v>excellent</v>
      </c>
    </row>
    <row r="11997">
      <c r="A11997" s="1">
        <v>5.0</v>
      </c>
      <c r="B11997" s="1" t="s">
        <v>11893</v>
      </c>
      <c r="C11997" t="str">
        <f>IFERROR(__xludf.DUMMYFUNCTION("GOOGLETRANSLATE(B11997, ""es"", ""en"")"),"NICE AND PRACTICES I liked the product, although it is true that small shoes. They are perfect for going to the beach.")</f>
        <v>NICE AND PRACTICES I liked the product, although it is true that small shoes. They are perfect for going to the beach.</v>
      </c>
    </row>
    <row r="11998">
      <c r="A11998" s="1">
        <v>5.0</v>
      </c>
      <c r="B11998" s="1" t="s">
        <v>11894</v>
      </c>
      <c r="C11998" t="str">
        <f>IFERROR(__xludf.DUMMYFUNCTION("GOOGLETRANSLATE(B11998, ""es"", ""en"")"),"Headset Comfy &lt;div id = ""video-block-R1GVOWFEAAX5ZJ"" class = ""a-section a-spacing-small a-spacing-top mini video-block""&gt; &lt;div tabindex = ""0"" class = ""airy airy-svg vmin-unsupported airy-skin-beacon ""style ="" background-color: rgb (0, 0, 0) positi"&amp;"on: relative; width: 100%; height: 100%; font-size: 0px; overflow: hidden; outline : none; ""&gt; &lt;div class ="" airy-renderer-container ""style ="" position: relative; height: 100%; width: 100%; ""&gt; &lt;video id ="" 15 ""preload ="" auto ""src ="" https://imag"&amp;"es-eu.ssl-images-amazon.com/images/I/B1hJOMIlTIS.mp4 ""style ="" position: absolute; left: 0px; top: 0px; overflow: hidden; height: 1px; width: 1px ; ""&gt; &lt;/ video&gt; &lt;/ div&gt; &lt;div id ="" airy-slate-preload ""style ="" background-color: rgb (0, 0, 0); backgro"&amp;"und-image: url (&amp; quot; https: // images-eu.ssl-images-amazon.com/images/I/91OehV7yT0S.png&amp;quot;); background-size: Contain; background-position: center center; background-repeat: no-repeat; position: absolute; top: 0px ; left: 0px; visibility: visible; w"&amp;"idth: 100%; height: 100%; ""&gt; &lt;/ div&gt; &lt;iframe scr olling = ""no"" frameborder = ""0"" src = ""about: blank"" style = ""display: none;""&gt; &lt;/ iframe&gt; &lt;div tabindex = ""- 1"" class = ""airy-controls-container"" style = "" opacity: 0; visibility: hidden; ""&gt; "&amp;"&lt;div tabindex ="" - 1 ""class ="" airy-screen-size-toggle airy-fullscreen ""&gt; &lt;/ div&gt; &lt;div tabindex ="" - 1 ""class ="" airy-container-bottom "" &gt; &lt;div tabindex = ""- 1"" class = ""airy-track-bar-spacer-left"" style = ""width: 11px;""&gt; &lt;/ div&gt; &lt;div tabind"&amp;"ex = ""- 1"" class = ""airy-play- airy toggle-play ""style ="" width: 12px; margin-right: 12px; ""&gt; &lt;/ div&gt; &lt;div tabindex ="" - 1 ""class ="" airy-audio-elements ""style ="" float: right; width: 34px; ""&gt; &lt;div tabindex ="" - 1 ""class ="" airy-audio-toggl"&amp;"e airy-on ""&gt; &lt;/ div&gt; &lt;div tabindex ="" - 1 ""class ="" airy-audio-container ""style = ""opacity: 0; visibility: hidden; ""&gt; &lt;div tabindex ="" - 1 ""class ="" airy-audio-track-bar ""style ="" height: 80%; ""&gt; &lt;div tabindex ="" - 1 ""class ="" airy-audio- "&amp;"Scrubber-bar ""style ="" height: 85%; ""&gt; &lt;/ div&gt; &lt;div tabindex ="" - 1 ""class ="" airy-audio-scrubber ""style ="" height: 12px; bottom: 85% ""&gt; &lt;/ div&gt; &lt;/ div&gt; &lt;/ div&gt; &lt;/ div&gt; &lt;div tabindex ="" - 1 ""class ="" airy-duration-label ""style ="" float: righ"&amp;"t; width: 26px; margin-right: 4px; text-align: center; ""&gt; 0:00 &lt;/ div&gt; &lt;div tabindex ="" - 1 ""class ="" airy-track-bar-spacer-right ""style ="" float: right; width: 11px; ""&gt; &lt;/ div&gt; &lt;div tabindex ="" - 1 ""class ="" airy-track-bar-container ""style ="""&amp;" margin-left: 35px; margin-right: 75px; ""&gt; &lt;div tabindex ="" - 1 ""class ="" airy-airy-track-bar vertically-centering-table ""&gt; &lt;div tabindex ="" - 1 ""class ="" airy-Vertical-centering- table-cell ""&gt; &lt;div tabindex ="" - 1 ""class ="" airy-track-bar-ele"&amp;"ments ""&gt; &lt;div tabindex ="" - 1 ""class ="" airy-progress-bar ""&gt; &lt;/ div&gt; &lt;div tabindex = ""- 1"" class = ""airy-scrubber-bar""&gt; &lt;/ div&gt; &lt;div tabindex = ""- 1"" class = ""airy-scrubber""&gt; &lt;div tabindex = ""- 1"" class = ""airy-scrubber- icon ""&gt; &lt;/ div&gt; &lt;"&amp;"div tabindex ="" - 1 ""class ="" airy-adjusted-AUI-tooltip ""style ="" opacity: 0; visibility: hidden; ""&gt; &lt;div tabindex ="" - 1 ""class ="" airy-adjusted-aui-tooltip-inner ""&gt; &lt;div tabindex ="" - 1 ""class ="" airy-current-time-label ""&gt; 0: 00 &lt;/ div&gt; &lt;/"&amp;" div&gt; &lt;div tabindex = ""- 1"" class = ""airy-adjusted-AUI-arrow-border""&gt; &lt;div tabindex = ""- 1"" class = ""airy-adjusted-AUI-arrow"" &gt; &lt;/ div&gt; &lt;/ div&gt; &lt;/ div&gt; &lt;/ div&gt; &lt;/ div&gt; &lt;/ div&gt; &lt;/ div&gt; &lt;/ div&gt; &lt;/ div&gt; &lt;/ div&gt; &lt;div tabindex = ""- 1"" class = ""airy-"&amp;"age-gate airy-stage airy-Vertical-centering-table airy-dialog"" style = ""opacity: 0; visibility: hidden; ""&gt; &lt;div tabindex ="" - 1 ""class ="" airy-age-gate-Vertical-centering-table-cell airy-Vertical-centering-table-cell ""&gt; &lt;div tabindex ="" - 1 ""clas"&amp;"s = ""airy-Vertical-centering-wrapper airy-age-gate-elements-wrapper""&gt; &lt;div tabindex = ""- 1"" class = ""airy-age-gate-elements airy-dialog-elements""&gt; &lt;div tabindex = "" -1 ""class ="" airy-age-gate-prompt ""&gt; This video is not Intended for all audience"&amp;"s What date were you born &lt;/ div&gt; &lt;div tabindex =.?"" - 1 ""class ="" airy-age-gate -inputs airy-dialog-inner-elements ""&gt; &lt;select tabindex ="" - 1 ""class ="" airy-age-gate-month ""&gt; &lt;option value ="" 1 ""&gt; January &lt;/ option&gt; &lt;option value ="" 2 ""&gt; Febr"&amp;"uary &lt;/ option&gt; &lt;option value ="" 3 ""&gt; March &lt;/ option&gt; &lt;option value ="" 4 ""&gt; April &lt;/ option&gt; &lt;option value ="" 5 ""&gt; May &lt;/ option&gt; &lt;option value = ""6""&gt; June &lt;/ option&gt; &lt;option value = ""7""&gt; July &lt;/ option&gt; &lt;option value = ""8""&gt; August &lt;/ option&gt;"&amp;" &lt;option value = ""9""&gt; September &lt;/ option&gt; &lt;option value = ""10""&gt; October &lt;/ option&gt; &lt;option value = ""11""&gt; November &lt;/ option&gt; &lt;option value = ""12""&gt; December &lt;/ option&gt; &lt;/ select&gt; &lt;select tabindex = ""- 1"" class = ""airy-age-gate-day""&gt; &lt;opti on v"&amp;"alue = ""1""&gt; 1 &lt;/ option&gt; &lt;option value = ""2""&gt; 2 &lt;/ option&gt; &lt;option value = ""3""&gt; 3 &lt;/ option&gt; &lt;option value = ""4""&gt; 4 &lt;/ option &gt; &lt;option value = ""5""&gt; 5 &lt;/ option&gt; &lt;option value = ""6""&gt; 6 &lt;/ option&gt; &lt;option value = ""7""&gt; 7 &lt;/ option&gt; &lt;option val"&amp;"ue = ""8""&gt; 8 &lt; / option&gt; &lt;option value = ""9""&gt; 9 &lt;/ option&gt; &lt;option value = ""10""&gt; 10 &lt;/ option&gt; &lt;option value = ""11""&gt; 11 &lt;/ option&gt; &lt;option value = ""12""&gt; 12 &lt;/ option&gt; &lt;option value = ""13""&gt; 13 &lt;/ option&gt; &lt;option value = ""14""&gt; 14 &lt;/ option&gt; &lt;op"&amp;"tion value = ""15""&gt; 15 &lt;/ option&gt; &lt;option value = ""16 ""&gt; 16 &lt;/ option&gt; &lt;option value ="" 17 ""&gt; 17 &lt;/ option&gt; &lt;option value ="" 18 ""&gt; 18 &lt;/ option&gt; &lt;option value ="" 19 ""&gt; 19 &lt;/ option&gt; &lt;option value = ""20""&gt; 20 &lt;/ option&gt; &lt;option value = ""21""&gt; 21"&amp;" &lt;/ option&gt; &lt;option value = ""22""&gt; 22 &lt;/ option&gt; &lt;option value = ""23""&gt; 23 &lt;/ option&gt; &lt;option value = ""24""&gt; 24 &lt;/ option&gt; &lt;option value = ""25""&gt; 25 &lt;/ option&gt; &lt;option value = ""26""&gt; 26 &lt;/ option&gt; &lt;option value = ""27""&gt; 27 &lt;/ option&gt; &lt;option value ="&amp;" ""28""&gt; 28 &lt;/ option&gt; &lt;option value = ""29""&gt; 29 &lt;/ option&gt; &lt;option value = ""30""&gt; 30 &lt;/ option&gt; &lt;option value = ""31""&gt; 31 &lt;/ option&gt; &lt;/ select&gt; &lt;select tabindex = ""- 1"" class = ""airy-age-gate-year""&gt; &lt;option value = ""2019""&gt; 2019 &lt;/ option&gt; &lt; opti"&amp;"on value = ""2018""&gt; 2018 &lt;/ option&gt; &lt;option value = ""2017""&gt; 2017 &lt;/ option&gt; &lt;option value = ""2016""&gt; ​​2016 &lt;/ option&gt; &lt;option value = ""2015""&gt; 2015 &lt;/ option &gt; &lt;option value = ""2014""&gt; 2014 &lt;/ option&gt; &lt;option value = ""2013""&gt; 2013 &lt;/ option&gt; &lt;opti"&amp;"on value = ""2012""&gt; 2012 &lt;/ option&gt; &lt;option value = ""2011""&gt; 2011 &lt; / option&gt; &lt;option value = ""2010""&gt; 2010 &lt;/ option&gt; &lt;option value = ""2009""&gt; 2009 &lt;/ option&gt; &lt;option value = ""2008""&gt; 2008 &lt;/ option&gt; &lt;option value = ""2007""&gt; 2007 &lt;/ option&gt; &lt;option"&amp;" value = ""2006""&gt; 2006 &lt;/ option&gt; &lt;option value = ""2005""&gt; 2005 &lt;/ option&gt; &lt;option value = ""2004""&gt; 2004 &lt;/ option&gt; &lt;option value = ""2003 ""&gt; 2003 &lt;/ option&gt; &lt;option value ="" 2002 ""&gt; 2002 &lt;/ option&gt; &lt;option value ="" 2001 ""&gt; 2001 &lt;/ option&gt; &lt;option"&amp;" value ="" 2000 ""&gt; 2000 &lt;/ option&gt; &lt;option value = ""1999""&gt; 1999 &lt;/ option&gt; &lt;option value = ""1998""&gt; 1998 &lt;/ option&gt; &lt;option value = ""1997""&gt; 1997 &lt;/ option&gt; &lt;option value = ""1996""&gt; 1996 &lt;/ option&gt; &lt;option value = ""1995""&gt; 1995 &lt;/ option&gt; &lt;option v"&amp;"alue = ""1994""&gt; 1994 &lt;/ option&gt; &lt;option value = ""1993""&gt; 1993 &lt;/ option&gt; &lt;option value = ""1992""&gt; 1992 &lt;/ option&gt; &lt;option value = ""1991""&gt; 1991 &lt;/ option&gt; &lt;option value = ""1990""&gt; 1990 &lt;/ option&gt; &lt;option value = "" 1989 ""&gt; 1989 &lt;/ option&gt; &lt;option va"&amp;"lue ="" 1988 ""&gt; 1988 &lt;/ option&gt; &lt;option value ="" 1987 ""&gt; 1987 &lt;/ option&gt; &lt;option value ="" 1986 ""&gt; 1986 &lt;/ option&gt; &lt;value option = ""1985""&gt; 1985 &lt;/ option&gt; &lt;option value = ""1984""&gt; 1984 &lt;/ option&gt; &lt;option value = ""1983""&gt; 1983 &lt;/ option&gt; &lt;option va"&amp;"lue = ""1982""&gt; 1982 &lt;/ option&gt; &lt; option value = ""1981""&gt; 1981 &lt;/ option&gt; &lt;option value = ""1980""&gt; 1980 &lt;/ option&gt; &lt;option value = ""1979""&gt; 1979 &lt;/ option&gt; &lt;option value = ""1978""&gt; 1978 &lt;/ option &gt; &lt;option value = ""1977""&gt; 1977 &lt;/ option&gt; &lt;option val"&amp;"ue = ""1976""&gt; 1976 &lt;/ option&gt; &lt;option value = ""1975""&gt; 1975 &lt;/ option&gt; &lt;option value = ""1974""&gt; 1974 &lt; / option&gt; &lt;option value = ""1973""&gt; 1973 &lt;/ option&gt; &lt;option value = ""1972""&gt; 1972 &lt;/ option&gt; &lt;option value = ""1971""&gt; 1971 &lt;/ option&gt; &lt;option value"&amp;" = ""1970""&gt;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"&amp;"= ""1958""&gt; 1958 &lt;/ option&gt; &lt;option value = ""1957""&gt; 1957 &lt;/ option&gt; &lt;option value = ""1956""&gt; 1956 &lt;/ option&gt; &lt;option value = ""1955""&gt; 1955 &lt;/ option&gt; &lt;option value = ""1954""&gt; 1954 &lt;/ option&gt; &lt;option value = ""1953""&gt; 1953 &lt;/ option&gt; &lt;option value = "&amp;"""1952""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="&amp;" ""1940""&gt;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&lt;value option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airy-stage airy -vertical-centering-table-dialog airy airy-denied ""style ="" opacity: 0;"&amp;" visibility: hidden; ""&gt; &lt;div tabindex ="" - 1 ""class ="" airy-install-flash-Vertical-centering-table-cell airy-Vertical-centering-table-cell ""&gt; &lt;div tabindex ="" - 1 ""class = ""airy-Vertical-centering-wrapper airy-install-flash-elements-wrapper""&gt; &lt;di"&amp;"v tabindex = ""- 1"" class = ""airy-install-flash-elements airy-dialog-elements""&gt; &lt;div tabindex = "" -1 ""class ="" airy-install-flash-prompt ""&gt; Adobe Flash Player is required to watch this video &lt;/ div&gt; &lt;div tabindex =."" - 1 ""class ="" airy-install-f"&amp;"lash-button-wrapper airy -dialog-inner-elements ""&gt; &lt;div tabindex ="" - 1 ""class ="" airy-install-flash-button airy-button ""&gt; install Flash Player &lt;/ div&gt; &lt;/ div&gt; &lt;/ div&gt; &lt;/ div&gt; &lt;/ div&gt; &lt;/ div&gt; &lt;div tabindex = ""- 1"" class = ""airy-video-unsupported-d"&amp;"ialog airy-stage airy-Vertical-centering-table airy-dialog airy-denied"" style = ""opacity: 0; visibility: hidden; ""&gt; &lt;div tabindex ="" - 1 ""class ="" airy-video-unsupported-Vertical-centering-table-cell airy-Vertical-centering-table-cell ""&gt; &lt;div tabin"&amp;"dex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tabinde"&amp;"x ="" - 1 ""class ="" airy-loading-spinner-container airy-scalable-hint-container ""&gt; &lt;div tabindex ="" - 1 ""class ="" airy-loading-spinner-dummy airy-scalable-dummy ""&gt; &lt;/ div&gt; &lt; div tabindex = ""- 1"" class = ""airy-loading-spinner airy-hint"" style = "&amp;"""visibility: hidden;""&gt; &lt;/ div&gt; &lt;/ div&gt; &lt;/ div&gt; &lt;/ div&gt; &lt;div tabindex = ""- 1 ""class ="" airy-ads-screen-size-toggle airy-screen-size-toggle-fullscreen airy ""style ="" visibility: hidden; ""&gt; &lt;/ div&gt; &lt;div tabindex = ""-1"" class = ""airy-ad-prompt-cont"&amp;"ainer"" style = ""visibility: hidden;""&gt; &lt;div tabindex = ""- 1"" class = ""airy-ad-prompt-Vertical-centering-table-vertically airy centering-table ""&gt; &lt;div tabindex ="" - 1 ""class ="" airy-ad-prompt-Vertical-centering-table-cell airy-Vertical-centering-t"&amp;"able-cell ""&gt; &lt;div tabindex ="" - 1 ""class = ""airy-ad-prompt-label""&gt; &lt;/ div&gt; &lt;/ div&gt; &lt;/ div&gt; &lt;/ div&gt; &lt;div tabindex = ""- 1"" class = ""airy-ads-controls-container"" style = ""visibility: hidden; ""&gt; &lt;div tabindex ="" - 1 ""class ="" airy-ads-audio-togg"&amp;"le airy-audio-toggle airy-on ""style ="" visibility: hidden; ""&gt; &lt;/ div&gt; &lt;div tabindex ="" - 1 ""class ="" airy-time-remaining-label-container ""&gt; &lt;div tabindex ="" - 1 ""class ="" airy-time-remaining-Vertical-centering-table airy-Vertical-centering-table"&amp;"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&lt;/ "&amp;"div&gt; &lt;/ div&gt; &lt;/ div&gt; &lt;/ div&gt; &lt;/ div&gt; &lt;div tabindex ="" - 1 ""class ="" airy-learn-more ""style ="" visibility: hidden; ""&gt; &lt;/ div&gt; &lt;/ div&gt; &lt;div tabindex = ""- 1"" class = ""airy-play-toggle-hint-stage airy-stage airy-cursor""&gt; &lt;div tabindex = ""- 1"" clas"&amp;"s = ""airy-play -toggle-hint-Vertical-centering-table-cell airy-Vertical-centering-table-cell airy-cursor ""&gt; &lt;div tabindex ="" - 1 ""class ="" airy-play-toggle-hint-container airy-scalable- Hint-container ""&gt; &lt;div tabindex ="" - 1 ""class ="" airy-play-t"&amp;"oggle-hint-dummy airy-scalable-dummy ""&gt; &lt;/ div&gt; &lt;div tabindex ="" - 1 ""class ="" airy-play -toggle-hint hint airy-airy-play-hint ""style ="" opacity: 1; visibility: visible; ""&gt; &lt;/ div&gt; &lt;/ div&gt; &lt;/ div&gt; &lt;/ div&gt; &lt;div tabindex ="" - 1 ""class ="" airy-repl"&amp;"ay-hint-stage airy-stage ""style ="" visibility: hidden ; ""&gt; &lt;div tabindex ="" - 1 ""class ="" airy-replay-hint-Vertical-centering-table-cell airy-Vertical-centering-table-cell airy-cursor ""&gt; &lt;div tabindex ="" - 1 ""class = ""airy-replay-hint-container "&amp;"airy-scalable-hint-container""&gt; &lt;div tabindex = ""- 1"" class = ""airy-replay-hint-dummy airy-scalable-dummy""&gt; &lt;/ div&gt; &lt;div tabindex = ""- 1"" class = ""airy-replay-hint airy-hint""&gt; &lt;/ div&gt; &lt;/ div&gt; &lt;/ div&gt; &lt;/ div&gt; &lt;div tabindex = ""- 1"" class = ""airy-"&amp;"autoplay-hint -stage airy-stage ""style ="" visibility: hidden; ""&gt; &lt;div tabindex ="" - 1 ""class ="" airy-autoplay-hint-Vertical-centering-table-cell airy-Vertical-centering-table-cell airy- cursor ""&gt; &lt;div tabindex ="" - 1 ""class ="" autoplay airy-airy"&amp;"-hint-container-scalable-hint-container ""&gt; &lt;div tabindex ="" - 1 ""class ="" airy-autoplay-hint-dummy airy- scalable-dummy ""&gt; &lt;/ div&gt; &lt;/ div&gt; &lt;/ div&gt; &lt;/ div&gt; &lt;/ div&gt; &lt;/ div&gt; &lt;input type ="" hidden ""name ="" ""value ="" https: // images-eu .ssl-images-a"&amp;"mazon.com / images / I / B1hJOMIlTIS.mp4 ""Class ="" video-url ""&gt; &lt;input type ="" hidden ""name ="" ""value ="" https://images-eu.ssl-images-amazon.com/images/I/91OehV7yT0S.png ""class ="" video-slate-img-url ""&gt; &amp; nbsp; Bluetooth headset very easy to ha"&amp;"ndle, is matched very fast besides that not only can I use with mobile. They adapt very well to the ear and button shape does not bother at all on the inside of the ear canal as it fits perfectly. Crisp and clear sound, lights up with a simple push on hea"&amp;"dphones if you press remains is a few seconds for pairing of both (this is so that not only the sound is played on a headset only). The cargo bed is super practical at the time that it introdicen begin to charge (indicative lights have the burden of these"&amp;") is charged via micro USB. One of the most striking aspects dd these headphones is the long life of its batteries something highly recommended for anyone who wants to enjoy time dd enjoy your favorite music. I will acquired for a recommendation and am en"&amp;"cantadisimo.")</f>
        <v>Headset Comfy &lt;div id = "video-block-R1GVOWFEAAX5ZJ"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15 "preload =" auto "src =" https://images-eu.ssl-images-amazon.com/images/I/B1hJOMIlTIS.mp4 "style =" position: absolute; left: 0px; top: 0px; overflow: hidden; height: 1px; width: 1px ; "&gt; &lt;/ video&gt; &lt;/ div&gt; &lt;div id =" airy-slate-preload "style =" background-color: rgb (0, 0, 0); background-image: url (&amp; quot; https: // images-eu.ssl-images-amazon.com/images/I/91OehV7yT0S.png&amp;quot;); background-size: Contain; background-position: center center; background-repeat: no-repeat; position: absolute; top: 0px ; left: 0px; visibility: visible; width: 100%; height: 100%; "&gt; &lt;/ div&gt; &lt;iframe scr olling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B1hJOMIlTIS.mp4 "Class =" video-url "&gt; &lt;input type =" hidden "name =" "value =" https://images-eu.ssl-images-amazon.com/images/I/91OehV7yT0S.png "class =" video-slate-img-url "&gt; &amp; nbsp; Bluetooth headset very easy to handle, is matched very fast besides that not only can I use with mobile. They adapt very well to the ear and button shape does not bother at all on the inside of the ear canal as it fits perfectly. Crisp and clear sound, lights up with a simple push on headphones if you press remains is a few seconds for pairing of both (this is so that not only the sound is played on a headset only). The cargo bed is super practical at the time that it introdicen begin to charge (indicative lights have the burden of these) is charged via micro USB. One of the most striking aspects dd these headphones is the long life of its batteries something highly recommended for anyone who wants to enjoy time dd enjoy your favorite music. I will acquired for a recommendation and am encantadisimo.</v>
      </c>
    </row>
    <row r="11999">
      <c r="A11999" s="1">
        <v>5.0</v>
      </c>
      <c r="B11999" s="1" t="s">
        <v>11895</v>
      </c>
      <c r="C11999" t="str">
        <f>IFERROR(__xludf.DUMMYFUNCTION("GOOGLETRANSLATE(B11999, ""es"", ""en"")"),"Economic Pack very well priced.")</f>
        <v>Economic Pack very well priced.</v>
      </c>
    </row>
    <row r="12000">
      <c r="A12000" s="1">
        <v>5.0</v>
      </c>
      <c r="B12000" s="1" t="s">
        <v>11896</v>
      </c>
      <c r="C12000" t="str">
        <f>IFERROR(__xludf.DUMMYFUNCTION("GOOGLETRANSLATE(B12000, ""es"", ""en"")"),"You comfortable. A little faster than my old shoes. The shoes are fine. Comfortable and a little faster than previous Nike Vomero he used. They adapt very well to the foot. I had to ask 42 2/3 since the last issue I was little, my number of normal foot is"&amp;" 41, so I recommend buying one or two sizes. Otherwise very fine for now, only I used three times, but I'm happy with them. Recommended to get a little more speed.")</f>
        <v>You comfortable. A little faster than my old shoes. The shoes are fine. Comfortable and a little faster than previous Nike Vomero he used. They adapt very well to the foot. I had to ask 42 2/3 since the last issue I was little, my number of normal foot is 41, so I recommend buying one or two sizes. Otherwise very fine for now, only I used three times, but I'm happy with them. Recommended to get a little more speed.</v>
      </c>
    </row>
    <row r="12001">
      <c r="A12001" s="1">
        <v>5.0</v>
      </c>
      <c r="B12001" s="1" t="s">
        <v>11897</v>
      </c>
      <c r="C12001" t="str">
        <f>IFERROR(__xludf.DUMMYFUNCTION("GOOGLETRANSLATE(B12001, ""es"", ""en"")"),"The subject of all I bought for the gym and I have no hits. It is extremely comfortable and chest is completely subject.")</f>
        <v>The subject of all I bought for the gym and I have no hits. It is extremely comfortable and chest is completely subject.</v>
      </c>
    </row>
    <row r="12002">
      <c r="A12002" s="1">
        <v>5.0</v>
      </c>
      <c r="B12002" s="1" t="s">
        <v>11898</v>
      </c>
      <c r="C12002" t="str">
        <f>IFERROR(__xludf.DUMMYFUNCTION("GOOGLETRANSLATE(B12002, ""es"", ""en"")"),"Perfect Definitely a great buy, they are strong and sturdy shoes, would buy them!")</f>
        <v>Perfect Definitely a great buy, they are strong and sturdy shoes, would buy them!</v>
      </c>
    </row>
    <row r="12003">
      <c r="A12003" s="1">
        <v>5.0</v>
      </c>
      <c r="B12003" s="1" t="s">
        <v>11899</v>
      </c>
      <c r="C12003" t="str">
        <f>IFERROR(__xludf.DUMMYFUNCTION("GOOGLETRANSLATE(B12003, ""es"", ""en"")"),"10 being excellent buy!")</f>
        <v>10 being excellent buy!</v>
      </c>
    </row>
    <row r="12004">
      <c r="A12004" s="1">
        <v>5.0</v>
      </c>
      <c r="B12004" s="1" t="s">
        <v>11900</v>
      </c>
      <c r="C12004" t="str">
        <f>IFERROR(__xludf.DUMMYFUNCTION("GOOGLETRANSLATE(B12004, ""es"", ""en"")"),"I like cheap. But closing I would like to safer")</f>
        <v>I like cheap. But closing I would like to safer</v>
      </c>
    </row>
    <row r="12005">
      <c r="A12005" s="1">
        <v>5.0</v>
      </c>
      <c r="B12005" s="1" t="s">
        <v>11901</v>
      </c>
      <c r="C12005" t="str">
        <f>IFERROR(__xludf.DUMMYFUNCTION("GOOGLETRANSLATE(B12005, ""es"", ""en"")"),"Shoulder bag gentleman I liked and my husband too, was a gift that I made and now goes anywhere without ella.😀")</f>
        <v>Shoulder bag gentleman I liked and my husband too, was a gift that I made and now goes anywhere without ella.😀</v>
      </c>
    </row>
    <row r="12006">
      <c r="A12006" s="1">
        <v>2.0</v>
      </c>
      <c r="B12006" s="1" t="s">
        <v>11902</v>
      </c>
      <c r="C12006" t="str">
        <f>IFERROR(__xludf.DUMMYFUNCTION("GOOGLETRANSLATE(B12006, ""es"", ""en"")"),"I returned for incompatible. I gave it back because it was good for my radio-CD with ""cabasse"" model ""tronic"" a Laguna III. Advertising the product is not very accurate, and translation botched. So that to prove, not to break the seal, as it will in a"&amp;"n envelope with a ""Flip"". I went crazy for access to radio back (utensils not serve par all radios) and after reaching the amplifier-tuner (what you see in the single car is the charger and keypad, the radio itself is behind the glove), that there is no"&amp;" ""hollow"" for this connection.")</f>
        <v>I returned for incompatible. I gave it back because it was good for my radio-CD with "cabasse" model "tronic" a Laguna III. Advertising the product is not very accurate, and translation botched. So that to prove, not to break the seal, as it will in an envelope with a "Flip". I went crazy for access to radio back (utensils not serve par all radios) and after reaching the amplifier-tuner (what you see in the single car is the charger and keypad, the radio itself is behind the glove), that there is no "hollow" for this connection.</v>
      </c>
    </row>
    <row r="12007">
      <c r="A12007" s="1">
        <v>3.0</v>
      </c>
      <c r="B12007" s="1" t="s">
        <v>11903</v>
      </c>
      <c r="C12007" t="str">
        <f>IFERROR(__xludf.DUMMYFUNCTION("GOOGLETRANSLATE(B12007, ""es"", ""en"")"),"They sound tinny sound bad, the battery lasts them a sigh and seems also one of them has less battery power than the other. Like I have to be exchanged.")</f>
        <v>They sound tinny sound bad, the battery lasts them a sigh and seems also one of them has less battery power than the other. Like I have to be exchanged.</v>
      </c>
    </row>
    <row r="12008">
      <c r="A12008" s="1">
        <v>3.0</v>
      </c>
      <c r="B12008" s="1" t="s">
        <v>11904</v>
      </c>
      <c r="C12008" t="str">
        <f>IFERROR(__xludf.DUMMYFUNCTION("GOOGLETRANSLATE(B12008, ""es"", ""en"")"),"very straight The fabric was expected, warm and with a long reaching me just below the knees (I measure 1.60), which did not like is me in the photo looks like it is fitted at the waist but the I wear it I found it too straight, as if carrying a sack over"&amp;", I recommend it to curvy women few, if you're a woman narrow waist and wide hips will make you many folds in the lower back and the area of ​​the belly. I use the size 42/44 and me is great. I would not buy.")</f>
        <v>very straight The fabric was expected, warm and with a long reaching me just below the knees (I measure 1.60), which did not like is me in the photo looks like it is fitted at the waist but the I wear it I found it too straight, as if carrying a sack over, I recommend it to curvy women few, if you're a woman narrow waist and wide hips will make you many folds in the lower back and the area of ​​the belly. I use the size 42/44 and me is great. I would not buy.</v>
      </c>
    </row>
    <row r="12009">
      <c r="A12009" s="1">
        <v>1.0</v>
      </c>
      <c r="B12009" s="1" t="s">
        <v>11905</v>
      </c>
      <c r="C12009" t="str">
        <f>IFERROR(__xludf.DUMMYFUNCTION("GOOGLETRANSLATE(B12009, ""es"", ""en"")"),"Good touch opens followed the brush with anything")</f>
        <v>Good touch opens followed the brush with anything</v>
      </c>
    </row>
    <row r="12010">
      <c r="A12010" s="1">
        <v>1.0</v>
      </c>
      <c r="B12010" s="1" t="s">
        <v>11906</v>
      </c>
      <c r="C12010" t="str">
        <f>IFERROR(__xludf.DUMMYFUNCTION("GOOGLETRANSLATE(B12010, ""es"", ""en"")"),"Poor quality of sound materials and I returned it, has a very poor quality. If you want to listen to football, they can be worth, for music, not even close.")</f>
        <v>Poor quality of sound materials and I returned it, has a very poor quality. If you want to listen to football, they can be worth, for music, not even close.</v>
      </c>
    </row>
    <row r="12011">
      <c r="A12011" s="1">
        <v>1.0</v>
      </c>
      <c r="B12011" s="1" t="s">
        <v>11907</v>
      </c>
      <c r="C12011" t="str">
        <f>IFERROR(__xludf.DUMMYFUNCTION("GOOGLETRANSLATE(B12011, ""es"", ""en"")"),"Teats Teats 1 are for those that bring newborn, those of the 1. And not indicated in any description of the product.")</f>
        <v>Teats Teats 1 are for those that bring newborn, those of the 1. And not indicated in any description of the product.</v>
      </c>
    </row>
    <row r="12012">
      <c r="A12012" s="1">
        <v>4.0</v>
      </c>
      <c r="B12012" s="1" t="s">
        <v>11908</v>
      </c>
      <c r="C12012" t="str">
        <f>IFERROR(__xludf.DUMMYFUNCTION("GOOGLETRANSLATE(B12012, ""es"", ""en"")"),"I love I really like")</f>
        <v>I love I really like</v>
      </c>
    </row>
    <row r="12013">
      <c r="A12013" s="1">
        <v>4.0</v>
      </c>
      <c r="B12013" s="1" t="s">
        <v>11909</v>
      </c>
      <c r="C12013" t="str">
        <f>IFERROR(__xludf.DUMMYFUNCTION("GOOGLETRANSLATE(B12013, ""es"", ""en"")"),"good good")</f>
        <v>good good</v>
      </c>
    </row>
    <row r="12014">
      <c r="A12014" s="1">
        <v>4.0</v>
      </c>
      <c r="B12014" s="1" t="s">
        <v>11910</v>
      </c>
      <c r="C12014" t="str">
        <f>IFERROR(__xludf.DUMMYFUNCTION("GOOGLETRANSLATE(B12014, ""es"", ""en"")"),"A great buy A super practical and very aesthetic herbidor, the pity is that minimum must have always 0'8l water, but as good has plenty of capacity")</f>
        <v>A great buy A super practical and very aesthetic herbidor, the pity is that minimum must have always 0'8l water, but as good has plenty of capacity</v>
      </c>
    </row>
    <row r="12015">
      <c r="A12015" s="1">
        <v>4.0</v>
      </c>
      <c r="B12015" s="1" t="s">
        <v>11911</v>
      </c>
      <c r="C12015" t="str">
        <f>IFERROR(__xludf.DUMMYFUNCTION("GOOGLETRANSLATE(B12015, ""es"", ""en"")"),"GOOD Son boots for work is very good and truth that are highly recommended for the price they have is better than most professional other boots.")</f>
        <v>GOOD Son boots for work is very good and truth that are highly recommended for the price they have is better than most professional other boots.</v>
      </c>
    </row>
    <row r="12016">
      <c r="A12016" s="1">
        <v>4.0</v>
      </c>
      <c r="B12016" s="1" t="s">
        <v>11912</v>
      </c>
      <c r="C12016" t="str">
        <f>IFERROR(__xludf.DUMMYFUNCTION("GOOGLETRANSLATE(B12016, ""es"", ""en"")"),"Wine with a little liquid leak, have not tried it yet")</f>
        <v>Wine with a little liquid leak, have not tried it yet</v>
      </c>
    </row>
    <row r="12017">
      <c r="A12017" s="1">
        <v>5.0</v>
      </c>
      <c r="B12017" s="1" t="s">
        <v>11913</v>
      </c>
      <c r="C12017" t="str">
        <f>IFERROR(__xludf.DUMMYFUNCTION("GOOGLETRANSLATE(B12017, ""es"", ""en"")"),"Ok good")</f>
        <v>Ok good</v>
      </c>
    </row>
    <row r="12018">
      <c r="A12018" s="1">
        <v>5.0</v>
      </c>
      <c r="B12018" s="1" t="s">
        <v>11914</v>
      </c>
      <c r="C12018" t="str">
        <f>IFERROR(__xludf.DUMMYFUNCTION("GOOGLETRANSLATE(B12018, ""es"", ""en"")"),"Good product recommended to run because its weight and not notice gives warmth. Connectivity is a little uncomfortable because you go blind. If you connect to the mobile control better because you take songs, but if you do not know the radio station and w"&amp;"hat are volume .... would be ideal to control it with an App.")</f>
        <v>Good product recommended to run because its weight and not notice gives warmth. Connectivity is a little uncomfortable because you go blind. If you connect to the mobile control better because you take songs, but if you do not know the radio station and what are volume .... would be ideal to control it with an App.</v>
      </c>
    </row>
    <row r="12019">
      <c r="A12019" s="1">
        <v>5.0</v>
      </c>
      <c r="B12019" s="1" t="s">
        <v>11915</v>
      </c>
      <c r="C12019" t="str">
        <f>IFERROR(__xludf.DUMMYFUNCTION("GOOGLETRANSLATE(B12019, ""es"", ""en"")"),"100% recommended cleans very well, excellent value for money")</f>
        <v>100% recommended cleans very well, excellent value for money</v>
      </c>
    </row>
    <row r="12020">
      <c r="A12020" s="1">
        <v>5.0</v>
      </c>
      <c r="B12020" s="1" t="s">
        <v>11916</v>
      </c>
      <c r="C12020" t="str">
        <f>IFERROR(__xludf.DUMMYFUNCTION("GOOGLETRANSLATE(B12020, ""es"", ""en"")"),"Value for money unbeatable A watch nice, comfortable and almost weightless for a more than reasonable price. I recommend purchase. Excellent Encío by Amazon.")</f>
        <v>Value for money unbeatable A watch nice, comfortable and almost weightless for a more than reasonable price. I recommend purchase. Excellent Encío by Amazon.</v>
      </c>
    </row>
    <row r="12021">
      <c r="A12021" s="1">
        <v>5.0</v>
      </c>
      <c r="B12021" s="1" t="s">
        <v>11917</v>
      </c>
      <c r="C12021" t="str">
        <f>IFERROR(__xludf.DUMMYFUNCTION("GOOGLETRANSLATE(B12021, ""es"", ""en"")"),"Perfect We hear very well, they are super practical for the gym, wear magnets that if you take them off for a moment not fall, bring your bag and a metal box for storage that comes in handy, they also bring almuadillas of various sizes for you fit perfect"&amp;"ly. Very happy with the purchase")</f>
        <v>Perfect We hear very well, they are super practical for the gym, wear magnets that if you take them off for a moment not fall, bring your bag and a metal box for storage that comes in handy, they also bring almuadillas of various sizes for you fit perfectly. Very happy with the purchase</v>
      </c>
    </row>
    <row r="12022">
      <c r="A12022" s="1">
        <v>5.0</v>
      </c>
      <c r="B12022" s="1" t="s">
        <v>11918</v>
      </c>
      <c r="C12022" t="str">
        <f>IFERROR(__xludf.DUMMYFUNCTION("GOOGLETRANSLATE(B12022, ""es"", ""en"")"),"It is very effective to grease")</f>
        <v>It is very effective to grease</v>
      </c>
    </row>
    <row r="12023">
      <c r="A12023" s="1">
        <v>5.0</v>
      </c>
      <c r="B12023" s="1" t="s">
        <v>11919</v>
      </c>
      <c r="C12023" t="str">
        <f>IFERROR(__xludf.DUMMYFUNCTION("GOOGLETRANSLATE(B12023, ""es"", ""en"")"),"It sounds best I've seen much better than expensive headphones for stage (monitors). Serious incredible !!!!")</f>
        <v>It sounds best I've seen much better than expensive headphones for stage (monitors). Serious incredible !!!!</v>
      </c>
    </row>
    <row r="12024">
      <c r="A12024" s="1">
        <v>5.0</v>
      </c>
      <c r="B12024" s="1" t="s">
        <v>11920</v>
      </c>
      <c r="C12024" t="str">
        <f>IFERROR(__xludf.DUMMYFUNCTION("GOOGLETRANSLATE(B12024, ""es"", ""en"")"),"Good Very good watch. It was a gift given but was satisfied")</f>
        <v>Good Very good watch. It was a gift given but was satisfied</v>
      </c>
    </row>
    <row r="12025">
      <c r="A12025" s="1">
        <v>5.0</v>
      </c>
      <c r="B12025" s="1" t="s">
        <v>932</v>
      </c>
      <c r="C12025" t="str">
        <f>IFERROR(__xludf.DUMMYFUNCTION("GOOGLETRANSLATE(B12025, ""es"", ""en"")"),"All right all right")</f>
        <v>All right all right</v>
      </c>
    </row>
    <row r="12026">
      <c r="A12026" s="1">
        <v>5.0</v>
      </c>
      <c r="B12026" s="1" t="s">
        <v>11921</v>
      </c>
      <c r="C12026" t="str">
        <f>IFERROR(__xludf.DUMMYFUNCTION("GOOGLETRANSLATE(B12026, ""es"", ""en"")"),"I have really liked satisfied helmets, these being very good according to the value. I also liked much the sizes of ear pads come color depending on the size and come with a tool to roll the helmets and holding them so they do not roll up. Quite satisfied"&amp;".")</f>
        <v>I have really liked satisfied helmets, these being very good according to the value. I also liked much the sizes of ear pads come color depending on the size and come with a tool to roll the helmets and holding them so they do not roll up. Quite satisfied.</v>
      </c>
    </row>
    <row r="12027">
      <c r="A12027" s="1">
        <v>5.0</v>
      </c>
      <c r="B12027" s="1" t="s">
        <v>11922</v>
      </c>
      <c r="C12027" t="str">
        <f>IFERROR(__xludf.DUMMYFUNCTION("GOOGLETRANSLATE(B12027, ""es"", ""en"")"),"Good sound money is great, very crisp sound is heard very well. The design very comfortable to place it in the ear and not uncomfortable. It comes in a little bag with its cable to charge and comfortable to carry and store.")</f>
        <v>Good sound money is great, very crisp sound is heard very well. The design very comfortable to place it in the ear and not uncomfortable. It comes in a little bag with its cable to charge and comfortable to carry and store.</v>
      </c>
    </row>
    <row r="12028">
      <c r="A12028" s="1">
        <v>5.0</v>
      </c>
      <c r="B12028" s="1" t="s">
        <v>11923</v>
      </c>
      <c r="C12028" t="str">
        <f>IFERROR(__xludf.DUMMYFUNCTION("GOOGLETRANSLATE(B12028, ""es"", ""en"")"),"Wireless headphones sound good and white touch tap the headset itself color. They have a very modern design, in addition to the white be give it an extra kick. The sound is very good, in fact impressed me for its price. Connectivity is very simple, and co"&amp;"mes with a box that serves as a charger at the same time. As for the battery life I can not confirm that I left plugged me for a week.")</f>
        <v>Wireless headphones sound good and white touch tap the headset itself color. They have a very modern design, in addition to the white be give it an extra kick. The sound is very good, in fact impressed me for its price. Connectivity is very simple, and comes with a box that serves as a charger at the same time. As for the battery life I can not confirm that I left plugged me for a week.</v>
      </c>
    </row>
    <row r="12029">
      <c r="A12029" s="1">
        <v>5.0</v>
      </c>
      <c r="B12029" s="1" t="s">
        <v>11924</v>
      </c>
      <c r="C12029" t="str">
        <f>IFERROR(__xludf.DUMMYFUNCTION("GOOGLETRANSLATE(B12029, ""es"", ""en"")"),"Va perfect perfect for travel, easy to use and dismantle, has enough power to grind smoothly")</f>
        <v>Va perfect perfect for travel, easy to use and dismantle, has enough power to grind smoothly</v>
      </c>
    </row>
    <row r="12030">
      <c r="A12030" s="1">
        <v>5.0</v>
      </c>
      <c r="B12030" s="1" t="s">
        <v>11925</v>
      </c>
      <c r="C12030" t="str">
        <f>IFERROR(__xludf.DUMMYFUNCTION("GOOGLETRANSLATE(B12030, ""es"", ""en"")"),"Kettle good and I like its design capacity. Boils fast and keeps the hot water. Although the opening of the cap is different from other kettles I've had, I feel comfortable and safe.")</f>
        <v>Kettle good and I like its design capacity. Boils fast and keeps the hot water. Although the opening of the cap is different from other kettles I've had, I feel comfortable and safe.</v>
      </c>
    </row>
    <row r="12031">
      <c r="A12031" s="1">
        <v>5.0</v>
      </c>
      <c r="B12031" s="1" t="s">
        <v>11926</v>
      </c>
      <c r="C12031" t="str">
        <f>IFERROR(__xludf.DUMMYFUNCTION("GOOGLETRANSLATE(B12031, ""es"", ""en"")"),"JESU Its material transparent glass lets you see inside to see their level, temperature and color.En my case is an essential appliance, and with this not only heats water but also can make my home infusion (lemon, ginger and cinnamon) with removable filte"&amp;"r and dispense pot. It has constant temperature indicator so you can adjust the temperature to your liking. If you decide to buy it, note that the boiler takes a time off from the water boils so produce enough steam / condensation. Be sure to close the co"&amp;"ver, otherwise it will not automatically turn off.")</f>
        <v>JESU Its material transparent glass lets you see inside to see their level, temperature and color.En my case is an essential appliance, and with this not only heats water but also can make my home infusion (lemon, ginger and cinnamon) with removable filter and dispense pot. It has constant temperature indicator so you can adjust the temperature to your liking. If you decide to buy it, note that the boiler takes a time off from the water boils so produce enough steam / condensation. Be sure to close the cover, otherwise it will not automatically turn off.</v>
      </c>
    </row>
    <row r="12032">
      <c r="A12032" s="1">
        <v>5.0</v>
      </c>
      <c r="B12032" s="1" t="s">
        <v>11927</v>
      </c>
      <c r="C12032" t="str">
        <f>IFERROR(__xludf.DUMMYFUNCTION("GOOGLETRANSLATE(B12032, ""es"", ""en"")"),"Ideal for backaches Excellent product, works great at a great price")</f>
        <v>Ideal for backaches Excellent product, works great at a great price</v>
      </c>
    </row>
    <row r="12033">
      <c r="A12033" s="1">
        <v>5.0</v>
      </c>
      <c r="B12033" s="1" t="s">
        <v>11928</v>
      </c>
      <c r="C12033" t="str">
        <f>IFERROR(__xludf.DUMMYFUNCTION("GOOGLETRANSLATE(B12033, ""es"", ""en"")"),"Practical kettle needed a kettle for my workplace. I decided on this for its elegant design. When operating, light a candle at its base and when the water is hot off, indicating that it has already completed. The jug is practical and has a capacity of 1.7"&amp;" liters. It has a standing system if the jar runs out of water. Easy to clean.")</f>
        <v>Practical kettle needed a kettle for my workplace. I decided on this for its elegant design. When operating, light a candle at its base and when the water is hot off, indicating that it has already completed. The jug is practical and has a capacity of 1.7 liters. It has a standing system if the jar runs out of water. Easy to clean.</v>
      </c>
    </row>
    <row r="12034">
      <c r="A12034" s="1">
        <v>5.0</v>
      </c>
      <c r="B12034" s="1" t="s">
        <v>11929</v>
      </c>
      <c r="C12034" t="str">
        <f>IFERROR(__xludf.DUMMYFUNCTION("GOOGLETRANSLATE(B12034, ""es"", ""en"")"),"Antialérgico Ok, nice and perfect size")</f>
        <v>Antialérgico Ok, nice and perfect size</v>
      </c>
    </row>
    <row r="12035">
      <c r="A12035" s="1">
        <v>2.0</v>
      </c>
      <c r="B12035" s="1" t="s">
        <v>11930</v>
      </c>
      <c r="C12035" t="str">
        <f>IFERROR(__xludf.DUMMYFUNCTION("GOOGLETRANSLATE(B12035, ""es"", ""en"")"),"Poor quality adhesive, glue very little and I bought this tape comes off but has a very bad adhesive, the hit and peels off the little time alone, at least in our cartons")</f>
        <v>Poor quality adhesive, glue very little and I bought this tape comes off but has a very bad adhesive, the hit and peels off the little time alone, at least in our cartons</v>
      </c>
    </row>
    <row r="12036">
      <c r="A12036" s="1">
        <v>3.0</v>
      </c>
      <c r="B12036" s="1" t="s">
        <v>11931</v>
      </c>
      <c r="C12036" t="str">
        <f>IFERROR(__xludf.DUMMYFUNCTION("GOOGLETRANSLATE(B12036, ""es"", ""en"")"),"It works great, but not so fast I'm happy with the product, but the product information believed it would be faster, maybe not notice much because I'm used to working with SSDs, but it works pretty well.")</f>
        <v>It works great, but not so fast I'm happy with the product, but the product information believed it would be faster, maybe not notice much because I'm used to working with SSDs, but it works pretty well.</v>
      </c>
    </row>
    <row r="12037">
      <c r="A12037" s="1">
        <v>3.0</v>
      </c>
      <c r="B12037" s="1" t="s">
        <v>11932</v>
      </c>
      <c r="C12037" t="str">
        <f>IFERROR(__xludf.DUMMYFUNCTION("GOOGLETRANSLATE(B12037, ""es"", ""en"")"),"Normal is a vacuum unpretentious, aspires normal brush collects fine hairs, the battery lasts little, well, indicating the manufacturer, and not light, it depends who use it costs a little handle, a person with not too much force can not with management. "&amp;"For the price it cost me fifty-two euros is good buy, even not worth price")</f>
        <v>Normal is a vacuum unpretentious, aspires normal brush collects fine hairs, the battery lasts little, well, indicating the manufacturer, and not light, it depends who use it costs a little handle, a person with not too much force can not with management. For the price it cost me fifty-two euros is good buy, even not worth price</v>
      </c>
    </row>
    <row r="12038">
      <c r="A12038" s="1">
        <v>1.0</v>
      </c>
      <c r="B12038" s="1" t="s">
        <v>11933</v>
      </c>
      <c r="C12038" t="str">
        <f>IFERROR(__xludf.DUMMYFUNCTION("GOOGLETRANSLATE(B12038, ""es"", ""en"")"),"Duration zero. Three times used. The fourth began to fail the connection and ""petardeaba"", with only slightly touch the wire portion closest to the jack. (The protective cover by plastic)")</f>
        <v>Duration zero. Three times used. The fourth began to fail the connection and "petardeaba", with only slightly touch the wire portion closest to the jack. (The protective cover by plastic)</v>
      </c>
    </row>
    <row r="12039">
      <c r="A12039" s="1">
        <v>1.0</v>
      </c>
      <c r="B12039" s="1" t="s">
        <v>11934</v>
      </c>
      <c r="C12039" t="str">
        <f>IFERROR(__xludf.DUMMYFUNCTION("GOOGLETRANSLATE(B12039, ""es"", ""en"")"),"Unconfiguring AND LOSE ALL DATA does not say that is a record ""repaired"". Twice I have been misconfigured and I lost the data. Last Seagate to buy.")</f>
        <v>Unconfiguring AND LOSE ALL DATA does not say that is a record "repaired". Twice I have been misconfigured and I lost the data. Last Seagate to buy.</v>
      </c>
    </row>
    <row r="12040">
      <c r="A12040" s="1">
        <v>4.0</v>
      </c>
      <c r="B12040" s="1" t="s">
        <v>11935</v>
      </c>
      <c r="C12040" t="str">
        <f>IFERROR(__xludf.DUMMYFUNCTION("GOOGLETRANSLATE(B12040, ""es"", ""en"")"),"basic basic")</f>
        <v>basic basic</v>
      </c>
    </row>
    <row r="12041">
      <c r="A12041" s="1">
        <v>4.0</v>
      </c>
      <c r="B12041" s="1" t="s">
        <v>11936</v>
      </c>
      <c r="C12041" t="str">
        <f>IFERROR(__xludf.DUMMYFUNCTION("GOOGLETRANSLATE(B12041, ""es"", ""en"")"),"Value for money and ability")</f>
        <v>Value for money and ability</v>
      </c>
    </row>
    <row r="12042">
      <c r="A12042" s="1">
        <v>4.0</v>
      </c>
      <c r="B12042" s="1" t="s">
        <v>11937</v>
      </c>
      <c r="C12042" t="str">
        <f>IFERROR(__xludf.DUMMYFUNCTION("GOOGLETRANSLATE(B12042, ""es"", ""en"")"),"Hits really hard and is easy to install The I used to paste a power strips and really sticking stronger than I expected. Very easy to use and install. All right.")</f>
        <v>Hits really hard and is easy to install The I used to paste a power strips and really sticking stronger than I expected. Very easy to use and install. All right.</v>
      </c>
    </row>
    <row r="12043">
      <c r="A12043" s="1">
        <v>4.0</v>
      </c>
      <c r="B12043" s="1" t="s">
        <v>11938</v>
      </c>
      <c r="C12043" t="str">
        <f>IFERROR(__xludf.DUMMYFUNCTION("GOOGLETRANSLATE(B12043, ""es"", ""en"")"),"Bonitos are fine for class gift")</f>
        <v>Bonitos are fine for class gift</v>
      </c>
    </row>
    <row r="12044">
      <c r="A12044" s="1">
        <v>5.0</v>
      </c>
      <c r="B12044" s="1" t="s">
        <v>11939</v>
      </c>
      <c r="C12044" t="str">
        <f>IFERROR(__xludf.DUMMYFUNCTION("GOOGLETRANSLATE(B12044, ""es"", ""en"")"),"They are excellent quality headphones, Samsung.")</f>
        <v>They are excellent quality headphones, Samsung.</v>
      </c>
    </row>
    <row r="12045">
      <c r="A12045" s="1">
        <v>5.0</v>
      </c>
      <c r="B12045" s="1" t="s">
        <v>11940</v>
      </c>
      <c r="C12045" t="str">
        <f>IFERROR(__xludf.DUMMYFUNCTION("GOOGLETRANSLATE(B12045, ""es"", ""en"")"),"Very good blender I was encantado..encaja facil..facil of limpiar..liviano ... right size ... recommended")</f>
        <v>Very good blender I was encantado..encaja facil..facil of limpiar..liviano ... right size ... recommended</v>
      </c>
    </row>
    <row r="12046">
      <c r="A12046" s="1">
        <v>5.0</v>
      </c>
      <c r="B12046" s="1" t="s">
        <v>11941</v>
      </c>
      <c r="C12046" t="str">
        <f>IFERROR(__xludf.DUMMYFUNCTION("GOOGLETRANSLATE(B12046, ""es"", ""en"")"),"The use mask twice a week, the skin is super soft, but clear, super clean. It shows much healthier.")</f>
        <v>The use mask twice a week, the skin is super soft, but clear, super clean. It shows much healthier.</v>
      </c>
    </row>
    <row r="12047">
      <c r="A12047" s="1">
        <v>5.0</v>
      </c>
      <c r="B12047" s="1" t="s">
        <v>11942</v>
      </c>
      <c r="C12047" t="str">
        <f>IFERROR(__xludf.DUMMYFUNCTION("GOOGLETRANSLATE(B12047, ""es"", ""en"")"),"if it is good the best glue is repeated and used faster than Fantastico")</f>
        <v>if it is good the best glue is repeated and used faster than Fantastico</v>
      </c>
    </row>
    <row r="12048">
      <c r="A12048" s="1">
        <v>5.0</v>
      </c>
      <c r="B12048" s="1" t="s">
        <v>11943</v>
      </c>
      <c r="C12048" t="str">
        <f>IFERROR(__xludf.DUMMYFUNCTION("GOOGLETRANSLATE(B12048, ""es"", ""en"")"),"Very comfortable very comfortable, perfect. It was a gift and she loved")</f>
        <v>Very comfortable very comfortable, perfect. It was a gift and she loved</v>
      </c>
    </row>
    <row r="12049">
      <c r="A12049" s="1">
        <v>5.0</v>
      </c>
      <c r="B12049" s="1" t="s">
        <v>11944</v>
      </c>
      <c r="C12049" t="str">
        <f>IFERROR(__xludf.DUMMYFUNCTION("GOOGLETRANSLATE(B12049, ""es"", ""en"")"),"Very happy. The boots are received earlier than expected. Very fast service and very good. Boots in the box and well kept. The product is sensational and are very nice sunsets. Comfortable, but the principle must be given fat to go adapting to your foot. "&amp;"Very good for winter.")</f>
        <v>Very happy. The boots are received earlier than expected. Very fast service and very good. Boots in the box and well kept. The product is sensational and are very nice sunsets. Comfortable, but the principle must be given fat to go adapting to your foot. Very good for winter.</v>
      </c>
    </row>
    <row r="12050">
      <c r="A12050" s="1">
        <v>5.0</v>
      </c>
      <c r="B12050" s="1" t="s">
        <v>11945</v>
      </c>
      <c r="C12050" t="str">
        <f>IFERROR(__xludf.DUMMYFUNCTION("GOOGLETRANSLATE(B12050, ""es"", ""en"")"),"Very beautiful surprised. They are small but very nice.")</f>
        <v>Very beautiful surprised. They are small but very nice.</v>
      </c>
    </row>
    <row r="12051">
      <c r="A12051" s="1">
        <v>5.0</v>
      </c>
      <c r="B12051" s="1" t="s">
        <v>11946</v>
      </c>
      <c r="C12051" t="str">
        <f>IFERROR(__xludf.DUMMYFUNCTION("GOOGLETRANSLATE(B12051, ""es"", ""en"")"),"Goes well I consulted several models with a sound technician and he had good benefits and the truth is that it all works wonderfully.")</f>
        <v>Goes well I consulted several models with a sound technician and he had good benefits and the truth is that it all works wonderfully.</v>
      </c>
    </row>
    <row r="12052">
      <c r="A12052" s="1">
        <v>5.0</v>
      </c>
      <c r="B12052" s="1" t="s">
        <v>11947</v>
      </c>
      <c r="C12052" t="str">
        <f>IFERROR(__xludf.DUMMYFUNCTION("GOOGLETRANSLATE(B12052, ""es"", ""en"")"),"Magnifica blender! I bought this mixer to give to my mother and I had a similar, but this is much more complete. Lovely design and has different glasses for different snack foods and meals whip. It also has different speeds is appreciated! I got the right"&amp;" gift!")</f>
        <v>Magnifica blender! I bought this mixer to give to my mother and I had a similar, but this is much more complete. Lovely design and has different glasses for different snack foods and meals whip. It also has different speeds is appreciated! I got the right gift!</v>
      </c>
    </row>
    <row r="12053">
      <c r="A12053" s="1">
        <v>5.0</v>
      </c>
      <c r="B12053" s="1" t="s">
        <v>11948</v>
      </c>
      <c r="C12053" t="str">
        <f>IFERROR(__xludf.DUMMYFUNCTION("GOOGLETRANSLATE(B12053, ""es"", ""en"")"),"Encantada I have loved. They are original. They are not white, more white broken but I do not much care about the truth. I took a chance without having any opinion and I think successful.")</f>
        <v>Encantada I have loved. They are original. They are not white, more white broken but I do not much care about the truth. I took a chance without having any opinion and I think successful.</v>
      </c>
    </row>
    <row r="12054">
      <c r="A12054" s="1">
        <v>5.0</v>
      </c>
      <c r="B12054" s="1" t="s">
        <v>11949</v>
      </c>
      <c r="C12054" t="str">
        <f>IFERROR(__xludf.DUMMYFUNCTION("GOOGLETRANSLATE(B12054, ""es"", ""en"")"),"Discreet Light is not powerful")</f>
        <v>Discreet Light is not powerful</v>
      </c>
    </row>
    <row r="12055">
      <c r="A12055" s="1">
        <v>5.0</v>
      </c>
      <c r="B12055" s="1" t="s">
        <v>11950</v>
      </c>
      <c r="C12055" t="str">
        <f>IFERROR(__xludf.DUMMYFUNCTION("GOOGLETRANSLATE(B12055, ""es"", ""en"")"),"This great and I recommend it. It's great! I usually buy many folders sorters stores lowcost range and do not usually last me a lot. This gave me a good impression and the truth that after using it, I can say that has managed to replace everything I neede"&amp;"d. This great for organizing folio, invoices, etc. And its texture is good, it's tough. I recommend it 100%")</f>
        <v>This great and I recommend it. It's great! I usually buy many folders sorters stores lowcost range and do not usually last me a lot. This gave me a good impression and the truth that after using it, I can say that has managed to replace everything I needed. This great for organizing folio, invoices, etc. And its texture is good, it's tough. I recommend it 100%</v>
      </c>
    </row>
    <row r="12056">
      <c r="A12056" s="1">
        <v>5.0</v>
      </c>
      <c r="B12056" s="1" t="s">
        <v>11951</v>
      </c>
      <c r="C12056" t="str">
        <f>IFERROR(__xludf.DUMMYFUNCTION("GOOGLETRANSLATE(B12056, ""es"", ""en"")"),"Great for keeping Breastfeeding The product came on the proposed date in the basket with the features specified in the description. The 2007 version was made, after trying several brands and types. Overall very satisfied and recommended")</f>
        <v>Great for keeping Breastfeeding The product came on the proposed date in the basket with the features specified in the description. The 2007 version was made, after trying several brands and types. Overall very satisfied and recommended</v>
      </c>
    </row>
    <row r="12057">
      <c r="A12057" s="1">
        <v>5.0</v>
      </c>
      <c r="B12057" s="1" t="s">
        <v>11952</v>
      </c>
      <c r="C12057" t="str">
        <f>IFERROR(__xludf.DUMMYFUNCTION("GOOGLETRANSLATE(B12057, ""es"", ""en"")"),"Very nice Nicer still in the picture. Feel great. I took a size more than I normally use and I do well. I bought the gray and would repeat purchase.")</f>
        <v>Very nice Nicer still in the picture. Feel great. I took a size more than I normally use and I do well. I bought the gray and would repeat purchase.</v>
      </c>
    </row>
    <row r="12058">
      <c r="A12058" s="1">
        <v>5.0</v>
      </c>
      <c r="B12058" s="1" t="s">
        <v>11953</v>
      </c>
      <c r="C12058" t="str">
        <f>IFERROR(__xludf.DUMMYFUNCTION("GOOGLETRANSLATE(B12058, ""es"", ""en"")"),"Great exact colors to the photo.")</f>
        <v>Great exact colors to the photo.</v>
      </c>
    </row>
    <row r="12059">
      <c r="A12059" s="1">
        <v>5.0</v>
      </c>
      <c r="B12059" s="1" t="s">
        <v>11954</v>
      </c>
      <c r="C12059" t="str">
        <f>IFERROR(__xludf.DUMMYFUNCTION("GOOGLETRANSLATE(B12059, ""es"", ""en"")"),"The best I've ever had! Very good!! It has all kinds of functions, with one touch on each handset raisins to the previous or next song as you're interested. You can also pick up or hang up the call with a single click on the same handset. If you click it "&amp;"is extended up or down the volume, are great !!! 6000 milliamperes battery, if you go a few days or vacation route, just a single charge for several days, unbelievable. Quality and audio volume more than enough, are the best I've had so far. The amount of"&amp;" battery brand on the box, fantastic. It is true that they are expensive compared to others, but they are quality. They are too small and do not move even run or make sudden movements. Worth, if you advise buying also are super cool and withstand water an"&amp;"d sweat, they can be used together or individually. I give 10 to these headphones. Thank you.")</f>
        <v>The best I've ever had! Very good!! It has all kinds of functions, with one touch on each handset raisins to the previous or next song as you're interested. You can also pick up or hang up the call with a single click on the same handset. If you click it is extended up or down the volume, are great !!! 6000 milliamperes battery, if you go a few days or vacation route, just a single charge for several days, unbelievable. Quality and audio volume more than enough, are the best I've had so far. The amount of battery brand on the box, fantastic. It is true that they are expensive compared to others, but they are quality. They are too small and do not move even run or make sudden movements. Worth, if you advise buying also are super cool and withstand water and sweat, they can be used together or individually. I give 10 to these headphones. Thank you.</v>
      </c>
    </row>
    <row r="12060">
      <c r="A12060" s="1">
        <v>5.0</v>
      </c>
      <c r="B12060" s="1" t="s">
        <v>11955</v>
      </c>
      <c r="C12060" t="str">
        <f>IFERROR(__xludf.DUMMYFUNCTION("GOOGLETRANSLATE(B12060, ""es"", ""en"")"),"Good economic purchase is we broke the blender we had on the field and the truth is we are looking for an inexpensive mixer and had good power. The truth is that it is very easy to use two buttons with two different speeds. From what we have seen it is al"&amp;"so quite easy to clean and the value for money is pretty good. The price is right and fitting that brings glass is also correct with which we are quite happy.")</f>
        <v>Good economic purchase is we broke the blender we had on the field and the truth is we are looking for an inexpensive mixer and had good power. The truth is that it is very easy to use two buttons with two different speeds. From what we have seen it is also quite easy to clean and the value for money is pretty good. The price is right and fitting that brings glass is also correct with which we are quite happy.</v>
      </c>
    </row>
    <row r="12061">
      <c r="A12061" s="1">
        <v>5.0</v>
      </c>
      <c r="B12061" s="1" t="s">
        <v>11956</v>
      </c>
      <c r="C12061" t="str">
        <f>IFERROR(__xludf.DUMMYFUNCTION("GOOGLETRANSLATE(B12061, ""es"", ""en"")"),"Excellent for home arrived two weeks ago and is doing very well. Everyone happy at home. Not very loud and very easy to clean.")</f>
        <v>Excellent for home arrived two weeks ago and is doing very well. Everyone happy at home. Not very loud and very easy to clean.</v>
      </c>
    </row>
    <row r="12062">
      <c r="A12062" s="1">
        <v>5.0</v>
      </c>
      <c r="B12062" s="1" t="s">
        <v>11957</v>
      </c>
      <c r="C12062" t="str">
        <f>IFERROR(__xludf.DUMMYFUNCTION("GOOGLETRANSLATE(B12062, ""es"", ""en"")"),"The sports shirt is the perfect size, pretty good quality, very happy with the purchase")</f>
        <v>The sports shirt is the perfect size, pretty good quality, very happy with the purchase</v>
      </c>
    </row>
    <row r="12063">
      <c r="A12063" s="1">
        <v>2.0</v>
      </c>
      <c r="B12063" s="1" t="s">
        <v>11958</v>
      </c>
      <c r="C12063" t="str">
        <f>IFERROR(__xludf.DUMMYFUNCTION("GOOGLETRANSLATE(B12063, ""es"", ""en"")"),"They put me not very nice. I do not give it 5 stars because when you put them and you look straight back partede from the earring and no design is the mandala. So overall when someone is talking to you sees ugly. They suppose q from the side will be preci"&amp;"ous.")</f>
        <v>They put me not very nice. I do not give it 5 stars because when you put them and you look straight back partede from the earring and no design is the mandala. So overall when someone is talking to you sees ugly. They suppose q from the side will be precious.</v>
      </c>
    </row>
    <row r="12064">
      <c r="A12064" s="1">
        <v>3.0</v>
      </c>
      <c r="B12064" s="1" t="s">
        <v>11959</v>
      </c>
      <c r="C12064" t="str">
        <f>IFERROR(__xludf.DUMMYFUNCTION("GOOGLETRANSLATE(B12064, ""es"", ""en"")"),"Poor quality of the sound I am grateful for the delivery date was the day he told me. But the product is of poor quality, when I'm recording the video, sounds a noise like a clock, recording does not stop me well, my videos go very wrong with that sound. "&amp;"Solucionéis hope you greetings.")</f>
        <v>Poor quality of the sound I am grateful for the delivery date was the day he told me. But the product is of poor quality, when I'm recording the video, sounds a noise like a clock, recording does not stop me well, my videos go very wrong with that sound. Solucionéis hope you greetings.</v>
      </c>
    </row>
    <row r="12065">
      <c r="A12065" s="1">
        <v>3.0</v>
      </c>
      <c r="B12065" s="1" t="s">
        <v>11960</v>
      </c>
      <c r="C12065" t="str">
        <f>IFERROR(__xludf.DUMMYFUNCTION("GOOGLETRANSLATE(B12065, ""es"", ""en"")"),"The plastic screen clock great, lightweight, aesthetically is very attractive but ... The screen is easily scratched because it is plastic. I have three weeks with him and seems to have a year.")</f>
        <v>The plastic screen clock great, lightweight, aesthetically is very attractive but ... The screen is easily scratched because it is plastic. I have three weeks with him and seems to have a year.</v>
      </c>
    </row>
    <row r="12066">
      <c r="A12066" s="1">
        <v>1.0</v>
      </c>
      <c r="B12066" s="1" t="s">
        <v>11961</v>
      </c>
      <c r="C12066" t="str">
        <f>IFERROR(__xludf.DUMMYFUNCTION("GOOGLETRANSLATE(B12066, ""es"", ""en"")"),"Spheres do not work inside is very nice, but the fields do not work in")</f>
        <v>Spheres do not work inside is very nice, but the fields do not work in</v>
      </c>
    </row>
    <row r="12067">
      <c r="A12067" s="1">
        <v>1.0</v>
      </c>
      <c r="B12067" s="1" t="s">
        <v>11962</v>
      </c>
      <c r="C12067" t="str">
        <f>IFERROR(__xludf.DUMMYFUNCTION("GOOGLETRANSLATE(B12067, ""es"", ""en"")"),"Very poor quality does not close the rings remain open")</f>
        <v>Very poor quality does not close the rings remain open</v>
      </c>
    </row>
    <row r="12068">
      <c r="A12068" s="1">
        <v>4.0</v>
      </c>
      <c r="B12068" s="1" t="s">
        <v>11963</v>
      </c>
      <c r="C12068" t="str">
        <f>IFERROR(__xludf.DUMMYFUNCTION("GOOGLETRANSLATE(B12068, ""es"", ""en"")"),"The Mercedes or BMW bottles As they say, are the ""Mercedes"" or ""BMW"" of bottles, comfortable, few parts, easy to clean and durable, he accepted the baby first. The only thing is that Philips Avent, should do this automatically and teats.")</f>
        <v>The Mercedes or BMW bottles As they say, are the "Mercedes" or "BMW" of bottles, comfortable, few parts, easy to clean and durable, he accepted the baby first. The only thing is that Philips Avent, should do this automatically and teats.</v>
      </c>
    </row>
    <row r="12069">
      <c r="A12069" s="1">
        <v>4.0</v>
      </c>
      <c r="B12069" s="1" t="s">
        <v>11964</v>
      </c>
      <c r="C12069" t="str">
        <f>IFERROR(__xludf.DUMMYFUNCTION("GOOGLETRANSLATE(B12069, ""es"", ""en"")"),"Good purchase noticeable elmasaje")</f>
        <v>Good purchase noticeable elmasaje</v>
      </c>
    </row>
    <row r="12070">
      <c r="A12070" s="1">
        <v>4.0</v>
      </c>
      <c r="B12070" s="1" t="s">
        <v>11965</v>
      </c>
      <c r="C12070" t="str">
        <f>IFERROR(__xludf.DUMMYFUNCTION("GOOGLETRANSLATE(B12070, ""es"", ""en"")"),"Axl, totally true, nike recommend originals q try them in a shop so you know what your size is, to me are a little big")</f>
        <v>Axl, totally true, nike recommend originals q try them in a shop so you know what your size is, to me are a little big</v>
      </c>
    </row>
    <row r="12071">
      <c r="A12071" s="1">
        <v>4.0</v>
      </c>
      <c r="B12071" s="1" t="s">
        <v>11966</v>
      </c>
      <c r="C12071" t="str">
        <f>IFERROR(__xludf.DUMMYFUNCTION("GOOGLETRANSLATE(B12071, ""es"", ""en"")"),"Incomprehensible him from locking in case of error. ScanDisk sent me another without charge. Just one year of use and already gave read errors. But the incomprehensible is that, for an alleged internal measure of protection to prevent data loss (as can be"&amp;" found on the web), the card is self-locking and can no longer write or even reformatting. Edited: Good attention from ScanDisk. I made a complaint and have sent me another equally without charge and relatively fast. Subo 4 stars. 5 If he had not broken, "&amp;"of course.")</f>
        <v>Incomprehensible him from locking in case of error. ScanDisk sent me another without charge. Just one year of use and already gave read errors. But the incomprehensible is that, for an alleged internal measure of protection to prevent data loss (as can be found on the web), the card is self-locking and can no longer write or even reformatting. Edited: Good attention from ScanDisk. I made a complaint and have sent me another equally without charge and relatively fast. Subo 4 stars. 5 If he had not broken, of course.</v>
      </c>
    </row>
    <row r="12072">
      <c r="A12072" s="1">
        <v>4.0</v>
      </c>
      <c r="B12072" s="1" t="s">
        <v>11967</v>
      </c>
      <c r="C12072" t="str">
        <f>IFERROR(__xludf.DUMMYFUNCTION("GOOGLETRANSLATE(B12072, ""es"", ""en"")"),"Very good!! A perfect watch for adventurers. It would regale my brother and he is delighted. It hunter and fisherman and every day you use it more. He loves aesthetics and all the features it brings. Even I'm planting it for me, because the military aesth"&amp;"etic that brings is brutal and I am passionate about watches.")</f>
        <v>Very good!! A perfect watch for adventurers. It would regale my brother and he is delighted. It hunter and fisherman and every day you use it more. He loves aesthetics and all the features it brings. Even I'm planting it for me, because the military aesthetic that brings is brutal and I am passionate about watches.</v>
      </c>
    </row>
    <row r="12073">
      <c r="A12073" s="1">
        <v>5.0</v>
      </c>
      <c r="B12073" s="1" t="s">
        <v>11968</v>
      </c>
      <c r="C12073" t="str">
        <f>IFERROR(__xludf.DUMMYFUNCTION("GOOGLETRANSLATE(B12073, ""es"", ""en"")"),"Poor quality fittings, very good service The bag is nice, but gray fabric like denim, and many departments, which is what we wanted. Sending very well and fast. However, a few days later a piece that has a hook to hang some keys fell, as he used gave no i"&amp;"mportance. But less than three months after one of the side zippers front has gone and it is impossible to re-enter. I have not been misused as it has happened, so I guess the quality of the materials is terrible. (Update) This year 2019 I received messag"&amp;"e from the seller, proponiéndome send a new product (without asking me), which have done yesterday. Chapeau for them. I hope you have improved materials and this last me more, and I will report here")</f>
        <v>Poor quality fittings, very good service The bag is nice, but gray fabric like denim, and many departments, which is what we wanted. Sending very well and fast. However, a few days later a piece that has a hook to hang some keys fell, as he used gave no importance. But less than three months after one of the side zippers front has gone and it is impossible to re-enter. I have not been misused as it has happened, so I guess the quality of the materials is terrible. (Update) This year 2019 I received message from the seller, proponiéndome send a new product (without asking me), which have done yesterday. Chapeau for them. I hope you have improved materials and this last me more, and I will report here</v>
      </c>
    </row>
    <row r="12074">
      <c r="A12074" s="1">
        <v>5.0</v>
      </c>
      <c r="B12074" s="1" t="s">
        <v>11969</v>
      </c>
      <c r="C12074" t="str">
        <f>IFERROR(__xludf.DUMMYFUNCTION("GOOGLETRANSLATE(B12074, ""es"", ""en"")"),"recommended rECOMMENDED")</f>
        <v>recommended rECOMMENDED</v>
      </c>
    </row>
    <row r="12075">
      <c r="A12075" s="1">
        <v>5.0</v>
      </c>
      <c r="B12075" s="1" t="s">
        <v>11970</v>
      </c>
      <c r="C12075" t="str">
        <f>IFERROR(__xludf.DUMMYFUNCTION("GOOGLETRANSLATE(B12075, ""es"", ""en"")"),"Good value for the price, it's pretty good. Fulfills its function perfectly. It costs a little to remove get the hang of power accessories but is perfect for everyday use. I've been using it since January and has so far given no problem")</f>
        <v>Good value for the price, it's pretty good. Fulfills its function perfectly. It costs a little to remove get the hang of power accessories but is perfect for everyday use. I've been using it since January and has so far given no problem</v>
      </c>
    </row>
    <row r="12076">
      <c r="A12076" s="1">
        <v>5.0</v>
      </c>
      <c r="B12076" s="1" t="s">
        <v>11971</v>
      </c>
      <c r="C12076" t="str">
        <f>IFERROR(__xludf.DUMMYFUNCTION("GOOGLETRANSLATE(B12076, ""es"", ""en"")"),"Very good I wear it always on top. It has a very good sound, good battery life, and the advantage that only a headset, so do not be isolated from the environment, which is important to me on the street and in the office. It has two comfy boots to use as w"&amp;"ell. Great buy. I update, because I think it is important. A year and a half of use, and after giving much war, the battery died. Contact vendor to see if it was possible to get a spare battery, and nothing, I directly offered a replacement headset. O_O. "&amp;"Very, very good service and the seller of this product.")</f>
        <v>Very good I wear it always on top. It has a very good sound, good battery life, and the advantage that only a headset, so do not be isolated from the environment, which is important to me on the street and in the office. It has two comfy boots to use as well. Great buy. I update, because I think it is important. A year and a half of use, and after giving much war, the battery died. Contact vendor to see if it was possible to get a spare battery, and nothing, I directly offered a replacement headset. O_O. Very, very good service and the seller of this product.</v>
      </c>
    </row>
    <row r="12077">
      <c r="A12077" s="1">
        <v>5.0</v>
      </c>
      <c r="B12077" s="1" t="s">
        <v>11972</v>
      </c>
      <c r="C12077" t="str">
        <f>IFERROR(__xludf.DUMMYFUNCTION("GOOGLETRANSLATE(B12077, ""es"", ""en"")"),"Power is a good beater .With three power levels reach for whatever reason .I am happy with it .The cap is very fair, but it gets to the upside and also you used to add something later since the hollowness can put some sugar, etc.")</f>
        <v>Power is a good beater .With three power levels reach for whatever reason .I am happy with it .The cap is very fair, but it gets to the upside and also you used to add something later since the hollowness can put some sugar, etc.</v>
      </c>
    </row>
    <row r="12078">
      <c r="A12078" s="1">
        <v>5.0</v>
      </c>
      <c r="B12078" s="1" t="s">
        <v>11973</v>
      </c>
      <c r="C12078" t="str">
        <f>IFERROR(__xludf.DUMMYFUNCTION("GOOGLETRANSLATE(B12078, ""es"", ""en"")"),"Functional what I expected. Light, adaptable ... Functional!")</f>
        <v>Functional what I expected. Light, adaptable ... Functional!</v>
      </c>
    </row>
    <row r="12079">
      <c r="A12079" s="1">
        <v>5.0</v>
      </c>
      <c r="B12079" s="1" t="s">
        <v>11974</v>
      </c>
      <c r="C12079" t="str">
        <f>IFERROR(__xludf.DUMMYFUNCTION("GOOGLETRANSLATE(B12079, ""es"", ""en"")"),"VERY PRETTY WELL IN THE PICTURES I liked a lot, light, comfortable and well designed for walking or running. Quality materials. In my opinion highly recommended. Exceptional value")</f>
        <v>VERY PRETTY WELL IN THE PICTURES I liked a lot, light, comfortable and well designed for walking or running. Quality materials. In my opinion highly recommended. Exceptional value</v>
      </c>
    </row>
    <row r="12080">
      <c r="A12080" s="1">
        <v>5.0</v>
      </c>
      <c r="B12080" s="1" t="s">
        <v>11975</v>
      </c>
      <c r="C12080" t="str">
        <f>IFERROR(__xludf.DUMMYFUNCTION("GOOGLETRANSLATE(B12080, ""es"", ""en"")"),"Ideal super comfortable and very gustositas to touch. Very happy to have bought. It is well on its number. Me I'll put much much")</f>
        <v>Ideal super comfortable and very gustositas to touch. Very happy to have bought. It is well on its number. Me I'll put much much</v>
      </c>
    </row>
    <row r="12081">
      <c r="A12081" s="1">
        <v>5.0</v>
      </c>
      <c r="B12081" s="1" t="s">
        <v>11976</v>
      </c>
      <c r="C12081" t="str">
        <f>IFERROR(__xludf.DUMMYFUNCTION("GOOGLETRANSLATE(B12081, ""es"", ""en"")"),"I recommend it!! Midi processor very professional. Quality of the material made with a very high sensitivity thinkers. I am very happy to have bought it. I recommend it!!")</f>
        <v>I recommend it!! Midi processor very professional. Quality of the material made with a very high sensitivity thinkers. I am very happy to have bought it. I recommend it!!</v>
      </c>
    </row>
    <row r="12082">
      <c r="A12082" s="1">
        <v>5.0</v>
      </c>
      <c r="B12082" s="1" t="s">
        <v>11977</v>
      </c>
      <c r="C12082" t="str">
        <f>IFERROR(__xludf.DUMMYFUNCTION("GOOGLETRANSLATE(B12082, ""es"", ""en"")"),"Mary is great. Heats water in a very short time and handling is as simple as gently press a small lever that lights up when it is switched on and off when water has boiled.")</f>
        <v>Mary is great. Heats water in a very short time and handling is as simple as gently press a small lever that lights up when it is switched on and off when water has boiled.</v>
      </c>
    </row>
    <row r="12083">
      <c r="A12083" s="1">
        <v>5.0</v>
      </c>
      <c r="B12083" s="1" t="s">
        <v>11978</v>
      </c>
      <c r="C12083" t="str">
        <f>IFERROR(__xludf.DUMMYFUNCTION("GOOGLETRANSLATE(B12083, ""es"", ""en"")"),"the best price of the store is what I wanted, best price in stores")</f>
        <v>the best price of the store is what I wanted, best price in stores</v>
      </c>
    </row>
    <row r="12084">
      <c r="A12084" s="1">
        <v>5.0</v>
      </c>
      <c r="B12084" s="1" t="s">
        <v>11979</v>
      </c>
      <c r="C12084" t="str">
        <f>IFERROR(__xludf.DUMMYFUNCTION("GOOGLETRANSLATE(B12084, ""es"", ""en"")"),"It houses extensive sizing quality as all lomque you adidas")</f>
        <v>It houses extensive sizing quality as all lomque you adidas</v>
      </c>
    </row>
    <row r="12085">
      <c r="A12085" s="1">
        <v>5.0</v>
      </c>
      <c r="B12085" s="1" t="s">
        <v>11980</v>
      </c>
      <c r="C12085" t="str">
        <f>IFERROR(__xludf.DUMMYFUNCTION("GOOGLETRANSLATE(B12085, ""es"", ""en"")"),"Standard liner quality, comfort and aesthetics at a good price, sizing")</f>
        <v>Standard liner quality, comfort and aesthetics at a good price, sizing</v>
      </c>
    </row>
    <row r="12086">
      <c r="A12086" s="1">
        <v>5.0</v>
      </c>
      <c r="B12086" s="1" t="s">
        <v>11981</v>
      </c>
      <c r="C12086" t="str">
        <f>IFERROR(__xludf.DUMMYFUNCTION("GOOGLETRANSLATE(B12086, ""es"", ""en"")"),"Bluetooth headsets These headphones I bought them when direct I am a person who sweats and these headphones do not move I'm also a bit picky bass and this one has quite achieved I have small ears and luckily these are well suited since I had last I fell m"&amp;"e. I use with iPhone and Huawei and do not give problems. The box also charge the headset is small, easy to carry. The product comes in a box with instructions well explained to match seamlessly with any type of terminal. The battery life is fine if you w"&amp;"ant to exercise for two hours without problem, when to call the sound and call quality and voice is fine is clear and time until today I have not had any problem, I wondered how people listen and tell me quite normal. The handset is easy to clean.")</f>
        <v>Bluetooth headsets These headphones I bought them when direct I am a person who sweats and these headphones do not move I'm also a bit picky bass and this one has quite achieved I have small ears and luckily these are well suited since I had last I fell me. I use with iPhone and Huawei and do not give problems. The box also charge the headset is small, easy to carry. The product comes in a box with instructions well explained to match seamlessly with any type of terminal. The battery life is fine if you want to exercise for two hours without problem, when to call the sound and call quality and voice is fine is clear and time until today I have not had any problem, I wondered how people listen and tell me quite normal. The handset is easy to clean.</v>
      </c>
    </row>
    <row r="12087">
      <c r="A12087" s="1">
        <v>5.0</v>
      </c>
      <c r="B12087" s="1" t="s">
        <v>11982</v>
      </c>
      <c r="C12087" t="str">
        <f>IFERROR(__xludf.DUMMYFUNCTION("GOOGLETRANSLATE(B12087, ""es"", ""en"")"),"Perfect!!! I loved the cheap and very useful purchase ..")</f>
        <v>Perfect!!! I loved the cheap and very useful purchase ..</v>
      </c>
    </row>
    <row r="12088">
      <c r="A12088" s="1">
        <v>5.0</v>
      </c>
      <c r="B12088" s="1" t="s">
        <v>11983</v>
      </c>
      <c r="C12088" t="str">
        <f>IFERROR(__xludf.DUMMYFUNCTION("GOOGLETRANSLATE(B12088, ""es"", ""en"")"),"Unbeatable value TOP Sport-BH Nike Pro Victory Compression cheap market. Even comparing Outlet brand. Very satisfied with your purchase.")</f>
        <v>Unbeatable value TOP Sport-BH Nike Pro Victory Compression cheap market. Even comparing Outlet brand. Very satisfied with your purchase.</v>
      </c>
    </row>
    <row r="12089">
      <c r="A12089" s="1">
        <v>5.0</v>
      </c>
      <c r="B12089" s="1" t="s">
        <v>11984</v>
      </c>
      <c r="C12089" t="str">
        <f>IFERROR(__xludf.DUMMYFUNCTION("GOOGLETRANSLATE(B12089, ""es"", ""en"")"),"There are very good and great are great to run wild places and stone, very good, very good product, I recommend also arrived earlier than expected")</f>
        <v>There are very good and great are great to run wild places and stone, very good, very good product, I recommend also arrived earlier than expected</v>
      </c>
    </row>
    <row r="12090">
      <c r="A12090" s="1">
        <v>5.0</v>
      </c>
      <c r="B12090" s="1" t="s">
        <v>3335</v>
      </c>
      <c r="C12090" t="str">
        <f>IFERROR(__xludf.DUMMYFUNCTION("GOOGLETRANSLATE(B12090, ""es"", ""en"")"),"Perfect Very good")</f>
        <v>Perfect Very good</v>
      </c>
    </row>
    <row r="12091">
      <c r="A12091" s="1">
        <v>5.0</v>
      </c>
      <c r="B12091" s="1" t="s">
        <v>11985</v>
      </c>
      <c r="C12091" t="str">
        <f>IFERROR(__xludf.DUMMYFUNCTION("GOOGLETRANSLATE(B12091, ""es"", ""en"")"),"Genia¡¡ very good device works great. phenomenal crushed fruit porridge, oatmeal, smoothies. I like the hand mixer, much more. Although smaller clear. To do two shakes separately but once you put it all chopped and ready.")</f>
        <v>Genia¡¡ very good device works great. phenomenal crushed fruit porridge, oatmeal, smoothies. I like the hand mixer, much more. Although smaller clear. To do two shakes separately but once you put it all chopped and ready.</v>
      </c>
    </row>
    <row r="12092">
      <c r="A12092" s="1">
        <v>2.0</v>
      </c>
      <c r="B12092" s="1" t="s">
        <v>11986</v>
      </c>
      <c r="C12092" t="str">
        <f>IFERROR(__xludf.DUMMYFUNCTION("GOOGLETRANSLATE(B12092, ""es"", ""en"")"),"Loose speakers headphones good money but do not ask much connector matraca flojo.envio fast, packaging very good, for that price you can not ask for anything better.")</f>
        <v>Loose speakers headphones good money but do not ask much connector matraca flojo.envio fast, packaging very good, for that price you can not ask for anything better.</v>
      </c>
    </row>
    <row r="12093">
      <c r="A12093" s="1">
        <v>3.0</v>
      </c>
      <c r="B12093" s="1" t="s">
        <v>11987</v>
      </c>
      <c r="C12093" t="str">
        <f>IFERROR(__xludf.DUMMYFUNCTION("GOOGLETRANSLATE(B12093, ""es"", ""en"")"),"Alleviates but does not eliminate contractures Do not remove contractures but relieved. It has 4 buttons: one on and off, on and off paying another heat, another to activate the vibration in your hands and another to regulate the speed of the balls. The n"&amp;"ote very little heat. It has 3 speeds. I do not see very comfortable since you have to be sitting right to place well (that if you put it in the back or neck). That said, like massage or relieving pain but does not fumciona miracles")</f>
        <v>Alleviates but does not eliminate contractures Do not remove contractures but relieved. It has 4 buttons: one on and off, on and off paying another heat, another to activate the vibration in your hands and another to regulate the speed of the balls. The note very little heat. It has 3 speeds. I do not see very comfortable since you have to be sitting right to place well (that if you put it in the back or neck). That said, like massage or relieving pain but does not fumciona miracles</v>
      </c>
    </row>
    <row r="12094">
      <c r="A12094" s="1">
        <v>1.0</v>
      </c>
      <c r="B12094" s="1" t="s">
        <v>11988</v>
      </c>
      <c r="C12094" t="str">
        <f>IFERROR(__xludf.DUMMYFUNCTION("GOOGLETRANSLATE(B12094, ""es"", ""en"")"),"Nothing fool not complying are imitation")</f>
        <v>Nothing fool not complying are imitation</v>
      </c>
    </row>
    <row r="12095">
      <c r="A12095" s="1">
        <v>1.0</v>
      </c>
      <c r="B12095" s="1" t="s">
        <v>11989</v>
      </c>
      <c r="C12095" t="str">
        <f>IFERROR(__xludf.DUMMYFUNCTION("GOOGLETRANSLATE(B12095, ""es"", ""en"")"),"Product acceptable Verda do not use it much because it totally obstructed my voice to the micro. It may be because the microphone he used was not good enough to warrant a noise reducer. But the product looks good.")</f>
        <v>Product acceptable Verda do not use it much because it totally obstructed my voice to the micro. It may be because the microphone he used was not good enough to warrant a noise reducer. But the product looks good.</v>
      </c>
    </row>
    <row r="12096">
      <c r="A12096" s="1">
        <v>4.0</v>
      </c>
      <c r="B12096" s="1" t="s">
        <v>11990</v>
      </c>
      <c r="C12096" t="str">
        <f>IFERROR(__xludf.DUMMYFUNCTION("GOOGLETRANSLATE(B12096, ""es"", ""en"")"),"Quality although a fair bit of power come from the eternal 141 and used in the radio station you turn, the brand must always emphasize comfort and flat-fidelity sound, and the quality of materials, but in this model specifically for me has 2 advantages fi"&amp;"rst change cable quickly through a connector also very comfortable curly cord as well not dragging on the ground, the other advantage is the replacement of pads very comfortable and is large pavilion. The model also I think has some disadvantages, the fir"&amp;"st and worst is that saturates soon, it lacks support a little more power, another disadvantage for use I give it to him that being open out too sound to the outside by which you can not be used with any micro that reaches aclopar.")</f>
        <v>Quality although a fair bit of power come from the eternal 141 and used in the radio station you turn, the brand must always emphasize comfort and flat-fidelity sound, and the quality of materials, but in this model specifically for me has 2 advantages first change cable quickly through a connector also very comfortable curly cord as well not dragging on the ground, the other advantage is the replacement of pads very comfortable and is large pavilion. The model also I think has some disadvantages, the first and worst is that saturates soon, it lacks support a little more power, another disadvantage for use I give it to him that being open out too sound to the outside by which you can not be used with any micro that reaches aclopar.</v>
      </c>
    </row>
    <row r="12097">
      <c r="A12097" s="1">
        <v>4.0</v>
      </c>
      <c r="B12097" s="1" t="s">
        <v>11991</v>
      </c>
      <c r="C12097" t="str">
        <f>IFERROR(__xludf.DUMMYFUNCTION("GOOGLETRANSLATE(B12097, ""es"", ""en"")"),"Good product money to give it another go at your watch, easy assembly with useful is built")</f>
        <v>Good product money to give it another go at your watch, easy assembly with useful is built</v>
      </c>
    </row>
    <row r="12098">
      <c r="A12098" s="1">
        <v>4.0</v>
      </c>
      <c r="B12098" s="1" t="s">
        <v>11992</v>
      </c>
      <c r="C12098" t="str">
        <f>IFERROR(__xludf.DUMMYFUNCTION("GOOGLETRANSLATE(B12098, ""es"", ""en"")"),"Good quality useful as heavy work shoe ..algo but useful")</f>
        <v>Good quality useful as heavy work shoe ..algo but useful</v>
      </c>
    </row>
    <row r="12099">
      <c r="A12099" s="1">
        <v>4.0</v>
      </c>
      <c r="B12099" s="1" t="s">
        <v>11993</v>
      </c>
      <c r="C12099" t="str">
        <f>IFERROR(__xludf.DUMMYFUNCTION("GOOGLETRANSLATE(B12099, ""es"", ""en"")"),"Good product, poor quality control Earrings are very nice, but I had to buy 3 pairs to get one without which had a notch on the glass. Quality control very bad product. Return on Amazon, as always ten. After a few days, Angel Nina contacted me because of "&amp;"the incident and as a bonus for the inconvenience, I gave the necklace to match. A good details from them.")</f>
        <v>Good product, poor quality control Earrings are very nice, but I had to buy 3 pairs to get one without which had a notch on the glass. Quality control very bad product. Return on Amazon, as always ten. After a few days, Angel Nina contacted me because of the incident and as a bonus for the inconvenience, I gave the necklace to match. A good details from them.</v>
      </c>
    </row>
    <row r="12100">
      <c r="A12100" s="1">
        <v>4.0</v>
      </c>
      <c r="B12100" s="1" t="s">
        <v>11994</v>
      </c>
      <c r="C12100" t="str">
        <f>IFERROR(__xludf.DUMMYFUNCTION("GOOGLETRANSLATE(B12100, ""es"", ""en"")"),"Very practical works very well with bottles and breast pump. I can not ask more of this product although the bottom to within the tetina paracer a bit pointless to me.")</f>
        <v>Very practical works very well with bottles and breast pump. I can not ask more of this product although the bottom to within the tetina paracer a bit pointless to me.</v>
      </c>
    </row>
    <row r="12101">
      <c r="A12101" s="1">
        <v>5.0</v>
      </c>
      <c r="B12101" s="1" t="s">
        <v>11995</v>
      </c>
      <c r="C12101" t="str">
        <f>IFERROR(__xludf.DUMMYFUNCTION("GOOGLETRANSLATE(B12101, ""es"", ""en"")"),"I bought it to give my grandson is very happy with the gift, so I value it positively.")</f>
        <v>I bought it to give my grandson is very happy with the gift, so I value it positively.</v>
      </c>
    </row>
    <row r="12102">
      <c r="A12102" s="1">
        <v>5.0</v>
      </c>
      <c r="B12102" s="1" t="s">
        <v>11996</v>
      </c>
      <c r="C12102" t="str">
        <f>IFERROR(__xludf.DUMMYFUNCTION("GOOGLETRANSLATE(B12102, ""es"", ""en"")"),"Good buy &lt;div id = ""video-block-RRMCJB4QCS7WF"" class = ""a-section a-spacing-small a-spacing-top mini video-block""&gt; &lt;div tabindex = ""0"" class = ""airy airy-svg vmin-unsupported airy-skin-beacon ""style ="" background-color: rgb (0, 0, 0) position: re"&amp;"lative; width: 100%; height: 100%; font-size: 0px; overflow: hidden; outline : none; ""&gt; &lt;div class ="" airy-renderer-container ""style ="" position: relative; height: 100%; width: 100%; ""&gt; &lt;video id ="" 7 ""preload ="" auto ""src ="" https://images-eu.s"&amp;"sl-images-amazon.com/images/I/B1URQzi9urS.mp4 ""style ="" position: absolute; left: 0px; top: 0px; overflow: hidden; height: 1px; width: 1px ; ""&gt; &lt;/ video&gt; &lt;/ div&gt; &lt;div id ="" airy-slate-preload ""style ="" background-color: rgb (0, 0, 0); background-ima"&amp;"ge: url (&amp; quot; https: // images-eu.ssl-images-amazon.com/images/I/91d+NTADT+S.png&amp;quot;); background-size: Contain; background-position: center center; background-repeat: no-repeat; position: absolute ; top: 0px; left: 0px; visibility: visible; width: 1"&amp;"00%; height: 100%; ""&gt; &lt;/ div&gt; &lt;iframe scrolling ="" no ""Frameborder ="" 0 ""src ="" about: blank ""style ="" display: none; ""&gt; &lt;/ iframe&gt; &lt;div tabindex ="" - 1 ""class ="" airy-controls-container ""style ="" opacity: 0; visibility: hidden; ""&gt; &lt;div tab"&amp;"index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airy-o"&amp;"n ""&gt; &lt;/ div&gt; &lt;div tabindex ="" - 1 ""class ="" airy-audio-container ""style = ""opacity: 0; visibility: hidden; ""&gt; &lt;div tabindex ="" - 1 ""class ="" airy-audio-track-bar ""style ="" height: 80%; ""&gt; &lt;div tabindex ="" - 1 ""class ="" airy-audio- Scrubber"&amp;"-bar ""style ="" height: 85%; ""&gt; &lt;/ div&gt; &lt;div tabindex ="" - 1 ""class ="" airy-audio-scrubber ""style ="" height: 12px; bottom: 85% ""&gt; &lt;/ div&gt; &lt;/ div&gt; &lt;/ div&gt; &lt;/ div&gt; &lt;div tabindex ="" - 1 ""class ="" airy-duration-label ""style ="" float: right; width"&amp;": 26px; margin-right: 4px; text-align: center; ""&gt; 0:30 &lt;/ div&gt; &lt;div tabindex ="" - 1 ""class ="" airy-track-bar-spacer-right ""style ="" float: right; width: 11px; ""&gt; &lt;/ div&gt; &lt;div tabindex ="" - 1 ""class ="" airy-track-bar-container ""style ="" margin-"&amp;"left: 35px; margin-right: 75px; ""&gt; &lt;div tabindex ="" - 1 ""class ="" airy-airy-track-bar vertically-centering-table ""&gt; &lt;div tabindex ="" - 1 ""class ="" airy-Vertical-centering- table-cell ""&gt; &lt;div tabindex ="" - 1 ""class ="" airy-track-bar-elements """&amp;"&gt; &lt;div tabindex ="" - 1 ""class ="" airy-progress-bar ""style ="" width: 4.07952%; ""&gt; &lt;/ div&gt; &lt;div tabindex ="" - 1 ""class ="" airy-scrubber-bar ""&gt; &lt;/ div&gt; &lt;div tabindex ="" - 1 ""class ="" airy-scrubber ""&gt; &lt;div tabindex ="" - 1 ""class ="" airy-scrub"&amp;"ber-icon ""&gt; &lt;/ div&gt; &lt;div tabindex ="" - 1 ""class ="" airy-adjusted-AUI-tooltip ""style ="" opacity: 0; visibility: hidden; ""&gt; &lt;div tabindex ="" - 1 ""class ="" airy-adjusted-aui-tooltip-inner ""&gt; &lt;div tabindex ="" - 1 ""class ="" airy-current-time-labe"&amp;"l ""&gt; 0: 00 &lt;/ div&gt; &lt;/ div&gt; &lt;div tabindex = ""- 1"" class = ""airy-adjusted-AUI-arrow-border""&gt; &lt;div tabindex = ""- 1"" class = ""airy-adjusted-AUI-arrow"" &gt; &lt;/ div&gt; &lt;/ div&gt; &lt;/ div&gt; &lt;/ div&gt; &lt;/ div&gt; &lt;/ div&gt; &lt;/ div&gt; &lt;/ div&gt; &lt;/ div&gt; &lt;/ div&gt; &lt;div tabindex = "&amp;"""- 1"" class = ""airy-age-gate airy-stage airy-Vertical-centering-table airy-dialog"" style = ""opacity: 0; visibility: hidden; ""&gt; &lt;div tabindex ="" - 1 ""class ="" airy-age-gate-Vertical-centering-table-cell airy-Vertical-centering-table-cell ""&gt; &lt;div "&amp;"tabindex ="" - 1 ""class = ""airy-Vertical-centering-wrapper airy-age-gate-elements-wrapper""&gt; &lt;div tabindex = ""- 1"" class = ""airy-age-gate-elements airy-dialog-elements""&gt; &lt;div tabindex = "" -1 ""class ="" airy-age-gate-prompt ""&gt; This video is not In"&amp;"tended for all audiences What date were you born &lt;/ div&gt; &lt;div tabindex =.?"" - 1 ""class ="" airy-age-gate -inputs airy-dialog-inner-elements ""&gt; &lt;select tabindex ="" - 1 ""class ="" airy-age-gate-month ""&gt; &lt;option value ="" 1 ""&gt; January &lt;/ option&gt; &lt;opti"&amp;"on value ="" 2 ""&gt; February &lt;/ option&gt; &lt;option value ="" 3 ""&gt; March &lt;/ option&gt; &lt;option value ="" 4 ""&gt; April &lt;/ option&gt; &lt;option value ="" 5 ""&gt; May &lt;/ option&gt; &lt;option value = ""6""&gt; June &lt;/ option&gt; &lt;option value = ""7""&gt; July &lt;/ option&gt; &lt;option value = "&amp;"""8""&gt; August &lt;/ option&gt; &lt;option value = ""9""&gt; September &lt;/ option&gt; &lt;option value = ""10""&gt; October &lt;/ option&gt; &lt;option value = ""11""&gt; November &lt;/ option&gt; &lt;option value = ""12""&gt; December &lt;/ option&gt; &lt;/ select&gt; &lt;select tabindex = ""- 1"" class = ""airy-ag"&amp;"e-gate-day""&gt; &lt;opti on value = ""1""&gt; 1 &lt;/ option&gt; &lt;option value = ""2""&gt; 2 &lt;/ option&gt; &lt;option value = ""3""&gt; 3 &lt;/ option&gt; &lt;option value = ""4""&gt; 4 &lt;/ option &gt; &lt;option value = ""5""&gt; 5 &lt;/ option&gt; &lt;option value = ""6""&gt; 6 &lt;/ option&gt; &lt;option value = ""7""&gt; "&amp;"7 &lt;/ option&gt; &lt;option value = ""8""&gt; 8 &lt; / option&gt; &lt;option value = ""9""&gt; 9 &lt;/ option&gt; &lt;option value = ""10""&gt; 10 &lt;/ option&gt; &lt;option value = ""11""&gt; 11 &lt;/ option&gt; &lt;option value = ""12""&gt; 12 &lt;/ option&gt; &lt;option value = ""13""&gt; 13 &lt;/ option&gt; &lt;option value = "&amp;"""14""&gt; 14 &lt;/ option&gt; &lt;option value = ""15""&gt; 15 &lt;/ option&gt; &lt;option value = ""16 ""&gt; 16 &lt;/ option&gt; &lt;option value ="" 17 ""&gt; 17 &lt;/ option&gt; &lt;option value ="" 18 ""&gt; 18 &lt;/ option&gt; &lt;option value ="" 19 ""&gt; 19 &lt;/ option&gt; &lt;option value = ""20""&gt; 20 &lt;/ option&gt; &lt;"&amp;"option value = ""21""&gt; 21 &lt;/ option&gt; &lt;option value = ""22""&gt; 22 &lt;/ option&gt; &lt;option value = ""23""&gt; 23 &lt;/ option&gt; &lt;option value = ""24""&gt; 24 &lt;/ option&gt; &lt;option value = ""25""&gt; 25 &lt;/ option&gt; &lt;option value = ""26""&gt; 26 &lt;/ option&gt; &lt;option value = ""27""&gt; 27 &lt;"&amp;"/ option&gt; &lt;option value = ""28""&gt; 28 &lt;/ option&gt; &lt;option value = ""29""&gt; 29 &lt;/ option&gt; &lt;option value = ""30""&gt; 30 &lt;/ option&gt; &lt;option value = ""31""&gt; 31 &lt;/ option&gt; &lt;/ select&gt; &lt;select tabindex = ""- 1"" class = ""airy-age-gate-year""&gt; &lt;option value = ""2019"&amp;"""&gt; 2019 &lt;/ option&gt; &lt; option value = ""2018""&gt; 2018 &lt;/ option&gt; &lt;option value = ""2017""&gt; 2017 &lt;/ option&gt; &lt;option value = ""2016""&gt; ​​2016 &lt;/ option&gt; &lt;option value = ""2015""&gt; 2015 &lt;/ option &gt; &lt;option value = ""2014""&gt; 2014 &lt;/ option&gt; &lt;option value = ""201"&amp;"3""&gt; 2013 &lt;/ option&gt; &lt;option value = ""2012""&gt; 2012 &lt;/ option&gt; &lt;option value = ""2011""&gt; 2011 &lt; / option&gt; &lt;option value = ""2010""&gt; 2010 &lt;/ option&gt; &lt;option value = ""2009""&gt; 2009 &lt;/ option&gt; &lt;option value = ""2008""&gt; 2008 &lt;/ option&gt; &lt;option value = ""2007"&amp;"""&gt; 2007 &lt;/ option&gt; &lt;option value = ""2006""&gt; 2006 &lt;/ option&gt; &lt;option value = ""2005""&gt; 2005 &lt;/ option&gt; &lt;option value = ""2004""&gt; 2004 &lt;/ option&gt; &lt;option value = ""2003 ""&gt; 2003 &lt;/ option&gt; &lt;option value ="" 2002 ""&gt; 2002 &lt;/ option&gt; &lt;option value ="" 2001 "&amp;"""&gt;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""&gt;"&amp;" 1989 &lt;/ option&gt; &lt;option value ="" 1988 ""&gt; 1988 &lt;/ option&gt; &lt;option value ="" 1987 ""&gt; 1987 &lt;/ option&gt; &lt;option value ="" 1986 ""&gt; 1986 &lt;/ option&gt; &lt;value option = ""1985""&gt; 1985 &lt;/ option&gt; &lt;option value = ""1984""&gt; 1984 &lt;/ option&gt; &lt;option value = ""1983""&gt;"&amp;" 1983 &lt;/ option&gt; &lt;option value = ""1982""&gt; 1982 &lt;/ option&gt; &lt; option value = ""1981""&gt; 1981 &lt;/ option&gt; &lt;option value = ""1980""&gt; 1980 &lt;/ option&gt; &lt;option value = ""1979""&gt; 1979 &lt;/ option&gt; &lt;option value = ""1978""&gt; 1978 &lt;/ option &gt; &lt;option value = ""1977""&gt; "&amp;"1977 &lt;/ option&gt; &lt;option value = ""1976""&gt; 1976 &lt;/ option&gt; &lt;option value = ""1975""&gt; 1975 &lt;/ option&gt; &lt;option value = ""1974""&gt; 1974 &lt; / option&gt; &lt;option value = ""1973""&gt; 1973 &lt;/ option&gt; &lt;option value = ""1972""&gt; 1972 &lt;/ option&gt; &lt;option value = ""1971""&gt; 19"&amp;"71 &lt;/ option&gt; &lt;option value = ""1970""&gt; 1970 &lt;/ option&gt; &lt;option value = ""1969""&gt; 1969 &lt;/ option&gt; &lt;option value = ""1968""&gt; 1968 &lt;/ option&gt; &lt;option value = ""1967""&gt; 1967 &lt;/ option&gt; &lt;option value = ""1966 ""&gt; 1966 &lt;/ option&gt; &lt;option value ="" 1965 ""&gt; 196"&amp;"5 &lt;/ option&gt; &lt;option value ="" 1964 ""&gt; 1964 &lt;/ option&gt; &lt;option value ="" 1963 ""&gt; 1963 &lt;/ option&gt; &lt;option value = ""1962""&gt; 1962 &lt;/ option&gt; &lt;option value = ""1961""&gt; 1961 &lt;/ option&gt; &lt;option value = ""1960""&gt; 1960 &lt;/ op tion&gt; &lt;option value = ""1959""&gt; 195"&amp;"9 &lt;/ option&gt; &lt;option value = ""1958""&gt; 1958 &lt;/ option&gt; &lt;option value = ""1957""&gt; 1957 &lt;/ option&gt; &lt;option value = ""1956""&gt; 1956 &lt;/ option&gt; &lt;option value = ""1955""&gt; 1955 &lt;/ option&gt; &lt;option value = ""1954""&gt; 1954 &lt;/ option&gt; &lt;option value = ""1953""&gt; 1953 &lt;"&amp;"/ option&gt; &lt;option value = ""1952"" &gt; 1952 &lt;/ option&gt; &lt;option value = ""1951""&gt; 1951 &lt;/ option&gt; &lt;option value = ""1950""&gt; 1950 &lt;/ option&gt; &lt;option value = ""1949""&gt; 1949 &lt;/ option&gt; &lt;option value = "" 1948 ""&gt; 1948 &lt;/ option&gt; &lt;option value ="" 1947 ""&gt; 1947 "&amp;"&lt;/ option&gt; &lt;option value ="" 1946 ""&gt; 1946 &lt;/ option&gt; &lt;option value ="" 1945 ""&gt; 1945 &lt;/ option&gt; &lt;value option = ""1944""&gt; 1944 &lt;/ option&gt; &lt;option value = ""1943""&gt; 1943 &lt;/ option&gt; &lt;option value = ""1942""&gt; 1942 &lt;/ option&gt; &lt;option value = ""1941""&gt; 1941 &lt;"&amp;"/ option&gt; &lt; option value = ""1940""&gt; 1940 &lt;/ option&gt; &lt;option value = ""1939""&gt; 1939 &lt;/ option&gt; &lt;option value = ""1938""&gt; 1938 &lt;/ option&gt; &lt;option value = ""1937""&gt; 1937 &lt;/ option &gt; &lt;option value = ""1936""&gt; 1936 &lt;/ option&gt; &lt;option value = ""1935""&gt; 1935 &lt;/"&amp;" option&gt; &lt;option value = ""1934""&gt; 1934 &lt;/ option&gt; &lt;option value = ""1933""&gt; 1933 &lt; / option&gt; &lt;option value = ""1932""&gt; 1932 &lt;/ option&gt; &lt;option value = ""1931""&gt; 1931 &lt;/ option&gt; &lt;option v alue = ""1930""&gt; 1930 &lt;/ option&gt; &lt;option value = ""1929""&gt; 1929 &lt;/ "&amp;"option&gt; &lt;option value = ""1928""&gt; 1928 &lt;/ option&gt; &lt;option value = ""1927""&gt; 1927 &lt;/ option&gt; &lt;option value = ""1926""&gt; 1926 &lt;/ option&gt; &lt;option value = ""1925""&gt; 1925 &lt;/ option&gt; &lt;option value = ""1924""&gt; 1924 &lt;/ option&gt; &lt;option value = ""1923""&gt; 1923 &lt;/ opt"&amp;"ion&gt; &lt;option value = ""1922""&gt; 1922 &lt;/ option&gt; &lt;option value = ""1921""&gt; 1921 &lt;/ option&gt; &lt;option value = ""1920""&gt; 1920 &lt;/ option&gt; &lt;option value = ""1919""&gt; 1919 &lt;/ option&gt; &lt;option value = ""1918""&gt; 1918 &lt;/ option&gt; &lt;option value = ""1917""&gt; 1917 &lt;/ option"&amp;"&gt; &lt;option value = ""1916""&gt; 1916 &lt;/ option&gt; &lt;option value = ""1915"" &gt; 1915 &lt;/ option&gt; &lt;option value = ""1914""&gt; 1914 &lt;/ option&gt; &lt;option value = ""1913""&gt; 1913 &lt;/ option&gt; &lt;option value = ""1912""&gt; 1912 &lt;/ option&gt; &lt;option value = "" 1911 ""&gt; 1911 &lt;/ option"&amp;"&gt; &lt;option value ="" 1910 ""&gt; 1910 &lt;/ option&gt; &lt;option value ="" 1909 ""&gt; 1909 &lt;/ option&gt; &lt;option value ="" 1908 ""&gt; 1908 &lt;/ option&gt; &lt;value option = ""1907""&gt; 1907 &lt;/ option&gt; &lt;option value = ""1906""&gt; 1906 &lt;/ option&gt; &lt;option value = ""1905""&gt; 1905 &lt;/ option"&amp;"&gt; &lt;option value = ""1904""&gt; 1904 &lt;/ option&gt; &lt; option value = ""1903""&gt; 1903 &lt;/ option&gt; &lt;option value = ""1902""&gt; 1902 &lt;/ option&gt; &lt;option value = ""1901""&gt; 19 01 &lt;/ option&gt; &lt;option value = ""1900""&gt; 1900 &lt;/ option&gt; &lt;/ select&gt; &lt;div tabindex = ""- 1"" class "&amp;"= ""airy-age-gate-submit airy-submit-button airy airy-submit- disabled ""&gt; Submit &lt;/ div&gt; &lt;/ div&gt; &lt;/ div&gt; &lt;/ div&gt; &lt;/ div&gt; &lt;/ div&gt; &lt;div tabindex ="" - 1 ""class ="" airy-install-flash-dialog airy-stage airy -vertical-centering-table-dialog airy airy-denied"&amp;" ""style ="" opacity: 0; visibility: hidden; ""&gt; &lt;div tabindex ="" - 1 ""class ="" airy-install-flash-Vertical-centering-table-cell airy-Vertical-centering-table-cell ""&gt; &lt;div tabindex ="" - 1 ""class = ""airy-Vertical-centering-wrapper airy-install-flash"&amp;"-elements-wrapper""&gt; &lt;div tabindex = ""- 1"" class = ""airy-install-flash-elements airy-dialog-elements""&gt; &lt;div tabindex = "" -1 ""class ="" airy-install-flash-prompt ""&gt; Adobe Flash Player is required to watch this video &lt;/ div&gt; &lt;div tabindex =."" - 1 """&amp;"class ="" airy-install-flash-button-wrapper airy -dialog-inner-elements ""&gt; &lt;div tabindex ="" - 1 ""class ="" airy-install-flash-button airy-button ""&gt; install Flash Player &lt;/ div&gt; &lt;/ div&gt; &lt;/ div&gt; &lt;/ div&gt; &lt;/ div&gt; &lt;/ div&gt; &lt;div tabindex = ""- 1"" class = """&amp;"airy-video-unsupported-dialog airy-stage airy-Vertical-centering-table airy-dialog airy-denied"" style = ""opacity: 0; visibility: hidden; ""&gt; &lt;div tabindex ="" - 1 ""class ="" airy-video-unsupported-Vertical-centering-table-cell airy-Vertical-centering-t"&amp;"able-cell ""&gt; &lt;div tabindex ="" - 1 ""class = ""airy-Vertical-centering-wrapper airy-video-unsupported-elements-wrapper""&gt; &lt;div tabindex = ""- 1"" class = ""airy-video-unsupported-elements airy-dialog-elements""&gt; &lt;div tabindex = "" -1 ""class ="" airy-vid"&amp;"eo-unsupported-prompt ""&gt; &lt;/ div&gt; &lt;/ div&gt; &lt;/ div&gt; &lt;/ div&gt; &lt;/ div&gt; &lt;div tabindex ="" - 1 ""class ="" airy-loading- spinner-stage airy-stage ""&gt; &lt;div tabindex ="" - 1 ""class ="" airy-loading-spinner-Vertical-centering-table-cell airy-Vertical-centering-tab"&amp;"le-cell ""&gt; &lt;div tabindex ="" - 1 ""class ="" airy-loading-spinner-container airy-scalable-hint-container ""&gt; &lt;div tabindex ="" - 1 ""class ="" airy-loading-spinner-dummy airy-scalable-dummy ""&gt; &lt;/ div&gt; &lt; div tabindex = ""- 1"" class = ""airy-loading-spin"&amp;"ner airy-hint"" style = ""visibility: hidden;""&gt; &lt;/ div&gt; &lt;/ div&gt; &lt;/ div&gt; &lt;/ div&gt; &lt;div tabindex = ""- 1 ""class ="" airy-ads-screen-size-toggle airy-screen-size-toggle-fullscreen airy ""style ="" visibility: hidden; ""&gt; &lt;/ div&gt; &lt;div tabindex = ""-1"" class"&amp;" = ""airy-ad-prompt-container"" style = ""visibility: hidden;""&gt; &lt;div tabindex = ""- 1"" class = ""airy-ad-prompt-Vertical-centering-table-vertically airy centering-table ""&gt; &lt;div tabindex ="" - 1 ""class ="" airy-ad-prompt-Vertical-centering-table-cell a"&amp;"iry-Vertical-centering-table-cell ""&gt; &lt;div tabindex ="" - 1 ""class = ""airy-ad-prompt-label""&gt; &lt;/ div&gt; &lt;/ div&gt; &lt;/ div&gt; &lt;/ div&gt; &lt;div tabindex = ""- 1"" class = ""airy-ads-controls-container"" style = ""visibility: hidden; ""&gt; &lt;div tabindex ="" - 1 ""class"&amp;" ="" airy-ads-audio-toggle airy-audio-toggle airy-on ""style ="" visibility: hidden; ""&gt; &lt;/ div&gt; &lt;div tabindex ="" - 1 ""class ="" airy-time-remaining-label-container ""&gt; &lt;div tabindex ="" - 1 ""class ="" airy-time-remaining-Vertical-centering-table airy-"&amp;"Vertical-centering-table ""&gt; &lt;div tabindex = ""- 1"" class = ""airy-time-remaining-Vertical-centering-table-cell airy-Vertical-centering-table-cell""&gt; &lt;div tabindex = ""- 1"" class = ""airy-Vertical-centering-wrapper airy-time-remaining-label-wrapper ""&gt; "&amp;"&lt;div tabindex ="" - 1 ""class ="" airy-time-remaining-label ""style ="" visibility: hidden; ""&gt; &lt;/ div&gt; &lt;div tabi ndex = ""- 1"" class = ""airy-ad-skip"" style = ""visibility: hidden;""&gt; &lt;/ div&gt; &lt;div tabindex = ""- 1"" class = ""airy-ad-end"" style = ""vi"&amp;"sibility: hidden ""&gt; &lt;/ div&gt; &lt;/ div&gt; &lt;/ div&gt; &lt;/ div&gt; &lt;/ div&gt; &lt;div tabindex ="" - 1 ""class ="" airy-learn-more ""style ="" visibility: hidden; ""&gt; &lt;/ div&gt; &lt;/ div&gt; &lt;div tabindex = ""- 1"" class = ""airy-play-toggle-hint-stage airy-stage airy-cursor""&gt; &lt;div"&amp;" tabindex = ""- 1"" class = ""airy-play -toggle-hint-Vertical-centering-table-cell airy-Vertical-centering-table-cell airy-cursor ""&gt; &lt;div tabindex ="" - 1 ""class ="" airy-play-toggle-hint-container airy-scalable- Hint-container ""&gt; &lt;div tabindex ="" - 1"&amp;" ""class ="" airy-play-toggle-hint-dummy airy-scalable-dummy ""&gt; &lt;/ div&gt; &lt;div tabindex ="" - 1 ""class ="" airy-play -toggle-hint hint airy-airy-play-hint ""style ="" opacity: 1; visibility: visible; ""&gt; &lt;/ div&gt; &lt;/ div&gt; &lt;/ div&gt; &lt;/ div&gt; &lt;div tabindex ="" -"&amp;" 1 ""class ="" airy-replay-hint-stage airy-stage ""style ="" visibility: hidden ; ""&gt; &lt;div tabindex ="" - 1 ""class ="" airy-replay-hint-Vertical-centering-table-cell airy-Vertical-centering-table-cell airy-cursor ""&gt; &lt;div tabindex ="" - 1 ""class = ""air"&amp;"y-replay-hint-container airy-scalable-hint-container""&gt; &lt;div tabindex = ""- 1"" class = ""airy-replay-hint-dummy airy-scalable-dummy""&gt; &lt;/ div&gt; &lt;div tabindex = ""- 1"" class = ""airy-replay-hint airy-hint""&gt; &lt;/ div&gt; &lt;/ div&gt; &lt;/ div&gt; &lt;/ div&gt; &lt;div tabindex ="&amp;" ""- 1"" class = ""airy-autoplay-hint -stage airy-stage ""style ="" visibility: hidden; ""&gt; &lt;div tabindex ="" - 1 ""class ="" airy-autoplay-hint-Vertical-centering-table-cell airy-Vertical-centering-table-cell airy- cursor ""&gt; &lt;div tabindex ="" - 1 ""clas"&amp;"s ="" autoplay airy-airy-hint-container-scalable-hint-container ""&gt; &lt;div tabindex ="" - 1 ""class ="" airy-autoplay-hint-dummy airy- scalable-dummy ""&gt; &lt;/ div&gt; &lt;/ div&gt; &lt;/ div&gt; &lt;/ div&gt; &lt;/ div&gt; &lt;/ div&gt; &lt;input type ="" hidden ""name ="" ""value ="" https: //"&amp;" images-eu .ssl-images-amazon.com / images / I / B1URQzi9urS.mp4 ""Class ="" video-url ""&gt; &lt;input type ="" hidden ""name ="" ""value ="" https://images-eu.ssl-images-amazon.com/images/I/91d+NTADT+S.png ""class ="" video-slate-img-url ""&gt; &amp; nbsp; the produ"&amp;"ct came to me the estimated time and in perfect condition. I have it installed on my phone and doing very well without any problem. Using I'm giving you is normal to store music, photos and videos among others. I'm happy with the purchase I made and would"&amp;" buy it if I needed. I recommend it.")</f>
        <v>Good buy &lt;div id = "video-block-RRMCJB4QCS7WF"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7 "preload =" auto "src =" https://images-eu.ssl-images-amazon.com/images/I/B1URQzi9urS.mp4 "style =" position: absolute; left: 0px; top: 0px; overflow: hidden; height: 1px; width: 1px ; "&gt; &lt;/ video&gt; &lt;/ div&gt; &lt;div id =" airy-slate-preload "style =" background-color: rgb (0, 0, 0); background-image: url (&amp; quot; https: // images-eu.ssl-images-amazon.com/images/I/91d+NTADT+S.png&amp;quot;); background-size: Contain; background-position: center center; background-repeat: no-repeat; position: absolute ; top: 0px; left: 0px; visibility: visible; width: 100%; height: 100%;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0:30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4.07952%;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B1URQzi9urS.mp4 "Class =" video-url "&gt; &lt;input type =" hidden "name =" "value =" https://images-eu.ssl-images-amazon.com/images/I/91d+NTADT+S.png "class =" video-slate-img-url "&gt; &amp; nbsp; the product came to me the estimated time and in perfect condition. I have it installed on my phone and doing very well without any problem. Using I'm giving you is normal to store music, photos and videos among others. I'm happy with the purchase I made and would buy it if I needed. I recommend it.</v>
      </c>
    </row>
    <row r="12103">
      <c r="A12103" s="1">
        <v>5.0</v>
      </c>
      <c r="B12103" s="1" t="s">
        <v>11997</v>
      </c>
      <c r="C12103" t="str">
        <f>IFERROR(__xludf.DUMMYFUNCTION("GOOGLETRANSLATE(B12103, ""es"", ""en"")"),"Value for money is not skin, of course, but the value seems very good. Good bag for traveling")</f>
        <v>Value for money is not skin, of course, but the value seems very good. Good bag for traveling</v>
      </c>
    </row>
    <row r="12104">
      <c r="A12104" s="1">
        <v>5.0</v>
      </c>
      <c r="B12104" s="1" t="s">
        <v>11998</v>
      </c>
      <c r="C12104" t="str">
        <f>IFERROR(__xludf.DUMMYFUNCTION("GOOGLETRANSLATE(B12104, ""es"", ""en"")"),"Perfecte. Tant com l'perfecte boats were delivered. Les boats will arrive in bon estat i totes les expectatives complien. Servei d'delivery, ràpid i eficient, will arrive abans i tot that estava previst. recomanable totalment.")</f>
        <v>Perfecte. Tant com l'perfecte boats were delivered. Les boats will arrive in bon estat i totes les expectatives complien. Servei d'delivery, ràpid i eficient, will arrive abans i tot that estava previst. recomanable totalment.</v>
      </c>
    </row>
    <row r="12105">
      <c r="A12105" s="1">
        <v>5.0</v>
      </c>
      <c r="B12105" s="1" t="s">
        <v>11999</v>
      </c>
      <c r="C12105" t="str">
        <f>IFERROR(__xludf.DUMMYFUNCTION("GOOGLETRANSLATE(B12105, ""es"", ""en"")"),"Blenders elegant and practical. The mixer comes in a box, well protected. the mixer itself a 1 liter container with lid to store food, and instructions are included. Right out of the box shows that have taken care of every detail, and aesthetically is ver"&amp;"y nice, mixing red with silver-colored stainless steel, and getting a retro look. The blender has a power of 700 W, two-speed ""Pulse"" function, which is equivalent to a ""turbo"" function, allowing greater control over short periods of time, actually it"&amp;" consists of a maximum increase and instantaneous speed in the blades . These blades are stainless steel and have infinty antisucción design technology, so get a total crushing of any ingredient, regardless of its texture and hardness. The blender is very"&amp;" comfortable to use, ergonomic handle has soft touch and is powerful enough. Depending on the speed chosen will have a level more or less fine textures in crushing. Cleaning of the mixer itself is done very simply, stainless steel foot can be removed and "&amp;"put in the dishwasher. Is collected in a space, besides being able to keep within the container itself, the truth is that is very nice where the put. It comes with 2 year warranty plus 1 additional year to register online. Anyway, for the price you curren"&amp;"tly have, € 39,95, highly recommended. A greeting.")</f>
        <v>Blenders elegant and practical. The mixer comes in a box, well protected. the mixer itself a 1 liter container with lid to store food, and instructions are included. Right out of the box shows that have taken care of every detail, and aesthetically is very nice, mixing red with silver-colored stainless steel, and getting a retro look. The blender has a power of 700 W, two-speed "Pulse" function, which is equivalent to a "turbo" function, allowing greater control over short periods of time, actually it consists of a maximum increase and instantaneous speed in the blades . These blades are stainless steel and have infinty antisucción design technology, so get a total crushing of any ingredient, regardless of its texture and hardness. The blender is very comfortable to use, ergonomic handle has soft touch and is powerful enough. Depending on the speed chosen will have a level more or less fine textures in crushing. Cleaning of the mixer itself is done very simply, stainless steel foot can be removed and put in the dishwasher. Is collected in a space, besides being able to keep within the container itself, the truth is that is very nice where the put. It comes with 2 year warranty plus 1 additional year to register online. Anyway, for the price you currently have, € 39,95, highly recommended. A greeting.</v>
      </c>
    </row>
    <row r="12106">
      <c r="A12106" s="1">
        <v>5.0</v>
      </c>
      <c r="B12106" s="1" t="s">
        <v>12000</v>
      </c>
      <c r="C12106" t="str">
        <f>IFERROR(__xludf.DUMMYFUNCTION("GOOGLETRANSLATE(B12106, ""es"", ""en"")"),"This massage Camila as written and does what it promises!")</f>
        <v>This massage Camila as written and does what it promises!</v>
      </c>
    </row>
    <row r="12107">
      <c r="A12107" s="1">
        <v>5.0</v>
      </c>
      <c r="B12107" s="1" t="s">
        <v>12001</v>
      </c>
      <c r="C12107" t="str">
        <f>IFERROR(__xludf.DUMMYFUNCTION("GOOGLETRANSLATE(B12107, ""es"", ""en"")"),"Excellent quality fabric and very comfortable. You pay for what the product is worth. Nothing to do with other bad imitations of fabric. As he expected. Excellent!")</f>
        <v>Excellent quality fabric and very comfortable. You pay for what the product is worth. Nothing to do with other bad imitations of fabric. As he expected. Excellent!</v>
      </c>
    </row>
    <row r="12108">
      <c r="A12108" s="1">
        <v>5.0</v>
      </c>
      <c r="B12108" s="1" t="s">
        <v>12002</v>
      </c>
      <c r="C12108" t="str">
        <f>IFERROR(__xludf.DUMMYFUNCTION("GOOGLETRANSLATE(B12108, ""es"", ""en"")"),"Very good buy right now with Timberland am on my feet. Very good buy. Camper together with water I've used many years, best, why have this price difference with other NAUTICAL of the market. Nothing to do with the rest except with Camper. now is the secon"&amp;"d purchase I do and I still last long before full time, although somewhat worn and why I have taken advantage of the offer")</f>
        <v>Very good buy right now with Timberland am on my feet. Very good buy. Camper together with water I've used many years, best, why have this price difference with other NAUTICAL of the market. Nothing to do with the rest except with Camper. now is the second purchase I do and I still last long before full time, although somewhat worn and why I have taken advantage of the offer</v>
      </c>
    </row>
    <row r="12109">
      <c r="A12109" s="1">
        <v>5.0</v>
      </c>
      <c r="B12109" s="1" t="s">
        <v>12003</v>
      </c>
      <c r="C12109" t="str">
        <f>IFERROR(__xludf.DUMMYFUNCTION("GOOGLETRANSLATE(B12109, ""es"", ""en"")"),"Price without competition Very good product for disinfection, leaves no smell of bleach, smells good. I use to clean my pets areas where they live and tolerate it very well. I recommend it for those who have pets.")</f>
        <v>Price without competition Very good product for disinfection, leaves no smell of bleach, smells good. I use to clean my pets areas where they live and tolerate it very well. I recommend it for those who have pets.</v>
      </c>
    </row>
    <row r="12110">
      <c r="A12110" s="1">
        <v>5.0</v>
      </c>
      <c r="B12110" s="1" t="s">
        <v>12004</v>
      </c>
      <c r="C12110" t="str">
        <f>IFERROR(__xludf.DUMMYFUNCTION("GOOGLETRANSLATE(B12110, ""es"", ""en"")"),"Ideals are precious and are super good.")</f>
        <v>Ideals are precious and are super good.</v>
      </c>
    </row>
    <row r="12111">
      <c r="A12111" s="1">
        <v>5.0</v>
      </c>
      <c r="B12111" s="1" t="s">
        <v>12005</v>
      </c>
      <c r="C12111" t="str">
        <f>IFERROR(__xludf.DUMMYFUNCTION("GOOGLETRANSLATE(B12111, ""es"", ""en"")"),"To put it well on the wrist pedometer")</f>
        <v>To put it well on the wrist pedometer</v>
      </c>
    </row>
    <row r="12112">
      <c r="A12112" s="1">
        <v>5.0</v>
      </c>
      <c r="B12112" s="1" t="s">
        <v>12006</v>
      </c>
      <c r="C12112" t="str">
        <f>IFERROR(__xludf.DUMMYFUNCTION("GOOGLETRANSLATE(B12112, ""es"", ""en"")"),"Good quality at a great price The earrings are of very good quality and at an unbeatable price, ideal for any type of gift. They are a pretty good size and look great.")</f>
        <v>Good quality at a great price The earrings are of very good quality and at an unbeatable price, ideal for any type of gift. They are a pretty good size and look great.</v>
      </c>
    </row>
    <row r="12113">
      <c r="A12113" s="1">
        <v>5.0</v>
      </c>
      <c r="B12113" s="1" t="s">
        <v>12007</v>
      </c>
      <c r="C12113" t="str">
        <f>IFERROR(__xludf.DUMMYFUNCTION("GOOGLETRANSLATE(B12113, ""es"", ""en"")"),"Buy great. Very good price! Pleased with purchase")</f>
        <v>Buy great. Very good price! Pleased with purchase</v>
      </c>
    </row>
    <row r="12114">
      <c r="A12114" s="1">
        <v>5.0</v>
      </c>
      <c r="B12114" s="1" t="s">
        <v>12008</v>
      </c>
      <c r="C12114" t="str">
        <f>IFERROR(__xludf.DUMMYFUNCTION("GOOGLETRANSLATE(B12114, ""es"", ""en"")"),"A GOOD AMBIENTADOR cheaper and much better than I have at home because it releases more steam, I bought it for work and are all delighted. in a place where there are many people and I have put in a passageway and it shows, it takes about 5 hours with the "&amp;"play of light sacándole very nice and impressive performance.")</f>
        <v>A GOOD AMBIENTADOR cheaper and much better than I have at home because it releases more steam, I bought it for work and are all delighted. in a place where there are many people and I have put in a passageway and it shows, it takes about 5 hours with the play of light sacándole very nice and impressive performance.</v>
      </c>
    </row>
    <row r="12115">
      <c r="A12115" s="1">
        <v>5.0</v>
      </c>
      <c r="B12115" s="1" t="s">
        <v>12009</v>
      </c>
      <c r="C12115" t="str">
        <f>IFERROR(__xludf.DUMMYFUNCTION("GOOGLETRANSLATE(B12115, ""es"", ""en"")"),"I can change I like the product, I need to change for one that is one size larger. The brand new balance using a different size to other brands")</f>
        <v>I can change I like the product, I need to change for one that is one size larger. The brand new balance using a different size to other brands</v>
      </c>
    </row>
    <row r="12116">
      <c r="A12116" s="1">
        <v>5.0</v>
      </c>
      <c r="B12116" s="1" t="s">
        <v>12010</v>
      </c>
      <c r="C12116" t="str">
        <f>IFERROR(__xludf.DUMMYFUNCTION("GOOGLETRANSLATE(B12116, ""es"", ""en"")"),"Well just like the picture")</f>
        <v>Well just like the picture</v>
      </c>
    </row>
    <row r="12117">
      <c r="A12117" s="1">
        <v>5.0</v>
      </c>
      <c r="B12117" s="1" t="s">
        <v>12011</v>
      </c>
      <c r="C12117" t="str">
        <f>IFERROR(__xludf.DUMMYFUNCTION("GOOGLETRANSLATE(B12117, ""es"", ""en"")"),"Very practical. I have found it very useful, actually, yes I recommend it, it is very convenient, although a little awkward to use at the top of the glass, but that is unavoidable.")</f>
        <v>Very practical. I have found it very useful, actually, yes I recommend it, it is very convenient, although a little awkward to use at the top of the glass, but that is unavoidable.</v>
      </c>
    </row>
    <row r="12118">
      <c r="A12118" s="1">
        <v>5.0</v>
      </c>
      <c r="B12118" s="1" t="s">
        <v>12012</v>
      </c>
      <c r="C12118" t="str">
        <f>IFERROR(__xludf.DUMMYFUNCTION("GOOGLETRANSLATE(B12118, ""es"", ""en"")"),"Genial very useful !!! just what I needed.")</f>
        <v>Genial very useful !!! just what I needed.</v>
      </c>
    </row>
    <row r="12119">
      <c r="A12119" s="1">
        <v>2.0</v>
      </c>
      <c r="B12119" s="1" t="s">
        <v>12013</v>
      </c>
      <c r="C12119" t="str">
        <f>IFERROR(__xludf.DUMMYFUNCTION("GOOGLETRANSLATE(B12119, ""es"", ""en"")"),"uggg; A large Hangout")</f>
        <v>uggg; A large Hangout</v>
      </c>
    </row>
    <row r="12120">
      <c r="A12120" s="1">
        <v>3.0</v>
      </c>
      <c r="B12120" s="1" t="s">
        <v>12014</v>
      </c>
      <c r="C12120" t="str">
        <f>IFERROR(__xludf.DUMMYFUNCTION("GOOGLETRANSLATE(B12120, ""es"", ""en"")"),"Right serves. It fits perfectly for use. The quality of the material is also good. The tambuen design is perfect. all ok")</f>
        <v>Right serves. It fits perfectly for use. The quality of the material is also good. The tambuen design is perfect. all ok</v>
      </c>
    </row>
    <row r="12121">
      <c r="A12121" s="1">
        <v>3.0</v>
      </c>
      <c r="B12121" s="1" t="s">
        <v>12015</v>
      </c>
      <c r="C12121" t="str">
        <f>IFERROR(__xludf.DUMMYFUNCTION("GOOGLETRANSLATE(B12121, ""es"", ""en"")"),"His design. I love the design. But they are very fragile, easily bent.")</f>
        <v>His design. I love the design. But they are very fragile, easily bent.</v>
      </c>
    </row>
    <row r="12122">
      <c r="A12122" s="1">
        <v>1.0</v>
      </c>
      <c r="B12122" s="1" t="s">
        <v>12016</v>
      </c>
      <c r="C12122" t="str">
        <f>IFERROR(__xludf.DUMMYFUNCTION("GOOGLETRANSLATE(B12122, ""es"", ""en"")"),"I do not recommend buy on July 31 have used it 4 times and no longer works !! It has not lasted 6 months")</f>
        <v>I do not recommend buy on July 31 have used it 4 times and no longer works !! It has not lasted 6 months</v>
      </c>
    </row>
    <row r="12123">
      <c r="A12123" s="1">
        <v>1.0</v>
      </c>
      <c r="B12123" s="1" t="s">
        <v>12017</v>
      </c>
      <c r="C12123" t="str">
        <f>IFERROR(__xludf.DUMMYFUNCTION("GOOGLETRANSLATE(B12123, ""es"", ""en"")"),"Not bad as in the photo, nothing so, it is simply the fabric. They carve significantly larger than puts, as I took one size smaller than what I use and is great.")</f>
        <v>Not bad as in the photo, nothing so, it is simply the fabric. They carve significantly larger than puts, as I took one size smaller than what I use and is great.</v>
      </c>
    </row>
    <row r="12124">
      <c r="A12124" s="1">
        <v>1.0</v>
      </c>
      <c r="B12124" s="1" t="s">
        <v>12018</v>
      </c>
      <c r="C12124" t="str">
        <f>IFERROR(__xludf.DUMMYFUNCTION("GOOGLETRANSLATE(B12124, ""es"", ""en"")"),"It has defective took almost a week to get. Good looks and finish. I have received defective because there is no way to put the right combination. I requested the return within 5 minutes of receiving it.")</f>
        <v>It has defective took almost a week to get. Good looks and finish. I have received defective because there is no way to put the right combination. I requested the return within 5 minutes of receiving it.</v>
      </c>
    </row>
    <row r="12125">
      <c r="A12125" s="1">
        <v>4.0</v>
      </c>
      <c r="B12125" s="1" t="s">
        <v>42</v>
      </c>
      <c r="C12125" t="str">
        <f>IFERROR(__xludf.DUMMYFUNCTION("GOOGLETRANSLATE(B12125, ""es"", ""en"")"),"Well well")</f>
        <v>Well well</v>
      </c>
    </row>
    <row r="12126">
      <c r="A12126" s="1">
        <v>4.0</v>
      </c>
      <c r="B12126" s="1" t="s">
        <v>12019</v>
      </c>
      <c r="C12126" t="str">
        <f>IFERROR(__xludf.DUMMYFUNCTION("GOOGLETRANSLATE(B12126, ""es"", ""en"")"),"Very good but a bit short it is fine but I think it could be a little longer, maybe it is that you can put an incredible array of microphones and is of good quality. My microphone is the blue snowball")</f>
        <v>Very good but a bit short it is fine but I think it could be a little longer, maybe it is that you can put an incredible array of microphones and is of good quality. My microphone is the blue snowball</v>
      </c>
    </row>
    <row r="12127">
      <c r="A12127" s="1">
        <v>4.0</v>
      </c>
      <c r="B12127" s="1" t="s">
        <v>12020</v>
      </c>
      <c r="C12127" t="str">
        <f>IFERROR(__xludf.DUMMYFUNCTION("GOOGLETRANSLATE(B12127, ""es"", ""en"")"),"Good price good quality product and good material for this price The size is fine I like the color you have and looks good quality laces are also good quality q equal the sole am satisfied, was for a gift and have successful")</f>
        <v>Good price good quality product and good material for this price The size is fine I like the color you have and looks good quality laces are also good quality q equal the sole am satisfied, was for a gift and have successful</v>
      </c>
    </row>
    <row r="12128">
      <c r="A12128" s="1">
        <v>4.0</v>
      </c>
      <c r="B12128" s="1" t="s">
        <v>12021</v>
      </c>
      <c r="C12128" t="str">
        <f>IFERROR(__xludf.DUMMYFUNCTION("GOOGLETRANSLATE(B12128, ""es"", ""en"")"),"Comfortable. The pants are very soft fabric is thin and fairly comfortable. I use the size 40/42 and I had to buy the XXL for me to stay well. The only downside is that I came a week late")</f>
        <v>Comfortable. The pants are very soft fabric is thin and fairly comfortable. I use the size 40/42 and I had to buy the XXL for me to stay well. The only downside is that I came a week late</v>
      </c>
    </row>
    <row r="12129">
      <c r="A12129" s="1">
        <v>5.0</v>
      </c>
      <c r="B12129" s="1" t="s">
        <v>12022</v>
      </c>
      <c r="C12129" t="str">
        <f>IFERROR(__xludf.DUMMYFUNCTION("GOOGLETRANSLATE(B12129, ""es"", ""en"")"),"It's just great a past, I have bitten me even touch the Himalayan salt")</f>
        <v>It's just great a past, I have bitten me even touch the Himalayan salt</v>
      </c>
    </row>
    <row r="12130">
      <c r="A12130" s="1">
        <v>5.0</v>
      </c>
      <c r="B12130" s="1" t="s">
        <v>12023</v>
      </c>
      <c r="C12130" t="str">
        <f>IFERROR(__xludf.DUMMYFUNCTION("GOOGLETRANSLATE(B12130, ""es"", ""en"")"),"Johnny Depp clock'm a great lover of watches, I have several brands of watches price higher than the Vostok, but this has become one of my watches prefer. I've hardly removed from that reached me ... He has incredible precision, have not had to change the"&amp;" time at any time ... is an old but new watch, to which must be wound every day (for me a pleasure) besides all this, inquiring about the watch I discovered that this watch him used the actor Johnny Depp ... to wind is a little different from other watche"&amp;"s. Unscrew the crown pushed slightly outward and proceed to wind (always pushing slightly outward while rewound)")</f>
        <v>Johnny Depp clock'm a great lover of watches, I have several brands of watches price higher than the Vostok, but this has become one of my watches prefer. I've hardly removed from that reached me ... He has incredible precision, have not had to change the time at any time ... is an old but new watch, to which must be wound every day (for me a pleasure) besides all this, inquiring about the watch I discovered that this watch him used the actor Johnny Depp ... to wind is a little different from other watches. Unscrew the crown pushed slightly outward and proceed to wind (always pushing slightly outward while rewound)</v>
      </c>
    </row>
    <row r="12131">
      <c r="A12131" s="1">
        <v>5.0</v>
      </c>
      <c r="B12131" s="1" t="s">
        <v>12024</v>
      </c>
      <c r="C12131" t="str">
        <f>IFERROR(__xludf.DUMMYFUNCTION("GOOGLETRANSLATE(B12131, ""es"", ""en"")"),"Perfect are perfect and beautiful")</f>
        <v>Perfect are perfect and beautiful</v>
      </c>
    </row>
    <row r="12132">
      <c r="A12132" s="1">
        <v>5.0</v>
      </c>
      <c r="B12132" s="1" t="s">
        <v>12025</v>
      </c>
      <c r="C12132" t="str">
        <f>IFERROR(__xludf.DUMMYFUNCTION("GOOGLETRANSLATE(B12132, ""es"", ""en"")"),"Everything was pretty necklace perfect for gift giving and liked")</f>
        <v>Everything was pretty necklace perfect for gift giving and liked</v>
      </c>
    </row>
    <row r="12133">
      <c r="A12133" s="1">
        <v>5.0</v>
      </c>
      <c r="B12133" s="1" t="s">
        <v>12026</v>
      </c>
      <c r="C12133" t="str">
        <f>IFERROR(__xludf.DUMMYFUNCTION("GOOGLETRANSLATE(B12133, ""es"", ""en"")"),"Good buy Land use Fender and cordial, but new acquisitions decided to try them. I like especially that there are no hard, are very moldable. I have the blues. Sound OK. Good value for money.")</f>
        <v>Good buy Land use Fender and cordial, but new acquisitions decided to try them. I like especially that there are no hard, are very moldable. I have the blues. Sound OK. Good value for money.</v>
      </c>
    </row>
    <row r="12134">
      <c r="A12134" s="1">
        <v>5.0</v>
      </c>
      <c r="B12134" s="1" t="s">
        <v>12027</v>
      </c>
      <c r="C12134" t="str">
        <f>IFERROR(__xludf.DUMMYFUNCTION("GOOGLETRANSLATE(B12134, ""es"", ""en"")"),"Top Very well thank you!")</f>
        <v>Top Very well thank you!</v>
      </c>
    </row>
    <row r="12135">
      <c r="A12135" s="1">
        <v>5.0</v>
      </c>
      <c r="B12135" s="1" t="s">
        <v>12028</v>
      </c>
      <c r="C12135" t="str">
        <f>IFERROR(__xludf.DUMMYFUNCTION("GOOGLETRANSLATE(B12135, ""es"", ""en"")"),"Delighted By time we wanted to incorporate a robot cleaning our house, especially the idea is that every day while we were working vacuum the house so I will not lodged both suspended dust on furniture, ultimately to help keep the home a little cleaner at"&amp;" the time forced us to order it for the robot to do his job. The result with Ecovacs has been very satisfactory, is a device that scans and maps to perfection the house so that after a first cleaning recognition then performs its job effectively and quick"&amp;"ly. Even with the clean house from one day to another dirt collected in powder form. What I liked most of this model regarding the competition are available two brushes instead of one, so that better reflects the walls and corners, the deposit scrubbing i"&amp;"s higher capacity and features a water pump that regulates the flow of the same, the application is very simple to use and minimal dust settling and very easy to remove and replace. At the moment I am delighted with this robot. It has so much force that s"&amp;"ometimes can be engaged by their perseverance into a space (usually under couches) and then not be able to leave, but the application notifies you immediately, or when you try to jump rods a chair too thick ... but picking the house and using exclusion zo"&amp;"nes the problem is solved.")</f>
        <v>Delighted By time we wanted to incorporate a robot cleaning our house, especially the idea is that every day while we were working vacuum the house so I will not lodged both suspended dust on furniture, ultimately to help keep the home a little cleaner at the time forced us to order it for the robot to do his job. The result with Ecovacs has been very satisfactory, is a device that scans and maps to perfection the house so that after a first cleaning recognition then performs its job effectively and quickly. Even with the clean house from one day to another dirt collected in powder form. What I liked most of this model regarding the competition are available two brushes instead of one, so that better reflects the walls and corners, the deposit scrubbing is higher capacity and features a water pump that regulates the flow of the same, the application is very simple to use and minimal dust settling and very easy to remove and replace. At the moment I am delighted with this robot. It has so much force that sometimes can be engaged by their perseverance into a space (usually under couches) and then not be able to leave, but the application notifies you immediately, or when you try to jump rods a chair too thick ... but picking the house and using exclusion zones the problem is solved.</v>
      </c>
    </row>
    <row r="12136">
      <c r="A12136" s="1">
        <v>5.0</v>
      </c>
      <c r="B12136" s="1" t="s">
        <v>12029</v>
      </c>
      <c r="C12136" t="str">
        <f>IFERROR(__xludf.DUMMYFUNCTION("GOOGLETRANSLATE(B12136, ""es"", ""en"")"),"Perfect Perfect, better than I thought")</f>
        <v>Perfect Perfect, better than I thought</v>
      </c>
    </row>
    <row r="12137">
      <c r="A12137" s="1">
        <v>5.0</v>
      </c>
      <c r="B12137" s="1" t="s">
        <v>12030</v>
      </c>
      <c r="C12137" t="str">
        <f>IFERROR(__xludf.DUMMYFUNCTION("GOOGLETRANSLATE(B12137, ""es"", ""en"")"),"I expected! It's what esperaba.Ha been almost 24 hours, very fast, everything works fine.")</f>
        <v>I expected! It's what esperaba.Ha been almost 24 hours, very fast, everything works fine.</v>
      </c>
    </row>
    <row r="12138">
      <c r="A12138" s="1">
        <v>5.0</v>
      </c>
      <c r="B12138" s="1" t="s">
        <v>12031</v>
      </c>
      <c r="C12138" t="str">
        <f>IFERROR(__xludf.DUMMYFUNCTION("GOOGLETRANSLATE(B12138, ""es"", ""en"")"),"Great anti-inflammatory cream. Great anti-inflammatory cream, is not the first time use. Cold and heat effect. I have blind trust in her.")</f>
        <v>Great anti-inflammatory cream. Great anti-inflammatory cream, is not the first time use. Cold and heat effect. I have blind trust in her.</v>
      </c>
    </row>
    <row r="12139">
      <c r="A12139" s="1">
        <v>5.0</v>
      </c>
      <c r="B12139" s="1" t="s">
        <v>12032</v>
      </c>
      <c r="C12139" t="str">
        <f>IFERROR(__xludf.DUMMYFUNCTION("GOOGLETRANSLATE(B12139, ""es"", ""en"")"),"good product that works")</f>
        <v>good product that works</v>
      </c>
    </row>
    <row r="12140">
      <c r="A12140" s="1">
        <v>5.0</v>
      </c>
      <c r="B12140" s="1" t="s">
        <v>12033</v>
      </c>
      <c r="C12140" t="str">
        <f>IFERROR(__xludf.DUMMYFUNCTION("GOOGLETRANSLATE(B12140, ""es"", ""en"")"),"Delivery very effective Terrific")</f>
        <v>Delivery very effective Terrific</v>
      </c>
    </row>
    <row r="12141">
      <c r="A12141" s="1">
        <v>5.0</v>
      </c>
      <c r="B12141" s="1" t="s">
        <v>12034</v>
      </c>
      <c r="C12141" t="str">
        <f>IFERROR(__xludf.DUMMYFUNCTION("GOOGLETRANSLATE(B12141, ""es"", ""en"")"),"Encantada nicely with the roll, is practical since you can cut the desired size q helping with grid comes back (it looks like the book covers). Especially clean the surface where you are going to hit the spirit Pizzara pq but will peel")</f>
        <v>Encantada nicely with the roll, is practical since you can cut the desired size q helping with grid comes back (it looks like the book covers). Especially clean the surface where you are going to hit the spirit Pizzara pq but will peel</v>
      </c>
    </row>
    <row r="12142">
      <c r="A12142" s="1">
        <v>5.0</v>
      </c>
      <c r="B12142" s="1" t="s">
        <v>12035</v>
      </c>
      <c r="C12142" t="str">
        <f>IFERROR(__xludf.DUMMYFUNCTION("GOOGLETRANSLATE(B12142, ""es"", ""en"")"),"Cool. Autoloading. Little ones. Water resistant. Great headphones. The sound quality is quite good, with deep bass and crisp treble (Very Important seek pad suitable for your ear because otherwise, like everyone else, Metallic leaking air will sound). The"&amp;" usually use for the gym and for now I have not slipped ear any time. Another convenient thing is that the base load own headphones so you only have to load the base 1 or 2 times a week). The blueetoth connection is very simple and if you are not mobile n"&amp;"ear dissociate. The only thing that is worth noting is that the headphones are sucking battery charging base so if you want to keep them a long time it is better to turn them off manually as instructed.")</f>
        <v>Cool. Autoloading. Little ones. Water resistant. Great headphones. The sound quality is quite good, with deep bass and crisp treble (Very Important seek pad suitable for your ear because otherwise, like everyone else, Metallic leaking air will sound). The usually use for the gym and for now I have not slipped ear any time. Another convenient thing is that the base load own headphones so you only have to load the base 1 or 2 times a week). The blueetoth connection is very simple and if you are not mobile near dissociate. The only thing that is worth noting is that the headphones are sucking battery charging base so if you want to keep them a long time it is better to turn them off manually as instructed.</v>
      </c>
    </row>
    <row r="12143">
      <c r="A12143" s="1">
        <v>5.0</v>
      </c>
      <c r="B12143" s="1" t="s">
        <v>12036</v>
      </c>
      <c r="C12143" t="str">
        <f>IFERROR(__xludf.DUMMYFUNCTION("GOOGLETRANSLATE(B12143, ""es"", ""en"")"),"EXCELLENT MICRO BUOY 100% recommended quality microphone")</f>
        <v>EXCELLENT MICRO BUOY 100% recommended quality microphone</v>
      </c>
    </row>
    <row r="12144">
      <c r="A12144" s="1">
        <v>5.0</v>
      </c>
      <c r="B12144" s="1" t="s">
        <v>12037</v>
      </c>
      <c r="C12144" t="str">
        <f>IFERROR(__xludf.DUMMYFUNCTION("GOOGLETRANSLATE(B12144, ""es"", ""en"")"),"I like clean well")</f>
        <v>I like clean well</v>
      </c>
    </row>
    <row r="12145">
      <c r="A12145" s="1">
        <v>5.0</v>
      </c>
      <c r="B12145" s="1" t="s">
        <v>12038</v>
      </c>
      <c r="C12145" t="str">
        <f>IFERROR(__xludf.DUMMYFUNCTION("GOOGLETRANSLATE(B12145, ""es"", ""en"")"),"Very nice is beautiful as in the pictures and high quality, it shows clearly that are original 😊")</f>
        <v>Very nice is beautiful as in the pictures and high quality, it shows clearly that are original 😊</v>
      </c>
    </row>
    <row r="12146">
      <c r="A12146" s="1">
        <v>5.0</v>
      </c>
      <c r="B12146" s="1" t="s">
        <v>12039</v>
      </c>
      <c r="C12146" t="str">
        <f>IFERROR(__xludf.DUMMYFUNCTION("GOOGLETRANSLATE(B12146, ""es"", ""en"")"),"Of diary. Basic. Perfect place to go everyday. Is finite. Normal quality. Normal size grabbed me and super good, although a bit short sleeves. But all great")</f>
        <v>Of diary. Basic. Perfect place to go everyday. Is finite. Normal quality. Normal size grabbed me and super good, although a bit short sleeves. But all great</v>
      </c>
    </row>
    <row r="12147">
      <c r="A12147" s="1">
        <v>5.0</v>
      </c>
      <c r="B12147" s="1" t="s">
        <v>12040</v>
      </c>
      <c r="C12147" t="str">
        <f>IFERROR(__xludf.DUMMYFUNCTION("GOOGLETRANSLATE(B12147, ""es"", ""en"")"),"A classic watch with many years of experience that always works well. The novelty of the color of the belt because it was for jove.")</f>
        <v>A classic watch with many years of experience that always works well. The novelty of the color of the belt because it was for jove.</v>
      </c>
    </row>
    <row r="12148">
      <c r="A12148" s="1">
        <v>2.0</v>
      </c>
      <c r="B12148" s="1" t="s">
        <v>12041</v>
      </c>
      <c r="C12148" t="str">
        <f>IFERROR(__xludf.DUMMYFUNCTION("GOOGLETRANSLATE(B12148, ""es"", ""en"")"),"Well calorific power weak but I'm happy to carrying natural products reassures me")</f>
        <v>Well calorific power weak but I'm happy to carrying natural products reassures me</v>
      </c>
    </row>
    <row r="12149">
      <c r="A12149" s="1">
        <v>3.0</v>
      </c>
      <c r="B12149" s="1" t="s">
        <v>12042</v>
      </c>
      <c r="C12149" t="str">
        <f>IFERROR(__xludf.DUMMYFUNCTION("GOOGLETRANSLATE(B12149, ""es"", ""en"")"),"Flipflops very small number")</f>
        <v>Flipflops very small number</v>
      </c>
    </row>
    <row r="12150">
      <c r="A12150" s="1">
        <v>3.0</v>
      </c>
      <c r="B12150" s="1" t="s">
        <v>12043</v>
      </c>
      <c r="C12150" t="str">
        <f>IFERROR(__xludf.DUMMYFUNCTION("GOOGLETRANSLATE(B12150, ""es"", ""en"")"),"Good Little Something")</f>
        <v>Good Little Something</v>
      </c>
    </row>
    <row r="12151">
      <c r="A12151" s="1">
        <v>3.0</v>
      </c>
      <c r="B12151" s="1" t="s">
        <v>12044</v>
      </c>
      <c r="C12151" t="str">
        <f>IFERROR(__xludf.DUMMYFUNCTION("GOOGLETRANSLATE(B12151, ""es"", ""en"")"),"The sound quality worse than expected Apparently comfortable and good quality material are but I'm not happy with the sound quality. Not that it's bad but it shows that are low-end. Bass and bass do not sound as good as they should. Others prefer the bran"&amp;"d Noontec we have at home although they are not wireless. Another downside is that are too large even folded, at the least for my taste. What I like is me covering my whole ear and helps isolate outside sound.")</f>
        <v>The sound quality worse than expected Apparently comfortable and good quality material are but I'm not happy with the sound quality. Not that it's bad but it shows that are low-end. Bass and bass do not sound as good as they should. Others prefer the brand Noontec we have at home although they are not wireless. Another downside is that are too large even folded, at the least for my taste. What I like is me covering my whole ear and helps isolate outside sound.</v>
      </c>
    </row>
    <row r="12152">
      <c r="A12152" s="1">
        <v>1.0</v>
      </c>
      <c r="B12152" s="1" t="s">
        <v>12045</v>
      </c>
      <c r="C12152" t="str">
        <f>IFERROR(__xludf.DUMMYFUNCTION("GOOGLETRANSLATE(B12152, ""es"", ""en"")"),"Articles should be reviewed before submit The base was defective could not make the charge because it had the broken connection, how good I returned the money")</f>
        <v>Articles should be reviewed before submit The base was defective could not make the charge because it had the broken connection, how good I returned the money</v>
      </c>
    </row>
    <row r="12153">
      <c r="A12153" s="1">
        <v>4.0</v>
      </c>
      <c r="B12153" s="1" t="s">
        <v>12046</v>
      </c>
      <c r="C12153" t="str">
        <f>IFERROR(__xludf.DUMMYFUNCTION("GOOGLETRANSLATE(B12153, ""es"", ""en"")"),"Good price and quality is as expected")</f>
        <v>Good price and quality is as expected</v>
      </c>
    </row>
    <row r="12154">
      <c r="A12154" s="1">
        <v>4.0</v>
      </c>
      <c r="B12154" s="1" t="s">
        <v>12047</v>
      </c>
      <c r="C12154" t="str">
        <f>IFERROR(__xludf.DUMMYFUNCTION("GOOGLETRANSLATE(B12154, ""es"", ""en"")"),"Dry well but are small enough full pack with a suitable price but shed lint and are not large.")</f>
        <v>Dry well but are small enough full pack with a suitable price but shed lint and are not large.</v>
      </c>
    </row>
    <row r="12155">
      <c r="A12155" s="1">
        <v>4.0</v>
      </c>
      <c r="B12155" s="1" t="s">
        <v>12048</v>
      </c>
      <c r="C12155" t="str">
        <f>IFERROR(__xludf.DUMMYFUNCTION("GOOGLETRANSLATE(B12155, ""es"", ""en"")"),"Comfort is very comfortable for all, I am very happy, nothing that cable is light and aspires very good, powerful, use it for domestic use battery does not last long but it is for me :)")</f>
        <v>Comfort is very comfortable for all, I am very happy, nothing that cable is light and aspires very good, powerful, use it for domestic use battery does not last long but it is for me :)</v>
      </c>
    </row>
    <row r="12156">
      <c r="A12156" s="1">
        <v>4.0</v>
      </c>
      <c r="B12156" s="1" t="s">
        <v>12049</v>
      </c>
      <c r="C12156" t="str">
        <f>IFERROR(__xludf.DUMMYFUNCTION("GOOGLETRANSLATE(B12156, ""es"", ""en"")"),"I love to give 4 stars because not directly have a button to turn on and off and that the timer, you never know if you put or no..por else is great, and great price.")</f>
        <v>I love to give 4 stars because not directly have a button to turn on and off and that the timer, you never know if you put or no..por else is great, and great price.</v>
      </c>
    </row>
    <row r="12157">
      <c r="A12157" s="1">
        <v>4.0</v>
      </c>
      <c r="B12157" s="1" t="s">
        <v>12050</v>
      </c>
      <c r="C12157" t="str">
        <f>IFERROR(__xludf.DUMMYFUNCTION("GOOGLETRANSLATE(B12157, ""es"", ""en"")"),"Sony headphones very happy. Not hurt me (I have small ears) and are very comfortable, I take them home in the office all day and isolates a little noise. The only but I would give is to them that have no volume control.")</f>
        <v>Sony headphones very happy. Not hurt me (I have small ears) and are very comfortable, I take them home in the office all day and isolates a little noise. The only but I would give is to them that have no volume control.</v>
      </c>
    </row>
    <row r="12158">
      <c r="A12158" s="1">
        <v>5.0</v>
      </c>
      <c r="B12158" s="1" t="s">
        <v>12051</v>
      </c>
      <c r="C12158" t="str">
        <f>IFERROR(__xludf.DUMMYFUNCTION("GOOGLETRANSLATE(B12158, ""es"", ""en"")"),"Wonderful great")</f>
        <v>Wonderful great</v>
      </c>
    </row>
    <row r="12159">
      <c r="A12159" s="1">
        <v>5.0</v>
      </c>
      <c r="B12159" s="1" t="s">
        <v>12052</v>
      </c>
      <c r="C12159" t="str">
        <f>IFERROR(__xludf.DUMMYFUNCTION("GOOGLETRANSLATE(B12159, ""es"", ""en"")"),"The reliability of Western Digital have five external hard Western Digital and one Hitachi. None has given me problems and why WD repeat, because I never had a single problem. Within the high-end black or red were too much for the use that would give him "&amp;"and I think this blue is most suitable for use as disk backups.")</f>
        <v>The reliability of Western Digital have five external hard Western Digital and one Hitachi. None has given me problems and why WD repeat, because I never had a single problem. Within the high-end black or red were too much for the use that would give him and I think this blue is most suitable for use as disk backups.</v>
      </c>
    </row>
    <row r="12160">
      <c r="A12160" s="1">
        <v>5.0</v>
      </c>
      <c r="B12160" s="1" t="s">
        <v>12053</v>
      </c>
      <c r="C12160" t="str">
        <f>IFERROR(__xludf.DUMMYFUNCTION("GOOGLETRANSLATE(B12160, ""es"", ""en"")"),"Good value good sound quality with balanced treble and bass. I say good noise cancellation walking around 90, 95% to refrain from the environment. The construction is robust and modern. Micro and takes control button built into the cable for power forward"&amp;", rewind, volume up and down .... good product at an affordable price. If you need a headset battle, do not hesitate.")</f>
        <v>Good value good sound quality with balanced treble and bass. I say good noise cancellation walking around 90, 95% to refrain from the environment. The construction is robust and modern. Micro and takes control button built into the cable for power forward, rewind, volume up and down .... good product at an affordable price. If you need a headset battle, do not hesitate.</v>
      </c>
    </row>
    <row r="12161">
      <c r="A12161" s="1">
        <v>5.0</v>
      </c>
      <c r="B12161" s="1" t="s">
        <v>12054</v>
      </c>
      <c r="C12161" t="str">
        <f>IFERROR(__xludf.DUMMYFUNCTION("GOOGLETRANSLATE(B12161, ""es"", ""en"")"),"Download the audio from the headset. Buy these headphones because I have very little heard, I've tried several and they have the option to put it on the ear and not fall .Le put 4-star comfort in that the support is a bit soft, but they are great do not n"&amp;"otice you're wearing .as very good sound quality and also buy them for having the option to download the audio from the headset by pressing the button .as could make it more modern aesthetic ... 😀😀😀🎧")</f>
        <v>Download the audio from the headset. Buy these headphones because I have very little heard, I've tried several and they have the option to put it on the ear and not fall .Le put 4-star comfort in that the support is a bit soft, but they are great do not notice you're wearing .as very good sound quality and also buy them for having the option to download the audio from the headset by pressing the button .as could make it more modern aesthetic ... 😀😀😀🎧</v>
      </c>
    </row>
    <row r="12162">
      <c r="A12162" s="1">
        <v>5.0</v>
      </c>
      <c r="B12162" s="1" t="s">
        <v>12055</v>
      </c>
      <c r="C12162" t="str">
        <f>IFERROR(__xludf.DUMMYFUNCTION("GOOGLETRANSLATE(B12162, ""es"", ""en"")"),"The quick start and search is brutal Very fast, easy installation and application to perform full backup of my old drive to the new one. In my case I restore the following system to back up the data and the application I managed to make a ghost of the dis"&amp;"c, and having a solid disk with the entire system, Drivers and recovery partition quickly and without complications.")</f>
        <v>The quick start and search is brutal Very fast, easy installation and application to perform full backup of my old drive to the new one. In my case I restore the following system to back up the data and the application I managed to make a ghost of the disc, and having a solid disk with the entire system, Drivers and recovery partition quickly and without complications.</v>
      </c>
    </row>
    <row r="12163">
      <c r="A12163" s="1">
        <v>5.0</v>
      </c>
      <c r="B12163" s="1" t="s">
        <v>12056</v>
      </c>
      <c r="C12163" t="str">
        <f>IFERROR(__xludf.DUMMYFUNCTION("GOOGLETRANSLATE(B12163, ""es"", ""en"")"),"Quality. Very happy with the value.")</f>
        <v>Quality. Very happy with the value.</v>
      </c>
    </row>
    <row r="12164">
      <c r="A12164" s="1">
        <v>5.0</v>
      </c>
      <c r="B12164" s="1" t="s">
        <v>12057</v>
      </c>
      <c r="C12164" t="str">
        <f>IFERROR(__xludf.DUMMYFUNCTION("GOOGLETRANSLATE(B12164, ""es"", ""en"")"),"Okay I looked and here I found a good price for crafts my daughter, who got thrilled to see him.")</f>
        <v>Okay I looked and here I found a good price for crafts my daughter, who got thrilled to see him.</v>
      </c>
    </row>
    <row r="12165">
      <c r="A12165" s="1">
        <v>5.0</v>
      </c>
      <c r="B12165" s="1" t="s">
        <v>12058</v>
      </c>
      <c r="C12165" t="str">
        <f>IFERROR(__xludf.DUMMYFUNCTION("GOOGLETRANSLATE(B12165, ""es"", ""en"")"),"May I use to record movies from your PC and then watch them on TV, I bought it just to have more storage capacity but I thought it would be slow as other pendrives I have since my PC is old and does not have USB 3.0, pass a simple film was exasperating bu"&amp;"t I was surprised that has gained speed data transfer even though the connection is an old USB 2.0, only 3 films now transferred in time that previously did only one. I've formatted to NTFS as it comes in FAT32 and could not pass files larger than 4 GB.")</f>
        <v>May I use to record movies from your PC and then watch them on TV, I bought it just to have more storage capacity but I thought it would be slow as other pendrives I have since my PC is old and does not have USB 3.0, pass a simple film was exasperating but I was surprised that has gained speed data transfer even though the connection is an old USB 2.0, only 3 films now transferred in time that previously did only one. I've formatted to NTFS as it comes in FAT32 and could not pass files larger than 4 GB.</v>
      </c>
    </row>
    <row r="12166">
      <c r="A12166" s="1">
        <v>5.0</v>
      </c>
      <c r="B12166" s="1" t="s">
        <v>12059</v>
      </c>
      <c r="C12166" t="str">
        <f>IFERROR(__xludf.DUMMYFUNCTION("GOOGLETRANSLATE(B12166, ""es"", ""en"")"),"Good product! Good product! The headphones come in a case of good size with a lid. They are lightweight and good audio quality. They are synchronized quickly and easily. Detect bluetooth problem. Furthermore case also functions as an external battery for "&amp;"charging mobile. The shipment was fast.")</f>
        <v>Good product! Good product! The headphones come in a case of good size with a lid. They are lightweight and good audio quality. They are synchronized quickly and easily. Detect bluetooth problem. Furthermore case also functions as an external battery for charging mobile. The shipment was fast.</v>
      </c>
    </row>
    <row r="12167">
      <c r="A12167" s="1">
        <v>5.0</v>
      </c>
      <c r="B12167" s="1" t="s">
        <v>12060</v>
      </c>
      <c r="C12167" t="str">
        <f>IFERROR(__xludf.DUMMYFUNCTION("GOOGLETRANSLATE(B12167, ""es"", ""en"")"),"I chose a more perfect number of which usually took the floor and machine washable and ""shrink"" a little. I have been perfect before and after washing.")</f>
        <v>I chose a more perfect number of which usually took the floor and machine washable and "shrink" a little. I have been perfect before and after washing.</v>
      </c>
    </row>
    <row r="12168">
      <c r="A12168" s="1">
        <v>5.0</v>
      </c>
      <c r="B12168" s="1" t="s">
        <v>12061</v>
      </c>
      <c r="C12168" t="str">
        <f>IFERROR(__xludf.DUMMYFUNCTION("GOOGLETRANSLATE(B12168, ""es"", ""en"")"),"Super good support")</f>
        <v>Super good support</v>
      </c>
    </row>
    <row r="12169">
      <c r="A12169" s="1">
        <v>5.0</v>
      </c>
      <c r="B12169" s="1" t="s">
        <v>12062</v>
      </c>
      <c r="C12169" t="str">
        <f>IFERROR(__xludf.DUMMYFUNCTION("GOOGLETRANSLATE(B12169, ""es"", ""en"")"),"Useful Ok for what we wanted")</f>
        <v>Useful Ok for what we wanted</v>
      </c>
    </row>
    <row r="12170">
      <c r="A12170" s="1">
        <v>5.0</v>
      </c>
      <c r="B12170" s="1" t="s">
        <v>12063</v>
      </c>
      <c r="C12170" t="str">
        <f>IFERROR(__xludf.DUMMYFUNCTION("GOOGLETRANSLATE(B12170, ""es"", ""en"")"),"As Picture The truth is I expected something stylish plastic and the truth is that the quality is good. To put some hits would be the sphere that rotates it seems that is not very accurate, but overall very happy with the purchase.")</f>
        <v>As Picture The truth is I expected something stylish plastic and the truth is that the quality is good. To put some hits would be the sphere that rotates it seems that is not very accurate, but overall very happy with the purchase.</v>
      </c>
    </row>
    <row r="12171">
      <c r="A12171" s="1">
        <v>5.0</v>
      </c>
      <c r="B12171" s="1" t="s">
        <v>12064</v>
      </c>
      <c r="C12171" t="str">
        <f>IFERROR(__xludf.DUMMYFUNCTION("GOOGLETRANSLATE(B12171, ""es"", ""en"")"),"Terrific great!")</f>
        <v>Terrific great!</v>
      </c>
    </row>
    <row r="12172">
      <c r="A12172" s="1">
        <v>5.0</v>
      </c>
      <c r="B12172" s="1" t="s">
        <v>12065</v>
      </c>
      <c r="C12172" t="str">
        <f>IFERROR(__xludf.DUMMYFUNCTION("GOOGLETRANSLATE(B12172, ""es"", ""en"")"),"Could not ask for more benefits, durability, overall quality is unquestionable")</f>
        <v>Could not ask for more benefits, durability, overall quality is unquestionable</v>
      </c>
    </row>
    <row r="12173">
      <c r="A12173" s="1">
        <v>5.0</v>
      </c>
      <c r="B12173" s="1" t="s">
        <v>12066</v>
      </c>
      <c r="C12173" t="str">
        <f>IFERROR(__xludf.DUMMYFUNCTION("GOOGLETRANSLATE(B12173, ""es"", ""en"")"),"It works well and quickly heats well but you have to use some time because the fuse burns too hot serves to warm but not boiling")</f>
        <v>It works well and quickly heats well but you have to use some time because the fuse burns too hot serves to warm but not boiling</v>
      </c>
    </row>
    <row r="12174">
      <c r="A12174" s="1">
        <v>5.0</v>
      </c>
      <c r="B12174" s="1" t="s">
        <v>12067</v>
      </c>
      <c r="C12174" t="str">
        <f>IFERROR(__xludf.DUMMYFUNCTION("GOOGLETRANSLATE(B12174, ""es"", ""en"")"),"Smaller than in the somewhat small picture, are not like the picture are more, but is pretty good, I use for day to day and are very comfortable.")</f>
        <v>Smaller than in the somewhat small picture, are not like the picture are more, but is pretty good, I use for day to day and are very comfortable.</v>
      </c>
    </row>
    <row r="12175">
      <c r="A12175" s="1">
        <v>5.0</v>
      </c>
      <c r="B12175" s="1" t="s">
        <v>12068</v>
      </c>
      <c r="C12175" t="str">
        <f>IFERROR(__xludf.DUMMYFUNCTION("GOOGLETRANSLATE(B12175, ""es"", ""en"")"),"Very practical useful, do not you realize you're wearing and perfect in their function: they allow wear earrings attached to the ear, in place whatever your weight")</f>
        <v>Very practical useful, do not you realize you're wearing and perfect in their function: they allow wear earrings attached to the ear, in place whatever your weight</v>
      </c>
    </row>
    <row r="12176">
      <c r="A12176" s="1">
        <v>5.0</v>
      </c>
      <c r="B12176" s="1" t="s">
        <v>12069</v>
      </c>
      <c r="C12176" t="str">
        <f>IFERROR(__xludf.DUMMYFUNCTION("GOOGLETRANSLATE(B12176, ""es"", ""en"")"),"Easy to use Very easy to use and easy to disassemble for cleaning")</f>
        <v>Easy to use Very easy to use and easy to disassemble for cleaning</v>
      </c>
    </row>
    <row r="12177">
      <c r="A12177" s="1">
        <v>2.0</v>
      </c>
      <c r="B12177" s="1" t="s">
        <v>12070</v>
      </c>
      <c r="C12177" t="str">
        <f>IFERROR(__xludf.DUMMYFUNCTION("GOOGLETRANSLATE(B12177, ""es"", ""en"")"),"I broke the first day touching trousers looks quite thick fabric shelters; but I put it as I came was with him all afternoon doing nothing and when I had already fixed a hole up to the crotch, so it went very bad.")</f>
        <v>I broke the first day touching trousers looks quite thick fabric shelters; but I put it as I came was with him all afternoon doing nothing and when I had already fixed a hole up to the crotch, so it went very bad.</v>
      </c>
    </row>
    <row r="12178">
      <c r="A12178" s="1">
        <v>3.0</v>
      </c>
      <c r="B12178" s="1" t="s">
        <v>12071</v>
      </c>
      <c r="C12178" t="str">
        <f>IFERROR(__xludf.DUMMYFUNCTION("GOOGLETRANSLATE(B12178, ""es"", ""en"")"),"Get what you pay Honestly, the sound was disappointed. The material and design is fine but if you go to other minimally demanding more expensive. I have compared with about Sennheiser button 10 € and I think that button have more rich sound. Yes, Sony hav"&amp;"e more severe, but the sound is darker and some very prettily sad sounds or hear. Overall sound with low volume.")</f>
        <v>Get what you pay Honestly, the sound was disappointed. The material and design is fine but if you go to other minimally demanding more expensive. I have compared with about Sennheiser button 10 € and I think that button have more rich sound. Yes, Sony have more severe, but the sound is darker and some very prettily sad sounds or hear. Overall sound with low volume.</v>
      </c>
    </row>
    <row r="12179">
      <c r="A12179" s="1">
        <v>1.0</v>
      </c>
      <c r="B12179" s="1" t="s">
        <v>12072</v>
      </c>
      <c r="C12179" t="str">
        <f>IFERROR(__xludf.DUMMYFUNCTION("GOOGLETRANSLATE(B12179, ""es"", ""en"")"),"The light does not work stays on all the time, it does not do what it is supposed to do. The return was good.")</f>
        <v>The light does not work stays on all the time, it does not do what it is supposed to do. The return was good.</v>
      </c>
    </row>
    <row r="12180">
      <c r="A12180" s="1">
        <v>1.0</v>
      </c>
      <c r="B12180" s="1" t="s">
        <v>12073</v>
      </c>
      <c r="C12180" t="str">
        <f>IFERROR(__xludf.DUMMYFUNCTION("GOOGLETRANSLATE(B12180, ""es"", ""en"")"),"packaging aftermarket since the packaging (box) is not original and buy them for a gift, the seller says the command in original box, I do I get a white box, so left in doubt the originality and clear this my gift looks more like a purchase of imitation, "&amp;"a shame ...")</f>
        <v>packaging aftermarket since the packaging (box) is not original and buy them for a gift, the seller says the command in original box, I do I get a white box, so left in doubt the originality and clear this my gift looks more like a purchase of imitation, a shame ...</v>
      </c>
    </row>
    <row r="12181">
      <c r="A12181" s="1">
        <v>1.0</v>
      </c>
      <c r="B12181" s="1" t="s">
        <v>12074</v>
      </c>
      <c r="C12181" t="str">
        <f>IFERROR(__xludf.DUMMYFUNCTION("GOOGLETRANSLATE(B12181, ""es"", ""en"")"),"Bethlehem I lasted 2 weeks as a headset stopped working out of nowhere and the party holding the cable and mobile all the time, absolute disappointment out; -;")</f>
        <v>Bethlehem I lasted 2 weeks as a headset stopped working out of nowhere and the party holding the cable and mobile all the time, absolute disappointment out; -;</v>
      </c>
    </row>
    <row r="12182">
      <c r="A12182" s="1">
        <v>4.0</v>
      </c>
      <c r="B12182" s="1" t="s">
        <v>12075</v>
      </c>
      <c r="C12182" t="str">
        <f>IFERROR(__xludf.DUMMYFUNCTION("GOOGLETRANSLATE(B12182, ""es"", ""en"")"),"Good quality good quality and comfort at the beginning is somewhat uncomfortable but with use you're adapting")</f>
        <v>Good quality good quality and comfort at the beginning is somewhat uncomfortable but with use you're adapting</v>
      </c>
    </row>
    <row r="12183">
      <c r="A12183" s="1">
        <v>4.0</v>
      </c>
      <c r="B12183" s="1" t="s">
        <v>12076</v>
      </c>
      <c r="C12183" t="str">
        <f>IFERROR(__xludf.DUMMYFUNCTION("GOOGLETRANSLATE(B12183, ""es"", ""en"")"),"It was a very nice gift and although I took the same size of others who had exactly the same but different color, these will go a little fairer. The rest was very happy to have her kill bill bambas")</f>
        <v>It was a very nice gift and although I took the same size of others who had exactly the same but different color, these will go a little fairer. The rest was very happy to have her kill bill bambas</v>
      </c>
    </row>
    <row r="12184">
      <c r="A12184" s="1">
        <v>4.0</v>
      </c>
      <c r="B12184" s="1" t="s">
        <v>12077</v>
      </c>
      <c r="C12184" t="str">
        <f>IFERROR(__xludf.DUMMYFUNCTION("GOOGLETRANSLATE(B12184, ""es"", ""en"")"),"Very comfortable Good quality product")</f>
        <v>Very comfortable Good quality product</v>
      </c>
    </row>
    <row r="12185">
      <c r="A12185" s="1">
        <v>4.0</v>
      </c>
      <c r="B12185" s="1" t="s">
        <v>12078</v>
      </c>
      <c r="C12185" t="str">
        <f>IFERROR(__xludf.DUMMYFUNCTION("GOOGLETRANSLATE(B12185, ""es"", ""en"")"),"Pool shoes ideal for walking boardwalks but not for the beach and the sand comes and becomes uncomfortable to walk. Also good for public pool ..")</f>
        <v>Pool shoes ideal for walking boardwalks but not for the beach and the sand comes and becomes uncomfortable to walk. Also good for public pool ..</v>
      </c>
    </row>
    <row r="12186">
      <c r="A12186" s="1">
        <v>4.0</v>
      </c>
      <c r="B12186" s="1" t="s">
        <v>12079</v>
      </c>
      <c r="C12186" t="str">
        <f>IFERROR(__xludf.DUMMYFUNCTION("GOOGLETRANSLATE(B12186, ""es"", ""en"")"),"Perfect as everything from logitech Like all products of the brand Logitech is a product of 10, has a more than acceptable quality materials, incorporating laser to indicate power, the product includes batteries and marking software is easy and intuitive "&amp;"* Advantages: - Quality assurance and a great brand such as Logitech - laser pointer included - good finishes and also is ergonomico - has good touch on button presses - quite intuitive software and with the right options and necessary * DISADVANTAGES: - "&amp;"there is a lot cheaper brands that work just obviously have worse quality finishes and materials")</f>
        <v>Perfect as everything from logitech Like all products of the brand Logitech is a product of 10, has a more than acceptable quality materials, incorporating laser to indicate power, the product includes batteries and marking software is easy and intuitive * Advantages: - Quality assurance and a great brand such as Logitech - laser pointer included - good finishes and also is ergonomico - has good touch on button presses - quite intuitive software and with the right options and necessary * DISADVANTAGES: - there is a lot cheaper brands that work just obviously have worse quality finishes and materials</v>
      </c>
    </row>
    <row r="12187">
      <c r="A12187" s="1">
        <v>5.0</v>
      </c>
      <c r="B12187" s="1" t="s">
        <v>12080</v>
      </c>
      <c r="C12187" t="str">
        <f>IFERROR(__xludf.DUMMYFUNCTION("GOOGLETRANSLATE(B12187, ""es"", ""en"")"),"Material and wide good. Good quality, is wide. He is seeking a fanny pack because the girl always bring up ami I can not carry a purse. It fastens easily and unzips. I liked this because the black being a fantastic effort and because it has a Reflectante "&amp;"lines of various colors!")</f>
        <v>Material and wide good. Good quality, is wide. He is seeking a fanny pack because the girl always bring up ami I can not carry a purse. It fastens easily and unzips. I liked this because the black being a fantastic effort and because it has a Reflectante lines of various colors!</v>
      </c>
    </row>
    <row r="12188">
      <c r="A12188" s="1">
        <v>5.0</v>
      </c>
      <c r="B12188" s="1" t="s">
        <v>12081</v>
      </c>
      <c r="C12188" t="str">
        <f>IFERROR(__xludf.DUMMYFUNCTION("GOOGLETRANSLATE(B12188, ""es"", ""en"")"),"Relationship Value Installed on a Nintendo Switch, it works perfectly, transfer rate, more than enough to play smoothly")</f>
        <v>Relationship Value Installed on a Nintendo Switch, it works perfectly, transfer rate, more than enough to play smoothly</v>
      </c>
    </row>
    <row r="12189">
      <c r="A12189" s="1">
        <v>5.0</v>
      </c>
      <c r="B12189" s="1" t="s">
        <v>12082</v>
      </c>
      <c r="C12189" t="str">
        <f>IFERROR(__xludf.DUMMYFUNCTION("GOOGLETRANSLATE(B12189, ""es"", ""en"")"),"Excellent undoubtedly very nice and good quality.")</f>
        <v>Excellent undoubtedly very nice and good quality.</v>
      </c>
    </row>
    <row r="12190">
      <c r="A12190" s="1">
        <v>5.0</v>
      </c>
      <c r="B12190" s="1" t="s">
        <v>12083</v>
      </c>
      <c r="C12190" t="str">
        <f>IFERROR(__xludf.DUMMYFUNCTION("GOOGLETRANSLATE(B12190, ""es"", ""en"")"),"very fast very good, perfect and it's like putting on the article")</f>
        <v>very fast very good, perfect and it's like putting on the article</v>
      </c>
    </row>
    <row r="12191">
      <c r="A12191" s="1">
        <v>5.0</v>
      </c>
      <c r="B12191" s="1" t="s">
        <v>12084</v>
      </c>
      <c r="C12191" t="str">
        <f>IFERROR(__xludf.DUMMYFUNCTION("GOOGLETRANSLATE(B12191, ""es"", ""en"")"),"Casio G-Shock watch Magnificent, stick with everything working properly and the area is modern and vistosa.La only downside is that the light is a little dim.")</f>
        <v>Casio G-Shock watch Magnificent, stick with everything working properly and the area is modern and vistosa.La only downside is that the light is a little dim.</v>
      </c>
    </row>
    <row r="12192">
      <c r="A12192" s="1">
        <v>5.0</v>
      </c>
      <c r="B12192" s="1" t="s">
        <v>12085</v>
      </c>
      <c r="C12192" t="str">
        <f>IFERROR(__xludf.DUMMYFUNCTION("GOOGLETRANSLATE(B12192, ""es"", ""en"")"),"Great perfect recommend it!")</f>
        <v>Great perfect recommend it!</v>
      </c>
    </row>
    <row r="12193">
      <c r="A12193" s="1">
        <v>5.0</v>
      </c>
      <c r="B12193" s="1" t="s">
        <v>12086</v>
      </c>
      <c r="C12193" t="str">
        <f>IFERROR(__xludf.DUMMYFUNCTION("GOOGLETRANSLATE(B12193, ""es"", ""en"")"),"Mola bag man is very nice and comfortable as it weighs little. Excellent quality / price. I would buy if I could.")</f>
        <v>Mola bag man is very nice and comfortable as it weighs little. Excellent quality / price. I would buy if I could.</v>
      </c>
    </row>
    <row r="12194">
      <c r="A12194" s="1">
        <v>5.0</v>
      </c>
      <c r="B12194" s="1" t="s">
        <v>12087</v>
      </c>
      <c r="C12194" t="str">
        <f>IFERROR(__xludf.DUMMYFUNCTION("GOOGLETRANSLATE(B12194, ""es"", ""en"")"),"It was very nice to my mother and I liked him a lot")</f>
        <v>It was very nice to my mother and I liked him a lot</v>
      </c>
    </row>
    <row r="12195">
      <c r="A12195" s="1">
        <v>5.0</v>
      </c>
      <c r="B12195" s="1" t="s">
        <v>12088</v>
      </c>
      <c r="C12195" t="str">
        <f>IFERROR(__xludf.DUMMYFUNCTION("GOOGLETRANSLATE(B12195, ""es"", ""en"")"),"Comfortable and warm The product came exactly the appointed day and in perfect condition are very warm boots")</f>
        <v>Comfortable and warm The product came exactly the appointed day and in perfect condition are very warm boots</v>
      </c>
    </row>
    <row r="12196">
      <c r="A12196" s="1">
        <v>5.0</v>
      </c>
      <c r="B12196" s="1" t="s">
        <v>12089</v>
      </c>
      <c r="C12196" t="str">
        <f>IFERROR(__xludf.DUMMYFUNCTION("GOOGLETRANSLATE(B12196, ""es"", ""en"")"),"Perfect for Podcast Podcast doing and I have long needed a good microphone. After much looking I saw it for the use he would do was perfect. Perceive fine voice, very nice touch given radius style and is very comfortable for their legs that can put it whe"&amp;"rever we want. Use a fairly long USB cable is connected and catch the PC or Mac, I use both. You have to acquire part of the brand software to record, but I use 'Audacity' absolutely free program that has many more options and after a few tutos use by You"&amp;"tube know perfectly and record with him. For use on radio or talking about is the highly recommended for people who use it to record video from youtube think it is not appropriate unless you're near, 10, 20 cm from it. I leave my channel if you want to he"&amp;"ar some of my podcast, usually the latter are recorded with the microphone. You can subscribe to Ivoox, there are also application. I love technology (Technology Podcast) [.....] PLAYERS GFB (Podcast Video Games) [....]")</f>
        <v>Perfect for Podcast Podcast doing and I have long needed a good microphone. After much looking I saw it for the use he would do was perfect. Perceive fine voice, very nice touch given radius style and is very comfortable for their legs that can put it wherever we want. Use a fairly long USB cable is connected and catch the PC or Mac, I use both. You have to acquire part of the brand software to record, but I use 'Audacity' absolutely free program that has many more options and after a few tutos use by Youtube know perfectly and record with him. For use on radio or talking about is the highly recommended for people who use it to record video from youtube think it is not appropriate unless you're near, 10, 20 cm from it. I leave my channel if you want to hear some of my podcast, usually the latter are recorded with the microphone. You can subscribe to Ivoox, there are also application. I love technology (Technology Podcast) [.....] PLAYERS GFB (Podcast Video Games) [....]</v>
      </c>
    </row>
    <row r="12197">
      <c r="A12197" s="1">
        <v>5.0</v>
      </c>
      <c r="B12197" s="1" t="s">
        <v>12090</v>
      </c>
      <c r="C12197" t="str">
        <f>IFERROR(__xludf.DUMMYFUNCTION("GOOGLETRANSLATE(B12197, ""es"", ""en"")"),"Watch Super All article as presented. I have two days with the clock and looks better than I expected. Easy to set up and very happy time. So if you have to get used to the weight, something almost normal in this type of watch. Simple adjustment doll maki"&amp;"ng, and I recommend not leave very suelt, or that you can nail the middle wheel button on top of the hand to the support you somewhere. Definitely very good buy at a good price.")</f>
        <v>Watch Super All article as presented. I have two days with the clock and looks better than I expected. Easy to set up and very happy time. So if you have to get used to the weight, something almost normal in this type of watch. Simple adjustment doll making, and I recommend not leave very suelt, or that you can nail the middle wheel button on top of the hand to the support you somewhere. Definitely very good buy at a good price.</v>
      </c>
    </row>
    <row r="12198">
      <c r="A12198" s="1">
        <v>5.0</v>
      </c>
      <c r="B12198" s="1" t="s">
        <v>12091</v>
      </c>
      <c r="C12198" t="str">
        <f>IFERROR(__xludf.DUMMYFUNCTION("GOOGLETRANSLATE(B12198, ""es"", ""en"")"),"Five Stars The delivery was quick and the kettle a past !!")</f>
        <v>Five Stars The delivery was quick and the kettle a past !!</v>
      </c>
    </row>
    <row r="12199">
      <c r="A12199" s="1">
        <v>5.0</v>
      </c>
      <c r="B12199" s="1" t="s">
        <v>12092</v>
      </c>
      <c r="C12199" t="str">
        <f>IFERROR(__xludf.DUMMYFUNCTION("GOOGLETRANSLATE(B12199, ""es"", ""en"")"),"Dan costing more than try to be fair and not lose sight that is a headset of 50 euros. Altogether the valuation is much higher than its price. Comfortable, very comfortable, even wearing glasses, have come to be 5 hours without feeling any discomfort. Or "&amp;"part of the ears or in the diadem. Controls, intuitive and hand. Still being different from those shown in the pictures, you get quick access to them. Although clashes that to increase the volume you have to press the button and to lower the top button is"&amp;" used. It should be to the upside. The battery life is more than enough. I have come to use them for 4 days and a good amount of hours each day and still have not seen the time asking recharge. Even to know, I think let the battery drain to see its limita"&amp;"tions. Charging time is in about 3-4 hours. Cable a little short. The sound is more than adequate although I throw a little more towards serious and lacks a little sharp (for my taste) but overall very well balanced. Do not lose sight that they are 50 eur"&amp;"os. Finally the appearance is very good. Solid and noticeable quality materials, although part of the ears is, like most phones, a magnet for fingerprints. In summary I would say that its price / quality ratio is 2 to 1, offering quality equipment value. "&amp;"A very good buy without question. As for freight, in this case very good service (as is usual be) but in all honesty I must indicate that these are not the headphones asked at first (about edifier 806 I recall) but after waiting 2 weeks went missing packa"&amp;"ge and not having more units I opted for these but had much less autonomy. I am a customer of Amazon long ago and have always stood out for its impeccable performance, but in the last month have already lost 2 sent. (The second'm still waiting). I hope an"&amp;"d wish that soon again be an example of operation. Thank you.")</f>
        <v>Dan costing more than try to be fair and not lose sight that is a headset of 50 euros. Altogether the valuation is much higher than its price. Comfortable, very comfortable, even wearing glasses, have come to be 5 hours without feeling any discomfort. Or part of the ears or in the diadem. Controls, intuitive and hand. Still being different from those shown in the pictures, you get quick access to them. Although clashes that to increase the volume you have to press the button and to lower the top button is used. It should be to the upside. The battery life is more than enough. I have come to use them for 4 days and a good amount of hours each day and still have not seen the time asking recharge. Even to know, I think let the battery drain to see its limitations. Charging time is in about 3-4 hours. Cable a little short. The sound is more than adequate although I throw a little more towards serious and lacks a little sharp (for my taste) but overall very well balanced. Do not lose sight that they are 50 euros. Finally the appearance is very good. Solid and noticeable quality materials, although part of the ears is, like most phones, a magnet for fingerprints. In summary I would say that its price / quality ratio is 2 to 1, offering quality equipment value. A very good buy without question. As for freight, in this case very good service (as is usual be) but in all honesty I must indicate that these are not the headphones asked at first (about edifier 806 I recall) but after waiting 2 weeks went missing package and not having more units I opted for these but had much less autonomy. I am a customer of Amazon long ago and have always stood out for its impeccable performance, but in the last month have already lost 2 sent. (The second'm still waiting). I hope and wish that soon again be an example of operation. Thank you.</v>
      </c>
    </row>
    <row r="12200">
      <c r="A12200" s="1">
        <v>5.0</v>
      </c>
      <c r="B12200" s="1" t="s">
        <v>12093</v>
      </c>
      <c r="C12200" t="str">
        <f>IFERROR(__xludf.DUMMYFUNCTION("GOOGLETRANSLATE(B12200, ""es"", ""en"")"),"perfect. perfect.")</f>
        <v>perfect. perfect.</v>
      </c>
    </row>
    <row r="12201">
      <c r="A12201" s="1">
        <v>5.0</v>
      </c>
      <c r="B12201" s="1" t="s">
        <v>12094</v>
      </c>
      <c r="C12201" t="str">
        <f>IFERROR(__xludf.DUMMYFUNCTION("GOOGLETRANSLATE(B12201, ""es"", ""en"")"),"Good sound headphones I bought these headphones to my 9 year old son to use with the tablet. I'm happy because they hear very clear and my son says they are comfortable. Also it fulfills its role playing computer games because it takes microphone to chat "&amp;"with friends. The design is modern and beautiful. They seem good material.")</f>
        <v>Good sound headphones I bought these headphones to my 9 year old son to use with the tablet. I'm happy because they hear very clear and my son says they are comfortable. Also it fulfills its role playing computer games because it takes microphone to chat with friends. The design is modern and beautiful. They seem good material.</v>
      </c>
    </row>
    <row r="12202">
      <c r="A12202" s="1">
        <v>5.0</v>
      </c>
      <c r="B12202" s="1" t="s">
        <v>12095</v>
      </c>
      <c r="C12202" t="str">
        <f>IFERROR(__xludf.DUMMYFUNCTION("GOOGLETRANSLATE(B12202, ""es"", ""en"")"),"Cash!!! I held about 9 hours and contracture disappeared completely. I highly recommend it as it fulfills its mission. Maybe for other ailments but not effective for muscles tense October 1.")</f>
        <v>Cash!!! I held about 9 hours and contracture disappeared completely. I highly recommend it as it fulfills its mission. Maybe for other ailments but not effective for muscles tense October 1.</v>
      </c>
    </row>
    <row r="12203">
      <c r="A12203" s="1">
        <v>5.0</v>
      </c>
      <c r="B12203" s="1" t="s">
        <v>12096</v>
      </c>
      <c r="C12203" t="str">
        <f>IFERROR(__xludf.DUMMYFUNCTION("GOOGLETRANSLATE(B12203, ""es"", ""en"")"),"Perfect Great, great album with a great price")</f>
        <v>Perfect Great, great album with a great price</v>
      </c>
    </row>
    <row r="12204">
      <c r="A12204" s="1">
        <v>5.0</v>
      </c>
      <c r="B12204" s="1" t="s">
        <v>12097</v>
      </c>
      <c r="C12204" t="str">
        <f>IFERROR(__xludf.DUMMYFUNCTION("GOOGLETRANSLATE(B12204, ""es"", ""en"")"),"Cheap and nice The price is the cheapest in the market and is very cool. It grips well. So far I have not lost any.")</f>
        <v>Cheap and nice The price is the cheapest in the market and is very cool. It grips well. So far I have not lost any.</v>
      </c>
    </row>
    <row r="12205">
      <c r="A12205" s="1">
        <v>2.0</v>
      </c>
      <c r="B12205" s="1" t="s">
        <v>12098</v>
      </c>
      <c r="C12205" t="str">
        <f>IFERROR(__xludf.DUMMYFUNCTION("GOOGLETRANSLATE(B12205, ""es"", ""en"")"),"Regular watch")</f>
        <v>Regular watch</v>
      </c>
    </row>
    <row r="12206">
      <c r="A12206" s="1">
        <v>3.0</v>
      </c>
      <c r="B12206" s="1" t="s">
        <v>12099</v>
      </c>
      <c r="C12206" t="str">
        <f>IFERROR(__xludf.DUMMYFUNCTION("GOOGLETRANSLATE(B12206, ""es"", ""en"")"),"My opinion is very average but for the price not bad")</f>
        <v>My opinion is very average but for the price not bad</v>
      </c>
    </row>
    <row r="12207">
      <c r="A12207" s="1">
        <v>3.0</v>
      </c>
      <c r="B12207" s="1" t="s">
        <v>12100</v>
      </c>
      <c r="C12207" t="str">
        <f>IFERROR(__xludf.DUMMYFUNCTION("GOOGLETRANSLATE(B12207, ""es"", ""en"")"),"It took a long time to arrive. Not bad, it erases very well what you just write even if it costs a little more clear what time ... The only bad thing is that it took to get a lot of time.")</f>
        <v>It took a long time to arrive. Not bad, it erases very well what you just write even if it costs a little more clear what time ... The only bad thing is that it took to get a lot of time.</v>
      </c>
    </row>
    <row r="12208">
      <c r="A12208" s="1">
        <v>1.0</v>
      </c>
      <c r="B12208" s="1" t="s">
        <v>12101</v>
      </c>
      <c r="C12208" t="str">
        <f>IFERROR(__xludf.DUMMYFUNCTION("GOOGLETRANSLATE(B12208, ""es"", ""en"")"),"I actually low expectations high encantanba the idea that the two halves exprimieran at once, but one of them broke my orange and not squeezed and do not work if the two do not work finally a shame I loved xq")</f>
        <v>I actually low expectations high encantanba the idea that the two halves exprimieran at once, but one of them broke my orange and not squeezed and do not work if the two do not work finally a shame I loved xq</v>
      </c>
    </row>
    <row r="12209">
      <c r="A12209" s="1">
        <v>1.0</v>
      </c>
      <c r="B12209" s="1" t="s">
        <v>12102</v>
      </c>
      <c r="C12209" t="str">
        <f>IFERROR(__xludf.DUMMYFUNCTION("GOOGLETRANSLATE(B12209, ""es"", ""en"")"),"Buy these bags disappointing because of good reviews and have used in the teastero and in the car and more than 2 weeks I have not noticed any improvement in either sitios..es like throwing money. Recomiendo.Son not expensive and do not function. Do not y"&amp;"ou purchase.")</f>
        <v>Buy these bags disappointing because of good reviews and have used in the teastero and in the car and more than 2 weeks I have not noticed any improvement in either sitios..es like throwing money. Recomiendo.Son not expensive and do not function. Do not you purchase.</v>
      </c>
    </row>
    <row r="12210">
      <c r="A12210" s="1">
        <v>4.0</v>
      </c>
      <c r="B12210" s="1" t="s">
        <v>12103</v>
      </c>
      <c r="C12210" t="str">
        <f>IFERROR(__xludf.DUMMYFUNCTION("GOOGLETRANSLATE(B12210, ""es"", ""en"")"),"good nice and cheap good product for fitness, has good sound and good sujeccion, also good price, the paste unique is that in my case took the phone at the waist and in some movements there are cuts of music, but if I put it in the arm goes perfectly, but"&amp;" this is all I've tried to siferentes prices and brands.")</f>
        <v>good nice and cheap good product for fitness, has good sound and good sujeccion, also good price, the paste unique is that in my case took the phone at the waist and in some movements there are cuts of music, but if I put it in the arm goes perfectly, but this is all I've tried to siferentes prices and brands.</v>
      </c>
    </row>
    <row r="12211">
      <c r="A12211" s="1">
        <v>4.0</v>
      </c>
      <c r="B12211" s="1" t="s">
        <v>12104</v>
      </c>
      <c r="C12211" t="str">
        <f>IFERROR(__xludf.DUMMYFUNCTION("GOOGLETRANSLATE(B12211, ""es"", ""en"")"),"After a month we hear much better. I'm just like I used to but once these helmets everything else hear ""bad"". At the beginning heard everything too ""sharp"" as very sharp ?? with time and playing the equalizer've got a good balance. The positions have "&amp;"a minimum of 5 hours a day and are comfortable, pillows in summer give some heat in winter to me now I leave positions but did not hear anything. They weigh very little in the long run I think q is an advantage")</f>
        <v>After a month we hear much better. I'm just like I used to but once these helmets everything else hear "bad". At the beginning heard everything too "sharp" as very sharp ?? with time and playing the equalizer've got a good balance. The positions have a minimum of 5 hours a day and are comfortable, pillows in summer give some heat in winter to me now I leave positions but did not hear anything. They weigh very little in the long run I think q is an advantage</v>
      </c>
    </row>
    <row r="12212">
      <c r="A12212" s="1">
        <v>4.0</v>
      </c>
      <c r="B12212" s="1" t="s">
        <v>12105</v>
      </c>
      <c r="C12212" t="str">
        <f>IFERROR(__xludf.DUMMYFUNCTION("GOOGLETRANSLATE(B12212, ""es"", ""en"")"),"BBB has three Good watch, good price and very nice. If I have to put something negative it is it's a little bigger than I expected but it is perfect.")</f>
        <v>BBB has three Good watch, good price and very nice. If I have to put something negative it is it's a little bigger than I expected but it is perfect.</v>
      </c>
    </row>
    <row r="12213">
      <c r="A12213" s="1">
        <v>4.0</v>
      </c>
      <c r="B12213" s="1" t="s">
        <v>12106</v>
      </c>
      <c r="C12213" t="str">
        <f>IFERROR(__xludf.DUMMYFUNCTION("GOOGLETRANSLATE(B12213, ""es"", ""en"")"),"Cool I love !!! I wear them almost daily, they are original and perfect sizing, are not direct copies are selling Converse")</f>
        <v>Cool I love !!! I wear them almost daily, they are original and perfect sizing, are not direct copies are selling Converse</v>
      </c>
    </row>
    <row r="12214">
      <c r="A12214" s="1">
        <v>4.0</v>
      </c>
      <c r="B12214" s="1" t="s">
        <v>42</v>
      </c>
      <c r="C12214" t="str">
        <f>IFERROR(__xludf.DUMMYFUNCTION("GOOGLETRANSLATE(B12214, ""es"", ""en"")"),"Well well")</f>
        <v>Well well</v>
      </c>
    </row>
    <row r="12215">
      <c r="A12215" s="1">
        <v>5.0</v>
      </c>
      <c r="B12215" s="1" t="s">
        <v>12107</v>
      </c>
      <c r="C12215" t="str">
        <f>IFERROR(__xludf.DUMMYFUNCTION("GOOGLETRANSLATE(B12215, ""es"", ""en"")"),"Heat lasts all day relief")</f>
        <v>Heat lasts all day relief</v>
      </c>
    </row>
    <row r="12216">
      <c r="A12216" s="1">
        <v>5.0</v>
      </c>
      <c r="B12216" s="1" t="s">
        <v>12108</v>
      </c>
      <c r="C12216" t="str">
        <f>IFERROR(__xludf.DUMMYFUNCTION("GOOGLETRANSLATE(B12216, ""es"", ""en"")"),"Highly recommended Highly recommended, I use to play paddle (2 times per week), in midsummer, have not spoiled anything in the washer and soft still like the first day. Previously bought other tightest of a brand is not well known, but reinforcements had "&amp;"cost the tripe compared to these. I will repeat for sure.")</f>
        <v>Highly recommended Highly recommended, I use to play paddle (2 times per week), in midsummer, have not spoiled anything in the washer and soft still like the first day. Previously bought other tightest of a brand is not well known, but reinforcements had cost the tripe compared to these. I will repeat for sure.</v>
      </c>
    </row>
    <row r="12217">
      <c r="A12217" s="1">
        <v>5.0</v>
      </c>
      <c r="B12217" s="1" t="s">
        <v>12109</v>
      </c>
      <c r="C12217" t="str">
        <f>IFERROR(__xludf.DUMMYFUNCTION("GOOGLETRANSLATE(B12217, ""es"", ""en"")"),"Note that is of good quality is ajustadita, as I like, comfortable and formal for the day. I like the brand Charles Wilson")</f>
        <v>Note that is of good quality is ajustadita, as I like, comfortable and formal for the day. I like the brand Charles Wilson</v>
      </c>
    </row>
    <row r="12218">
      <c r="A12218" s="1">
        <v>5.0</v>
      </c>
      <c r="B12218" s="1" t="s">
        <v>12110</v>
      </c>
      <c r="C12218" t="str">
        <f>IFERROR(__xludf.DUMMYFUNCTION("GOOGLETRANSLATE(B12218, ""es"", ""en"")"),"Professional quality results! (Attached photos) After using double-sided stickers to put pictures .... I tell you - in terms easy to use if it's easy, go separating and placing on the 4 corners of the photo - convenient to use not much pq is cumbersome .."&amp;". each photo 4 stickers in my case I made two albums of 100 photos each, you can imagine the time it has taken me haha ​​- the result is perfect, I leave picture of the first picture I put one of the albums, is perfect as well close fitting and you're not"&amp;" afraid to fall or anything like that. That there is always fixed pa - the shipment arrived in one day is perfect .. In short I recommend pq finish is professional is not like these old albums where we put the photo in plastic ... For my taste this is muc"&amp;"h more beautiful and elegant. I used the photo album Hama fine art 50 pages (giving to put 100 photos) and as I say ... Highly recommended, can make a cool gift or for yourself.")</f>
        <v>Professional quality results! (Attached photos) After using double-sided stickers to put pictures .... I tell you - in terms easy to use if it's easy, go separating and placing on the 4 corners of the photo - convenient to use not much pq is cumbersome ... each photo 4 stickers in my case I made two albums of 100 photos each, you can imagine the time it has taken me haha ​​- the result is perfect, I leave picture of the first picture I put one of the albums, is perfect as well close fitting and you're not afraid to fall or anything like that. That there is always fixed pa - the shipment arrived in one day is perfect .. In short I recommend pq finish is professional is not like these old albums where we put the photo in plastic ... For my taste this is much more beautiful and elegant. I used the photo album Hama fine art 50 pages (giving to put 100 photos) and as I say ... Highly recommended, can make a cool gift or for yourself.</v>
      </c>
    </row>
    <row r="12219">
      <c r="A12219" s="1">
        <v>5.0</v>
      </c>
      <c r="B12219" s="1" t="s">
        <v>12111</v>
      </c>
      <c r="C12219" t="str">
        <f>IFERROR(__xludf.DUMMYFUNCTION("GOOGLETRANSLATE(B12219, ""es"", ""en"")"),"DavidV such Bru ... and pre nant cio uality aluci its pre ma. I sum pre mind im na sio do.")</f>
        <v>DavidV such Bru ... and pre nant cio uality aluci its pre ma. I sum pre mind im na sio do.</v>
      </c>
    </row>
    <row r="12220">
      <c r="A12220" s="1">
        <v>5.0</v>
      </c>
      <c r="B12220" s="1" t="s">
        <v>12112</v>
      </c>
      <c r="C12220" t="str">
        <f>IFERROR(__xludf.DUMMYFUNCTION("GOOGLETRANSLATE(B12220, ""es"", ""en"")"),"Very comfortable is really comfortable and the sizing is accurate. The material is resistant shoe odor but does a lot for a few days.")</f>
        <v>Very comfortable is really comfortable and the sizing is accurate. The material is resistant shoe odor but does a lot for a few days.</v>
      </c>
    </row>
    <row r="12221">
      <c r="A12221" s="1">
        <v>5.0</v>
      </c>
      <c r="B12221" s="1" t="s">
        <v>12113</v>
      </c>
      <c r="C12221" t="str">
        <f>IFERROR(__xludf.DUMMYFUNCTION("GOOGLETRANSLATE(B12221, ""es"", ""en"")"),"Very nice small and ornate pretty discreet and very fine size, I like a lot")</f>
        <v>Very nice small and ornate pretty discreet and very fine size, I like a lot</v>
      </c>
    </row>
    <row r="12222">
      <c r="A12222" s="1">
        <v>5.0</v>
      </c>
      <c r="B12222" s="1" t="s">
        <v>12114</v>
      </c>
      <c r="C12222" t="str">
        <f>IFERROR(__xludf.DUMMYFUNCTION("GOOGLETRANSLATE(B12222, ""es"", ""en"")"),"Softness double cover. Value good producer, comes with two types of covers of different colors and very soft, like velvet. It is easy to use and filling. This genila for cold days or you want to warm the bed before sleeping. Also for when you need to put "&amp;"some heat in his body aching area.")</f>
        <v>Softness double cover. Value good producer, comes with two types of covers of different colors and very soft, like velvet. It is easy to use and filling. This genila for cold days or you want to warm the bed before sleeping. Also for when you need to put some heat in his body aching area.</v>
      </c>
    </row>
    <row r="12223">
      <c r="A12223" s="1">
        <v>5.0</v>
      </c>
      <c r="B12223" s="1" t="s">
        <v>12115</v>
      </c>
      <c r="C12223" t="str">
        <f>IFERROR(__xludf.DUMMYFUNCTION("GOOGLETRANSLATE(B12223, ""es"", ""en"")"),"Good buy is exactly as described. Looks good and blue accents highlight the clock. Functional and practical. Battery recharge well.")</f>
        <v>Good buy is exactly as described. Looks good and blue accents highlight the clock. Functional and practical. Battery recharge well.</v>
      </c>
    </row>
    <row r="12224">
      <c r="A12224" s="1">
        <v>5.0</v>
      </c>
      <c r="B12224" s="1" t="s">
        <v>12116</v>
      </c>
      <c r="C12224" t="str">
        <f>IFERROR(__xludf.DUMMYFUNCTION("GOOGLETRANSLATE(B12224, ""es"", ""en"")"),"Very good value for money device very good buy value for money. Once properly configure the various settings options are virtually eliminated all background noise that others mentioned. Logically is not intended to be a device for professionals, but more "&amp;"than meets what it offers")</f>
        <v>Very good value for money device very good buy value for money. Once properly configure the various settings options are virtually eliminated all background noise that others mentioned. Logically is not intended to be a device for professionals, but more than meets what it offers</v>
      </c>
    </row>
    <row r="12225">
      <c r="A12225" s="1">
        <v>5.0</v>
      </c>
      <c r="B12225" s="1" t="s">
        <v>12117</v>
      </c>
      <c r="C12225" t="str">
        <f>IFERROR(__xludf.DUMMYFUNCTION("GOOGLETRANSLATE(B12225, ""es"", ""en"")"),"Simple, simple and very good quality headphones theme is very special because every user will do well a certain type. In my case I highlight three points: 1) they can not stand those who are ""meter"" in the ear and have always pulled by lifelong; 2) that"&amp;" the headset fits the size of one's ear; 3) is a trusted brand. This Sennheiser model perfectly meets the three conditions although it is true that previously had (same model) no longer heard on a headset (specifically the left) after a few months of the "&amp;"2-year warranty. Still, I give another vote of confidence because I've been very happy with them, and just 12 € think you can not ask for more.")</f>
        <v>Simple, simple and very good quality headphones theme is very special because every user will do well a certain type. In my case I highlight three points: 1) they can not stand those who are "meter" in the ear and have always pulled by lifelong; 2) that the headset fits the size of one's ear; 3) is a trusted brand. This Sennheiser model perfectly meets the three conditions although it is true that previously had (same model) no longer heard on a headset (specifically the left) after a few months of the 2-year warranty. Still, I give another vote of confidence because I've been very happy with them, and just 12 € think you can not ask for more.</v>
      </c>
    </row>
    <row r="12226">
      <c r="A12226" s="1">
        <v>5.0</v>
      </c>
      <c r="B12226" s="1" t="s">
        <v>12118</v>
      </c>
      <c r="C12226" t="str">
        <f>IFERROR(__xludf.DUMMYFUNCTION("GOOGLETRANSLATE(B12226, ""es"", ""en"")"),"Great product. Excellent for pogs.")</f>
        <v>Great product. Excellent for pogs.</v>
      </c>
    </row>
    <row r="12227">
      <c r="A12227" s="1">
        <v>5.0</v>
      </c>
      <c r="B12227" s="1" t="s">
        <v>12119</v>
      </c>
      <c r="C12227" t="str">
        <f>IFERROR(__xludf.DUMMYFUNCTION("GOOGLETRANSLATE(B12227, ""es"", ""en"")"),"Very practical. Had long been wanting to buy a pendrive for my iPhone and it exceeds what I wanted, because it is also fully compatible with terminals microusb and type C, which allows transfer files between my phone and other people very easily. Good res"&amp;"ource for backup without iTunes. Acceptable transfer speed. Value, second to none.")</f>
        <v>Very practical. Had long been wanting to buy a pendrive for my iPhone and it exceeds what I wanted, because it is also fully compatible with terminals microusb and type C, which allows transfer files between my phone and other people very easily. Good resource for backup without iTunes. Acceptable transfer speed. Value, second to none.</v>
      </c>
    </row>
    <row r="12228">
      <c r="A12228" s="1">
        <v>5.0</v>
      </c>
      <c r="B12228" s="1" t="s">
        <v>850</v>
      </c>
      <c r="C12228" t="str">
        <f>IFERROR(__xludf.DUMMYFUNCTION("GOOGLETRANSLATE(B12228, ""es"", ""en"")"),"👍 👍")</f>
        <v>👍 👍</v>
      </c>
    </row>
    <row r="12229">
      <c r="A12229" s="1">
        <v>5.0</v>
      </c>
      <c r="B12229" s="1" t="s">
        <v>12120</v>
      </c>
      <c r="C12229" t="str">
        <f>IFERROR(__xludf.DUMMYFUNCTION("GOOGLETRANSLATE(B12229, ""es"", ""en"")"),"The first speaker César Ibiza port8 I ordered the battery did not work, I sent another without any cost and the new is perfect.")</f>
        <v>The first speaker César Ibiza port8 I ordered the battery did not work, I sent another without any cost and the new is perfect.</v>
      </c>
    </row>
    <row r="12230">
      <c r="A12230" s="1">
        <v>5.0</v>
      </c>
      <c r="B12230" s="1" t="s">
        <v>12121</v>
      </c>
      <c r="C12230" t="str">
        <f>IFERROR(__xludf.DUMMYFUNCTION("GOOGLETRANSLATE(B12230, ""es"", ""en"")"),"I love coffee, which brings you taste the coffee 😀")</f>
        <v>I love coffee, which brings you taste the coffee 😀</v>
      </c>
    </row>
    <row r="12231">
      <c r="A12231" s="1">
        <v>5.0</v>
      </c>
      <c r="B12231" s="1" t="s">
        <v>12122</v>
      </c>
      <c r="C12231" t="str">
        <f>IFERROR(__xludf.DUMMYFUNCTION("GOOGLETRANSLATE(B12231, ""es"", ""en"")"),"Good for use not very intense work well, but a little heated at times when a lot of data are transferred. Furthermore they fit too tightly to the USB slot, at least on my laptop, and gives the impression that heavy use may crack to being plastic. But for "&amp;"a low / medium usage I not see a problem.")</f>
        <v>Good for use not very intense work well, but a little heated at times when a lot of data are transferred. Furthermore they fit too tightly to the USB slot, at least on my laptop, and gives the impression that heavy use may crack to being plastic. But for a low / medium usage I not see a problem.</v>
      </c>
    </row>
    <row r="12232">
      <c r="A12232" s="1">
        <v>5.0</v>
      </c>
      <c r="B12232" s="1" t="s">
        <v>12123</v>
      </c>
      <c r="C12232" t="str">
        <f>IFERROR(__xludf.DUMMYFUNCTION("GOOGLETRANSLATE(B12232, ""es"", ""en"")"),"Optimal durability and low weight needed a durable pen because I always break and have successful, I like the carabiner for keys bearing because it is of good material")</f>
        <v>Optimal durability and low weight needed a durable pen because I always break and have successful, I like the carabiner for keys bearing because it is of good material</v>
      </c>
    </row>
    <row r="12233">
      <c r="A12233" s="1">
        <v>5.0</v>
      </c>
      <c r="B12233" s="1" t="s">
        <v>12124</v>
      </c>
      <c r="C12233" t="str">
        <f>IFERROR(__xludf.DUMMYFUNCTION("GOOGLETRANSLATE(B12233, ""es"", ""en"")"),"Best earbuds I've had This is the second pair of headphones I buy this model, the buy to let in the office, they are the best I've had in terms of sound quality and duration, others buy them already made two years and still they work perfectly and soundin"&amp;"g like the first day.")</f>
        <v>Best earbuds I've had This is the second pair of headphones I buy this model, the buy to let in the office, they are the best I've had in terms of sound quality and duration, others buy them already made two years and still they work perfectly and sounding like the first day.</v>
      </c>
    </row>
    <row r="12234">
      <c r="A12234" s="1">
        <v>2.0</v>
      </c>
      <c r="B12234" s="1" t="s">
        <v>12125</v>
      </c>
      <c r="C12234" t="str">
        <f>IFERROR(__xludf.DUMMYFUNCTION("GOOGLETRANSLATE(B12234, ""es"", ""en"")"),"No self-cleaning system as some mam does not have self-cleaning system as some mam")</f>
        <v>No self-cleaning system as some mam does not have self-cleaning system as some mam</v>
      </c>
    </row>
    <row r="12235">
      <c r="A12235" s="1">
        <v>3.0</v>
      </c>
      <c r="B12235" s="1" t="s">
        <v>12126</v>
      </c>
      <c r="C12235" t="str">
        <f>IFERROR(__xludf.DUMMYFUNCTION("GOOGLETRANSLATE(B12235, ""es"", ""en"")"),"It works well but the sound is improved not expect great sound quality, perfect for megafonia but not the music")</f>
        <v>It works well but the sound is improved not expect great sound quality, perfect for megafonia but not the music</v>
      </c>
    </row>
    <row r="12236">
      <c r="A12236" s="1">
        <v>1.0</v>
      </c>
      <c r="B12236" s="1" t="s">
        <v>12127</v>
      </c>
      <c r="C12236" t="str">
        <f>IFERROR(__xludf.DUMMYFUNCTION("GOOGLETRANSLATE(B12236, ""es"", ""en"")"),"broken zippers at four weeks of use, began to disintegrate zippers, everything else right, but if it fails the main ...")</f>
        <v>broken zippers at four weeks of use, began to disintegrate zippers, everything else right, but if it fails the main ...</v>
      </c>
    </row>
    <row r="12237">
      <c r="A12237" s="1">
        <v>1.0</v>
      </c>
      <c r="B12237" s="1" t="s">
        <v>12128</v>
      </c>
      <c r="C12237" t="str">
        <f>IFERROR(__xludf.DUMMYFUNCTION("GOOGLETRANSLATE(B12237, ""es"", ""en"")"),"Box away in 2 days Product very bad bill. It looks like a child's toy. At 2 days I stopped working. You better spend 5 € more. Cheapness always is more expensive to the end.")</f>
        <v>Box away in 2 days Product very bad bill. It looks like a child's toy. At 2 days I stopped working. You better spend 5 € more. Cheapness always is more expensive to the end.</v>
      </c>
    </row>
    <row r="12238">
      <c r="A12238" s="1">
        <v>4.0</v>
      </c>
      <c r="B12238" s="1" t="s">
        <v>12129</v>
      </c>
      <c r="C12238" t="str">
        <f>IFERROR(__xludf.DUMMYFUNCTION("GOOGLETRANSLATE(B12238, ""es"", ""en"")"),"They are good value for money well")</f>
        <v>They are good value for money well</v>
      </c>
    </row>
    <row r="12239">
      <c r="A12239" s="1">
        <v>4.0</v>
      </c>
      <c r="B12239" s="1" t="s">
        <v>12130</v>
      </c>
      <c r="C12239" t="str">
        <f>IFERROR(__xludf.DUMMYFUNCTION("GOOGLETRANSLATE(B12239, ""es"", ""en"")"),"Genia quality price 30 € Verdura fruit")</f>
        <v>Genia quality price 30 € Verdura fruit</v>
      </c>
    </row>
    <row r="12240">
      <c r="A12240" s="1">
        <v>4.0</v>
      </c>
      <c r="B12240" s="1" t="s">
        <v>12131</v>
      </c>
      <c r="C12240" t="str">
        <f>IFERROR(__xludf.DUMMYFUNCTION("GOOGLETRANSLATE(B12240, ""es"", ""en"")"),"Good bottles of bottles I've tried is the ones I like. You hear how the air passes through the valve when suctioned. Although the principle of the two did not work very well.")</f>
        <v>Good bottles of bottles I've tried is the ones I like. You hear how the air passes through the valve when suctioned. Although the principle of the two did not work very well.</v>
      </c>
    </row>
    <row r="12241">
      <c r="A12241" s="1">
        <v>4.0</v>
      </c>
      <c r="B12241" s="1" t="s">
        <v>12132</v>
      </c>
      <c r="C12241" t="str">
        <f>IFERROR(__xludf.DUMMYFUNCTION("GOOGLETRANSLATE(B12241, ""es"", ""en"")"),"It was what I expected was what I expected")</f>
        <v>It was what I expected was what I expected</v>
      </c>
    </row>
    <row r="12242">
      <c r="A12242" s="1">
        <v>5.0</v>
      </c>
      <c r="B12242" s="1" t="s">
        <v>12133</v>
      </c>
      <c r="C12242" t="str">
        <f>IFERROR(__xludf.DUMMYFUNCTION("GOOGLETRANSLATE(B12242, ""es"", ""en"")"),"Perfect quality and Little need be said SanDisk in storage. They are class 10 cards with very good speed and quality. I bought 3 to put one in each chamber IP I have for what they are working 24hours these cards and go to perfection. It comes with an adap"&amp;"ter for use as SD card. So we can say that this is also a microSD SD with this adapter. Certainly very good buy, recommend your purchase.")</f>
        <v>Perfect quality and Little need be said SanDisk in storage. They are class 10 cards with very good speed and quality. I bought 3 to put one in each chamber IP I have for what they are working 24hours these cards and go to perfection. It comes with an adapter for use as SD card. So we can say that this is also a microSD SD with this adapter. Certainly very good buy, recommend your purchase.</v>
      </c>
    </row>
    <row r="12243">
      <c r="A12243" s="1">
        <v>5.0</v>
      </c>
      <c r="B12243" s="1" t="s">
        <v>12134</v>
      </c>
      <c r="C12243" t="str">
        <f>IFERROR(__xludf.DUMMYFUNCTION("GOOGLETRANSLATE(B12243, ""es"", ""en"")"),"Seriousness in the operation, the product is very good, delivery was earlier than reported, ny product quality of the service, excellent")</f>
        <v>Seriousness in the operation, the product is very good, delivery was earlier than reported, ny product quality of the service, excellent</v>
      </c>
    </row>
    <row r="12244">
      <c r="A12244" s="1">
        <v>5.0</v>
      </c>
      <c r="B12244" s="1" t="s">
        <v>12135</v>
      </c>
      <c r="C12244" t="str">
        <f>IFERROR(__xludf.DUMMYFUNCTION("GOOGLETRANSLATE(B12244, ""es"", ""en"")"),"Good case. They are of good quality.")</f>
        <v>Good case. They are of good quality.</v>
      </c>
    </row>
    <row r="12245">
      <c r="A12245" s="1">
        <v>5.0</v>
      </c>
      <c r="B12245" s="1" t="s">
        <v>12136</v>
      </c>
      <c r="C12245" t="str">
        <f>IFERROR(__xludf.DUMMYFUNCTION("GOOGLETRANSLATE(B12245, ""es"", ""en"")"),"Very nice and good quality are very nice but ordered a large carving size smaller and I were perfect")</f>
        <v>Very nice and good quality are very nice but ordered a large carving size smaller and I were perfect</v>
      </c>
    </row>
    <row r="12246">
      <c r="A12246" s="1">
        <v>5.0</v>
      </c>
      <c r="B12246" s="1" t="s">
        <v>12137</v>
      </c>
      <c r="C12246" t="str">
        <f>IFERROR(__xludf.DUMMYFUNCTION("GOOGLETRANSLATE(B12246, ""es"", ""en"")"),"Comfort and slippers, high quality and extremely comfortable. Secure and flexible sole, perfectly dampens tread and the skin is smooth and firm in setting foot. Delivery within 48 hours")</f>
        <v>Comfort and slippers, high quality and extremely comfortable. Secure and flexible sole, perfectly dampens tread and the skin is smooth and firm in setting foot. Delivery within 48 hours</v>
      </c>
    </row>
    <row r="12247">
      <c r="A12247" s="1">
        <v>5.0</v>
      </c>
      <c r="B12247" s="1" t="s">
        <v>12138</v>
      </c>
      <c r="C12247" t="str">
        <f>IFERROR(__xludf.DUMMYFUNCTION("GOOGLETRANSLATE(B12247, ""es"", ""en"")"),"Perfect Good product. I remain as expected. Not the first thing I bought. excellent quality for the price it has. I recommend it.")</f>
        <v>Perfect Good product. I remain as expected. Not the first thing I bought. excellent quality for the price it has. I recommend it.</v>
      </c>
    </row>
    <row r="12248">
      <c r="A12248" s="1">
        <v>5.0</v>
      </c>
      <c r="B12248" s="1" t="s">
        <v>524</v>
      </c>
      <c r="C12248" t="str">
        <f>IFERROR(__xludf.DUMMYFUNCTION("GOOGLETRANSLATE(B12248, ""es"", ""en"")"),"Brilliant brilliant")</f>
        <v>Brilliant brilliant</v>
      </c>
    </row>
    <row r="12249">
      <c r="A12249" s="1">
        <v>5.0</v>
      </c>
      <c r="B12249" s="1" t="s">
        <v>12139</v>
      </c>
      <c r="C12249" t="str">
        <f>IFERROR(__xludf.DUMMYFUNCTION("GOOGLETRANSLATE(B12249, ""es"", ""en"")"),"Fast shipping I liked all")</f>
        <v>Fast shipping I liked all</v>
      </c>
    </row>
    <row r="12250">
      <c r="A12250" s="1">
        <v>5.0</v>
      </c>
      <c r="B12250" s="1" t="s">
        <v>12140</v>
      </c>
      <c r="C12250" t="str">
        <f>IFERROR(__xludf.DUMMYFUNCTION("GOOGLETRANSLATE(B12250, ""es"", ""en"")"),"Many right comfort and durability. The material is high quality that ensures durability. The colors are exactly as pictured.")</f>
        <v>Many right comfort and durability. The material is high quality that ensures durability. The colors are exactly as pictured.</v>
      </c>
    </row>
    <row r="12251">
      <c r="A12251" s="1">
        <v>5.0</v>
      </c>
      <c r="B12251" s="1" t="s">
        <v>12141</v>
      </c>
      <c r="C12251" t="str">
        <f>IFERROR(__xludf.DUMMYFUNCTION("GOOGLETRANSLATE(B12251, ""es"", ""en"")"),"The retro design coupled with superb performance, make an excellent toaster design, of course, is spectacular. Analog clock that needle in the center is a blast. It is the fastest (or which more) I've tried so far, and I've tried several, both this mark, "&amp;"and others. It is certainly the fastest of all because it has a lot of power and resistance, are closer together than in other models. Both are capable of releasing heat, with the bread roll from the top in less than 1 minute, it is also able to brown the"&amp;" bread. Valid for regular bread, bread mold, XL, rustic and sliced ​​thick, offering much versatility in this regard. Like other roasters mark includes a recojemigas tray selector toasting time, going on scales of 1 to 6, and comprising roasting times of "&amp;"40 seconds in the 1 and 3 minutes 6, approximately. In addition, it has a button for frozen bread, which slightly increases the time the toaster works. The possibility of raising to see, this toaster is necessary because the first uses, until we catch him"&amp;" no point for its speed, it is essential to avoid excessive roasting. also has rewind button quickly and expulsion, although this is not too long. Measured approximately 1 meter. Aesthetics, I think personally very nice. I think the combination with Ameri"&amp;"can vintage design and blaco-cream / chrome finish, give a different touch to the kitchen. In short, one of the fastest roasters I've tested to date, which has an advantage very clear, and you can make 2 batches of toast, as it would take a roaster long s"&amp;"lice take us 4 with savings space that entails. It is accompanied by a striking and colorful design is compact and versatile, and hand of a brand No. 1 in UK, so this is a great product. recommendable")</f>
        <v>The retro design coupled with superb performance, make an excellent toaster design, of course, is spectacular. Analog clock that needle in the center is a blast. It is the fastest (or which more) I've tried so far, and I've tried several, both this mark, and others. It is certainly the fastest of all because it has a lot of power and resistance, are closer together than in other models. Both are capable of releasing heat, with the bread roll from the top in less than 1 minute, it is also able to brown the bread. Valid for regular bread, bread mold, XL, rustic and sliced ​​thick, offering much versatility in this regard. Like other roasters mark includes a recojemigas tray selector toasting time, going on scales of 1 to 6, and comprising roasting times of 40 seconds in the 1 and 3 minutes 6, approximately. In addition, it has a button for frozen bread, which slightly increases the time the toaster works. The possibility of raising to see, this toaster is necessary because the first uses, until we catch him no point for its speed, it is essential to avoid excessive roasting. also has rewind button quickly and expulsion, although this is not too long. Measured approximately 1 meter. Aesthetics, I think personally very nice. I think the combination with American vintage design and blaco-cream / chrome finish, give a different touch to the kitchen. In short, one of the fastest roasters I've tested to date, which has an advantage very clear, and you can make 2 batches of toast, as it would take a roaster long slice take us 4 with savings space that entails. It is accompanied by a striking and colorful design is compact and versatile, and hand of a brand No. 1 in UK, so this is a great product. recommendable</v>
      </c>
    </row>
    <row r="12252">
      <c r="A12252" s="1">
        <v>5.0</v>
      </c>
      <c r="B12252" s="1" t="s">
        <v>12142</v>
      </c>
      <c r="C12252" t="str">
        <f>IFERROR(__xludf.DUMMYFUNCTION("GOOGLETRANSLATE(B12252, ""es"", ""en"")"),"Flipflops flipflops quality made in one piece mold that last years with normal treatment. And it is the third I buy. I come from a Nike in two pieces that lasted years but ended dismounting.")</f>
        <v>Flipflops flipflops quality made in one piece mold that last years with normal treatment. And it is the third I buy. I come from a Nike in two pieces that lasted years but ended dismounting.</v>
      </c>
    </row>
    <row r="12253">
      <c r="A12253" s="1">
        <v>5.0</v>
      </c>
      <c r="B12253" s="1" t="s">
        <v>12143</v>
      </c>
      <c r="C12253" t="str">
        <f>IFERROR(__xludf.DUMMYFUNCTION("GOOGLETRANSLATE(B12253, ""es"", ""en"")"),"Parts correct correct. Fast delivery. No problem")</f>
        <v>Parts correct correct. Fast delivery. No problem</v>
      </c>
    </row>
    <row r="12254">
      <c r="A12254" s="1">
        <v>5.0</v>
      </c>
      <c r="B12254" s="1" t="s">
        <v>12144</v>
      </c>
      <c r="C12254" t="str">
        <f>IFERROR(__xludf.DUMMYFUNCTION("GOOGLETRANSLATE(B12254, ""es"", ""en"")"),"Very nice and well great size plus the combination of brilliant colors.")</f>
        <v>Very nice and well great size plus the combination of brilliant colors.</v>
      </c>
    </row>
    <row r="12255">
      <c r="A12255" s="1">
        <v>5.0</v>
      </c>
      <c r="B12255" s="1" t="s">
        <v>12145</v>
      </c>
      <c r="C12255" t="str">
        <f>IFERROR(__xludf.DUMMYFUNCTION("GOOGLETRANSLATE(B12255, ""es"", ""en"")"),"Unbeatable value Delighted with purchase. Very comfortable to wear, even playing sports. Power quality and very good sound. They are aesthetically beautiful. Great option to use wired or wireless with all kinds of devices. Good battery life. You can skip "&amp;"songs or answer a call using the buttons included in the hulls. In short, highly recommended product.")</f>
        <v>Unbeatable value Delighted with purchase. Very comfortable to wear, even playing sports. Power quality and very good sound. They are aesthetically beautiful. Great option to use wired or wireless with all kinds of devices. Good battery life. You can skip songs or answer a call using the buttons included in the hulls. In short, highly recommended product.</v>
      </c>
    </row>
    <row r="12256">
      <c r="A12256" s="1">
        <v>5.0</v>
      </c>
      <c r="B12256" s="1" t="s">
        <v>12146</v>
      </c>
      <c r="C12256" t="str">
        <f>IFERROR(__xludf.DUMMYFUNCTION("GOOGLETRANSLATE(B12256, ""es"", ""en"")"),"Good value I bought this product in a promotion (two diffusers 14 €), what excellent value. Maybe bigger than I imagined, but they have much ability and work perfectly. LED lights can turn (to create atmosphere, not to illuminate much) or just put the hum"&amp;"idifier option. I use it as essential oil diffuser and perfectly fulfills its function. How little niggle, the current adapter cable is a bit short, so depending on where they want to place an extension cord is needed.")</f>
        <v>Good value I bought this product in a promotion (two diffusers 14 €), what excellent value. Maybe bigger than I imagined, but they have much ability and work perfectly. LED lights can turn (to create atmosphere, not to illuminate much) or just put the humidifier option. I use it as essential oil diffuser and perfectly fulfills its function. How little niggle, the current adapter cable is a bit short, so depending on where they want to place an extension cord is needed.</v>
      </c>
    </row>
    <row r="12257">
      <c r="A12257" s="1">
        <v>5.0</v>
      </c>
      <c r="B12257" s="1" t="s">
        <v>12147</v>
      </c>
      <c r="C12257" t="str">
        <f>IFERROR(__xludf.DUMMYFUNCTION("GOOGLETRANSLATE(B12257, ""es"", ""en"")"),"Comfortable and fit very well. Buy them for a gift and doubted some quality, but was pleasantly surprised. It has nothing to envy to other boots of the same style. The fit is comfortable and have hair inside, which is appreciated in the days of so cold. T"&amp;"hey are regale my father for a trip and came very happy with them, are comfortable and have not skimped on materials, since they are of very good quality. Conforming 100%.")</f>
        <v>Comfortable and fit very well. Buy them for a gift and doubted some quality, but was pleasantly surprised. It has nothing to envy to other boots of the same style. The fit is comfortable and have hair inside, which is appreciated in the days of so cold. They are regale my father for a trip and came very happy with them, are comfortable and have not skimped on materials, since they are of very good quality. Conforming 100%.</v>
      </c>
    </row>
    <row r="12258">
      <c r="A12258" s="1">
        <v>5.0</v>
      </c>
      <c r="B12258" s="1" t="s">
        <v>12148</v>
      </c>
      <c r="C12258" t="str">
        <f>IFERROR(__xludf.DUMMYFUNCTION("GOOGLETRANSLATE(B12258, ""es"", ""en"")"),"It helps reduce colicos like the photo and I love this brand.")</f>
        <v>It helps reduce colicos like the photo and I love this brand.</v>
      </c>
    </row>
    <row r="12259">
      <c r="A12259" s="1">
        <v>5.0</v>
      </c>
      <c r="B12259" s="1" t="s">
        <v>12149</v>
      </c>
      <c r="C12259" t="str">
        <f>IFERROR(__xludf.DUMMYFUNCTION("GOOGLETRANSLATE(B12259, ""es"", ""en"")"),"Petercito messenger bag Beautiful, a perfect size, and excellent quality, same as photos with a touch incredible hand. Very satisfied with this purchase. 100% recommended.")</f>
        <v>Petercito messenger bag Beautiful, a perfect size, and excellent quality, same as photos with a touch incredible hand. Very satisfied with this purchase. 100% recommended.</v>
      </c>
    </row>
    <row r="12260">
      <c r="A12260" s="1">
        <v>5.0</v>
      </c>
      <c r="B12260" s="1" t="s">
        <v>12150</v>
      </c>
      <c r="C12260" t="str">
        <f>IFERROR(__xludf.DUMMYFUNCTION("GOOGLETRANSLATE(B12260, ""es"", ""en"")"),"I'll buy the furniture with a TV, don't-know-how many consoles, the PC, etc. I have spent a week cableándolo behind and thanks to this product has been fabulous. Velcro strips, note that the material is not the best in the world, but perform their functio"&amp;"n. Clips, the only downside I can bring them is that if the cable is very thick, do not come close. To fit some power cables, for example tower PC, I had to cut the piece of plastic inside, and thick cables, such as a power strip, do not fit. Still, this "&amp;"is something to keep in mind when shopping because it shows only view photos. I give it 5 stars because there is no more. And I have in the cart again to wire other furniture in the house ...")</f>
        <v>I'll buy the furniture with a TV, don't-know-how many consoles, the PC, etc. I have spent a week cableándolo behind and thanks to this product has been fabulous. Velcro strips, note that the material is not the best in the world, but perform their function. Clips, the only downside I can bring them is that if the cable is very thick, do not come close. To fit some power cables, for example tower PC, I had to cut the piece of plastic inside, and thick cables, such as a power strip, do not fit. Still, this is something to keep in mind when shopping because it shows only view photos. I give it 5 stars because there is no more. And I have in the cart again to wire other furniture in the house ...</v>
      </c>
    </row>
    <row r="12261">
      <c r="A12261" s="1">
        <v>2.0</v>
      </c>
      <c r="B12261" s="1" t="s">
        <v>12151</v>
      </c>
      <c r="C12261" t="str">
        <f>IFERROR(__xludf.DUMMYFUNCTION("GOOGLETRANSLATE(B12261, ""es"", ""en"")"),"They spoil quickly Very comfortable headphones and listening to great. The problem is that neither the monitor to stop work, put the next or back; As to the microphone. This does not work either for calls or for audio recording. In addition, one of the tw"&amp;"o, after two weeks of use, has stopped working in one ear for no reason (no hits were not given, nor anything happened to the cable); I hope the second pair last longer.")</f>
        <v>They spoil quickly Very comfortable headphones and listening to great. The problem is that neither the monitor to stop work, put the next or back; As to the microphone. This does not work either for calls or for audio recording. In addition, one of the two, after two weeks of use, has stopped working in one ear for no reason (no hits were not given, nor anything happened to the cable); I hope the second pair last longer.</v>
      </c>
    </row>
    <row r="12262">
      <c r="A12262" s="1">
        <v>3.0</v>
      </c>
      <c r="B12262" s="1" t="s">
        <v>12152</v>
      </c>
      <c r="C12262" t="str">
        <f>IFERROR(__xludf.DUMMYFUNCTION("GOOGLETRANSLATE(B12262, ""es"", ""en"")"),"Very practical and convenient almost I say indispensable to have a good distance between the microphone and the camera tie.")</f>
        <v>Very practical and convenient almost I say indispensable to have a good distance between the microphone and the camera tie.</v>
      </c>
    </row>
    <row r="12263">
      <c r="A12263" s="1">
        <v>3.0</v>
      </c>
      <c r="B12263" s="1" t="s">
        <v>12153</v>
      </c>
      <c r="C12263" t="str">
        <f>IFERROR(__xludf.DUMMYFUNCTION("GOOGLETRANSLATE(B12263, ""es"", ""en"")"),"It transpires I returned the product and has given me angry because the fabric is of good quality and design is very nice; but I was a little big though I've taken as directed by the seller and the bend underwear was transparent and it's something I do no"&amp;"t like anything.")</f>
        <v>It transpires I returned the product and has given me angry because the fabric is of good quality and design is very nice; but I was a little big though I've taken as directed by the seller and the bend underwear was transparent and it's something I do not like anything.</v>
      </c>
    </row>
    <row r="12264">
      <c r="A12264" s="1">
        <v>1.0</v>
      </c>
      <c r="B12264" s="1" t="s">
        <v>12154</v>
      </c>
      <c r="C12264" t="str">
        <f>IFERROR(__xludf.DUMMYFUNCTION("GOOGLETRANSLATE(B12264, ""es"", ""en"")"),"ABSOLUTELY DEPLORABLE REGARDING TOTAL CALIDAD.MADE IN CHINA. SO, UP SMALL SHOES quality is absolutely deplorable. Amazon would never have imagined that so serious it is to sell products of poor quality. Total and absolutely Made in China, with the differe"&amp;"nce that the price is, nevertheless, exorbitant regarding the quality of the product, which, again is harmful. Last but not least, small shoes, which now, seeing as I understand the product in China fits smaller Summarizing money wasted.")</f>
        <v>ABSOLUTELY DEPLORABLE REGARDING TOTAL CALIDAD.MADE IN CHINA. SO, UP SMALL SHOES quality is absolutely deplorable. Amazon would never have imagined that so serious it is to sell products of poor quality. Total and absolutely Made in China, with the difference that the price is, nevertheless, exorbitant regarding the quality of the product, which, again is harmful. Last but not least, small shoes, which now, seeing as I understand the product in China fits smaller Summarizing money wasted.</v>
      </c>
    </row>
    <row r="12265">
      <c r="A12265" s="1">
        <v>1.0</v>
      </c>
      <c r="B12265" s="1" t="s">
        <v>12155</v>
      </c>
      <c r="C12265" t="str">
        <f>IFERROR(__xludf.DUMMYFUNCTION("GOOGLETRANSLATE(B12265, ""es"", ""en"")"),"Not a good product in my opinion is not a good product, not worth the price, I ordered a XL and looked like a M, also broken wine is very plastic and also the seam back in the back was badly sewn what looks like a diaper. The worst purchase historia.Pd: l"&amp;"et me not return.")</f>
        <v>Not a good product in my opinion is not a good product, not worth the price, I ordered a XL and looked like a M, also broken wine is very plastic and also the seam back in the back was badly sewn what looks like a diaper. The worst purchase historia.Pd: let me not return.</v>
      </c>
    </row>
    <row r="12266">
      <c r="A12266" s="1">
        <v>4.0</v>
      </c>
      <c r="B12266" s="1" t="s">
        <v>12156</v>
      </c>
      <c r="C12266" t="str">
        <f>IFERROR(__xludf.DUMMYFUNCTION("GOOGLETRANSLATE(B12266, ""es"", ""en"")"),"Simplicity, elegance and recharge for low price Solar Casio watches I've had before, was laborious set the time. With this, a pleasure! The battery is recharged with light (solar or other) and I can not say whether delay. I know it's something else. With "&amp;"black background, looks especially at night, you do not turn on the light. The very low price of the hidden wonder except the fact that the tapes, the clock is essentially plastic. For that, and worth it weighs like a feather! Only by the terms of the boî"&amp;"tier, I have thrown a star.")</f>
        <v>Simplicity, elegance and recharge for low price Solar Casio watches I've had before, was laborious set the time. With this, a pleasure! The battery is recharged with light (solar or other) and I can not say whether delay. I know it's something else. With black background, looks especially at night, you do not turn on the light. The very low price of the hidden wonder except the fact that the tapes, the clock is essentially plastic. For that, and worth it weighs like a feather! Only by the terms of the boîtier, I have thrown a star.</v>
      </c>
    </row>
    <row r="12267">
      <c r="A12267" s="1">
        <v>4.0</v>
      </c>
      <c r="B12267" s="1" t="s">
        <v>12157</v>
      </c>
      <c r="C12267" t="str">
        <f>IFERROR(__xludf.DUMMYFUNCTION("GOOGLETRANSLATE(B12267, ""es"", ""en"")"),"Very comfortable, very easy to use'm delighted by how comfortable it is, how well limpia.No have to do with the kidneys or strength back and the floor is gorgeous.")</f>
        <v>Very comfortable, very easy to use'm delighted by how comfortable it is, how well limpia.No have to do with the kidneys or strength back and the floor is gorgeous.</v>
      </c>
    </row>
    <row r="12268">
      <c r="A12268" s="1">
        <v>4.0</v>
      </c>
      <c r="B12268" s="1" t="s">
        <v>12158</v>
      </c>
      <c r="C12268" t="str">
        <f>IFERROR(__xludf.DUMMYFUNCTION("GOOGLETRANSLATE(B12268, ""es"", ""en"")"),"Fulfills its mission to identify the use Super8 films and works well.")</f>
        <v>Fulfills its mission to identify the use Super8 films and works well.</v>
      </c>
    </row>
    <row r="12269">
      <c r="A12269" s="1">
        <v>4.0</v>
      </c>
      <c r="B12269" s="1" t="s">
        <v>12159</v>
      </c>
      <c r="C12269" t="str">
        <f>IFERROR(__xludf.DUMMYFUNCTION("GOOGLETRANSLATE(B12269, ""es"", ""en"")"),"Squeezing very quiet, fast and with power but just make noise, which is appreciated. Perhaps a bit high price, but I'm happy with the purchase. It is very juicer, but I understand that there may be others in the market like for less money. Regarding durab"&amp;"ility, I hope it lasts, but it only took with him a month.")</f>
        <v>Squeezing very quiet, fast and with power but just make noise, which is appreciated. Perhaps a bit high price, but I'm happy with the purchase. It is very juicer, but I understand that there may be others in the market like for less money. Regarding durability, I hope it lasts, but it only took with him a month.</v>
      </c>
    </row>
    <row r="12270">
      <c r="A12270" s="1">
        <v>4.0</v>
      </c>
      <c r="B12270" s="1" t="s">
        <v>12160</v>
      </c>
      <c r="C12270" t="str">
        <f>IFERROR(__xludf.DUMMYFUNCTION("GOOGLETRANSLATE(B12270, ""es"", ""en"")"),"Well with some buts ... It is the first kettle we have. Its use will be to heat water for teas and little else, so when I saw it was on sale for 22 € do not hesitate. Sending very fast, less than two days and opening the box first impressions were very go"&amp;"od because we did not want another contraption on the marble kitchen. Quality is current and combines appearance perfectly with the other appliances. Buts are costing fit it into the base. I whisk milk Nespreso and fits much better, with the same system. "&amp;"But the other is that we believe is missing a button to lift the lid. Instinctively hand it required and missing. After 3 days I can not say much more about the kettle ...")</f>
        <v>Well with some buts ... It is the first kettle we have. Its use will be to heat water for teas and little else, so when I saw it was on sale for 22 € do not hesitate. Sending very fast, less than two days and opening the box first impressions were very good because we did not want another contraption on the marble kitchen. Quality is current and combines appearance perfectly with the other appliances. Buts are costing fit it into the base. I whisk milk Nespreso and fits much better, with the same system. But the other is that we believe is missing a button to lift the lid. Instinctively hand it required and missing. After 3 days I can not say much more about the kettle ...</v>
      </c>
    </row>
    <row r="12271">
      <c r="A12271" s="1">
        <v>5.0</v>
      </c>
      <c r="B12271" s="1" t="s">
        <v>12161</v>
      </c>
      <c r="C12271" t="str">
        <f>IFERROR(__xludf.DUMMYFUNCTION("GOOGLETRANSLATE(B12271, ""es"", ""en"")"),"Well what I expected, satisfied")</f>
        <v>Well what I expected, satisfied</v>
      </c>
    </row>
    <row r="12272">
      <c r="A12272" s="1">
        <v>5.0</v>
      </c>
      <c r="B12272" s="1" t="s">
        <v>12162</v>
      </c>
      <c r="C12272" t="str">
        <f>IFERROR(__xludf.DUMMYFUNCTION("GOOGLETRANSLATE(B12272, ""es"", ""en"")"),"All perfect. All perfect. And comfortable.")</f>
        <v>All perfect. All perfect. And comfortable.</v>
      </c>
    </row>
    <row r="12273">
      <c r="A12273" s="1">
        <v>5.0</v>
      </c>
      <c r="B12273" s="1" t="s">
        <v>12163</v>
      </c>
      <c r="C12273" t="str">
        <f>IFERROR(__xludf.DUMMYFUNCTION("GOOGLETRANSLATE(B12273, ""es"", ""en"")"),"Recommended perfect fit")</f>
        <v>Recommended perfect fit</v>
      </c>
    </row>
    <row r="12274">
      <c r="A12274" s="1">
        <v>5.0</v>
      </c>
      <c r="B12274" s="1" t="s">
        <v>12164</v>
      </c>
      <c r="C12274" t="str">
        <f>IFERROR(__xludf.DUMMYFUNCTION("GOOGLETRANSLATE(B12274, ""es"", ""en"")"),"Comfort Pleasantly surprised, except that you can look more or less attractive aesthetically (it is in taste but for me are very nice) what matters most is me they are very comfortable with a sole fat and soft that you can carry all day standing without b"&amp;"reaking both legs, very good value for money")</f>
        <v>Comfort Pleasantly surprised, except that you can look more or less attractive aesthetically (it is in taste but for me are very nice) what matters most is me they are very comfortable with a sole fat and soft that you can carry all day standing without breaking both legs, very good value for money</v>
      </c>
    </row>
    <row r="12275">
      <c r="A12275" s="1">
        <v>5.0</v>
      </c>
      <c r="B12275" s="1" t="s">
        <v>12165</v>
      </c>
      <c r="C12275" t="str">
        <f>IFERROR(__xludf.DUMMYFUNCTION("GOOGLETRANSLATE(B12275, ""es"", ""en"")"),"Kettle I bought recently is very comfortable and warm super fast and automatically shuts off when heated, I'm happy with this product")</f>
        <v>Kettle I bought recently is very comfortable and warm super fast and automatically shuts off when heated, I'm happy with this product</v>
      </c>
    </row>
    <row r="12276">
      <c r="A12276" s="1">
        <v>5.0</v>
      </c>
      <c r="B12276" s="1" t="s">
        <v>12166</v>
      </c>
      <c r="C12276" t="str">
        <f>IFERROR(__xludf.DUMMYFUNCTION("GOOGLETRANSLATE(B12276, ""es"", ""en"")"),"Maria Value, meets what they say ce auqnue is actually smaller, but elegant small handsome")</f>
        <v>Maria Value, meets what they say ce auqnue is actually smaller, but elegant small handsome</v>
      </c>
    </row>
    <row r="12277">
      <c r="A12277" s="1">
        <v>5.0</v>
      </c>
      <c r="B12277" s="1" t="s">
        <v>12167</v>
      </c>
      <c r="C12277" t="str">
        <f>IFERROR(__xludf.DUMMYFUNCTION("GOOGLETRANSLATE(B12277, ""es"", ""en"")"),"Very good simple, good size, good material and good material. Nothing else to add")</f>
        <v>Very good simple, good size, good material and good material. Nothing else to add</v>
      </c>
    </row>
    <row r="12278">
      <c r="A12278" s="1">
        <v>5.0</v>
      </c>
      <c r="B12278" s="1" t="s">
        <v>12168</v>
      </c>
      <c r="C12278" t="str">
        <f>IFERROR(__xludf.DUMMYFUNCTION("GOOGLETRANSLATE(B12278, ""es"", ""en"")"),"The SD works perfectly fits perfectly and smoothly adapter also comes on the console. It works very well.")</f>
        <v>The SD works perfectly fits perfectly and smoothly adapter also comes on the console. It works very well.</v>
      </c>
    </row>
    <row r="12279">
      <c r="A12279" s="1">
        <v>5.0</v>
      </c>
      <c r="B12279" s="1" t="s">
        <v>12169</v>
      </c>
      <c r="C12279" t="str">
        <f>IFERROR(__xludf.DUMMYFUNCTION("GOOGLETRANSLATE(B12279, ""es"", ""en"")"),"What he looked Beautiful and entrga to tienpo")</f>
        <v>What he looked Beautiful and entrga to tienpo</v>
      </c>
    </row>
    <row r="12280">
      <c r="A12280" s="1">
        <v>5.0</v>
      </c>
      <c r="B12280" s="1" t="s">
        <v>12170</v>
      </c>
      <c r="C12280" t="str">
        <f>IFERROR(__xludf.DUMMYFUNCTION("GOOGLETRANSLATE(B12280, ""es"", ""en"")"),"Good brand Perfect I arrive the next day")</f>
        <v>Good brand Perfect I arrive the next day</v>
      </c>
    </row>
    <row r="12281">
      <c r="A12281" s="1">
        <v>5.0</v>
      </c>
      <c r="B12281" s="1" t="s">
        <v>12171</v>
      </c>
      <c r="C12281" t="str">
        <f>IFERROR(__xludf.DUMMYFUNCTION("GOOGLETRANSLATE(B12281, ""es"", ""en"")"),"Super stiff. Good material are perfect. I ordered the reembasados ​​offer and sent me new. Followell quality.")</f>
        <v>Super stiff. Good material are perfect. I ordered the reembasados ​​offer and sent me new. Followell quality.</v>
      </c>
    </row>
    <row r="12282">
      <c r="A12282" s="1">
        <v>5.0</v>
      </c>
      <c r="B12282" s="1" t="s">
        <v>12172</v>
      </c>
      <c r="C12282" t="str">
        <f>IFERROR(__xludf.DUMMYFUNCTION("GOOGLETRANSLATE(B12282, ""es"", ""en"")"),"All right good price")</f>
        <v>All right good price</v>
      </c>
    </row>
    <row r="12283">
      <c r="A12283" s="1">
        <v>5.0</v>
      </c>
      <c r="B12283" s="1" t="s">
        <v>12173</v>
      </c>
      <c r="C12283" t="str">
        <f>IFERROR(__xludf.DUMMYFUNCTION("GOOGLETRANSLATE(B12283, ""es"", ""en"")"),"Paste everything perfect Everything")</f>
        <v>Paste everything perfect Everything</v>
      </c>
    </row>
    <row r="12284">
      <c r="A12284" s="1">
        <v>5.0</v>
      </c>
      <c r="B12284" s="1" t="s">
        <v>12174</v>
      </c>
      <c r="C12284" t="str">
        <f>IFERROR(__xludf.DUMMYFUNCTION("GOOGLETRANSLATE(B12284, ""es"", ""en"")"),"Great! It's like in the photo is great, I bought it for my daughter as a gift and has been the encantanda he does not want to remove")</f>
        <v>Great! It's like in the photo is great, I bought it for my daughter as a gift and has been the encantanda he does not want to remove</v>
      </c>
    </row>
    <row r="12285">
      <c r="A12285" s="1">
        <v>5.0</v>
      </c>
      <c r="B12285" s="1" t="s">
        <v>12175</v>
      </c>
      <c r="C12285" t="str">
        <f>IFERROR(__xludf.DUMMYFUNCTION("GOOGLETRANSLATE(B12285, ""es"", ""en"")"),"I beautiful Very good, happy with the watch.")</f>
        <v>I beautiful Very good, happy with the watch.</v>
      </c>
    </row>
    <row r="12286">
      <c r="A12286" s="1">
        <v>5.0</v>
      </c>
      <c r="B12286" s="1" t="s">
        <v>12176</v>
      </c>
      <c r="C12286" t="str">
        <f>IFERROR(__xludf.DUMMYFUNCTION("GOOGLETRANSLATE(B12286, ""es"", ""en"")"),"Very nice as we wanted")</f>
        <v>Very nice as we wanted</v>
      </c>
    </row>
    <row r="12287">
      <c r="A12287" s="1">
        <v>5.0</v>
      </c>
      <c r="B12287" s="1" t="s">
        <v>12177</v>
      </c>
      <c r="C12287" t="str">
        <f>IFERROR(__xludf.DUMMYFUNCTION("GOOGLETRANSLATE(B12287, ""es"", ""en"")"),"Good ones. Nice and cheap I love these baby bottles are simple and very practical. and it is best that they bring are excellent Teats for cereals")</f>
        <v>Good ones. Nice and cheap I love these baby bottles are simple and very practical. and it is best that they bring are excellent Teats for cereals</v>
      </c>
    </row>
    <row r="12288">
      <c r="A12288" s="1">
        <v>5.0</v>
      </c>
      <c r="B12288" s="1" t="s">
        <v>12178</v>
      </c>
      <c r="C12288" t="str">
        <f>IFERROR(__xludf.DUMMYFUNCTION("GOOGLETRANSLATE(B12288, ""es"", ""en"")"),"Case Eastpack simple but very sturdy case. Ideal for teens")</f>
        <v>Case Eastpack simple but very sturdy case. Ideal for teens</v>
      </c>
    </row>
    <row r="12289">
      <c r="A12289" s="1">
        <v>2.0</v>
      </c>
      <c r="B12289" s="1" t="s">
        <v>12179</v>
      </c>
      <c r="C12289" t="str">
        <f>IFERROR(__xludf.DUMMYFUNCTION("GOOGLETRANSLATE(B12289, ""es"", ""en"")"),"too tight too tight, not buy, they end up in a drawer. buy not worth it. Gift join two and make bracelets ...")</f>
        <v>too tight too tight, not buy, they end up in a drawer. buy not worth it. Gift join two and make bracelets ...</v>
      </c>
    </row>
    <row r="12290">
      <c r="A12290" s="1">
        <v>3.0</v>
      </c>
      <c r="B12290" s="1" t="s">
        <v>12180</v>
      </c>
      <c r="C12290" t="str">
        <f>IFERROR(__xludf.DUMMYFUNCTION("GOOGLETRANSLATE(B12290, ""es"", ""en"")"),"its function does its function does, has plenty of water, but it's all plastic, it feels very weak article.")</f>
        <v>its function does its function does, has plenty of water, but it's all plastic, it feels very weak article.</v>
      </c>
    </row>
    <row r="12291">
      <c r="A12291" s="1">
        <v>3.0</v>
      </c>
      <c r="B12291" s="1" t="s">
        <v>12181</v>
      </c>
      <c r="C12291" t="str">
        <f>IFERROR(__xludf.DUMMYFUNCTION("GOOGLETRANSLATE(B12291, ""es"", ""en"")"),"SCENT NO LIVES IN THE ENVIRONMENT ENOUGH system this new freshener is that it takes essential oils and converted to steam with aroma, in this case the aroma of cologne Nenuco and smells good, but not hard smell much in the environment is fine for second e"&amp;"xpelling steam, but after a few minutes longer smell the atmosphere of the room where it is placed, other fresheners whose smell that lingers over time. It has a very discreet white color design, I have placed in the bathroom and goes well with the furnit"&amp;"ure I have, is very discreet, where I have placed it is a small space so it gives quite smell, but I had previously in the living room, and said at the beginning, the smell does not last, are two parts, fits over the other, inside is placed the bottle con"&amp;"taining the essential oil in the bottom carries a small lever with four possible positions , that would be off, one, two and three power levels, so that the former is low, which vaporizes for 4 seconds and a pause of 17 minutes, the second vaporized for 5"&amp;" seconds and pause is 12 minutes, and the third steam release during six seconds, pausing 10 minutes for the next vaporization, the system works with three batteries of the AA type and duration of the pot core is 45 days in the first or lower position. I "&amp;"fails to convince because the scent does not last, and if we put in the highest position so that we have more continuous smell the pot runs out quickly, and turnover is expensive, personally I do not like, good smell, but can not stand in the environment.")</f>
        <v>SCENT NO LIVES IN THE ENVIRONMENT ENOUGH system this new freshener is that it takes essential oils and converted to steam with aroma, in this case the aroma of cologne Nenuco and smells good, but not hard smell much in the environment is fine for second expelling steam, but after a few minutes longer smell the atmosphere of the room where it is placed, other fresheners whose smell that lingers over time. It has a very discreet white color design, I have placed in the bathroom and goes well with the furniture I have, is very discreet, where I have placed it is a small space so it gives quite smell, but I had previously in the living room, and said at the beginning, the smell does not last, are two parts, fits over the other, inside is placed the bottle containing the essential oil in the bottom carries a small lever with four possible positions , that would be off, one, two and three power levels, so that the former is low, which vaporizes for 4 seconds and a pause of 17 minutes, the second vaporized for 5 seconds and pause is 12 minutes, and the third steam release during six seconds, pausing 10 minutes for the next vaporization, the system works with three batteries of the AA type and duration of the pot core is 45 days in the first or lower position. I fails to convince because the scent does not last, and if we put in the highest position so that we have more continuous smell the pot runs out quickly, and turnover is expensive, personally I do not like, good smell, but can not stand in the environment.</v>
      </c>
    </row>
    <row r="12292">
      <c r="A12292" s="1">
        <v>1.0</v>
      </c>
      <c r="B12292" s="1" t="s">
        <v>12182</v>
      </c>
      <c r="C12292" t="str">
        <f>IFERROR(__xludf.DUMMYFUNCTION("GOOGLETRANSLATE(B12292, ""es"", ""en"")"),"Good brand, bad product. The first not lit, the second out below, when what is wanted beat was liquid.")</f>
        <v>Good brand, bad product. The first not lit, the second out below, when what is wanted beat was liquid.</v>
      </c>
    </row>
    <row r="12293">
      <c r="A12293" s="1">
        <v>1.0</v>
      </c>
      <c r="B12293" s="1" t="s">
        <v>12183</v>
      </c>
      <c r="C12293" t="str">
        <f>IFERROR(__xludf.DUMMYFUNCTION("GOOGLETRANSLATE(B12293, ""es"", ""en"")"),"Lousy breaks, then breaks away. I'm already doing that does not remove continuous noise. And I've always treated very well")</f>
        <v>Lousy breaks, then breaks away. I'm already doing that does not remove continuous noise. And I've always treated very well</v>
      </c>
    </row>
    <row r="12294">
      <c r="A12294" s="1">
        <v>1.0</v>
      </c>
      <c r="B12294" s="1" t="s">
        <v>12184</v>
      </c>
      <c r="C12294" t="str">
        <f>IFERROR(__xludf.DUMMYFUNCTION("GOOGLETRANSLATE(B12294, ""es"", ""en"")"),"It does not work properly pendrive does not work well. The entrance to the MVL does not enter all in the slot so the phone does not detect it, you click but because the spout is made out back, so you can not fit properly. Only works entry to your computer"&amp;". and I'm not the only one that passes. I buy with another friend and it also happens the same")</f>
        <v>It does not work properly pendrive does not work well. The entrance to the MVL does not enter all in the slot so the phone does not detect it, you click but because the spout is made out back, so you can not fit properly. Only works entry to your computer. and I'm not the only one that passes. I buy with another friend and it also happens the same</v>
      </c>
    </row>
    <row r="12295">
      <c r="A12295" s="1">
        <v>4.0</v>
      </c>
      <c r="B12295" s="1" t="s">
        <v>12185</v>
      </c>
      <c r="C12295" t="str">
        <f>IFERROR(__xludf.DUMMYFUNCTION("GOOGLETRANSLATE(B12295, ""es"", ""en"")"),"Well well, although that tetina my girl chokes a little")</f>
        <v>Well well, although that tetina my girl chokes a little</v>
      </c>
    </row>
    <row r="12296">
      <c r="A12296" s="1">
        <v>4.0</v>
      </c>
      <c r="B12296" s="1" t="s">
        <v>12186</v>
      </c>
      <c r="C12296" t="str">
        <f>IFERROR(__xludf.DUMMYFUNCTION("GOOGLETRANSLATE(B12296, ""es"", ""en"")"),"Highly recommended. I liked good coffee purchase. Recommendable.")</f>
        <v>Highly recommended. I liked good coffee purchase. Recommendable.</v>
      </c>
    </row>
    <row r="12297">
      <c r="A12297" s="1">
        <v>4.0</v>
      </c>
      <c r="B12297" s="1" t="s">
        <v>12187</v>
      </c>
      <c r="C12297" t="str">
        <f>IFERROR(__xludf.DUMMYFUNCTION("GOOGLETRANSLATE(B12297, ""es"", ""en"")"),"Not for use ""by storm"". But he needed a light stand, and this is what he wanted The main axis is not intended to be used in live situations where not much CARES material. But if you treat it with care, and you need something light and not going to start"&amp;" moving a lot, it is perfect (to be so light, not recommended for heavy microphones, because it will go to the floor easily)")</f>
        <v>Not for use "by storm". But he needed a light stand, and this is what he wanted The main axis is not intended to be used in live situations where not much CARES material. But if you treat it with care, and you need something light and not going to start moving a lot, it is perfect (to be so light, not recommended for heavy microphones, because it will go to the floor easily)</v>
      </c>
    </row>
    <row r="12298">
      <c r="A12298" s="1">
        <v>4.0</v>
      </c>
      <c r="B12298" s="1" t="s">
        <v>12188</v>
      </c>
      <c r="C12298" t="str">
        <f>IFERROR(__xludf.DUMMYFUNCTION("GOOGLETRANSLATE(B12298, ""es"", ""en"")"),"Size 100C / XL is expected and small size as other valued customers, so took a larger one. Otherwise. It is a very comfortable material. I need a chest next operation.")</f>
        <v>Size 100C / XL is expected and small size as other valued customers, so took a larger one. Otherwise. It is a very comfortable material. I need a chest next operation.</v>
      </c>
    </row>
    <row r="12299">
      <c r="A12299" s="1">
        <v>4.0</v>
      </c>
      <c r="B12299" s="1" t="s">
        <v>238</v>
      </c>
      <c r="C12299" t="str">
        <f>IFERROR(__xludf.DUMMYFUNCTION("GOOGLETRANSLATE(B12299, ""es"", ""en"")"),"perfect perfect")</f>
        <v>perfect perfect</v>
      </c>
    </row>
    <row r="12300">
      <c r="A12300" s="1">
        <v>5.0</v>
      </c>
      <c r="B12300" s="1" t="s">
        <v>12189</v>
      </c>
      <c r="C12300" t="str">
        <f>IFERROR(__xludf.DUMMYFUNCTION("GOOGLETRANSLATE(B12300, ""es"", ""en"")"),"Heated water! Perfect for tea")</f>
        <v>Heated water! Perfect for tea</v>
      </c>
    </row>
    <row r="12301">
      <c r="A12301" s="1">
        <v>5.0</v>
      </c>
      <c r="B12301" s="1" t="s">
        <v>12190</v>
      </c>
      <c r="C12301" t="str">
        <f>IFERROR(__xludf.DUMMYFUNCTION("GOOGLETRANSLATE(B12301, ""es"", ""en"")"),"These good product Mayans are very cool, the area of ​​the belly sweat a lot thanks to the adapted area. The truth that are aesthetically very well and are very comfortable. I give it 5 stars because they are adjusted, I have been surprised by their good "&amp;"quality. I was not expecting this.")</f>
        <v>These good product Mayans are very cool, the area of ​​the belly sweat a lot thanks to the adapted area. The truth that are aesthetically very well and are very comfortable. I give it 5 stars because they are adjusted, I have been surprised by their good quality. I was not expecting this.</v>
      </c>
    </row>
    <row r="12302">
      <c r="A12302" s="1">
        <v>5.0</v>
      </c>
      <c r="B12302" s="1" t="s">
        <v>12191</v>
      </c>
      <c r="C12302" t="str">
        <f>IFERROR(__xludf.DUMMYFUNCTION("GOOGLETRANSLATE(B12302, ""es"", ""en"")"),"I love this product so much I love it so much")</f>
        <v>I love this product so much I love it so much</v>
      </c>
    </row>
    <row r="12303">
      <c r="A12303" s="1">
        <v>5.0</v>
      </c>
      <c r="B12303" s="1" t="s">
        <v>12192</v>
      </c>
      <c r="C12303" t="str">
        <f>IFERROR(__xludf.DUMMYFUNCTION("GOOGLETRANSLATE(B12303, ""es"", ""en"")"),"Very good shoe good quality")</f>
        <v>Very good shoe good quality</v>
      </c>
    </row>
    <row r="12304">
      <c r="A12304" s="1">
        <v>5.0</v>
      </c>
      <c r="B12304" s="1" t="s">
        <v>12193</v>
      </c>
      <c r="C12304" t="str">
        <f>IFERROR(__xludf.DUMMYFUNCTION("GOOGLETRANSLATE(B12304, ""es"", ""en"")"),"Just what I was looking for Love, it is perfect. It is very elegant and the tool fits perfectly. I have very little wrist and looks good.")</f>
        <v>Just what I was looking for Love, it is perfect. It is very elegant and the tool fits perfectly. I have very little wrist and looks good.</v>
      </c>
    </row>
    <row r="12305">
      <c r="A12305" s="1">
        <v>5.0</v>
      </c>
      <c r="B12305" s="1" t="s">
        <v>12194</v>
      </c>
      <c r="C12305" t="str">
        <f>IFERROR(__xludf.DUMMYFUNCTION("GOOGLETRANSLATE(B12305, ""es"", ""en"")"),"Worth living without pain Cash to one hundred percent, ultrafast delivery and the price as unmatched see, the truth is that when there is pain and someone or something relaxing is like to thank the day I arrived I could not believe how fast")</f>
        <v>Worth living without pain Cash to one hundred percent, ultrafast delivery and the price as unmatched see, the truth is that when there is pain and someone or something relaxing is like to thank the day I arrived I could not believe how fast</v>
      </c>
    </row>
    <row r="12306">
      <c r="A12306" s="1">
        <v>5.0</v>
      </c>
      <c r="B12306" s="1" t="s">
        <v>12195</v>
      </c>
      <c r="C12306" t="str">
        <f>IFERROR(__xludf.DUMMYFUNCTION("GOOGLETRANSLATE(B12306, ""es"", ""en"")"),"Convenience price / quality very good")</f>
        <v>Convenience price / quality very good</v>
      </c>
    </row>
    <row r="12307">
      <c r="A12307" s="1">
        <v>5.0</v>
      </c>
      <c r="B12307" s="1" t="s">
        <v>12196</v>
      </c>
      <c r="C12307" t="str">
        <f>IFERROR(__xludf.DUMMYFUNCTION("GOOGLETRANSLATE(B12307, ""es"", ""en"")"),"I love very happy with this bayeta leaves everything clean and without traces.")</f>
        <v>I love very happy with this bayeta leaves everything clean and without traces.</v>
      </c>
    </row>
    <row r="12308">
      <c r="A12308" s="1">
        <v>5.0</v>
      </c>
      <c r="B12308" s="1" t="s">
        <v>12197</v>
      </c>
      <c r="C12308" t="str">
        <f>IFERROR(__xludf.DUMMYFUNCTION("GOOGLETRANSLATE(B12308, ""es"", ""en"")"),"Recommended fulfills its functions and doing well.")</f>
        <v>Recommended fulfills its functions and doing well.</v>
      </c>
    </row>
    <row r="12309">
      <c r="A12309" s="1">
        <v>5.0</v>
      </c>
      <c r="B12309" s="1" t="s">
        <v>12198</v>
      </c>
      <c r="C12309" t="str">
        <f>IFERROR(__xludf.DUMMYFUNCTION("GOOGLETRANSLATE(B12309, ""es"", ""en"")"),"Good buy comfortable and useful is very comfortable, has a very good touch and looking tough, I'm happy with the purchase, it is very useful if you spend many hours on the computer and have sore wrists. I recommend it.")</f>
        <v>Good buy comfortable and useful is very comfortable, has a very good touch and looking tough, I'm happy with the purchase, it is very useful if you spend many hours on the computer and have sore wrists. I recommend it.</v>
      </c>
    </row>
    <row r="12310">
      <c r="A12310" s="1">
        <v>5.0</v>
      </c>
      <c r="B12310" s="1" t="s">
        <v>12199</v>
      </c>
      <c r="C12310" t="str">
        <f>IFERROR(__xludf.DUMMYFUNCTION("GOOGLETRANSLATE(B12310, ""es"", ""en"")"),"very good clock Clock impressive and robust, you get used to the fast and does not weigh as much as it seems. It gives a nice look. I recomiento")</f>
        <v>very good clock Clock impressive and robust, you get used to the fast and does not weigh as much as it seems. It gives a nice look. I recomiento</v>
      </c>
    </row>
    <row r="12311">
      <c r="A12311" s="1">
        <v>5.0</v>
      </c>
      <c r="B12311" s="1" t="s">
        <v>12200</v>
      </c>
      <c r="C12311" t="str">
        <f>IFERROR(__xludf.DUMMYFUNCTION("GOOGLETRANSLATE(B12311, ""es"", ""en"")"),"Very good buy Pack ideal. In the carry 6 I may leave one in the nursery and one at home each grandmother. They are pretty colors")</f>
        <v>Very good buy Pack ideal. In the carry 6 I may leave one in the nursery and one at home each grandmother. They are pretty colors</v>
      </c>
    </row>
    <row r="12312">
      <c r="A12312" s="1">
        <v>5.0</v>
      </c>
      <c r="B12312" s="1" t="s">
        <v>12201</v>
      </c>
      <c r="C12312" t="str">
        <f>IFERROR(__xludf.DUMMYFUNCTION("GOOGLETRANSLATE(B12312, ""es"", ""en"")"),"Good sound and large wire had about big speakers when we were algunha party and we lacked the micro for karaoke. We opted for this and the truth is that we are very satisfied. You hear perfectly and goes great volume. Bring button to turn on or off which "&amp;"is also very useful without having to plug and unplug as needed. also say that brings enough length of cable. No doubt we'll stick some great concerts.")</f>
        <v>Good sound and large wire had about big speakers when we were algunha party and we lacked the micro for karaoke. We opted for this and the truth is that we are very satisfied. You hear perfectly and goes great volume. Bring button to turn on or off which is also very useful without having to plug and unplug as needed. also say that brings enough length of cable. No doubt we'll stick some great concerts.</v>
      </c>
    </row>
    <row r="12313">
      <c r="A12313" s="1">
        <v>5.0</v>
      </c>
      <c r="B12313" s="1" t="s">
        <v>12202</v>
      </c>
      <c r="C12313" t="str">
        <f>IFERROR(__xludf.DUMMYFUNCTION("GOOGLETRANSLATE(B12313, ""es"", ""en"")"),"Reliability and power Powerful and resistant to heavy use. Buenos lace between its components.")</f>
        <v>Reliability and power Powerful and resistant to heavy use. Buenos lace between its components.</v>
      </c>
    </row>
    <row r="12314">
      <c r="A12314" s="1">
        <v>5.0</v>
      </c>
      <c r="B12314" s="1" t="s">
        <v>12203</v>
      </c>
      <c r="C12314" t="str">
        <f>IFERROR(__xludf.DUMMYFUNCTION("GOOGLETRANSLATE(B12314, ""es"", ""en"")"),"three years without problems My girl used it done until recently. It has almost 3 years. And we remove it by topic that is no longer a baby. ' hehehe. GREAT")</f>
        <v>three years without problems My girl used it done until recently. It has almost 3 years. And we remove it by topic that is no longer a baby. ' hehehe. GREAT</v>
      </c>
    </row>
    <row r="12315">
      <c r="A12315" s="1">
        <v>5.0</v>
      </c>
      <c r="B12315" s="1" t="s">
        <v>12204</v>
      </c>
      <c r="C12315" t="str">
        <f>IFERROR(__xludf.DUMMYFUNCTION("GOOGLETRANSLATE(B12315, ""es"", ""en"")"),"The WS-2000H is gorgeous orange. The pedometer is phenomenal and the display is crisper and large Casio, LED light is great, the clock, timer and alarm clock, and this is one of the most comfortable straps Casio.")</f>
        <v>The WS-2000H is gorgeous orange. The pedometer is phenomenal and the display is crisper and large Casio, LED light is great, the clock, timer and alarm clock, and this is one of the most comfortable straps Casio.</v>
      </c>
    </row>
    <row r="12316">
      <c r="A12316" s="1">
        <v>5.0</v>
      </c>
      <c r="B12316" s="1" t="s">
        <v>12205</v>
      </c>
      <c r="C12316" t="str">
        <f>IFERROR(__xludf.DUMMYFUNCTION("GOOGLETRANSLATE(B12316, ""es"", ""en"")"),"Solomon incredible high quality shoes high quality")</f>
        <v>Solomon incredible high quality shoes high quality</v>
      </c>
    </row>
    <row r="12317">
      <c r="A12317" s="1">
        <v>5.0</v>
      </c>
      <c r="B12317" s="1" t="s">
        <v>12206</v>
      </c>
      <c r="C12317" t="str">
        <f>IFERROR(__xludf.DUMMYFUNCTION("GOOGLETRANSLATE(B12317, ""es"", ""en"")"),"Comfortable running are very comfortable and quite nice. I bought my usual size, 38, and the first thought they were great because they felt very broad front, but it's just the feeling by the shape of the template. And I used to run around and have enjoye"&amp;"d it. I also took advantage of an offer, and they came out great price.")</f>
        <v>Comfortable running are very comfortable and quite nice. I bought my usual size, 38, and the first thought they were great because they felt very broad front, but it's just the feeling by the shape of the template. And I used to run around and have enjoyed it. I also took advantage of an offer, and they came out great price.</v>
      </c>
    </row>
    <row r="12318">
      <c r="A12318" s="1">
        <v>5.0</v>
      </c>
      <c r="B12318" s="1" t="s">
        <v>12207</v>
      </c>
      <c r="C12318" t="str">
        <f>IFERROR(__xludf.DUMMYFUNCTION("GOOGLETRANSLATE(B12318, ""es"", ""en"")"),"Perfect puma, pictured but I liked hand are great and very comfortable. Thank you.")</f>
        <v>Perfect puma, pictured but I liked hand are great and very comfortable. Thank you.</v>
      </c>
    </row>
    <row r="12319">
      <c r="A12319" s="1">
        <v>2.0</v>
      </c>
      <c r="B12319" s="1" t="s">
        <v>12208</v>
      </c>
      <c r="C12319" t="str">
        <f>IFERROR(__xludf.DUMMYFUNCTION("GOOGLETRANSLATE(B12319, ""es"", ""en"")"),"Nuria Silver puts it but do not think so, for the price I can say I do not ask much, but do not say that is silver")</f>
        <v>Nuria Silver puts it but do not think so, for the price I can say I do not ask much, but do not say that is silver</v>
      </c>
    </row>
    <row r="12320">
      <c r="A12320" s="1">
        <v>3.0</v>
      </c>
      <c r="B12320" s="1" t="s">
        <v>12209</v>
      </c>
      <c r="C12320" t="str">
        <f>IFERROR(__xludf.DUMMYFUNCTION("GOOGLETRANSLATE(B12320, ""es"", ""en"")"),"Little Good design, comfortable fabric with good breathability but very small sizing")</f>
        <v>Little Good design, comfortable fabric with good breathability but very small sizing</v>
      </c>
    </row>
    <row r="12321">
      <c r="A12321" s="1">
        <v>3.0</v>
      </c>
      <c r="B12321" s="1" t="s">
        <v>12210</v>
      </c>
      <c r="C12321" t="str">
        <f>IFERROR(__xludf.DUMMYFUNCTION("GOOGLETRANSLATE(B12321, ""es"", ""en"")"),"The announcement puts watch is 48mm in diameter cash and is not, is 40mm scarce.")</f>
        <v>The announcement puts watch is 48mm in diameter cash and is not, is 40mm scarce.</v>
      </c>
    </row>
    <row r="12322">
      <c r="A12322" s="1">
        <v>1.0</v>
      </c>
      <c r="B12322" s="1" t="s">
        <v>12211</v>
      </c>
      <c r="C12322" t="str">
        <f>IFERROR(__xludf.DUMMYFUNCTION("GOOGLETRANSLATE(B12322, ""es"", ""en"")"),"DEFECTIVE PRODUCT AND CLOSURE BELT, BOTH. Missing links that can be removed, disconnect WITH A DRILL, MAL. CLOSING THE DEFECTIVE AND CLOSE TO THE OPENING IS IMPOSSIBLE, HE HAD TO ME TO BE ABLE unmount ..... REMOVING THE WORSE.")</f>
        <v>DEFECTIVE PRODUCT AND CLOSURE BELT, BOTH. Missing links that can be removed, disconnect WITH A DRILL, MAL. CLOSING THE DEFECTIVE AND CLOSE TO THE OPENING IS IMPOSSIBLE, HE HAD TO ME TO BE ABLE unmount ..... REMOVING THE WORSE.</v>
      </c>
    </row>
    <row r="12323">
      <c r="A12323" s="1">
        <v>1.0</v>
      </c>
      <c r="B12323" s="1" t="s">
        <v>12212</v>
      </c>
      <c r="C12323" t="str">
        <f>IFERROR(__xludf.DUMMYFUNCTION("GOOGLETRANSLATE(B12323, ""es"", ""en"")"),"Desepsionada Transparentes")</f>
        <v>Desepsionada Transparentes</v>
      </c>
    </row>
    <row r="12324">
      <c r="A12324" s="1">
        <v>4.0</v>
      </c>
      <c r="B12324" s="1" t="s">
        <v>12213</v>
      </c>
      <c r="C12324" t="str">
        <f>IFERROR(__xludf.DUMMYFUNCTION("GOOGLETRANSLATE(B12324, ""es"", ""en"")"),"As one is expected as one would expect. To prepare the tea. Very good price. The only negative I see the rope holding the ball is a little short, but I think it's enough for use.")</f>
        <v>As one is expected as one would expect. To prepare the tea. Very good price. The only negative I see the rope holding the ball is a little short, but I think it's enough for use.</v>
      </c>
    </row>
    <row r="12325">
      <c r="A12325" s="1">
        <v>4.0</v>
      </c>
      <c r="B12325" s="1" t="s">
        <v>12214</v>
      </c>
      <c r="C12325" t="str">
        <f>IFERROR(__xludf.DUMMYFUNCTION("GOOGLETRANSLATE(B12325, ""es"", ""en"")"),"price / quality ratio price / quality is excellent. The interior can be configured completely. It is very comfortable and the method of opening the zipper without picking up the backpack on October 1.")</f>
        <v>price / quality ratio price / quality is excellent. The interior can be configured completely. It is very comfortable and the method of opening the zipper without picking up the backpack on October 1.</v>
      </c>
    </row>
    <row r="12326">
      <c r="A12326" s="1">
        <v>4.0</v>
      </c>
      <c r="B12326" s="1" t="s">
        <v>12215</v>
      </c>
      <c r="C12326" t="str">
        <f>IFERROR(__xludf.DUMMYFUNCTION("GOOGLETRANSLATE(B12326, ""es"", ""en"")"),"Good buy comfortable and calentitas. They have a rather wide width. My wife is very happy with the purchase. The brand does not disappoint")</f>
        <v>Good buy comfortable and calentitas. They have a rather wide width. My wife is very happy with the purchase. The brand does not disappoint</v>
      </c>
    </row>
    <row r="12327">
      <c r="A12327" s="1">
        <v>4.0</v>
      </c>
      <c r="B12327" s="1" t="s">
        <v>12216</v>
      </c>
      <c r="C12327" t="str">
        <f>IFERROR(__xludf.DUMMYFUNCTION("GOOGLETRANSLATE(B12327, ""es"", ""en"")"),"A fantastic toy is true he had some misgivings when I bought the ""faint sound vibration"" I read in other reviews ... at the end I bought it and yes it's true that you hear if you are in a place without external noise Normal conversation tone ... but do "&amp;"not hear anything at parties or with street noise. The material is super soft and very easy to clean. Remote control works very well and gives a lot of play in partner. I recommend it!")</f>
        <v>A fantastic toy is true he had some misgivings when I bought the "faint sound vibration" I read in other reviews ... at the end I bought it and yes it's true that you hear if you are in a place without external noise Normal conversation tone ... but do not hear anything at parties or with street noise. The material is super soft and very easy to clean. Remote control works very well and gives a lot of play in partner. I recommend it!</v>
      </c>
    </row>
    <row r="12328">
      <c r="A12328" s="1">
        <v>5.0</v>
      </c>
      <c r="B12328" s="1" t="s">
        <v>12217</v>
      </c>
      <c r="C12328" t="str">
        <f>IFERROR(__xludf.DUMMYFUNCTION("GOOGLETRANSLATE(B12328, ""es"", ""en"")"),"Calentitas are very comfortable and very comfortable and soft slippers. They give a nice feeling and a very great comfort. You feel fine for their nonskid and warmth you get to the wear them. I have chosen the design is very modern and very handsome. A wa"&amp;"lking with these shoes feel in glory and have no desire to take them off at all. I definitely think it was a good buy. My particular model, you can use the cane rise or fall according to the tastes of each.")</f>
        <v>Calentitas are very comfortable and very comfortable and soft slippers. They give a nice feeling and a very great comfort. You feel fine for their nonskid and warmth you get to the wear them. I have chosen the design is very modern and very handsome. A walking with these shoes feel in glory and have no desire to take them off at all. I definitely think it was a good buy. My particular model, you can use the cane rise or fall according to the tastes of each.</v>
      </c>
    </row>
    <row r="12329">
      <c r="A12329" s="1">
        <v>5.0</v>
      </c>
      <c r="B12329" s="1" t="s">
        <v>12218</v>
      </c>
      <c r="C12329" t="str">
        <f>IFERROR(__xludf.DUMMYFUNCTION("GOOGLETRANSLATE(B12329, ""es"", ""en"")"),"Perfect perfect for the utility that you give")</f>
        <v>Perfect perfect for the utility that you give</v>
      </c>
    </row>
    <row r="12330">
      <c r="A12330" s="1">
        <v>5.0</v>
      </c>
      <c r="B12330" s="1" t="s">
        <v>12219</v>
      </c>
      <c r="C12330" t="str">
        <f>IFERROR(__xludf.DUMMYFUNCTION("GOOGLETRANSLATE(B12330, ""es"", ""en"")"),"Excellent price-product ratio Good product for the price-quality ratio, in my home almost no blenders are used so hopefully last many years")</f>
        <v>Excellent price-product ratio Good product for the price-quality ratio, in my home almost no blenders are used so hopefully last many years</v>
      </c>
    </row>
    <row r="12331">
      <c r="A12331" s="1">
        <v>5.0</v>
      </c>
      <c r="B12331" s="1" t="s">
        <v>12220</v>
      </c>
      <c r="C12331" t="str">
        <f>IFERROR(__xludf.DUMMYFUNCTION("GOOGLETRANSLATE(B12331, ""es"", ""en"")"),"Quality original Medela Medela Botes, easy to clean, recommended to accompany breast pump.")</f>
        <v>Quality original Medela Medela Botes, easy to clean, recommended to accompany breast pump.</v>
      </c>
    </row>
    <row r="12332">
      <c r="A12332" s="1">
        <v>5.0</v>
      </c>
      <c r="B12332" s="1" t="s">
        <v>12221</v>
      </c>
      <c r="C12332" t="str">
        <f>IFERROR(__xludf.DUMMYFUNCTION("GOOGLETRANSLATE(B12332, ""es"", ""en"")"),"Okay well although I changed one size smaller. I have more items of this brand and recommend.")</f>
        <v>Okay well although I changed one size smaller. I have more items of this brand and recommend.</v>
      </c>
    </row>
    <row r="12333">
      <c r="A12333" s="1">
        <v>5.0</v>
      </c>
      <c r="B12333" s="1" t="s">
        <v>12222</v>
      </c>
      <c r="C12333" t="str">
        <f>IFERROR(__xludf.DUMMYFUNCTION("GOOGLETRANSLATE(B12333, ""es"", ""en"")"),"Quality, price and quality very cool Neceser, Eastpack does. Will last a long time, fully it supports the washer and the tops of the seams are strong as to the zipper and detail. I recomendadísimo! And for 8 euros more")</f>
        <v>Quality, price and quality very cool Neceser, Eastpack does. Will last a long time, fully it supports the washer and the tops of the seams are strong as to the zipper and detail. I recomendadísimo! And for 8 euros more</v>
      </c>
    </row>
    <row r="12334">
      <c r="A12334" s="1">
        <v>5.0</v>
      </c>
      <c r="B12334" s="1" t="s">
        <v>12223</v>
      </c>
      <c r="C12334" t="str">
        <f>IFERROR(__xludf.DUMMYFUNCTION("GOOGLETRANSLATE(B12334, ""es"", ""en"")"),"Excellent product style. Fully satisfied in all areas.")</f>
        <v>Excellent product style. Fully satisfied in all areas.</v>
      </c>
    </row>
    <row r="12335">
      <c r="A12335" s="1">
        <v>5.0</v>
      </c>
      <c r="B12335" s="1" t="s">
        <v>12224</v>
      </c>
      <c r="C12335" t="str">
        <f>IFERROR(__xludf.DUMMYFUNCTION("GOOGLETRANSLATE(B12335, ""es"", ""en"")"),"Fantastico watch Fantastic watch, as always casio not fail. Good pretty and cheap. It is great for everyday use. I recommend 100%")</f>
        <v>Fantastico watch Fantastic watch, as always casio not fail. Good pretty and cheap. It is great for everyday use. I recommend 100%</v>
      </c>
    </row>
    <row r="12336">
      <c r="A12336" s="1">
        <v>5.0</v>
      </c>
      <c r="B12336" s="1" t="s">
        <v>12225</v>
      </c>
      <c r="C12336" t="str">
        <f>IFERROR(__xludf.DUMMYFUNCTION("GOOGLETRANSLATE(B12336, ""es"", ""en"")"),"Very good finish The truth is that this very cool, my daughter loved")</f>
        <v>Very good finish The truth is that this very cool, my daughter loved</v>
      </c>
    </row>
    <row r="12337">
      <c r="A12337" s="1">
        <v>5.0</v>
      </c>
      <c r="B12337" s="1" t="s">
        <v>12226</v>
      </c>
      <c r="C12337" t="str">
        <f>IFERROR(__xludf.DUMMYFUNCTION("GOOGLETRANSLATE(B12337, ""es"", ""en"")"),"Useful Good quality")</f>
        <v>Useful Good quality</v>
      </c>
    </row>
    <row r="12338">
      <c r="A12338" s="1">
        <v>5.0</v>
      </c>
      <c r="B12338" s="1" t="s">
        <v>12227</v>
      </c>
      <c r="C12338" t="str">
        <f>IFERROR(__xludf.DUMMYFUNCTION("GOOGLETRANSLATE(B12338, ""es"", ""en"")"),"Comfort Shoes very comfortable and current")</f>
        <v>Comfort Shoes very comfortable and current</v>
      </c>
    </row>
    <row r="12339">
      <c r="A12339" s="1">
        <v>5.0</v>
      </c>
      <c r="B12339" s="1" t="s">
        <v>12228</v>
      </c>
      <c r="C12339" t="str">
        <f>IFERROR(__xludf.DUMMYFUNCTION("GOOGLETRANSLATE(B12339, ""es"", ""en"")"),"FANTASTICA Well this blanket grandparents came to them divine. Comfortable. Easy to use. It adapts well to the colchon")</f>
        <v>FANTASTICA Well this blanket grandparents came to them divine. Comfortable. Easy to use. It adapts well to the colchon</v>
      </c>
    </row>
    <row r="12340">
      <c r="A12340" s="1">
        <v>5.0</v>
      </c>
      <c r="B12340" s="1" t="s">
        <v>12229</v>
      </c>
      <c r="C12340" t="str">
        <f>IFERROR(__xludf.DUMMYFUNCTION("GOOGLETRANSLATE(B12340, ""es"", ""en"")"),". Is what esperava. very good")</f>
        <v>. Is what esperava. very good</v>
      </c>
    </row>
    <row r="12341">
      <c r="A12341" s="1">
        <v>5.0</v>
      </c>
      <c r="B12341" s="1" t="s">
        <v>12230</v>
      </c>
      <c r="C12341" t="str">
        <f>IFERROR(__xludf.DUMMYFUNCTION("GOOGLETRANSLATE(B12341, ""es"", ""en"")"),"Good fabric and finish. The tissue is delicate and absorbent to the same time. Elegant finish. Cloths highly recommended.")</f>
        <v>Good fabric and finish. The tissue is delicate and absorbent to the same time. Elegant finish. Cloths highly recommended.</v>
      </c>
    </row>
    <row r="12342">
      <c r="A12342" s="1">
        <v>5.0</v>
      </c>
      <c r="B12342" s="1" t="s">
        <v>12231</v>
      </c>
      <c r="C12342" t="str">
        <f>IFERROR(__xludf.DUMMYFUNCTION("GOOGLETRANSLATE(B12342, ""es"", ""en"")"),"The truth that good shoe not expect so good, for the price they are great, fat and very comfortable sole")</f>
        <v>The truth that good shoe not expect so good, for the price they are great, fat and very comfortable sole</v>
      </c>
    </row>
    <row r="12343">
      <c r="A12343" s="1">
        <v>5.0</v>
      </c>
      <c r="B12343" s="1" t="s">
        <v>12232</v>
      </c>
      <c r="C12343" t="str">
        <f>IFERROR(__xludf.DUMMYFUNCTION("GOOGLETRANSLATE(B12343, ""es"", ""en"")"),"Perfect Works great")</f>
        <v>Perfect Works great</v>
      </c>
    </row>
    <row r="12344">
      <c r="A12344" s="1">
        <v>5.0</v>
      </c>
      <c r="B12344" s="1" t="s">
        <v>12233</v>
      </c>
      <c r="C12344" t="str">
        <f>IFERROR(__xludf.DUMMYFUNCTION("GOOGLETRANSLATE(B12344, ""es"", ""en"")"),"Headphones comfortable and practical economic and at a good price. They are original and come neatly packaged. For the price they are great.")</f>
        <v>Headphones comfortable and practical economic and at a good price. They are original and come neatly packaged. For the price they are great.</v>
      </c>
    </row>
    <row r="12345">
      <c r="A12345" s="1">
        <v>5.0</v>
      </c>
      <c r="B12345" s="1" t="s">
        <v>12234</v>
      </c>
      <c r="C12345" t="str">
        <f>IFERROR(__xludf.DUMMYFUNCTION("GOOGLETRANSLATE(B12345, ""es"", ""en"")"),"DESIGN YOUR PERFECT IS IDEAL FOR ACCESSION under tables and makes it easy and safe wiring.")</f>
        <v>DESIGN YOUR PERFECT IS IDEAL FOR ACCESSION under tables and makes it easy and safe wiring.</v>
      </c>
    </row>
    <row r="12346">
      <c r="A12346" s="1">
        <v>5.0</v>
      </c>
      <c r="B12346" s="1" t="s">
        <v>12235</v>
      </c>
      <c r="C12346" t="str">
        <f>IFERROR(__xludf.DUMMYFUNCTION("GOOGLETRANSLATE(B12346, ""es"", ""en"")"),"I loved Beautiful !!")</f>
        <v>I loved Beautiful !!</v>
      </c>
    </row>
    <row r="12347">
      <c r="A12347" s="1">
        <v>2.0</v>
      </c>
      <c r="B12347" s="1" t="s">
        <v>12236</v>
      </c>
      <c r="C12347" t="str">
        <f>IFERROR(__xludf.DUMMYFUNCTION("GOOGLETRANSLATE(B12347, ""es"", ""en"")"),"Memory is somewhat slow large capacity and is very fast when you handle large files. When connecting to the computer takes too long until the computer sees it, and when you give the order to disconnect is also very slow disconnection process. I'm not too "&amp;"happy to be Kinsgton.")</f>
        <v>Memory is somewhat slow large capacity and is very fast when you handle large files. When connecting to the computer takes too long until the computer sees it, and when you give the order to disconnect is also very slow disconnection process. I'm not too happy to be Kinsgton.</v>
      </c>
    </row>
    <row r="12348">
      <c r="A12348" s="1">
        <v>3.0</v>
      </c>
      <c r="B12348" s="1" t="s">
        <v>12237</v>
      </c>
      <c r="C12348" t="str">
        <f>IFERROR(__xludf.DUMMYFUNCTION("GOOGLETRANSLATE(B12348, ""es"", ""en"")"),"Touchy The first q sent me did not work. Surely internal resistance would be broken because they bend. The second is ""mime"" a lot. Q Do not last.")</f>
        <v>Touchy The first q sent me did not work. Surely internal resistance would be broken because they bend. The second is "mime" a lot. Q Do not last.</v>
      </c>
    </row>
    <row r="12349">
      <c r="A12349" s="1">
        <v>3.0</v>
      </c>
      <c r="B12349" s="1" t="s">
        <v>12238</v>
      </c>
      <c r="C12349" t="str">
        <f>IFERROR(__xludf.DUMMYFUNCTION("GOOGLETRANSLATE(B12349, ""es"", ""en"")"),"Good correct service. Very good service from Amazon. product as expected but too fragile. Possible structural weaknesses and belt too delicate")</f>
        <v>Good correct service. Very good service from Amazon. product as expected but too fragile. Possible structural weaknesses and belt too delicate</v>
      </c>
    </row>
    <row r="12350">
      <c r="A12350" s="1">
        <v>1.0</v>
      </c>
      <c r="B12350" s="1" t="s">
        <v>12239</v>
      </c>
      <c r="C12350" t="str">
        <f>IFERROR(__xludf.DUMMYFUNCTION("GOOGLETRANSLATE(B12350, ""es"", ""en"")"),"No esperba are very small")</f>
        <v>No esperba are very small</v>
      </c>
    </row>
    <row r="12351">
      <c r="A12351" s="1">
        <v>1.0</v>
      </c>
      <c r="B12351" s="1" t="s">
        <v>12240</v>
      </c>
      <c r="C12351" t="str">
        <f>IFERROR(__xludf.DUMMYFUNCTION("GOOGLETRANSLATE(B12351, ""es"", ""en"")"),"My husband small size have not liked so he apretan, despite using a size 42 and the model indicate that gives to 46.")</f>
        <v>My husband small size have not liked so he apretan, despite using a size 42 and the model indicate that gives to 46.</v>
      </c>
    </row>
    <row r="12352">
      <c r="A12352" s="1">
        <v>4.0</v>
      </c>
      <c r="B12352" s="1" t="s">
        <v>12241</v>
      </c>
      <c r="C12352" t="str">
        <f>IFERROR(__xludf.DUMMYFUNCTION("GOOGLETRANSLATE(B12352, ""es"", ""en"")"),"as expected was a gift and I was lucky. My daughter would have loved.")</f>
        <v>as expected was a gift and I was lucky. My daughter would have loved.</v>
      </c>
    </row>
    <row r="12353">
      <c r="A12353" s="1">
        <v>4.0</v>
      </c>
      <c r="B12353" s="1" t="s">
        <v>12242</v>
      </c>
      <c r="C12353" t="str">
        <f>IFERROR(__xludf.DUMMYFUNCTION("GOOGLETRANSLATE(B12353, ""es"", ""en"")"),"Good quality for the price you have, well not get behind or ahead, recommended.")</f>
        <v>Good quality for the price you have, well not get behind or ahead, recommended.</v>
      </c>
    </row>
    <row r="12354">
      <c r="A12354" s="1">
        <v>4.0</v>
      </c>
      <c r="B12354" s="1" t="s">
        <v>12243</v>
      </c>
      <c r="C12354" t="str">
        <f>IFERROR(__xludf.DUMMYFUNCTION("GOOGLETRANSLATE(B12354, ""es"", ""en"")"),"Good quality S .pedí perfect size and very well.The fabric is a bit bright I personally like most good quality mate.muy not show through")</f>
        <v>Good quality S .pedí perfect size and very well.The fabric is a bit bright I personally like most good quality mate.muy not show through</v>
      </c>
    </row>
    <row r="12355">
      <c r="A12355" s="1">
        <v>4.0</v>
      </c>
      <c r="B12355" s="1" t="s">
        <v>12244</v>
      </c>
      <c r="C12355" t="str">
        <f>IFERROR(__xludf.DUMMYFUNCTION("GOOGLETRANSLATE(B12355, ""es"", ""en"")"),"Very fast and decorative chose this model primarily a matter of design, it is well in sight in the kitchen unlike most modern design. The only drawback is that not having a plug for the hole where the water leaves the dust accumulate and usually have to p"&amp;"our some water before using it for cleaning.")</f>
        <v>Very fast and decorative chose this model primarily a matter of design, it is well in sight in the kitchen unlike most modern design. The only drawback is that not having a plug for the hole where the water leaves the dust accumulate and usually have to pour some water before using it for cleaning.</v>
      </c>
    </row>
    <row r="12356">
      <c r="A12356" s="1">
        <v>4.0</v>
      </c>
      <c r="B12356" s="1" t="s">
        <v>12245</v>
      </c>
      <c r="C12356" t="str">
        <f>IFERROR(__xludf.DUMMYFUNCTION("GOOGLETRANSLATE(B12356, ""es"", ""en"")"),"Utility are interesting to do yoga not patinas.")</f>
        <v>Utility are interesting to do yoga not patinas.</v>
      </c>
    </row>
    <row r="12357">
      <c r="A12357" s="1">
        <v>5.0</v>
      </c>
      <c r="B12357" s="1" t="s">
        <v>12246</v>
      </c>
      <c r="C12357" t="str">
        <f>IFERROR(__xludf.DUMMYFUNCTION("GOOGLETRANSLATE(B12357, ""es"", ""en"")"),"Very comfortable and beautiful perfect Sizing, I 37y I ordered a half size too, for the comments, but I look good these and other that I have bought just my size, comfortable, looks like I'm on a cloud, I do not hurt either foot")</f>
        <v>Very comfortable and beautiful perfect Sizing, I 37y I ordered a half size too, for the comments, but I look good these and other that I have bought just my size, comfortable, looks like I'm on a cloud, I do not hurt either foot</v>
      </c>
    </row>
    <row r="12358">
      <c r="A12358" s="1">
        <v>5.0</v>
      </c>
      <c r="B12358" s="1" t="s">
        <v>12247</v>
      </c>
      <c r="C12358" t="str">
        <f>IFERROR(__xludf.DUMMYFUNCTION("GOOGLETRANSLATE(B12358, ""es"", ""en"")"),"The speed of arrival of the product Excellent and good price")</f>
        <v>The speed of arrival of the product Excellent and good price</v>
      </c>
    </row>
    <row r="12359">
      <c r="A12359" s="1">
        <v>5.0</v>
      </c>
      <c r="B12359" s="1" t="s">
        <v>12248</v>
      </c>
      <c r="C12359" t="str">
        <f>IFERROR(__xludf.DUMMYFUNCTION("GOOGLETRANSLATE(B12359, ""es"", ""en"")"),"Very nice Beautiful, elegant and just what I wanted to give away. Delighted with my purchase and happy child with a gift.")</f>
        <v>Very nice Beautiful, elegant and just what I wanted to give away. Delighted with my purchase and happy child with a gift.</v>
      </c>
    </row>
    <row r="12360">
      <c r="A12360" s="1">
        <v>5.0</v>
      </c>
      <c r="B12360" s="1" t="s">
        <v>12249</v>
      </c>
      <c r="C12360" t="str">
        <f>IFERROR(__xludf.DUMMYFUNCTION("GOOGLETRANSLATE(B12360, ""es"", ""en"")"),"Impeccable. Light weight and design, reliable, reasonably priced, environmentally friendly. In the time that we have, perfect performance. Very satisfied with the purchase. Shipping, packaging, etc. Impeccable.")</f>
        <v>Impeccable. Light weight and design, reliable, reasonably priced, environmentally friendly. In the time that we have, perfect performance. Very satisfied with the purchase. Shipping, packaging, etc. Impeccable.</v>
      </c>
    </row>
    <row r="12361">
      <c r="A12361" s="1">
        <v>5.0</v>
      </c>
      <c r="B12361" s="1" t="s">
        <v>12250</v>
      </c>
      <c r="C12361" t="str">
        <f>IFERROR(__xludf.DUMMYFUNCTION("GOOGLETRANSLATE(B12361, ""es"", ""en"")"),"Well made and sturdy I love everything about the bracelet. Very well done. It looks tough.")</f>
        <v>Well made and sturdy I love everything about the bracelet. Very well done. It looks tough.</v>
      </c>
    </row>
    <row r="12362">
      <c r="A12362" s="1">
        <v>5.0</v>
      </c>
      <c r="B12362" s="1" t="s">
        <v>12251</v>
      </c>
      <c r="C12362" t="str">
        <f>IFERROR(__xludf.DUMMYFUNCTION("GOOGLETRANSLATE(B12362, ""es"", ""en"")"),"We Comodisimos. They are great. The I'll buy whenever you need them.")</f>
        <v>We Comodisimos. They are great. The I'll buy whenever you need them.</v>
      </c>
    </row>
    <row r="12363">
      <c r="A12363" s="1">
        <v>5.0</v>
      </c>
      <c r="B12363" s="1" t="s">
        <v>12252</v>
      </c>
      <c r="C12363" t="str">
        <f>IFERROR(__xludf.DUMMYFUNCTION("GOOGLETRANSLATE(B12363, ""es"", ""en"")"),"ideal for everyday very nice, comfortable and light for sports and walking. They are very comfortable and soft, perfect for a long day standing. I recommend it. The perfect size, would buy again without hesitation.")</f>
        <v>ideal for everyday very nice, comfortable and light for sports and walking. They are very comfortable and soft, perfect for a long day standing. I recommend it. The perfect size, would buy again without hesitation.</v>
      </c>
    </row>
    <row r="12364">
      <c r="A12364" s="1">
        <v>5.0</v>
      </c>
      <c r="B12364" s="1" t="s">
        <v>12253</v>
      </c>
      <c r="C12364" t="str">
        <f>IFERROR(__xludf.DUMMYFUNCTION("GOOGLETRANSLATE(B12364, ""es"", ""en"")"),"All good works, Jajaja hope it lasts many years but now works, PS4 goes scandal")</f>
        <v>All good works, Jajaja hope it lasts many years but now works, PS4 goes scandal</v>
      </c>
    </row>
    <row r="12365">
      <c r="A12365" s="1">
        <v>5.0</v>
      </c>
      <c r="B12365" s="1" t="s">
        <v>12254</v>
      </c>
      <c r="C12365" t="str">
        <f>IFERROR(__xludf.DUMMYFUNCTION("GOOGLETRANSLATE(B12365, ""es"", ""en"")"),"It fits the description good cotton. There has been no problem with carvings.")</f>
        <v>It fits the description good cotton. There has been no problem with carvings.</v>
      </c>
    </row>
    <row r="12366">
      <c r="A12366" s="1">
        <v>5.0</v>
      </c>
      <c r="B12366" s="1" t="s">
        <v>12255</v>
      </c>
      <c r="C12366" t="str">
        <f>IFERROR(__xludf.DUMMYFUNCTION("GOOGLETRANSLATE(B12366, ""es"", ""en"")"),"Very good scissors. He expected to be good scissors, but have exceeded that expectation. They are dangerous because they are pointed and very sharp, but have proved to be very good.")</f>
        <v>Very good scissors. He expected to be good scissors, but have exceeded that expectation. They are dangerous because they are pointed and very sharp, but have proved to be very good.</v>
      </c>
    </row>
    <row r="12367">
      <c r="A12367" s="1">
        <v>5.0</v>
      </c>
      <c r="B12367" s="1" t="s">
        <v>12256</v>
      </c>
      <c r="C12367" t="str">
        <f>IFERROR(__xludf.DUMMYFUNCTION("GOOGLETRANSLATE(B12367, ""es"", ""en"")"),"360 biberon avent I love the bottle. All air stays inside ... is very good for colicos")</f>
        <v>360 biberon avent I love the bottle. All air stays inside ... is very good for colicos</v>
      </c>
    </row>
    <row r="12368">
      <c r="A12368" s="1">
        <v>5.0</v>
      </c>
      <c r="B12368" s="1" t="s">
        <v>12257</v>
      </c>
      <c r="C12368" t="str">
        <f>IFERROR(__xludf.DUMMYFUNCTION("GOOGLETRANSLATE(B12368, ""es"", ""en"")"),"Copper wire quality price adequado The product meets 100% the published specifications. It really was a little receoso after alguns ler comments. Diameter section are different things and the section without the isolamento copper is so ordered. What is ap"&amp;"proximate and Total comprimento same as the photo, it is a pair of speaker cable with two conductors. The red driver is clearly identified with a long line. Would buy again if you need it again.")</f>
        <v>Copper wire quality price adequado The product meets 100% the published specifications. It really was a little receoso after alguns ler comments. Diameter section are different things and the section without the isolamento copper is so ordered. What is approximate and Total comprimento same as the photo, it is a pair of speaker cable with two conductors. The red driver is clearly identified with a long line. Would buy again if you need it again.</v>
      </c>
    </row>
    <row r="12369">
      <c r="A12369" s="1">
        <v>5.0</v>
      </c>
      <c r="B12369" s="1" t="s">
        <v>12258</v>
      </c>
      <c r="C12369" t="str">
        <f>IFERROR(__xludf.DUMMYFUNCTION("GOOGLETRANSLATE(B12369, ""es"", ""en"")"),"The simplicity I bought for my father and therefore had to be easy to use and it is. The application is very easy to install and operate. You can program it for about 14 sports including swimming, schedule time for pulsations, ... otherwise as others pedo"&amp;"meters. The battery lasts just over a week. My father is happy with the gift.")</f>
        <v>The simplicity I bought for my father and therefore had to be easy to use and it is. The application is very easy to install and operate. You can program it for about 14 sports including swimming, schedule time for pulsations, ... otherwise as others pedometers. The battery lasts just over a week. My father is happy with the gift.</v>
      </c>
    </row>
    <row r="12370">
      <c r="A12370" s="1">
        <v>5.0</v>
      </c>
      <c r="B12370" s="1" t="s">
        <v>12259</v>
      </c>
      <c r="C12370" t="str">
        <f>IFERROR(__xludf.DUMMYFUNCTION("GOOGLETRANSLATE(B12370, ""es"", ""en"")"),"Highly recommended in principle have been using what is great. There is a good quality price relation  . The only comment to say something but like everything is for tastes that might be a bit high top but great nothing else works, crushes the butt past p"&amp;"urees and are all very finite. Highly recommended if you do not need accessories more than just the mixer and glass. All very well packed.")</f>
        <v>Highly recommended in principle have been using what is great. There is a good quality price relation  . The only comment to say something but like everything is for tastes that might be a bit high top but great nothing else works, crushes the butt past purees and are all very finite. Highly recommended if you do not need accessories more than just the mixer and glass. All very well packed.</v>
      </c>
    </row>
    <row r="12371">
      <c r="A12371" s="1">
        <v>5.0</v>
      </c>
      <c r="B12371" s="1" t="s">
        <v>12260</v>
      </c>
      <c r="C12371" t="str">
        <f>IFERROR(__xludf.DUMMYFUNCTION("GOOGLETRANSLATE(B12371, ""es"", ""en"")"),"Good buy I liked because they are very comfortable, transpire well and are of good quality.")</f>
        <v>Good buy I liked because they are very comfortable, transpire well and are of good quality.</v>
      </c>
    </row>
    <row r="12372">
      <c r="A12372" s="1">
        <v>5.0</v>
      </c>
      <c r="B12372" s="1" t="s">
        <v>12261</v>
      </c>
      <c r="C12372" t="str">
        <f>IFERROR(__xludf.DUMMYFUNCTION("GOOGLETRANSLATE(B12372, ""es"", ""en"")"),"Very satisfied very satisfied. It is quite firm and solid. Although quite heavy, easy to fold and unfold. The value is unbeatable.")</f>
        <v>Very satisfied very satisfied. It is quite firm and solid. Although quite heavy, easy to fold and unfold. The value is unbeatable.</v>
      </c>
    </row>
    <row r="12373">
      <c r="A12373" s="1">
        <v>5.0</v>
      </c>
      <c r="B12373" s="1" t="s">
        <v>12262</v>
      </c>
      <c r="C12373" t="str">
        <f>IFERROR(__xludf.DUMMYFUNCTION("GOOGLETRANSLATE(B12373, ""es"", ""en"")"),"RELATIONSHIP unbeatable value for money'm very happy with the mat. It grips well at the table and part of the wrist support pad is very comfortable and I loved it. For the price it is you can not ask for more.")</f>
        <v>RELATIONSHIP unbeatable value for money'm very happy with the mat. It grips well at the table and part of the wrist support pad is very comfortable and I loved it. For the price it is you can not ask for more.</v>
      </c>
    </row>
    <row r="12374">
      <c r="A12374" s="1">
        <v>5.0</v>
      </c>
      <c r="B12374" s="1" t="s">
        <v>12263</v>
      </c>
      <c r="C12374" t="str">
        <f>IFERROR(__xludf.DUMMYFUNCTION("GOOGLETRANSLATE(B12374, ""es"", ""en"")"),"Salut complements and wellness I bought massage neck and shoulder, but I've found that serves the whole body. Neck is great, relieves pain and produces a feeling of relaxation. When the order arrived had a knee problem and was very helpful to relax all th"&amp;"e muscles of the leg .It appreciates the infrared heat function you can use massage or independently for different parts of the body warm.")</f>
        <v>Salut complements and wellness I bought massage neck and shoulder, but I've found that serves the whole body. Neck is great, relieves pain and produces a feeling of relaxation. When the order arrived had a knee problem and was very helpful to relax all the muscles of the leg .It appreciates the infrared heat function you can use massage or independently for different parts of the body warm.</v>
      </c>
    </row>
    <row r="12375">
      <c r="A12375" s="1">
        <v>2.0</v>
      </c>
      <c r="B12375" s="1" t="s">
        <v>12264</v>
      </c>
      <c r="C12375" t="str">
        <f>IFERROR(__xludf.DUMMYFUNCTION("GOOGLETRANSLATE(B12375, ""es"", ""en"")"),"Malo Low quality")</f>
        <v>Malo Low quality</v>
      </c>
    </row>
    <row r="12376">
      <c r="A12376" s="1">
        <v>3.0</v>
      </c>
      <c r="B12376" s="1" t="s">
        <v>12265</v>
      </c>
      <c r="C12376" t="str">
        <f>IFERROR(__xludf.DUMMYFUNCTION("GOOGLETRANSLATE(B12376, ""es"", ""en"")"),"I expected more cool slightly disappointed for what I expected, is a bit smaller than I expected and the look is a bit ""plastiquero""")</f>
        <v>I expected more cool slightly disappointed for what I expected, is a bit smaller than I expected and the look is a bit "plastiquero"</v>
      </c>
    </row>
    <row r="12377">
      <c r="A12377" s="1">
        <v>1.0</v>
      </c>
      <c r="B12377" s="1" t="s">
        <v>12266</v>
      </c>
      <c r="C12377" t="str">
        <f>IFERROR(__xludf.DUMMYFUNCTION("GOOGLETRANSLATE(B12377, ""es"", ""en"")"),"He stopped working at the recently stopped working at the short time")</f>
        <v>He stopped working at the recently stopped working at the short time</v>
      </c>
    </row>
    <row r="12378">
      <c r="A12378" s="1">
        <v>1.0</v>
      </c>
      <c r="B12378" s="1" t="s">
        <v>12267</v>
      </c>
      <c r="C12378" t="str">
        <f>IFERROR(__xludf.DUMMYFUNCTION("GOOGLETRANSLATE(B12378, ""es"", ""en"")"),"do not match each other I do not match each other, so although the truth is that they have looked great the devolvere.")</f>
        <v>do not match each other I do not match each other, so although the truth is that they have looked great the devolvere.</v>
      </c>
    </row>
    <row r="12379">
      <c r="A12379" s="1">
        <v>4.0</v>
      </c>
      <c r="B12379" s="1" t="s">
        <v>12268</v>
      </c>
      <c r="C12379" t="str">
        <f>IFERROR(__xludf.DUMMYFUNCTION("GOOGLETRANSLATE(B12379, ""es"", ""en"")"),"The boots are good boots well, the material is of good quality, just how much I do not like sliding on wet pavement. Although I got them at a good price, I seem too expensive 200 euros you asking in store.")</f>
        <v>The boots are good boots well, the material is of good quality, just how much I do not like sliding on wet pavement. Although I got them at a good price, I seem too expensive 200 euros you asking in store.</v>
      </c>
    </row>
    <row r="12380">
      <c r="A12380" s="1">
        <v>4.0</v>
      </c>
      <c r="B12380" s="1" t="s">
        <v>12269</v>
      </c>
      <c r="C12380" t="str">
        <f>IFERROR(__xludf.DUMMYFUNCTION("GOOGLETRANSLATE(B12380, ""es"", ""en"")"),"Small and versatile Very pleased with the purchase but I have been somewhat short for what I needed it, for he had planned for the audio of my car and it does not recognize, but does not have to be that way with everyone players audio, because I checked w"&amp;"ith other teams and good ... but not in my case. I could deduce that the transfer rate of 2.0 was enough and I had to get myself a 3.0 and fixed.")</f>
        <v>Small and versatile Very pleased with the purchase but I have been somewhat short for what I needed it, for he had planned for the audio of my car and it does not recognize, but does not have to be that way with everyone players audio, because I checked with other teams and good ... but not in my case. I could deduce that the transfer rate of 2.0 was enough and I had to get myself a 3.0 and fixed.</v>
      </c>
    </row>
    <row r="12381">
      <c r="A12381" s="1">
        <v>4.0</v>
      </c>
      <c r="B12381" s="1" t="s">
        <v>12270</v>
      </c>
      <c r="C12381" t="str">
        <f>IFERROR(__xludf.DUMMYFUNCTION("GOOGLETRANSLATE(B12381, ""es"", ""en"")"),"Good watch good watch, underwhelming. For the price it is fine. As only downside maybe the belt is too long but it is a subjective fault, perhaps for someone else is not a snag.")</f>
        <v>Good watch good watch, underwhelming. For the price it is fine. As only downside maybe the belt is too long but it is a subjective fault, perhaps for someone else is not a snag.</v>
      </c>
    </row>
    <row r="12382">
      <c r="A12382" s="1">
        <v>4.0</v>
      </c>
      <c r="B12382" s="1" t="s">
        <v>12271</v>
      </c>
      <c r="C12382" t="str">
        <f>IFERROR(__xludf.DUMMYFUNCTION("GOOGLETRANSLATE(B12382, ""es"", ""en"")"),"Good Bought in July 2012, for 9.07 euros. Data CrystalMark, measured in USB 2.0 are: Sequential Read: 34922 MB / s Sequential Write: 19,247 MB ​​/ s Random Read 512KB: 34,295 MB / s Random Write 512KB: 1,457 MB / s Random Read 4KB (QD = 1): 5411 MB / s [1"&amp;"321.0 IOPS] Random Write 4KB (QD = 1): 0.059 MB / s [3.14 IOPS] Random Read 4KB (QD = 32): 4592 MB / s [1121.2 IOPS] Random Write 4KB (QD = 32) : 0.038 MB / s [9.3 IOPS] I really served well.")</f>
        <v>Good Bought in July 2012, for 9.07 euros. Data CrystalMark, measured in USB 2.0 are: Sequential Read: 34922 MB / s Sequential Write: 19,247 MB ​​/ s Random Read 512KB: 34,295 MB / s Random Write 512KB: 1,457 MB / s Random Read 4KB (QD = 1): 5411 MB / s [1321.0 IOPS] Random Write 4KB (QD = 1): 0.059 MB / s [3.14 IOPS] Random Read 4KB (QD = 32): 4592 MB / s [1121.2 IOPS] Random Write 4KB (QD = 32) : 0.038 MB / s [9.3 IOPS] I really served well.</v>
      </c>
    </row>
    <row r="12383">
      <c r="A12383" s="1">
        <v>4.0</v>
      </c>
      <c r="B12383" s="1" t="s">
        <v>12272</v>
      </c>
      <c r="C12383" t="str">
        <f>IFERROR(__xludf.DUMMYFUNCTION("GOOGLETRANSLATE(B12383, ""es"", ""en"")"),"Good buy I liked a lot, they are useful, good fabric, beautiful and comfortable. I recommend it.")</f>
        <v>Good buy I liked a lot, they are useful, good fabric, beautiful and comfortable. I recommend it.</v>
      </c>
    </row>
    <row r="12384">
      <c r="A12384" s="1">
        <v>5.0</v>
      </c>
      <c r="B12384" s="1" t="s">
        <v>12273</v>
      </c>
      <c r="C12384" t="str">
        <f>IFERROR(__xludf.DUMMYFUNCTION("GOOGLETRANSLATE(B12384, ""es"", ""en"")"),"Enchanted with the purchase came very fast, very comfortable and nice I use usually a 41y asked me 40 remain perfect")</f>
        <v>Enchanted with the purchase came very fast, very comfortable and nice I use usually a 41y asked me 40 remain perfect</v>
      </c>
    </row>
    <row r="12385">
      <c r="A12385" s="1">
        <v>5.0</v>
      </c>
      <c r="B12385" s="1" t="s">
        <v>12274</v>
      </c>
      <c r="C12385" t="str">
        <f>IFERROR(__xludf.DUMMYFUNCTION("GOOGLETRANSLATE(B12385, ""es"", ""en"")"),"Best for sports is the best in sports bra, if you do impact sport, runing also makes you a very nice chest. It is superaconsejable")</f>
        <v>Best for sports is the best in sports bra, if you do impact sport, runing also makes you a very nice chest. It is superaconsejable</v>
      </c>
    </row>
    <row r="12386">
      <c r="A12386" s="1">
        <v>5.0</v>
      </c>
      <c r="B12386" s="1" t="s">
        <v>12275</v>
      </c>
      <c r="C12386" t="str">
        <f>IFERROR(__xludf.DUMMYFUNCTION("GOOGLETRANSLATE(B12386, ""es"", ""en"")"),"Very comfortable very comfortable, the best I've tried, I use it a lot on travel, sleeping on the plane or where no light blinds and cover perfectly. Also it is ergonomic and fits perfectly, not even notice you're wearing it. I am saying the best I have u"&amp;"sed to date.")</f>
        <v>Very comfortable very comfortable, the best I've tried, I use it a lot on travel, sleeping on the plane or where no light blinds and cover perfectly. Also it is ergonomic and fits perfectly, not even notice you're wearing it. I am saying the best I have used to date.</v>
      </c>
    </row>
    <row r="12387">
      <c r="A12387" s="1">
        <v>5.0</v>
      </c>
      <c r="B12387" s="1" t="s">
        <v>12276</v>
      </c>
      <c r="C12387" t="str">
        <f>IFERROR(__xludf.DUMMYFUNCTION("GOOGLETRANSLATE(B12387, ""es"", ""en"")"),"Very happy, are original Genial, super happy, asked for average number less as in my previous converses and carving more average number, I use 40 but always converses 39.5, are original and arrived early, I recommend")</f>
        <v>Very happy, are original Genial, super happy, asked for average number less as in my previous converses and carving more average number, I use 40 but always converses 39.5, are original and arrived early, I recommend</v>
      </c>
    </row>
    <row r="12388">
      <c r="A12388" s="1">
        <v>5.0</v>
      </c>
      <c r="B12388" s="1" t="s">
        <v>12277</v>
      </c>
      <c r="C12388" t="str">
        <f>IFERROR(__xludf.DUMMYFUNCTION("GOOGLETRANSLATE(B12388, ""es"", ""en"")"),"Stimulates feet but I love 😍 being used not hurt my soles 🦶🏽 is almost like walking barefoot and that's the idea so well")</f>
        <v>Stimulates feet but I love 😍 being used not hurt my soles 🦶🏽 is almost like walking barefoot and that's the idea so well</v>
      </c>
    </row>
    <row r="12389">
      <c r="A12389" s="1">
        <v>5.0</v>
      </c>
      <c r="B12389" s="1" t="s">
        <v>12278</v>
      </c>
      <c r="C12389" t="str">
        <f>IFERROR(__xludf.DUMMYFUNCTION("GOOGLETRANSLATE(B12389, ""es"", ""en"")"),"It is extremely convenient tea / boiler quality, with the body made of glass, so that at all times you can see the amount of water that we take and the boiling process. The temperature can be adjusted from controls the handle, because not always want or n"&amp;"eed water to 100 °, can adjust to 50º, or 90º 70º it. In gives a sense of robustness and process control throughout. In addition, the accessory (filter) to place the herbs inside makes it extremely convenient as tea bags does not always come with built-in"&amp;" filter. In short, very happy with their purchase and looks like it will last a long time with minimal maintenance (every few months use vinegar inside, as a water softener to prevent calcium deposits from forming on the walls from water hard).")</f>
        <v>It is extremely convenient tea / boiler quality, with the body made of glass, so that at all times you can see the amount of water that we take and the boiling process. The temperature can be adjusted from controls the handle, because not always want or need water to 100 °, can adjust to 50º, or 90º 70º it. In gives a sense of robustness and process control throughout. In addition, the accessory (filter) to place the herbs inside makes it extremely convenient as tea bags does not always come with built-in filter. In short, very happy with their purchase and looks like it will last a long time with minimal maintenance (every few months use vinegar inside, as a water softener to prevent calcium deposits from forming on the walls from water hard).</v>
      </c>
    </row>
    <row r="12390">
      <c r="A12390" s="1">
        <v>5.0</v>
      </c>
      <c r="B12390" s="1" t="s">
        <v>12279</v>
      </c>
      <c r="C12390" t="str">
        <f>IFERROR(__xludf.DUMMYFUNCTION("GOOGLETRANSLATE(B12390, ""es"", ""en"")"),"perfect is better than you think, good quality, my daughter laughs and cries, and this is perfect for the family.")</f>
        <v>perfect is better than you think, good quality, my daughter laughs and cries, and this is perfect for the family.</v>
      </c>
    </row>
    <row r="12391">
      <c r="A12391" s="1">
        <v>5.0</v>
      </c>
      <c r="B12391" s="1" t="s">
        <v>12280</v>
      </c>
      <c r="C12391" t="str">
        <f>IFERROR(__xludf.DUMMYFUNCTION("GOOGLETRANSLATE(B12391, ""es"", ""en"")"),"You are perfect! I love. They have arrived two days earlier than expected. They come with their label and box. Original product. I recommend it.")</f>
        <v>You are perfect! I love. They have arrived two days earlier than expected. They come with their label and box. Original product. I recommend it.</v>
      </c>
    </row>
    <row r="12392">
      <c r="A12392" s="1">
        <v>5.0</v>
      </c>
      <c r="B12392" s="1" t="s">
        <v>12281</v>
      </c>
      <c r="C12392" t="str">
        <f>IFERROR(__xludf.DUMMYFUNCTION("GOOGLETRANSLATE(B12392, ""es"", ""en"")"),"Beautiful I was surprised by its size and value, beautiful. Hit gift")</f>
        <v>Beautiful I was surprised by its size and value, beautiful. Hit gift</v>
      </c>
    </row>
    <row r="12393">
      <c r="A12393" s="1">
        <v>5.0</v>
      </c>
      <c r="B12393" s="1" t="s">
        <v>12282</v>
      </c>
      <c r="C12393" t="str">
        <f>IFERROR(__xludf.DUMMYFUNCTION("GOOGLETRANSLATE(B12393, ""es"", ""en"")"),"Nice quality and lovely pink matte. Fits the description of the product. It looks good and has a good support holding the my band. It is very light.")</f>
        <v>Nice quality and lovely pink matte. Fits the description of the product. It looks good and has a good support holding the my band. It is very light.</v>
      </c>
    </row>
    <row r="12394">
      <c r="A12394" s="1">
        <v>5.0</v>
      </c>
      <c r="B12394" s="1" t="s">
        <v>12283</v>
      </c>
      <c r="C12394" t="str">
        <f>IFERROR(__xludf.DUMMYFUNCTION("GOOGLETRANSLATE(B12394, ""es"", ""en"")"),"Great and comfortable are very nice, the size is fine, I say because sometimes I have reached some who were very young, closing also very practical and safe.")</f>
        <v>Great and comfortable are very nice, the size is fine, I say because sometimes I have reached some who were very young, closing also very practical and safe.</v>
      </c>
    </row>
    <row r="12395">
      <c r="A12395" s="1">
        <v>5.0</v>
      </c>
      <c r="B12395" s="1" t="s">
        <v>12284</v>
      </c>
      <c r="C12395" t="str">
        <f>IFERROR(__xludf.DUMMYFUNCTION("GOOGLETRANSLATE(B12395, ""es"", ""en"")"),"Are you good buying Elewert great time and am delighted with the purchase. Hopefully hope will be lasting. They are seen well done and very comfortable. The box where they come from is a great ideal gift case even yourself! LOL. And the duffel bag comes i"&amp;"n handy. fast and good shipping. It is the best that are made here in Spain.")</f>
        <v>Are you good buying Elewert great time and am delighted with the purchase. Hopefully hope will be lasting. They are seen well done and very comfortable. The box where they come from is a great ideal gift case even yourself! LOL. And the duffel bag comes in handy. fast and good shipping. It is the best that are made here in Spain.</v>
      </c>
    </row>
    <row r="12396">
      <c r="A12396" s="1">
        <v>5.0</v>
      </c>
      <c r="B12396" s="1" t="s">
        <v>12285</v>
      </c>
      <c r="C12396" t="str">
        <f>IFERROR(__xludf.DUMMYFUNCTION("GOOGLETRANSLATE(B12396, ""es"", ""en"")"),"Fulfill their function speakers I bought for my record player but not read the cables were too short. These are perfect for their function. The sound is good Calidda")</f>
        <v>Fulfill their function speakers I bought for my record player but not read the cables were too short. These are perfect for their function. The sound is good Calidda</v>
      </c>
    </row>
    <row r="12397">
      <c r="A12397" s="1">
        <v>5.0</v>
      </c>
      <c r="B12397" s="1" t="s">
        <v>12286</v>
      </c>
      <c r="C12397" t="str">
        <f>IFERROR(__xludf.DUMMYFUNCTION("GOOGLETRANSLATE(B12397, ""es"", ""en"")"),"Very good winter tights, gorditas are so better for winter or cold days. They adapt well to the body and have such a small inner pouch detail to carry coins or keys. I will buy more from this brand porqque seemed to me of very good quality and finishes. W"&amp;"e see how bear the brunt of time and washings but looking good.")</f>
        <v>Very good winter tights, gorditas are so better for winter or cold days. They adapt well to the body and have such a small inner pouch detail to carry coins or keys. I will buy more from this brand porqque seemed to me of very good quality and finishes. We see how bear the brunt of time and washings but looking good.</v>
      </c>
    </row>
    <row r="12398">
      <c r="A12398" s="1">
        <v>5.0</v>
      </c>
      <c r="B12398" s="1" t="s">
        <v>12287</v>
      </c>
      <c r="C12398" t="str">
        <f>IFERROR(__xludf.DUMMYFUNCTION("GOOGLETRANSLATE(B12398, ""es"", ""en"")"),"Well, nice and cheap is very nice and elegant, as seen in the picture, I'm very happy with it thanks")</f>
        <v>Well, nice and cheap is very nice and elegant, as seen in the picture, I'm very happy with it thanks</v>
      </c>
    </row>
    <row r="12399">
      <c r="A12399" s="1">
        <v>5.0</v>
      </c>
      <c r="B12399" s="1" t="s">
        <v>12288</v>
      </c>
      <c r="C12399" t="str">
        <f>IFERROR(__xludf.DUMMYFUNCTION("GOOGLETRANSLATE(B12399, ""es"", ""en"")"),"Small and portati. The pocket-sized hard drive is quite small but also gives a good feeling to have it in the hands. The carcass materials seem durable and is tightly sealed and will not accidentally open and departing the hard disk. Just connect the driv"&amp;"e to the PC via the cable that brings, apply formatting and it can be used as storage method. I currently use it to store backups of my files most important, and I like the transfer rate and zero noise it produces.")</f>
        <v>Small and portati. The pocket-sized hard drive is quite small but also gives a good feeling to have it in the hands. The carcass materials seem durable and is tightly sealed and will not accidentally open and departing the hard disk. Just connect the drive to the PC via the cable that brings, apply formatting and it can be used as storage method. I currently use it to store backups of my files most important, and I like the transfer rate and zero noise it produces.</v>
      </c>
    </row>
    <row r="12400">
      <c r="A12400" s="1">
        <v>5.0</v>
      </c>
      <c r="B12400" s="1" t="s">
        <v>12289</v>
      </c>
      <c r="C12400" t="str">
        <f>IFERROR(__xludf.DUMMYFUNCTION("GOOGLETRANSLATE(B12400, ""es"", ""en"")"),"Elegant, precise, eternal ... It is the second watch Casio Solar radio-controlled I have. The other is a Waveceptor (the 21242686F) still operating since 1998 (indeed, 21 years old !!), and that I've always swum with him in pool and sea. Its weakness was "&amp;"crystal resin and some pieces painted on the box, so I decided this, with sapphire crystal and stainless steel case entirely. Furthermore this design is much more elegant. I must also say that other watches have had high-end and more than 600 €, have not "&amp;"exceeded 15 years of life, when his Swiss machinery stopped working. I hope this is as durable as Waveceptor. Although I can not swim this because its resistance to pressure are only 5 atmospheres. I live in Valencia and syncs seamlessly night.")</f>
        <v>Elegant, precise, eternal ... It is the second watch Casio Solar radio-controlled I have. The other is a Waveceptor (the 21242686F) still operating since 1998 (indeed, 21 years old !!), and that I've always swum with him in pool and sea. Its weakness was crystal resin and some pieces painted on the box, so I decided this, with sapphire crystal and stainless steel case entirely. Furthermore this design is much more elegant. I must also say that other watches have had high-end and more than 600 €, have not exceeded 15 years of life, when his Swiss machinery stopped working. I hope this is as durable as Waveceptor. Although I can not swim this because its resistance to pressure are only 5 atmospheres. I live in Valencia and syncs seamlessly night.</v>
      </c>
    </row>
    <row r="12401">
      <c r="A12401" s="1">
        <v>5.0</v>
      </c>
      <c r="B12401" s="1" t="s">
        <v>12290</v>
      </c>
      <c r="C12401" t="str">
        <f>IFERROR(__xludf.DUMMYFUNCTION("GOOGLETRANSLATE(B12401, ""es"", ""en"")"),"great for the price this headset is great ... maravilha works ... in all senses ... ... perfeto is escuta perfetamente ... is very very small and slight .. and with high quality construcion by simplesmente fantastic price ...")</f>
        <v>great for the price this headset is great ... maravilha works ... in all senses ... ... perfeto is escuta perfetamente ... is very very small and slight .. and with high quality construcion by simplesmente fantastic price ...</v>
      </c>
    </row>
    <row r="12402">
      <c r="A12402" s="1">
        <v>5.0</v>
      </c>
      <c r="B12402" s="1" t="s">
        <v>12291</v>
      </c>
      <c r="C12402" t="str">
        <f>IFERROR(__xludf.DUMMYFUNCTION("GOOGLETRANSLATE(B12402, ""es"", ""en"")"),"Great choice. Great product, solid, beautiful, practical. Nice touches like the glass cover, suction cups on the floor of the trough of the mincer. Great choice.")</f>
        <v>Great choice. Great product, solid, beautiful, practical. Nice touches like the glass cover, suction cups on the floor of the trough of the mincer. Great choice.</v>
      </c>
    </row>
    <row r="12403">
      <c r="A12403" s="1">
        <v>2.0</v>
      </c>
      <c r="B12403" s="1" t="s">
        <v>12292</v>
      </c>
      <c r="C12403" t="str">
        <f>IFERROR(__xludf.DUMMYFUNCTION("GOOGLETRANSLATE(B12403, ""es"", ""en"")"),"Good machine but ... I have 6 months ago, and so far very happy, good engine, good noise for power has the flexible cable, very good finish, well, a little heavy but good. The problem has arisen me now, broke my engagement system motor arm, now I have it "&amp;"taped and slope repair, it seems a bit wrong how good fail product and is nearly unusable by a small piece of plastic.")</f>
        <v>Good machine but ... I have 6 months ago, and so far very happy, good engine, good noise for power has the flexible cable, very good finish, well, a little heavy but good. The problem has arisen me now, broke my engagement system motor arm, now I have it taped and slope repair, it seems a bit wrong how good fail product and is nearly unusable by a small piece of plastic.</v>
      </c>
    </row>
    <row r="12404">
      <c r="A12404" s="1">
        <v>3.0</v>
      </c>
      <c r="B12404" s="1" t="s">
        <v>12293</v>
      </c>
      <c r="C12404" t="str">
        <f>IFERROR(__xludf.DUMMYFUNCTION("GOOGLETRANSLATE(B12404, ""es"", ""en"")"),"Satisfied with his boots, but ... Maybe for this type of shopping is better to see them in physical store, it is better to try again and again until we're sure your convenience. In my case for example, I've noticed at the end of the days that the template"&amp;" is not seated on the right foot well, it is something built in the area of ​​the bridge of the foot and bothers me quite walking. I tried to remove and reposition it over 20 times, but no way, is never as good as that of the left foot. If these templates"&amp;" are not sold separately but have to find a solution. I also had to request a change to receiving the first boots because they had sent me a defect in the skin of the tongue. Had I known that the latter would send me would be the default template, I'd sta"&amp;"yed with the first")</f>
        <v>Satisfied with his boots, but ... Maybe for this type of shopping is better to see them in physical store, it is better to try again and again until we're sure your convenience. In my case for example, I've noticed at the end of the days that the template is not seated on the right foot well, it is something built in the area of ​​the bridge of the foot and bothers me quite walking. I tried to remove and reposition it over 20 times, but no way, is never as good as that of the left foot. If these templates are not sold separately but have to find a solution. I also had to request a change to receiving the first boots because they had sent me a defect in the skin of the tongue. Had I known that the latter would send me would be the default template, I'd stayed with the first</v>
      </c>
    </row>
    <row r="12405">
      <c r="A12405" s="1">
        <v>3.0</v>
      </c>
      <c r="B12405" s="1" t="s">
        <v>12294</v>
      </c>
      <c r="C12405" t="str">
        <f>IFERROR(__xludf.DUMMYFUNCTION("GOOGLETRANSLATE(B12405, ""es"", ""en"")"),"Small size 37, size 38 best care that size 37 is just for those who sometimes have a 38, so I recommend directly opt for the latter not to walk returning size.")</f>
        <v>Small size 37, size 38 best care that size 37 is just for those who sometimes have a 38, so I recommend directly opt for the latter not to walk returning size.</v>
      </c>
    </row>
    <row r="12406">
      <c r="A12406" s="1">
        <v>1.0</v>
      </c>
      <c r="B12406" s="1" t="s">
        <v>12295</v>
      </c>
      <c r="C12406" t="str">
        <f>IFERROR(__xludf.DUMMYFUNCTION("GOOGLETRANSLATE(B12406, ""es"", ""en"")"),"For emprezar malissima quality, they duped in price. They charged four euros for more. and slippers lasted four weeks until the sole parts ranging color peeled off white part, the tips were peeled off, and metal rings, through which the cord-have slipped "&amp;"out of place.")</f>
        <v>For emprezar malissima quality, they duped in price. They charged four euros for more. and slippers lasted four weeks until the sole parts ranging color peeled off white part, the tips were peeled off, and metal rings, through which the cord-have slipped out of place.</v>
      </c>
    </row>
    <row r="12407">
      <c r="A12407" s="1">
        <v>1.0</v>
      </c>
      <c r="B12407" s="1" t="s">
        <v>12296</v>
      </c>
      <c r="C12407" t="str">
        <f>IFERROR(__xludf.DUMMYFUNCTION("GOOGLETRANSLATE(B12407, ""es"", ""en"")"),"I did not like was looking beads to key rings, but for bracelets")</f>
        <v>I did not like was looking beads to key rings, but for bracelets</v>
      </c>
    </row>
    <row r="12408">
      <c r="A12408" s="1">
        <v>1.0</v>
      </c>
      <c r="B12408" s="1" t="s">
        <v>12297</v>
      </c>
      <c r="C12408" t="str">
        <f>IFERROR(__xludf.DUMMYFUNCTION("GOOGLETRANSLATE(B12408, ""es"", ""en"")"),"Not recommended Terrible article, do not understand how they can sell this is returned")</f>
        <v>Not recommended Terrible article, do not understand how they can sell this is returned</v>
      </c>
    </row>
    <row r="12409">
      <c r="A12409" s="1">
        <v>4.0</v>
      </c>
      <c r="B12409" s="1" t="s">
        <v>12298</v>
      </c>
      <c r="C12409" t="str">
        <f>IFERROR(__xludf.DUMMYFUNCTION("GOOGLETRANSLATE(B12409, ""es"", ""en"")"),"Very useful. Very good")</f>
        <v>Very useful. Very good</v>
      </c>
    </row>
    <row r="12410">
      <c r="A12410" s="1">
        <v>4.0</v>
      </c>
      <c r="B12410" s="1" t="s">
        <v>12299</v>
      </c>
      <c r="C12410" t="str">
        <f>IFERROR(__xludf.DUMMYFUNCTION("GOOGLETRANSLATE(B12410, ""es"", ""en"")"),"timberland boots comfortable and beautiful. good protection against light skin water gives them a perfect touch for a weekend and night out")</f>
        <v>timberland boots comfortable and beautiful. good protection against light skin water gives them a perfect touch for a weekend and night out</v>
      </c>
    </row>
    <row r="12411">
      <c r="A12411" s="1">
        <v>4.0</v>
      </c>
      <c r="B12411" s="1" t="s">
        <v>12300</v>
      </c>
      <c r="C12411" t="str">
        <f>IFERROR(__xludf.DUMMYFUNCTION("GOOGLETRANSLATE(B12411, ""es"", ""en"")"),"Good rules used them to write reports field in my company and give good results although do not expect the quality of a technical drawing.")</f>
        <v>Good rules used them to write reports field in my company and give good results although do not expect the quality of a technical drawing.</v>
      </c>
    </row>
    <row r="12412">
      <c r="A12412" s="1">
        <v>4.0</v>
      </c>
      <c r="B12412" s="1" t="s">
        <v>12301</v>
      </c>
      <c r="C12412" t="str">
        <f>IFERROR(__xludf.DUMMYFUNCTION("GOOGLETRANSLATE(B12412, ""es"", ""en"")"),"Backpack Very strong and well finished with high capacity")</f>
        <v>Backpack Very strong and well finished with high capacity</v>
      </c>
    </row>
    <row r="12413">
      <c r="A12413" s="1">
        <v>4.0</v>
      </c>
      <c r="B12413" s="1" t="s">
        <v>12302</v>
      </c>
      <c r="C12413" t="str">
        <f>IFERROR(__xludf.DUMMYFUNCTION("GOOGLETRANSLATE(B12413, ""es"", ""en"")"),"Good Good As I expected")</f>
        <v>Good Good As I expected</v>
      </c>
    </row>
    <row r="12414">
      <c r="A12414" s="1">
        <v>5.0</v>
      </c>
      <c r="B12414" s="1" t="s">
        <v>12303</v>
      </c>
      <c r="C12414" t="str">
        <f>IFERROR(__xludf.DUMMYFUNCTION("GOOGLETRANSLATE(B12414, ""es"", ""en"")"),"One of the most beautiful watches I've seen I bought it for a gift. Elegant and very nice watch. Seiko quality does not disappoint. A success.")</f>
        <v>One of the most beautiful watches I've seen I bought it for a gift. Elegant and very nice watch. Seiko quality does not disappoint. A success.</v>
      </c>
    </row>
    <row r="12415">
      <c r="A12415" s="1">
        <v>5.0</v>
      </c>
      <c r="B12415" s="1" t="s">
        <v>12304</v>
      </c>
      <c r="C12415" t="str">
        <f>IFERROR(__xludf.DUMMYFUNCTION("GOOGLETRANSLATE(B12415, ""es"", ""en"")"),"Quantity and price .... well ... So far I've only worn once and are not smelly .... 5 liters and is very well priced ....")</f>
        <v>Quantity and price .... well ... So far I've only worn once and are not smelly .... 5 liters and is very well priced ....</v>
      </c>
    </row>
    <row r="12416">
      <c r="A12416" s="1">
        <v>5.0</v>
      </c>
      <c r="B12416" s="1" t="s">
        <v>12305</v>
      </c>
      <c r="C12416" t="str">
        <f>IFERROR(__xludf.DUMMYFUNCTION("GOOGLETRANSLATE(B12416, ""es"", ""en"")"),"DELIVERY CHAIN ​​TOUS very fast. VERY NICE AND VERY GOOD PRICE")</f>
        <v>DELIVERY CHAIN ​​TOUS very fast. VERY NICE AND VERY GOOD PRICE</v>
      </c>
    </row>
    <row r="12417">
      <c r="A12417" s="1">
        <v>5.0</v>
      </c>
      <c r="B12417" s="1" t="s">
        <v>12306</v>
      </c>
      <c r="C12417" t="str">
        <f>IFERROR(__xludf.DUMMYFUNCTION("GOOGLETRANSLATE(B12417, ""es"", ""en"")"),"Perfect Value excellent ,,, very good speed data ransferring and very stable.")</f>
        <v>Perfect Value excellent ,,, very good speed data ransferring and very stable.</v>
      </c>
    </row>
    <row r="12418">
      <c r="A12418" s="1">
        <v>5.0</v>
      </c>
      <c r="B12418" s="1" t="s">
        <v>12307</v>
      </c>
      <c r="C12418" t="str">
        <f>IFERROR(__xludf.DUMMYFUNCTION("GOOGLETRANSLATE(B12418, ""es"", ""en"")"),"Fully recommended for years using these bottles and I like a lot. They wash well and are easily dismantled. The only downside is that they get something ugly to use but we, like the rest of plastic I guess. Bottles always bring the smallest tetina (number"&amp;" 1) and when needed can be purchased the following loose.")</f>
        <v>Fully recommended for years using these bottles and I like a lot. They wash well and are easily dismantled. The only downside is that they get something ugly to use but we, like the rest of plastic I guess. Bottles always bring the smallest tetina (number 1) and when needed can be purchased the following loose.</v>
      </c>
    </row>
    <row r="12419">
      <c r="A12419" s="1">
        <v>5.0</v>
      </c>
      <c r="B12419" s="1" t="s">
        <v>12308</v>
      </c>
      <c r="C12419" t="str">
        <f>IFERROR(__xludf.DUMMYFUNCTION("GOOGLETRANSLATE(B12419, ""es"", ""en"")"),"Very good quality is very well suited to the wrist and is especially suitable for those allergic to rubber belts kit that comes with the belt is very complete.")</f>
        <v>Very good quality is very well suited to the wrist and is especially suitable for those allergic to rubber belts kit that comes with the belt is very complete.</v>
      </c>
    </row>
    <row r="12420">
      <c r="A12420" s="1">
        <v>5.0</v>
      </c>
      <c r="B12420" s="1" t="s">
        <v>12309</v>
      </c>
      <c r="C12420" t="str">
        <f>IFERROR(__xludf.DUMMYFUNCTION("GOOGLETRANSLATE(B12420, ""es"", ""en"")"),"I love Fantastic, branded product as indicated. Very nice, color is not garish and quality expected. I liked and my daughter more. Great price only 35 €. What more could you want ?")</f>
        <v>I love Fantastic, branded product as indicated. Very nice, color is not garish and quality expected. I liked and my daughter more. Great price only 35 €. What more could you want ?</v>
      </c>
    </row>
    <row r="12421">
      <c r="A12421" s="1">
        <v>5.0</v>
      </c>
      <c r="B12421" s="1" t="s">
        <v>12310</v>
      </c>
      <c r="C12421" t="str">
        <f>IFERROR(__xludf.DUMMYFUNCTION("GOOGLETRANSLATE(B12421, ""es"", ""en"")"),"Va Super great. I am very happy")</f>
        <v>Va Super great. I am very happy</v>
      </c>
    </row>
    <row r="12422">
      <c r="A12422" s="1">
        <v>5.0</v>
      </c>
      <c r="B12422" s="1" t="s">
        <v>12311</v>
      </c>
      <c r="C12422" t="str">
        <f>IFERROR(__xludf.DUMMYFUNCTION("GOOGLETRANSLATE(B12422, ""es"", ""en"")"),"Perfect perfect fit perfectly to the foot. A great buy as esperava. The would buy a thousand times")</f>
        <v>Perfect perfect fit perfectly to the foot. A great buy as esperava. The would buy a thousand times</v>
      </c>
    </row>
    <row r="12423">
      <c r="A12423" s="1">
        <v>5.0</v>
      </c>
      <c r="B12423" s="1" t="s">
        <v>12312</v>
      </c>
      <c r="C12423" t="str">
        <f>IFERROR(__xludf.DUMMYFUNCTION("GOOGLETRANSLATE(B12423, ""es"", ""en"")"),"Comfortable and sweating are great, there is much doubt them. Bring only part sauna effect in the abdomen, I thought that brought all the mesh but hey .... are very comfortable. I usually wear size 40 or L and I've taken the XL, but left me something olga"&amp;"ditas fits well.")</f>
        <v>Comfortable and sweating are great, there is much doubt them. Bring only part sauna effect in the abdomen, I thought that brought all the mesh but hey .... are very comfortable. I usually wear size 40 or L and I've taken the XL, but left me something olgaditas fits well.</v>
      </c>
    </row>
    <row r="12424">
      <c r="A12424" s="1">
        <v>5.0</v>
      </c>
      <c r="B12424" s="1" t="s">
        <v>12313</v>
      </c>
      <c r="C12424" t="str">
        <f>IFERROR(__xludf.DUMMYFUNCTION("GOOGLETRANSLATE(B12424, ""es"", ""en"")"),"SOLVED AND PLEASED WITH PRODUCT EDITO OPINION: AFTER CONTACT THE SELLER, give 5 stars, are very fast, INTERESTED BY PROBLEM AND SOLUTIONS FAST. VERY HAPPY. I give it 2 stars because I will not let him menos.He bought this brush, by the positive ratings, b"&amp;"ut in my case the deposit is continually open and just premiered. Looking slowly, it seems that the plastic notches makes hold the closure is broken, perhaps due to a return of someone, or to a defect in manufacturing. It's weird because all the reviews a"&amp;"re positive. I sent an email to the seller, but Amazon tells me that can not be delivered. I'll wait a couple of days and if I do not receive any reply, proceed to the return of the brush. I'm sorry, because it captures well the hairs, especially on smoot"&amp;"h fabrics, although I have to be holding the latch with your finger, so that the deposit is not open. I hope you solve the seller and to change my opinion better.")</f>
        <v>SOLVED AND PLEASED WITH PRODUCT EDITO OPINION: AFTER CONTACT THE SELLER, give 5 stars, are very fast, INTERESTED BY PROBLEM AND SOLUTIONS FAST. VERY HAPPY. I give it 2 stars because I will not let him menos.He bought this brush, by the positive ratings, but in my case the deposit is continually open and just premiered. Looking slowly, it seems that the plastic notches makes hold the closure is broken, perhaps due to a return of someone, or to a defect in manufacturing. It's weird because all the reviews are positive. I sent an email to the seller, but Amazon tells me that can not be delivered. I'll wait a couple of days and if I do not receive any reply, proceed to the return of the brush. I'm sorry, because it captures well the hairs, especially on smooth fabrics, although I have to be holding the latch with your finger, so that the deposit is not open. I hope you solve the seller and to change my opinion better.</v>
      </c>
    </row>
    <row r="12425">
      <c r="A12425" s="1">
        <v>5.0</v>
      </c>
      <c r="B12425" s="1" t="s">
        <v>12314</v>
      </c>
      <c r="C12425" t="str">
        <f>IFERROR(__xludf.DUMMYFUNCTION("GOOGLETRANSLATE(B12425, ""es"", ""en"")"),"Good quality is very comfortable and solid. I have again asked but one size smaller")</f>
        <v>Good quality is very comfortable and solid. I have again asked but one size smaller</v>
      </c>
    </row>
    <row r="12426">
      <c r="A12426" s="1">
        <v>5.0</v>
      </c>
      <c r="B12426" s="1" t="s">
        <v>12315</v>
      </c>
      <c r="C12426" t="str">
        <f>IFERROR(__xludf.DUMMYFUNCTION("GOOGLETRANSLATE(B12426, ""es"", ""en"")"),"Perfect perfect, fits the description. Use it in the wedding to put our names on the details for the guests")</f>
        <v>Perfect perfect, fits the description. Use it in the wedding to put our names on the details for the guests</v>
      </c>
    </row>
    <row r="12427">
      <c r="A12427" s="1">
        <v>5.0</v>
      </c>
      <c r="B12427" s="1" t="s">
        <v>12316</v>
      </c>
      <c r="C12427" t="str">
        <f>IFERROR(__xludf.DUMMYFUNCTION("GOOGLETRANSLATE(B12427, ""es"", ""en"")"),"Quality at a good price. SSD great for its price performance. No problem, cloned hdd laptop, since the SSD and start without any error. The speed with respect to the incredible HDD. Quality crucial normally use the MX series, but for office automation and"&amp;" navigation use, not a difference. Revitalized the notebook where I've ridden.")</f>
        <v>Quality at a good price. SSD great for its price performance. No problem, cloned hdd laptop, since the SSD and start without any error. The speed with respect to the incredible HDD. Quality crucial normally use the MX series, but for office automation and navigation use, not a difference. Revitalized the notebook where I've ridden.</v>
      </c>
    </row>
    <row r="12428">
      <c r="A12428" s="1">
        <v>5.0</v>
      </c>
      <c r="B12428" s="1" t="s">
        <v>12317</v>
      </c>
      <c r="C12428" t="str">
        <f>IFERROR(__xludf.DUMMYFUNCTION("GOOGLETRANSLATE(B12428, ""es"", ""en"")"),"All right good")</f>
        <v>All right good</v>
      </c>
    </row>
    <row r="12429">
      <c r="A12429" s="1">
        <v>5.0</v>
      </c>
      <c r="B12429" s="1" t="s">
        <v>12318</v>
      </c>
      <c r="C12429" t="str">
        <f>IFERROR(__xludf.DUMMYFUNCTION("GOOGLETRANSLATE(B12429, ""es"", ""en"")"),"Very comfortable Good quality")</f>
        <v>Very comfortable Good quality</v>
      </c>
    </row>
    <row r="12430">
      <c r="A12430" s="1">
        <v>5.0</v>
      </c>
      <c r="B12430" s="1" t="s">
        <v>12319</v>
      </c>
      <c r="C12430" t="str">
        <f>IFERROR(__xludf.DUMMYFUNCTION("GOOGLETRANSLATE(B12430, ""es"", ""en"")"),"The width of the mold is phenomenal. Recommended hundred percent. The quality and accuracy of sewn ten.")</f>
        <v>The width of the mold is phenomenal. Recommended hundred percent. The quality and accuracy of sewn ten.</v>
      </c>
    </row>
    <row r="12431">
      <c r="A12431" s="1">
        <v>5.0</v>
      </c>
      <c r="B12431" s="1" t="s">
        <v>12320</v>
      </c>
      <c r="C12431" t="str">
        <f>IFERROR(__xludf.DUMMYFUNCTION("GOOGLETRANSLATE(B12431, ""es"", ""en"")"),"It works to perfection recommend I was pleasantly surprised his funcionamiento.Ha been unwrap and is ready to engage to sing !.")</f>
        <v>It works to perfection recommend I was pleasantly surprised his funcionamiento.Ha been unwrap and is ready to engage to sing !.</v>
      </c>
    </row>
    <row r="12432">
      <c r="A12432" s="1">
        <v>5.0</v>
      </c>
      <c r="B12432" s="1" t="s">
        <v>12321</v>
      </c>
      <c r="C12432" t="str">
        <f>IFERROR(__xludf.DUMMYFUNCTION("GOOGLETRANSLATE(B12432, ""es"", ""en"")"),"Some time ago I met bought a humidifier. He previously spent 2 packages of different essences and did not fully convince me, did not smell anything good or bad ... really stained the smell but could not appreciate the smell ... I finally decided to try th"&amp;"ese oils and although I have come only a few days ago I am very happy with them.")</f>
        <v>Some time ago I met bought a humidifier. He previously spent 2 packages of different essences and did not fully convince me, did not smell anything good or bad ... really stained the smell but could not appreciate the smell ... I finally decided to try these oils and although I have come only a few days ago I am very happy with them.</v>
      </c>
    </row>
    <row r="12433">
      <c r="A12433" s="1">
        <v>2.0</v>
      </c>
      <c r="B12433" s="1" t="s">
        <v>12322</v>
      </c>
      <c r="C12433" t="str">
        <f>IFERROR(__xludf.DUMMYFUNCTION("GOOGLETRANSLATE(B12433, ""es"", ""en"")"),"The retina is unde go well for colic, but he put two stars because the nipples are a roll, you have to get the hang or else all the time together and catch more air!")</f>
        <v>The retina is unde go well for colic, but he put two stars because the nipples are a roll, you have to get the hang or else all the time together and catch more air!</v>
      </c>
    </row>
    <row r="12434">
      <c r="A12434" s="1">
        <v>3.0</v>
      </c>
      <c r="B12434" s="1" t="s">
        <v>12323</v>
      </c>
      <c r="C12434" t="str">
        <f>IFERROR(__xludf.DUMMYFUNCTION("GOOGLETRANSLATE(B12434, ""es"", ""en"")"),"It works walls and design is well heated. The only flaw is that the walls are heated and you can burn off.")</f>
        <v>It works walls and design is well heated. The only flaw is that the walls are heated and you can burn off.</v>
      </c>
    </row>
    <row r="12435">
      <c r="A12435" s="1">
        <v>3.0</v>
      </c>
      <c r="B12435" s="1" t="s">
        <v>12324</v>
      </c>
      <c r="C12435" t="str">
        <f>IFERROR(__xludf.DUMMYFUNCTION("GOOGLETRANSLATE(B12435, ""es"", ""en"")"),"Nice and simple earrings")</f>
        <v>Nice and simple earrings</v>
      </c>
    </row>
    <row r="12436">
      <c r="A12436" s="1">
        <v>1.0</v>
      </c>
      <c r="B12436" s="1" t="s">
        <v>12325</v>
      </c>
      <c r="C12436" t="str">
        <f>IFERROR(__xludf.DUMMYFUNCTION("GOOGLETRANSLATE(B12436, ""es"", ""en"")"),"USELESS was looking for exactly what it says container for clips with the magnet keep up but the magnet no force or to hold a clip finally chooses to place a magnet more power than had at home and that was what I wanted to do so I do not recommend at all")</f>
        <v>USELESS was looking for exactly what it says container for clips with the magnet keep up but the magnet no force or to hold a clip finally chooses to place a magnet more power than had at home and that was what I wanted to do so I do not recommend at all</v>
      </c>
    </row>
    <row r="12437">
      <c r="A12437" s="1">
        <v>1.0</v>
      </c>
      <c r="B12437" s="1" t="s">
        <v>12326</v>
      </c>
      <c r="C12437" t="str">
        <f>IFERROR(__xludf.DUMMYFUNCTION("GOOGLETRANSLATE(B12437, ""es"", ""en"")"),"Setting foot fault. This blender liked by the model and brand, which have more appliances and me are working well, but I think it has a design flaw that does not fit the foot well, is fairly slack .Pedí change and the next had the same ruling, the 5-star "&amp;"returned .The give management the Amazon.")</f>
        <v>Setting foot fault. This blender liked by the model and brand, which have more appliances and me are working well, but I think it has a design flaw that does not fit the foot well, is fairly slack .Pedí change and the next had the same ruling, the 5-star returned .The give management the Amazon.</v>
      </c>
    </row>
    <row r="12438">
      <c r="A12438" s="1">
        <v>4.0</v>
      </c>
      <c r="B12438" s="1" t="s">
        <v>12327</v>
      </c>
      <c r="C12438" t="str">
        <f>IFERROR(__xludf.DUMMYFUNCTION("GOOGLETRANSLATE(B12438, ""es"", ""en"")"),"Perfect Marc microphone and depends on computer need not have the Phantom power as they say. I do not have the Phantom and noise is heard but Audacity put the noise reduction option and go. Otherwise perfect accessories")</f>
        <v>Perfect Marc microphone and depends on computer need not have the Phantom power as they say. I do not have the Phantom and noise is heard but Audacity put the noise reduction option and go. Otherwise perfect accessories</v>
      </c>
    </row>
    <row r="12439">
      <c r="A12439" s="1">
        <v>4.0</v>
      </c>
      <c r="B12439" s="1" t="s">
        <v>12328</v>
      </c>
      <c r="C12439" t="str">
        <f>IFERROR(__xludf.DUMMYFUNCTION("GOOGLETRANSLATE(B12439, ""es"", ""en"")"),"Fulfills its is based a fairly complete set of brush and scouring pads that will provide some cleaning work, are strong and durable and come in different sizes so you can use in different spaces, the brushes are hard cells all and mops are somewhat milder"&amp;". I think the best option for cleaning pads.")</f>
        <v>Fulfills its is based a fairly complete set of brush and scouring pads that will provide some cleaning work, are strong and durable and come in different sizes so you can use in different spaces, the brushes are hard cells all and mops are somewhat milder. I think the best option for cleaning pads.</v>
      </c>
    </row>
    <row r="12440">
      <c r="A12440" s="1">
        <v>4.0</v>
      </c>
      <c r="B12440" s="1" t="s">
        <v>12329</v>
      </c>
      <c r="C12440" t="str">
        <f>IFERROR(__xludf.DUMMYFUNCTION("GOOGLETRANSLATE(B12440, ""es"", ""en"")"),"Carve large I bought at 35 € but I had to return it because Carve very big, I recommend a number less than usual.")</f>
        <v>Carve large I bought at 35 € but I had to return it because Carve very big, I recommend a number less than usual.</v>
      </c>
    </row>
    <row r="12441">
      <c r="A12441" s="1">
        <v>4.0</v>
      </c>
      <c r="B12441" s="1" t="s">
        <v>12330</v>
      </c>
      <c r="C12441" t="str">
        <f>IFERROR(__xludf.DUMMYFUNCTION("GOOGLETRANSLATE(B12441, ""es"", ""en"")"),"Different belt Very nice, but the belt is not the same as appears in the photo, it looks good but is not the same.")</f>
        <v>Different belt Very nice, but the belt is not the same as appears in the photo, it looks good but is not the same.</v>
      </c>
    </row>
    <row r="12442">
      <c r="A12442" s="1">
        <v>5.0</v>
      </c>
      <c r="B12442" s="1" t="s">
        <v>12331</v>
      </c>
      <c r="C12442" t="str">
        <f>IFERROR(__xludf.DUMMYFUNCTION("GOOGLETRANSLATE(B12442, ""es"", ""en"")"),"Perfect has fulfilled all expectations. Synology technical service in 24 h resolved all my doubts about its use.")</f>
        <v>Perfect has fulfilled all expectations. Synology technical service in 24 h resolved all my doubts about its use.</v>
      </c>
    </row>
    <row r="12443">
      <c r="A12443" s="1">
        <v>5.0</v>
      </c>
      <c r="B12443" s="1" t="s">
        <v>12332</v>
      </c>
      <c r="C12443" t="str">
        <f>IFERROR(__xludf.DUMMYFUNCTION("GOOGLETRANSLATE(B12443, ""es"", ""en"")"),"Salomóntásticas !!! SALOMON does not disappoint as always, I do xa always choose impeccable tuning trailer SALOMON, fast shipping and the cheapest place where I could find is AMAZON")</f>
        <v>Salomóntásticas !!! SALOMON does not disappoint as always, I do xa always choose impeccable tuning trailer SALOMON, fast shipping and the cheapest place where I could find is AMAZON</v>
      </c>
    </row>
    <row r="12444">
      <c r="A12444" s="1">
        <v>5.0</v>
      </c>
      <c r="B12444" s="1" t="s">
        <v>12333</v>
      </c>
      <c r="C12444" t="str">
        <f>IFERROR(__xludf.DUMMYFUNCTION("GOOGLETRANSLATE(B12444, ""es"", ""en"")"),"With three quick, cheap and good B.")</f>
        <v>With three quick, cheap and good B.</v>
      </c>
    </row>
    <row r="12445">
      <c r="A12445" s="1">
        <v>5.0</v>
      </c>
      <c r="B12445" s="1" t="s">
        <v>12334</v>
      </c>
      <c r="C12445" t="str">
        <f>IFERROR(__xludf.DUMMYFUNCTION("GOOGLETRANSLATE(B12445, ""es"", ""en"")"),"They are great. I bought something really scary but when they arrived, material and size and are placed, made me want to buy more.")</f>
        <v>They are great. I bought something really scary but when they arrived, material and size and are placed, made me want to buy more.</v>
      </c>
    </row>
    <row r="12446">
      <c r="A12446" s="1">
        <v>5.0</v>
      </c>
      <c r="B12446" s="1" t="s">
        <v>12335</v>
      </c>
      <c r="C12446" t="str">
        <f>IFERROR(__xludf.DUMMYFUNCTION("GOOGLETRANSLATE(B12446, ""es"", ""en"")"),"Just perfect. The order, although it took me 3 days, if, 3 days, the order came from Germany in less than 1 day since I made the not slow sent anything in one night was in Madrid, packaging was antistatic plastic coated by another bubble within 2 boxes st"&amp;"yle on large Amazon for a hard drive I see more I have enough, reviewed the smart of the hard disk, as it should be, the first ignition cycle has been mine, all perfect , temperature and other, realize a benchmarsks from Linux without creating partition t"&amp;"able, as each barracuda I've had Seagate, the minimum write rate is 90MB / s, not low reading of 180MB / s, for a hard disk mechanic 7200rpm see it perfect, as specified, gaming, workstations, backups and ""small"" servers office and home (the next will b"&amp;"e for the server) perfect, a few more'll buy given the speed, of course, not counting those "" 2 days, ""which have cross over me or flying, perfect see it.")</f>
        <v>Just perfect. The order, although it took me 3 days, if, 3 days, the order came from Germany in less than 1 day since I made the not slow sent anything in one night was in Madrid, packaging was antistatic plastic coated by another bubble within 2 boxes style on large Amazon for a hard drive I see more I have enough, reviewed the smart of the hard disk, as it should be, the first ignition cycle has been mine, all perfect , temperature and other, realize a benchmarsks from Linux without creating partition table, as each barracuda I've had Seagate, the minimum write rate is 90MB / s, not low reading of 180MB / s, for a hard disk mechanic 7200rpm see it perfect, as specified, gaming, workstations, backups and "small" servers office and home (the next will be for the server) perfect, a few more'll buy given the speed, of course, not counting those " 2 days, "which have cross over me or flying, perfect see it.</v>
      </c>
    </row>
    <row r="12447">
      <c r="A12447" s="1">
        <v>5.0</v>
      </c>
      <c r="B12447" s="1" t="s">
        <v>12336</v>
      </c>
      <c r="C12447" t="str">
        <f>IFERROR(__xludf.DUMMYFUNCTION("GOOGLETRANSLATE(B12447, ""es"", ""en"")"),"soft Calentito")</f>
        <v>soft Calentito</v>
      </c>
    </row>
    <row r="12448">
      <c r="A12448" s="1">
        <v>5.0</v>
      </c>
      <c r="B12448" s="1" t="s">
        <v>12337</v>
      </c>
      <c r="C12448" t="str">
        <f>IFERROR(__xludf.DUMMYFUNCTION("GOOGLETRANSLATE(B12448, ""es"", ""en"")"),"Pretty pendant I love is what I expected, although the could chain be a little more gruesagado on schedule and in a well-sealed box, although the packaging out came completely broken colganta I arrived in good condition, although even I husado I have not,"&amp;" I hope that eventually not put fea.Aunque I remember it came with a cleaning cloth have not seen any lado.Recomiendo your purchase is a very nice touch to give away.")</f>
        <v>Pretty pendant I love is what I expected, although the could chain be a little more gruesagado on schedule and in a well-sealed box, although the packaging out came completely broken colganta I arrived in good condition, although even I husado I have not, I hope that eventually not put fea.Aunque I remember it came with a cleaning cloth have not seen any lado.Recomiendo your purchase is a very nice touch to give away.</v>
      </c>
    </row>
    <row r="12449">
      <c r="A12449" s="1">
        <v>5.0</v>
      </c>
      <c r="B12449" s="1" t="s">
        <v>12338</v>
      </c>
      <c r="C12449" t="str">
        <f>IFERROR(__xludf.DUMMYFUNCTION("GOOGLETRANSLATE(B12449, ""es"", ""en"")"),"Very good value for money Very happy moment with the product. I have it installed on my tablet Sony")</f>
        <v>Very good value for money Very happy moment with the product. I have it installed on my tablet Sony</v>
      </c>
    </row>
    <row r="12450">
      <c r="A12450" s="1">
        <v>5.0</v>
      </c>
      <c r="B12450" s="1" t="s">
        <v>12339</v>
      </c>
      <c r="C12450" t="str">
        <f>IFERROR(__xludf.DUMMYFUNCTION("GOOGLETRANSLATE(B12450, ""es"", ""en"")"),"I liked to think of the whole is very easy to plug in and use funciona..yo always work long term standing i each day of the work tired muxichimo of the foot. After using the machine that taste God highly recommended")</f>
        <v>I liked to think of the whole is very easy to plug in and use funciona..yo always work long term standing i each day of the work tired muxichimo of the foot. After using the machine that taste God highly recommended</v>
      </c>
    </row>
    <row r="12451">
      <c r="A12451" s="1">
        <v>5.0</v>
      </c>
      <c r="B12451" s="1" t="s">
        <v>12340</v>
      </c>
      <c r="C12451" t="str">
        <f>IFERROR(__xludf.DUMMYFUNCTION("GOOGLETRANSLATE(B12451, ""es"", ""en"")"),"Comfortable and light The mop is fine, it is light, it is mounted at a time (comes particularly in a small box, disarmed: 3 tubes for mounting the handle, over the grip area, with hole if we hang). The base is plastic, and I put the spare parts easily. gr"&amp;"eat clean, and best of all, no wash cloths that are throwaway. I liked is comfortable, modern, light and clean very well.")</f>
        <v>Comfortable and light The mop is fine, it is light, it is mounted at a time (comes particularly in a small box, disarmed: 3 tubes for mounting the handle, over the grip area, with hole if we hang). The base is plastic, and I put the spare parts easily. great clean, and best of all, no wash cloths that are throwaway. I liked is comfortable, modern, light and clean very well.</v>
      </c>
    </row>
    <row r="12452">
      <c r="A12452" s="1">
        <v>5.0</v>
      </c>
      <c r="B12452" s="1" t="s">
        <v>12341</v>
      </c>
      <c r="C12452" t="str">
        <f>IFERROR(__xludf.DUMMYFUNCTION("GOOGLETRANSLATE(B12452, ""es"", ""en"")"),"Great value for design and price. Highly recommended. Great strength in its structure (case and bracelet) and also (not quartz) fairly accurate")</f>
        <v>Great value for design and price. Highly recommended. Great strength in its structure (case and bracelet) and also (not quartz) fairly accurate</v>
      </c>
    </row>
    <row r="12453">
      <c r="A12453" s="1">
        <v>5.0</v>
      </c>
      <c r="B12453" s="1" t="s">
        <v>12342</v>
      </c>
      <c r="C12453" t="str">
        <f>IFERROR(__xludf.DUMMYFUNCTION("GOOGLETRANSLATE(B12453, ""es"", ""en"")"),"Rejuvenates your old laptop If you have a laptop with SATA hard disk and notes that the load times are eternal, then this SSD is an excellent choice to replace him and quickly load the operating system and programs you use. I bought it when it was on sale"&amp;" to replace a 500GB hard drive of a laptop. I I cloned the old disk with a docking station with two SATA disk bays (Inateck brand, model FD2005) and had no problem. I am very satisfied so far with its performance.")</f>
        <v>Rejuvenates your old laptop If you have a laptop with SATA hard disk and notes that the load times are eternal, then this SSD is an excellent choice to replace him and quickly load the operating system and programs you use. I bought it when it was on sale to replace a 500GB hard drive of a laptop. I I cloned the old disk with a docking station with two SATA disk bays (Inateck brand, model FD2005) and had no problem. I am very satisfied so far with its performance.</v>
      </c>
    </row>
    <row r="12454">
      <c r="A12454" s="1">
        <v>5.0</v>
      </c>
      <c r="B12454" s="1" t="s">
        <v>12343</v>
      </c>
      <c r="C12454" t="str">
        <f>IFERROR(__xludf.DUMMYFUNCTION("GOOGLETRANSLATE(B12454, ""es"", ""en"")"),"BEST USED FOR MY TWO NENES. They are great and durable. AND GREAT PRICE. I RECOMMEND IT TO EVERYONE. PERFECTOS")</f>
        <v>BEST USED FOR MY TWO NENES. They are great and durable. AND GREAT PRICE. I RECOMMEND IT TO EVERYONE. PERFECTOS</v>
      </c>
    </row>
    <row r="12455">
      <c r="A12455" s="1">
        <v>5.0</v>
      </c>
      <c r="B12455" s="1" t="s">
        <v>12344</v>
      </c>
      <c r="C12455" t="str">
        <f>IFERROR(__xludf.DUMMYFUNCTION("GOOGLETRANSLATE(B12455, ""es"", ""en"")"),"comfortable Perfectas")</f>
        <v>comfortable Perfectas</v>
      </c>
    </row>
    <row r="12456">
      <c r="A12456" s="1">
        <v>5.0</v>
      </c>
      <c r="B12456" s="1" t="s">
        <v>12345</v>
      </c>
      <c r="C12456" t="str">
        <f>IFERROR(__xludf.DUMMYFUNCTION("GOOGLETRANSLATE(B12456, ""es"", ""en"")"),"Excellent product very good product and good presentation of the package. No need to go to an eyedropper container as the same package allows you to dose the oil droplets. I use to make an air freshener mixed with alcohol and water and also with olive oil"&amp;" to rub. As freshener Mixes 50% 50% alcohol, distilled water and 40 drops of lavender oil per 100 ml of mixture. Leaves a smooth and persistent aroma. I use to spray the pillow and the bedroom before going to sleep. It is an effective sleep aid and avoid "&amp;"coughing. Regarding olive oil I use it a lot to cure eczema on the skin. In particular I apply it on the head of my father because it causes eczema medication side effect. In a few days, your skin starts to regenerate and clean. Also he applied as scrubs "&amp;"on his knee suffering from osteoarthritis and does not let him go. Using these rubs can walk much more starting to feel discomfort with much delay.")</f>
        <v>Excellent product very good product and good presentation of the package. No need to go to an eyedropper container as the same package allows you to dose the oil droplets. I use to make an air freshener mixed with alcohol and water and also with olive oil to rub. As freshener Mixes 50% 50% alcohol, distilled water and 40 drops of lavender oil per 100 ml of mixture. Leaves a smooth and persistent aroma. I use to spray the pillow and the bedroom before going to sleep. It is an effective sleep aid and avoid coughing. Regarding olive oil I use it a lot to cure eczema on the skin. In particular I apply it on the head of my father because it causes eczema medication side effect. In a few days, your skin starts to regenerate and clean. Also he applied as scrubs on his knee suffering from osteoarthritis and does not let him go. Using these rubs can walk much more starting to feel discomfort with much delay.</v>
      </c>
    </row>
    <row r="12457">
      <c r="A12457" s="1">
        <v>5.0</v>
      </c>
      <c r="B12457" s="1" t="s">
        <v>12346</v>
      </c>
      <c r="C12457" t="str">
        <f>IFERROR(__xludf.DUMMYFUNCTION("GOOGLETRANSLATE(B12457, ""es"", ""en"")"),"Much better than others with considerably higher price. I had several diffusers of aromas and this is the best by far, I would definitely buy.")</f>
        <v>Much better than others with considerably higher price. I had several diffusers of aromas and this is the best by far, I would definitely buy.</v>
      </c>
    </row>
    <row r="12458">
      <c r="A12458" s="1">
        <v>5.0</v>
      </c>
      <c r="B12458" s="1" t="s">
        <v>12347</v>
      </c>
      <c r="C12458" t="str">
        <f>IFERROR(__xludf.DUMMYFUNCTION("GOOGLETRANSLATE(B12458, ""es"", ""en"")"),"It's fast and the product I expected but I was wrong size.")</f>
        <v>It's fast and the product I expected but I was wrong size.</v>
      </c>
    </row>
    <row r="12459">
      <c r="A12459" s="1">
        <v>5.0</v>
      </c>
      <c r="B12459" s="1" t="s">
        <v>12348</v>
      </c>
      <c r="C12459" t="str">
        <f>IFERROR(__xludf.DUMMYFUNCTION("GOOGLETRANSLATE(B12459, ""es"", ""en"")"),"It was agm gift for girl and encantaron.gran quality and precious to niñas.le liked mucho.está earrings delighted with her ""big girl""")</f>
        <v>It was agm gift for girl and encantaron.gran quality and precious to niñas.le liked mucho.está earrings delighted with her "big girl"</v>
      </c>
    </row>
    <row r="12460">
      <c r="A12460" s="1">
        <v>2.0</v>
      </c>
      <c r="B12460" s="1" t="s">
        <v>12349</v>
      </c>
      <c r="C12460" t="str">
        <f>IFERROR(__xludf.DUMMYFUNCTION("GOOGLETRANSLATE(B12460, ""es"", ""en"")"),"Recommended are pretty good for the price costaron.Unica hits me it is very slippery.")</f>
        <v>Recommended are pretty good for the price costaron.Unica hits me it is very slippery.</v>
      </c>
    </row>
    <row r="12461">
      <c r="A12461" s="1">
        <v>3.0</v>
      </c>
      <c r="B12461" s="1" t="s">
        <v>12350</v>
      </c>
      <c r="C12461" t="str">
        <f>IFERROR(__xludf.DUMMYFUNCTION("GOOGLETRANSLATE(B12461, ""es"", ""en"")"),"Regular Overall good, although delayed, and if you leave a few hours, to not have too much rope, a little disappointing")</f>
        <v>Regular Overall good, although delayed, and if you leave a few hours, to not have too much rope, a little disappointing</v>
      </c>
    </row>
    <row r="12462">
      <c r="A12462" s="1">
        <v>3.0</v>
      </c>
      <c r="B12462" s="1" t="s">
        <v>12351</v>
      </c>
      <c r="C12462" t="str">
        <f>IFERROR(__xludf.DUMMYFUNCTION("GOOGLETRANSLATE(B12462, ""es"", ""en"")"),"Pixelated image top quality print image of the cover is poor, it is pixelated ..")</f>
        <v>Pixelated image top quality print image of the cover is poor, it is pixelated ..</v>
      </c>
    </row>
    <row r="12463">
      <c r="A12463" s="1">
        <v>1.0</v>
      </c>
      <c r="B12463" s="1" t="s">
        <v>12352</v>
      </c>
      <c r="C12463" t="str">
        <f>IFERROR(__xludf.DUMMYFUNCTION("GOOGLETRANSLATE(B12463, ""es"", ""en"")"),"Super small earrings, a deception with photos")</f>
        <v>Super small earrings, a deception with photos</v>
      </c>
    </row>
    <row r="12464">
      <c r="A12464" s="1">
        <v>1.0</v>
      </c>
      <c r="B12464" s="1" t="s">
        <v>12353</v>
      </c>
      <c r="C12464" t="str">
        <f>IFERROR(__xludf.DUMMYFUNCTION("GOOGLETRANSLATE(B12464, ""es"", ""en"")"),"NOT RECOMMEND had an old Blade Cruzer 4 GB I liked its small size and so I decided to purchase this pack of 3 units of 16 GB because for use they'll give (connect to the audio of my bike) it is perfect to be small. Well, I am not going to use because the "&amp;"manufacturer has changed the mold and now, the ""mouth"" of the pendrive has the profile rectangular makes thicker plug (it is plastic rather than as is usual be metallic), and I imagine that the manufacturer has strengthened because it would be a weak po"&amp;"int of the original design. As a result, you have to push hard to plug it into any USB port, and I'm afraid that taking the bike suffers for it.")</f>
        <v>NOT RECOMMEND had an old Blade Cruzer 4 GB I liked its small size and so I decided to purchase this pack of 3 units of 16 GB because for use they'll give (connect to the audio of my bike) it is perfect to be small. Well, I am not going to use because the manufacturer has changed the mold and now, the "mouth" of the pendrive has the profile rectangular makes thicker plug (it is plastic rather than as is usual be metallic), and I imagine that the manufacturer has strengthened because it would be a weak point of the original design. As a result, you have to push hard to plug it into any USB port, and I'm afraid that taking the bike suffers for it.</v>
      </c>
    </row>
    <row r="12465">
      <c r="A12465" s="1">
        <v>4.0</v>
      </c>
      <c r="B12465" s="1" t="s">
        <v>12354</v>
      </c>
      <c r="C12465" t="str">
        <f>IFERROR(__xludf.DUMMYFUNCTION("GOOGLETRANSLATE(B12465, ""es"", ""en"")"),"Good value good value for money and quickly resolve incidents. Daily use, better to use a box or carrier that the lower base ends deforming.")</f>
        <v>Good value good value for money and quickly resolve incidents. Daily use, better to use a box or carrier that the lower base ends deforming.</v>
      </c>
    </row>
    <row r="12466">
      <c r="A12466" s="1">
        <v>4.0</v>
      </c>
      <c r="B12466" s="1" t="s">
        <v>12355</v>
      </c>
      <c r="C12466" t="str">
        <f>IFERROR(__xludf.DUMMYFUNCTION("GOOGLETRANSLATE(B12466, ""es"", ""en"")"),"perfect Simple")</f>
        <v>perfect Simple</v>
      </c>
    </row>
    <row r="12467">
      <c r="A12467" s="1">
        <v>4.0</v>
      </c>
      <c r="B12467" s="1" t="s">
        <v>12356</v>
      </c>
      <c r="C12467" t="str">
        <f>IFERROR(__xludf.DUMMYFUNCTION("GOOGLETRANSLATE(B12467, ""es"", ""en"")"),"All right yoga socks. They slip the plant model and I think it will hold good. - they have been a gift and still have not used.")</f>
        <v>All right yoga socks. They slip the plant model and I think it will hold good. - they have been a gift and still have not used.</v>
      </c>
    </row>
    <row r="12468">
      <c r="A12468" s="1">
        <v>4.0</v>
      </c>
      <c r="B12468" s="1" t="s">
        <v>12357</v>
      </c>
      <c r="C12468" t="str">
        <f>IFERROR(__xludf.DUMMYFUNCTION("GOOGLETRANSLATE(B12468, ""es"", ""en"")"),"Very good product only bad thing is the price, but the product is ideal, very practical, with various forms of engagement.")</f>
        <v>Very good product only bad thing is the price, but the product is ideal, very practical, with various forms of engagement.</v>
      </c>
    </row>
    <row r="12469">
      <c r="A12469" s="1">
        <v>4.0</v>
      </c>
      <c r="B12469" s="1" t="s">
        <v>12358</v>
      </c>
      <c r="C12469" t="str">
        <f>IFERROR(__xludf.DUMMYFUNCTION("GOOGLETRANSLATE(B12469, ""es"", ""en"")"),"Comfortable and quality. This bra I had already bought on Amazon BuyVip, which would safe. A I really like, it's very comfortable if you sleep with him because he has no rings, no glasses, no fillers, is cotton which is very cool, and for summer to be at "&amp;"home or with the typical dress sueltecito looks great either to do gymnastics because fasten subject, another thing is to do a less rounded shape and preformed what we are accustomed. I recommend if the fabric terrific and great price. Amazon phenomenal!")</f>
        <v>Comfortable and quality. This bra I had already bought on Amazon BuyVip, which would safe. A I really like, it's very comfortable if you sleep with him because he has no rings, no glasses, no fillers, is cotton which is very cool, and for summer to be at home or with the typical dress sueltecito looks great either to do gymnastics because fasten subject, another thing is to do a less rounded shape and preformed what we are accustomed. I recommend if the fabric terrific and great price. Amazon phenomenal!</v>
      </c>
    </row>
    <row r="12470">
      <c r="A12470" s="1">
        <v>5.0</v>
      </c>
      <c r="B12470" s="1" t="s">
        <v>12359</v>
      </c>
      <c r="C12470" t="str">
        <f>IFERROR(__xludf.DUMMYFUNCTION("GOOGLETRANSLATE(B12470, ""es"", ""en"")"),"Good buy've always used the official Apple helmets and they have nothing to envy them. Endure 4 hours listening to music and I have to put the minimum power because they listen with great intensity, so the volume is not a problem. The sound quality is ver"&amp;"y good, and the micro sounds like you're with the car handsfree.")</f>
        <v>Good buy've always used the official Apple helmets and they have nothing to envy them. Endure 4 hours listening to music and I have to put the minimum power because they listen with great intensity, so the volume is not a problem. The sound quality is very good, and the micro sounds like you're with the car handsfree.</v>
      </c>
    </row>
    <row r="12471">
      <c r="A12471" s="1">
        <v>5.0</v>
      </c>
      <c r="B12471" s="1" t="s">
        <v>12360</v>
      </c>
      <c r="C12471" t="str">
        <f>IFERROR(__xludf.DUMMYFUNCTION("GOOGLETRANSLATE(B12471, ""es"", ""en"")"),"The truth is a bit odd and did not have much hope but .. It works go, I mean we hooked all wiring of an optical fiber with that, but I have things floating with it, such as strips example plug that got hooked to the wall with that, is very good, a bit pri"&amp;"cey but it will cost a lot of it or something.")</f>
        <v>The truth is a bit odd and did not have much hope but .. It works go, I mean we hooked all wiring of an optical fiber with that, but I have things floating with it, such as strips example plug that got hooked to the wall with that, is very good, a bit pricey but it will cost a lot of it or something.</v>
      </c>
    </row>
    <row r="12472">
      <c r="A12472" s="1">
        <v>5.0</v>
      </c>
      <c r="B12472" s="1" t="s">
        <v>12361</v>
      </c>
      <c r="C12472" t="str">
        <f>IFERROR(__xludf.DUMMYFUNCTION("GOOGLETRANSLATE(B12472, ""es"", ""en"")"),"Purees, shakes me very well ... this blender to make purees of the child and the other who had broke. I also used to make me occasional shake and it has worked great. I have not tried to chop ice, not whether it will have sufficient power. But for the mom"&amp;"ent all ok. It cleans well, it works well and it came very quickly so everything very well.")</f>
        <v>Purees, shakes me very well ... this blender to make purees of the child and the other who had broke. I also used to make me occasional shake and it has worked great. I have not tried to chop ice, not whether it will have sufficient power. But for the moment all ok. It cleans well, it works well and it came very quickly so everything very well.</v>
      </c>
    </row>
    <row r="12473">
      <c r="A12473" s="1">
        <v>5.0</v>
      </c>
      <c r="B12473" s="1" t="s">
        <v>12362</v>
      </c>
      <c r="C12473" t="str">
        <f>IFERROR(__xludf.DUMMYFUNCTION("GOOGLETRANSLATE(B12473, ""es"", ""en"")"),"Bluetooth headset bluetooth wireless headphones good value, very useful, easy to match with all kinds of devices: TV, mobile etc. The sound quality is good and they are very aesthetic and comfortable in his demeanor. And its price is great !!!!")</f>
        <v>Bluetooth headset bluetooth wireless headphones good value, very useful, easy to match with all kinds of devices: TV, mobile etc. The sound quality is good and they are very aesthetic and comfortable in his demeanor. And its price is great !!!!</v>
      </c>
    </row>
    <row r="12474">
      <c r="A12474" s="1">
        <v>5.0</v>
      </c>
      <c r="B12474" s="1" t="s">
        <v>12363</v>
      </c>
      <c r="C12474" t="str">
        <f>IFERROR(__xludf.DUMMYFUNCTION("GOOGLETRANSLATE(B12474, ""es"", ""en"")"),"It is very large and non-slip mat very good size and I have a very large desk as well enters a laptop and you is special enough to put more things around very comfortable and fluffy non-slip so once you place not moving and that's very important very nice"&amp;" and very original drawing is also easy to clean.")</f>
        <v>It is very large and non-slip mat very good size and I have a very large desk as well enters a laptop and you is special enough to put more things around very comfortable and fluffy non-slip so once you place not moving and that's very important very nice and very original drawing is also easy to clean.</v>
      </c>
    </row>
    <row r="12475">
      <c r="A12475" s="1">
        <v>5.0</v>
      </c>
      <c r="B12475" s="1" t="s">
        <v>12364</v>
      </c>
      <c r="C12475" t="str">
        <f>IFERROR(__xludf.DUMMYFUNCTION("GOOGLETRANSLATE(B12475, ""es"", ""en"")"),"Good good headset connection: fast and with good reach. Good sound quality. Battery life, at the least for me, more than enough and quite fast loading. I also love that the phone displays an icon with the remaining charge.")</f>
        <v>Good good headset connection: fast and with good reach. Good sound quality. Battery life, at the least for me, more than enough and quite fast loading. I also love that the phone displays an icon with the remaining charge.</v>
      </c>
    </row>
    <row r="12476">
      <c r="A12476" s="1">
        <v>5.0</v>
      </c>
      <c r="B12476" s="1" t="s">
        <v>12365</v>
      </c>
      <c r="C12476" t="str">
        <f>IFERROR(__xludf.DUMMYFUNCTION("GOOGLETRANSLATE(B12476, ""es"", ""en"")"),"Ideal The pendant is gorgeous, much more than shown in the picture. I bought it last year and I have to give repurchased for another gift because I knew it would be a wise move. It also comes beautifully presented in a light blue box. I love!")</f>
        <v>Ideal The pendant is gorgeous, much more than shown in the picture. I bought it last year and I have to give repurchased for another gift because I knew it would be a wise move. It also comes beautifully presented in a light blue box. I love!</v>
      </c>
    </row>
    <row r="12477">
      <c r="A12477" s="1">
        <v>5.0</v>
      </c>
      <c r="B12477" s="1" t="s">
        <v>12366</v>
      </c>
      <c r="C12477" t="str">
        <f>IFERROR(__xludf.DUMMYFUNCTION("GOOGLETRANSLATE(B12477, ""es"", ""en"")"),"Essential if you need to organize your cables, this will be imrpescindible from now. It has a semi-rigid structure that places the eprfección cables and held in place. Recomendadísimo.")</f>
        <v>Essential if you need to organize your cables, this will be imrpescindible from now. It has a semi-rigid structure that places the eprfección cables and held in place. Recomendadísimo.</v>
      </c>
    </row>
    <row r="12478">
      <c r="A12478" s="1">
        <v>5.0</v>
      </c>
      <c r="B12478" s="1" t="s">
        <v>12367</v>
      </c>
      <c r="C12478" t="str">
        <f>IFERROR(__xludf.DUMMYFUNCTION("GOOGLETRANSLATE(B12478, ""es"", ""en"")"),"Well, nice and cheap already have summarized all. It is a good watch, works perfectly, with second and day of the month. but elegant and large numbers is very well priced. I had been looking at similar other brands: some were worth twice as much and one i"&amp;"n particular, four times. Regarding the reception was good. Before the scheduled day and all came well packaged. Perfect.")</f>
        <v>Well, nice and cheap already have summarized all. It is a good watch, works perfectly, with second and day of the month. but elegant and large numbers is very well priced. I had been looking at similar other brands: some were worth twice as much and one in particular, four times. Regarding the reception was good. Before the scheduled day and all came well packaged. Perfect.</v>
      </c>
    </row>
    <row r="12479">
      <c r="A12479" s="1">
        <v>5.0</v>
      </c>
      <c r="B12479" s="1" t="s">
        <v>12368</v>
      </c>
      <c r="C12479" t="str">
        <f>IFERROR(__xludf.DUMMYFUNCTION("GOOGLETRANSLATE(B12479, ""es"", ""en"")"),"perfect and very useful Tamnaño has a (not very big or very small) perfect size and is very comfortable to use. It has the ideal weight to be useful, without weighing too much. I would buy.")</f>
        <v>perfect and very useful Tamnaño has a (not very big or very small) perfect size and is very comfortable to use. It has the ideal weight to be useful, without weighing too much. I would buy.</v>
      </c>
    </row>
    <row r="12480">
      <c r="A12480" s="1">
        <v>5.0</v>
      </c>
      <c r="B12480" s="1" t="s">
        <v>12369</v>
      </c>
      <c r="C12480" t="str">
        <f>IFERROR(__xludf.DUMMYFUNCTION("GOOGLETRANSLATE(B12480, ""es"", ""en"")"),"A bandolier of good quality and economical Good stuff, right size and with many sections for storage. The truth is that it is better than I expected for that price")</f>
        <v>A bandolier of good quality and economical Good stuff, right size and with many sections for storage. The truth is that it is better than I expected for that price</v>
      </c>
    </row>
    <row r="12481">
      <c r="A12481" s="1">
        <v>5.0</v>
      </c>
      <c r="B12481" s="1" t="s">
        <v>12370</v>
      </c>
      <c r="C12481" t="str">
        <f>IFERROR(__xludf.DUMMYFUNCTION("GOOGLETRANSLATE(B12481, ""es"", ""en"")"),"Cool !!! Very good, You're safe because it does not damage the ears of your hij @. I love my son and tb !!!")</f>
        <v>Cool !!! Very good, You're safe because it does not damage the ears of your hij @. I love my son and tb !!!</v>
      </c>
    </row>
    <row r="12482">
      <c r="A12482" s="1">
        <v>5.0</v>
      </c>
      <c r="B12482" s="1" t="s">
        <v>12371</v>
      </c>
      <c r="C12482" t="str">
        <f>IFERROR(__xludf.DUMMYFUNCTION("GOOGLETRANSLATE(B12482, ""es"", ""en"")"),"Very nice Beautiful")</f>
        <v>Very nice Beautiful</v>
      </c>
    </row>
    <row r="12483">
      <c r="A12483" s="1">
        <v>5.0</v>
      </c>
      <c r="B12483" s="1" t="s">
        <v>12372</v>
      </c>
      <c r="C12483" t="str">
        <f>IFERROR(__xludf.DUMMYFUNCTION("GOOGLETRANSLATE(B12483, ""es"", ""en"")"),"It was good product for gift and liked it a lot. He wore long time looking for one like it and it covers all your needs.")</f>
        <v>It was good product for gift and liked it a lot. He wore long time looking for one like it and it covers all your needs.</v>
      </c>
    </row>
    <row r="12484">
      <c r="A12484" s="1">
        <v>5.0</v>
      </c>
      <c r="B12484" s="1" t="s">
        <v>12373</v>
      </c>
      <c r="C12484" t="str">
        <f>IFERROR(__xludf.DUMMYFUNCTION("GOOGLETRANSLATE(B12484, ""es"", ""en"")"),"Great pendrive Pendrive very good at all levels. It has a very very small for the capacity. It is made of aluminum and can be carried with keys without any problem even if not covered and long ago it took on the key fob. I had two very small zippo type co"&amp;"vered and I have broken. The downside is that not only USB 3.0 because like most usb carried go very slow data transfer. But it is a flash drive out of step with a huge capacity, not for copying files regularly 40GB Understandably. 10 to kingston. 100% re"&amp;"commendable")</f>
        <v>Great pendrive Pendrive very good at all levels. It has a very very small for the capacity. It is made of aluminum and can be carried with keys without any problem even if not covered and long ago it took on the key fob. I had two very small zippo type covered and I have broken. The downside is that not only USB 3.0 because like most usb carried go very slow data transfer. But it is a flash drive out of step with a huge capacity, not for copying files regularly 40GB Understandably. 10 to kingston. 100% recommendable</v>
      </c>
    </row>
    <row r="12485">
      <c r="A12485" s="1">
        <v>5.0</v>
      </c>
      <c r="B12485" s="1" t="s">
        <v>12374</v>
      </c>
      <c r="C12485" t="str">
        <f>IFERROR(__xludf.DUMMYFUNCTION("GOOGLETRANSLATE(B12485, ""es"", ""en"")"),"Very pleased with purchase very happy with the purchase, I have given my little and not for singing, also has SD card recording, is an old truth and of very good quality and good autonomy.")</f>
        <v>Very pleased with purchase very happy with the purchase, I have given my little and not for singing, also has SD card recording, is an old truth and of very good quality and good autonomy.</v>
      </c>
    </row>
    <row r="12486">
      <c r="A12486" s="1">
        <v>5.0</v>
      </c>
      <c r="B12486" s="1" t="s">
        <v>12375</v>
      </c>
      <c r="C12486" t="str">
        <f>IFERROR(__xludf.DUMMYFUNCTION("GOOGLETRANSLATE(B12486, ""es"", ""en"")"),"100% recommended I gave it to my mother and is very happy with the product, it is very effective for endless treatments.")</f>
        <v>100% recommended I gave it to my mother and is very happy with the product, it is very effective for endless treatments.</v>
      </c>
    </row>
    <row r="12487">
      <c r="A12487" s="1">
        <v>5.0</v>
      </c>
      <c r="B12487" s="1" t="s">
        <v>12376</v>
      </c>
      <c r="C12487" t="str">
        <f>IFERROR(__xludf.DUMMYFUNCTION("GOOGLETRANSLATE(B12487, ""es"", ""en"")"),"Classic watch casio One of the simplest and most durable watches in history, is well packed with original box and instruction booklets typical, warranty, etc.")</f>
        <v>Classic watch casio One of the simplest and most durable watches in history, is well packed with original box and instruction booklets typical, warranty, etc.</v>
      </c>
    </row>
    <row r="12488">
      <c r="A12488" s="1">
        <v>5.0</v>
      </c>
      <c r="B12488" s="1" t="s">
        <v>12377</v>
      </c>
      <c r="C12488" t="str">
        <f>IFERROR(__xludf.DUMMYFUNCTION("GOOGLETRANSLATE(B12488, ""es"", ""en"")"),"Good quality Brush quality brush. A rubber being reaches more sites than normal and smells less. Very happy with the purchase, I recommend")</f>
        <v>Good quality Brush quality brush. A rubber being reaches more sites than normal and smells less. Very happy with the purchase, I recommend</v>
      </c>
    </row>
    <row r="12489">
      <c r="A12489" s="1">
        <v>2.0</v>
      </c>
      <c r="B12489" s="1" t="s">
        <v>12378</v>
      </c>
      <c r="C12489" t="str">
        <f>IFERROR(__xludf.DUMMYFUNCTION("GOOGLETRANSLATE(B12489, ""es"", ""en"")"),"careful carving. The proper activation package has arrived, and time. But there has been the problem of the sizes of the shoes, which marks 39 European, but in reality equals 38, so size smaller than reality. Otherwise good product.")</f>
        <v>careful carving. The proper activation package has arrived, and time. But there has been the problem of the sizes of the shoes, which marks 39 European, but in reality equals 38, so size smaller than reality. Otherwise good product.</v>
      </c>
    </row>
    <row r="12490">
      <c r="A12490" s="1">
        <v>3.0</v>
      </c>
      <c r="B12490" s="1" t="s">
        <v>12379</v>
      </c>
      <c r="C12490" t="str">
        <f>IFERROR(__xludf.DUMMYFUNCTION("GOOGLETRANSLATE(B12490, ""es"", ""en"")"),"Normal. Value, Average What I disliked is that deceives photo, the numbers are not as clear as pictured nowhere near. It costs much more to see them at a glance. If you want to give use the digital part (clock, etc.), I would not recommend. The buttons do"&amp;" not have much sensitivity, that is, which is not good for sport. Moreover, aesthetically it is very cool, is quite small, hey, no tocho seen in the wrist, and stick with it.")</f>
        <v>Normal. Value, Average What I disliked is that deceives photo, the numbers are not as clear as pictured nowhere near. It costs much more to see them at a glance. If you want to give use the digital part (clock, etc.), I would not recommend. The buttons do not have much sensitivity, that is, which is not good for sport. Moreover, aesthetically it is very cool, is quite small, hey, no tocho seen in the wrist, and stick with it.</v>
      </c>
    </row>
    <row r="12491">
      <c r="A12491" s="1">
        <v>3.0</v>
      </c>
      <c r="B12491" s="1" t="s">
        <v>12380</v>
      </c>
      <c r="C12491" t="str">
        <f>IFERROR(__xludf.DUMMYFUNCTION("GOOGLETRANSLATE(B12491, ""es"", ""en"")"),"The cable is uncomfortable The requested because the fact of having BT 5.0 would have better connectivity. It comes in a hard case, so it's okay to take the trip, because this is small. The sound is fine, but do not notice the noise cancellation; maybe if"&amp;" you omit this feature would be better off. The setting is pretty good, if you notice feeling that going to fall. Magnets have to leave ""tied"" to the neck without having to save them, but the size and location controls bother me, because it seems that t"&amp;"he cable goes to one side and gives the feeling that it is taut. The control panel has 3 buttons: - One rising volume and if you press it as 2 seconds passes to the next song. - A button to turn on / off the handset, pause / resume the song, answer / end "&amp;"a call and activate the link. - A button that lowers the volume and if you press it as two seconds should go to the previous song, but it does not and starts the same song from the beginning; I do not know if it's normal, but I think it's a drive failure."&amp;" I did not like the sound during a call, being overly ""metallic"" and not comfortable. The battery does not seem bad, but because of the problem with not being able to go to the previous song, and the discomfort of what bothers cable makes it not have wa"&amp;"nted to try doing sport. Undoubtedly, this headset is not what I'm looking for. Is more than likely to return it because it does not meet expectations and it seems expensive for what it is.")</f>
        <v>The cable is uncomfortable The requested because the fact of having BT 5.0 would have better connectivity. It comes in a hard case, so it's okay to take the trip, because this is small. The sound is fine, but do not notice the noise cancellation; maybe if you omit this feature would be better off. The setting is pretty good, if you notice feeling that going to fall. Magnets have to leave "tied" to the neck without having to save them, but the size and location controls bother me, because it seems that the cable goes to one side and gives the feeling that it is taut. The control panel has 3 buttons: - One rising volume and if you press it as 2 seconds passes to the next song. - A button to turn on / off the handset, pause / resume the song, answer / end a call and activate the link. - A button that lowers the volume and if you press it as two seconds should go to the previous song, but it does not and starts the same song from the beginning; I do not know if it's normal, but I think it's a drive failure. I did not like the sound during a call, being overly "metallic" and not comfortable. The battery does not seem bad, but because of the problem with not being able to go to the previous song, and the discomfort of what bothers cable makes it not have wanted to try doing sport. Undoubtedly, this headset is not what I'm looking for. Is more than likely to return it because it does not meet expectations and it seems expensive for what it is.</v>
      </c>
    </row>
    <row r="12492">
      <c r="A12492" s="1">
        <v>1.0</v>
      </c>
      <c r="B12492" s="1" t="s">
        <v>12381</v>
      </c>
      <c r="C12492" t="str">
        <f>IFERROR(__xludf.DUMMYFUNCTION("GOOGLETRANSLATE(B12492, ""es"", ""en"")"),"My child knows not use my has not worked for me, for my son should be that you do not look like chest because it is bundled to bite him like a teether and never learned to use it to drink .. quality is good. A little roll to clean the nozzle is narrower")</f>
        <v>My child knows not use my has not worked for me, for my son should be that you do not look like chest because it is bundled to bite him like a teether and never learned to use it to drink .. quality is good. A little roll to clean the nozzle is narrower</v>
      </c>
    </row>
    <row r="12493">
      <c r="A12493" s="1">
        <v>1.0</v>
      </c>
      <c r="B12493" s="1" t="s">
        <v>12382</v>
      </c>
      <c r="C12493" t="str">
        <f>IFERROR(__xludf.DUMMYFUNCTION("GOOGLETRANSLATE(B12493, ""es"", ""en"")"),"Head does not fit already had read previously but I checked in person. The head does not fit into the engine, taking away power and causing the shake to make it serve. I did not expect at all such a lousy lace minipimer a supposedly high quality. I have b"&amp;"ack and try with another manufacturer.")</f>
        <v>Head does not fit already had read previously but I checked in person. The head does not fit into the engine, taking away power and causing the shake to make it serve. I did not expect at all such a lousy lace minipimer a supposedly high quality. I have back and try with another manufacturer.</v>
      </c>
    </row>
    <row r="12494">
      <c r="A12494" s="1">
        <v>4.0</v>
      </c>
      <c r="B12494" s="1" t="s">
        <v>12383</v>
      </c>
      <c r="C12494" t="str">
        <f>IFERROR(__xludf.DUMMYFUNCTION("GOOGLETRANSLATE(B12494, ""es"", ""en"")"),"all right good product good product")</f>
        <v>all right good product good product</v>
      </c>
    </row>
    <row r="12495">
      <c r="A12495" s="1">
        <v>4.0</v>
      </c>
      <c r="B12495" s="1" t="s">
        <v>12384</v>
      </c>
      <c r="C12495" t="str">
        <f>IFERROR(__xludf.DUMMYFUNCTION("GOOGLETRANSLATE(B12495, ""es"", ""en"")"),"Gabriel Martin In a first order had the mistake of ordering the current size, but be careful because you can mix the Brazilian size with European, that happened to us, but at 48 h Amazon changed our model for a full size, so great all")</f>
        <v>Gabriel Martin In a first order had the mistake of ordering the current size, but be careful because you can mix the Brazilian size with European, that happened to us, but at 48 h Amazon changed our model for a full size, so great all</v>
      </c>
    </row>
    <row r="12496">
      <c r="A12496" s="1">
        <v>4.0</v>
      </c>
      <c r="B12496" s="1" t="s">
        <v>12385</v>
      </c>
      <c r="C12496" t="str">
        <f>IFERROR(__xludf.DUMMYFUNCTION("GOOGLETRANSLATE(B12496, ""es"", ""en"")"),"Txuki The product arrived in such a great time indicating the photo is accurate picture Carve perfect anla In my opinion are a little hard be x double wedge rubber rub me a little on the inner side of the foot in the area bunion")</f>
        <v>Txuki The product arrived in such a great time indicating the photo is accurate picture Carve perfect anla In my opinion are a little hard be x double wedge rubber rub me a little on the inner side of the foot in the area bunion</v>
      </c>
    </row>
    <row r="12497">
      <c r="A12497" s="1">
        <v>4.0</v>
      </c>
      <c r="B12497" s="1" t="s">
        <v>12386</v>
      </c>
      <c r="C12497" t="str">
        <f>IFERROR(__xludf.DUMMYFUNCTION("GOOGLETRANSLATE(B12497, ""es"", ""en"")"),"Good perfect shoe")</f>
        <v>Good perfect shoe</v>
      </c>
    </row>
    <row r="12498">
      <c r="A12498" s="1">
        <v>4.0</v>
      </c>
      <c r="B12498" s="1" t="s">
        <v>12387</v>
      </c>
      <c r="C12498" t="str">
        <f>IFERROR(__xludf.DUMMYFUNCTION("GOOGLETRANSLATE(B12498, ""es"", ""en"")"),"Good product very fast delivery perfect size")</f>
        <v>Good product very fast delivery perfect size</v>
      </c>
    </row>
    <row r="12499">
      <c r="A12499" s="1">
        <v>5.0</v>
      </c>
      <c r="B12499" s="1" t="s">
        <v>12388</v>
      </c>
      <c r="C12499" t="str">
        <f>IFERROR(__xludf.DUMMYFUNCTION("GOOGLETRANSLATE(B12499, ""es"", ""en"")"),"Mam mam never disappoints never disappoints! Seguire comorandolos and tb nipples")</f>
        <v>Mam mam never disappoints never disappoints! Seguire comorandolos and tb nipples</v>
      </c>
    </row>
    <row r="12500">
      <c r="A12500" s="1">
        <v>5.0</v>
      </c>
      <c r="B12500" s="1" t="s">
        <v>12389</v>
      </c>
      <c r="C12500" t="str">
        <f>IFERROR(__xludf.DUMMYFUNCTION("GOOGLETRANSLATE(B12500, ""es"", ""en"")"),"Surprisingly comfortable and very good sound quality I was pleasantly surprised by the quality of these headphones for the price they have. They come in their own case, ideal for storage and avoid tangling. The sound quality is fantastic and very comforta"&amp;"ble. I recommend it 100%. Good buy.")</f>
        <v>Surprisingly comfortable and very good sound quality I was pleasantly surprised by the quality of these headphones for the price they have. They come in their own case, ideal for storage and avoid tangling. The sound quality is fantastic and very comfortable. I recommend it 100%. Good buy.</v>
      </c>
    </row>
    <row r="12501">
      <c r="A12501" s="1">
        <v>5.0</v>
      </c>
      <c r="B12501" s="1" t="s">
        <v>12390</v>
      </c>
      <c r="C12501" t="str">
        <f>IFERROR(__xludf.DUMMYFUNCTION("GOOGLETRANSLATE(B12501, ""es"", ""en"")"),"Very good really is a strong marker, I used to separate different sections of books, good use as described in the product")</f>
        <v>Very good really is a strong marker, I used to separate different sections of books, good use as described in the product</v>
      </c>
    </row>
    <row r="12502">
      <c r="A12502" s="1">
        <v>5.0</v>
      </c>
      <c r="B12502" s="1" t="s">
        <v>12391</v>
      </c>
      <c r="C12502" t="str">
        <f>IFERROR(__xludf.DUMMYFUNCTION("GOOGLETRANSLATE(B12502, ""es"", ""en"")"),"Nin @ slate / s grade A blackboard pretty far I am delighted at the kid he is great for making math exercises and review")</f>
        <v>Nin @ slate / s grade A blackboard pretty far I am delighted at the kid he is great for making math exercises and review</v>
      </c>
    </row>
    <row r="12503">
      <c r="A12503" s="1">
        <v>5.0</v>
      </c>
      <c r="B12503" s="1" t="s">
        <v>12392</v>
      </c>
      <c r="C12503" t="str">
        <f>IFERROR(__xludf.DUMMYFUNCTION("GOOGLETRANSLATE(B12503, ""es"", ""en"")"),"Very happy La Taya is perfect! They are beautiful. The shipping was fast and uncomplicated.")</f>
        <v>Very happy La Taya is perfect! They are beautiful. The shipping was fast and uncomplicated.</v>
      </c>
    </row>
    <row r="12504">
      <c r="A12504" s="1">
        <v>5.0</v>
      </c>
      <c r="B12504" s="1" t="s">
        <v>12393</v>
      </c>
      <c r="C12504" t="str">
        <f>IFERROR(__xludf.DUMMYFUNCTION("GOOGLETRANSLATE(B12504, ""es"", ""en"")"),"ASHWOOD - Camden 8351 - Shoulder bag is as seen on the PC. Good finishes, robusta.Adecuada is presumed to my needs, neither big nor pequeña.No have found similar to aged appearance.")</f>
        <v>ASHWOOD - Camden 8351 - Shoulder bag is as seen on the PC. Good finishes, robusta.Adecuada is presumed to my needs, neither big nor pequeña.No have found similar to aged appearance.</v>
      </c>
    </row>
    <row r="12505">
      <c r="A12505" s="1">
        <v>5.0</v>
      </c>
      <c r="B12505" s="1" t="s">
        <v>12394</v>
      </c>
      <c r="C12505" t="str">
        <f>IFERROR(__xludf.DUMMYFUNCTION("GOOGLETRANSLATE(B12505, ""es"", ""en"")"),"Still Encantada is using them, because when they bought not had their number, it has led to additional staff, well cleaned with a damp cloth and KH7")</f>
        <v>Still Encantada is using them, because when they bought not had their number, it has led to additional staff, well cleaned with a damp cloth and KH7</v>
      </c>
    </row>
    <row r="12506">
      <c r="A12506" s="1">
        <v>5.0</v>
      </c>
      <c r="B12506" s="1" t="s">
        <v>12395</v>
      </c>
      <c r="C12506" t="str">
        <f>IFERROR(__xludf.DUMMYFUNCTION("GOOGLETRANSLATE(B12506, ""es"", ""en"")"),"Effective and convenient to use I asked my wife to buy something to clean the face, to remove pimples and smoothing a little 1arrugas. He found this product because we knew the properties of stone Jade and wanted to try it. Takes a week using it for the n"&amp;"ight, No 15 'instructions and advise yet note says that you have the best skin. Aocnseja also it warm up before use and has thus not tested, only cold. Have you noticed that cleans the pores and then you use face is softer. He is delighted with the purcha"&amp;"se and use it carefully because as fall is likely to be broken. Recommended purchase.")</f>
        <v>Effective and convenient to use I asked my wife to buy something to clean the face, to remove pimples and smoothing a little 1arrugas. He found this product because we knew the properties of stone Jade and wanted to try it. Takes a week using it for the night, No 15 'instructions and advise yet note says that you have the best skin. Aocnseja also it warm up before use and has thus not tested, only cold. Have you noticed that cleans the pores and then you use face is softer. He is delighted with the purchase and use it carefully because as fall is likely to be broken. Recommended purchase.</v>
      </c>
    </row>
    <row r="12507">
      <c r="A12507" s="1">
        <v>5.0</v>
      </c>
      <c r="B12507" s="1" t="s">
        <v>12396</v>
      </c>
      <c r="C12507" t="str">
        <f>IFERROR(__xludf.DUMMYFUNCTION("GOOGLETRANSLATE(B12507, ""es"", ""en"")"),"Phenomenal Love, buy 10, all are a great Pelin your usual size, but in my case, the wash shrank slightly, less the white model. Still, I recommend it.")</f>
        <v>Phenomenal Love, buy 10, all are a great Pelin your usual size, but in my case, the wash shrank slightly, less the white model. Still, I recommend it.</v>
      </c>
    </row>
    <row r="12508">
      <c r="A12508" s="1">
        <v>5.0</v>
      </c>
      <c r="B12508" s="1" t="s">
        <v>12397</v>
      </c>
      <c r="C12508" t="str">
        <f>IFERROR(__xludf.DUMMYFUNCTION("GOOGLETRANSLATE(B12508, ""es"", ""en"")"),"A very good product very good quality product like all Skechers I bought so far. It is perfect for carving. A product that will surely buy again.")</f>
        <v>A very good product very good quality product like all Skechers I bought so far. It is perfect for carving. A product that will surely buy again.</v>
      </c>
    </row>
    <row r="12509">
      <c r="A12509" s="1">
        <v>5.0</v>
      </c>
      <c r="B12509" s="1" t="s">
        <v>12398</v>
      </c>
      <c r="C12509" t="str">
        <f>IFERROR(__xludf.DUMMYFUNCTION("GOOGLETRANSLATE(B12509, ""es"", ""en"")"),"The use comfort to wear and are very comfortable.")</f>
        <v>The use comfort to wear and are very comfortable.</v>
      </c>
    </row>
    <row r="12510">
      <c r="A12510" s="1">
        <v>5.0</v>
      </c>
      <c r="B12510" s="1" t="s">
        <v>12399</v>
      </c>
      <c r="C12510" t="str">
        <f>IFERROR(__xludf.DUMMYFUNCTION("GOOGLETRANSLATE(B12510, ""es"", ""en"")"),"IDEAL. Product that meets my needs. HDD used as backup when formatting mobile or laptop PC. Done at fault not sell it with a protective case which kept with its cable. It comes with pdf manuals to take full advantage. Silent. ideal capacity. USB Connectio"&amp;"n 3, fast reading and writing")</f>
        <v>IDEAL. Product that meets my needs. HDD used as backup when formatting mobile or laptop PC. Done at fault not sell it with a protective case which kept with its cable. It comes with pdf manuals to take full advantage. Silent. ideal capacity. USB Connection 3, fast reading and writing</v>
      </c>
    </row>
    <row r="12511">
      <c r="A12511" s="1">
        <v>5.0</v>
      </c>
      <c r="B12511" s="1" t="s">
        <v>12400</v>
      </c>
      <c r="C12511" t="str">
        <f>IFERROR(__xludf.DUMMYFUNCTION("GOOGLETRANSLATE(B12511, ""es"", ""en"")"),"Beautiful and convenient After some time using it'm very happy with it, I use it every day to boil water and prepare a good tea. The use gas cooker")</f>
        <v>Beautiful and convenient After some time using it'm very happy with it, I use it every day to boil water and prepare a good tea. The use gas cooker</v>
      </c>
    </row>
    <row r="12512">
      <c r="A12512" s="1">
        <v>5.0</v>
      </c>
      <c r="B12512" s="1" t="s">
        <v>12401</v>
      </c>
      <c r="C12512" t="str">
        <f>IFERROR(__xludf.DUMMYFUNCTION("GOOGLETRANSLATE(B12512, ""es"", ""en"")"),"perfect and finished for my size is the perfect size. It is necessary to go to the gym. In addition the fabric is so squishy that conforms to what you wear inside. Has a pocket on one side to keep the locker key, the card of the gym, or little things ...."&amp;" good buy and happy")</f>
        <v>perfect and finished for my size is the perfect size. It is necessary to go to the gym. In addition the fabric is so squishy that conforms to what you wear inside. Has a pocket on one side to keep the locker key, the card of the gym, or little things .... good buy and happy</v>
      </c>
    </row>
    <row r="12513">
      <c r="A12513" s="1">
        <v>5.0</v>
      </c>
      <c r="B12513" s="1" t="s">
        <v>12402</v>
      </c>
      <c r="C12513" t="str">
        <f>IFERROR(__xludf.DUMMYFUNCTION("GOOGLETRANSLATE(B12513, ""es"", ""en"")"),"Pretty Good quality sweatshirt and very good quality was a gift and was delighted, my inspiration comments from buyers in based on the size we fully successful. Very satisfied. We bought together with another Joma and pants set is perfect and the same fab"&amp;"ric.")</f>
        <v>Pretty Good quality sweatshirt and very good quality was a gift and was delighted, my inspiration comments from buyers in based on the size we fully successful. Very satisfied. We bought together with another Joma and pants set is perfect and the same fabric.</v>
      </c>
    </row>
    <row r="12514">
      <c r="A12514" s="1">
        <v>5.0</v>
      </c>
      <c r="B12514" s="1" t="s">
        <v>12403</v>
      </c>
      <c r="C12514" t="str">
        <f>IFERROR(__xludf.DUMMYFUNCTION("GOOGLETRANSLATE(B12514, ""es"", ""en"")"),"Ideal is ideal for sports, subject and is very comfortable")</f>
        <v>Ideal is ideal for sports, subject and is very comfortable</v>
      </c>
    </row>
    <row r="12515">
      <c r="A12515" s="1">
        <v>5.0</v>
      </c>
      <c r="B12515" s="1" t="s">
        <v>12404</v>
      </c>
      <c r="C12515" t="str">
        <f>IFERROR(__xludf.DUMMYFUNCTION("GOOGLETRANSLATE(B12515, ""es"", ""en"")"),"Farewell to the tangle of cables. All we have computers and their peripherals should have a cable management like this. I was already going crazy with both cable (monitor, printer, scanner, patch cord network, router, etc etc) plus electronic devices (pow"&amp;"er supply, gun hot air soldering station, etc etc) as the jungle of cables. With this organizer, which incidentally is very easy to tuck the wires with the guide that leads, I have gained in space, clean and quiet, everything in place and is even nice to "&amp;"see a had ringed as decoration, much more aesthetic than see wires galore. Very imperative.")</f>
        <v>Farewell to the tangle of cables. All we have computers and their peripherals should have a cable management like this. I was already going crazy with both cable (monitor, printer, scanner, patch cord network, router, etc etc) plus electronic devices (power supply, gun hot air soldering station, etc etc) as the jungle of cables. With this organizer, which incidentally is very easy to tuck the wires with the guide that leads, I have gained in space, clean and quiet, everything in place and is even nice to see a had ringed as decoration, much more aesthetic than see wires galore. Very imperative.</v>
      </c>
    </row>
    <row r="12516">
      <c r="A12516" s="1">
        <v>5.0</v>
      </c>
      <c r="B12516" s="1" t="s">
        <v>12405</v>
      </c>
      <c r="C12516" t="str">
        <f>IFERROR(__xludf.DUMMYFUNCTION("GOOGLETRANSLATE(B12516, ""es"", ""en"")"),"Perfect as in the photos, it's great. Does not take long to heat up water at full capacity, it is very clean and does not make much noise.")</f>
        <v>Perfect as in the photos, it's great. Does not take long to heat up water at full capacity, it is very clean and does not make much noise.</v>
      </c>
    </row>
    <row r="12517">
      <c r="A12517" s="1">
        <v>5.0</v>
      </c>
      <c r="B12517" s="1" t="s">
        <v>12406</v>
      </c>
      <c r="C12517" t="str">
        <f>IFERROR(__xludf.DUMMYFUNCTION("GOOGLETRANSLATE(B12517, ""es"", ""en"")"),"Large capacity and very easy to clean blender with large glass (2 liters) and several functions besides beating extras such as making a smoothie, or chop chop fruit or ice, even to wash the glass. If you simply want to beat, as you turn the wheel to the r"&amp;"ight by selecting the intensity and if you want to use the programs, tours to the left, select the program and then pressing ON. Easy to clean, simply pouring a little water, putting it in the washing program and washed once rinse with water and a damp cl"&amp;"oth. The best thing about it is the great capacity, because with 2L can cram a lot of fruit and make smoothies or whatever you want without having to do it in batches")</f>
        <v>Large capacity and very easy to clean blender with large glass (2 liters) and several functions besides beating extras such as making a smoothie, or chop chop fruit or ice, even to wash the glass. If you simply want to beat, as you turn the wheel to the right by selecting the intensity and if you want to use the programs, tours to the left, select the program and then pressing ON. Easy to clean, simply pouring a little water, putting it in the washing program and washed once rinse with water and a damp cloth. The best thing about it is the great capacity, because with 2L can cram a lot of fruit and make smoothies or whatever you want without having to do it in batches</v>
      </c>
    </row>
    <row r="12518">
      <c r="A12518" s="1">
        <v>2.0</v>
      </c>
      <c r="B12518" s="1" t="s">
        <v>12407</v>
      </c>
      <c r="C12518" t="str">
        <f>IFERROR(__xludf.DUMMYFUNCTION("GOOGLETRANSLATE(B12518, ""es"", ""en"")"),"Fino is thinner than it appears in the photo in the photo looks chubby and is not")</f>
        <v>Fino is thinner than it appears in the photo in the photo looks chubby and is not</v>
      </c>
    </row>
    <row r="12519">
      <c r="A12519" s="1">
        <v>3.0</v>
      </c>
      <c r="B12519" s="1" t="s">
        <v>12408</v>
      </c>
      <c r="C12519" t="str">
        <f>IFERROR(__xludf.DUMMYFUNCTION("GOOGLETRANSLATE(B12519, ""es"", ""en"")"),"They are pretty Lacks support at the sides. They should remember that breasts are round and require full support")</f>
        <v>They are pretty Lacks support at the sides. They should remember that breasts are round and require full support</v>
      </c>
    </row>
    <row r="12520">
      <c r="A12520" s="1">
        <v>1.0</v>
      </c>
      <c r="B12520" s="1" t="s">
        <v>12409</v>
      </c>
      <c r="C12520" t="str">
        <f>IFERROR(__xludf.DUMMYFUNCTION("GOOGLETRANSLATE(B12520, ""es"", ""en"")"),"0 advisable. I needed a WiFi card for a job they needed the photos as were doing. I tested several days before and perfect ... and just needed the day I failed completely, or not connected with the application or not carrying me photos in the application "&amp;"and therefore neither could download them to the phone or send them .. . We install the application on another phone and did not work either. It was money thrown away since I bought specifically for that job.")</f>
        <v>0 advisable. I needed a WiFi card for a job they needed the photos as were doing. I tested several days before and perfect ... and just needed the day I failed completely, or not connected with the application or not carrying me photos in the application and therefore neither could download them to the phone or send them .. . We install the application on another phone and did not work either. It was money thrown away since I bought specifically for that job.</v>
      </c>
    </row>
    <row r="12521">
      <c r="A12521" s="1">
        <v>1.0</v>
      </c>
      <c r="B12521" s="1" t="s">
        <v>12410</v>
      </c>
      <c r="C12521" t="str">
        <f>IFERROR(__xludf.DUMMYFUNCTION("GOOGLETRANSLATE(B12521, ""es"", ""en"")"),"Emitacion / Deception When they got the shoes I was absolutely amazed, achieving the heel was faded and not only that but it does not correspond calligraphy nothing to converse original (the original has a star in his letters) .... . they are emitacion an"&amp;"d I got into talk page and none of his shoes have the logo how are you. total disappointment, the returned without any problems")</f>
        <v>Emitacion / Deception When they got the shoes I was absolutely amazed, achieving the heel was faded and not only that but it does not correspond calligraphy nothing to converse original (the original has a star in his letters) .... . they are emitacion and I got into talk page and none of his shoes have the logo how are you. total disappointment, the returned without any problems</v>
      </c>
    </row>
    <row r="12522">
      <c r="A12522" s="1">
        <v>1.0</v>
      </c>
      <c r="B12522" s="1" t="s">
        <v>12411</v>
      </c>
      <c r="C12522" t="str">
        <f>IFERROR(__xludf.DUMMYFUNCTION("GOOGLETRANSLATE(B12522, ""es"", ""en"")"),"Is not to heat milk and chocolate, I've wanted to return eternalizes and all objections. I was the provider had to llervalo his workshop .... Everything was with who sold, not Amazon")</f>
        <v>Is not to heat milk and chocolate, I've wanted to return eternalizes and all objections. I was the provider had to llervalo his workshop .... Everything was with who sold, not Amazon</v>
      </c>
    </row>
    <row r="12523">
      <c r="A12523" s="1">
        <v>4.0</v>
      </c>
      <c r="B12523" s="1" t="s">
        <v>12412</v>
      </c>
      <c r="C12523" t="str">
        <f>IFERROR(__xludf.DUMMYFUNCTION("GOOGLETRANSLATE(B12523, ""es"", ""en"")"),"Toe tighter. They are expected. Although it has somewhat fairer than the old Duramo toe.")</f>
        <v>Toe tighter. They are expected. Although it has somewhat fairer than the old Duramo toe.</v>
      </c>
    </row>
    <row r="12524">
      <c r="A12524" s="1">
        <v>4.0</v>
      </c>
      <c r="B12524" s="1" t="s">
        <v>12413</v>
      </c>
      <c r="C12524" t="str">
        <f>IFERROR(__xludf.DUMMYFUNCTION("GOOGLETRANSLATE(B12524, ""es"", ""en"")"),"The truth very well q I bought to give away, and according to my wife, I loved, comfortable, arrived at the agreed time ... Anyway, great.")</f>
        <v>The truth very well q I bought to give away, and according to my wife, I loved, comfortable, arrived at the agreed time ... Anyway, great.</v>
      </c>
    </row>
    <row r="12525">
      <c r="A12525" s="1">
        <v>4.0</v>
      </c>
      <c r="B12525" s="1" t="s">
        <v>12414</v>
      </c>
      <c r="C12525" t="str">
        <f>IFERROR(__xludf.DUMMYFUNCTION("GOOGLETRANSLATE(B12525, ""es"", ""en"")"),"Cable Cable correcte correcte works. Esperem that duri bona season. No tinc res month dir moment. Bon dia")</f>
        <v>Cable Cable correcte correcte works. Esperem that duri bona season. No tinc res month dir moment. Bon dia</v>
      </c>
    </row>
    <row r="12526">
      <c r="A12526" s="1">
        <v>4.0</v>
      </c>
      <c r="B12526" s="1" t="s">
        <v>12415</v>
      </c>
      <c r="C12526" t="str">
        <f>IFERROR(__xludf.DUMMYFUNCTION("GOOGLETRANSLATE(B12526, ""es"", ""en"")"),"The color is accurate to the photo I've put and is very comfortable, I need to wash it and check it does not shrink because it is quite thick and if the same shrinking squeezes. I'll know soon")</f>
        <v>The color is accurate to the photo I've put and is very comfortable, I need to wash it and check it does not shrink because it is quite thick and if the same shrinking squeezes. I'll know soon</v>
      </c>
    </row>
    <row r="12527">
      <c r="A12527" s="1">
        <v>4.0</v>
      </c>
      <c r="B12527" s="1" t="s">
        <v>12416</v>
      </c>
      <c r="C12527" t="str">
        <f>IFERROR(__xludf.DUMMYFUNCTION("GOOGLETRANSLATE(B12527, ""es"", ""en"")"),"All accessories included arrived a day late with what I bought, but good, good packaging, and product in perfect condition. What I appreciate most is that all accessories come at a good price. I've already used the grinder and doing very well and with lit"&amp;"tle noise.")</f>
        <v>All accessories included arrived a day late with what I bought, but good, good packaging, and product in perfect condition. What I appreciate most is that all accessories come at a good price. I've already used the grinder and doing very well and with little noise.</v>
      </c>
    </row>
    <row r="12528">
      <c r="A12528" s="1">
        <v>5.0</v>
      </c>
      <c r="B12528" s="1" t="s">
        <v>12417</v>
      </c>
      <c r="C12528" t="str">
        <f>IFERROR(__xludf.DUMMYFUNCTION("GOOGLETRANSLATE(B12528, ""es"", ""en"")"),"Well resistant, good price. What you really expect with this type of watch.")</f>
        <v>Well resistant, good price. What you really expect with this type of watch.</v>
      </c>
    </row>
    <row r="12529">
      <c r="A12529" s="1">
        <v>5.0</v>
      </c>
      <c r="B12529" s="1" t="s">
        <v>12418</v>
      </c>
      <c r="C12529" t="str">
        <f>IFERROR(__xludf.DUMMYFUNCTION("GOOGLETRANSLATE(B12529, ""es"", ""en"")"),"I love I love design and is very comfortable to wear. It is a watch that you can wear it whether you'll wear to go to an event. I love it.")</f>
        <v>I love I love design and is very comfortable to wear. It is a watch that you can wear it whether you'll wear to go to an event. I love it.</v>
      </c>
    </row>
    <row r="12530">
      <c r="A12530" s="1">
        <v>5.0</v>
      </c>
      <c r="B12530" s="1" t="s">
        <v>12419</v>
      </c>
      <c r="C12530" t="str">
        <f>IFERROR(__xludf.DUMMYFUNCTION("GOOGLETRANSLATE(B12530, ""es"", ""en"")"),"everything perfect spot shipping, well packaged. Product that provides great grip on large sizes. Good price. Let's wait and see how it behaves after a few washings")</f>
        <v>everything perfect spot shipping, well packaged. Product that provides great grip on large sizes. Good price. Let's wait and see how it behaves after a few washings</v>
      </c>
    </row>
    <row r="12531">
      <c r="A12531" s="1">
        <v>5.0</v>
      </c>
      <c r="B12531" s="1" t="s">
        <v>12420</v>
      </c>
      <c r="C12531" t="str">
        <f>IFERROR(__xludf.DUMMYFUNCTION("GOOGLETRANSLATE(B12531, ""es"", ""en"")"),"Slippers Warm boots, super calentitas. The design is very modern and the color is very oscurito suffered. The sole is non-slip and rather fat that makes cold insulation of the floor. The template is very squishy foam the size is perfect, I asked the 39 an"&amp;"d I have very good")</f>
        <v>Slippers Warm boots, super calentitas. The design is very modern and the color is very oscurito suffered. The sole is non-slip and rather fat that makes cold insulation of the floor. The template is very squishy foam the size is perfect, I asked the 39 and I have very good</v>
      </c>
    </row>
    <row r="12532">
      <c r="A12532" s="1">
        <v>5.0</v>
      </c>
      <c r="B12532" s="1" t="s">
        <v>12421</v>
      </c>
      <c r="C12532" t="str">
        <f>IFERROR(__xludf.DUMMYFUNCTION("GOOGLETRANSLATE(B12532, ""es"", ""en"")"),"Professional Card Best Value Card. I use it to record video 4k50p to 100Mbps on a Pocket Osmo and goes perfect. As for the package is very well presented, with SD adapter included. I always use this brand with GH5 (in SDXC format) with no problem, and now"&amp;" for Osmo opted for this. Encuanto a capacity gives me an hour and peak in the aforementioned resolution, which for me is more than enough, and need more, there is more capacity. I will definitely buy more!")</f>
        <v>Professional Card Best Value Card. I use it to record video 4k50p to 100Mbps on a Pocket Osmo and goes perfect. As for the package is very well presented, with SD adapter included. I always use this brand with GH5 (in SDXC format) with no problem, and now for Osmo opted for this. Encuanto a capacity gives me an hour and peak in the aforementioned resolution, which for me is more than enough, and need more, there is more capacity. I will definitely buy more!</v>
      </c>
    </row>
    <row r="12533">
      <c r="A12533" s="1">
        <v>5.0</v>
      </c>
      <c r="B12533" s="1" t="s">
        <v>12422</v>
      </c>
      <c r="C12533" t="str">
        <f>IFERROR(__xludf.DUMMYFUNCTION("GOOGLETRANSLATE(B12533, ""es"", ""en"")"),"Ideals, Skechers best choice !! I like everything about Skechers, have done it again, it is ideal for people who are standing a long time, do not want to take ... if the purchases .. repeat !!!")</f>
        <v>Ideals, Skechers best choice !! I like everything about Skechers, have done it again, it is ideal for people who are standing a long time, do not want to take ... if the purchases .. repeat !!!</v>
      </c>
    </row>
    <row r="12534">
      <c r="A12534" s="1">
        <v>5.0</v>
      </c>
      <c r="B12534" s="1" t="s">
        <v>12423</v>
      </c>
      <c r="C12534" t="str">
        <f>IFERROR(__xludf.DUMMYFUNCTION("GOOGLETRANSLATE(B12534, ""es"", ""en"")"),"Perfect I have loved, I left me perfectly, I recommend 💕😝.")</f>
        <v>Perfect I have loved, I left me perfectly, I recommend 💕😝.</v>
      </c>
    </row>
    <row r="12535">
      <c r="A12535" s="1">
        <v>5.0</v>
      </c>
      <c r="B12535" s="1" t="s">
        <v>12424</v>
      </c>
      <c r="C12535" t="str">
        <f>IFERROR(__xludf.DUMMYFUNCTION("GOOGLETRANSLATE(B12535, ""es"", ""en"")"),"Excellent product really works, I loved it !! I recommend it 100% the result was surprising 👍🏼🤩 desinflamo bags under the eyes. The refreshing feeling of patches besides curing bags, gives relaxing effect for the area around the eyes.")</f>
        <v>Excellent product really works, I loved it !! I recommend it 100% the result was surprising 👍🏼🤩 desinflamo bags under the eyes. The refreshing feeling of patches besides curing bags, gives relaxing effect for the area around the eyes.</v>
      </c>
    </row>
    <row r="12536">
      <c r="A12536" s="1">
        <v>5.0</v>
      </c>
      <c r="B12536" s="1" t="s">
        <v>12425</v>
      </c>
      <c r="C12536" t="str">
        <f>IFERROR(__xludf.DUMMYFUNCTION("GOOGLETRANSLATE(B12536, ""es"", ""en"")"),"It works very well shine")</f>
        <v>It works very well shine</v>
      </c>
    </row>
    <row r="12537">
      <c r="A12537" s="1">
        <v>5.0</v>
      </c>
      <c r="B12537" s="1" t="s">
        <v>12426</v>
      </c>
      <c r="C12537" t="str">
        <f>IFERROR(__xludf.DUMMYFUNCTION("GOOGLETRANSLATE(B12537, ""es"", ""en"")"),"The value - prices use as support for tablet and I find it light and strong. Practices also very different positions, which have not found other, to use it standing, sitting, lying etc. clamping braces are strong and respond well without falling.")</f>
        <v>The value - prices use as support for tablet and I find it light and strong. Practices also very different positions, which have not found other, to use it standing, sitting, lying etc. clamping braces are strong and respond well without falling.</v>
      </c>
    </row>
    <row r="12538">
      <c r="A12538" s="1">
        <v>5.0</v>
      </c>
      <c r="B12538" s="1" t="s">
        <v>12427</v>
      </c>
      <c r="C12538" t="str">
        <f>IFERROR(__xludf.DUMMYFUNCTION("GOOGLETRANSLATE(B12538, ""es"", ""en"")"),"I have excellent no complaints at this price really does just fine with his duty, quite good materials and construction, the quality of the sound is very good considering what it costs and certainly beats any product in this category and price, so I give "&amp;"5 stars")</f>
        <v>I have excellent no complaints at this price really does just fine with his duty, quite good materials and construction, the quality of the sound is very good considering what it costs and certainly beats any product in this category and price, so I give 5 stars</v>
      </c>
    </row>
    <row r="12539">
      <c r="A12539" s="1">
        <v>5.0</v>
      </c>
      <c r="B12539" s="1" t="s">
        <v>12428</v>
      </c>
      <c r="C12539" t="str">
        <f>IFERROR(__xludf.DUMMYFUNCTION("GOOGLETRANSLATE(B12539, ""es"", ""en"")"),"Super bag fits you all. I got an iPad and fits great and is protected. It has multiple pockets to separate everything you wear. Very good finish and good quality in both exterior and interior and zippers very good.")</f>
        <v>Super bag fits you all. I got an iPad and fits great and is protected. It has multiple pockets to separate everything you wear. Very good finish and good quality in both exterior and interior and zippers very good.</v>
      </c>
    </row>
    <row r="12540">
      <c r="A12540" s="1">
        <v>5.0</v>
      </c>
      <c r="B12540" s="1" t="s">
        <v>12429</v>
      </c>
      <c r="C12540" t="str">
        <f>IFERROR(__xludf.DUMMYFUNCTION("GOOGLETRANSLATE(B12540, ""es"", ""en"")"),"Same as picture perfect teaching. Me several times and I put my finger does not stain or have ugly since. They are all beautiful")</f>
        <v>Same as picture perfect teaching. Me several times and I put my finger does not stain or have ugly since. They are all beautiful</v>
      </c>
    </row>
    <row r="12541">
      <c r="A12541" s="1">
        <v>5.0</v>
      </c>
      <c r="B12541" s="1" t="s">
        <v>12430</v>
      </c>
      <c r="C12541" t="str">
        <f>IFERROR(__xludf.DUMMYFUNCTION("GOOGLETRANSLATE(B12541, ""es"", ""en"")"),"One pass, encatan me! They are very comfortable, more than I thought. Calzan great, I caught average number less than the one I use normally.")</f>
        <v>One pass, encatan me! They are very comfortable, more than I thought. Calzan great, I caught average number less than the one I use normally.</v>
      </c>
    </row>
    <row r="12542">
      <c r="A12542" s="1">
        <v>5.0</v>
      </c>
      <c r="B12542" s="1" t="s">
        <v>12431</v>
      </c>
      <c r="C12542" t="str">
        <f>IFERROR(__xludf.DUMMYFUNCTION("GOOGLETRANSLATE(B12542, ""es"", ""en"")"),"Perfect for its mission needed a longer cable jack 6.35mm for connection to my amplifier and the truth is that it has fulfilled my expectations 100%. After taking a couple of weeks using it can tell you not to put fault. - The quality of the audio, althou"&amp;"gh the length of the cord, has been affected. - The cable and plugs are very strong and well coupled. (It is true that, once connected, I have not moved much) - The cable is well insulated. I have with several power lines and there is no interference. If "&amp;"the goal is simply a 6.35mm jack cable (you could also put other measures adapters) of this length, I recommend it 100% for the value it offers. proper packaging, the brand takes care of pretty well the appearance of the prodcuto and its packaging. Manual"&amp;"s / instructions in Castilian (among other languages).")</f>
        <v>Perfect for its mission needed a longer cable jack 6.35mm for connection to my amplifier and the truth is that it has fulfilled my expectations 100%. After taking a couple of weeks using it can tell you not to put fault. - The quality of the audio, although the length of the cord, has been affected. - The cable and plugs are very strong and well coupled. (It is true that, once connected, I have not moved much) - The cable is well insulated. I have with several power lines and there is no interference. If the goal is simply a 6.35mm jack cable (you could also put other measures adapters) of this length, I recommend it 100% for the value it offers. proper packaging, the brand takes care of pretty well the appearance of the prodcuto and its packaging. Manuals / instructions in Castilian (among other languages).</v>
      </c>
    </row>
    <row r="12543">
      <c r="A12543" s="1">
        <v>5.0</v>
      </c>
      <c r="B12543" s="1" t="s">
        <v>12432</v>
      </c>
      <c r="C12543" t="str">
        <f>IFERROR(__xludf.DUMMYFUNCTION("GOOGLETRANSLATE(B12543, ""es"", ""en"")"),"Mercedes gave yesterday and spoke to the recipient of the gift and said he funcionava well. And I went very well priced.")</f>
        <v>Mercedes gave yesterday and spoke to the recipient of the gift and said he funcionava well. And I went very well priced.</v>
      </c>
    </row>
    <row r="12544">
      <c r="A12544" s="1">
        <v>5.0</v>
      </c>
      <c r="B12544" s="1" t="s">
        <v>12433</v>
      </c>
      <c r="C12544" t="str">
        <f>IFERROR(__xludf.DUMMYFUNCTION("GOOGLETRANSLATE(B12544, ""es"", ""en"")"),"Excellent insurance")</f>
        <v>Excellent insurance</v>
      </c>
    </row>
    <row r="12545">
      <c r="A12545" s="1">
        <v>5.0</v>
      </c>
      <c r="B12545" s="1" t="s">
        <v>12434</v>
      </c>
      <c r="C12545" t="str">
        <f>IFERROR(__xludf.DUMMYFUNCTION("GOOGLETRANSLATE(B12545, ""es"", ""en"")"),"Natalia F For me the most. I am a dancer and regularly use to give my urban dance classes. They are super comfortable from day one. Of course you already knew that. I am 43 and used them at school and when I see them I did not hesitate.")</f>
        <v>Natalia F For me the most. I am a dancer and regularly use to give my urban dance classes. They are super comfortable from day one. Of course you already knew that. I am 43 and used them at school and when I see them I did not hesitate.</v>
      </c>
    </row>
    <row r="12546">
      <c r="A12546" s="1">
        <v>2.0</v>
      </c>
      <c r="B12546" s="1" t="s">
        <v>12435</v>
      </c>
      <c r="C12546" t="str">
        <f>IFERROR(__xludf.DUMMYFUNCTION("GOOGLETRANSLATE(B12546, ""es"", ""en"")"),"Not buy The aroma does not last long and are not very nice")</f>
        <v>Not buy The aroma does not last long and are not very nice</v>
      </c>
    </row>
    <row r="12547">
      <c r="A12547" s="1">
        <v>3.0</v>
      </c>
      <c r="B12547" s="1" t="s">
        <v>12436</v>
      </c>
      <c r="C12547" t="str">
        <f>IFERROR(__xludf.DUMMYFUNCTION("GOOGLETRANSLATE(B12547, ""es"", ""en"")"),"Sizes are small. I asked chock 43 and 44 .... and instep is very small should have been 45, sizes are small. I asked chock 43 and 44 .... and instep is very small should have been 45, in fact my wife wears having a hollow 39. vamp does not match the size."&amp;" However the shoe has good quality")</f>
        <v>Sizes are small. I asked chock 43 and 44 .... and instep is very small should have been 45, sizes are small. I asked chock 43 and 44 .... and instep is very small should have been 45, in fact my wife wears having a hollow 39. vamp does not match the size. However the shoe has good quality</v>
      </c>
    </row>
    <row r="12548">
      <c r="A12548" s="1">
        <v>3.0</v>
      </c>
      <c r="B12548" s="1" t="s">
        <v>12437</v>
      </c>
      <c r="C12548" t="str">
        <f>IFERROR(__xludf.DUMMYFUNCTION("GOOGLETRANSLATE(B12548, ""es"", ""en"")"),"The engine is to stopped, and knives impossible to disassemble. We just arrived. Mentioning that the connection of the glass to the device, clip is not, turn the glass. IT IS IMPOSSIBLE BLADE REMOVAL; and we are also difficult, connect the vessel. Sometim"&amp;"es it connected in one way, and others have to turn, and turn the vessel to anchor it to the base. The first time, I thought it was too noisy, but okay. It would be was still unused. The food leaves perfect, creams ... with exquisite textures. And it's so"&amp;"mething small if, but for the price ...! We will have to make two batches for certain things. The lid is sealed !, and CRISTAL is very good ... as it should be. After about 10 good uses, (Salmorejo, and milkshakes), the engine ... IS A STOPPED, AND WHY IS"&amp;". (Stops for a great time, for safety) PRODUCT IS NOT A PROFESSIONAL IN WHICH can trust.")</f>
        <v>The engine is to stopped, and knives impossible to disassemble. We just arrived. Mentioning that the connection of the glass to the device, clip is not, turn the glass. IT IS IMPOSSIBLE BLADE REMOVAL; and we are also difficult, connect the vessel. Sometimes it connected in one way, and others have to turn, and turn the vessel to anchor it to the base. The first time, I thought it was too noisy, but okay. It would be was still unused. The food leaves perfect, creams ... with exquisite textures. And it's something small if, but for the price ...! We will have to make two batches for certain things. The lid is sealed !, and CRISTAL is very good ... as it should be. After about 10 good uses, (Salmorejo, and milkshakes), the engine ... IS A STOPPED, AND WHY IS. (Stops for a great time, for safety) PRODUCT IS NOT A PROFESSIONAL IN WHICH can trust.</v>
      </c>
    </row>
    <row r="12549">
      <c r="A12549" s="1">
        <v>3.0</v>
      </c>
      <c r="B12549" s="1" t="s">
        <v>12438</v>
      </c>
      <c r="C12549" t="str">
        <f>IFERROR(__xludf.DUMMYFUNCTION("GOOGLETRANSLATE(B12549, ""es"", ""en"")"),"Maria For the price it is fine. The size is fine. To them mixed with other the other I can advise. Imitate a bit like pandoras")</f>
        <v>Maria For the price it is fine. The size is fine. To them mixed with other the other I can advise. Imitate a bit like pandoras</v>
      </c>
    </row>
    <row r="12550">
      <c r="A12550" s="1">
        <v>1.0</v>
      </c>
      <c r="B12550" s="1" t="s">
        <v>12439</v>
      </c>
      <c r="C12550" t="str">
        <f>IFERROR(__xludf.DUMMYFUNCTION("GOOGLETRANSLATE(B12550, ""es"", ""en"")"),"Very good small photo deceives. I pay the price 7,95 is fine ...")</f>
        <v>Very good small photo deceives. I pay the price 7,95 is fine ...</v>
      </c>
    </row>
    <row r="12551">
      <c r="A12551" s="1">
        <v>1.0</v>
      </c>
      <c r="B12551" s="1" t="s">
        <v>12440</v>
      </c>
      <c r="C12551" t="str">
        <f>IFERROR(__xludf.DUMMYFUNCTION("GOOGLETRANSLATE(B12551, ""es"", ""en"")"),"Bibe all right")</f>
        <v>Bibe all right</v>
      </c>
    </row>
    <row r="12552">
      <c r="A12552" s="1">
        <v>4.0</v>
      </c>
      <c r="B12552" s="1" t="s">
        <v>12441</v>
      </c>
      <c r="C12552" t="str">
        <f>IFERROR(__xludf.DUMMYFUNCTION("GOOGLETRANSLATE(B12552, ""es"", ""en"")"),"The number is good quality good size as they usually use, grab one other number is nonsense !!! It comes with template are very light, and used the little'm on vacation but the little q use are great, I'll buy them.")</f>
        <v>The number is good quality good size as they usually use, grab one other number is nonsense !!! It comes with template are very light, and used the little'm on vacation but the little q use are great, I'll buy them.</v>
      </c>
    </row>
    <row r="12553">
      <c r="A12553" s="1">
        <v>4.0</v>
      </c>
      <c r="B12553" s="1" t="s">
        <v>12442</v>
      </c>
      <c r="C12553" t="str">
        <f>IFERROR(__xludf.DUMMYFUNCTION("GOOGLETRANSLATE(B12553, ""es"", ""en"")"),"They do not fall off when you do sport &lt;div id = ""video-block-R32HXGF1PTRKWA"" class = ""a-section a-spacing-small a-spacing-top mini video-block""&gt; &lt;div tabindex = ""0"" class = "" airy airy-svg vmin-unsupported airy-skin-beacon ""style ="" background-c"&amp;"olor: rgb (0, 0, 0) position: relative; width: 100%; height: 100%; font-size: 0px; overflow : hidden; outline: none; ""&gt; &lt;div class ="" airy-renderer-container ""style ="" position: relative; height: 100%; width: 100%; ""&gt; &lt;video id ="" 23 ""preload ="" a"&amp;"uto ""src ="" https://images-eu.ssl-images-amazon.com/images/I/B1QLm5NvG7S.mp4 ""style ="" position: absolute; left: 0px; top: 0px; overflow: hidden; height: 1px ; width: 1px; ""&gt; &lt;/ video&gt; &lt;/ div&gt; &lt;div id ="" airy-slate-preload ""style ="" background-col"&amp;"or: rgb (0, 0, 0); background-image: url (&amp; quot; https://images-eu.ssl-images-amazon.com/images/I/A1ji9Ja7UMS.png&amp;quot;); background-size: Contain; background-position: center center; background-repeat: no-repeat; position: absolute ; top: 0px; left: 0px"&amp;"; visibility: visible; width: 100%; height: 100%; ""&gt; &lt;/ div&gt; &lt; iframe scrolling = ""no"" frameborder = ""0"" src = ""about: blank"" style = ""display: none;""&gt; &lt;/ iframe&gt; &lt;div tabindex = ""- 1"" class = ""airy-controls-container"" style = ""opacity: 0; v"&amp;"isibility: hidden; ""&gt; &lt;div tabindex ="" - 1 ""class ="" airy-screen-size-toggle airy-fullscreen ""&gt; &lt;/ div&gt; &lt;div tabindex ="" - 1 ""class ="" airy-container-bottom "" &gt; &lt;div tabindex = ""- 1"" class = ""airy-track-bar-spacer-left"" style = ""width: 11px;"&amp;"""&gt; &lt;/ div&gt; &lt;div tabindex = ""- 1"" class = ""airy-play- airy toggle-play ""style ="" width: 12px; margin-right: 12px; ""&gt; &lt;/ div&gt; &lt;div tabindex ="" - 1 ""class ="" airy-audio-elements ""style ="" float: right; width: 34px; ""&gt; &lt;div tabindex ="" - 1 ""cla"&amp;"ss ="" airy-audio-toggle airy-on ""&gt; &lt;/ div&gt; &lt;div tabindex ="" - 1 ""class ="" airy-audio-container ""style = ""opacity: 0; visibility: hidden; ""&gt; &lt;div tabindex ="" - 1 ""class ="" airy-audio-track-bar ""style ="" height: 80%; ""&gt; &lt;div tabindex ="" - 1 "&amp;"""class ="" airy-audio- Scrubber-bar ""style ="" height: 85%; ""&gt; &lt;/ div&gt; &lt;div tabindex ="" - 1 ""class ="" airy-audio-scrubber ""style ="" height: 12px; bottom: 85% ""&gt; &lt;/ div&gt; &lt;/ div&gt; &lt;/ div&gt; &lt;/ div&gt; &lt;div tabindex ="" - 1 ""class ="" airy-duration-label"&amp;" ""style ="" float: right; width: 26px; margin-right: 4px; text-align: center; ""&gt; 0:00 &lt;/ div&gt; &lt;div tabindex ="" - 1 ""class ="" airy-track-bar-spacer-right ""style ="" float: right; width: 11px; ""&gt; &lt;/ div&gt; &lt;div tabindex ="" - 1 ""class ="" airy-track-b"&amp;"ar-container ""style ="" margin-left: 35px; margin-right: 75px; ""&gt; &lt;div tabindex ="" - 1 ""class ="" airy-airy-track-bar vertically-centering-table ""&gt; &lt;div tabindex ="" - 1 ""class ="" airy-Vertical-centering- table-cell ""&gt; &lt;div tabindex ="" - 1 ""clas"&amp;"s ="" airy-track-bar-elements ""&gt; &lt;div tabindex ="" - 1 ""class ="" airy-progress-bar ""&gt; &lt;/ div&gt; &lt;div tabindex = ""- 1"" class = ""airy-scrubber-bar""&gt; &lt;/ div&gt; &lt;div tabindex = ""- 1"" class = ""airy-scrubber""&gt; &lt;div tabindex = ""- 1"" class = ""airy-scru"&amp;"bber- icon ""&gt; &lt;/ div&gt; &lt;div tabindex ="" - 1 ""class ="" airy-adjusted-AUI-tooltip ""style ="" opacity: 0; visibility: hidden; ""&gt; &lt;div tabindex ="" - 1 ""class ="" airy-adjusted-aui-tooltip-inner ""&gt; &lt;div tabindex ="" - 1 ""class ="" airy-current-time-la"&amp;"bel ""&gt; 0: 00 &lt;/ div&gt; &lt;/ div&gt; &lt;div tabindex = ""- 1"" class = ""airy-adjusted-AUI-arrow-border""&gt; &lt;div tabindex = ""- 1"" class = ""airy-adjusted-AUI-arrow"" &gt; &lt;/ div&gt; &lt;/ div&gt; &lt;/ div&gt; &lt;/ div&gt; &lt;/ div&gt; &lt;/ div&gt; &lt;/ div&gt; &lt;/ div&gt; &lt;/ div&gt; &lt;/ div&gt; &lt;div tabindex ="&amp;" ""- 1"" class = ""airy-age-gate airy-stage airy-Vertical-centering-table airy-dialog"" style = ""opacity: 0; visibility: hidden; ""&gt; &lt;div tabindex ="" - 1 ""class ="" airy-age-gate-Vertical-centering-table-cell airy-Vertical-centering-table-cell ""&gt; &lt;div"&amp;" tabindex ="" - 1 ""class = ""airy-Vertical-centering-wrapper airy-age-gate-elements-wrapper""&gt; &lt;div tabindex = ""- 1"" class = ""airy-age-gate-elements airy-dialog-elements""&gt; &lt;div tabindex = "" -1 ""class ="" airy-age-gate-prompt ""&gt; This video is not I"&amp;"ntended for all audiences What date were you born &lt;/ div&gt; &lt;div tabindex =.?"" - 1 ""class ="" airy-age-gate -inputs airy-dialog-inner-elements ""&gt; &lt;select tabindex ="" - 1 ""class ="" airy-age-gate-month ""&gt; &lt;option value ="" 1 ""&gt; January &lt;/ option&gt; &lt;opt"&amp;"ion value ="" 2 ""&gt; February &lt;/ option&gt; &lt;option value ="" 3 ""&gt; March &lt;/ option&gt; &lt;option value ="" 4 ""&gt; April &lt;/ option&gt; &lt;option value ="" 5 ""&gt; May &lt;/ option&gt; &lt;option value = ""6""&gt; June &lt;/ option&gt; &lt;option value = ""7""&gt; July &lt;/ option&gt; &lt;option value = "&amp;"""8""&gt; August &lt;/ option&gt; &lt;option value = ""9""&gt; September &lt;/ option&gt; &lt;option value = ""10""&gt; October &lt;/ option&gt; &lt;option value = ""11""&gt; November &lt;/ option&gt; &lt;option value = ""12""&gt; December &lt;/ option&gt; &lt;/ select&gt; &lt;select tabindex = ""- 1"" class = ""airy-ag"&amp;"e-gate-day""&gt; &lt;opti on value = ""1""&gt; 1 &lt;/ option&gt; &lt;option value = ""2""&gt; 2 &lt;/ option&gt; &lt;option value = ""3""&gt; 3 &lt;/ option&gt; &lt;option value = ""4""&gt; 4 &lt;/ option &gt; &lt;option value = ""5""&gt; 5 &lt;/ option&gt; &lt;option value = ""6""&gt; 6 &lt;/ option&gt; &lt;option value = ""7""&gt; "&amp;"7 &lt;/ option&gt; &lt;option value = ""8""&gt; 8 &lt; / option&gt; &lt;option value = ""9""&gt; 9 &lt;/ option&gt; &lt;option value = ""10""&gt; 10 &lt;/ option&gt; &lt;option value = ""11""&gt; 11 &lt;/ option&gt; &lt;option value = ""12""&gt; 12 &lt;/ option&gt; &lt;option value = ""13""&gt; 13 &lt;/ option&gt; &lt;option value = "&amp;"""14""&gt; 14 &lt;/ option&gt; &lt;option value = ""15""&gt; 15 &lt;/ option&gt; &lt;option value = ""16 ""&gt; 16 &lt;/ option&gt; &lt;option value ="" 17 ""&gt; 17 &lt;/ option&gt; &lt;option value ="" 18 ""&gt; 18 &lt;/ option&gt; &lt;option value ="" 19 ""&gt; 19 &lt;/ option&gt; &lt;option value = ""20""&gt; 20 &lt;/ option&gt; &lt;"&amp;"option value = ""21""&gt; 21 &lt;/ option&gt; &lt;option value = ""22""&gt; 22 &lt;/ option&gt; &lt;option value = ""23""&gt; 23 &lt;/ option&gt; &lt;option value = ""24""&gt; 24 &lt;/ option&gt; &lt;option value = ""25""&gt; 25 &lt;/ option&gt; &lt;option value = ""26""&gt; 26 &lt;/ option&gt; &lt;option value = ""27""&gt; 27 &lt;"&amp;"/ option&gt; &lt;option value = ""28""&gt; 28 &lt;/ option&gt; &lt;option value = ""29""&gt; 29 &lt;/ option&gt; &lt;option value = ""30""&gt; 30 &lt;/ option&gt; &lt;option value = ""31""&gt; 31 &lt;/ option&gt; &lt;/ select&gt; &lt;select tabindex = ""- 1"" class = ""airy-age-gate-year""&gt; &lt;option value = ""2019"&amp;"""&gt; 2019 &lt;/ option&gt; &lt; option value = ""2018""&gt; 2018 &lt;/ option&gt; &lt;option value = ""2017""&gt; 2017 &lt;/ option&gt; &lt;option value = ""2016""&gt; ​​2016 &lt;/ option&gt; &lt;option value = ""2015""&gt; 2015 &lt;/ option &gt; &lt;option value = ""2014""&gt; 2014 &lt;/ option&gt; &lt;option value = ""201"&amp;"3""&gt; 2013 &lt;/ option&gt; &lt;option value = ""2012""&gt; 2012 &lt;/ option&gt; &lt;option value = ""2011""&gt; 2011 &lt; / option&gt; &lt;option value = ""2010""&gt; 2010 &lt;/ option&gt; &lt;option value = ""2009""&gt; 2009 &lt;/ option&gt; &lt;option value = ""2008""&gt; 2008 &lt;/ option&gt; &lt;option value = ""2007"&amp;"""&gt; 2007 &lt;/ option&gt; &lt;option value = ""2006""&gt; 2006 &lt;/ option&gt; &lt;option value = ""2005""&gt; 2005 &lt;/ option&gt; &lt;option value = ""2004""&gt; 2004 &lt;/ option&gt; &lt;option value = ""2003 ""&gt; 2003 &lt;/ option&gt; &lt;option value ="" 2002 ""&gt; 2002 &lt;/ option&gt; &lt;option value ="" 2001 "&amp;"""&gt;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""&gt;"&amp;" 1989 &lt;/ option&gt; &lt;option value ="" 1988 ""&gt; 1988 &lt;/ option&gt; &lt;option value ="" 1987 ""&gt; 1987 &lt;/ option&gt; &lt;option value ="" 1986 ""&gt; 1986 &lt;/ option&gt; &lt;value option = ""1985""&gt; 1985 &lt;/ option&gt; &lt;option value = ""1984""&gt; 1984 &lt;/ option&gt; &lt;option value = ""1983""&gt;"&amp;" 1983 &lt;/ option&gt; &lt;option value = ""1982""&gt; 1982 &lt;/ option&gt; &lt; option value = ""1981""&gt; 1981 &lt;/ option&gt; &lt;option value = ""1980""&gt; 1980 &lt;/ option&gt; &lt;option value = ""1979""&gt; 1979 &lt;/ option&gt; &lt;option value = ""1978""&gt; 1978 &lt;/ option &gt; &lt;option value = ""1977""&gt; "&amp;"1977 &lt;/ option&gt; &lt;option value = ""1976""&gt; 1976 &lt;/ option&gt; &lt;option value = ""1975""&gt; 1975 &lt;/ option&gt; &lt;option value = ""1974""&gt; 1974 &lt; / option&gt; &lt;option value = ""1973""&gt; 1973 &lt;/ option&gt; &lt;option value = ""1972""&gt; 1972 &lt;/ option&gt; &lt;option value = ""1971""&gt; 19"&amp;"71 &lt;/ option&gt; &lt;option value = ""1970""&gt; 1970 &lt;/ option&gt; &lt;option value = ""1969""&gt; 1969 &lt;/ option&gt; &lt;option value = ""1968""&gt; 1968 &lt;/ option&gt; &lt;option value = ""1967""&gt; 1967 &lt;/ option&gt; &lt;option value = ""1966 ""&gt; 1966 &lt;/ option&gt; &lt;option value ="" 1965 ""&gt; 196"&amp;"5 &lt;/ option&gt; &lt;option value ="" 1964 ""&gt; 1964 &lt;/ option&gt; &lt;option value ="" 1963 ""&gt; 1963 &lt;/ option&gt; &lt;option value = ""1962""&gt; 1962 &lt;/ option&gt; &lt;option value = ""1961""&gt; 1961 &lt;/ option&gt; &lt;option value = ""1960""&gt; 1960 &lt;/ op tion&gt; &lt;option value = ""1959""&gt; 195"&amp;"9 &lt;/ option&gt; &lt;option value = ""1958""&gt; 1958 &lt;/ option&gt; &lt;option value = ""1957""&gt; 1957 &lt;/ option&gt; &lt;option value = ""1956""&gt; 1956 &lt;/ option&gt; &lt;option value = ""1955""&gt; 1955 &lt;/ option&gt; &lt;option value = ""1954""&gt; 1954 &lt;/ option&gt; &lt;option value = ""1953""&gt; 1953 &lt;"&amp;"/ option&gt; &lt;option value = ""1952"" &gt; 1952 &lt;/ option&gt; &lt;option value = ""1951""&gt; 1951 &lt;/ option&gt; &lt;option value = ""1950""&gt; 1950 &lt;/ option&gt; &lt;option value = ""1949""&gt; 1949 &lt;/ option&gt; &lt;option value = "" 1948 ""&gt; 1948 &lt;/ option&gt; &lt;option value ="" 1947 ""&gt; 1947 "&amp;"&lt;/ option&gt; &lt;option value ="" 1946 ""&gt; 1946 &lt;/ option&gt; &lt;option value ="" 1945 ""&gt; 1945 &lt;/ option&gt; &lt;value option = ""1944""&gt; 1944 &lt;/ option&gt; &lt;option value = ""1943""&gt; 1943 &lt;/ option&gt; &lt;option value = ""1942""&gt; 1942 &lt;/ option&gt; &lt;option value = ""1941""&gt; 1941 &lt;"&amp;"/ option&gt; &lt; option value = ""1940""&gt; 1940 &lt;/ option&gt; &lt;option value = ""1939""&gt; 1939 &lt;/ option&gt; &lt;option value = ""1938""&gt; 1938 &lt;/ option&gt; &lt;option value = ""1937""&gt; 1937 &lt;/ option &gt; &lt;option value = ""1936""&gt; 1936 &lt;/ option&gt; &lt;option value = ""1935""&gt; 1935 &lt;/"&amp;" option&gt; &lt;option value = ""1934""&gt; 1934 &lt;/ option&gt; &lt;option value = ""1933""&gt; 1933 &lt; / option&gt; &lt;option value = ""1932""&gt; 1932 &lt;/ option&gt; &lt;option value = ""1931""&gt; 1931 &lt;/ option&gt; &lt;option v alue = ""1930""&gt; 1930 &lt;/ option&gt; &lt;option value = ""1929""&gt; 1929 &lt;/ "&amp;"option&gt; &lt;option value = ""1928""&gt; 1928 &lt;/ option&gt; &lt;option value = ""1927""&gt; 1927 &lt;/ option&gt; &lt;option value = ""1926""&gt; 1926 &lt;/ option&gt; &lt;option value = ""1925""&gt; 1925 &lt;/ option&gt; &lt;option value = ""1924""&gt; 1924 &lt;/ option&gt; &lt;option value = ""1923""&gt; 1923 &lt;/ opt"&amp;"ion&gt; &lt;option value = ""1922""&gt; 1922 &lt;/ option&gt; &lt;option value = ""1921""&gt; 1921 &lt;/ option&gt; &lt;option value = ""1920""&gt; 1920 &lt;/ option&gt; &lt;option value = ""1919""&gt; 1919 &lt;/ option&gt; &lt;option value = ""1918""&gt; 1918 &lt;/ option&gt; &lt;option value = ""1917""&gt; 1917 &lt;/ option"&amp;"&gt; &lt;option value = ""1916""&gt; 1916 &lt;/ option&gt; &lt;option value = ""1915"" &gt; 1915 &lt;/ option&gt; &lt;option value = ""1914""&gt; 1914 &lt;/ option&gt; &lt;option value = ""1913""&gt; 1913 &lt;/ option&gt; &lt;option value = ""1912""&gt; 1912 &lt;/ option&gt; &lt;option value = "" 1911 ""&gt; 1911 &lt;/ option"&amp;"&gt; &lt;option value ="" 1910 ""&gt; 1910 &lt;/ option&gt; &lt;option value ="" 1909 ""&gt; 1909 &lt;/ option&gt; &lt;option value ="" 1908 ""&gt; 1908 &lt;/ option&gt; &lt;value option = ""1907""&gt; 1907 &lt;/ option&gt; &lt;option value = ""1906""&gt; 1906 &lt;/ option&gt; &lt;option value = ""1905""&gt; 1905 &lt;/ option"&amp;"&gt; &lt;option value = ""1904""&gt; 1904 &lt;/ option&gt; &lt; option value = ""1903""&gt; 1903 &lt;/ option&gt; &lt;option value = ""1902""&gt; 1902 &lt;/ option&gt; &lt;option value = ""1901""&gt; 19 01 &lt;/ option&gt; &lt;option value = ""1900""&gt; 1900 &lt;/ option&gt; &lt;/ select&gt; &lt;div tabindex = ""- 1"" class "&amp;"= ""airy-age-gate-submit airy-submit-button airy airy-submit- disabled ""&gt; Submit &lt;/ div&gt; &lt;/ div&gt; &lt;/ div&gt; &lt;/ div&gt; &lt;/ div&gt; &lt;/ div&gt; &lt;div tabindex ="" - 1 ""class ="" airy-install-flash-dialog airy-stage airy -vertical-centering-table-dialog airy airy-denied"&amp;" ""style ="" opacity: 0; visibility: hidden; ""&gt; &lt;div tabindex ="" - 1 ""class ="" airy-install-flash-Vertical-centering-table-cell airy-Vertical-centering-table-cell ""&gt; &lt;div tabindex ="" - 1 ""class = ""airy-Vertical-centering-wrapper airy-install-flash"&amp;"-elements-wrapper""&gt; &lt;div tabindex = ""- 1"" class = ""airy-install-flash-elements airy-dialog-elements""&gt; &lt;div tabindex = "" -1 ""class ="" airy-install-flash-prompt ""&gt; Adobe Flash Player is required to watch this video &lt;/ div&gt; &lt;div tabindex =."" - 1 """&amp;"class ="" airy-install-flash-button-wrapper airy -dialog-inner-elements ""&gt; &lt;div tabindex ="" - 1 ""class ="" airy-install-flash-button airy-button ""&gt; install Flash Player &lt;/ div&gt; &lt;/ div&gt; &lt;/ div&gt; &lt;/ div&gt; &lt;/ div&gt; &lt;/ div&gt; &lt;div tabindex = ""- 1"" class = """&amp;"airy-video-unsupported-dialog airy-stage airy-Vertical-centering-table airy-dialog airy-denied"" style = ""opacity: 0; visibility: hidden; ""&gt; &lt;div tabindex ="" - 1 ""class ="" airy-video-unsupported-Vertical-centering-table-cell airy-Vertical-centering-t"&amp;"able-cell ""&gt; &lt;div tabindex ="" - 1 ""class = ""airy-Vertical-centering-wrapper airy-video-unsupported-elements-wrapper""&gt; &lt;div tabindex = ""- 1"" class = ""airy-video-unsupported-elements airy-dialog-elements""&gt; &lt;div tabindex = "" -1 ""class ="" airy-vid"&amp;"eo-unsupported-prompt ""&gt; &lt;/ div&gt; &lt;/ div&gt; &lt;/ div&gt; &lt;/ div&gt; &lt;/ div&gt; &lt;div tabindex ="" - 1 ""class ="" airy-loading- spinner-stage airy-stage ""&gt; &lt;div tabindex ="" - 1 ""class ="" airy-loading-spinner-Vertical-centering-table-cell airy-Vertical-centering-tab"&amp;"le-cell ""&gt; &lt;div tabindex ="" - 1 ""class ="" airy-loading-spinner-container airy-scalable-hint-container ""&gt; &lt;div tabindex ="" - 1 ""class ="" airy-loading-spinner-dummy airy-scalable-dummy ""&gt; &lt;/ div&gt; &lt; div tabindex = ""- 1"" class = ""airy-loading-spin"&amp;"ner airy-hint"" style = ""visibility: hidden;""&gt; &lt;/ div&gt; &lt;/ div&gt; &lt;/ div&gt; &lt;/ div&gt; &lt;div tabindex = ""- 1 ""class ="" airy-ads-screen-size-toggle airy-screen-size-toggle-fullscreen airy ""style ="" visibility: hidden; ""&gt; &lt;/ div&gt; &lt;div tabindex = ""-1"" class"&amp;" = ""airy-ad-prompt-container"" style = ""visibility: hidden;""&gt; &lt;div tabindex = ""- 1"" class = ""airy-ad-prompt-Vertical-centering-table-vertically airy centering-table ""&gt; &lt;div tabindex ="" - 1 ""class ="" airy-ad-prompt-Vertical-centering-table-cell a"&amp;"iry-Vertical-centering-table-cell ""&gt; &lt;div tabindex ="" - 1 ""class = ""airy-ad-prompt-label""&gt; &lt;/ div&gt; &lt;/ div&gt; &lt;/ div&gt; &lt;/ div&gt; &lt;div tabindex = ""- 1"" class = ""airy-ads-controls-container"" style = ""visibility: hidden; ""&gt; &lt;div tabindex ="" - 1 ""class"&amp;" ="" airy-ads-audio-toggle airy-audio-toggle airy-on ""style ="" visibility: hidden; ""&gt; &lt;/ div&gt; &lt;div tabindex ="" - 1 ""class ="" airy-time-remaining-label-container ""&gt; &lt;div tabindex ="" - 1 ""class ="" airy-time-remaining-Vertical-centering-table airy-"&amp;"Vertical-centering-table ""&gt; &lt;div tabindex = ""- 1"" class = ""airy-time-remaining-Vertical-centering-table-cell airy-Vertical-centering-table-cell""&gt; &lt;div tabindex = ""- 1"" class = ""airy-Vertical-centering-wrapper airy-time-remaining-label-wrapper ""&gt; "&amp;"&lt;div tabindex ="" - 1 ""class ="" airy-time-remaining-label ""style ="" visibility: hidden; ""&gt; &lt;/ div&gt; &lt;div tabi ndex = ""- 1"" class = ""airy-ad-skip"" style = ""visibility: hidden;""&gt; &lt;/ div&gt; &lt;div tabindex = ""- 1"" class = ""airy-ad-end"" style = ""vi"&amp;"sibility: hidden ""&gt; &lt;/ div&gt; &lt;/ div&gt; &lt;/ div&gt; &lt;/ div&gt; &lt;/ div&gt; &lt;div tabindex ="" - 1 ""class ="" airy-learn-more ""style ="" visibility: hidden; ""&gt; &lt;/ div&gt; &lt;/ div&gt; &lt;div tabindex = ""- 1"" class = ""airy-play-toggle-hint-stage airy-stage airy-cursor""&gt; &lt;div"&amp;" tabindex = ""- 1"" class = ""airy-play -toggle-hint-Vertical-centering-table-cell airy-Vertical-centering-table-cell airy-cursor ""&gt; &lt;div tabindex ="" - 1 ""class ="" airy-play-toggle-hint-container airy-scalable- Hint-container ""&gt; &lt;div tabindex ="" - 1"&amp;" ""class ="" airy-play-toggle-hint-dummy airy-scalable-dummy ""&gt; &lt;/ div&gt; &lt;div tabindex ="" - 1 ""class ="" airy-play -toggle-hint hint airy-airy-play-hint ""style ="" opacity: 1; visibility: visible; ""&gt; &lt;/ div&gt; &lt;/ div&gt; &lt;/ div&gt; &lt;/ div&gt; &lt;div tabindex ="" -"&amp;" 1 ""class ="" airy-replay-hint-stage airy-stage ""style ="" visibility: hidden ; ""&gt; &lt;div tabindex ="" - 1 ""class ="" airy-replay-hint-Vertical-centering-table-cell airy-Vertical-centering-table-cell airy-cursor ""&gt; &lt;div tabindex ="" - 1 ""class = ""air"&amp;"y-replay-hint-container airy-scalable-hint-container""&gt; &lt;div tabindex = ""- 1"" class = ""airy-replay-hint-dummy airy-scalable-dummy""&gt; &lt;/ div&gt; &lt;div tabindex = ""- 1"" class = ""airy-replay-hint airy-hint""&gt; &lt;/ div&gt; &lt;/ div&gt; &lt;/ div&gt; &lt;/ div&gt; &lt;div tabindex ="&amp;" ""- 1"" class = ""airy-autoplay-hint -stage airy-stage ""style ="" visibility: hidden; ""&gt; &lt;div tabindex ="" - 1 ""class ="" airy-autoplay-hint-Vertical-centering-table-cell airy-Vertical-centering-table-cell airy- cursor ""&gt; &lt;div tabindex ="" - 1 ""clas"&amp;"s ="" autoplay airy-airy-hint-container-scalable-hint-container ""&gt; &lt;div tabindex ="" - 1 ""class ="" airy-autoplay-hint-dummy airy- scalable-dummy ""&gt; &lt;/ div&gt; &lt;/ div&gt; &lt;/ div&gt; &lt;/ div&gt; &lt;/ div&gt; &lt;/ div&gt; &lt;input type ="" hidden ""name ="" ""value ="" https: //"&amp;" images-eu .ssl-images-amazon.com / images / I / B1QLm5NvG7S.mp4 ""Class ="" video-url ""&gt; &lt;input type ="" hidden ""name ="" ""value ="" https://images-eu.ssl-images-amazon.com/images/I/A1ji9Ja7UMS.png ""class ="" video-slate-img-url ""&gt; &amp; nbsp; it's grea"&amp;"t for when I go out to play sports, good sound quality, the battery is not yet a spent")</f>
        <v>They do not fall off when you do sport &lt;div id = "video-block-R32HXGF1PTRKWA" class = "a-section a-spacing-small a-spacing-top mini video-block"&gt; &lt;div tabindex = "0" class = " airy airy-svg vmin-unsupported airy-skin-beacon "style =" background-color: rgb (0, 0, 0) position: relative; width: 100%; height: 100%; font-size: 0px; overflow : hidden; outline: none; "&gt; &lt;div class =" airy-renderer-container "style =" position: relative; height: 100%; width: 100%; "&gt; &lt;video id =" 23 "preload =" auto "src =" https://images-eu.ssl-images-amazon.com/images/I/B1QLm5NvG7S.mp4 "style =" position: absolute; left: 0px; top: 0px; overflow: hidden; height: 1px ; width: 1px; "&gt; &lt;/ video&gt; &lt;/ div&gt; &lt;div id =" airy-slate-preload "style =" background-color: rgb (0, 0, 0); background-image: url (&amp; quot; https://images-eu.ssl-images-amazon.com/images/I/A1ji9Ja7UMS.png&amp;quot;); background-size: Contain; background-position: center center; background-repeat: no-repeat; position: absolute ; top: 0px; left: 0px; visibility: visible; width: 100%; height: 100%; "&gt; &lt;/ div&gt; &lt; 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B1QLm5NvG7S.mp4 "Class =" video-url "&gt; &lt;input type =" hidden "name =" "value =" https://images-eu.ssl-images-amazon.com/images/I/A1ji9Ja7UMS.png "class =" video-slate-img-url "&gt; &amp; nbsp; it's great for when I go out to play sports, good sound quality, the battery is not yet a spent</v>
      </c>
    </row>
    <row r="12554">
      <c r="A12554" s="1">
        <v>4.0</v>
      </c>
      <c r="B12554" s="1" t="s">
        <v>12443</v>
      </c>
      <c r="C12554" t="str">
        <f>IFERROR(__xludf.DUMMYFUNCTION("GOOGLETRANSLATE(B12554, ""es"", ""en"")"),"Happy with purchase the briefcase Okay value for money.The purple is very nice. The only drawback that the handle is not closed Belcro are two separate handles and thus is a little uncomfortable to carry")</f>
        <v>Happy with purchase the briefcase Okay value for money.The purple is very nice. The only drawback that the handle is not closed Belcro are two separate handles and thus is a little uncomfortable to carry</v>
      </c>
    </row>
    <row r="12555">
      <c r="A12555" s="1">
        <v>4.0</v>
      </c>
      <c r="B12555" s="1" t="s">
        <v>12444</v>
      </c>
      <c r="C12555" t="str">
        <f>IFERROR(__xludf.DUMMYFUNCTION("GOOGLETRANSLATE(B12555, ""es"", ""en"")"),"Value works well is great, has lots of storage and even shooting RAW photos with pretty spreads. Is the second bought and so far I have not had any problems.")</f>
        <v>Value works well is great, has lots of storage and even shooting RAW photos with pretty spreads. Is the second bought and so far I have not had any problems.</v>
      </c>
    </row>
    <row r="12556">
      <c r="A12556" s="1">
        <v>5.0</v>
      </c>
      <c r="B12556" s="1" t="s">
        <v>12445</v>
      </c>
      <c r="C12556" t="str">
        <f>IFERROR(__xludf.DUMMYFUNCTION("GOOGLETRANSLATE(B12556, ""es"", ""en"")"),"For the hob Actually I said it and I bought it to save a striped ceramic and it was magical. Then for faucets, much better than any limescale. Very happy")</f>
        <v>For the hob Actually I said it and I bought it to save a striped ceramic and it was magical. Then for faucets, much better than any limescale. Very happy</v>
      </c>
    </row>
    <row r="12557">
      <c r="A12557" s="1">
        <v>5.0</v>
      </c>
      <c r="B12557" s="1" t="s">
        <v>12446</v>
      </c>
      <c r="C12557" t="str">
        <f>IFERROR(__xludf.DUMMYFUNCTION("GOOGLETRANSLATE(B12557, ""es"", ""en"")"),"I use it very comfortable to work")</f>
        <v>I use it very comfortable to work</v>
      </c>
    </row>
    <row r="12558">
      <c r="A12558" s="1">
        <v>5.0</v>
      </c>
      <c r="B12558" s="1" t="s">
        <v>12447</v>
      </c>
      <c r="C12558" t="str">
        <f>IFERROR(__xludf.DUMMYFUNCTION("GOOGLETRANSLATE(B12558, ""es"", ""en"")"),"Excellent Super comfortable")</f>
        <v>Excellent Super comfortable</v>
      </c>
    </row>
    <row r="12559">
      <c r="A12559" s="1">
        <v>5.0</v>
      </c>
      <c r="B12559" s="1" t="s">
        <v>12448</v>
      </c>
      <c r="C12559" t="str">
        <f>IFERROR(__xludf.DUMMYFUNCTION("GOOGLETRANSLATE(B12559, ""es"", ""en"")"),"Card reliable and good value for money as expected. A memory card of a proven brand. Not worth go to cards questionable reliability considering the price of this.")</f>
        <v>Card reliable and good value for money as expected. A memory card of a proven brand. Not worth go to cards questionable reliability considering the price of this.</v>
      </c>
    </row>
    <row r="12560">
      <c r="A12560" s="1">
        <v>5.0</v>
      </c>
      <c r="B12560" s="1" t="s">
        <v>12449</v>
      </c>
      <c r="C12560" t="str">
        <f>IFERROR(__xludf.DUMMYFUNCTION("GOOGLETRANSLATE(B12560, ""es"", ""en"")"),"Amazing quality I have been pleasantly surprised, the sound quality is very good, and the system gripping the ear (I'm from those who tend to annoy almost all handsets). They would be perfect if they were totally wireless and not have a cable that goes fr"&amp;"om one to another handset, still very good so far.")</f>
        <v>Amazing quality I have been pleasantly surprised, the sound quality is very good, and the system gripping the ear (I'm from those who tend to annoy almost all handsets). They would be perfect if they were totally wireless and not have a cable that goes from one to another handset, still very good so far.</v>
      </c>
    </row>
    <row r="12561">
      <c r="A12561" s="1">
        <v>5.0</v>
      </c>
      <c r="B12561" s="1" t="s">
        <v>12450</v>
      </c>
      <c r="C12561" t="str">
        <f>IFERROR(__xludf.DUMMYFUNCTION("GOOGLETRANSLATE(B12561, ""es"", ""en"")"),"Very cool shoes slippers came in time")</f>
        <v>Very cool shoes slippers came in time</v>
      </c>
    </row>
    <row r="12562">
      <c r="A12562" s="1">
        <v>5.0</v>
      </c>
      <c r="B12562" s="1" t="s">
        <v>12451</v>
      </c>
      <c r="C12562" t="str">
        <f>IFERROR(__xludf.DUMMYFUNCTION("GOOGLETRANSLATE(B12562, ""es"", ""en"")"),"Shines a lot and it grabs either by the back of the headband has to grip the hair and comb-fork style. The stones shine a lot, if you look long and closely note that is not genuine jewelry etc but far is very good especially for the brightness and is real"&amp;"ly good for historical recreation even for a wedding or an event is serious does not seem toy or anything, a gem like any other")</f>
        <v>Shines a lot and it grabs either by the back of the headband has to grip the hair and comb-fork style. The stones shine a lot, if you look long and closely note that is not genuine jewelry etc but far is very good especially for the brightness and is really good for historical recreation even for a wedding or an event is serious does not seem toy or anything, a gem like any other</v>
      </c>
    </row>
    <row r="12563">
      <c r="A12563" s="1">
        <v>5.0</v>
      </c>
      <c r="B12563" s="1" t="s">
        <v>12452</v>
      </c>
      <c r="C12563" t="str">
        <f>IFERROR(__xludf.DUMMYFUNCTION("GOOGLETRANSLATE(B12563, ""es"", ""en"")"),"A game I wanted my choker matching earrings my choker and saw they had these and I can not be happier. They are small heart-shaped earrings and a pearl inside and rhinestones around. Its closure is typical of nut and to me no less hurt me. They can not be"&amp;" cuter and smarter. They also come in a box like denim texture, well protected, they are perfect for any details to anyone.")</f>
        <v>A game I wanted my choker matching earrings my choker and saw they had these and I can not be happier. They are small heart-shaped earrings and a pearl inside and rhinestones around. Its closure is typical of nut and to me no less hurt me. They can not be cuter and smarter. They also come in a box like denim texture, well protected, they are perfect for any details to anyone.</v>
      </c>
    </row>
    <row r="12564">
      <c r="A12564" s="1">
        <v>5.0</v>
      </c>
      <c r="B12564" s="1" t="s">
        <v>12453</v>
      </c>
      <c r="C12564" t="str">
        <f>IFERROR(__xludf.DUMMYFUNCTION("GOOGLETRANSLATE(B12564, ""es"", ""en"")"),"Helmets good muyu for the price I was surprised by these helmets, has a very good price for the quality they have, they connect very easily by bluethoot to the phone and television, has enough battery life because I've been using them since I bought it an"&amp;"d even I have not loaded, can be folded to occupy less space and so we can more easily transported anywhere without taking up space and also has various measures to head to put it to your taste or size. you can also listen to the radio and has hands-free "&amp;"calls and a slot for listening music via a microSD and tambie nuna auxiliary input if you want to listen to it with cables. Definitely a good product for the cost it has.")</f>
        <v>Helmets good muyu for the price I was surprised by these helmets, has a very good price for the quality they have, they connect very easily by bluethoot to the phone and television, has enough battery life because I've been using them since I bought it and even I have not loaded, can be folded to occupy less space and so we can more easily transported anywhere without taking up space and also has various measures to head to put it to your taste or size. you can also listen to the radio and has hands-free calls and a slot for listening music via a microSD and tambie nuna auxiliary input if you want to listen to it with cables. Definitely a good product for the cost it has.</v>
      </c>
    </row>
    <row r="12565">
      <c r="A12565" s="1">
        <v>5.0</v>
      </c>
      <c r="B12565" s="1" t="s">
        <v>12454</v>
      </c>
      <c r="C12565" t="str">
        <f>IFERROR(__xludf.DUMMYFUNCTION("GOOGLETRANSLATE(B12565, ""es"", ""en"")"),"Fresheners I have given a diffuser needed this Christmas and essences. This game brings 6 different aromas, citrus, flowers and herbs. The lemon is very fresh and leaves the house with a good smell. I tried several and all function as air freshener. And i"&amp;"t depends on the taste of each, but the house totally perfume.")</f>
        <v>Fresheners I have given a diffuser needed this Christmas and essences. This game brings 6 different aromas, citrus, flowers and herbs. The lemon is very fresh and leaves the house with a good smell. I tried several and all function as air freshener. And it depends on the taste of each, but the house totally perfume.</v>
      </c>
    </row>
    <row r="12566">
      <c r="A12566" s="1">
        <v>5.0</v>
      </c>
      <c r="B12566" s="1" t="s">
        <v>12455</v>
      </c>
      <c r="C12566" t="str">
        <f>IFERROR(__xludf.DUMMYFUNCTION("GOOGLETRANSLATE(B12566, ""es"", ""en"")"),"Sporty design. Price / acceptable quality. The clock is a bit different from what the images show. He hoped the clock was something brighter and look more premium, but it is different because you are images that are digital images. Still, I willing to giv"&amp;"e it a try and the truth is that they have convinced me. You look sports watch manufacturing and materials are the mechanism is silent. The chronograph is 100% functional and accurate. The highlight of the watch is that strap is comfortable and fits well "&amp;"with the wrist, maybe a little hard but it is normal to the beginning. I do not think it an exceptional watch, but the appearance is quite elgante, comfortable and gives you time. I do not think that you can ask more of a watch at this price. Best buy at "&amp;"any market in the neighborhood.")</f>
        <v>Sporty design. Price / acceptable quality. The clock is a bit different from what the images show. He hoped the clock was something brighter and look more premium, but it is different because you are images that are digital images. Still, I willing to give it a try and the truth is that they have convinced me. You look sports watch manufacturing and materials are the mechanism is silent. The chronograph is 100% functional and accurate. The highlight of the watch is that strap is comfortable and fits well with the wrist, maybe a little hard but it is normal to the beginning. I do not think it an exceptional watch, but the appearance is quite elgante, comfortable and gives you time. I do not think that you can ask more of a watch at this price. Best buy at any market in the neighborhood.</v>
      </c>
    </row>
    <row r="12567">
      <c r="A12567" s="1">
        <v>5.0</v>
      </c>
      <c r="B12567" s="1" t="s">
        <v>12456</v>
      </c>
      <c r="C12567" t="str">
        <f>IFERROR(__xludf.DUMMYFUNCTION("GOOGLETRANSLATE(B12567, ""es"", ""en"")"),"Good value for money has arrived on time and very good quality product")</f>
        <v>Good value for money has arrived on time and very good quality product</v>
      </c>
    </row>
    <row r="12568">
      <c r="A12568" s="1">
        <v>5.0</v>
      </c>
      <c r="B12568" s="1" t="s">
        <v>12457</v>
      </c>
      <c r="C12568" t="str">
        <f>IFERROR(__xludf.DUMMYFUNCTION("GOOGLETRANSLATE(B12568, ""es"", ""en"")"),"Flash memory 64 GB Very good product and I have connected to my box Xiaomi s to increase internal storage.")</f>
        <v>Flash memory 64 GB Very good product and I have connected to my box Xiaomi s to increase internal storage.</v>
      </c>
    </row>
    <row r="12569">
      <c r="A12569" s="1">
        <v>5.0</v>
      </c>
      <c r="B12569" s="1" t="s">
        <v>12458</v>
      </c>
      <c r="C12569" t="str">
        <f>IFERROR(__xludf.DUMMYFUNCTION("GOOGLETRANSLATE(B12569, ""es"", ""en"")"),"Great works perfectly")</f>
        <v>Great works perfectly</v>
      </c>
    </row>
    <row r="12570">
      <c r="A12570" s="1">
        <v>5.0</v>
      </c>
      <c r="B12570" s="1" t="s">
        <v>12459</v>
      </c>
      <c r="C12570" t="str">
        <f>IFERROR(__xludf.DUMMYFUNCTION("GOOGLETRANSLATE(B12570, ""es"", ""en"")"),"Very good buy quality buena.bueba")</f>
        <v>Very good buy quality buena.bueba</v>
      </c>
    </row>
    <row r="12571">
      <c r="A12571" s="1">
        <v>5.0</v>
      </c>
      <c r="B12571" s="1" t="s">
        <v>12460</v>
      </c>
      <c r="C12571" t="str">
        <f>IFERROR(__xludf.DUMMYFUNCTION("GOOGLETRANSLATE(B12571, ""es"", ""en"")"),"An extremely comfortable and functional vacuum cleaner super-convenient, comfortable and functional. It is lightweight and easy to use, unlike other vacuums that are bulky and uncomfortable. Easy to store and easy maintenance with. Very satisfied with the"&amp;" product.")</f>
        <v>An extremely comfortable and functional vacuum cleaner super-convenient, comfortable and functional. It is lightweight and easy to use, unlike other vacuums that are bulky and uncomfortable. Easy to store and easy maintenance with. Very satisfied with the product.</v>
      </c>
    </row>
    <row r="12572">
      <c r="A12572" s="1">
        <v>5.0</v>
      </c>
      <c r="B12572" s="1" t="s">
        <v>12461</v>
      </c>
      <c r="C12572" t="str">
        <f>IFERROR(__xludf.DUMMYFUNCTION("GOOGLETRANSLATE(B12572, ""es"", ""en"")"),"all terrain watch very practical, stylish, durable and weighs comodo.no anything and is very easy to carry, just do not notice you're wearing puesto.los colors red and gray matte black very good convinacion.ya I have the same clock but matt white with gra"&amp;"y background in black and I'm delighted with these relojes.muy likely to return me to buy another serves color.te for sports, gigs, and even dress")</f>
        <v>all terrain watch very practical, stylish, durable and weighs comodo.no anything and is very easy to carry, just do not notice you're wearing puesto.los colors red and gray matte black very good convinacion.ya I have the same clock but matt white with gray background in black and I'm delighted with these relojes.muy likely to return me to buy another serves color.te for sports, gigs, and even dress</v>
      </c>
    </row>
    <row r="12573">
      <c r="A12573" s="1">
        <v>5.0</v>
      </c>
      <c r="B12573" s="1" t="s">
        <v>12462</v>
      </c>
      <c r="C12573" t="str">
        <f>IFERROR(__xludf.DUMMYFUNCTION("GOOGLETRANSLATE(B12573, ""es"", ""en"")"),"How well is very efficient and useful")</f>
        <v>How well is very efficient and useful</v>
      </c>
    </row>
    <row r="12574">
      <c r="A12574" s="1">
        <v>5.0</v>
      </c>
      <c r="B12574" s="1" t="s">
        <v>12463</v>
      </c>
      <c r="C12574" t="str">
        <f>IFERROR(__xludf.DUMMYFUNCTION("GOOGLETRANSLATE(B12574, ""es"", ""en"")"),"The usual A basic to have at home without being an architect, draw a trouble for many small jobs, crafts or just draw straight parallel or measure an angle")</f>
        <v>The usual A basic to have at home without being an architect, draw a trouble for many small jobs, crafts or just draw straight parallel or measure an angle</v>
      </c>
    </row>
    <row r="12575">
      <c r="A12575" s="1">
        <v>2.0</v>
      </c>
      <c r="B12575" s="1" t="s">
        <v>12464</v>
      </c>
      <c r="C12575" t="str">
        <f>IFERROR(__xludf.DUMMYFUNCTION("GOOGLETRANSLATE(B12575, ""es"", ""en"")"),"Not swarovski The design is nice but has two major drawbacks: not Swarovski (do not include the certificate to be) and the engagement of one of the outstanding came stuck a little twisted.")</f>
        <v>Not swarovski The design is nice but has two major drawbacks: not Swarovski (do not include the certificate to be) and the engagement of one of the outstanding came stuck a little twisted.</v>
      </c>
    </row>
    <row r="12576">
      <c r="A12576" s="1">
        <v>3.0</v>
      </c>
      <c r="B12576" s="1" t="s">
        <v>12465</v>
      </c>
      <c r="C12576" t="str">
        <f>IFERROR(__xludf.DUMMYFUNCTION("GOOGLETRANSLATE(B12576, ""es"", ""en"")"),"Nothing to Normalucho.")</f>
        <v>Nothing to Normalucho.</v>
      </c>
    </row>
    <row r="12577">
      <c r="A12577" s="1">
        <v>1.0</v>
      </c>
      <c r="B12577" s="1" t="s">
        <v>12466</v>
      </c>
      <c r="C12577" t="str">
        <f>IFERROR(__xludf.DUMMYFUNCTION("GOOGLETRANSLATE(B12577, ""es"", ""en"")"),"I come not buy these shoes on Amazon. To my shoes they are are a clear imitation of the original. As I saw and touched I felt q gave me for a ride. Carve slightly larger original q to q and I'm used to when I used .... the tongue goes for a side thing has"&amp;" never happened to me q and internal seams are much cruder.")</f>
        <v>I come not buy these shoes on Amazon. To my shoes they are are a clear imitation of the original. As I saw and touched I felt q gave me for a ride. Carve slightly larger original q to q and I'm used to when I used .... the tongue goes for a side thing has never happened to me q and internal seams are much cruder.</v>
      </c>
    </row>
    <row r="12578">
      <c r="A12578" s="1">
        <v>1.0</v>
      </c>
      <c r="B12578" s="1" t="s">
        <v>12467</v>
      </c>
      <c r="C12578" t="str">
        <f>IFERROR(__xludf.DUMMYFUNCTION("GOOGLETRANSLATE(B12578, ""es"", ""en"")"),"Jose My last purchase of a watch Invicta was bad. Small needles fall off and leave the ugly and useless clock. I do not recommend Invicta watches.")</f>
        <v>Jose My last purchase of a watch Invicta was bad. Small needles fall off and leave the ugly and useless clock. I do not recommend Invicta watches.</v>
      </c>
    </row>
    <row r="12579">
      <c r="A12579" s="1">
        <v>4.0</v>
      </c>
      <c r="B12579" s="1" t="s">
        <v>12468</v>
      </c>
      <c r="C12579" t="str">
        <f>IFERROR(__xludf.DUMMYFUNCTION("GOOGLETRANSLATE(B12579, ""es"", ""en"")"),"Good microphone, handy and easy to use good product at a good price. No need to get too close and you can hear well in a good team. Happy with the product and easy to use. Good cables and good sound")</f>
        <v>Good microphone, handy and easy to use good product at a good price. No need to get too close and you can hear well in a good team. Happy with the product and easy to use. Good cables and good sound</v>
      </c>
    </row>
    <row r="12580">
      <c r="A12580" s="1">
        <v>4.0</v>
      </c>
      <c r="B12580" s="1" t="s">
        <v>12469</v>
      </c>
      <c r="C12580" t="str">
        <f>IFERROR(__xludf.DUMMYFUNCTION("GOOGLETRANSLATE(B12580, ""es"", ""en"")"),"Very Good Very nice")</f>
        <v>Very Good Very nice</v>
      </c>
    </row>
    <row r="12581">
      <c r="A12581" s="1">
        <v>4.0</v>
      </c>
      <c r="B12581" s="1" t="s">
        <v>12470</v>
      </c>
      <c r="C12581" t="str">
        <f>IFERROR(__xludf.DUMMYFUNCTION("GOOGLETRANSLATE(B12581, ""es"", ""en"")"),"A good microphone midrange After trying a few days, I leave my assessment helps if you weigh to buy it or not. - CONTENTS The product comes in a box containing: The microphone, amplifier and cable 6m A pad cubremicrófono A tie clip A plug adapter 3.5mm to"&amp;" 1/4 ""A battery for the amplifier (LR44) a note of caution (in Chinese, English and german) the instruction manual (in English) - FIRST IMPRESSIONS the product is well presented in a box containing all accessories and instructions the measuring microphon"&amp;"e about 1.5 cm and engages. . the pillow pretty well also has a groove for coupling to the tie clip the amplifier is metallic and has an integrated clip to attach it to clothing and not have it hanging -... TESTS fOR uSE the product is fairly easy to use "&amp;"amplifier opens with a thread to place the battery (positive side up). If you want to use on a smartphone should keep the switch OFF / SMARTPHONE and connect it to the phone. This will not waste battery since the amplifier is not used. The quality is good"&amp;". Obviously not as much as a professional microphone, but it does function well for interviews and take away from the camera, which comes in handy such long cable. I've also tried it with a reflex camera Canon EOS 70D and works quite well, though be caref"&amp;"ul environmental noise because the microphone is omnidirectional and has no noise filter. It is important that the switch Smartphone / Camera mode can not change while you are using, this will make the sound is intermittent, miss at times, or no record an"&amp;"ything. A major drawback is that has no low battery indicator or operating in camera mode. I miss even a small LED blinks only the activate camera mode or when battery is low. I have some photos of example. - VALUATION final product of average quality. A "&amp;"little expensive compared to other microphones in the market. The cable comes in handy for distance shots, but it's very uncomfortable over short distances, I recommend that transport always well wrapped. It occupies little space for transport. Sound and "&amp;"noise better than most microphones of your price range. I do not give it 5 stars because I think the price could be lower and the lack of a functioning indicator light and low battery")</f>
        <v>A good microphone midrange After trying a few days, I leave my assessment helps if you weigh to buy it or not. - CONTENTS The product comes in a box containing: The microphone, amplifier and cable 6m A pad cubremicrófono A tie clip A plug adapter 3.5mm to 1/4 "A battery for the amplifier (LR44) a note of caution (in Chinese, English and german) the instruction manual (in English) - FIRST IMPRESSIONS the product is well presented in a box containing all accessories and instructions the measuring microphone about 1.5 cm and engages. . the pillow pretty well also has a groove for coupling to the tie clip the amplifier is metallic and has an integrated clip to attach it to clothing and not have it hanging -... TESTS fOR uSE the product is fairly easy to use amplifier opens with a thread to place the battery (positive side up). If you want to use on a smartphone should keep the switch OFF / SMARTPHONE and connect it to the phone. This will not waste battery since the amplifier is not used. The quality is good. Obviously not as much as a professional microphone, but it does function well for interviews and take away from the camera, which comes in handy such long cable. I've also tried it with a reflex camera Canon EOS 70D and works quite well, though be careful environmental noise because the microphone is omnidirectional and has no noise filter. It is important that the switch Smartphone / Camera mode can not change while you are using, this will make the sound is intermittent, miss at times, or no record anything. A major drawback is that has no low battery indicator or operating in camera mode. I miss even a small LED blinks only the activate camera mode or when battery is low. I have some photos of example. - VALUATION final product of average quality. A little expensive compared to other microphones in the market. The cable comes in handy for distance shots, but it's very uncomfortable over short distances, I recommend that transport always well wrapped. It occupies little space for transport. Sound and noise better than most microphones of your price range. I do not give it 5 stars because I think the price could be lower and the lack of a functioning indicator light and low battery</v>
      </c>
    </row>
    <row r="12582">
      <c r="A12582" s="1">
        <v>4.0</v>
      </c>
      <c r="B12582" s="1" t="s">
        <v>12471</v>
      </c>
      <c r="C12582" t="str">
        <f>IFERROR(__xludf.DUMMYFUNCTION("GOOGLETRANSLATE(B12582, ""es"", ""en"")"),"Good price For the price we have is not bad, listen well and are well suited to the ear, yes, for my taste perhaps cable tad short.")</f>
        <v>Good price For the price we have is not bad, listen well and are well suited to the ear, yes, for my taste perhaps cable tad short.</v>
      </c>
    </row>
    <row r="12583">
      <c r="A12583" s="1">
        <v>4.0</v>
      </c>
      <c r="B12583" s="1" t="s">
        <v>12472</v>
      </c>
      <c r="C12583" t="str">
        <f>IFERROR(__xludf.DUMMYFUNCTION("GOOGLETRANSLATE(B12583, ""es"", ""en"")"),"Good bottle for the baby swallows less air I was recommended this bottle to prevent cramping and the truth is that we are very happy with it, our little girl accepted it quite well and helps reduce air swallowing. Perhaps more laborious than other washing"&amp;" bottles, but well worth it if it helps prevent cramping and gas.")</f>
        <v>Good bottle for the baby swallows less air I was recommended this bottle to prevent cramping and the truth is that we are very happy with it, our little girl accepted it quite well and helps reduce air swallowing. Perhaps more laborious than other washing bottles, but well worth it if it helps prevent cramping and gas.</v>
      </c>
    </row>
    <row r="12584">
      <c r="A12584" s="1">
        <v>5.0</v>
      </c>
      <c r="B12584" s="1" t="s">
        <v>12473</v>
      </c>
      <c r="C12584" t="str">
        <f>IFERROR(__xludf.DUMMYFUNCTION("GOOGLETRANSLATE(B12584, ""es"", ""en"")"),"Case my son loved him")</f>
        <v>Case my son loved him</v>
      </c>
    </row>
    <row r="12585">
      <c r="A12585" s="1">
        <v>5.0</v>
      </c>
      <c r="B12585" s="1" t="s">
        <v>12474</v>
      </c>
      <c r="C12585" t="str">
        <f>IFERROR(__xludf.DUMMYFUNCTION("GOOGLETRANSLATE(B12585, ""es"", ""en"")"),"light and elegant I do not like big watches and this is the perfect size for my taste. The combination steel polished-black is stylish")</f>
        <v>light and elegant I do not like big watches and this is the perfect size for my taste. The combination steel polished-black is stylish</v>
      </c>
    </row>
    <row r="12586">
      <c r="A12586" s="1">
        <v>5.0</v>
      </c>
      <c r="B12586" s="1" t="s">
        <v>12475</v>
      </c>
      <c r="C12586" t="str">
        <f>IFERROR(__xludf.DUMMYFUNCTION("GOOGLETRANSLATE(B12586, ""es"", ""en"")"),"Quality and results Fantastic !!")</f>
        <v>Quality and results Fantastic !!</v>
      </c>
    </row>
    <row r="12587">
      <c r="A12587" s="1">
        <v>5.0</v>
      </c>
      <c r="B12587" s="1" t="s">
        <v>12476</v>
      </c>
      <c r="C12587" t="str">
        <f>IFERROR(__xludf.DUMMYFUNCTION("GOOGLETRANSLATE(B12587, ""es"", ""en"")"),"Easy to use and fully manageable Plug and play. Recognizes Microsoft Powerpoint to spend Slideshow mode and presentation from her own command, and recognizes any PDF reader. Tested on Windows 10 and ubuntu 18.04.2. Very handy, it fits perfectly in the han"&amp;"d and texture of the material is the same quality, very soft and pleasing to the touch without being slippery.")</f>
        <v>Easy to use and fully manageable Plug and play. Recognizes Microsoft Powerpoint to spend Slideshow mode and presentation from her own command, and recognizes any PDF reader. Tested on Windows 10 and ubuntu 18.04.2. Very handy, it fits perfectly in the hand and texture of the material is the same quality, very soft and pleasing to the touch without being slippery.</v>
      </c>
    </row>
    <row r="12588">
      <c r="A12588" s="1">
        <v>5.0</v>
      </c>
      <c r="B12588" s="1" t="s">
        <v>12477</v>
      </c>
      <c r="C12588" t="str">
        <f>IFERROR(__xludf.DUMMYFUNCTION("GOOGLETRANSLATE(B12588, ""es"", ""en"")"),"Essential for colicos. As always, this brand does not disappoint. Au that is a bit more expensive and worth much. Definitely the best option for infants.")</f>
        <v>Essential for colicos. As always, this brand does not disappoint. Au that is a bit more expensive and worth much. Definitely the best option for infants.</v>
      </c>
    </row>
    <row r="12589">
      <c r="A12589" s="1">
        <v>5.0</v>
      </c>
      <c r="B12589" s="1" t="s">
        <v>12478</v>
      </c>
      <c r="C12589" t="str">
        <f>IFERROR(__xludf.DUMMYFUNCTION("GOOGLETRANSLATE(B12589, ""es"", ""en"")"),"Good value for money is very good is a little big")</f>
        <v>Good value for money is very good is a little big</v>
      </c>
    </row>
    <row r="12590">
      <c r="A12590" s="1">
        <v>5.0</v>
      </c>
      <c r="B12590" s="1" t="s">
        <v>12479</v>
      </c>
      <c r="C12590" t="str">
        <f>IFERROR(__xludf.DUMMYFUNCTION("GOOGLETRANSLATE(B12590, ""es"", ""en"")"),"adequately fulfills its function These foam pads perfectly meet the purpose for which they were designed. Ie avoid vibrations on the table or desk and, therefore, there is a noticeable improvement in sound quality, especially in the bass notes. The price "&amp;"is very affordable (about 18 €), but the material they are constructed so is. In defintiva, recommended purchase.")</f>
        <v>adequately fulfills its function These foam pads perfectly meet the purpose for which they were designed. Ie avoid vibrations on the table or desk and, therefore, there is a noticeable improvement in sound quality, especially in the bass notes. The price is very affordable (about 18 €), but the material they are constructed so is. In defintiva, recommended purchase.</v>
      </c>
    </row>
    <row r="12591">
      <c r="A12591" s="1">
        <v>5.0</v>
      </c>
      <c r="B12591" s="1" t="s">
        <v>9704</v>
      </c>
      <c r="C12591" t="str">
        <f>IFERROR(__xludf.DUMMYFUNCTION("GOOGLETRANSLATE(B12591, ""es"", ""en"")"),"Perfect Perfect All")</f>
        <v>Perfect Perfect All</v>
      </c>
    </row>
    <row r="12592">
      <c r="A12592" s="1">
        <v>5.0</v>
      </c>
      <c r="B12592" s="1" t="s">
        <v>12480</v>
      </c>
      <c r="C12592" t="str">
        <f>IFERROR(__xludf.DUMMYFUNCTION("GOOGLETRANSLATE(B12592, ""es"", ""en"")"),"Fast and lasting relief for me this article is not exactly a novelty. I used my mother and always have at home a box of lumbar and another for neck and shoulders. What he has told me to respect is that sticks easily and holds up well without unstuck until"&amp;" it touches remove it. This is also easy to do, because with catch one of the corners off easily around the patch, so the type of adhesive used is 10 As to whether or not work ... because when you are finished, send me buy more, so the answer is that if i"&amp;"t works She tells me that quite relieved pain 16 hours of the patch, and you're doing well")</f>
        <v>Fast and lasting relief for me this article is not exactly a novelty. I used my mother and always have at home a box of lumbar and another for neck and shoulders. What he has told me to respect is that sticks easily and holds up well without unstuck until it touches remove it. This is also easy to do, because with catch one of the corners off easily around the patch, so the type of adhesive used is 10 As to whether or not work ... because when you are finished, send me buy more, so the answer is that if it works She tells me that quite relieved pain 16 hours of the patch, and you're doing well</v>
      </c>
    </row>
    <row r="12593">
      <c r="A12593" s="1">
        <v>5.0</v>
      </c>
      <c r="B12593" s="1" t="s">
        <v>12481</v>
      </c>
      <c r="C12593" t="str">
        <f>IFERROR(__xludf.DUMMYFUNCTION("GOOGLETRANSLATE(B12593, ""es"", ""en"")"),"good quality good quality and good size")</f>
        <v>good quality good quality and good size</v>
      </c>
    </row>
    <row r="12594">
      <c r="A12594" s="1">
        <v>5.0</v>
      </c>
      <c r="B12594" s="1" t="s">
        <v>12482</v>
      </c>
      <c r="C12594" t="str">
        <f>IFERROR(__xludf.DUMMYFUNCTION("GOOGLETRANSLATE(B12594, ""es"", ""en"")"),"Good Very nice, I was surprised.")</f>
        <v>Good Very nice, I was surprised.</v>
      </c>
    </row>
    <row r="12595">
      <c r="A12595" s="1">
        <v>5.0</v>
      </c>
      <c r="B12595" s="1" t="s">
        <v>12483</v>
      </c>
      <c r="C12595" t="str">
        <f>IFERROR(__xludf.DUMMYFUNCTION("GOOGLETRANSLATE(B12595, ""es"", ""en"")"),"Good value for money They fit pretty well, do not move and have several bands with different sizes. They come with a case and a mini-cable loading. By putting a snag, the button on / off switch is in an area that normally bind to adjust the handset and so"&amp;"metimes the music is turned off.")</f>
        <v>Good value for money They fit pretty well, do not move and have several bands with different sizes. They come with a case and a mini-cable loading. By putting a snag, the button on / off switch is in an area that normally bind to adjust the handset and sometimes the music is turned off.</v>
      </c>
    </row>
    <row r="12596">
      <c r="A12596" s="1">
        <v>5.0</v>
      </c>
      <c r="B12596" s="1" t="s">
        <v>12484</v>
      </c>
      <c r="C12596" t="str">
        <f>IFERROR(__xludf.DUMMYFUNCTION("GOOGLETRANSLATE(B12596, ""es"", ""en"")"),"Akai APC mini Good product easy installation")</f>
        <v>Akai APC mini Good product easy installation</v>
      </c>
    </row>
    <row r="12597">
      <c r="A12597" s="1">
        <v>5.0</v>
      </c>
      <c r="B12597" s="1" t="s">
        <v>12485</v>
      </c>
      <c r="C12597" t="str">
        <f>IFERROR(__xludf.DUMMYFUNCTION("GOOGLETRANSLATE(B12597, ""es"", ""en"")"),"Useful Very useful for the daily management of documents and internal management in carpatacios. fair quality, like all. Sometimes it is not easy to find, Amazon put them at home easily and quickly. In fact they were ordered with other things that Amazon "&amp;"came first and later send them individually.")</f>
        <v>Useful Very useful for the daily management of documents and internal management in carpatacios. fair quality, like all. Sometimes it is not easy to find, Amazon put them at home easily and quickly. In fact they were ordered with other things that Amazon came first and later send them individually.</v>
      </c>
    </row>
    <row r="12598">
      <c r="A12598" s="1">
        <v>5.0</v>
      </c>
      <c r="B12598" s="1" t="s">
        <v>12486</v>
      </c>
      <c r="C12598" t="str">
        <f>IFERROR(__xludf.DUMMYFUNCTION("GOOGLETRANSLATE(B12598, ""es"", ""en"")"),"Màgic. Màgic, aconsellable molt")</f>
        <v>Màgic. Màgic, aconsellable molt</v>
      </c>
    </row>
    <row r="12599">
      <c r="A12599" s="1">
        <v>5.0</v>
      </c>
      <c r="B12599" s="1" t="s">
        <v>12487</v>
      </c>
      <c r="C12599" t="str">
        <f>IFERROR(__xludf.DUMMYFUNCTION("GOOGLETRANSLATE(B12599, ""es"", ""en"")"),"Pas arrives as planned, without delay. The perfect size. Very comfortable, it fits perfectly to the body and its wide straps do not bother anything. While feeling well. I repeat purchase")</f>
        <v>Pas arrives as planned, without delay. The perfect size. Very comfortable, it fits perfectly to the body and its wide straps do not bother anything. While feeling well. I repeat purchase</v>
      </c>
    </row>
    <row r="12600">
      <c r="A12600" s="1">
        <v>5.0</v>
      </c>
      <c r="B12600" s="1" t="s">
        <v>12488</v>
      </c>
      <c r="C12600" t="str">
        <f>IFERROR(__xludf.DUMMYFUNCTION("GOOGLETRANSLATE(B12600, ""es"", ""en"")"),"It is really cool slightly larger usually use pedi 37.5 and 38 and I look good with a template, or average order size usually less if available")</f>
        <v>It is really cool slightly larger usually use pedi 37.5 and 38 and I look good with a template, or average order size usually less if available</v>
      </c>
    </row>
    <row r="12601">
      <c r="A12601" s="1">
        <v>5.0</v>
      </c>
      <c r="B12601" s="1" t="s">
        <v>12489</v>
      </c>
      <c r="C12601" t="str">
        <f>IFERROR(__xludf.DUMMYFUNCTION("GOOGLETRANSLATE(B12601, ""es"", ""en"")"),"100% O. K. I totally recommend, to seek comfort and value (not aesthetic).")</f>
        <v>100% O. K. I totally recommend, to seek comfort and value (not aesthetic).</v>
      </c>
    </row>
    <row r="12602">
      <c r="A12602" s="1">
        <v>5.0</v>
      </c>
      <c r="B12602" s="1" t="s">
        <v>12490</v>
      </c>
      <c r="C12602" t="str">
        <f>IFERROR(__xludf.DUMMYFUNCTION("GOOGLETRANSLATE(B12602, ""es"", ""en"")"),"Good material and excellent appearance. The product conforms to the specifications and the price is more than interesting. Now we just need to see the result it offers and its durability.")</f>
        <v>Good material and excellent appearance. The product conforms to the specifications and the price is more than interesting. Now we just need to see the result it offers and its durability.</v>
      </c>
    </row>
    <row r="12603">
      <c r="A12603" s="1">
        <v>2.0</v>
      </c>
      <c r="B12603" s="1" t="s">
        <v>12491</v>
      </c>
      <c r="C12603" t="str">
        <f>IFERROR(__xludf.DUMMYFUNCTION("GOOGLETRANSLATE(B12603, ""es"", ""en"")"),"Original not doing their job if they are not the originals. LÑos me coming with mobile cable was longer, the buttons were similar yet different time. I am sure that we are equal qde are very similar but annoys me that lso sold as originals.")</f>
        <v>Original not doing their job if they are not the originals. LÑos me coming with mobile cable was longer, the buttons were similar yet different time. I am sure that we are equal qde are very similar but annoys me that lso sold as originals.</v>
      </c>
    </row>
    <row r="12604">
      <c r="A12604" s="1">
        <v>3.0</v>
      </c>
      <c r="B12604" s="1" t="s">
        <v>12492</v>
      </c>
      <c r="C12604" t="str">
        <f>IFERROR(__xludf.DUMMYFUNCTION("GOOGLETRANSLATE(B12604, ""es"", ""en"")"),"No dipping, or spoiled the moment are very nice, but lost its color within two days. But for that price I did not expect more.")</f>
        <v>No dipping, or spoiled the moment are very nice, but lost its color within two days. But for that price I did not expect more.</v>
      </c>
    </row>
    <row r="12605">
      <c r="A12605" s="1">
        <v>3.0</v>
      </c>
      <c r="B12605" s="1" t="s">
        <v>12493</v>
      </c>
      <c r="C12605" t="str">
        <f>IFERROR(__xludf.DUMMYFUNCTION("GOOGLETRANSLATE(B12605, ""es"", ""en"")"),"Very fair waist despite choosing the right sizing My wife reports that the quality is not bad; It has waist 69 cm; She has a small sizing; but this garment is tight and sports unhealthy states that since no good lymphatic drainage with that pressure in th"&amp;"e abdomen.")</f>
        <v>Very fair waist despite choosing the right sizing My wife reports that the quality is not bad; It has waist 69 cm; She has a small sizing; but this garment is tight and sports unhealthy states that since no good lymphatic drainage with that pressure in the abdomen.</v>
      </c>
    </row>
    <row r="12606">
      <c r="A12606" s="1">
        <v>1.0</v>
      </c>
      <c r="B12606" s="1" t="s">
        <v>12494</v>
      </c>
      <c r="C12606" t="str">
        <f>IFERROR(__xludf.DUMMYFUNCTION("GOOGLETRANSLATE(B12606, ""es"", ""en"")"),"Article deplorable After not even reached the first month of use, start descoserse and open seams, has been used almost 5 times and is already beginning to break, defective item as show in the pictures, embarrassing.")</f>
        <v>Article deplorable After not even reached the first month of use, start descoserse and open seams, has been used almost 5 times and is already beginning to break, defective item as show in the pictures, embarrassing.</v>
      </c>
    </row>
    <row r="12607">
      <c r="A12607" s="1">
        <v>1.0</v>
      </c>
      <c r="B12607" s="1" t="s">
        <v>12495</v>
      </c>
      <c r="C12607" t="str">
        <f>IFERROR(__xludf.DUMMYFUNCTION("GOOGLETRANSLATE(B12607, ""es"", ""en"")"),"Q X is not expected .... but x the price is bn")</f>
        <v>Q X is not expected .... but x the price is bn</v>
      </c>
    </row>
    <row r="12608">
      <c r="A12608" s="1">
        <v>4.0</v>
      </c>
      <c r="B12608" s="1" t="s">
        <v>12496</v>
      </c>
      <c r="C12608" t="str">
        <f>IFERROR(__xludf.DUMMYFUNCTION("GOOGLETRANSLATE(B12608, ""es"", ""en"")"),"It came fairly quickly The truth is that is fine, especially for the price.")</f>
        <v>It came fairly quickly The truth is that is fine, especially for the price.</v>
      </c>
    </row>
    <row r="12609">
      <c r="A12609" s="1">
        <v>4.0</v>
      </c>
      <c r="B12609" s="1" t="s">
        <v>12497</v>
      </c>
      <c r="C12609" t="str">
        <f>IFERROR(__xludf.DUMMYFUNCTION("GOOGLETRANSLATE(B12609, ""es"", ""en"")"),"light and comfortable. Light and comfortable. I had to replace them with a full size because they are a bit cramped, but otherwise are perfect")</f>
        <v>light and comfortable. Light and comfortable. I had to replace them with a full size because they are a bit cramped, but otherwise are perfect</v>
      </c>
    </row>
    <row r="12610">
      <c r="A12610" s="1">
        <v>4.0</v>
      </c>
      <c r="B12610" s="1" t="s">
        <v>12498</v>
      </c>
      <c r="C12610" t="str">
        <f>IFERROR(__xludf.DUMMYFUNCTION("GOOGLETRANSLATE(B12610, ""es"", ""en"")"),"Not enough if looking for something super professional is very good the quality / price, but has a lot of power ... If it is to make creams, milkshakes etc. It's enough.")</f>
        <v>Not enough if looking for something super professional is very good the quality / price, but has a lot of power ... If it is to make creams, milkshakes etc. It's enough.</v>
      </c>
    </row>
    <row r="12611">
      <c r="A12611" s="1">
        <v>4.0</v>
      </c>
      <c r="B12611" s="1" t="s">
        <v>12499</v>
      </c>
      <c r="C12611" t="str">
        <f>IFERROR(__xludf.DUMMYFUNCTION("GOOGLETRANSLATE(B12611, ""es"", ""en"")"),"Very durable The product matches your description, it seems a bit expensive for the metros it brings, would come to € 3.50 metro and although quality and hold much weight could be slightly cheaper subway. I'm not saying that the seller is expensive, but t"&amp;"he product itself is expensive.")</f>
        <v>Very durable The product matches your description, it seems a bit expensive for the metros it brings, would come to € 3.50 metro and although quality and hold much weight could be slightly cheaper subway. I'm not saying that the seller is expensive, but the product itself is expensive.</v>
      </c>
    </row>
    <row r="12612">
      <c r="A12612" s="1">
        <v>4.0</v>
      </c>
      <c r="B12612" s="1" t="s">
        <v>12500</v>
      </c>
      <c r="C12612" t="str">
        <f>IFERROR(__xludf.DUMMYFUNCTION("GOOGLETRANSLATE(B12612, ""es"", ""en"")"),"Nice tracksuit I've caught on offer for 36 € and the truth that I 1.78my encanta..mido weight 94kg and I bought a size XL, which comes great (a big bit, but muyyyy little) ... is very good tracksuit spring and otono.En my opinion quality / price I give it"&amp;" a 10.")</f>
        <v>Nice tracksuit I've caught on offer for 36 € and the truth that I 1.78my encanta..mido weight 94kg and I bought a size XL, which comes great (a big bit, but muyyyy little) ... is very good tracksuit spring and otono.En my opinion quality / price I give it a 10.</v>
      </c>
    </row>
    <row r="12613">
      <c r="A12613" s="1">
        <v>5.0</v>
      </c>
      <c r="B12613" s="1" t="s">
        <v>12501</v>
      </c>
      <c r="C12613" t="str">
        <f>IFERROR(__xludf.DUMMYFUNCTION("GOOGLETRANSLATE(B12613, ""es"", ""en"")"),"A bracelet elegant bracelet fine and elegant. The garnet beads shine very much. The rubber band can fit any wrist and weighs almost nothing. I love that you do not pinch the hair on his hand ... as is typical in this type of bracelets. I chose the silver "&amp;"heart because it is very discreet. It's a beautiful bracelet. A gift very successful.")</f>
        <v>A bracelet elegant bracelet fine and elegant. The garnet beads shine very much. The rubber band can fit any wrist and weighs almost nothing. I love that you do not pinch the hair on his hand ... as is typical in this type of bracelets. I chose the silver heart because it is very discreet. It's a beautiful bracelet. A gift very successful.</v>
      </c>
    </row>
    <row r="12614">
      <c r="A12614" s="1">
        <v>5.0</v>
      </c>
      <c r="B12614" s="1" t="s">
        <v>12502</v>
      </c>
      <c r="C12614" t="str">
        <f>IFERROR(__xludf.DUMMYFUNCTION("GOOGLETRANSLATE(B12614, ""es"", ""en"")"),"Quality product Heats very quickly. It is easy to clean and maintain.")</f>
        <v>Quality product Heats very quickly. It is easy to clean and maintain.</v>
      </c>
    </row>
    <row r="12615">
      <c r="A12615" s="1">
        <v>5.0</v>
      </c>
      <c r="B12615" s="1" t="s">
        <v>12503</v>
      </c>
      <c r="C12615" t="str">
        <f>IFERROR(__xludf.DUMMYFUNCTION("GOOGLETRANSLATE(B12615, ""es"", ""en"")"),"I really liked the sole wanted to replace ones that had very similar and therefore look for these, I had never had this mark, so far very good!")</f>
        <v>I really liked the sole wanted to replace ones that had very similar and therefore look for these, I had never had this mark, so far very good!</v>
      </c>
    </row>
    <row r="12616">
      <c r="A12616" s="1">
        <v>5.0</v>
      </c>
      <c r="B12616" s="1" t="s">
        <v>12504</v>
      </c>
      <c r="C12616" t="str">
        <f>IFERROR(__xludf.DUMMYFUNCTION("GOOGLETRANSLATE(B12616, ""es"", ""en"")"),"C pendrive style I liked its design and silver color and above all, which has chosen me for it is the ability to connect both PC and smartphone to their type connector C.")</f>
        <v>C pendrive style I liked its design and silver color and above all, which has chosen me for it is the ability to connect both PC and smartphone to their type connector C.</v>
      </c>
    </row>
    <row r="12617">
      <c r="A12617" s="1">
        <v>5.0</v>
      </c>
      <c r="B12617" s="1" t="s">
        <v>12505</v>
      </c>
      <c r="C12617" t="str">
        <f>IFERROR(__xludf.DUMMYFUNCTION("GOOGLETRANSLATE(B12617, ""es"", ""en"")"),"Very good shoes Perfectas, precious, had bought this model more times and are original. the sizes Adidas must take into account choosing size, as on some brands are somewhat smaller shoes. Very happy the price offered amazing")</f>
        <v>Very good shoes Perfectas, precious, had bought this model more times and are original. the sizes Adidas must take into account choosing size, as on some brands are somewhat smaller shoes. Very happy the price offered amazing</v>
      </c>
    </row>
    <row r="12618">
      <c r="A12618" s="1">
        <v>5.0</v>
      </c>
      <c r="B12618" s="1" t="s">
        <v>12506</v>
      </c>
      <c r="C12618" t="str">
        <f>IFERROR(__xludf.DUMMYFUNCTION("GOOGLETRANSLATE(B12618, ""es"", ""en"")"),"Perfect just what I wanted!")</f>
        <v>Perfect just what I wanted!</v>
      </c>
    </row>
    <row r="12619">
      <c r="A12619" s="1">
        <v>5.0</v>
      </c>
      <c r="B12619" s="1" t="s">
        <v>12507</v>
      </c>
      <c r="C12619" t="str">
        <f>IFERROR(__xludf.DUMMYFUNCTION("GOOGLETRANSLATE(B12619, ""es"", ""en"")"),"Value is an SSD for its quality / price is unbeatable, I've already bought about 6-7 to renew old machines and it shows outrageous change gives new life to the team.")</f>
        <v>Value is an SSD for its quality / price is unbeatable, I've already bought about 6-7 to renew old machines and it shows outrageous change gives new life to the team.</v>
      </c>
    </row>
    <row r="12620">
      <c r="A12620" s="1">
        <v>5.0</v>
      </c>
      <c r="B12620" s="1" t="s">
        <v>12508</v>
      </c>
      <c r="C12620" t="str">
        <f>IFERROR(__xludf.DUMMYFUNCTION("GOOGLETRANSLATE(B12620, ""es"", ""en"")"),"Quality and value. immediate shipment. Its various colors to distinguish their use without label. To store music, for example.")</f>
        <v>Quality and value. immediate shipment. Its various colors to distinguish their use without label. To store music, for example.</v>
      </c>
    </row>
    <row r="12621">
      <c r="A12621" s="1">
        <v>5.0</v>
      </c>
      <c r="B12621" s="1" t="s">
        <v>12509</v>
      </c>
      <c r="C12621" t="str">
        <f>IFERROR(__xludf.DUMMYFUNCTION("GOOGLETRANSLATE(B12621, ""es"", ""en"")"),"all ordenadito is great to leave your outstanding sight and ordered")</f>
        <v>all ordenadito is great to leave your outstanding sight and ordered</v>
      </c>
    </row>
    <row r="12622">
      <c r="A12622" s="1">
        <v>5.0</v>
      </c>
      <c r="B12622" s="1" t="s">
        <v>12510</v>
      </c>
      <c r="C12622" t="str">
        <f>IFERROR(__xludf.DUMMYFUNCTION("GOOGLETRANSLATE(B12622, ""es"", ""en"")"),"Capacity size and good performance content took with him running associated with a Synology NAS over two months and perfect. Not a SSD but the speed of reading and writing are very good for a magnetic, although, as in all, managing hundreds of files small"&amp;"er than half a mega each accuses lot, both reading and writing. For now, perfect.")</f>
        <v>Capacity size and good performance content took with him running associated with a Synology NAS over two months and perfect. Not a SSD but the speed of reading and writing are very good for a magnetic, although, as in all, managing hundreds of files smaller than half a mega each accuses lot, both reading and writing. For now, perfect.</v>
      </c>
    </row>
    <row r="12623">
      <c r="A12623" s="1">
        <v>5.0</v>
      </c>
      <c r="B12623" s="1" t="s">
        <v>12511</v>
      </c>
      <c r="C12623" t="str">
        <f>IFERROR(__xludf.DUMMYFUNCTION("GOOGLETRANSLATE(B12623, ""es"", ""en"")"),"Hand mixer hand mixer, with plenty of power and very complete. It comes with mixer, mincer and kneader.")</f>
        <v>Hand mixer hand mixer, with plenty of power and very complete. It comes with mixer, mincer and kneader.</v>
      </c>
    </row>
    <row r="12624">
      <c r="A12624" s="1">
        <v>5.0</v>
      </c>
      <c r="B12624" s="1" t="s">
        <v>12512</v>
      </c>
      <c r="C12624" t="str">
        <f>IFERROR(__xludf.DUMMYFUNCTION("GOOGLETRANSLATE(B12624, ""es"", ""en"")"),"I recommend is a past what comes to sweat with these leggings are very comfortable and the waist is high to cover the abdomen.Es is very good quality and aesthetically I really like.")</f>
        <v>I recommend is a past what comes to sweat with these leggings are very comfortable and the waist is high to cover the abdomen.Es is very good quality and aesthetically I really like.</v>
      </c>
    </row>
    <row r="12625">
      <c r="A12625" s="1">
        <v>5.0</v>
      </c>
      <c r="B12625" s="1" t="s">
        <v>12513</v>
      </c>
      <c r="C12625" t="str">
        <f>IFERROR(__xludf.DUMMYFUNCTION("GOOGLETRANSLATE(B12625, ""es"", ""en"")"),"GOOD GOOD BOOK CARTRIDGE GOOD PRICE")</f>
        <v>GOOD GOOD BOOK CARTRIDGE GOOD PRICE</v>
      </c>
    </row>
    <row r="12626">
      <c r="A12626" s="1">
        <v>5.0</v>
      </c>
      <c r="B12626" s="1" t="s">
        <v>12514</v>
      </c>
      <c r="C12626" t="str">
        <f>IFERROR(__xludf.DUMMYFUNCTION("GOOGLETRANSLATE(B12626, ""es"", ""en"")"),"Quality seems good durability this by deciding Perfect for sports cameras has enough storage and perfect fit, good brand")</f>
        <v>Quality seems good durability this by deciding Perfect for sports cameras has enough storage and perfect fit, good brand</v>
      </c>
    </row>
    <row r="12627">
      <c r="A12627" s="1">
        <v>5.0</v>
      </c>
      <c r="B12627" s="1" t="s">
        <v>12515</v>
      </c>
      <c r="C12627" t="str">
        <f>IFERROR(__xludf.DUMMYFUNCTION("GOOGLETRANSLATE(B12627, ""es"", ""en"")"),"I really like this recommended microphone! This microphone has a good tone, nothing more than noise, a microphone in my last purchase, much mejor.Viene with a line, can be connected directly to the phone, you can also use the radio, bluetooth connection, "&amp;"which lets you insert the memory card from the bottom, the middle part can adjust the microphone mobile voice and play songs sonidos.En generally, this buy, very satisfied, worth recommending to a friend")</f>
        <v>I really like this recommended microphone! This microphone has a good tone, nothing more than noise, a microphone in my last purchase, much mejor.Viene with a line, can be connected directly to the phone, you can also use the radio, bluetooth connection, which lets you insert the memory card from the bottom, the middle part can adjust the microphone mobile voice and play songs sonidos.En generally, this buy, very satisfied, worth recommending to a friend</v>
      </c>
    </row>
    <row r="12628">
      <c r="A12628" s="1">
        <v>5.0</v>
      </c>
      <c r="B12628" s="1" t="s">
        <v>12516</v>
      </c>
      <c r="C12628" t="str">
        <f>IFERROR(__xludf.DUMMYFUNCTION("GOOGLETRANSLATE(B12628, ""es"", ""en"")"),"Good buy is a device very apparent as well as practical. The glass is glass, and relatively small footprint. Chopped that achieved is very good and fast, having enough power. It plugs through a micro USB, which makes it very convenient. It has been good b"&amp;"uy")</f>
        <v>Good buy is a device very apparent as well as practical. The glass is glass, and relatively small footprint. Chopped that achieved is very good and fast, having enough power. It plugs through a micro USB, which makes it very convenient. It has been good buy</v>
      </c>
    </row>
    <row r="12629">
      <c r="A12629" s="1">
        <v>5.0</v>
      </c>
      <c r="B12629" s="1" t="s">
        <v>12517</v>
      </c>
      <c r="C12629" t="str">
        <f>IFERROR(__xludf.DUMMYFUNCTION("GOOGLETRANSLATE(B12629, ""es"", ""en"")"),"Professional solution quality is maximal, the sound is very clean, convenient to use, with no extra equipment as it connects to the USB.")</f>
        <v>Professional solution quality is maximal, the sound is very clean, convenient to use, with no extra equipment as it connects to the USB.</v>
      </c>
    </row>
    <row r="12630">
      <c r="A12630" s="1">
        <v>5.0</v>
      </c>
      <c r="B12630" s="1" t="s">
        <v>12518</v>
      </c>
      <c r="C12630" t="str">
        <f>IFERROR(__xludf.DUMMYFUNCTION("GOOGLETRANSLATE(B12630, ""es"", ""en"")"),"I bought it recommended to put movies to children and very happy moment ... good materials and very manageable")</f>
        <v>I bought it recommended to put movies to children and very happy moment ... good materials and very manageable</v>
      </c>
    </row>
    <row r="12631">
      <c r="A12631" s="1">
        <v>2.0</v>
      </c>
      <c r="B12631" s="1" t="s">
        <v>12519</v>
      </c>
      <c r="C12631" t="str">
        <f>IFERROR(__xludf.DUMMYFUNCTION("GOOGLETRANSLATE(B12631, ""es"", ""en"")"),"Comes off the loops of the cord comes off the loops of cord waist. Otherwise it looks good and the fabric is not too fat and apparently will not do. Edges to the fabric")</f>
        <v>Comes off the loops of the cord comes off the loops of cord waist. Otherwise it looks good and the fabric is not too fat and apparently will not do. Edges to the fabric</v>
      </c>
    </row>
    <row r="12632">
      <c r="A12632" s="1">
        <v>3.0</v>
      </c>
      <c r="B12632" s="1" t="s">
        <v>12520</v>
      </c>
      <c r="C12632" t="str">
        <f>IFERROR(__xludf.DUMMYFUNCTION("GOOGLETRANSLATE(B12632, ""es"", ""en"")"),"For what it's cool ... A lot took the hands are loose and good for what it k ....")</f>
        <v>For what it's cool ... A lot took the hands are loose and good for what it k ....</v>
      </c>
    </row>
    <row r="12633">
      <c r="A12633" s="1">
        <v>3.0</v>
      </c>
      <c r="B12633" s="1" t="s">
        <v>12521</v>
      </c>
      <c r="C12633" t="str">
        <f>IFERROR(__xludf.DUMMYFUNCTION("GOOGLETRANSLATE(B12633, ""es"", ""en"")"),"13,45 € headphones acceptable can not ask for much more (although two weeks later I saw some of the same make and model physical store 11.5 €). Folding box headphones after almost 3 months of use, still hard, bass sounds are often heard a little saturated"&amp;" without audio track. I know you can not ask for more, but the lower model this (I lasted about 10 months) and seemed somewhat better.")</f>
        <v>13,45 € headphones acceptable can not ask for much more (although two weeks later I saw some of the same make and model physical store 11.5 €). Folding box headphones after almost 3 months of use, still hard, bass sounds are often heard a little saturated without audio track. I know you can not ask for more, but the lower model this (I lasted about 10 months) and seemed somewhat better.</v>
      </c>
    </row>
    <row r="12634">
      <c r="A12634" s="1">
        <v>1.0</v>
      </c>
      <c r="B12634" s="1" t="s">
        <v>12522</v>
      </c>
      <c r="C12634" t="str">
        <f>IFERROR(__xludf.DUMMYFUNCTION("GOOGLETRANSLATE(B12634, ""es"", ""en"")"),"Does not work does not work")</f>
        <v>Does not work does not work</v>
      </c>
    </row>
    <row r="12635">
      <c r="A12635" s="1">
        <v>1.0</v>
      </c>
      <c r="B12635" s="1" t="s">
        <v>12523</v>
      </c>
      <c r="C12635" t="str">
        <f>IFERROR(__xludf.DUMMYFUNCTION("GOOGLETRANSLATE(B12635, ""es"", ""en"")"),"Much hype about sox pa sooooo bad very bad dog. They do not stay in place, as David Bisbal around given. Yes, if you're a lover of lint, they will captivate you from the first moment. Many fluffs and well educated, from those who come to greet visitors.")</f>
        <v>Much hype about sox pa sooooo bad very bad dog. They do not stay in place, as David Bisbal around given. Yes, if you're a lover of lint, they will captivate you from the first moment. Many fluffs and well educated, from those who come to greet visitors.</v>
      </c>
    </row>
    <row r="12636">
      <c r="A12636" s="1">
        <v>1.0</v>
      </c>
      <c r="B12636" s="1" t="s">
        <v>12524</v>
      </c>
      <c r="C12636" t="str">
        <f>IFERROR(__xludf.DUMMYFUNCTION("GOOGLETRANSLATE(B12636, ""es"", ""en"")"),"We ended up returning poor quality because the second day the left earphone stopped working and had connectivity problems.")</f>
        <v>We ended up returning poor quality because the second day the left earphone stopped working and had connectivity problems.</v>
      </c>
    </row>
    <row r="12637">
      <c r="A12637" s="1">
        <v>4.0</v>
      </c>
      <c r="B12637" s="1" t="s">
        <v>12525</v>
      </c>
      <c r="C12637" t="str">
        <f>IFERROR(__xludf.DUMMYFUNCTION("GOOGLETRANSLATE(B12637, ""es"", ""en"")"),"Comment after test tape Basic American. Good value for money.")</f>
        <v>Comment after test tape Basic American. Good value for money.</v>
      </c>
    </row>
    <row r="12638">
      <c r="A12638" s="1">
        <v>4.0</v>
      </c>
      <c r="B12638" s="1" t="s">
        <v>12526</v>
      </c>
      <c r="C12638" t="str">
        <f>IFERROR(__xludf.DUMMYFUNCTION("GOOGLETRANSLATE(B12638, ""es"", ""en"")"),"A little big but very nice watch The watch is very nice though larger than I expected. In light of the background it is blue. I did not like the product came with the battery already underway. The rest well.")</f>
        <v>A little big but very nice watch The watch is very nice though larger than I expected. In light of the background it is blue. I did not like the product came with the battery already underway. The rest well.</v>
      </c>
    </row>
    <row r="12639">
      <c r="A12639" s="1">
        <v>4.0</v>
      </c>
      <c r="B12639" s="1" t="s">
        <v>12527</v>
      </c>
      <c r="C12639" t="str">
        <f>IFERROR(__xludf.DUMMYFUNCTION("GOOGLETRANSLATE(B12639, ""es"", ""en"")"),"Good buy are very cool and comfortable, they have charmed everyone.")</f>
        <v>Good buy are very cool and comfortable, they have charmed everyone.</v>
      </c>
    </row>
    <row r="12640">
      <c r="A12640" s="1">
        <v>4.0</v>
      </c>
      <c r="B12640" s="1" t="s">
        <v>12528</v>
      </c>
      <c r="C12640" t="str">
        <f>IFERROR(__xludf.DUMMYFUNCTION("GOOGLETRANSLATE(B12640, ""es"", ""en"")"),"Normal clean. The good thing is that the clothes do not smell anything. The less good news is that it seems that the third wash, throw the balls gives a sense of waste. Anyway, I would buy.")</f>
        <v>Normal clean. The good thing is that the clothes do not smell anything. The less good news is that it seems that the third wash, throw the balls gives a sense of waste. Anyway, I would buy.</v>
      </c>
    </row>
    <row r="12641">
      <c r="A12641" s="1">
        <v>5.0</v>
      </c>
      <c r="B12641" s="1" t="s">
        <v>12529</v>
      </c>
      <c r="C12641" t="str">
        <f>IFERROR(__xludf.DUMMYFUNCTION("GOOGLETRANSLATE(B12641, ""es"", ""en"")"),"Transportability opposition to study issues for many hours")</f>
        <v>Transportability opposition to study issues for many hours</v>
      </c>
    </row>
    <row r="12642">
      <c r="A12642" s="1">
        <v>5.0</v>
      </c>
      <c r="B12642" s="1" t="s">
        <v>12530</v>
      </c>
      <c r="C12642" t="str">
        <f>IFERROR(__xludf.DUMMYFUNCTION("GOOGLETRANSLATE(B12642, ""es"", ""en"")"),"Juan The truth is that Casio is a brand that gives confidence, is lifelong, after trying several brands for several years as Casio watches battle in none, very fast shipping, 100% happy")</f>
        <v>Juan The truth is that Casio is a brand that gives confidence, is lifelong, after trying several brands for several years as Casio watches battle in none, very fast shipping, 100% happy</v>
      </c>
    </row>
    <row r="12643">
      <c r="A12643" s="1">
        <v>5.0</v>
      </c>
      <c r="B12643" s="1" t="s">
        <v>12531</v>
      </c>
      <c r="C12643" t="str">
        <f>IFERROR(__xludf.DUMMYFUNCTION("GOOGLETRANSLATE(B12643, ""es"", ""en"")"),"Very good headphones I bought for my Home Studio and go pearl. The sound is excellent. Plano, without coloratura. Perfect for recording and mixing process. Definitely a good purchase, guarantee a good brand as it is AKG!")</f>
        <v>Very good headphones I bought for my Home Studio and go pearl. The sound is excellent. Plano, without coloratura. Perfect for recording and mixing process. Definitely a good purchase, guarantee a good brand as it is AKG!</v>
      </c>
    </row>
    <row r="12644">
      <c r="A12644" s="1">
        <v>5.0</v>
      </c>
      <c r="B12644" s="1" t="s">
        <v>12532</v>
      </c>
      <c r="C12644" t="str">
        <f>IFERROR(__xludf.DUMMYFUNCTION("GOOGLETRANSLATE(B12644, ""es"", ""en"")"),"It meets all perfect everything specified. A complete clock phone book, light, clock, calculator, alarm, calendar and everything you need")</f>
        <v>It meets all perfect everything specified. A complete clock phone book, light, clock, calculator, alarm, calendar and everything you need</v>
      </c>
    </row>
    <row r="12645">
      <c r="A12645" s="1">
        <v>5.0</v>
      </c>
      <c r="B12645" s="1" t="s">
        <v>12533</v>
      </c>
      <c r="C12645" t="str">
        <f>IFERROR(__xludf.DUMMYFUNCTION("GOOGLETRANSLATE(B12645, ""es"", ""en"")"),"Very good cables Great quality, are of good material and put no noise or alter the color of the sound. Definitely I recommend it")</f>
        <v>Very good cables Great quality, are of good material and put no noise or alter the color of the sound. Definitely I recommend it</v>
      </c>
    </row>
    <row r="12646">
      <c r="A12646" s="1">
        <v>5.0</v>
      </c>
      <c r="B12646" s="1" t="s">
        <v>12534</v>
      </c>
      <c r="C12646" t="str">
        <f>IFERROR(__xludf.DUMMYFUNCTION("GOOGLETRANSLATE(B12646, ""es"", ""en"")"),"Good product at a good price First impression is very good. Good materials and finishes. It should be borne in mind that is large and a little high. If you like rather flat this is not your watch. Well presented. To all my friends love and my most. I reco"&amp;"mmend it. Good, nice and cheap € 118.")</f>
        <v>Good product at a good price First impression is very good. Good materials and finishes. It should be borne in mind that is large and a little high. If you like rather flat this is not your watch. Well presented. To all my friends love and my most. I recommend it. Good, nice and cheap € 118.</v>
      </c>
    </row>
    <row r="12647">
      <c r="A12647" s="1">
        <v>5.0</v>
      </c>
      <c r="B12647" s="1" t="s">
        <v>12535</v>
      </c>
      <c r="C12647" t="str">
        <f>IFERROR(__xludf.DUMMYFUNCTION("GOOGLETRANSLATE(B12647, ""es"", ""en"")"),"It works perfectly perfect, many accessories. Impressive power and adjustable suction (although the maximum is too) Easy to disassemble and clean, totally recommended.")</f>
        <v>It works perfectly perfect, many accessories. Impressive power and adjustable suction (although the maximum is too) Easy to disassemble and clean, totally recommended.</v>
      </c>
    </row>
    <row r="12648">
      <c r="A12648" s="1">
        <v>5.0</v>
      </c>
      <c r="B12648" s="1" t="s">
        <v>12536</v>
      </c>
      <c r="C12648" t="str">
        <f>IFERROR(__xludf.DUMMYFUNCTION("GOOGLETRANSLATE(B12648, ""es"", ""en"")"),"I love I love how it smells. I recommend it")</f>
        <v>I love I love how it smells. I recommend it</v>
      </c>
    </row>
    <row r="12649">
      <c r="A12649" s="1">
        <v>5.0</v>
      </c>
      <c r="B12649" s="1" t="s">
        <v>12537</v>
      </c>
      <c r="C12649" t="str">
        <f>IFERROR(__xludf.DUMMYFUNCTION("GOOGLETRANSLATE(B12649, ""es"", ""en"")"),"Very soft and good product is very good")</f>
        <v>Very soft and good product is very good</v>
      </c>
    </row>
    <row r="12650">
      <c r="A12650" s="1">
        <v>5.0</v>
      </c>
      <c r="B12650" s="1" t="s">
        <v>12538</v>
      </c>
      <c r="C12650" t="str">
        <f>IFERROR(__xludf.DUMMYFUNCTION("GOOGLETRANSLATE(B12650, ""es"", ""en"")"),"I love Magnifica is very nice and is super cute neck, I recommend, is presiosa")</f>
        <v>I love Magnifica is very nice and is super cute neck, I recommend, is presiosa</v>
      </c>
    </row>
    <row r="12651">
      <c r="A12651" s="1">
        <v>5.0</v>
      </c>
      <c r="B12651" s="1" t="s">
        <v>12539</v>
      </c>
      <c r="C12651" t="str">
        <f>IFERROR(__xludf.DUMMYFUNCTION("GOOGLETRANSLATE(B12651, ""es"", ""en"")"),"Very good buy A good shoe. Comfortable with Memory Foam and a good finish. Just what I wanted at a great price for not coming in the original box it was damaged. One detail that does not matter to my view.")</f>
        <v>Very good buy A good shoe. Comfortable with Memory Foam and a good finish. Just what I wanted at a great price for not coming in the original box it was damaged. One detail that does not matter to my view.</v>
      </c>
    </row>
    <row r="12652">
      <c r="A12652" s="1">
        <v>5.0</v>
      </c>
      <c r="B12652" s="1" t="s">
        <v>12540</v>
      </c>
      <c r="C12652" t="str">
        <f>IFERROR(__xludf.DUMMYFUNCTION("GOOGLETRANSLATE(B12652, ""es"", ""en"")"),"I like the size and Meets quality my expectations for recording with camera, if you talk about two less away the result is almost like a micro tie, you have to ensure you have the main sound source to your back to not stand in the recording, the size and "&amp;"build quality is fine.")</f>
        <v>I like the size and Meets quality my expectations for recording with camera, if you talk about two less away the result is almost like a micro tie, you have to ensure you have the main sound source to your back to not stand in the recording, the size and build quality is fine.</v>
      </c>
    </row>
    <row r="12653">
      <c r="A12653" s="1">
        <v>5.0</v>
      </c>
      <c r="B12653" s="1" t="s">
        <v>12541</v>
      </c>
      <c r="C12653" t="str">
        <f>IFERROR(__xludf.DUMMYFUNCTION("GOOGLETRANSLATE(B12653, ""es"", ""en"")"),"As Bambas perfect esperava the incredible price, always with New Balance.")</f>
        <v>As Bambas perfect esperava the incredible price, always with New Balance.</v>
      </c>
    </row>
    <row r="12654">
      <c r="A12654" s="1">
        <v>5.0</v>
      </c>
      <c r="B12654" s="1" t="s">
        <v>12542</v>
      </c>
      <c r="C12654" t="str">
        <f>IFERROR(__xludf.DUMMYFUNCTION("GOOGLETRANSLATE(B12654, ""es"", ""en"")"),"May Good tracksuit, is equal in size photo came to me well, I love very comfortable with the purchase!")</f>
        <v>May Good tracksuit, is equal in size photo came to me well, I love very comfortable with the purchase!</v>
      </c>
    </row>
    <row r="12655">
      <c r="A12655" s="1">
        <v>5.0</v>
      </c>
      <c r="B12655" s="1" t="s">
        <v>12543</v>
      </c>
      <c r="C12655" t="str">
        <f>IFERROR(__xludf.DUMMYFUNCTION("GOOGLETRANSLATE(B12655, ""es"", ""en"")"),"A Kingston 32GB metal at this price ... Where to find it? The flash drive is great not only for the absolute bargain price but also for a range of advantages: - It is very small, so very portable. - is metal inserted into a key ring with keys makes her be"&amp;"autiful figure. - thanks to its lightness, there is no risk of damaging the USB ports on the computer, which are often subject to deformation of the contacts of the doors themselves in the presence of very large and heavy keys - still a Kingston, so behin"&amp;"d the guarantee of a great brand. - not heated, except for some where read-write continuous (but is absolutely physiological warming no exaggeration to a flash drive) might be a little slow in transferring large amounts of data, especially when the amount"&amp;" of files is high, but certainly not a problem for a purchased key for general use. If you recommend it? ABSOLUTELY' !!! This review is the result of a personal experience, because the object has been purchased, used, tested and reviewed personally (in fa"&amp;"ct, is a ""Verified Purchase""). Nobody sent me the article for free in exchange for a positive review. I hope this review has been helpful in deciding whether to buy the product or not.")</f>
        <v>A Kingston 32GB metal at this price ... Where to find it? The flash drive is great not only for the absolute bargain price but also for a range of advantages: - It is very small, so very portable. - is metal inserted into a key ring with keys makes her beautiful figure. - thanks to its lightness, there is no risk of damaging the USB ports on the computer, which are often subject to deformation of the contacts of the doors themselves in the presence of very large and heavy keys - still a Kingston, so behind the guarantee of a great brand. - not heated, except for some where read-write continuous (but is absolutely physiological warming no exaggeration to a flash drive) might be a little slow in transferring large amounts of data, especially when the amount of files is high, but certainly not a problem for a purchased key for general use. If you recommend it? ABSOLUTELY' !!! This review is the result of a personal experience, because the object has been purchased, used, tested and reviewed personally (in fact, is a "Verified Purchase"). Nobody sent me the article for free in exchange for a positive review. I hope this review has been helpful in deciding whether to buy the product or not.</v>
      </c>
    </row>
    <row r="12656">
      <c r="A12656" s="1">
        <v>5.0</v>
      </c>
      <c r="B12656" s="1" t="s">
        <v>12544</v>
      </c>
      <c r="C12656" t="str">
        <f>IFERROR(__xludf.DUMMYFUNCTION("GOOGLETRANSLATE(B12656, ""es"", ""en"")"),"Comfortable wearing headphones and wireless headphones quality of high quality. just 1 side or both can be used and the sound quality is good. It has touch buttons on the sides to which must be qcostumbrarse because otherwise ..... Hung call or you turn o"&amp;"ut the music. It is good buy and duration of the great battery. It has a cake tin to keep that through a magnet coupled devices and automatic mind puts loaded. They are very comfortable in that regard.")</f>
        <v>Comfortable wearing headphones and wireless headphones quality of high quality. just 1 side or both can be used and the sound quality is good. It has touch buttons on the sides to which must be qcostumbrarse because otherwise ..... Hung call or you turn out the music. It is good buy and duration of the great battery. It has a cake tin to keep that through a magnet coupled devices and automatic mind puts loaded. They are very comfortable in that regard.</v>
      </c>
    </row>
    <row r="12657">
      <c r="A12657" s="1">
        <v>5.0</v>
      </c>
      <c r="B12657" s="1" t="s">
        <v>12545</v>
      </c>
      <c r="C12657" t="str">
        <f>IFERROR(__xludf.DUMMYFUNCTION("GOOGLETRANSLATE(B12657, ""es"", ""en"")"),"Very nice slippers are comfortable and quality. Like the last it is excessively wide.")</f>
        <v>Very nice slippers are comfortable and quality. Like the last it is excessively wide.</v>
      </c>
    </row>
    <row r="12658">
      <c r="A12658" s="1">
        <v>5.0</v>
      </c>
      <c r="B12658" s="1" t="s">
        <v>12546</v>
      </c>
      <c r="C12658" t="str">
        <f>IFERROR(__xludf.DUMMYFUNCTION("GOOGLETRANSLATE(B12658, ""es"", ""en"")"),"A toy I bought a lot of fun to play with a coworker. When working near me, I connect and tiny laughs hechamos us. A colleague asked him to come to you if anything happened. A fun toy.")</f>
        <v>A toy I bought a lot of fun to play with a coworker. When working near me, I connect and tiny laughs hechamos us. A colleague asked him to come to you if anything happened. A fun toy.</v>
      </c>
    </row>
    <row r="12659">
      <c r="A12659" s="1">
        <v>5.0</v>
      </c>
      <c r="B12659" s="1" t="s">
        <v>12547</v>
      </c>
      <c r="C12659" t="str">
        <f>IFERROR(__xludf.DUMMYFUNCTION("GOOGLETRANSLATE(B12659, ""es"", ""en"")"),"Super comfortable comfort. They weigh nothing, and heard great. They carry a round zipper pouch with modern design, very useful for transport. Almuhadillas also carry spare parts. The perfect Bluetooth connectivity, no cuts, binds to the first with multip"&amp;"le devices without any problems. Very happy with the purchase and my children more")</f>
        <v>Super comfortable comfort. They weigh nothing, and heard great. They carry a round zipper pouch with modern design, very useful for transport. Almuhadillas also carry spare parts. The perfect Bluetooth connectivity, no cuts, binds to the first with multiple devices without any problems. Very happy with the purchase and my children more</v>
      </c>
    </row>
    <row r="12660">
      <c r="A12660" s="1">
        <v>2.0</v>
      </c>
      <c r="B12660" s="1" t="s">
        <v>12548</v>
      </c>
      <c r="C12660" t="str">
        <f>IFERROR(__xludf.DUMMYFUNCTION("GOOGLETRANSLATE(B12660, ""es"", ""en"")"),"Buy one year only lasted me three pairs and three are broken. Comfortable sock but of limited duration. I will not buy because other brands are more durable.")</f>
        <v>Buy one year only lasted me three pairs and three are broken. Comfortable sock but of limited duration. I will not buy because other brands are more durable.</v>
      </c>
    </row>
    <row r="12661">
      <c r="A12661" s="1">
        <v>3.0</v>
      </c>
      <c r="B12661" s="1" t="s">
        <v>12549</v>
      </c>
      <c r="C12661" t="str">
        <f>IFERROR(__xludf.DUMMYFUNCTION("GOOGLETRANSLATE(B12661, ""es"", ""en"")"),"works well, it performs its functions. what is the weight less. but there are lighter and more expensive, they are worth much less.")</f>
        <v>works well, it performs its functions. what is the weight less. but there are lighter and more expensive, they are worth much less.</v>
      </c>
    </row>
    <row r="12662">
      <c r="A12662" s="1">
        <v>3.0</v>
      </c>
      <c r="B12662" s="1" t="s">
        <v>12550</v>
      </c>
      <c r="C12662" t="str">
        <f>IFERROR(__xludf.DUMMYFUNCTION("GOOGLETRANSLATE(B12662, ""es"", ""en"")"),"Capacitat acceptable. The Capacitat ESTÀ bé but com great month is Capacitat month hi difference between Capacitat has announced (4 TB) i real (3.7 TB). It is a general problem, not d'aquest in particular. Com a problem, unlike d'altres discs externs durs"&amp;" 3 TB tinc, aquest perdut has diverses vegades the flux of corrent i have perdut which had on screen.")</f>
        <v>Capacitat acceptable. The Capacitat ESTÀ bé but com great month is Capacitat month hi difference between Capacitat has announced (4 TB) i real (3.7 TB). It is a general problem, not d'aquest in particular. Com a problem, unlike d'altres discs externs durs 3 TB tinc, aquest perdut has diverses vegades the flux of corrent i have perdut which had on screen.</v>
      </c>
    </row>
    <row r="12663">
      <c r="A12663" s="1">
        <v>1.0</v>
      </c>
      <c r="B12663" s="1" t="s">
        <v>12551</v>
      </c>
      <c r="C12663" t="str">
        <f>IFERROR(__xludf.DUMMYFUNCTION("GOOGLETRANSLATE(B12663, ""es"", ""en"")"),"Lousy not know why are not heard at the beginning was more listened to the sound effects voice, then only listening on a headset, now do not hear anything, I thought I had to adjust, but do not adjust anything and no I can return it.")</f>
        <v>Lousy not know why are not heard at the beginning was more listened to the sound effects voice, then only listening on a headset, now do not hear anything, I thought I had to adjust, but do not adjust anything and no I can return it.</v>
      </c>
    </row>
    <row r="12664">
      <c r="A12664" s="1">
        <v>4.0</v>
      </c>
      <c r="B12664" s="1" t="s">
        <v>12552</v>
      </c>
      <c r="C12664" t="str">
        <f>IFERROR(__xludf.DUMMYFUNCTION("GOOGLETRANSLATE(B12664, ""es"", ""en"")"),"very good! They would have liked")</f>
        <v>very good! They would have liked</v>
      </c>
    </row>
    <row r="12665">
      <c r="A12665" s="1">
        <v>4.0</v>
      </c>
      <c r="B12665" s="1" t="s">
        <v>12553</v>
      </c>
      <c r="C12665" t="str">
        <f>IFERROR(__xludf.DUMMYFUNCTION("GOOGLETRANSLATE(B12665, ""es"", ""en"")"),"very nice cool pendant. I liked it a gift and looks good")</f>
        <v>very nice cool pendant. I liked it a gift and looks good</v>
      </c>
    </row>
    <row r="12666">
      <c r="A12666" s="1">
        <v>4.0</v>
      </c>
      <c r="B12666" s="1" t="s">
        <v>12554</v>
      </c>
      <c r="C12666" t="str">
        <f>IFERROR(__xludf.DUMMYFUNCTION("GOOGLETRANSLATE(B12666, ""es"", ""en"")"),"Quality Very good quality, good price, it costs around grabbing connectivity")</f>
        <v>Quality Very good quality, good price, it costs around grabbing connectivity</v>
      </c>
    </row>
    <row r="12667">
      <c r="A12667" s="1">
        <v>4.0</v>
      </c>
      <c r="B12667" s="1" t="s">
        <v>12555</v>
      </c>
      <c r="C12667" t="str">
        <f>IFERROR(__xludf.DUMMYFUNCTION("GOOGLETRANSLATE(B12667, ""es"", ""en"")"),"Great pendrive type-c OTG perfect complement for those who do not be mobile with micro-sd card and type-c input. The only downside I see is that it is not particularly fast and quite warm, but I recommend the pendrive without any doubt.")</f>
        <v>Great pendrive type-c OTG perfect complement for those who do not be mobile with micro-sd card and type-c input. The only downside I see is that it is not particularly fast and quite warm, but I recommend the pendrive without any doubt.</v>
      </c>
    </row>
    <row r="12668">
      <c r="A12668" s="1">
        <v>4.0</v>
      </c>
      <c r="B12668" s="1" t="s">
        <v>12556</v>
      </c>
      <c r="C12668" t="str">
        <f>IFERROR(__xludf.DUMMYFUNCTION("GOOGLETRANSLATE(B12668, ""es"", ""en"")"),"Does the job. I have to be careful if the cards are fair, peel off the edges. I cut a little longer fall cartons and smoothly.")</f>
        <v>Does the job. I have to be careful if the cards are fair, peel off the edges. I cut a little longer fall cartons and smoothly.</v>
      </c>
    </row>
    <row r="12669">
      <c r="A12669" s="1">
        <v>5.0</v>
      </c>
      <c r="B12669" s="1" t="s">
        <v>12557</v>
      </c>
      <c r="C12669" t="str">
        <f>IFERROR(__xludf.DUMMYFUNCTION("GOOGLETRANSLATE(B12669, ""es"", ""en"")"),"Value for money This article is well done and does not generate noise. I have used to connect pedals that are very close to each other in a way that is clean and Pedalboard excess cable. a greeting")</f>
        <v>Value for money This article is well done and does not generate noise. I have used to connect pedals that are very close to each other in a way that is clean and Pedalboard excess cable. a greeting</v>
      </c>
    </row>
    <row r="12670">
      <c r="A12670" s="1">
        <v>5.0</v>
      </c>
      <c r="B12670" s="1" t="s">
        <v>12558</v>
      </c>
      <c r="C12670" t="str">
        <f>IFERROR(__xludf.DUMMYFUNCTION("GOOGLETRANSLATE(B12670, ""es"", ""en"")"),"As expected great")</f>
        <v>As expected great</v>
      </c>
    </row>
    <row r="12671">
      <c r="A12671" s="1">
        <v>5.0</v>
      </c>
      <c r="B12671" s="1" t="s">
        <v>12559</v>
      </c>
      <c r="C12671" t="str">
        <f>IFERROR(__xludf.DUMMYFUNCTION("GOOGLETRANSLATE(B12671, ""es"", ""en"")"),"Ideal for sports Ideal for sports, lightweight and water resistant")</f>
        <v>Ideal for sports Ideal for sports, lightweight and water resistant</v>
      </c>
    </row>
    <row r="12672">
      <c r="A12672" s="1">
        <v>5.0</v>
      </c>
      <c r="B12672" s="1" t="s">
        <v>12560</v>
      </c>
      <c r="C12672" t="str">
        <f>IFERROR(__xludf.DUMMYFUNCTION("GOOGLETRANSLATE(B12672, ""es"", ""en"")"),"All quality and speed Perfect")</f>
        <v>All quality and speed Perfect</v>
      </c>
    </row>
    <row r="12673">
      <c r="A12673" s="1">
        <v>5.0</v>
      </c>
      <c r="B12673" s="1" t="s">
        <v>12561</v>
      </c>
      <c r="C12673" t="str">
        <f>IFERROR(__xludf.DUMMYFUNCTION("GOOGLETRANSLATE(B12673, ""es"", ""en"")"),"almudena Very good product very fast shipping and it works great uo I want x to suffer from lumbago and I have great venio recom what this brand I have devtermometro and tensionetro and very biem work after 10 years")</f>
        <v>almudena Very good product very fast shipping and it works great uo I want x to suffer from lumbago and I have great venio recom what this brand I have devtermometro and tensionetro and very biem work after 10 years</v>
      </c>
    </row>
    <row r="12674">
      <c r="A12674" s="1">
        <v>5.0</v>
      </c>
      <c r="B12674" s="1" t="s">
        <v>12562</v>
      </c>
      <c r="C12674" t="str">
        <f>IFERROR(__xludf.DUMMYFUNCTION("GOOGLETRANSLATE(B12674, ""es"", ""en"")"),"Ok perfect Everything")</f>
        <v>Ok perfect Everything</v>
      </c>
    </row>
    <row r="12675">
      <c r="A12675" s="1">
        <v>5.0</v>
      </c>
      <c r="B12675" s="1" t="s">
        <v>12563</v>
      </c>
      <c r="C12675" t="str">
        <f>IFERROR(__xludf.DUMMYFUNCTION("GOOGLETRANSLATE(B12675, ""es"", ""en"")"),"To fulfill its function 42 an XXL. Otherwise great")</f>
        <v>To fulfill its function 42 an XXL. Otherwise great</v>
      </c>
    </row>
    <row r="12676">
      <c r="A12676" s="1">
        <v>5.0</v>
      </c>
      <c r="B12676" s="1" t="s">
        <v>12564</v>
      </c>
      <c r="C12676" t="str">
        <f>IFERROR(__xludf.DUMMYFUNCTION("GOOGLETRANSLATE(B12676, ""es"", ""en"")"),"Pack is the perfect place to begin is a complete no disappoints set, very good quality.")</f>
        <v>Pack is the perfect place to begin is a complete no disappoints set, very good quality.</v>
      </c>
    </row>
    <row r="12677">
      <c r="A12677" s="1">
        <v>5.0</v>
      </c>
      <c r="B12677" s="1" t="s">
        <v>12565</v>
      </c>
      <c r="C12677" t="str">
        <f>IFERROR(__xludf.DUMMYFUNCTION("GOOGLETRANSLATE(B12677, ""es"", ""en"")"),"Very good quality is as it appears in the photos. Although a high quality and robustness seen in hand. A being of skin will age well and will soften with time.")</f>
        <v>Very good quality is as it appears in the photos. Although a high quality and robustness seen in hand. A being of skin will age well and will soften with time.</v>
      </c>
    </row>
    <row r="12678">
      <c r="A12678" s="1">
        <v>5.0</v>
      </c>
      <c r="B12678" s="1" t="s">
        <v>12566</v>
      </c>
      <c r="C12678" t="str">
        <f>IFERROR(__xludf.DUMMYFUNCTION("GOOGLETRANSLATE(B12678, ""es"", ""en"")"),"all perfect. greatly improved the quality everything perfect. greatly improved the quality")</f>
        <v>all perfect. greatly improved the quality everything perfect. greatly improved the quality</v>
      </c>
    </row>
    <row r="12679">
      <c r="A12679" s="1">
        <v>5.0</v>
      </c>
      <c r="B12679" s="1" t="s">
        <v>12567</v>
      </c>
      <c r="C12679" t="str">
        <f>IFERROR(__xludf.DUMMYFUNCTION("GOOGLETRANSLATE(B12679, ""es"", ""en"")"),"For scratches of no use vitro I've used in the glass of a Fagor vitro 20 years and although it is a very hard glass, the result was acceptable, but scratch has not removed, it's too hard. It has been polished without further although the improvement is no"&amp;"ticeable. Now it is cleaned more easily")</f>
        <v>For scratches of no use vitro I've used in the glass of a Fagor vitro 20 years and although it is a very hard glass, the result was acceptable, but scratch has not removed, it's too hard. It has been polished without further although the improvement is noticeable. Now it is cleaned more easily</v>
      </c>
    </row>
    <row r="12680">
      <c r="A12680" s="1">
        <v>5.0</v>
      </c>
      <c r="B12680" s="1" t="s">
        <v>12568</v>
      </c>
      <c r="C12680" t="str">
        <f>IFERROR(__xludf.DUMMYFUNCTION("GOOGLETRANSLATE(B12680, ""es"", ""en"")"),"A classically elegant Quality")</f>
        <v>A classically elegant Quality</v>
      </c>
    </row>
    <row r="12681">
      <c r="A12681" s="1">
        <v>5.0</v>
      </c>
      <c r="B12681" s="1" t="s">
        <v>12569</v>
      </c>
      <c r="C12681" t="str">
        <f>IFERROR(__xludf.DUMMYFUNCTION("GOOGLETRANSLATE(B12681, ""es"", ""en"")"),"Article works very well Okay, great works for me is very useful 😉")</f>
        <v>Article works very well Okay, great works for me is very useful 😉</v>
      </c>
    </row>
    <row r="12682">
      <c r="A12682" s="1">
        <v>5.0</v>
      </c>
      <c r="B12682" s="1" t="s">
        <v>12570</v>
      </c>
      <c r="C12682" t="str">
        <f>IFERROR(__xludf.DUMMYFUNCTION("GOOGLETRANSLATE(B12682, ""es"", ""en"")"),"Fast shipping and good product fast shipping and good product")</f>
        <v>Fast shipping and good product fast shipping and good product</v>
      </c>
    </row>
    <row r="12683">
      <c r="A12683" s="1">
        <v>5.0</v>
      </c>
      <c r="B12683" s="1" t="s">
        <v>12571</v>
      </c>
      <c r="C12683" t="str">
        <f>IFERROR(__xludf.DUMMYFUNCTION("GOOGLETRANSLATE(B12683, ""es"", ""en"")"),"Very good buy are very good. Nothing to envy to the original. Perhaps they carve a little smaller than normal, and when you are between two numbers is better to get the greatest number. They have enchanted me")</f>
        <v>Very good buy are very good. Nothing to envy to the original. Perhaps they carve a little smaller than normal, and when you are between two numbers is better to get the greatest number. They have enchanted me</v>
      </c>
    </row>
    <row r="12684">
      <c r="A12684" s="1">
        <v>5.0</v>
      </c>
      <c r="B12684" s="1" t="s">
        <v>12572</v>
      </c>
      <c r="C12684" t="str">
        <f>IFERROR(__xludf.DUMMYFUNCTION("GOOGLETRANSLATE(B12684, ""es"", ""en"")"),"The best microphone boom I ever had have been through 3 arms for different microphone, and each had a failure (and some sharing faults each). - The first, had two springs on each side of the arm which eventually breaking (soon). - The second left horrible"&amp;" marks on every desktop which anchored it finally got this for me, it is the perfect place. It shows very stable and robust, and obviously high quality materials. It withstands well the weight of the microphone (weighing about 450g). The angles have are a"&amp;"mazing, it's like there's no limit to the positions that have (obviously with a little head). It is very stable, if you leave it in a position, will remain in that position without moving or not expire with time. Makes ""only"" a year that I have, but it "&amp;"is like the first day, no doubt prefer fanciest 70 € in the arm last me a lifetime, 30 € and having to be pregnant changing every year, but it took me 2 tries in understand this.")</f>
        <v>The best microphone boom I ever had have been through 3 arms for different microphone, and each had a failure (and some sharing faults each). - The first, had two springs on each side of the arm which eventually breaking (soon). - The second left horrible marks on every desktop which anchored it finally got this for me, it is the perfect place. It shows very stable and robust, and obviously high quality materials. It withstands well the weight of the microphone (weighing about 450g). The angles have are amazing, it's like there's no limit to the positions that have (obviously with a little head). It is very stable, if you leave it in a position, will remain in that position without moving or not expire with time. Makes "only" a year that I have, but it is like the first day, no doubt prefer fanciest 70 € in the arm last me a lifetime, 30 € and having to be pregnant changing every year, but it took me 2 tries in understand this.</v>
      </c>
    </row>
    <row r="12685">
      <c r="A12685" s="1">
        <v>5.0</v>
      </c>
      <c r="B12685" s="1" t="s">
        <v>461</v>
      </c>
      <c r="C12685" t="str">
        <f>IFERROR(__xludf.DUMMYFUNCTION("GOOGLETRANSLATE(B12685, ""es"", ""en"")"),"excellent excellent")</f>
        <v>excellent excellent</v>
      </c>
    </row>
    <row r="12686">
      <c r="A12686" s="1">
        <v>5.0</v>
      </c>
      <c r="B12686" s="1" t="s">
        <v>12573</v>
      </c>
      <c r="C12686" t="str">
        <f>IFERROR(__xludf.DUMMYFUNCTION("GOOGLETRANSLATE(B12686, ""es"", ""en"")"),"Very happy with the price having sound have very good bass and treble, would that sound pretty similar to earpod. To my taste is a headset pretty well built, with good sound for my taste, give very bonitos.El serious cable hulls, it is round, which helps "&amp;"not too tangling, and has a good length to meter smartphone or music player in the pants and the wire is not tenso.Un detail that I liked, is that they come with a small cloth bag with zipper to keep the headset comfortably, instead of typical plastic box"&amp;". As I said the sound quality is very good, both acute and suprisingly low and noise cancellation is remarkable. As for the design although there is not much to look at such small note headphones are built in good materials.")</f>
        <v>Very happy with the price having sound have very good bass and treble, would that sound pretty similar to earpod. To my taste is a headset pretty well built, with good sound for my taste, give very bonitos.El serious cable hulls, it is round, which helps not too tangling, and has a good length to meter smartphone or music player in the pants and the wire is not tenso.Un detail that I liked, is that they come with a small cloth bag with zipper to keep the headset comfortably, instead of typical plastic box. As I said the sound quality is very good, both acute and suprisingly low and noise cancellation is remarkable. As for the design although there is not much to look at such small note headphones are built in good materials.</v>
      </c>
    </row>
    <row r="12687">
      <c r="A12687" s="1">
        <v>5.0</v>
      </c>
      <c r="B12687" s="1" t="s">
        <v>12574</v>
      </c>
      <c r="C12687" t="str">
        <f>IFERROR(__xludf.DUMMYFUNCTION("GOOGLETRANSLATE(B12687, ""es"", ""en"")"),"Good selection, lemon, my favorite. Good selection and very concentrated, a few drops are enough few persons. The lemon is definitely my favorite but they all smell very well-")</f>
        <v>Good selection, lemon, my favorite. Good selection and very concentrated, a few drops are enough few persons. The lemon is definitely my favorite but they all smell very well-</v>
      </c>
    </row>
    <row r="12688">
      <c r="A12688" s="1">
        <v>2.0</v>
      </c>
      <c r="B12688" s="1" t="s">
        <v>12575</v>
      </c>
      <c r="C12688" t="str">
        <f>IFERROR(__xludf.DUMMYFUNCTION("GOOGLETRANSLATE(B12688, ""es"", ""en"")"),"And no more a disappointment. After purchasing this vacuum cleaner I had to buy a conga why this aspire, aspires little. Furthermore what little sucking once the stop, it drops to the ground. I mean ... I've wasted my money and all for believing in the br"&amp;"and Taurus")</f>
        <v>And no more a disappointment. After purchasing this vacuum cleaner I had to buy a conga why this aspire, aspires little. Furthermore what little sucking once the stop, it drops to the ground. I mean ... I've wasted my money and all for believing in the brand Taurus</v>
      </c>
    </row>
    <row r="12689">
      <c r="A12689" s="1">
        <v>3.0</v>
      </c>
      <c r="B12689" s="1" t="s">
        <v>12576</v>
      </c>
      <c r="C12689" t="str">
        <f>IFERROR(__xludf.DUMMYFUNCTION("GOOGLETRANSLATE(B12689, ""es"", ""en"")"),"More precise and clean, but expensive for the amount of product that brings is cyanoacrylate like boats standard of this glue, the applicator is not bad, but I prefer pot life or brush, this brings less product, if it may indeed be more clean and precise,"&amp;" but I see justified the price for such a small amount of product. Pastes well, but still prefer regular boats.")</f>
        <v>More precise and clean, but expensive for the amount of product that brings is cyanoacrylate like boats standard of this glue, the applicator is not bad, but I prefer pot life or brush, this brings less product, if it may indeed be more clean and precise, but I see justified the price for such a small amount of product. Pastes well, but still prefer regular boats.</v>
      </c>
    </row>
    <row r="12690">
      <c r="A12690" s="1">
        <v>1.0</v>
      </c>
      <c r="B12690" s="1" t="s">
        <v>12577</v>
      </c>
      <c r="C12690" t="str">
        <f>IFERROR(__xludf.DUMMYFUNCTION("GOOGLETRANSLATE(B12690, ""es"", ""en"")"),"I was spoiling to Cape 1 week broke to the use after 1 week.")</f>
        <v>I was spoiling to Cape 1 week broke to the use after 1 week.</v>
      </c>
    </row>
    <row r="12691">
      <c r="A12691" s="1">
        <v>1.0</v>
      </c>
      <c r="B12691" s="1" t="s">
        <v>12578</v>
      </c>
      <c r="C12691" t="str">
        <f>IFERROR(__xludf.DUMMYFUNCTION("GOOGLETRANSLATE(B12691, ""es"", ""en"")"),"Works intermittently and poorly &lt;div id = ""video-block-R1A2G8953FEM28"" class = ""a-section a-spacing-small a-spacing-top mini video-block""&gt; &lt;div tabindex = ""0"" class = ""airy airy -svg vmin-supported airy-skin-beacon ""style ="" background-color: rgb"&amp;" (0, 0, 0) position: relative; width: 100%; height: 100%; font-size: 0px; overflow: hidden ; outline: none; ""&gt; &lt;div class ="" airy-renderer-container ""style ="" position: relative; height: 100%; width: 100%; ""&gt; &lt;video id ="" 7 ""preload ="" auto ""src "&amp;"= ""https://images-eu.ssl-images-amazon.com/images/I/B165nS0jl4S.mp4"" style = ""position: absolute; left: 0px; top: 0px; overflow: hidden; height: 1px; width : 1px; ""&gt; &lt;/ video&gt; &lt;/ div&gt; &lt;div id ="" airy-slate-preload ""style ="" background-color: rgb (0"&amp;", 0, 0); background-image: url (&amp; quot; https: //images-eu.ssl-images-amazon.com/images/I/91TZAqngcrS.png&amp;quot;); background-size: Contain; background-position: center center; background-repeat: no-repeat; position: absolute; top : 0px; left: 0px; visibil"&amp;"ity: visible; width: 100%; height: 100%; ""&gt; &lt;/ div&gt; &lt;i frame scrolling = ""no"" frameborder = ""0"" src = ""about: blank"" style = ""display: none;""&gt; &lt;/ iframe&gt; &lt;div tabindex = ""- 1"" class = ""airy-controls-container"" style = ""opacity: 0; visibility"&amp;": hidden; ""&gt; &lt;div tabindex ="" - 1 ""class ="" airy-screen-size-toggle airy-fullscreen ""&gt; &lt;/ div&gt; &lt;div tabindex ="" - 1 ""class ="" airy-container-bottom "" &gt; &lt;div tabindex = ""- 1"" class = ""airy-track-bar-spacer-left"" style = ""width: 11px;""&gt; &lt;/ di"&amp;"v&gt; &lt;div tabindex = ""- 1"" class = ""airy-play- airy toggle-play ""style ="" width: 12px; margin-right: 12px; ""&gt; &lt;/ div&gt; &lt;div tabindex ="" - 1 ""class ="" airy-audio-elements ""style ="" float: right; width: 34px; ""&gt; &lt;div tabindex ="" - 1 ""class ="" ai"&amp;"ry-audio-toggle airy-on ""&gt; &lt;/ div&gt; &lt;div tabindex ="" - 1 ""class ="" airy-audio-container ""style = ""opacity: 0; visibility: hidden; ""&gt; &lt;div tabindex ="" - 1 ""class ="" airy-audio-track-bar ""style ="" height: 80%; ""&gt; &lt;div tabindex ="" - 1 ""class ="&amp;""" airy-audio- Scrubber-bar ""style ="" height: 85%; ""&gt; &lt;/ div&gt; &lt;div tabindex ="" - 1 ""class ="" airy-audio-scrubber ""style ="" height: 12px; bottom: 85% ""&gt; &lt;/ div&gt; &lt;/ div&gt; &lt;/ div&gt; &lt;/ div&gt; &lt;div tabindex ="" - 1 ""class ="" airy-duration-label ""style "&amp;"="" float: right; width: 26px; margin-right: 4px; text-align: center; ""&gt; 0:00 &lt;/ div&gt; &lt;div tabindex ="" - 1 ""class ="" airy-track-bar-spacer-right ""style ="" float: right; width: 11px; ""&gt; &lt;/ div&gt; &lt;div tabindex ="" - 1 ""class ="" airy-track-bar-contai"&amp;"ner ""style ="" margin-left: 35px; margin-right: 75px; ""&gt; &lt;div tabindex ="" - 1 ""class ="" airy-airy-track-bar vertically-centering-table ""&gt; &lt;div tabindex ="" - 1 ""class ="" airy-Vertical-centering- table-cell ""&gt; &lt;div tabindex ="" - 1 ""class ="" air"&amp;"y-track-bar-elements ""&gt; &lt;div tabindex ="" - 1 ""class ="" airy-progress-bar ""&gt; &lt;/ div&gt; &lt;div tabindex = ""- 1"" class = ""airy-scrubber-bar""&gt; &lt;/ div&gt; &lt;div tabindex = ""- 1"" class = ""airy-scrubber""&gt; &lt;div tabindex = ""- 1"" class = ""airy-scrubber- ico"&amp;"n ""&gt; &lt;/ div&gt; &lt;div tabindex ="" - 1 ""class ="" airy-adjusted-AUI-tooltip ""style ="" opacity: 0; visibility: hidden; ""&gt; &lt;div tabindex ="" - 1 ""class ="" airy-adjusted-aui-tooltip-inner ""&gt; &lt;div tabindex ="" - 1 ""class ="" airy-current-time-label ""&gt; 0"&amp;": 00 &lt;/ div&gt; &lt;/ div&gt; &lt;div tabindex = ""- 1"" class = ""airy-adjusted-AUI-arrow-border""&gt; &lt;div tabindex = ""- 1"" class = ""airy-adjusted-AUI-arrow"" &gt; &lt;/ div&gt; &lt;/ div&gt; &lt;/ div&gt; &lt;/ div&gt; &lt;/ div&gt; &lt;/ div&gt; &lt;/ div&gt; &lt;/ div&gt; &lt;/ div&gt; &lt;/ div&gt; &lt;div tabindex = ""- 1"" "&amp;"class = ""airy-age-gate airy-stage airy-Vertical-centering-table airy-dialog"" style = ""opacity: 0; visibility: hidden; ""&gt; &lt;div tabindex ="" - 1 ""class ="" airy-age-gate-Vertical-centering-table-cell airy-Vertical-centering-table-cell ""&gt; &lt;div tabindex"&amp;" ="" - 1 ""class = ""airy-Vertical-centering-wrapper airy-age-gate-elements-wrapper""&gt; &lt;div tabindex = ""- 1"" class = ""airy-age-gate-elements airy-dialog-elements""&gt; &lt;div tabindex = "" -1 ""class ="" airy-age-gate-prompt ""&gt; This video is not Intended f"&amp;"or all audiences What date were you born &lt;/ div&gt; &lt;div tabindex =.?"" - 1 ""class ="" airy-age-gate -inputs airy-dialog-inner-elements ""&gt; &lt;select tabindex ="" - 1 ""class ="" airy-age-gate-month ""&gt; &lt;option value ="" 1 ""&gt; January &lt;/ option&gt; &lt;option value"&amp;" ="" 2 ""&gt; February &lt;/ option&gt; &lt;option value ="" 3 ""&gt; March &lt;/ option&gt; &lt;option value ="" 4 ""&gt; April &lt;/ option&gt; &lt;option value ="" 5 ""&gt; May &lt;/ option&gt; &lt;option value = ""6""&gt; June &lt;/ option&gt; &lt;option value = ""7""&gt; July &lt;/ option&gt; &lt;option value = ""8""&gt; Au"&amp;"gust &lt;/ option&gt; &lt;option value = ""9""&gt; September &lt;/ option&gt; &lt;option value = ""10""&gt; October &lt;/ option&gt; &lt;option value = ""11""&gt; November &lt;/ option&gt; &lt;option value = ""12""&gt; December &lt;/ option&gt; &lt;/ select&gt; &lt;select tabindex = ""- 1"" class = ""airy-age-gate-da"&amp;"y""&gt; &lt;opti on value = ""1""&gt; 1 &lt;/ option&gt; &lt;option value = ""2""&gt; 2 &lt;/ option&gt; &lt;option value = ""3""&gt; 3 &lt;/ option&gt; &lt;option value = ""4""&gt; 4 &lt;/ option &gt; &lt;option value = ""5""&gt; 5 &lt;/ option&gt; &lt;option value = ""6""&gt; 6 &lt;/ option&gt; &lt;option value = ""7""&gt; 7 &lt;/ opti"&amp;"on&gt; &lt;option value = ""8""&gt; 8 &lt; / option&gt; &lt;option value = ""9""&gt; 9 &lt;/ option&gt; &lt;option value = ""10""&gt; 10 &lt;/ option&gt; &lt;option value = ""11""&gt; 11 &lt;/ option&gt; &lt;option value = ""12""&gt; 12 &lt;/ option&gt; &lt;option value = ""13""&gt; 13 &lt;/ option&gt; &lt;option value = ""14""&gt; 14"&amp;" &lt;/ option&gt; &lt;option value = ""15""&gt; 15 &lt;/ option&gt; &lt;option value = ""16 ""&gt; 16 &lt;/ option&gt; &lt;option value ="" 17 ""&gt; 17 &lt;/ option&gt; &lt;option value ="" 18 ""&gt; 18 &lt;/ option&gt; &lt;option value ="" 19 ""&gt; 19 &lt;/ option&gt; &lt;option value = ""20""&gt; 20 &lt;/ option&gt; &lt;option val"&amp;"ue = ""21""&gt; 21 &lt;/ option&gt; &lt;option value = ""22""&gt; 22 &lt;/ option&gt; &lt;option value = ""23""&gt; 23 &lt;/ option&gt; &lt;option value = ""24""&gt; 24 &lt;/ option&gt; &lt;option value = ""25""&gt; 25 &lt;/ option&gt; &lt;option value = ""26""&gt; 26 &lt;/ option&gt; &lt;option value = ""27""&gt; 27 &lt;/ option&gt; "&amp;"&lt;option value = ""28""&gt; 28 &lt;/ option&gt; &lt;option value = ""29""&gt; 29 &lt;/ option&gt; &lt;option value = ""30""&gt; 30 &lt;/ option&gt; &lt;option value = ""31""&gt; 31 &lt;/ option&gt; &lt;/ select&gt; &lt;select tabindex = ""- 1"" class = ""airy-age-gate-year""&gt; &lt;option value = ""2019""&gt; 2019 &lt;/"&amp;" option&gt; &lt; option value = ""2018""&gt; 2018 &lt;/ option&gt; &lt;option value = ""2017""&gt; 2017 &lt;/ option&gt; &lt;option value = ""2016""&gt; ​​2016 &lt;/ option&gt; &lt;option value = ""2015""&gt; 2015 &lt;/ option &gt; &lt;option value = ""2014""&gt; 2014 &lt;/ option&gt; &lt;option value = ""2013""&gt; 2013 &lt;"&amp;"/ option&gt; &lt;option value = ""2012""&gt; 2012 &lt;/ option&gt; &lt;option value = ""2011""&gt; 2011 &lt; / option&gt; &lt;option value = ""2010""&gt; 2010 &lt;/ option&gt; &lt;option value = ""2009""&gt; 2009 &lt;/ option&gt; &lt;option value = ""2008""&gt; 2008 &lt;/ option&gt; &lt;option value = ""2007""&gt; 2007 &lt;/ "&amp;"option&gt; &lt;option value = ""2006""&gt; 2006 &lt;/ option&gt; &lt;option value = ""2005""&gt; 2005 &lt;/ option&gt; &lt;option value = ""2004""&gt; 2004 &lt;/ option&gt; &lt;option value = ""2003 ""&gt; 2003 &lt;/ option&gt; &lt;option value ="" 2002 ""&gt; 2002 &lt;/ option&gt; &lt;option value ="" 2001 ""&gt; 2001 &lt;/ "&amp;"option&gt; &lt;option value ="" 2000 ""&gt; 2000 &lt;/ option&gt; &lt;option value = ""1999""&gt; 1999 &lt;/ option&gt; &lt;option value = ""1998""&gt; 1998 &lt;/ option&gt; &lt;option value = ""1997""&gt; 1997 &lt;/ option&gt; &lt;option value = ""1996""&gt; 1996 &lt;/ option&gt; &lt;option value = ""1995""&gt; 1995 &lt;/ op"&amp;"tion&gt; &lt;option value = ""1994""&gt; 1994 &lt;/ option&gt; &lt;option value = ""1993""&gt; 1993 &lt;/ option&gt; &lt;option value = ""1992""&gt; 1992 &lt;/ option&gt; &lt;option value = ""1991""&gt; 1991 &lt;/ option&gt; &lt;option value = ""1990""&gt; 1990 &lt;/ option&gt; &lt;option value = "" 1989 ""&gt; 1989 &lt;/ opt"&amp;"ion&gt; &lt;option value ="" 1988 ""&gt; 1988 &lt;/ option&gt; &lt;option value ="" 1987 ""&gt; 1987 &lt;/ option&gt; &lt;option value ="" 1986 ""&gt; 1986 &lt;/ option&gt; &lt;value option = ""1985""&gt; 1985 &lt;/ option&gt; &lt;option value = ""1984""&gt; 1984 &lt;/ option&gt; &lt;option value = ""1983""&gt; 1983 &lt;/ opt"&amp;"ion&gt; &lt;option value = ""1982""&gt; 1982 &lt;/ option&gt; &lt; option value = ""1981""&gt; 1981 &lt;/ option&gt; &lt;option value = ""1980""&gt; 1980 &lt;/ option&gt; &lt;option value = ""1979""&gt; 1979 &lt;/ option&gt; &lt;option value = ""1978""&gt; 1978 &lt;/ option &gt; &lt;option value = ""1977""&gt; 1977 &lt;/ opti"&amp;"on&gt; &lt;option value = ""1976""&gt; 1976 &lt;/ option&gt; &lt;option value = ""1975""&gt; 1975 &lt;/ option&gt; &lt;option value = ""1974""&gt; 1974 &lt; / option&gt; &lt;option value = ""1973""&gt; 1973 &lt;/ option&gt; &lt;option value = ""1972""&gt; 1972 &lt;/ option&gt; &lt;option value = ""1971""&gt; 1971 &lt;/ option"&amp;"&gt; &lt;option value = ""1970""&gt; 1970 &lt;/ option&gt; &lt;option value = ""1969""&gt; 1969 &lt;/ option&gt; &lt;option value = ""1968""&gt; 1968 &lt;/ option&gt; &lt;option value = ""1967""&gt; 1967 &lt;/ option&gt; &lt;option value = ""1966 ""&gt; 1966 &lt;/ option&gt; &lt;option value ="" 1965 ""&gt; 1965 &lt;/ option&gt;"&amp;" &lt;option value ="" 1964 ""&gt; 1964 &lt;/ option&gt; &lt;option value ="" 1963 ""&gt; 1963 &lt;/ option&gt; &lt;option value = ""1962""&gt; 1962 &lt;/ option&gt; &lt;option value = ""1961""&gt; 1961 &lt;/ option&gt; &lt;option value = ""1960""&gt; 1960 &lt;/ op tion&gt; &lt;option value = ""1959""&gt; 1959 &lt;/ option&gt;"&amp;" &lt;option value = ""1958""&gt; 1958 &lt;/ option&gt; &lt;option value = ""1957""&gt; 1957 &lt;/ option&gt; &lt;option value = ""1956""&gt; 1956 &lt;/ option&gt; &lt;option value = ""1955""&gt; 1955 &lt;/ option&gt; &lt;option value = ""1954""&gt; 1954 &lt;/ option&gt; &lt;option value = ""1953""&gt; 1953 &lt;/ option&gt; &lt;o"&amp;"ption value = ""1952"" &gt; 1952 &lt;/ option&gt; &lt;option value = ""1951""&gt; 1951 &lt;/ option&gt; &lt;option value = ""1950""&gt; 1950 &lt;/ option&gt; &lt;option value = ""1949""&gt; 1949 &lt;/ option&gt; &lt;option value = "" 1948 ""&gt; 1948 &lt;/ option&gt; &lt;option value ="" 1947 ""&gt; 1947 &lt;/ option&gt; &lt;"&amp;"option value ="" 1946 ""&gt; 1946 &lt;/ option&gt; &lt;option value ="" 1945 ""&gt; 1945 &lt;/ option&gt; &lt;value option = ""1944""&gt; 1944 &lt;/ option&gt; &lt;option value = ""1943""&gt; 1943 &lt;/ option&gt; &lt;option value = ""1942""&gt; 1942 &lt;/ option&gt; &lt;option value = ""1941""&gt; 1941 &lt;/ option&gt; &lt; "&amp;"option value = ""1940""&gt; 1940 &lt;/ option&gt; &lt;option value = ""1939""&gt; 1939 &lt;/ option&gt; &lt;option value = ""1938""&gt; 1938 &lt;/ option&gt; &lt;option value = ""1937""&gt; 1937 &lt;/ option &gt; &lt;option value = ""1936""&gt; 1936 &lt;/ option&gt; &lt;option value = ""1935""&gt; 1935 &lt;/ option&gt; &lt;op"&amp;"tion value = ""1934""&gt; 1934 &lt;/ option&gt; &lt;option value = ""1933""&gt; 1933 &lt; / option&gt; &lt;option value = ""1932""&gt; 1932 &lt;/ option&gt; &lt;option value = ""1931""&gt; 1931 &lt;/ option&gt; &lt;option v alue = ""1930""&gt; 1930 &lt;/ option&gt; &lt;option value = ""1929""&gt; 1929 &lt;/ option&gt; &lt;opt"&amp;"ion value = ""1928""&gt; 1928 &lt;/ option&gt; &lt;option value = ""1927""&gt; 1927 &lt;/ option&gt; &lt;option value = ""1926""&gt; 1926 &lt;/ option&gt; &lt;option value = ""1925""&gt; 1925 &lt;/ option&gt; &lt;option value = ""1924""&gt; 1924 &lt;/ option&gt; &lt;option value = ""1923""&gt; 1923 &lt;/ option&gt; &lt;option"&amp;" value = ""1922""&gt; 1922 &lt;/ option&gt; &lt;option value = ""1921""&gt; 1921 &lt;/ option&gt; &lt;option value = ""1920""&gt; 1920 &lt;/ option&gt; &lt;option value = ""1919""&gt; 1919 &lt;/ option&gt; &lt;option value = ""1918""&gt; 1918 &lt;/ option&gt; &lt;option value = ""1917""&gt; 1917 &lt;/ option&gt; &lt;option va"&amp;"lue = ""1916""&gt; 1916 &lt;/ option&gt; &lt;option value = ""1915"" &gt; 1915 &lt;/ option&gt; &lt;option value = ""1914""&gt; 1914 &lt;/ option&gt; &lt;option value = ""1913""&gt; 1913 &lt;/ option&gt; &lt;option value = ""1912""&gt; 1912 &lt;/ option&gt; &lt;option value = "" 1911 ""&gt; 1911 &lt;/ option&gt; &lt;option va"&amp;"lue ="" 1910 ""&gt; 1910 &lt;/ option&gt; &lt;option value ="" 1909 ""&gt; 1909 &lt;/ option&gt; &lt;option value ="" 1908 ""&gt; 1908 &lt;/ option&gt; &lt;value option = ""1907""&gt; 1907 &lt;/ option&gt; &lt;option value = ""1906""&gt; 1906 &lt;/ option&gt; &lt;option value = ""1905""&gt; 1905 &lt;/ option&gt; &lt;option va"&amp;"lue = ""1904""&gt; 1904 &lt;/ option&gt; &lt; option value = ""1903""&gt; 1903 &lt;/ option&gt; &lt;option value = ""1902""&gt; 1902 &lt;/ option&gt; &lt;option value = ""1901""&gt; 19 01 &lt;/ option&gt; &lt;option value = ""1900""&gt; 1900 &lt;/ option&gt; &lt;/ select&gt; &lt;div tabindex = ""- 1"" class = ""airy-age"&amp;"-gate-submit airy-submit-button airy airy-submit- disabled ""&gt; Submit &lt;/ div&gt; &lt;/ div&gt; &lt;/ div&gt; &lt;/ div&gt; &lt;/ div&gt; &lt;/ div&gt; &lt;div tabindex ="" - 1 ""class ="" airy-install-flash-dialog airy-stage airy -vertical-centering-table-dialog airy airy-denied ""style ="""&amp;" opacity: 0; visibility: hidden; ""&gt; &lt;div tabindex ="" - 1 ""class ="" airy-install-flash-Vertical-centering-table-cell airy-Vertical-centering-table-cell ""&gt; &lt;div tabindex ="" - 1 ""class = ""airy-Vertical-centering-wrapper airy-install-flash-elements-wr"&amp;"apper""&gt; &lt;div tabindex = ""- 1"" class = ""airy-install-flash-elements airy-dialog-elements""&gt; &lt;div tabindex = "" -1 ""class ="" airy-install-flash-prompt ""&gt; Adobe Flash Player is required to watch this video &lt;/ div&gt; &lt;div tabindex =."" - 1 ""class ="" ai"&amp;"ry-install-flash-button-wrapper airy -dialog-inner-elements ""&gt; &lt;div tabindex ="" - 1 ""class ="" airy-install-flash-button airy-button ""&gt; install Flash Player &lt;/ div&gt; &lt;/ div&gt; &lt;/ div&gt; &lt;/ div&gt; &lt;/ div&gt; &lt;/ div&gt; &lt;div tabindex = ""- 1"" class = ""airy-video-u"&amp;"nsupported-dialog airy-stage airy-Vertical-centering-table airy-dialog airy-denied"" style = ""opacity: 0; visibility: hidden; ""&gt; &lt;div tabindex ="" - 1 ""class ="" airy-video-unsupported-Vertical-centering-table-cell airy-Vertical-centering-table-cell """&amp;"&gt; &lt;div tabindex ="" - 1 ""class = ""airy-Vertical-centering-wrapper airy-video-unsupported-elements-wrapper""&gt; &lt;div tabindex = ""- 1"" class = ""airy-video-unsupported-elements airy-dialog-elements""&gt; &lt;div tabindex = "" -1 ""class ="" airy-video-unsupport"&amp;"ed-prompt ""&gt; &lt;/ div&gt; &lt;/ div&gt; &lt;/ div&gt; &lt;/ div&gt; &lt;/ div&gt; &lt;div tabindex ="" - 1 ""class ="" airy-loading- spinner-stage airy-stage ""&gt; &lt;div tabindex ="" - 1 ""class ="" airy-loading-spinner-Vertical-centering-table-cell airy-Vertical-centering-table-cell ""&gt; "&amp;"&lt;div tabindex ="" - 1 ""class ="" airy-loading-spinner-container airy-scalable-hint-container ""&gt; &lt;div tabindex ="" - 1 ""class ="" airy-loading-spinner-dummy airy-scalable-dummy ""&gt; &lt;/ div&gt; &lt; div tabindex = ""- 1"" class = ""airy-loading-spinner airy-hin"&amp;"t"" style = ""visibility: hidden;""&gt; &lt;/ div&gt; &lt;/ div&gt; &lt;/ div&gt; &lt;/ div&gt; &lt;div tabindex = ""- 1 ""class ="" airy-ads-screen-size-toggle airy-screen-size-toggle-fullscreen airy ""style ="" visibility: hidden; ""&gt; &lt;/ div&gt; &lt;div tabindex = ""-1"" class = ""airy-ad"&amp;"-prompt-container"" style = ""visibility: hidden;""&gt; &lt;div tabindex = ""- 1"" class = ""airy-ad-prompt-Vertical-centering-table-vertically airy centering-table ""&gt; &lt;div tabindex ="" - 1 ""class ="" airy-ad-prompt-Vertical-centering-table-cell airy-Vertical"&amp;"-centering-table-cell ""&gt; &lt;div tabindex ="" - 1 ""class = ""airy-ad-prompt-label""&gt; &lt;/ div&gt; &lt;/ div&gt; &lt;/ div&gt; &lt;/ div&gt; &lt;div tabindex = ""- 1"" class = ""airy-ads-controls-container"" style = ""visibility: hidden; ""&gt; &lt;div tabindex ="" - 1 ""class ="" airy-ad"&amp;"s-audio-toggle airy-audio-toggle airy-on ""style ="" visibility: hidden; ""&gt; &lt;/ div&gt; &lt;div tabindex ="" - 1 ""class ="" airy-time-remaining-label-container ""&gt; &lt;div tabindex ="" - 1 ""class ="" airy-time-remaining-Vertical-centering-table airy-Vertical-cen"&amp;"tering-table ""&gt; &lt;div tabindex = ""- 1"" class = ""airy-time-remaining-Vertical-centering-table-cell airy-Vertical-centering-table-cell""&gt; &lt;div tabindex = ""- 1"" class = ""airy-Vertical-centering-wrapper airy-time-remaining-label-wrapper ""&gt; &lt;div tabinde"&amp;"x ="" - 1 ""class ="" airy-time-remaining-label ""style ="" visibility: hidden; ""&gt; &lt;/ div&gt; &lt;div tabi ndex = ""- 1"" class = ""airy-ad-skip"" style = ""visibility: hidden;""&gt; &lt;/ div&gt; &lt;div tabindex = ""- 1"" class = ""airy-ad-end"" style = ""visibility: hi"&amp;"dden ""&gt; &lt;/ div&gt; &lt;/ div&gt; &lt;/ div&gt; &lt;/ div&gt; &lt;/ div&gt; &lt;div tabindex ="" - 1 ""class ="" airy-learn-more ""style ="" visibility: hidden; ""&gt; &lt;/ div&gt; &lt;/ div&gt; &lt;div tabindex = ""- 1"" class = ""airy-play-toggle-hint-stage airy-stage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-toggle-hint hint airy-airy-play-hint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images-eu ."&amp;"ssl-images-amazon.com / images / I / B165nS0jl4S.mp4 ""Class ="" video-url ""&gt; &lt;input type ="" hidden ""name ="" ""value ="" https://images-eu.ssl-images-amazon.com/images/I/91TZAqngcrS.png ""class ="" video-slate-img-url ""&gt; &amp; nbsp; sometimes goes, somet"&amp;"imes not and when going rallas, vibrates and beeps are ollen. I was disappointed considering the good reviews it has. I have returned.")</f>
        <v>Works intermittently and poorly &lt;div id = "video-block-R1A2G8953FEM28" class = "a-section a-spacing-small a-spacing-top mini video-block"&gt; &lt;div tabindex = "0" class = "airy airy -svg vmin-supported airy-skin-beacon "style =" background-color: rgb (0, 0, 0) position: relative; width: 100%; height: 100%; font-size: 0px; overflow: hidden ; outline: none; "&gt; &lt;div class =" airy-renderer-container "style =" position: relative; height: 100%; width: 100%; "&gt; &lt;video id =" 7 "preload =" auto "src = "https://images-eu.ssl-images-amazon.com/images/I/B165nS0jl4S.mp4" style = "position: absolute; left: 0px; top: 0px; overflow: hidden; height: 1px; width : 1px; "&gt; &lt;/ video&gt; &lt;/ div&gt; &lt;div id =" airy-slate-preload "style =" background-color: rgb (0, 0, 0); background-image: url (&amp; quot; https: //images-eu.ssl-images-amazon.com/images/I/91TZAqngcrS.png&amp;quot;); background-size: Contain; background-position: center center; background-repeat: no-repeat; position: absolute; top : 0px; left: 0px; visibility: visible; width: 100%; height: 100%; "&gt; &lt;/ div&gt; &lt;i 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B165nS0jl4S.mp4 "Class =" video-url "&gt; &lt;input type =" hidden "name =" "value =" https://images-eu.ssl-images-amazon.com/images/I/91TZAqngcrS.png "class =" video-slate-img-url "&gt; &amp; nbsp; sometimes goes, sometimes not and when going rallas, vibrates and beeps are ollen. I was disappointed considering the good reviews it has. I have returned.</v>
      </c>
    </row>
    <row r="12692">
      <c r="A12692" s="1">
        <v>1.0</v>
      </c>
      <c r="B12692" s="1" t="s">
        <v>12579</v>
      </c>
      <c r="C12692" t="str">
        <f>IFERROR(__xludf.DUMMYFUNCTION("GOOGLETRANSLATE(B12692, ""es"", ""en"")"),"Good brand to buy mice mice I've tried this brand and was satisfied. In deciding to buy a good helmets in this price range Fie me from past experience and chose these ... big mistake. If you watch carefully to see how they begin to undo the out of the box"&amp;". distressing materials are supposedly the best helmets that I bought and worse were heard and those who have less lasted far.")</f>
        <v>Good brand to buy mice mice I've tried this brand and was satisfied. In deciding to buy a good helmets in this price range Fie me from past experience and chose these ... big mistake. If you watch carefully to see how they begin to undo the out of the box. distressing materials are supposedly the best helmets that I bought and worse were heard and those who have less lasted far.</v>
      </c>
    </row>
    <row r="12693">
      <c r="A12693" s="1">
        <v>4.0</v>
      </c>
      <c r="B12693" s="1" t="s">
        <v>12580</v>
      </c>
      <c r="C12693" t="str">
        <f>IFERROR(__xludf.DUMMYFUNCTION("GOOGLETRANSLATE(B12693, ""es"", ""en"")"),"Small sized good price but have known would have taken another number, size too small.")</f>
        <v>Small sized good price but have known would have taken another number, size too small.</v>
      </c>
    </row>
    <row r="12694">
      <c r="A12694" s="1">
        <v>4.0</v>
      </c>
      <c r="B12694" s="1" t="s">
        <v>12581</v>
      </c>
      <c r="C12694" t="str">
        <f>IFERROR(__xludf.DUMMYFUNCTION("GOOGLETRANSLATE(B12694, ""es"", ""en"")"),"The battery life is good !! The I'm testing sound great but very ostigosos")</f>
        <v>The battery life is good !! The I'm testing sound great but very ostigosos</v>
      </c>
    </row>
    <row r="12695">
      <c r="A12695" s="1">
        <v>4.0</v>
      </c>
      <c r="B12695" s="1" t="s">
        <v>12582</v>
      </c>
      <c r="C12695" t="str">
        <f>IFERROR(__xludf.DUMMYFUNCTION("GOOGLETRANSLATE(B12695, ""es"", ""en"")"),"Bambas salomon Bamba very good and all-terrain Poser only q is a tad narrow and I have the narrow foot recommend that you cojáis 1 numero more or half of what soleis use! grasp 🔝")</f>
        <v>Bambas salomon Bamba very good and all-terrain Poser only q is a tad narrow and I have the narrow foot recommend that you cojáis 1 numero more or half of what soleis use! grasp 🔝</v>
      </c>
    </row>
    <row r="12696">
      <c r="A12696" s="1">
        <v>4.0</v>
      </c>
      <c r="B12696" s="1" t="s">
        <v>12583</v>
      </c>
      <c r="C12696" t="str">
        <f>IFERROR(__xludf.DUMMYFUNCTION("GOOGLETRANSLATE(B12696, ""es"", ""en"")"),"Adapter the device is fine, although I could not taste good because of program, is the second buy, the defective first and not returned, took me to prove it, we know that this electronics is very sensitive, but running program , recommendable")</f>
        <v>Adapter the device is fine, although I could not taste good because of program, is the second buy, the defective first and not returned, took me to prove it, we know that this electronics is very sensitive, but running program , recommendable</v>
      </c>
    </row>
    <row r="12697">
      <c r="A12697" s="1">
        <v>4.0</v>
      </c>
      <c r="B12697" s="1" t="s">
        <v>12584</v>
      </c>
      <c r="C12697" t="str">
        <f>IFERROR(__xludf.DUMMYFUNCTION("GOOGLETRANSLATE(B12697, ""es"", ""en"")"),"Fast delivery The brand is known and has the metal arm I really like, what bothers me a lot is that the buttons, being coated with silicone, you have to push a lot. Otherwise all right and perfectly fulfills its function")</f>
        <v>Fast delivery The brand is known and has the metal arm I really like, what bothers me a lot is that the buttons, being coated with silicone, you have to push a lot. Otherwise all right and perfectly fulfills its function</v>
      </c>
    </row>
    <row r="12698">
      <c r="A12698" s="1">
        <v>5.0</v>
      </c>
      <c r="B12698" s="1" t="s">
        <v>12585</v>
      </c>
      <c r="C12698" t="str">
        <f>IFERROR(__xludf.DUMMYFUNCTION("GOOGLETRANSLATE(B12698, ""es"", ""en"")"),"Recommended product quality")</f>
        <v>Recommended product quality</v>
      </c>
    </row>
    <row r="12699">
      <c r="A12699" s="1">
        <v>5.0</v>
      </c>
      <c r="B12699" s="1" t="s">
        <v>12586</v>
      </c>
      <c r="C12699" t="str">
        <f>IFERROR(__xludf.DUMMYFUNCTION("GOOGLETRANSLATE(B12699, ""es"", ""en"")"),"Good value for money. The purchase along with a laminator and are 100% compatible. The scores are very good.")</f>
        <v>Good value for money. The purchase along with a laminator and are 100% compatible. The scores are very good.</v>
      </c>
    </row>
    <row r="12700">
      <c r="A12700" s="1">
        <v>5.0</v>
      </c>
      <c r="B12700" s="1" t="s">
        <v>12587</v>
      </c>
      <c r="C12700" t="str">
        <f>IFERROR(__xludf.DUMMYFUNCTION("GOOGLETRANSLATE(B12700, ""es"", ""en"")"),"Very cute. It is a funny ring, comfortable to wear if you have finite fingers. Fine for the price you have,")</f>
        <v>Very cute. It is a funny ring, comfortable to wear if you have finite fingers. Fine for the price you have,</v>
      </c>
    </row>
    <row r="12701">
      <c r="A12701" s="1">
        <v>5.0</v>
      </c>
      <c r="B12701" s="1" t="s">
        <v>12588</v>
      </c>
      <c r="C12701" t="str">
        <f>IFERROR(__xludf.DUMMYFUNCTION("GOOGLETRANSLATE(B12701, ""es"", ""en"")"),"Excellent micro micro, that works perfectly and arrived on time.")</f>
        <v>Excellent micro micro, that works perfectly and arrived on time.</v>
      </c>
    </row>
    <row r="12702">
      <c r="A12702" s="1">
        <v>5.0</v>
      </c>
      <c r="B12702" s="1" t="s">
        <v>12589</v>
      </c>
      <c r="C12702" t="str">
        <f>IFERROR(__xludf.DUMMYFUNCTION("GOOGLETRANSLATE(B12702, ""es"", ""en"")"),"Perfect Very good cheap functional ......")</f>
        <v>Perfect Very good cheap functional ......</v>
      </c>
    </row>
    <row r="12703">
      <c r="A12703" s="1">
        <v>5.0</v>
      </c>
      <c r="B12703" s="1" t="s">
        <v>12590</v>
      </c>
      <c r="C12703" t="str">
        <f>IFERROR(__xludf.DUMMYFUNCTION("GOOGLETRANSLATE(B12703, ""es"", ""en"")"),"Great. Great. I love massages and me come in handy for loading times malposition or excessive sport. It goes very well and can remove the function of hot balls, though when and takes a lot of notes while calorcito same.")</f>
        <v>Great. Great. I love massages and me come in handy for loading times malposition or excessive sport. It goes very well and can remove the function of hot balls, though when and takes a lot of notes while calorcito same.</v>
      </c>
    </row>
    <row r="12704">
      <c r="A12704" s="1">
        <v>5.0</v>
      </c>
      <c r="B12704" s="1" t="s">
        <v>12591</v>
      </c>
      <c r="C12704" t="str">
        <f>IFERROR(__xludf.DUMMYFUNCTION("GOOGLETRANSLATE(B12704, ""es"", ""en"")"),"Great. Like all G-Shock, perfect model. If you like yellow, this is your watch. Great finishes, very comfortable and a brilliant color. Definitely a great option.")</f>
        <v>Great. Like all G-Shock, perfect model. If you like yellow, this is your watch. Great finishes, very comfortable and a brilliant color. Definitely a great option.</v>
      </c>
    </row>
    <row r="12705">
      <c r="A12705" s="1">
        <v>5.0</v>
      </c>
      <c r="B12705" s="1" t="s">
        <v>12592</v>
      </c>
      <c r="C12705" t="str">
        <f>IFERROR(__xludf.DUMMYFUNCTION("GOOGLETRANSLATE(B12705, ""es"", ""en"")"),"Ideal Fantastic to give the expressed milk when I'm working. Teat blandita that does not collapse. Milk leaves just not frustrated and not let the chest by having an easy option.")</f>
        <v>Ideal Fantastic to give the expressed milk when I'm working. Teat blandita that does not collapse. Milk leaves just not frustrated and not let the chest by having an easy option.</v>
      </c>
    </row>
    <row r="12706">
      <c r="A12706" s="1">
        <v>5.0</v>
      </c>
      <c r="B12706" s="1" t="s">
        <v>12593</v>
      </c>
      <c r="C12706" t="str">
        <f>IFERROR(__xludf.DUMMYFUNCTION("GOOGLETRANSLATE(B12706, ""es"", ""en"")"),"44mm strap belt with a magnet perfect and very good quality d dark order price is excellent. I am very happy with the purchase.")</f>
        <v>44mm strap belt with a magnet perfect and very good quality d dark order price is excellent. I am very happy with the purchase.</v>
      </c>
    </row>
    <row r="12707">
      <c r="A12707" s="1">
        <v>5.0</v>
      </c>
      <c r="B12707" s="1" t="s">
        <v>12594</v>
      </c>
      <c r="C12707" t="str">
        <f>IFERROR(__xludf.DUMMYFUNCTION("GOOGLETRANSLATE(B12707, ""es"", ""en"")"),"Sealing defined and accurate Very complete, the seal comes with the ink cartridge, the tongs to place the letters and two letters paleteas a larger palette to letters and one for smaller letters, contains all kinds of characters. Sealing is quite good and"&amp;" accurate, compared to other labels I used to let the huddled and smudges letters. I recommend, good value.")</f>
        <v>Sealing defined and accurate Very complete, the seal comes with the ink cartridge, the tongs to place the letters and two letters paleteas a larger palette to letters and one for smaller letters, contains all kinds of characters. Sealing is quite good and accurate, compared to other labels I used to let the huddled and smudges letters. I recommend, good value.</v>
      </c>
    </row>
    <row r="12708">
      <c r="A12708" s="1">
        <v>5.0</v>
      </c>
      <c r="B12708" s="1" t="s">
        <v>12595</v>
      </c>
      <c r="C12708" t="str">
        <f>IFERROR(__xludf.DUMMYFUNCTION("GOOGLETRANSLATE(B12708, ""es"", ""en"")"),"200/10 is quite useful")</f>
        <v>200/10 is quite useful</v>
      </c>
    </row>
    <row r="12709">
      <c r="A12709" s="1">
        <v>5.0</v>
      </c>
      <c r="B12709" s="1" t="s">
        <v>12596</v>
      </c>
      <c r="C12709" t="str">
        <f>IFERROR(__xludf.DUMMYFUNCTION("GOOGLETRANSLATE(B12709, ""es"", ""en"")"),"It serves more things you have to do more molds")</f>
        <v>It serves more things you have to do more molds</v>
      </c>
    </row>
    <row r="12710">
      <c r="A12710" s="1">
        <v>5.0</v>
      </c>
      <c r="B12710" s="1" t="s">
        <v>12597</v>
      </c>
      <c r="C12710" t="str">
        <f>IFERROR(__xludf.DUMMYFUNCTION("GOOGLETRANSLATE(B12710, ""es"", ""en"")"),"Surprised sound quality in terms of economics of the precio.Solo've connected to PC and well, but we can be connected to other systems Hi-Fisolo would put two hit surprised sound quality in terms of economics of the price .Solo've connected to PC and good"&amp;", but let it be connected to other systems Hi-Fisolo would put two gripes: - white collar Castilian, though not much loss - comes jack male cable - jack male, but is 6.35 mm and does not bring the adapter to 3.5mm so for use in mobile or PC you have to bu"&amp;"y the adapter, however Parteno and the experience of the two times I have used it worth buying, guaranteed fun.")</f>
        <v>Surprised sound quality in terms of economics of the precio.Solo've connected to PC and well, but we can be connected to other systems Hi-Fisolo would put two hit surprised sound quality in terms of economics of the price .Solo've connected to PC and good, but let it be connected to other systems Hi-Fisolo would put two gripes: - white collar Castilian, though not much loss - comes jack male cable - jack male, but is 6.35 mm and does not bring the adapter to 3.5mm so for use in mobile or PC you have to buy the adapter, however Parteno and the experience of the two times I have used it worth buying, guaranteed fun.</v>
      </c>
    </row>
    <row r="12711">
      <c r="A12711" s="1">
        <v>5.0</v>
      </c>
      <c r="B12711" s="1" t="s">
        <v>12598</v>
      </c>
      <c r="C12711" t="str">
        <f>IFERROR(__xludf.DUMMYFUNCTION("GOOGLETRANSLATE(B12711, ""es"", ""en"")"),"Quick perfect and plenty of space")</f>
        <v>Quick perfect and plenty of space</v>
      </c>
    </row>
    <row r="12712">
      <c r="A12712" s="1">
        <v>5.0</v>
      </c>
      <c r="B12712" s="1" t="s">
        <v>12599</v>
      </c>
      <c r="C12712" t="str">
        <f>IFERROR(__xludf.DUMMYFUNCTION("GOOGLETRANSLATE(B12712, ""es"", ""en"")"),"Perfect I have found it perfect to use a generic micro sd on my PSP. It runs smoothly and reading speed (not affected the speed of the micro sd), and allows to connect 2, thereby increasing capacity.")</f>
        <v>Perfect I have found it perfect to use a generic micro sd on my PSP. It runs smoothly and reading speed (not affected the speed of the micro sd), and allows to connect 2, thereby increasing capacity.</v>
      </c>
    </row>
    <row r="12713">
      <c r="A12713" s="1">
        <v>5.0</v>
      </c>
      <c r="B12713" s="1" t="s">
        <v>12600</v>
      </c>
      <c r="C12713" t="str">
        <f>IFERROR(__xludf.DUMMYFUNCTION("GOOGLETRANSLATE(B12713, ""es"", ""en"")"),"PS4 Incredibles! :: :: The good ✅ Presentation: Unbeatable. Good box. Good case to carry and good material. ✅ Design: From the nicest headphones I've ever seen. Colors and design very careful. ✅ Comfort: Over (+ 4h) playing and they have not hurt my ears."&amp;" A lot of comfort for many hours of play. ✅ Sound: Noise suppression high (not hear the outside) acojonante quality and listen all challengers steps. ✅ Microphone: Noise Canceling and very high quality. I served for gameplays and sound very top. ✅ Buttons"&amp;": 1 Power. Volume 2. 1 Graves. 1 MUTE. ✅ Battery: More than 30h ... never end and last much longer than those of Sony. ✅ Connectivity: PC, Tablets, phones, TV, MP3 / 4 .. everything smoothly and the first. ✅ Wiring: Bring many accessories: USB Charging, E"&amp;"xtension jack and plug connector on airplanes. ✅ Case: Very big and nice. A detail to take you wherever you want to catch dust and suffer bumps. ✅ Adaptabiidad: They adapt perfectly to any head does not hurt to wearing glasses view. ✅ Other information: Y"&amp;"ou can load cable and use Bluetooth to the same time. Downside :: :: ⛔ For PS4 need a USB adapter (there on Aliexpress or here on Amazon for less than 5 euros) - If you do not buy, you can not use them in blueetooth mode (if cables) but would not work mic"&amp;"rophone. This problem is rather that leaves Sony blueetooth connect devices directly. :: Final opinion: 🏆 has my seal of quality. Highly recommended to play.")</f>
        <v>PS4 Incredibles! :: :: The good ✅ Presentation: Unbeatable. Good box. Good case to carry and good material. ✅ Design: From the nicest headphones I've ever seen. Colors and design very careful. ✅ Comfort: Over (+ 4h) playing and they have not hurt my ears. A lot of comfort for many hours of play. ✅ Sound: Noise suppression high (not hear the outside) acojonante quality and listen all challengers steps. ✅ Microphone: Noise Canceling and very high quality. I served for gameplays and sound very top. ✅ Buttons: 1 Power. Volume 2. 1 Graves. 1 MUTE. ✅ Battery: More than 30h ... never end and last much longer than those of Sony. ✅ Connectivity: PC, Tablets, phones, TV, MP3 / 4 .. everything smoothly and the first. ✅ Wiring: Bring many accessories: USB Charging, Extension jack and plug connector on airplanes. ✅ Case: Very big and nice. A detail to take you wherever you want to catch dust and suffer bumps. ✅ Adaptabiidad: They adapt perfectly to any head does not hurt to wearing glasses view. ✅ Other information: You can load cable and use Bluetooth to the same time. Downside :: :: ⛔ For PS4 need a USB adapter (there on Aliexpress or here on Amazon for less than 5 euros) - If you do not buy, you can not use them in blueetooth mode (if cables) but would not work microphone. This problem is rather that leaves Sony blueetooth connect devices directly. :: Final opinion: 🏆 has my seal of quality. Highly recommended to play.</v>
      </c>
    </row>
    <row r="12714">
      <c r="A12714" s="1">
        <v>5.0</v>
      </c>
      <c r="B12714" s="1" t="s">
        <v>12601</v>
      </c>
      <c r="C12714" t="str">
        <f>IFERROR(__xludf.DUMMYFUNCTION("GOOGLETRANSLATE(B12714, ""es"", ""en"")"),"Product powerful headphones I came fast and in perfect condition. I bought them for good reviews and has been a success, they are very ergonomic, are mini format, adapt perfectly to the ear, they are comfortable and quickly connect, in fact once linked th"&amp;"e first time, connect directly to the out of their small box. The sound they have is very very good and has no interruptions, recommended for sports, they also have considerable autonomy and includes microphone to answer calls. Once I used I think the val"&amp;"ue is very good and would definitely recommend. Thanks are also carrying the instructions are in Spanish and includes a charging cable to the battery of the headset. My opinion these headphones for money is amazing, definitely recommend it.")</f>
        <v>Product powerful headphones I came fast and in perfect condition. I bought them for good reviews and has been a success, they are very ergonomic, are mini format, adapt perfectly to the ear, they are comfortable and quickly connect, in fact once linked the first time, connect directly to the out of their small box. The sound they have is very very good and has no interruptions, recommended for sports, they also have considerable autonomy and includes microphone to answer calls. Once I used I think the value is very good and would definitely recommend. Thanks are also carrying the instructions are in Spanish and includes a charging cable to the battery of the headset. My opinion these headphones for money is amazing, definitely recommend it.</v>
      </c>
    </row>
    <row r="12715">
      <c r="A12715" s="1">
        <v>5.0</v>
      </c>
      <c r="B12715" s="1" t="s">
        <v>12602</v>
      </c>
      <c r="C12715" t="str">
        <f>IFERROR(__xludf.DUMMYFUNCTION("GOOGLETRANSLATE(B12715, ""es"", ""en"")"),"SUPER I love the blender. With plenty of accessories and top super effective because you can do everything. Sauces, milkshakes, butters ... recommend!")</f>
        <v>SUPER I love the blender. With plenty of accessories and top super effective because you can do everything. Sauces, milkshakes, butters ... recommend!</v>
      </c>
    </row>
    <row r="12716">
      <c r="A12716" s="1">
        <v>5.0</v>
      </c>
      <c r="B12716" s="1" t="s">
        <v>12603</v>
      </c>
      <c r="C12716" t="str">
        <f>IFERROR(__xludf.DUMMYFUNCTION("GOOGLETRANSLATE(B12716, ""es"", ""en"")"),"Trail running trail running basic. Very comfortable")</f>
        <v>Trail running trail running basic. Very comfortable</v>
      </c>
    </row>
    <row r="12717">
      <c r="A12717" s="1">
        <v>2.0</v>
      </c>
      <c r="B12717" s="1" t="s">
        <v>12604</v>
      </c>
      <c r="C12717" t="str">
        <f>IFERROR(__xludf.DUMMYFUNCTION("GOOGLETRANSLATE(B12717, ""es"", ""en"")"),"Good looks, although it is very small Overall appearance and quality is good, although it has little practical details as you would one even loose ipad in the central compartment, since the pocket to that effect is very small")</f>
        <v>Good looks, although it is very small Overall appearance and quality is good, although it has little practical details as you would one even loose ipad in the central compartment, since the pocket to that effect is very small</v>
      </c>
    </row>
    <row r="12718">
      <c r="A12718" s="1">
        <v>3.0</v>
      </c>
      <c r="B12718" s="1" t="s">
        <v>12605</v>
      </c>
      <c r="C12718" t="str">
        <f>IFERROR(__xludf.DUMMYFUNCTION("GOOGLETRANSLATE(B12718, ""es"", ""en"")"),"They do not give allergy are too too thin. Sometimes not fit closure.")</f>
        <v>They do not give allergy are too too thin. Sometimes not fit closure.</v>
      </c>
    </row>
    <row r="12719">
      <c r="A12719" s="1">
        <v>3.0</v>
      </c>
      <c r="B12719" s="1" t="s">
        <v>12606</v>
      </c>
      <c r="C12719" t="str">
        <f>IFERROR(__xludf.DUMMYFUNCTION("GOOGLETRANSLATE(B12719, ""es"", ""en"")"),"PRODUCT AVERAGE works correctly, however carries a watermark that shows a little even after adhering.")</f>
        <v>PRODUCT AVERAGE works correctly, however carries a watermark that shows a little even after adhering.</v>
      </c>
    </row>
    <row r="12720">
      <c r="A12720" s="1">
        <v>1.0</v>
      </c>
      <c r="B12720" s="1" t="s">
        <v>12607</v>
      </c>
      <c r="C12720" t="str">
        <f>IFERROR(__xludf.DUMMYFUNCTION("GOOGLETRANSLATE(B12720, ""es"", ""en"")"),"Actual writing speed: 14.4 Mb / s This product does not match your specifications. Write speed checking the ""Disk Speed ​​Test"" program results 14,4Mb / s, being in theory, a card 170 Mb / s. 4K resolution videos - 25FPS recorded stutters, due to low sp"&amp;"eed. Ultimately, I think the product is misleading and Amazon should regulate these sales because they are a real scam. Toca return the product and lose midmorning at the post office.")</f>
        <v>Actual writing speed: 14.4 Mb / s This product does not match your specifications. Write speed checking the "Disk Speed ​​Test" program results 14,4Mb / s, being in theory, a card 170 Mb / s. 4K resolution videos - 25FPS recorded stutters, due to low speed. Ultimately, I think the product is misleading and Amazon should regulate these sales because they are a real scam. Toca return the product and lose midmorning at the post office.</v>
      </c>
    </row>
    <row r="12721">
      <c r="A12721" s="1">
        <v>1.0</v>
      </c>
      <c r="B12721" s="1" t="s">
        <v>12608</v>
      </c>
      <c r="C12721" t="str">
        <f>IFERROR(__xludf.DUMMYFUNCTION("GOOGLETRANSLATE(B12721, ""es"", ""en"")"),"Pretty seedy not convincing for the money")</f>
        <v>Pretty seedy not convincing for the money</v>
      </c>
    </row>
    <row r="12722">
      <c r="A12722" s="1">
        <v>4.0</v>
      </c>
      <c r="B12722" s="1" t="s">
        <v>12609</v>
      </c>
      <c r="C12722" t="str">
        <f>IFERROR(__xludf.DUMMYFUNCTION("GOOGLETRANSLATE(B12722, ""es"", ""en"")"),"Very good I found it very good, the only thing that would put a guard on the tips so that no dirt cogiesen")</f>
        <v>Very good I found it very good, the only thing that would put a guard on the tips so that no dirt cogiesen</v>
      </c>
    </row>
    <row r="12723">
      <c r="A12723" s="1">
        <v>4.0</v>
      </c>
      <c r="B12723" s="1" t="s">
        <v>12610</v>
      </c>
      <c r="C12723" t="str">
        <f>IFERROR(__xludf.DUMMYFUNCTION("GOOGLETRANSLATE(B12723, ""es"", ""en"")"),"All SD quality memories I have bought have been Samsung, and has given me no problems and have more than 15 cards of different sizes. That's why I keep buying memory cards of this brand. I know there are other brands at very low prices ... but I do not tr"&amp;"ust.")</f>
        <v>All SD quality memories I have bought have been Samsung, and has given me no problems and have more than 15 cards of different sizes. That's why I keep buying memory cards of this brand. I know there are other brands at very low prices ... but I do not trust.</v>
      </c>
    </row>
    <row r="12724">
      <c r="A12724" s="1">
        <v>4.0</v>
      </c>
      <c r="B12724" s="1" t="s">
        <v>12611</v>
      </c>
      <c r="C12724" t="str">
        <f>IFERROR(__xludf.DUMMYFUNCTION("GOOGLETRANSLATE(B12724, ""es"", ""en"")"),"It is as original q came when I bought the phone")</f>
        <v>It is as original q came when I bought the phone</v>
      </c>
    </row>
    <row r="12725">
      <c r="A12725" s="1">
        <v>4.0</v>
      </c>
      <c r="B12725" s="1" t="s">
        <v>12612</v>
      </c>
      <c r="C12725" t="str">
        <f>IFERROR(__xludf.DUMMYFUNCTION("GOOGLETRANSLATE(B12725, ""es"", ""en"")"),"Jose Miguel Prieto Perfect for what I needed. Large letters and added that also gives the temperature. Right good, works well.")</f>
        <v>Jose Miguel Prieto Perfect for what I needed. Large letters and added that also gives the temperature. Right good, works well.</v>
      </c>
    </row>
    <row r="12726">
      <c r="A12726" s="1">
        <v>4.0</v>
      </c>
      <c r="B12726" s="1" t="s">
        <v>12613</v>
      </c>
      <c r="C12726" t="str">
        <f>IFERROR(__xludf.DUMMYFUNCTION("GOOGLETRANSLATE(B12726, ""es"", ""en"")"),"Bracelets are a little stiff but they are as they are seen in the photo")</f>
        <v>Bracelets are a little stiff but they are as they are seen in the photo</v>
      </c>
    </row>
    <row r="12727">
      <c r="A12727" s="1">
        <v>5.0</v>
      </c>
      <c r="B12727" s="1" t="s">
        <v>12614</v>
      </c>
      <c r="C12727" t="str">
        <f>IFERROR(__xludf.DUMMYFUNCTION("GOOGLETRANSLATE(B12727, ""es"", ""en"")"),"I like everything perfect")</f>
        <v>I like everything perfect</v>
      </c>
    </row>
    <row r="12728">
      <c r="A12728" s="1">
        <v>5.0</v>
      </c>
      <c r="B12728" s="1" t="s">
        <v>12615</v>
      </c>
      <c r="C12728" t="str">
        <f>IFERROR(__xludf.DUMMYFUNCTION("GOOGLETRANSLATE(B12728, ""es"", ""en"")"),"Perfect for very practical I've lost")</f>
        <v>Perfect for very practical I've lost</v>
      </c>
    </row>
    <row r="12729">
      <c r="A12729" s="1">
        <v>5.0</v>
      </c>
      <c r="B12729" s="1" t="s">
        <v>12616</v>
      </c>
      <c r="C12729" t="str">
        <f>IFERROR(__xludf.DUMMYFUNCTION("GOOGLETRANSLATE(B12729, ""es"", ""en"")"),"Great and useful for hiking is fine for hiking short and medium distances do not have to carry a backpack. Water and a chocolate bar or, phone, wallet, and handkerchiefs. I repeated and bought the second gift.")</f>
        <v>Great and useful for hiking is fine for hiking short and medium distances do not have to carry a backpack. Water and a chocolate bar or, phone, wallet, and handkerchiefs. I repeated and bought the second gift.</v>
      </c>
    </row>
    <row r="12730">
      <c r="A12730" s="1">
        <v>5.0</v>
      </c>
      <c r="B12730" s="1" t="s">
        <v>12617</v>
      </c>
      <c r="C12730" t="str">
        <f>IFERROR(__xludf.DUMMYFUNCTION("GOOGLETRANSLATE(B12730, ""es"", ""en"")"),"what my son wanted my son was using wired headsets for both Tablet and computer, but the Tablet stopped working, not able to connect, so we looked for a wireless that were well priced and good valuations tuviesen. It seems that it was right because my son"&amp;" is very happy, uses both mobile, tablet and laptop. Easy to use, battery well, hear well ... just what I wanted. The would buy")</f>
        <v>what my son wanted my son was using wired headsets for both Tablet and computer, but the Tablet stopped working, not able to connect, so we looked for a wireless that were well priced and good valuations tuviesen. It seems that it was right because my son is very happy, uses both mobile, tablet and laptop. Easy to use, battery well, hear well ... just what I wanted. The would buy</v>
      </c>
    </row>
    <row r="12731">
      <c r="A12731" s="1">
        <v>5.0</v>
      </c>
      <c r="B12731" s="1" t="s">
        <v>12618</v>
      </c>
      <c r="C12731" t="str">
        <f>IFERROR(__xludf.DUMMYFUNCTION("GOOGLETRANSLATE(B12731, ""es"", ""en"")"),"all right mic stand with more options than any other, brings 2 clamps for 2 micros, well thought out, robustness and good gripping threads")</f>
        <v>all right mic stand with more options than any other, brings 2 clamps for 2 micros, well thought out, robustness and good gripping threads</v>
      </c>
    </row>
    <row r="12732">
      <c r="A12732" s="1">
        <v>5.0</v>
      </c>
      <c r="B12732" s="1" t="s">
        <v>12619</v>
      </c>
      <c r="C12732" t="str">
        <f>IFERROR(__xludf.DUMMYFUNCTION("GOOGLETRANSLATE(B12732, ""es"", ""en"")"),"Well Prqctico")</f>
        <v>Well Prqctico</v>
      </c>
    </row>
    <row r="12733">
      <c r="A12733" s="1">
        <v>5.0</v>
      </c>
      <c r="B12733" s="1" t="s">
        <v>12620</v>
      </c>
      <c r="C12733" t="str">
        <f>IFERROR(__xludf.DUMMYFUNCTION("GOOGLETRANSLATE(B12733, ""es"", ""en"")"),"Perfect. Diadems put up good hair, use for the gym and do not fall and the colors are identical to the photos. Good value for money.")</f>
        <v>Perfect. Diadems put up good hair, use for the gym and do not fall and the colors are identical to the photos. Good value for money.</v>
      </c>
    </row>
    <row r="12734">
      <c r="A12734" s="1">
        <v>5.0</v>
      </c>
      <c r="B12734" s="1" t="s">
        <v>12621</v>
      </c>
      <c r="C12734" t="str">
        <f>IFERROR(__xludf.DUMMYFUNCTION("GOOGLETRANSLATE(B12734, ""es"", ""en"")"),"A brutal sound come with their plastic box, various ear adapters and a very good sound. Bass that's where sin often most expensive brands are really good and convey a sense of premium product. They are lightweight, small and unobtrusive.")</f>
        <v>A brutal sound come with their plastic box, various ear adapters and a very good sound. Bass that's where sin often most expensive brands are really good and convey a sense of premium product. They are lightweight, small and unobtrusive.</v>
      </c>
    </row>
    <row r="12735">
      <c r="A12735" s="1">
        <v>5.0</v>
      </c>
      <c r="B12735" s="1" t="s">
        <v>696</v>
      </c>
      <c r="C12735" t="str">
        <f>IFERROR(__xludf.DUMMYFUNCTION("GOOGLETRANSLATE(B12735, ""es"", ""en"")"),"Very good very good")</f>
        <v>Very good very good</v>
      </c>
    </row>
    <row r="12736">
      <c r="A12736" s="1">
        <v>5.0</v>
      </c>
      <c r="B12736" s="1" t="s">
        <v>12622</v>
      </c>
      <c r="C12736" t="str">
        <f>IFERROR(__xludf.DUMMYFUNCTION("GOOGLETRANSLATE(B12736, ""es"", ""en"")"),"All as it is seen in the images Perfect")</f>
        <v>All as it is seen in the images Perfect</v>
      </c>
    </row>
    <row r="12737">
      <c r="A12737" s="1">
        <v>5.0</v>
      </c>
      <c r="B12737" s="1" t="s">
        <v>12623</v>
      </c>
      <c r="C12737" t="str">
        <f>IFERROR(__xludf.DUMMYFUNCTION("GOOGLETRANSLATE(B12737, ""es"", ""en"")"),"Meets the description of the product The product meets the expectation. The description is accurate. The order arrived at the agreed time")</f>
        <v>Meets the description of the product The product meets the expectation. The description is accurate. The order arrived at the agreed time</v>
      </c>
    </row>
    <row r="12738">
      <c r="A12738" s="1">
        <v>5.0</v>
      </c>
      <c r="B12738" s="1" t="s">
        <v>12624</v>
      </c>
      <c r="C12738" t="str">
        <f>IFERROR(__xludf.DUMMYFUNCTION("GOOGLETRANSLATE(B12738, ""es"", ""en"")"),"Quality - price more than acceptable I do not use transportation to go and listen to music and are really comfortable. The battery holds enough and have the ability to remove the ""ring"" that comes in the handset when you play sports, which I do not like"&amp;". They come with plenty of pillows and a carrying case for storage. for money more than acceptable.")</f>
        <v>Quality - price more than acceptable I do not use transportation to go and listen to music and are really comfortable. The battery holds enough and have the ability to remove the "ring" that comes in the handset when you play sports, which I do not like. They come with plenty of pillows and a carrying case for storage. for money more than acceptable.</v>
      </c>
    </row>
    <row r="12739">
      <c r="A12739" s="1">
        <v>5.0</v>
      </c>
      <c r="B12739" s="1" t="s">
        <v>12625</v>
      </c>
      <c r="C12739" t="str">
        <f>IFERROR(__xludf.DUMMYFUNCTION("GOOGLETRANSLATE(B12739, ""es"", ""en"")"),"Very handy &lt;div id = ""video-block-R2JXRDYUCO475J"" class = ""a-section a-spacing-small a-spacing-top mini video-block""&gt; &lt;div tabindex = ""0"" class = ""airy airy-svg vmin-unsupported airy-skin-beacon ""style ="" background-color: rgb (0, 0, 0) position:"&amp;" relative; width: 100%; height: 100%; font-size: 0px; overflow: hidden; outline : none; ""&gt; &lt;div class ="" airy-renderer-container ""style ="" position: relative; height: 100%; width: 100%; ""&gt; &lt;video id ="" 111 ""preload ="" auto ""src ="" https://images"&amp;"-eu.ssl-images-amazon.com/images/I/A1HuMmZPe9S.mp4 ""style ="" position: absolute; left: 0px; top: 0px; overflow: hidden; height: 1px; width: 1px ; ""&gt; &lt;/ video&gt; &lt;/ div&gt; &lt;div id ="" airy-slate-preload ""style ="" background-color: rgb (0, 0, 0); backgroun"&amp;"d-image: url (&amp; quot; https: // images-eu.ssl-images-amazon.com/images/I/B1dDKT+SeVS.png&amp;quot;); background-size: Contain; background-position: center center; background-repeat: no-repeat; position: absolute; top : 0px; left: 0px; visibility: visible; wid"&amp;"th: 100%; height: 100%; ""&gt; &lt;/ div&gt; &lt;iframe scrolling = ""No"" frameborder = ""0"" src = ""about: blank"" style = ""display: none;""&gt; &lt;/ iframe&gt; &lt;div tabindex = ""- 1"" class = ""airy-controls-container"" style = ""opacity: 0; visibility: hidden; ""&gt; &lt;div"&amp;" tabindex ="" - 1 ""class ="" airy-screen-size-toggle airy-fullscreen ""&gt; &lt;/ div&gt; &lt;div tabindex ="" - 1 ""class ="" airy-container-bottom "" &gt; &lt;div tabindex = ""- 1"" class = ""airy-track-bar-spacer-left"" style = ""width: 11px;""&gt; &lt;/ div&gt; &lt;div tabindex ="&amp;" ""- 1"" class = ""airy-play- airy toggle-play ""style ="" width: 12px; margin-right: 12px; ""&gt; &lt;/ div&gt; &lt;div tabindex ="" - 1 ""class ="" airy-audio-elements ""style ="" float: right; width: 34px; ""&gt; &lt;div tabindex ="" - 1 ""class ="" airy-audio-toggle ai"&amp;"ry-on ""&gt; &lt;/ div&gt; &lt;div tabindex ="" - 1 ""class ="" airy-audio-container ""style = ""opacity: 0; visibility: hidden; ""&gt; &lt;div tabindex ="" - 1 ""class ="" airy-audio-track-bar ""style ="" height: 80%; ""&gt; &lt;div tabindex ="" - 1 ""class ="" airy-audio- Scru"&amp;"bber-bar ""style ="" height: 85%; ""&gt; &lt;/ div&gt; &lt;div tabindex ="" - 1 ""class ="" airy-audio-scrubber ""style ="" height: 12px; bottom: 85% ""&gt; &lt;/ div&gt; &lt;/ div&gt; &lt;/ div&gt; &lt;/ div&gt; &lt;div tabindex ="" - 1 ""class ="" airy-duration-label ""style ="" float: right; w"&amp;"idth: 26px; margin-right: 4px; text-align: center; ""&gt; 0:00 &lt;/ div&gt; &lt;div tabindex ="" - 1 ""class ="" airy-track-bar-spacer-right ""style ="" float: right; width: 11px; ""&gt; &lt;/ div&gt; &lt;div tabindex ="" - 1 ""class ="" airy-track-bar-container ""style ="" mar"&amp;"gin-left: 35px; margin-right: 75px; ""&gt; &lt;div tabindex ="" - 1 ""class ="" airy-airy-track-bar vertically-centering-table ""&gt; &lt;div tabindex ="" - 1 ""class ="" airy-Vertical-centering- table-cell ""&gt; &lt;div tabindex ="" - 1 ""class ="" airy-track-bar-element"&amp;"s ""&gt; &lt;div tabindex ="" - 1 ""class ="" airy-progress-bar ""&gt; &lt;/ div&gt; &lt;div tabindex = ""- 1"" class = ""airy-scrubber-bar""&gt; &lt;/ div&gt; &lt;div tabindex = ""- 1"" class = ""airy-scrubber""&gt; &lt;div tabindex = ""- 1"" class = ""airy-scrubber- icon ""&gt; &lt;/ div&gt; &lt;div "&amp;"tabindex ="" - 1 ""class ="" airy-adjusted-AUI-tooltip ""style ="" opacity: 0; visibility: hidden; ""&gt; &lt;div tabindex ="" - 1 ""class ="" airy-adjusted-aui-tooltip-inner ""&gt; &lt;div tabindex ="" - 1 ""class ="" airy-current-time-label ""&gt; 0: 00 &lt;/ div&gt; &lt;/ div"&amp;"&gt; &lt;div tabindex = ""- 1"" class = ""airy-adjusted-AUI-arrow-border""&gt; &lt;div tabindex = ""- 1"" class = ""airy-adjusted-AUI-arrow"" &gt; &lt;/ div&gt; &lt;/ div&gt; &lt;/ div&gt; &lt;/ div&gt; &lt;/ div&gt; &lt;/ div&gt; &lt;/ div&gt; &lt;/ div&gt; &lt;/ div&gt; &lt;/ div&gt; &lt;div tabindex = ""- 1"" class = ""airy-age-"&amp;"gate airy-stage airy-Vertical-centering-table airy-dialog"" style = ""opacity: 0; visibility: hidden; ""&gt; &lt;div tabindex ="" - 1 ""class ="" airy-age-gate-Vertical-centering-table-cell airy-Vertical-centering-table-cell ""&gt; &lt;div tabindex ="" - 1 ""class = "&amp;"""airy-Vertical-centering-wrapper airy-age-gate-elements-wrapper""&gt; &lt;div tabindex = ""- 1"" class = ""airy-age-gate-elements airy-dialog-elements""&gt; &lt;div tabindex = "" -1 ""class ="" airy-age-gate-prompt ""&gt; This video is not Intended for all audiences Wh"&amp;"at date were you born &lt;/ div&gt; &lt;div tabindex =.?"" - 1 ""class ="" airy-age-gate -inputs airy-dialog-inner-elements ""&gt; &lt;select tabindex ="" - 1 ""class ="" airy-age-gate-month ""&gt; &lt;option value ="" 1 ""&gt; January &lt;/ option&gt; &lt;option value ="" 2 ""&gt; February"&amp;" &lt;/ option&gt; &lt;option value ="" 3 ""&gt; March &lt;/ option&gt; &lt;option value ="" 4 ""&gt; April &lt;/ option&gt; &lt;option value ="" 5 ""&gt; May &lt;/ option&gt; &lt;option value = ""6""&gt; June &lt;/ option&gt; &lt;option value = ""7""&gt; July &lt;/ option&gt; &lt;option value = ""8""&gt; August &lt;/ option&gt; &lt;op"&amp;"tion value = ""9""&gt; September &lt;/ option&gt; &lt;option value = ""10""&gt; October &lt;/ option&gt; &lt;option value = ""11""&gt; November &lt;/ option&gt; &lt;option value = ""12""&gt; December &lt;/ option&gt; &lt;/ select&gt; &lt;select tabindex = ""- 1"" class = ""airy-age-gate-day""&gt; &lt;opti on value"&amp;" = ""1""&gt; 1 &lt;/ option&gt; &lt;option value = ""2""&gt; 2 &lt;/ option&gt; &lt;option value = ""3""&gt; 3 &lt;/ option&gt; &lt;option value = ""4""&gt; 4 &lt;/ option &gt; &lt;option value = ""5""&gt; 5 &lt;/ option&gt; &lt;option value = ""6""&gt; 6 &lt;/ option&gt; &lt;option value = ""7""&gt; 7 &lt;/ option&gt; &lt;option value ="&amp;" ""8""&gt; 8 &lt; / option&gt; &lt;option value = ""9""&gt; 9 &lt;/ option&gt; &lt;option value = ""10""&gt; 10 &lt;/ option&gt; &lt;option value = ""11""&gt; 11 &lt;/ option&gt; &lt;option value = ""12""&gt; 12 &lt;/ option&gt; &lt;option value = ""13""&gt; 13 &lt;/ option&gt; &lt;option value = ""14""&gt; 14 &lt;/ option&gt; &lt;option"&amp;" value = ""15""&gt; 15 &lt;/ option&gt; &lt;option value = ""16 ""&gt; 16 &lt;/ option&gt; &lt;option value ="" 17 ""&gt; 17 &lt;/ option&gt; &lt;option value ="" 18 ""&gt; 18 &lt;/ option&gt; &lt;option value ="" 19 ""&gt; 19 &lt;/ option&gt; &lt;option value = ""20""&gt; 20 &lt;/ option&gt; &lt;option value = ""21""&gt; 21 &lt;/ "&amp;"option&gt; &lt;option value = ""22""&gt; 22 &lt;/ option&gt; &lt;option value = ""23""&gt; 23 &lt;/ option&gt; &lt;option value = ""24""&gt; 24 &lt;/ option&gt; &lt;option value = ""25""&gt; 25 &lt;/ option&gt; &lt;option value = ""26""&gt; 26 &lt;/ option&gt; &lt;option value = ""27""&gt; 27 &lt;/ option&gt; &lt;option value = ""2"&amp;"8""&gt; 28 &lt;/ option&gt; &lt;option value = ""29""&gt; 29 &lt;/ option&gt; &lt;option value = ""30""&gt; 30 &lt;/ option&gt; &lt;option value = ""31""&gt; 31 &lt;/ option&gt; &lt;/ select&gt; &lt;select tabindex = ""- 1"" class = ""airy-age-gate-year""&gt; &lt;option value = ""2019""&gt; 2019 &lt;/ option&gt; &lt; option v"&amp;"alue = ""2018""&gt; 2018 &lt;/ option&gt; &lt;option value = ""2017""&gt; 2017 &lt;/ option&gt; &lt;option value = ""2016""&gt; ​​2016 &lt;/ option&gt; &lt;option value = ""2015""&gt; 2015 &lt;/ option &gt; &lt;option value = ""2014""&gt; 2014 &lt;/ option&gt; &lt;option value = ""2013""&gt; 2013 &lt;/ option&gt; &lt;option v"&amp;"alue = ""2012""&gt; 2012 &lt;/ option&gt; &lt;option value = ""2011""&gt; 2011 &lt; / option&gt; &lt;option value = ""2010""&gt; 2010 &lt;/ option&gt; &lt;option value = ""2009""&gt; 2009 &lt;/ option&gt; &lt;option value = ""2008""&gt; 2008 &lt;/ option&gt; &lt;option value = ""2007""&gt; 2007 &lt;/ option&gt; &lt;option val"&amp;"ue = ""2006""&gt; 2006 &lt;/ option&gt; &lt;option value = ""2005""&gt; 2005 &lt;/ option&gt; &lt;option value = ""2004""&gt; 2004 &lt;/ option&gt; &lt;option value = ""2003 ""&gt; 2003 &lt;/ option&gt; &lt;option value ="" 2002 ""&gt; 2002 &lt;/ option&gt; &lt;option value ="" 2001 ""&gt; 2001 &lt;/ option&gt; &lt;option val"&amp;"ue ="" 2000 ""&gt; 2000 &lt;/ option&gt; &lt;option value = ""1999""&gt; 1999 &lt;/ option&gt; &lt;option value = ""1998""&gt; 1998 &lt;/ option&gt; &lt;option value = ""1997""&gt; 1997 &lt;/ option&gt; &lt;option value = ""1996""&gt; 1996 &lt;/ option&gt; &lt;option value = ""1995""&gt; 1995 &lt;/ option&gt; &lt;option value"&amp;" = ""1994""&gt;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"&amp;"= ""1982""&gt; 1982 &lt;/ option&gt; &lt; option value = ""1981""&gt; 1981 &lt;/ option&gt; &lt;option value = ""1980""&gt; 1980 &lt;/ option&gt; &lt;option value = ""1979""&gt; 1979 &lt;/ option&gt; &lt;option value = ""1978""&gt; 1978 &lt;/ option &gt; &lt;option value = ""1977""&gt; 1977 &lt;/ option&gt; &lt;option value ="&amp;" ""1976""&gt;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 "&amp;"""1958""&gt; 1958 &lt;/ option&gt; &lt;option value = ""1957""&gt; 1957 &lt;/ option&gt; &lt;option value = ""1956""&gt; 1956 &lt;/ option&gt; &lt;option value = ""1955""&gt; 1955 &lt;/ option&gt; &lt;option value = ""1954""&gt; 1954 &lt;/ option&gt; &lt;option value = ""1953""&gt; 1953 &lt;/ option&gt; &lt;option value = ""1"&amp;"952"" &gt; 1952 &lt;/ option&gt; &lt;option value = ""1951""&gt; 1951 &lt;/ option&gt; &lt;option value = ""1950""&gt; 1950 &lt;/ option&gt; &lt;option value = ""1949""&gt; 1949 &lt;/ option&gt; &lt;option value = "" 1948 ""&gt; 1948 &lt;/ option&gt; &lt;option value ="" 1947 ""&gt; 1947 &lt;/ option&gt; &lt;option value ="" "&amp;"1946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""19"&amp;"34""&gt; 1934 &lt;/ option&gt; &lt;option value = ""1933""&gt; 1933 &lt; / option&gt; &lt;option value = ""1932""&gt; 1932 &lt;/ option&gt; &lt;option value = ""1931""&gt; 1931 &lt;/ option&gt; &lt;option v alue = ""1930""&gt; 1930 &lt;/ option&gt; &lt;option value = ""1929""&gt; 1929 &lt;/ option&gt; &lt;option value = ""192"&amp;"8""&gt;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 1"&amp;"916 &lt;/ option&gt; &lt;option value = ""1915"" &gt; 1915 &lt;/ option&gt; &lt;option value = ""1914""&gt; 1914 &lt;/ option&gt; &lt;option value = ""1913""&gt; 1913 &lt;/ option&gt; &lt;option value = ""1912""&gt; 1912 &lt;/ option&gt; &lt;option value = "" 1911 ""&gt; 1911 &lt;/ option&gt; &lt;option value ="" 1910 ""&gt; "&amp;"1910 &lt;/ option&gt; &lt;option value ="" 1909 ""&gt; 1909 &lt;/ option&gt; &lt;option value ="" 1908 ""&gt; 1908 &lt;/ option&gt; &lt;value option = ""1907""&gt; 1907 &lt;/ option&gt; &lt;option value = ""1906""&gt; 1906 &lt;/ option&gt; &lt;option value = ""1905""&gt; 1905 &lt;/ option&gt; &lt;option value = ""1904""&gt; 1"&amp;"904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tabindex =."" - 1 ""class ="" airy-install-flash-"&amp;"button-wrapper airy -dialog-inner-elements ""&gt; &lt;div tabindex ="" - 1 ""class ="" airy-install-flash-button airy-button ""&gt; install Flash Player &lt;/ div&gt; &lt;/ div&gt; &lt;/ div&gt; &lt;/ div&gt; &lt;/ div&gt; &lt;/ div&gt; &lt;div tabindex = ""- 1"" class = ""airy-video-unsupported-dialog"&amp;" 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A1HuMmZPe9S.mp4 ""Class ="" video-url ""&gt; &lt;input type ="" hidden ""name ="" ""value ="" https://images-eu.ssl-images-amazon.com/images/I/B1dDKT+SeVS.png ""class = ""video-slate-img-url""&gt; &amp; nbsp; I've been traveling a week in Malaga, "&amp;"and I've been to scroll through pictures / videos ... came into my pearl, is fast, and the app works perfectly serves both a wild card gift, ie that you can give to whoever you want to safely, he is great, I'm very happy.")</f>
        <v>Very handy &lt;div id = "video-block-R2JXRDYUCO475J"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111 "preload =" auto "src =" https://images-eu.ssl-images-amazon.com/images/I/A1HuMmZPe9S.mp4 "style =" position: absolute; left: 0px; top: 0px; overflow: hidden; height: 1px; width: 1px ; "&gt; &lt;/ video&gt; &lt;/ div&gt; &lt;div id =" airy-slate-preload "style =" background-color: rgb (0, 0, 0); background-image: url (&amp; quot; https: // images-eu.ssl-images-amazon.com/images/I/B1dDKT+SeVS.png&amp;quot;); background-size: Contain; background-position: center center; background-repeat: no-repeat; position: absolute; top : 0px; left: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A1HuMmZPe9S.mp4 "Class =" video-url "&gt; &lt;input type =" hidden "name =" "value =" https://images-eu.ssl-images-amazon.com/images/I/B1dDKT+SeVS.png "class = "video-slate-img-url"&gt; &amp; nbsp; I've been traveling a week in Malaga, and I've been to scroll through pictures / videos ... came into my pearl, is fast, and the app works perfectly serves both a wild card gift, ie that you can give to whoever you want to safely, he is great, I'm very happy.</v>
      </c>
    </row>
    <row r="12740">
      <c r="A12740" s="1">
        <v>5.0</v>
      </c>
      <c r="B12740" s="1" t="s">
        <v>12626</v>
      </c>
      <c r="C12740" t="str">
        <f>IFERROR(__xludf.DUMMYFUNCTION("GOOGLETRANSLATE(B12740, ""es"", ""en"")"),"It is an elegant leather pouch. The color is very beautiful is less red than the pictures, more earth- color. You can take going elegant or made some foxes, because a fantastic effort. Those who say that the belt is short ... I measure 1.90 meters. and re"&amp;"mains pa'más belt. Please somebody explain to them how the mechanism works an adjustable strap! It arrived within the time of shipment, and everyone is happy. Original and quality.")</f>
        <v>It is an elegant leather pouch. The color is very beautiful is less red than the pictures, more earth- color. You can take going elegant or made some foxes, because a fantastic effort. Those who say that the belt is short ... I measure 1.90 meters. and remains pa'más belt. Please somebody explain to them how the mechanism works an adjustable strap! It arrived within the time of shipment, and everyone is happy. Original and quality.</v>
      </c>
    </row>
    <row r="12741">
      <c r="A12741" s="1">
        <v>5.0</v>
      </c>
      <c r="B12741" s="1" t="s">
        <v>12627</v>
      </c>
      <c r="C12741" t="str">
        <f>IFERROR(__xludf.DUMMYFUNCTION("GOOGLETRANSLATE(B12741, ""es"", ""en"")"),"It meets handy little what it says, very quiet. The only downside I would put it is that where you put it all wet underneath. I imagine something a little inevitable. Otherwise everything perfect. I would definitely buy. Highly recommended.")</f>
        <v>It meets handy little what it says, very quiet. The only downside I would put it is that where you put it all wet underneath. I imagine something a little inevitable. Otherwise everything perfect. I would definitely buy. Highly recommended.</v>
      </c>
    </row>
    <row r="12742">
      <c r="A12742" s="1">
        <v>5.0</v>
      </c>
      <c r="B12742" s="1" t="s">
        <v>12628</v>
      </c>
      <c r="C12742" t="str">
        <f>IFERROR(__xludf.DUMMYFUNCTION("GOOGLETRANSLATE(B12742, ""es"", ""en"")"),"Very comfortable leads pockets and pockets")</f>
        <v>Very comfortable leads pockets and pockets</v>
      </c>
    </row>
    <row r="12743">
      <c r="A12743" s="1">
        <v>5.0</v>
      </c>
      <c r="B12743" s="1" t="s">
        <v>12629</v>
      </c>
      <c r="C12743" t="str">
        <f>IFERROR(__xludf.DUMMYFUNCTION("GOOGLETRANSLATE(B12743, ""es"", ""en"")"),"Large but comfortable and lightweight Big clock but comfortable and very light. The photo does not do it justice: the doll has a magnificent appearance. By putting a snag, the wheel seems to me that stands out too much and is very large, so if you do not "&amp;"end up not bothering the long run. We will see")</f>
        <v>Large but comfortable and lightweight Big clock but comfortable and very light. The photo does not do it justice: the doll has a magnificent appearance. By putting a snag, the wheel seems to me that stands out too much and is very large, so if you do not end up not bothering the long run. We will see</v>
      </c>
    </row>
    <row r="12744">
      <c r="A12744" s="1">
        <v>5.0</v>
      </c>
      <c r="B12744" s="1" t="s">
        <v>12630</v>
      </c>
      <c r="C12744" t="str">
        <f>IFERROR(__xludf.DUMMYFUNCTION("GOOGLETRANSLATE(B12744, ""es"", ""en"")"),"Excellent I feared because it was my size and because they were not original ... since I had read comments from other vendors that did not seem to be original. I'm thrilled. I just receive and carve well. My number 38 and I are perfect. In addition they c"&amp;"oming in its box and everything. I love!!!")</f>
        <v>Excellent I feared because it was my size and because they were not original ... since I had read comments from other vendors that did not seem to be original. I'm thrilled. I just receive and carve well. My number 38 and I are perfect. In addition they coming in its box and everything. I love!!!</v>
      </c>
    </row>
    <row r="12745">
      <c r="A12745" s="1">
        <v>2.0</v>
      </c>
      <c r="B12745" s="1" t="s">
        <v>12631</v>
      </c>
      <c r="C12745" t="str">
        <f>IFERROR(__xludf.DUMMYFUNCTION("GOOGLETRANSLATE(B12745, ""es"", ""en"")"),"Very soft sole five starts and I'm no studs on the sole. Slippers disappointing in this price.")</f>
        <v>Very soft sole five starts and I'm no studs on the sole. Slippers disappointing in this price.</v>
      </c>
    </row>
    <row r="12746">
      <c r="A12746" s="1">
        <v>3.0</v>
      </c>
      <c r="B12746" s="1" t="s">
        <v>12632</v>
      </c>
      <c r="C12746" t="str">
        <f>IFERROR(__xludf.DUMMYFUNCTION("GOOGLETRANSLATE(B12746, ""es"", ""en"")"),"Normal practice is very safe has a very good 0ara keep out. I feel I do not have much power but for its price is well")</f>
        <v>Normal practice is very safe has a very good 0ara keep out. I feel I do not have much power but for its price is well</v>
      </c>
    </row>
    <row r="12747">
      <c r="A12747" s="1">
        <v>3.0</v>
      </c>
      <c r="B12747" s="1" t="s">
        <v>12633</v>
      </c>
      <c r="C12747" t="str">
        <f>IFERROR(__xludf.DUMMYFUNCTION("GOOGLETRANSLATE(B12747, ""es"", ""en"")"),"cutting Product use it mainly for handicrafts, the only downside that I put to you is that cutting from left to right the cut is not clean, instead of right to phenomenal left, not if the blade to use me to I is sufficient.")</f>
        <v>cutting Product use it mainly for handicrafts, the only downside that I put to you is that cutting from left to right the cut is not clean, instead of right to phenomenal left, not if the blade to use me to I is sufficient.</v>
      </c>
    </row>
    <row r="12748">
      <c r="A12748" s="1">
        <v>1.0</v>
      </c>
      <c r="B12748" s="1" t="s">
        <v>12634</v>
      </c>
      <c r="C12748" t="str">
        <f>IFERROR(__xludf.DUMMYFUNCTION("GOOGLETRANSLATE(B12748, ""es"", ""en"")"),"He died in less than a year they have clearly gone wrong, considering the amount of people who have had problems with them. In my case I had a Moto G2 and overnight I no longer recognized her phone. I left a drawer thinking I could get it back later, when"&amp;" I could spend some time. Well, that time has come and I can confirm that it is completely broken / useless: neither Linux nor Windows recognize (and I've tried everything ...). Samsung really bad, I will not buy this brand SD.")</f>
        <v>He died in less than a year they have clearly gone wrong, considering the amount of people who have had problems with them. In my case I had a Moto G2 and overnight I no longer recognized her phone. I left a drawer thinking I could get it back later, when I could spend some time. Well, that time has come and I can confirm that it is completely broken / useless: neither Linux nor Windows recognize (and I've tried everything ...). Samsung really bad, I will not buy this brand SD.</v>
      </c>
    </row>
    <row r="12749">
      <c r="A12749" s="1">
        <v>1.0</v>
      </c>
      <c r="B12749" s="1" t="s">
        <v>12635</v>
      </c>
      <c r="C12749" t="str">
        <f>IFERROR(__xludf.DUMMYFUNCTION("GOOGLETRANSLATE(B12749, ""es"", ""en"")"),"To avoid repeating buy the prestige of the brand to record music for the car and I must say they are very bad. I later read that the azo this brand are better but do not know if it's true. I do not know if it is a consequence of offshoring but not like be"&amp;"fore. I had to go throwing for either give problems with reading players or when recording give me no problems about other brands.")</f>
        <v>To avoid repeating buy the prestige of the brand to record music for the car and I must say they are very bad. I later read that the azo this brand are better but do not know if it's true. I do not know if it is a consequence of offshoring but not like before. I had to go throwing for either give problems with reading players or when recording give me no problems about other brands.</v>
      </c>
    </row>
    <row r="12750">
      <c r="A12750" s="1">
        <v>1.0</v>
      </c>
      <c r="B12750" s="1" t="s">
        <v>12636</v>
      </c>
      <c r="C12750" t="str">
        <f>IFERROR(__xludf.DUMMYFUNCTION("GOOGLETRANSLATE(B12750, ""es"", ""en"")"),"Anna did not make me anything and I gave it back. But relax relaxed relieve me anything ... so I gave it back. I do not recommend the truth.")</f>
        <v>Anna did not make me anything and I gave it back. But relax relaxed relieve me anything ... so I gave it back. I do not recommend the truth.</v>
      </c>
    </row>
    <row r="12751">
      <c r="A12751" s="1">
        <v>4.0</v>
      </c>
      <c r="B12751" s="1" t="s">
        <v>12637</v>
      </c>
      <c r="C12751" t="str">
        <f>IFERROR(__xludf.DUMMYFUNCTION("GOOGLETRANSLATE(B12751, ""es"", ""en"")"),"Perfect for small spaces, so little that occupies the fold. It's very good. Meets the requirements expected. It is flexible and takes up little space as it folds completely. A little unstable if too crowded.")</f>
        <v>Perfect for small spaces, so little that occupies the fold. It's very good. Meets the requirements expected. It is flexible and takes up little space as it folds completely. A little unstable if too crowded.</v>
      </c>
    </row>
    <row r="12752">
      <c r="A12752" s="1">
        <v>4.0</v>
      </c>
      <c r="B12752" s="1" t="s">
        <v>12638</v>
      </c>
      <c r="C12752" t="str">
        <f>IFERROR(__xludf.DUMMYFUNCTION("GOOGLETRANSLATE(B12752, ""es"", ""en"")"),"Very good glasses glasses near good things require a lot of precision lenses come in a plastic case to protect them, be it very well. I recommend for precision and delicate, light shines brings very good and comfortable.")</f>
        <v>Very good glasses glasses near good things require a lot of precision lenses come in a plastic case to protect them, be it very well. I recommend for precision and delicate, light shines brings very good and comfortable.</v>
      </c>
    </row>
    <row r="12753">
      <c r="A12753" s="1">
        <v>4.0</v>
      </c>
      <c r="B12753" s="1" t="s">
        <v>12639</v>
      </c>
      <c r="C12753" t="str">
        <f>IFERROR(__xludf.DUMMYFUNCTION("GOOGLETRANSLATE(B12753, ""es"", ""en"")"),"Practical and nice Very useful clip having at the top and serves to engage a garment. It is beautiful and convenient")</f>
        <v>Practical and nice Very useful clip having at the top and serves to engage a garment. It is beautiful and convenient</v>
      </c>
    </row>
    <row r="12754">
      <c r="A12754" s="1">
        <v>4.0</v>
      </c>
      <c r="B12754" s="1" t="s">
        <v>12640</v>
      </c>
      <c r="C12754" t="str">
        <f>IFERROR(__xludf.DUMMYFUNCTION("GOOGLETRANSLATE(B12754, ""es"", ""en"")"),"Good sound Surprising I was surprised and sound great to teach Zumba is fine and I tried for singers or also worked very well and has good coverage and the battery lasts a long time")</f>
        <v>Good sound Surprising I was surprised and sound great to teach Zumba is fine and I tried for singers or also worked very well and has good coverage and the battery lasts a long time</v>
      </c>
    </row>
    <row r="12755">
      <c r="A12755" s="1">
        <v>5.0</v>
      </c>
      <c r="B12755" s="1" t="s">
        <v>12641</v>
      </c>
      <c r="C12755" t="str">
        <f>IFERROR(__xludf.DUMMYFUNCTION("GOOGLETRANSLATE(B12755, ""es"", ""en"")"),"Perfect for the gym clock perfect for calculating rest periods in the gym. Give time and you obviously alarms, timer and clock backwards, among other options. Fully recommended.")</f>
        <v>Perfect for the gym clock perfect for calculating rest periods in the gym. Give time and you obviously alarms, timer and clock backwards, among other options. Fully recommended.</v>
      </c>
    </row>
    <row r="12756">
      <c r="A12756" s="1">
        <v>5.0</v>
      </c>
      <c r="B12756" s="1" t="s">
        <v>12642</v>
      </c>
      <c r="C12756" t="str">
        <f>IFERROR(__xludf.DUMMYFUNCTION("GOOGLETRANSLATE(B12756, ""es"", ""en"")"),"Good price for a good article already had them in white. It's the same I had but change color. They fit perfectly. Details golden photo do not adjust the whole reality but not a problem.")</f>
        <v>Good price for a good article already had them in white. It's the same I had but change color. They fit perfectly. Details golden photo do not adjust the whole reality but not a problem.</v>
      </c>
    </row>
    <row r="12757">
      <c r="A12757" s="1">
        <v>5.0</v>
      </c>
      <c r="B12757" s="1" t="s">
        <v>12643</v>
      </c>
      <c r="C12757" t="str">
        <f>IFERROR(__xludf.DUMMYFUNCTION("GOOGLETRANSLATE(B12757, ""es"", ""en"")"),"enchfar and now ... It just works. Enchfar and ready. Tested on Ubuntu 18.04")</f>
        <v>enchfar and now ... It just works. Enchfar and ready. Tested on Ubuntu 18.04</v>
      </c>
    </row>
    <row r="12758">
      <c r="A12758" s="1">
        <v>5.0</v>
      </c>
      <c r="B12758" s="1" t="s">
        <v>12644</v>
      </c>
      <c r="C12758" t="str">
        <f>IFERROR(__xludf.DUMMYFUNCTION("GOOGLETRANSLATE(B12758, ""es"", ""en"")"),"Ideal for winter is very warm and comfortable. I took a small size because I like tighter .. It came sooner than expected")</f>
        <v>Ideal for winter is very warm and comfortable. I took a small size because I like tighter .. It came sooner than expected</v>
      </c>
    </row>
    <row r="12759">
      <c r="A12759" s="1">
        <v>5.0</v>
      </c>
      <c r="B12759" s="1" t="s">
        <v>12645</v>
      </c>
      <c r="C12759" t="str">
        <f>IFERROR(__xludf.DUMMYFUNCTION("GOOGLETRANSLATE(B12759, ""es"", ""en"")"),"Perfect for small photo LITTER We have acquired two units of this card and I must say that the result has been very satisfactory. It is true that we have not demanded lot of benefits, since the target is a two cameras that use two kids, but perfectly fulf"&amp;"ills the expected result without any problem. L proe price it costs worth throwing sorry for this card before by others.")</f>
        <v>Perfect for small photo LITTER We have acquired two units of this card and I must say that the result has been very satisfactory. It is true that we have not demanded lot of benefits, since the target is a two cameras that use two kids, but perfectly fulfills the expected result without any problem. L proe price it costs worth throwing sorry for this card before by others.</v>
      </c>
    </row>
    <row r="12760">
      <c r="A12760" s="1">
        <v>5.0</v>
      </c>
      <c r="B12760" s="1" t="s">
        <v>12646</v>
      </c>
      <c r="C12760" t="str">
        <f>IFERROR(__xludf.DUMMYFUNCTION("GOOGLETRANSLATE(B12760, ""es"", ""en"")"),"Product adidas, little more to say. All ok. They are perfect, what he wanted. I previously tried to determine the size and tend to be somewhat smaller because they use a split system the size. As average number or so smaller than you wear soles.")</f>
        <v>Product adidas, little more to say. All ok. They are perfect, what he wanted. I previously tried to determine the size and tend to be somewhat smaller because they use a split system the size. As average number or so smaller than you wear soles.</v>
      </c>
    </row>
    <row r="12761">
      <c r="A12761" s="1">
        <v>5.0</v>
      </c>
      <c r="B12761" s="1" t="s">
        <v>12647</v>
      </c>
      <c r="C12761" t="str">
        <f>IFERROR(__xludf.DUMMYFUNCTION("GOOGLETRANSLATE(B12761, ""es"", ""en"")"),"Comfort footwear resistant Very good")</f>
        <v>Comfort footwear resistant Very good</v>
      </c>
    </row>
    <row r="12762">
      <c r="A12762" s="1">
        <v>5.0</v>
      </c>
      <c r="B12762" s="1" t="s">
        <v>12648</v>
      </c>
      <c r="C12762" t="str">
        <f>IFERROR(__xludf.DUMMYFUNCTION("GOOGLETRANSLATE(B12762, ""es"", ""en"")"),"Pretty comfortable. He arrived earlier than expected. Great.")</f>
        <v>Pretty comfortable. He arrived earlier than expected. Great.</v>
      </c>
    </row>
    <row r="12763">
      <c r="A12763" s="1">
        <v>5.0</v>
      </c>
      <c r="B12763" s="1" t="s">
        <v>12649</v>
      </c>
      <c r="C12763" t="str">
        <f>IFERROR(__xludf.DUMMYFUNCTION("GOOGLETRANSLATE(B12763, ""es"", ""en"")"),"Cool comfortable and beautiful. Comfortable and beautiful.")</f>
        <v>Cool comfortable and beautiful. Comfortable and beautiful.</v>
      </c>
    </row>
    <row r="12764">
      <c r="A12764" s="1">
        <v>5.0</v>
      </c>
      <c r="B12764" s="1" t="s">
        <v>12650</v>
      </c>
      <c r="C12764" t="str">
        <f>IFERROR(__xludf.DUMMYFUNCTION("GOOGLETRANSLATE(B12764, ""es"", ""en"")"),"Come well explained on the web Me encanto value")</f>
        <v>Come well explained on the web Me encanto value</v>
      </c>
    </row>
    <row r="12765">
      <c r="A12765" s="1">
        <v>5.0</v>
      </c>
      <c r="B12765" s="1" t="s">
        <v>12651</v>
      </c>
      <c r="C12765" t="str">
        <f>IFERROR(__xludf.DUMMYFUNCTION("GOOGLETRANSLATE(B12765, ""es"", ""en"")"),"elegant pendant is small but very elegant")</f>
        <v>elegant pendant is small but very elegant</v>
      </c>
    </row>
    <row r="12766">
      <c r="A12766" s="1">
        <v>5.0</v>
      </c>
      <c r="B12766" s="1" t="s">
        <v>12652</v>
      </c>
      <c r="C12766" t="str">
        <f>IFERROR(__xludf.DUMMYFUNCTION("GOOGLETRANSLATE(B12766, ""es"", ""en"")"),"The great blender is great, I use it for cakes and cupcakes and it works great! It is a very good buy. The only downside is that I have a small kitchen and keep it is a bummer")</f>
        <v>The great blender is great, I use it for cakes and cupcakes and it works great! It is a very good buy. The only downside is that I have a small kitchen and keep it is a bummer</v>
      </c>
    </row>
    <row r="12767">
      <c r="A12767" s="1">
        <v>5.0</v>
      </c>
      <c r="B12767" s="1" t="s">
        <v>12653</v>
      </c>
      <c r="C12767" t="str">
        <f>IFERROR(__xludf.DUMMYFUNCTION("GOOGLETRANSLATE(B12767, ""es"", ""en"")"),"Good bottle The bottle is very beautiful, has a very ergonomic shape, ideal for parents, since the area to catch it narrows leaving the shape of the fingers. The size is fine, bring 260 ml, although personally I would buy the 340, so it would last longer."&amp;" The teat is silicone, soft, with the nozzle cap redondeada- form Bring cover it after use, and has a front shape drawings. The qualities are very good, and the price is great for the quality offered.")</f>
        <v>Good bottle The bottle is very beautiful, has a very ergonomic shape, ideal for parents, since the area to catch it narrows leaving the shape of the fingers. The size is fine, bring 260 ml, although personally I would buy the 340, so it would last longer. The teat is silicone, soft, with the nozzle cap redondeada- form Bring cover it after use, and has a front shape drawings. The qualities are very good, and the price is great for the quality offered.</v>
      </c>
    </row>
    <row r="12768">
      <c r="A12768" s="1">
        <v>5.0</v>
      </c>
      <c r="B12768" s="1" t="s">
        <v>238</v>
      </c>
      <c r="C12768" t="str">
        <f>IFERROR(__xludf.DUMMYFUNCTION("GOOGLETRANSLATE(B12768, ""es"", ""en"")"),"perfect perfect")</f>
        <v>perfect perfect</v>
      </c>
    </row>
    <row r="12769">
      <c r="A12769" s="1">
        <v>5.0</v>
      </c>
      <c r="B12769" s="1" t="s">
        <v>12654</v>
      </c>
      <c r="C12769" t="str">
        <f>IFERROR(__xludf.DUMMYFUNCTION("GOOGLETRANSLATE(B12769, ""es"", ""en"")"),"Perfect Love, only it is a bit pricey")</f>
        <v>Perfect Love, only it is a bit pricey</v>
      </c>
    </row>
    <row r="12770">
      <c r="A12770" s="1">
        <v>5.0</v>
      </c>
      <c r="B12770" s="1" t="s">
        <v>12655</v>
      </c>
      <c r="C12770" t="str">
        <f>IFERROR(__xludf.DUMMYFUNCTION("GOOGLETRANSLATE(B12770, ""es"", ""en"")"),"All well and fast is what I needed done its perfect work")</f>
        <v>All well and fast is what I needed done its perfect work</v>
      </c>
    </row>
    <row r="12771">
      <c r="A12771" s="1">
        <v>5.0</v>
      </c>
      <c r="B12771" s="1" t="s">
        <v>12656</v>
      </c>
      <c r="C12771" t="str">
        <f>IFERROR(__xludf.DUMMYFUNCTION("GOOGLETRANSLATE(B12771, ""es"", ""en"")"),"Good price and perfect model not found easily in stores")</f>
        <v>Good price and perfect model not found easily in stores</v>
      </c>
    </row>
    <row r="12772">
      <c r="A12772" s="1">
        <v>5.0</v>
      </c>
      <c r="B12772" s="1" t="s">
        <v>12657</v>
      </c>
      <c r="C12772" t="str">
        <f>IFERROR(__xludf.DUMMYFUNCTION("GOOGLETRANSLATE(B12772, ""es"", ""en"")"),"What I expected good buy")</f>
        <v>What I expected good buy</v>
      </c>
    </row>
    <row r="12773">
      <c r="A12773" s="1">
        <v>5.0</v>
      </c>
      <c r="B12773" s="1" t="s">
        <v>12658</v>
      </c>
      <c r="C12773" t="str">
        <f>IFERROR(__xludf.DUMMYFUNCTION("GOOGLETRANSLATE(B12773, ""es"", ""en"")"),"I surprised very happy with this purchase, bought several rings and these certainly are the ones I like, seem tailor-made, I've been wearing them almost two weeks and not a stain on his finger.")</f>
        <v>I surprised very happy with this purchase, bought several rings and these certainly are the ones I like, seem tailor-made, I've been wearing them almost two weeks and not a stain on his finger.</v>
      </c>
    </row>
    <row r="12774">
      <c r="A12774" s="1">
        <v>2.0</v>
      </c>
      <c r="B12774" s="1" t="s">
        <v>12659</v>
      </c>
      <c r="C12774" t="str">
        <f>IFERROR(__xludf.DUMMYFUNCTION("GOOGLETRANSLATE(B12774, ""es"", ""en"")"),"It is not what I expected much lint stuck I do not think l t o d o c r e o color is black but I do not like deslavado")</f>
        <v>It is not what I expected much lint stuck I do not think l t o d o c r e o color is black but I do not like deslavado</v>
      </c>
    </row>
    <row r="12775">
      <c r="A12775" s="1">
        <v>3.0</v>
      </c>
      <c r="B12775" s="1" t="s">
        <v>12660</v>
      </c>
      <c r="C12775" t="str">
        <f>IFERROR(__xludf.DUMMYFUNCTION("GOOGLETRANSLATE(B12775, ""es"", ""en"")"),"Protect fulfills its function cards not only physically but also unwanted readings though, costs and much, put the card into the slot protector of the portfolio. It's not comfortable to use if you need to remove the card frequently.")</f>
        <v>Protect fulfills its function cards not only physically but also unwanted readings though, costs and much, put the card into the slot protector of the portfolio. It's not comfortable to use if you need to remove the card frequently.</v>
      </c>
    </row>
    <row r="12776">
      <c r="A12776" s="1">
        <v>3.0</v>
      </c>
      <c r="B12776" s="1" t="s">
        <v>12661</v>
      </c>
      <c r="C12776" t="str">
        <f>IFERROR(__xludf.DUMMYFUNCTION("GOOGLETRANSLATE(B12776, ""es"", ""en"")"),"Not bad cut very well, the only downside is that it carries a guide to know where you're going to cut exactly, if you go by cm or inch perfect but the first step is an inch, not wearing brand to cut 1 to 2 cm")</f>
        <v>Not bad cut very well, the only downside is that it carries a guide to know where you're going to cut exactly, if you go by cm or inch perfect but the first step is an inch, not wearing brand to cut 1 to 2 cm</v>
      </c>
    </row>
    <row r="12777">
      <c r="A12777" s="1">
        <v>1.0</v>
      </c>
      <c r="B12777" s="1" t="s">
        <v>12662</v>
      </c>
      <c r="C12777" t="str">
        <f>IFERROR(__xludf.DUMMYFUNCTION("GOOGLETRANSLATE(B12777, ""es"", ""en"")"),"He arrived incomplete I got 7 instead of 8 I missed the big black ring")</f>
        <v>He arrived incomplete I got 7 instead of 8 I missed the big black ring</v>
      </c>
    </row>
    <row r="12778">
      <c r="A12778" s="1">
        <v>4.0</v>
      </c>
      <c r="B12778" s="1" t="s">
        <v>12663</v>
      </c>
      <c r="C12778" t="str">
        <f>IFERROR(__xludf.DUMMYFUNCTION("GOOGLETRANSLATE(B12778, ""es"", ""en"")"),"Book The book meets the espectativasl, it is perfect for children, very manageable. I keep buying the rest of the collection. Recommendable.")</f>
        <v>Book The book meets the espectativasl, it is perfect for children, very manageable. I keep buying the rest of the collection. Recommendable.</v>
      </c>
    </row>
    <row r="12779">
      <c r="A12779" s="1">
        <v>4.0</v>
      </c>
      <c r="B12779" s="1" t="s">
        <v>12664</v>
      </c>
      <c r="C12779" t="str">
        <f>IFERROR(__xludf.DUMMYFUNCTION("GOOGLETRANSLATE(B12779, ""es"", ""en"")"),"Ok To put cords have to descoser a side seam joining the tab to the row of brackets through a rubber. Is not difficult")</f>
        <v>Ok To put cords have to descoser a side seam joining the tab to the row of brackets through a rubber. Is not difficult</v>
      </c>
    </row>
    <row r="12780">
      <c r="A12780" s="1">
        <v>4.0</v>
      </c>
      <c r="B12780" s="1" t="s">
        <v>12665</v>
      </c>
      <c r="C12780" t="str">
        <f>IFERROR(__xludf.DUMMYFUNCTION("GOOGLETRANSLATE(B12780, ""es"", ""en"")"),"Pretty nice comfortable sweatshirt sweatshirt. It is finite, ideal for spring. Colors as the picture. Ordered a size L, I usually use the M, but in this case I L is perfect.")</f>
        <v>Pretty nice comfortable sweatshirt sweatshirt. It is finite, ideal for spring. Colors as the picture. Ordered a size L, I usually use the M, but in this case I L is perfect.</v>
      </c>
    </row>
    <row r="12781">
      <c r="A12781" s="1">
        <v>4.0</v>
      </c>
      <c r="B12781" s="1" t="s">
        <v>12666</v>
      </c>
      <c r="C12781" t="str">
        <f>IFERROR(__xludf.DUMMYFUNCTION("GOOGLETRANSLATE(B12781, ""es"", ""en"")"),"Good product The shoes are as shown in the picture, good quality, we will see how they behave with the passage of time. small sizes are recommended to order a size up.")</f>
        <v>Good product The shoes are as shown in the picture, good quality, we will see how they behave with the passage of time. small sizes are recommended to order a size up.</v>
      </c>
    </row>
    <row r="12782">
      <c r="A12782" s="1">
        <v>4.0</v>
      </c>
      <c r="B12782" s="1" t="s">
        <v>12667</v>
      </c>
      <c r="C12782" t="str">
        <f>IFERROR(__xludf.DUMMYFUNCTION("GOOGLETRANSLATE(B12782, ""es"", ""en"")"),"Happy with purchase good quality fabric and harbors enough. I ordered a M and is a little loose, if you are thinking carving ask.")</f>
        <v>Happy with purchase good quality fabric and harbors enough. I ordered a M and is a little loose, if you are thinking carving ask.</v>
      </c>
    </row>
    <row r="12783">
      <c r="A12783" s="1">
        <v>5.0</v>
      </c>
      <c r="B12783" s="1" t="s">
        <v>12668</v>
      </c>
      <c r="C12783" t="str">
        <f>IFERROR(__xludf.DUMMYFUNCTION("GOOGLETRANSLATE(B12783, ""es"", ""en"")"),"Well right")</f>
        <v>Well right</v>
      </c>
    </row>
    <row r="12784">
      <c r="A12784" s="1">
        <v>5.0</v>
      </c>
      <c r="B12784" s="1" t="s">
        <v>12669</v>
      </c>
      <c r="C12784" t="str">
        <f>IFERROR(__xludf.DUMMYFUNCTION("GOOGLETRANSLATE(B12784, ""es"", ""en"")"),"Excellent quality, or feel. I've used it for almost a week now and I've adapted from the first day, jogging down with them and I have encandato. The price for one pass, do not have competence in relation to its price. At the end they fulfill their purpose"&amp;", the sound is good and very easy to connect to the mobile. We should not pay more for the final mark if everything is almost the same, the battery quite durable.")</f>
        <v>Excellent quality, or feel. I've used it for almost a week now and I've adapted from the first day, jogging down with them and I have encandato. The price for one pass, do not have competence in relation to its price. At the end they fulfill their purpose, the sound is good and very easy to connect to the mobile. We should not pay more for the final mark if everything is almost the same, the battery quite durable.</v>
      </c>
    </row>
    <row r="12785">
      <c r="A12785" s="1">
        <v>5.0</v>
      </c>
      <c r="B12785" s="1" t="s">
        <v>12670</v>
      </c>
      <c r="C12785" t="str">
        <f>IFERROR(__xludf.DUMMYFUNCTION("GOOGLETRANSLATE(B12785, ""es"", ""en"")"),"Very good standard Carve. As described.")</f>
        <v>Very good standard Carve. As described.</v>
      </c>
    </row>
    <row r="12786">
      <c r="A12786" s="1">
        <v>5.0</v>
      </c>
      <c r="B12786" s="1" t="s">
        <v>12671</v>
      </c>
      <c r="C12786" t="str">
        <f>IFERROR(__xludf.DUMMYFUNCTION("GOOGLETRANSLATE(B12786, ""es"", ""en"")"),"They are beautiful and elegant as shown and described. Perfect.")</f>
        <v>They are beautiful and elegant as shown and described. Perfect.</v>
      </c>
    </row>
    <row r="12787">
      <c r="A12787" s="1">
        <v>5.0</v>
      </c>
      <c r="B12787" s="1" t="s">
        <v>12672</v>
      </c>
      <c r="C12787" t="str">
        <f>IFERROR(__xludf.DUMMYFUNCTION("GOOGLETRANSLATE(B12787, ""es"", ""en"")"),"A success'm thrilled. I needed a garment that will hold me enough in winter but lightly turn, allow me freedom of movement while sports practice outdoors and it was fitted. I've found it, and therefore I like to use it even ""casual"" attire. As for the s"&amp;"ize, I could not have asked for less and stay more punch, but I prefer me to stay a little loose, to wear layers in case of extreme cold; still, I still being fitted. Long is perfect. I cover the bum and sleeves also perfect with elastic but not crowded. "&amp;"If it's any help: I'm 167 cm, weight 63 kg (medium build), navel waist 74, chest 90 cm.")</f>
        <v>A success'm thrilled. I needed a garment that will hold me enough in winter but lightly turn, allow me freedom of movement while sports practice outdoors and it was fitted. I've found it, and therefore I like to use it even "casual" attire. As for the size, I could not have asked for less and stay more punch, but I prefer me to stay a little loose, to wear layers in case of extreme cold; still, I still being fitted. Long is perfect. I cover the bum and sleeves also perfect with elastic but not crowded. If it's any help: I'm 167 cm, weight 63 kg (medium build), navel waist 74, chest 90 cm.</v>
      </c>
    </row>
    <row r="12788">
      <c r="A12788" s="1">
        <v>5.0</v>
      </c>
      <c r="B12788" s="1" t="s">
        <v>12673</v>
      </c>
      <c r="C12788" t="str">
        <f>IFERROR(__xludf.DUMMYFUNCTION("GOOGLETRANSLATE(B12788, ""es"", ""en"")"),"He goes with me always used in an iPhone app røde you can get a really good sound. The app allows you to control the gain røde recording the micro and includes several interesting digital filters. It can also be used directly with the video app. This is a"&amp;"n example of video recorded with the video app iPhone directly. [...]")</f>
        <v>He goes with me always used in an iPhone app røde you can get a really good sound. The app allows you to control the gain røde recording the micro and includes several interesting digital filters. It can also be used directly with the video app. This is an example of video recorded with the video app iPhone directly. [...]</v>
      </c>
    </row>
    <row r="12789">
      <c r="A12789" s="1">
        <v>5.0</v>
      </c>
      <c r="B12789" s="1" t="s">
        <v>12674</v>
      </c>
      <c r="C12789" t="str">
        <f>IFERROR(__xludf.DUMMYFUNCTION("GOOGLETRANSLATE(B12789, ""es"", ""en"")"),"Pretty earrings are beautiful, I love to have those flashes do not go unnoticed")</f>
        <v>Pretty earrings are beautiful, I love to have those flashes do not go unnoticed</v>
      </c>
    </row>
    <row r="12790">
      <c r="A12790" s="1">
        <v>5.0</v>
      </c>
      <c r="B12790" s="1" t="s">
        <v>12675</v>
      </c>
      <c r="C12790" t="str">
        <f>IFERROR(__xludf.DUMMYFUNCTION("GOOGLETRANSLATE(B12790, ""es"", ""en"")"),"The best for the summer. Flip-flops lifetime. Many handsome colors and combinations. Sizing a little small. Sole resistant and very comfortable. Refraining delicate feet.")</f>
        <v>The best for the summer. Flip-flops lifetime. Many handsome colors and combinations. Sizing a little small. Sole resistant and very comfortable. Refraining delicate feet.</v>
      </c>
    </row>
    <row r="12791">
      <c r="A12791" s="1">
        <v>5.0</v>
      </c>
      <c r="B12791" s="1" t="s">
        <v>12676</v>
      </c>
      <c r="C12791" t="str">
        <f>IFERROR(__xludf.DUMMYFUNCTION("GOOGLETRANSLATE(B12791, ""es"", ""en"")"),"Meli For the price it is fantastic")</f>
        <v>Meli For the price it is fantastic</v>
      </c>
    </row>
    <row r="12792">
      <c r="A12792" s="1">
        <v>5.0</v>
      </c>
      <c r="B12792" s="1" t="s">
        <v>12677</v>
      </c>
      <c r="C12792" t="str">
        <f>IFERROR(__xludf.DUMMYFUNCTION("GOOGLETRANSLATE(B12792, ""es"", ""en"")"),"Chulisima perfect, original and fits like a glove!")</f>
        <v>Chulisima perfect, original and fits like a glove!</v>
      </c>
    </row>
    <row r="12793">
      <c r="A12793" s="1">
        <v>5.0</v>
      </c>
      <c r="B12793" s="1" t="s">
        <v>12678</v>
      </c>
      <c r="C12793" t="str">
        <f>IFERROR(__xludf.DUMMYFUNCTION("GOOGLETRANSLATE(B12793, ""es"", ""en"")"),"highly recommended one to relax I loved this foot massager, different mode and pressure to choose there is also heating option, personally I like the pressure leaves you very relaxed ~ recommend auqellos walking a lot and this long standing")</f>
        <v>highly recommended one to relax I loved this foot massager, different mode and pressure to choose there is also heating option, personally I like the pressure leaves you very relaxed ~ recommend auqellos walking a lot and this long standing</v>
      </c>
    </row>
    <row r="12794">
      <c r="A12794" s="1">
        <v>5.0</v>
      </c>
      <c r="B12794" s="1" t="s">
        <v>12679</v>
      </c>
      <c r="C12794" t="str">
        <f>IFERROR(__xludf.DUMMYFUNCTION("GOOGLETRANSLATE(B12794, ""es"", ""en"")"),"Carito Excellent, it was a gift for my husband and this enchanted not want them removed from how comfortable they are")</f>
        <v>Carito Excellent, it was a gift for my husband and this enchanted not want them removed from how comfortable they are</v>
      </c>
    </row>
    <row r="12795">
      <c r="A12795" s="1">
        <v>5.0</v>
      </c>
      <c r="B12795" s="1" t="s">
        <v>12680</v>
      </c>
      <c r="C12795" t="str">
        <f>IFERROR(__xludf.DUMMYFUNCTION("GOOGLETRANSLATE(B12795, ""es"", ""en"")"),"Good quality. After testing various water mp3, I prefer this iPod Shuffle by Apple impermeablizado Underwater Audio for quality, reliability and light ... which is not noticeable when you're training. In addition, you can use it for all kinds of activitie"&amp;"s, enduring rain and sweat perfectamente.Cuando finish to train wash it with water and point. It has a capacity of 2G (enough for long workouts) the battery holds a lot, I have not calculated how much, but I leave it on for a whole day and still works. It"&amp;" comes with headphones Swimbuds submersibles with Cable extrashort ... they are of very good quality and fit perfectly in the water. Maybe it's a little pricey 150 € but worth it ... I was tired of buying water mp3 that did not last anything, this seems t"&amp;"o have very good. I forgot: You need to download the program Apple itunnes to shove and take música.Los Apple users already would know, but he said if there is someone who would be interested ... it is very easy to use by the way. Amazon's service excelle"&amp;"nt as always.")</f>
        <v>Good quality. After testing various water mp3, I prefer this iPod Shuffle by Apple impermeablizado Underwater Audio for quality, reliability and light ... which is not noticeable when you're training. In addition, you can use it for all kinds of activities, enduring rain and sweat perfectamente.Cuando finish to train wash it with water and point. It has a capacity of 2G (enough for long workouts) the battery holds a lot, I have not calculated how much, but I leave it on for a whole day and still works. It comes with headphones Swimbuds submersibles with Cable extrashort ... they are of very good quality and fit perfectly in the water. Maybe it's a little pricey 150 € but worth it ... I was tired of buying water mp3 that did not last anything, this seems to have very good. I forgot: You need to download the program Apple itunnes to shove and take música.Los Apple users already would know, but he said if there is someone who would be interested ... it is very easy to use by the way. Amazon's service excellent as always.</v>
      </c>
    </row>
    <row r="12796">
      <c r="A12796" s="1">
        <v>5.0</v>
      </c>
      <c r="B12796" s="1" t="s">
        <v>12681</v>
      </c>
      <c r="C12796" t="str">
        <f>IFERROR(__xludf.DUMMYFUNCTION("GOOGLETRANSLATE(B12796, ""es"", ""en"")"),"Bluetooth headset excellent quality I loved these Bluetooth headphones. They have a sound with treble and bass of high quality. They are loaded very fast in its support box. It comes with an LCD screen that tells you the load on each handset. It contains "&amp;"a USB cable for charging and plugs that fit different as our ear. Recommended for quality")</f>
        <v>Bluetooth headset excellent quality I loved these Bluetooth headphones. They have a sound with treble and bass of high quality. They are loaded very fast in its support box. It comes with an LCD screen that tells you the load on each handset. It contains a USB cable for charging and plugs that fit different as our ear. Recommended for quality</v>
      </c>
    </row>
    <row r="12797">
      <c r="A12797" s="1">
        <v>5.0</v>
      </c>
      <c r="B12797" s="1" t="s">
        <v>12682</v>
      </c>
      <c r="C12797" t="str">
        <f>IFERROR(__xludf.DUMMYFUNCTION("GOOGLETRANSLATE(B12797, ""es"", ""en"")"),"Good quality at a good price I will divide this review into three sections I consider the most important: comfort, sound quality and battery. Comfort: Helmets come in very handy and easy to transport box. Are matched easily with the phone or other device "&amp;"to the out of the box, and once matched the first time, the connection will automatically for all other times. In my case, the hulls are perfectly suited to your ear, without the feeling that they are going to fall even when I'm moving, walking, etc. Soun"&amp;"d quality: helmets, once in the ear, plug the ear canal completely, so provide insulation outside noise pretty good, especially when there is music playing. They have pretty good sound quality, low quite powerful, and no noise or dirt from any background."&amp;" Battery: Around the time I've been wearing helmets, I have not had any problems with the battery. I use sessions normally 3-4 hours, and I have never downloaded while using the whole. Helmets are recharged while inside the box, and the box itself is load"&amp;"ed like any wireless USB. In short, for this price, headphones are pretty good quality, comfortable and very useful.")</f>
        <v>Good quality at a good price I will divide this review into three sections I consider the most important: comfort, sound quality and battery. Comfort: Helmets come in very handy and easy to transport box. Are matched easily with the phone or other device to the out of the box, and once matched the first time, the connection will automatically for all other times. In my case, the hulls are perfectly suited to your ear, without the feeling that they are going to fall even when I'm moving, walking, etc. Sound quality: helmets, once in the ear, plug the ear canal completely, so provide insulation outside noise pretty good, especially when there is music playing. They have pretty good sound quality, low quite powerful, and no noise or dirt from any background. Battery: Around the time I've been wearing helmets, I have not had any problems with the battery. I use sessions normally 3-4 hours, and I have never downloaded while using the whole. Helmets are recharged while inside the box, and the box itself is loaded like any wireless USB. In short, for this price, headphones are pretty good quality, comfortable and very useful.</v>
      </c>
    </row>
    <row r="12798">
      <c r="A12798" s="1">
        <v>5.0</v>
      </c>
      <c r="B12798" s="1" t="s">
        <v>12683</v>
      </c>
      <c r="C12798" t="str">
        <f>IFERROR(__xludf.DUMMYFUNCTION("GOOGLETRANSLATE(B12798, ""es"", ""en"")"),"A Very Good")</f>
        <v>A Very Good</v>
      </c>
    </row>
    <row r="12799">
      <c r="A12799" s="1">
        <v>5.0</v>
      </c>
      <c r="B12799" s="1" t="s">
        <v>12684</v>
      </c>
      <c r="C12799" t="str">
        <f>IFERROR(__xludf.DUMMYFUNCTION("GOOGLETRANSLATE(B12799, ""es"", ""en"")"),"Good functional product at a great price")</f>
        <v>Good functional product at a great price</v>
      </c>
    </row>
    <row r="12800">
      <c r="A12800" s="1">
        <v>5.0</v>
      </c>
      <c r="B12800" s="1" t="s">
        <v>12685</v>
      </c>
      <c r="C12800" t="str">
        <f>IFERROR(__xludf.DUMMYFUNCTION("GOOGLETRANSLATE(B12800, ""es"", ""en"")"),"Comfortable and very well secured What I liked about these is how easy it is to place them in the ears and how well subjects that remain. After a run of more than 10Km they have not moved. They are also very pleasing to the touch. Very happy with the purc"&amp;"hase.")</f>
        <v>Comfortable and very well secured What I liked about these is how easy it is to place them in the ears and how well subjects that remain. After a run of more than 10Km they have not moved. They are also very pleasing to the touch. Very happy with the purchase.</v>
      </c>
    </row>
    <row r="12801">
      <c r="A12801" s="1">
        <v>5.0</v>
      </c>
      <c r="B12801" s="1" t="s">
        <v>12686</v>
      </c>
      <c r="C12801" t="str">
        <f>IFERROR(__xludf.DUMMYFUNCTION("GOOGLETRANSLATE(B12801, ""es"", ""en"")"),"The Lord of all Casio A clock master, the second day I hit a couple of snags placing electric tray and goes like a shot, very good these almost, ooooye")</f>
        <v>The Lord of all Casio A clock master, the second day I hit a couple of snags placing electric tray and goes like a shot, very good these almost, ooooye</v>
      </c>
    </row>
    <row r="12802">
      <c r="A12802" s="1">
        <v>2.0</v>
      </c>
      <c r="B12802" s="1" t="s">
        <v>12687</v>
      </c>
      <c r="C12802" t="str">
        <f>IFERROR(__xludf.DUMMYFUNCTION("GOOGLETRANSLATE(B12802, ""es"", ""en"")"),"It is thinner than it seems is very wide")</f>
        <v>It is thinner than it seems is very wide</v>
      </c>
    </row>
    <row r="12803">
      <c r="A12803" s="1">
        <v>3.0</v>
      </c>
      <c r="B12803" s="1" t="s">
        <v>12688</v>
      </c>
      <c r="C12803" t="str">
        <f>IFERROR(__xludf.DUMMYFUNCTION("GOOGLETRANSLATE(B12803, ""es"", ""en"")"),"Notifications OK, Sport fatal good construction and very nice, very good and notifies rotating bezel is fabulous for its control, but to forget sport, the GPS takes a world to find the signal and when it does. In 3 months in and running 2 or 3 times a wee"&amp;"k, but it has worked 2 times the GPS, finding many times after finishing training, ie more than half an hour looking sign without finding, and sometimes loses a little longer to start and recovers .... to make matters worse, the reader is unpalatable hear"&amp;"t rate during sport, brand unreal things with differences of 50 beats above or stops reading directly sweat ... I have amazfit Bip one that does not fail even in jest on the subject sport, and do not understand the difference between price and quality. In"&amp;" my case, and to make matters worse, I can not use belts series because I produces a bestial ezema on the wrist, and I even had to put on steroids for a week to currarlo, but I must be an isolated case")</f>
        <v>Notifications OK, Sport fatal good construction and very nice, very good and notifies rotating bezel is fabulous for its control, but to forget sport, the GPS takes a world to find the signal and when it does. In 3 months in and running 2 or 3 times a week, but it has worked 2 times the GPS, finding many times after finishing training, ie more than half an hour looking sign without finding, and sometimes loses a little longer to start and recovers .... to make matters worse, the reader is unpalatable heart rate during sport, brand unreal things with differences of 50 beats above or stops reading directly sweat ... I have amazfit Bip one that does not fail even in jest on the subject sport, and do not understand the difference between price and quality. In my case, and to make matters worse, I can not use belts series because I produces a bestial ezema on the wrist, and I even had to put on steroids for a week to currarlo, but I must be an isolated case</v>
      </c>
    </row>
    <row r="12804">
      <c r="A12804" s="1">
        <v>1.0</v>
      </c>
      <c r="B12804" s="1" t="s">
        <v>12689</v>
      </c>
      <c r="C12804" t="str">
        <f>IFERROR(__xludf.DUMMYFUNCTION("GOOGLETRANSLATE(B12804, ""es"", ""en"")"),"Mal user amazon prime product, the sole is off the second day, to go to buy bread, just .. They appear to be worth what it is not")</f>
        <v>Mal user amazon prime product, the sole is off the second day, to go to buy bread, just .. They appear to be worth what it is not</v>
      </c>
    </row>
    <row r="12805">
      <c r="A12805" s="1">
        <v>1.0</v>
      </c>
      <c r="B12805" s="1" t="s">
        <v>12690</v>
      </c>
      <c r="C12805" t="str">
        <f>IFERROR(__xludf.DUMMYFUNCTION("GOOGLETRANSLATE(B12805, ""es"", ""en"")"),"Much Ado Much Ado, bad do not recommend")</f>
        <v>Much Ado Much Ado, bad do not recommend</v>
      </c>
    </row>
    <row r="12806">
      <c r="A12806" s="1">
        <v>1.0</v>
      </c>
      <c r="B12806" s="1" t="s">
        <v>12691</v>
      </c>
      <c r="C12806" t="str">
        <f>IFERROR(__xludf.DUMMYFUNCTION("GOOGLETRANSLATE(B12806, ""es"", ""en"")"),"Very uncomfortable - Terrible bought a large size because I saw the comments, the size is perfect. But the stuff is terrible, my foot is sweating all the time and I really bothers me a lot. I did not like and can not return because I used it. Update: Afte"&amp;"r 1 month of ""use"" actually almost unused because I really did not like anything, I left my slippers hours to the sun and when I saw were completely deformed and just left my feet, so I had to talk to Amazon and make repayment.")</f>
        <v>Very uncomfortable - Terrible bought a large size because I saw the comments, the size is perfect. But the stuff is terrible, my foot is sweating all the time and I really bothers me a lot. I did not like and can not return because I used it. Update: After 1 month of "use" actually almost unused because I really did not like anything, I left my slippers hours to the sun and when I saw were completely deformed and just left my feet, so I had to talk to Amazon and make repayment.</v>
      </c>
    </row>
    <row r="12807">
      <c r="A12807" s="1">
        <v>4.0</v>
      </c>
      <c r="B12807" s="1" t="s">
        <v>12692</v>
      </c>
      <c r="C12807" t="str">
        <f>IFERROR(__xludf.DUMMYFUNCTION("GOOGLETRANSLATE(B12807, ""es"", ""en"")"),"Good value for money. Good quality for the price. Fulfill their function, the use of a Rega Mira 3 to ProAc Tablette Ten Signature Van den Hul cables Goldwater. They are very easy to assemble, making good contact and look good. Very light weight. There ar"&amp;"e better and much better but also more expensive.")</f>
        <v>Good value for money. Good quality for the price. Fulfill their function, the use of a Rega Mira 3 to ProAc Tablette Ten Signature Van den Hul cables Goldwater. They are very easy to assemble, making good contact and look good. Very light weight. There are better and much better but also more expensive.</v>
      </c>
    </row>
    <row r="12808">
      <c r="A12808" s="1">
        <v>4.0</v>
      </c>
      <c r="B12808" s="1" t="s">
        <v>12693</v>
      </c>
      <c r="C12808" t="str">
        <f>IFERROR(__xludf.DUMMYFUNCTION("GOOGLETRANSLATE(B12808, ""es"", ""en"")"),"A staple in the kitchen for those who do not want to use the microwave, is the perfect alternative. It is a bit slow due to its low power, but it's something I took before buying it and I do not bother. It is covered with a release to prevent sticking to "&amp;"the heat. Easy to clean")</f>
        <v>A staple in the kitchen for those who do not want to use the microwave, is the perfect alternative. It is a bit slow due to its low power, but it's something I took before buying it and I do not bother. It is covered with a release to prevent sticking to the heat. Easy to clean</v>
      </c>
    </row>
    <row r="12809">
      <c r="A12809" s="1">
        <v>4.0</v>
      </c>
      <c r="B12809" s="1" t="s">
        <v>12694</v>
      </c>
      <c r="C12809" t="str">
        <f>IFERROR(__xludf.DUMMYFUNCTION("GOOGLETRANSLATE(B12809, ""es"", ""en"")"),"This product right within expectations")</f>
        <v>This product right within expectations</v>
      </c>
    </row>
    <row r="12810">
      <c r="A12810" s="1">
        <v>4.0</v>
      </c>
      <c r="B12810" s="1" t="s">
        <v>12695</v>
      </c>
      <c r="C12810" t="str">
        <f>IFERROR(__xludf.DUMMYFUNCTION("GOOGLETRANSLATE(B12810, ""es"", ""en"")"),"Comfortable is comfortable and fits perfectly. I have a 90B and I bought a size M. I will but I just do not press and the truth is that I prefer because I guess with washing and use will lose quality and will stretch a little.")</f>
        <v>Comfortable is comfortable and fits perfectly. I have a 90B and I bought a size M. I will but I just do not press and the truth is that I prefer because I guess with washing and use will lose quality and will stretch a little.</v>
      </c>
    </row>
    <row r="12811">
      <c r="A12811" s="1">
        <v>4.0</v>
      </c>
      <c r="B12811" s="1" t="s">
        <v>12696</v>
      </c>
      <c r="C12811" t="str">
        <f>IFERROR(__xludf.DUMMYFUNCTION("GOOGLETRANSLATE(B12811, ""es"", ""en"")"),"It costs little wonder a bit different if you mix things without liquid (eg fruits alone), but x otherwise great. I make smoothies, gazpacho, soups, all ..... and fits in anywhere. What of the glass is wonderful, especially juices and smoothies pair, beca"&amp;"use it does not need anything else littering. A great idea.")</f>
        <v>It costs little wonder a bit different if you mix things without liquid (eg fruits alone), but x otherwise great. I make smoothies, gazpacho, soups, all ..... and fits in anywhere. What of the glass is wonderful, especially juices and smoothies pair, because it does not need anything else littering. A great idea.</v>
      </c>
    </row>
    <row r="12812">
      <c r="A12812" s="1">
        <v>5.0</v>
      </c>
      <c r="B12812" s="1" t="s">
        <v>12697</v>
      </c>
      <c r="C12812" t="str">
        <f>IFERROR(__xludf.DUMMYFUNCTION("GOOGLETRANSLATE(B12812, ""es"", ""en"")"),"Comfort in the saved file A convenient way to have your back up photos and files")</f>
        <v>Comfort in the saved file A convenient way to have your back up photos and files</v>
      </c>
    </row>
    <row r="12813">
      <c r="A12813" s="1">
        <v>5.0</v>
      </c>
      <c r="B12813" s="1" t="s">
        <v>12698</v>
      </c>
      <c r="C12813" t="str">
        <f>IFERROR(__xludf.DUMMYFUNCTION("GOOGLETRANSLATE(B12813, ""es"", ""en"")"),"Meets expectations more than amply meets expectations")</f>
        <v>Meets expectations more than amply meets expectations</v>
      </c>
    </row>
    <row r="12814">
      <c r="A12814" s="1">
        <v>5.0</v>
      </c>
      <c r="B12814" s="1" t="s">
        <v>12699</v>
      </c>
      <c r="C12814" t="str">
        <f>IFERROR(__xludf.DUMMYFUNCTION("GOOGLETRANSLATE(B12814, ""es"", ""en"")"),"Comodas Bonitas")</f>
        <v>Comodas Bonitas</v>
      </c>
    </row>
    <row r="12815">
      <c r="A12815" s="1">
        <v>5.0</v>
      </c>
      <c r="B12815" s="1" t="s">
        <v>12700</v>
      </c>
      <c r="C12815" t="str">
        <f>IFERROR(__xludf.DUMMYFUNCTION("GOOGLETRANSLATE(B12815, ""es"", ""en"")"),"I would buy. Good value for money. Happy with purchase. The product fits the description. Good value for money. Pleasantly surprised at receiving the order several days earlier than expected. highly recommended")</f>
        <v>I would buy. Good value for money. Happy with purchase. The product fits the description. Good value for money. Pleasantly surprised at receiving the order several days earlier than expected. highly recommended</v>
      </c>
    </row>
    <row r="12816">
      <c r="A12816" s="1">
        <v>5.0</v>
      </c>
      <c r="B12816" s="1" t="s">
        <v>12701</v>
      </c>
      <c r="C12816" t="str">
        <f>IFERROR(__xludf.DUMMYFUNCTION("GOOGLETRANSLATE(B12816, ""es"", ""en"")"),"I recommend Good finish, nice texture. I bought it for work because I spend many hours with the computer and was beginning to have many problems. At the beginning I struggled a bit but now I adapt myself very comfortable and I think it has very good quali"&amp;"ty especially considering the price. I recommend it!")</f>
        <v>I recommend Good finish, nice texture. I bought it for work because I spend many hours with the computer and was beginning to have many problems. At the beginning I struggled a bit but now I adapt myself very comfortable and I think it has very good quality especially considering the price. I recommend it!</v>
      </c>
    </row>
    <row r="12817">
      <c r="A12817" s="1">
        <v>5.0</v>
      </c>
      <c r="B12817" s="1" t="s">
        <v>12702</v>
      </c>
      <c r="C12817" t="str">
        <f>IFERROR(__xludf.DUMMYFUNCTION("GOOGLETRANSLATE(B12817, ""es"", ""en"")"),"Crocks good brand was for my muer and are perfect. A foot rest ...")</f>
        <v>Crocks good brand was for my muer and are perfect. A foot rest ...</v>
      </c>
    </row>
    <row r="12818">
      <c r="A12818" s="1">
        <v>5.0</v>
      </c>
      <c r="B12818" s="1" t="s">
        <v>12703</v>
      </c>
      <c r="C12818" t="str">
        <f>IFERROR(__xludf.DUMMYFUNCTION("GOOGLETRANSLATE(B12818, ""es"", ""en"")"),"Great best option to expand power or give a good boost in speed and fluidity to your old or new equipment. Readings I have come to 1500 so compared to a normal HDD that can reach 60-80 MB / s for SATA3 SSD would get us to 540 MB / s we will start our wind"&amp;"ows to the os 6-7 seconds of delay, for example. 3 times faster than a SATA and over 20 times faster than a mechanical HDD. I recommend it")</f>
        <v>Great best option to expand power or give a good boost in speed and fluidity to your old or new equipment. Readings I have come to 1500 so compared to a normal HDD that can reach 60-80 MB / s for SATA3 SSD would get us to 540 MB / s we will start our windows to the os 6-7 seconds of delay, for example. 3 times faster than a SATA and over 20 times faster than a mechanical HDD. I recommend it</v>
      </c>
    </row>
    <row r="12819">
      <c r="A12819" s="1">
        <v>5.0</v>
      </c>
      <c r="B12819" s="1" t="s">
        <v>12704</v>
      </c>
      <c r="C12819" t="str">
        <f>IFERROR(__xludf.DUMMYFUNCTION("GOOGLETRANSLATE(B12819, ""es"", ""en"")"),"It is the best kettle I know What I liked: + Very good construction quality, well designed at all (nozzle, filter, handle and top cover - that goes to the right out of the base, protection against dry running .. .) + Warms really water in a minute. Marks "&amp;"for measuring 1-3 cups are very practical. + Keep the hot water and it is difficult to throw your base. WHAT I LIKED: - did not miss anything. I reviewed already a kettle in January of the same functionally identical mark, the &amp; nbsp ;. Then as now boil w"&amp;"ater in less than a minute, is built entirely of metal (not burn but also does not contact taste) and carries an internal indicator to measure up to three cups of water (235 ml per cup). The operating system I like a lot and is very well thought: the boil"&amp;"er is connected to a base, which can rotate 360 ​​degrees to comfortably grasp the handle and lift it. The internal resistance only works when it remains in the database and automatically turns off to the removal. For those who, like me, given panic pour "&amp;"anything hot because it is always spilled liquids (because not inclined or enough container), the nozzle is designed to prevent water from spilling over the body of the kettle and we escaldemos. Note that must be used to hold the top cap to the pouring wa"&amp;"ter and the nozzle carries a washable filter. In the manual curiously cited the indication ""Descale regularly (at least monthly). Descale the appliance with a descaling of the manufacturer of the device. Follow the instructions on the package of the desc"&amp;"aling"". Brand consulted directly (which manages web support in Spain PRESAT, SA de Barcelona) say they do not sell any descaling: ""We do not sell any, acquired in the appliance stores and large hardware stores."" I mention as a curiosity: I live in an a"&amp;"rea with very hard water and so far I have not had problems lime in an apparatus operating as simple. Finally, many people wonder if this can not be used to boil milk. Short answer: you do not ever. Long answer: these kettles what they want is to boil wat"&amp;"er as quickly as possible and if you boil milk which will achieve is to stay glued to the inside of the device and even burn in contact with the inner surface, also causing an intense bad smell you spend a while scraping burnt milk well entertained. If yo"&amp;"u need a heater milk, I recommend &amp; nbsp; &lt;a data-hook = ""product-link-linked"" class = ""a-link-normal"" href = ""/ east-classical / dp / B00NW2R5B0 / ref = cm_cr_getr_d_rvw_txt ie = UTF8 ""&gt; this &lt;/a&gt; classic. In this capacity 1.7 liter kettle is fine "&amp;"for many people, if only they will use 1-2 people, maybe a &amp; nbsp; &lt;a data-hook = ""product-link-linked"" class = ""a-link -normal ""href ="" / model-de-1-liter-like-this / dp / B00M7Z40AM / ref = cm_cr_getr_d_rvw_txt? ie = UTF8 ""&gt; 1 liter model like thi"&amp;"s &lt;/a&gt;. Kettle as I do not miss anything. Keeps hot water and if you do infusions often (if you drink yerba mate long story) comes in handy to have boiling water in a minute and then dispose of it in a suitable container. All of this brand kettles seem to"&amp;" work the same, varying in price depending aesthetic characteristics. This is at least extravagant and is priced according to a first mark and 3-year warranty (one extra if you register on the website). Come on, I recommend any other model that I know.")</f>
        <v>It is the best kettle I know What I liked: + Very good construction quality, well designed at all (nozzle, filter, handle and top cover - that goes to the right out of the base, protection against dry running .. .) + Warms really water in a minute. Marks for measuring 1-3 cups are very practical. + Keep the hot water and it is difficult to throw your base. WHAT I LIKED: - did not miss anything. I reviewed already a kettle in January of the same functionally identical mark, the &amp; nbsp ;. Then as now boil water in less than a minute, is built entirely of metal (not burn but also does not contact taste) and carries an internal indicator to measure up to three cups of water (235 ml per cup). The operating system I like a lot and is very well thought: the boiler is connected to a base, which can rotate 360 ​​degrees to comfortably grasp the handle and lift it. The internal resistance only works when it remains in the database and automatically turns off to the removal. For those who, like me, given panic pour anything hot because it is always spilled liquids (because not inclined or enough container), the nozzle is designed to prevent water from spilling over the body of the kettle and we escaldemos. Note that must be used to hold the top cap to the pouring water and the nozzle carries a washable filter. In the manual curiously cited the indication "Descale regularly (at least monthly). Descale the appliance with a descaling of the manufacturer of the device. Follow the instructions on the package of the descaling". Brand consulted directly (which manages web support in Spain PRESAT, SA de Barcelona) say they do not sell any descaling: "We do not sell any, acquired in the appliance stores and large hardware stores." I mention as a curiosity: I live in an area with very hard water and so far I have not had problems lime in an apparatus operating as simple. Finally, many people wonder if this can not be used to boil milk. Short answer: you do not ever. Long answer: these kettles what they want is to boil water as quickly as possible and if you boil milk which will achieve is to stay glued to the inside of the device and even burn in contact with the inner surface, also causing an intense bad smell you spend a while scraping burnt milk well entertained. If you need a heater milk, I recommend &amp; nbsp; &lt;a data-hook = "product-link-linked" class = "a-link-normal" href = "/ east-classical / dp / B00NW2R5B0 / ref = cm_cr_getr_d_rvw_txt ie = UTF8 "&gt; this &lt;/a&gt; classic. In this capacity 1.7 liter kettle is fine for many people, if only they will use 1-2 people, maybe a &amp; nbsp; &lt;a data-hook = "product-link-linked" class = "a-link -normal "href =" / model-de-1-liter-like-this / dp / B00M7Z40AM / ref = cm_cr_getr_d_rvw_txt? ie = UTF8 "&gt; 1 liter model like this &lt;/a&gt;. Kettle as I do not miss anything. Keeps hot water and if you do infusions often (if you drink yerba mate long story) comes in handy to have boiling water in a minute and then dispose of it in a suitable container. All of this brand kettles seem to work the same, varying in price depending aesthetic characteristics. This is at least extravagant and is priced according to a first mark and 3-year warranty (one extra if you register on the website). Come on, I recommend any other model that I know.</v>
      </c>
    </row>
    <row r="12820">
      <c r="A12820" s="1">
        <v>5.0</v>
      </c>
      <c r="B12820" s="1" t="s">
        <v>12705</v>
      </c>
      <c r="C12820" t="str">
        <f>IFERROR(__xludf.DUMMYFUNCTION("GOOGLETRANSLATE(B12820, ""es"", ""en"")"),"I expected other labels already knew Apli and they have not let me down. Good impression on them and good adhesion. No definitely repeat. Good packaging and I arrived in 2 days")</f>
        <v>I expected other labels already knew Apli and they have not let me down. Good impression on them and good adhesion. No definitely repeat. Good packaging and I arrived in 2 days</v>
      </c>
    </row>
    <row r="12821">
      <c r="A12821" s="1">
        <v>5.0</v>
      </c>
      <c r="B12821" s="1" t="s">
        <v>12706</v>
      </c>
      <c r="C12821" t="str">
        <f>IFERROR(__xludf.DUMMYFUNCTION("GOOGLETRANSLATE(B12821, ""es"", ""en"")"),"Price / quality ratio has convinced me all perfect. A ten")</f>
        <v>Price / quality ratio has convinced me all perfect. A ten</v>
      </c>
    </row>
    <row r="12822">
      <c r="A12822" s="1">
        <v>5.0</v>
      </c>
      <c r="B12822" s="1" t="s">
        <v>12707</v>
      </c>
      <c r="C12822" t="str">
        <f>IFERROR(__xludf.DUMMYFUNCTION("GOOGLETRANSLATE(B12822, ""es"", ""en"")"),"The ring is gorgeous gorgeous and adjustable for all sizes came with diamonds in white but still very nice")</f>
        <v>The ring is gorgeous gorgeous and adjustable for all sizes came with diamonds in white but still very nice</v>
      </c>
    </row>
    <row r="12823">
      <c r="A12823" s="1">
        <v>5.0</v>
      </c>
      <c r="B12823" s="1" t="s">
        <v>12708</v>
      </c>
      <c r="C12823" t="str">
        <f>IFERROR(__xludf.DUMMYFUNCTION("GOOGLETRANSLATE(B12823, ""es"", ""en"")"),"Very good. Some time ago I bought a kettle brand super nice and a few months later was full of lime and threw! However, with this it's going great, it does not have lime and is very economical. Fulfills its function perfectly.")</f>
        <v>Very good. Some time ago I bought a kettle brand super nice and a few months later was full of lime and threw! However, with this it's going great, it does not have lime and is very economical. Fulfills its function perfectly.</v>
      </c>
    </row>
    <row r="12824">
      <c r="A12824" s="1">
        <v>5.0</v>
      </c>
      <c r="B12824" s="1" t="s">
        <v>12709</v>
      </c>
      <c r="C12824" t="str">
        <f>IFERROR(__xludf.DUMMYFUNCTION("GOOGLETRANSLATE(B12824, ""es"", ""en"")"),"And and go two bought !! Perfect use para.su")</f>
        <v>And and go two bought !! Perfect use para.su</v>
      </c>
    </row>
    <row r="12825">
      <c r="A12825" s="1">
        <v>5.0</v>
      </c>
      <c r="B12825" s="1" t="s">
        <v>12710</v>
      </c>
      <c r="C12825" t="str">
        <f>IFERROR(__xludf.DUMMYFUNCTION("GOOGLETRANSLATE(B12825, ""es"", ""en"")"),"Elegant and highly recommended both practical design. I have a 110D and shows a perfect clip for exercises such as Spinning, Zumba and Running. Correct and proper sizing. Fully recommended.")</f>
        <v>Elegant and highly recommended both practical design. I have a 110D and shows a perfect clip for exercises such as Spinning, Zumba and Running. Correct and proper sizing. Fully recommended.</v>
      </c>
    </row>
    <row r="12826">
      <c r="A12826" s="1">
        <v>5.0</v>
      </c>
      <c r="B12826" s="1" t="s">
        <v>12711</v>
      </c>
      <c r="C12826" t="str">
        <f>IFERROR(__xludf.DUMMYFUNCTION("GOOGLETRANSLATE(B12826, ""es"", ""en"")"),"You do not have to ask half, as you adapt to your finger. Hello 😉👍 great delighted, and it will sent picture and not get ugly, that, yes I scrub them off, and for the price, I can ask for more. Greetings 😉")</f>
        <v>You do not have to ask half, as you adapt to your finger. Hello 😉👍 great delighted, and it will sent picture and not get ugly, that, yes I scrub them off, and for the price, I can ask for more. Greetings 😉</v>
      </c>
    </row>
    <row r="12827">
      <c r="A12827" s="1">
        <v>5.0</v>
      </c>
      <c r="B12827" s="1" t="s">
        <v>12712</v>
      </c>
      <c r="C12827" t="str">
        <f>IFERROR(__xludf.DUMMYFUNCTION("GOOGLETRANSLATE(B12827, ""es"", ""en"")"),"Very nice quality and Bota beautiful and very comfortable. I always wanted to have them but its high price was unachievable. Thanks to Amazon and incredible deals could buy them at half price")</f>
        <v>Very nice quality and Bota beautiful and very comfortable. I always wanted to have them but its high price was unachievable. Thanks to Amazon and incredible deals could buy them at half price</v>
      </c>
    </row>
    <row r="12828">
      <c r="A12828" s="1">
        <v>5.0</v>
      </c>
      <c r="B12828" s="1" t="s">
        <v>12713</v>
      </c>
      <c r="C12828" t="str">
        <f>IFERROR(__xludf.DUMMYFUNCTION("GOOGLETRANSLATE(B12828, ""es"", ""en"")"),"Perfect In April I bought one for my desktop PC. I went so well that I decided in May to buy another laptop. Before me were both super-slow computers. Now I'm happy. On and off very fast. The noise is minimal. The installation was a snap. And now everythi"&amp;"ng works perfectly. This brand took the recommendation of a friend who also used his laptop from a year ago and has not given problems. I do not understand gigas prices or anything like that, just know that cheap is expensive and always rather pay a littl"&amp;"e more for something I know will come good. To me the first cost me € 69.99 and € 67.14 second. I find very affordable prices for good results I am getting. And if this lasts, even more so.")</f>
        <v>Perfect In April I bought one for my desktop PC. I went so well that I decided in May to buy another laptop. Before me were both super-slow computers. Now I'm happy. On and off very fast. The noise is minimal. The installation was a snap. And now everything works perfectly. This brand took the recommendation of a friend who also used his laptop from a year ago and has not given problems. I do not understand gigas prices or anything like that, just know that cheap is expensive and always rather pay a little more for something I know will come good. To me the first cost me € 69.99 and € 67.14 second. I find very affordable prices for good results I am getting. And if this lasts, even more so.</v>
      </c>
    </row>
    <row r="12829">
      <c r="A12829" s="1">
        <v>5.0</v>
      </c>
      <c r="B12829" s="1" t="s">
        <v>12714</v>
      </c>
      <c r="C12829" t="str">
        <f>IFERROR(__xludf.DUMMYFUNCTION("GOOGLETRANSLATE(B12829, ""es"", ""en"")"),"Encantada Encantada quality and price, for me is a good microphone for recording podcast.")</f>
        <v>Encantada Encantada quality and price, for me is a good microphone for recording podcast.</v>
      </c>
    </row>
    <row r="12830">
      <c r="A12830" s="1">
        <v>2.0</v>
      </c>
      <c r="B12830" s="1" t="s">
        <v>12715</v>
      </c>
      <c r="C12830" t="str">
        <f>IFERROR(__xludf.DUMMYFUNCTION("GOOGLETRANSLATE(B12830, ""es"", ""en"")"),"Lack of technical tab'll label in the shoe. Missing sheet as it is an EPP and because it can not be used as working in a chemical company where footwear is mandatory S3. Neither does the description in the shoe which is required by CE. You can not be trea"&amp;"ted as personal protective equipment.")</f>
        <v>Lack of technical tab'll label in the shoe. Missing sheet as it is an EPP and because it can not be used as working in a chemical company where footwear is mandatory S3. Neither does the description in the shoe which is required by CE. You can not be treated as personal protective equipment.</v>
      </c>
    </row>
    <row r="12831">
      <c r="A12831" s="1">
        <v>3.0</v>
      </c>
      <c r="B12831" s="1" t="s">
        <v>12716</v>
      </c>
      <c r="C12831" t="str">
        <f>IFERROR(__xludf.DUMMYFUNCTION("GOOGLETRANSLATE(B12831, ""es"", ""en"")"),"Flojitos have to take half a bottle to find out")</f>
        <v>Flojitos have to take half a bottle to find out</v>
      </c>
    </row>
    <row r="12832">
      <c r="A12832" s="1">
        <v>3.0</v>
      </c>
      <c r="B12832" s="1" t="s">
        <v>12717</v>
      </c>
      <c r="C12832" t="str">
        <f>IFERROR(__xludf.DUMMYFUNCTION("GOOGLETRANSLATE(B12832, ""es"", ""en"")"),"It's pretty comfortable but a little big.")</f>
        <v>It's pretty comfortable but a little big.</v>
      </c>
    </row>
    <row r="12833">
      <c r="A12833" s="1">
        <v>3.0</v>
      </c>
      <c r="B12833" s="1" t="s">
        <v>12718</v>
      </c>
      <c r="C12833" t="str">
        <f>IFERROR(__xludf.DUMMYFUNCTION("GOOGLETRANSLATE(B12833, ""es"", ""en"")"),"Acceptable Not what I expected was ok but nothing to get excited")</f>
        <v>Acceptable Not what I expected was ok but nothing to get excited</v>
      </c>
    </row>
    <row r="12834">
      <c r="A12834" s="1">
        <v>1.0</v>
      </c>
      <c r="B12834" s="1" t="s">
        <v>12719</v>
      </c>
      <c r="C12834" t="str">
        <f>IFERROR(__xludf.DUMMYFUNCTION("GOOGLETRANSLATE(B12834, ""es"", ""en"")"),"No not what I expected, is completely plastic, thus the duration of the product is potentially low since said ice crushing but will break to the first use, the glass is too small")</f>
        <v>No not what I expected, is completely plastic, thus the duration of the product is potentially low since said ice crushing but will break to the first use, the glass is too small</v>
      </c>
    </row>
    <row r="12835">
      <c r="A12835" s="1">
        <v>1.0</v>
      </c>
      <c r="B12835" s="1" t="s">
        <v>12720</v>
      </c>
      <c r="C12835" t="str">
        <f>IFERROR(__xludf.DUMMYFUNCTION("GOOGLETRANSLATE(B12835, ""es"", ""en"")"),"Not worth res not comfortable i alone are dolentas molts, the system lligar cordons els is not practic.")</f>
        <v>Not worth res not comfortable i alone are dolentas molts, the system lligar cordons els is not practic.</v>
      </c>
    </row>
    <row r="12836">
      <c r="A12836" s="1">
        <v>4.0</v>
      </c>
      <c r="B12836" s="1" t="s">
        <v>12721</v>
      </c>
      <c r="C12836" t="str">
        <f>IFERROR(__xludf.DUMMYFUNCTION("GOOGLETRANSLATE(B12836, ""es"", ""en"")"),"Simple but complete is what I was looking for. , Neither large nor small, discreet, simple but useful. Ideal size")</f>
        <v>Simple but complete is what I was looking for. , Neither large nor small, discreet, simple but useful. Ideal size</v>
      </c>
    </row>
    <row r="12837">
      <c r="A12837" s="1">
        <v>4.0</v>
      </c>
      <c r="B12837" s="1" t="s">
        <v>12722</v>
      </c>
      <c r="C12837" t="str">
        <f>IFERROR(__xludf.DUMMYFUNCTION("GOOGLETRANSLATE(B12837, ""es"", ""en"")"),"Handy is very cool and modern")</f>
        <v>Handy is very cool and modern</v>
      </c>
    </row>
    <row r="12838">
      <c r="A12838" s="1">
        <v>4.0</v>
      </c>
      <c r="B12838" s="1" t="s">
        <v>12723</v>
      </c>
      <c r="C12838" t="str">
        <f>IFERROR(__xludf.DUMMYFUNCTION("GOOGLETRANSLATE(B12838, ""es"", ""en"")"),"Large backpack and changing it ended this is too big (changed by https://www.amazon.es/dp/B01MAUTMEU/ smoothly thanks to Amazon). Backpack for a DSLR camera with a lot of accessories is great, but for a mirrorless is big everywhere, there is no way to con"&amp;"figure the separators for non-dance inside the camera and accessories. Finishes and the general feeling is that this is a quality backpack, looks very strong and personally found it very comfortable on the shoulder to the test it. There is room for many t"&amp;"hings and can move virtually all separators except separating the breast pocket. But it has some points that I think are not well resolved: the lateral engagement meets tripod with its purpose but makes the whole unbalancing to putting a tripod (I guess w"&amp;"ith a big camera or heavy will not be noticed as much). Separators allow many combinations, but it is difficult to adjust the camera inside, I personally think we need some additional separator.")</f>
        <v>Large backpack and changing it ended this is too big (changed by https://www.amazon.es/dp/B01MAUTMEU/ smoothly thanks to Amazon). Backpack for a DSLR camera with a lot of accessories is great, but for a mirrorless is big everywhere, there is no way to configure the separators for non-dance inside the camera and accessories. Finishes and the general feeling is that this is a quality backpack, looks very strong and personally found it very comfortable on the shoulder to the test it. There is room for many things and can move virtually all separators except separating the breast pocket. But it has some points that I think are not well resolved: the lateral engagement meets tripod with its purpose but makes the whole unbalancing to putting a tripod (I guess with a big camera or heavy will not be noticed as much). Separators allow many combinations, but it is difficult to adjust the camera inside, I personally think we need some additional separator.</v>
      </c>
    </row>
    <row r="12839">
      <c r="A12839" s="1">
        <v>4.0</v>
      </c>
      <c r="B12839" s="1" t="s">
        <v>12724</v>
      </c>
      <c r="C12839" t="str">
        <f>IFERROR(__xludf.DUMMYFUNCTION("GOOGLETRANSLATE(B12839, ""es"", ""en"")"),"Mop good mainly for parquet. Carpenter advise me to clean the parquet as it dries microfiber well in the escorredero, and as one who says no water left. Buy it because € 26,95 put the truth that the best price we had found so far. I did not like how he go"&amp;"t the order. I arrive in the box unwrapped, you could tell it was the product. Came to blows on the box.")</f>
        <v>Mop good mainly for parquet. Carpenter advise me to clean the parquet as it dries microfiber well in the escorredero, and as one who says no water left. Buy it because € 26,95 put the truth that the best price we had found so far. I did not like how he got the order. I arrive in the box unwrapped, you could tell it was the product. Came to blows on the box.</v>
      </c>
    </row>
    <row r="12840">
      <c r="A12840" s="1">
        <v>5.0</v>
      </c>
      <c r="B12840" s="1" t="s">
        <v>12725</v>
      </c>
      <c r="C12840" t="str">
        <f>IFERROR(__xludf.DUMMYFUNCTION("GOOGLETRANSLATE(B12840, ""es"", ""en"")"),"Perfect! Perfect to improve the environment in your home, you have to buy fragrance oil and the small water tank provides for a 8h. You can even put several flashing colors. great product")</f>
        <v>Perfect! Perfect to improve the environment in your home, you have to buy fragrance oil and the small water tank provides for a 8h. You can even put several flashing colors. great product</v>
      </c>
    </row>
    <row r="12841">
      <c r="A12841" s="1">
        <v>5.0</v>
      </c>
      <c r="B12841" s="1" t="s">
        <v>12726</v>
      </c>
      <c r="C12841" t="str">
        <f>IFERROR(__xludf.DUMMYFUNCTION("GOOGLETRANSLATE(B12841, ""es"", ""en"")"),"10 for Skechers very happy. It's like riding on a pillow. And with Amazon he came very punctual.")</f>
        <v>10 for Skechers very happy. It's like riding on a pillow. And with Amazon he came very punctual.</v>
      </c>
    </row>
    <row r="12842">
      <c r="A12842" s="1">
        <v>5.0</v>
      </c>
      <c r="B12842" s="1" t="s">
        <v>12727</v>
      </c>
      <c r="C12842" t="str">
        <f>IFERROR(__xludf.DUMMYFUNCTION("GOOGLETRANSLATE(B12842, ""es"", ""en"")"),"It was my first SSD, and yet I have not seen reason to change Well I have spent several years working with HDD, thinking that the speed of my pc, was adequate. By quirk of fate, I had the opportunity to acquire new components, and chose to buy WD. In the "&amp;"same way that the WD Blue contented me, this has amazed me. It's fast, and although it has an incredible capacity, organized and serves for people who do not use programs that require large load speed.")</f>
        <v>It was my first SSD, and yet I have not seen reason to change Well I have spent several years working with HDD, thinking that the speed of my pc, was adequate. By quirk of fate, I had the opportunity to acquire new components, and chose to buy WD. In the same way that the WD Blue contented me, this has amazed me. It's fast, and although it has an incredible capacity, organized and serves for people who do not use programs that require large load speed.</v>
      </c>
    </row>
    <row r="12843">
      <c r="A12843" s="1">
        <v>5.0</v>
      </c>
      <c r="B12843" s="1" t="s">
        <v>12728</v>
      </c>
      <c r="C12843" t="str">
        <f>IFERROR(__xludf.DUMMYFUNCTION("GOOGLETRANSLATE(B12843, ""es"", ""en"")"),"Comfort All 👍")</f>
        <v>Comfort All 👍</v>
      </c>
    </row>
    <row r="12844">
      <c r="A12844" s="1">
        <v>5.0</v>
      </c>
      <c r="B12844" s="1" t="s">
        <v>12729</v>
      </c>
      <c r="C12844" t="str">
        <f>IFERROR(__xludf.DUMMYFUNCTION("GOOGLETRANSLATE(B12844, ""es"", ""en"")"),"4 years and would continue to function as the cable fault is very thin and too long. At the beginning they are very comfortable but wearing a while running and start sweating, they become unstable in the ear, reaching ever released on windy days. The soun"&amp;"d is very good and would use them daily, but sports are not the best I've tasted. I changed my review and although they are not the best for exercise, I took 4 years usually wearing them and never got in malfunction. They are more than made profitable sin"&amp;"ce they never have lasted long without earphones me begin to fail (either the connection or the handset jack). As a note saying they have placed from day pen a spring in cable-jack connection, because I've seen a hack that increases the durability of the "&amp;"headphones on and see that it works.")</f>
        <v>4 years and would continue to function as the cable fault is very thin and too long. At the beginning they are very comfortable but wearing a while running and start sweating, they become unstable in the ear, reaching ever released on windy days. The sound is very good and would use them daily, but sports are not the best I've tasted. I changed my review and although they are not the best for exercise, I took 4 years usually wearing them and never got in malfunction. They are more than made profitable since they never have lasted long without earphones me begin to fail (either the connection or the handset jack). As a note saying they have placed from day pen a spring in cable-jack connection, because I've seen a hack that increases the durability of the headphones on and see that it works.</v>
      </c>
    </row>
    <row r="12845">
      <c r="A12845" s="1">
        <v>5.0</v>
      </c>
      <c r="B12845" s="1" t="s">
        <v>12730</v>
      </c>
      <c r="C12845" t="str">
        <f>IFERROR(__xludf.DUMMYFUNCTION("GOOGLETRANSLATE(B12845, ""es"", ""en"")"),"It works perfectly works perfectly")</f>
        <v>It works perfectly works perfectly</v>
      </c>
    </row>
    <row r="12846">
      <c r="A12846" s="1">
        <v>5.0</v>
      </c>
      <c r="B12846" s="1" t="s">
        <v>12731</v>
      </c>
      <c r="C12846" t="str">
        <f>IFERROR(__xludf.DUMMYFUNCTION("GOOGLETRANSLATE(B12846, ""es"", ""en"")"),"Quality headphones at a good price I was looking for a wired headset to use while I'm sitting with laptop. Not looking for anything too because sometimes I get just a headset to listen to peers. I decided on this and I'm happy, sound good, even better tha"&amp;"n it did before coming to a mobile Samsung. The outside of the connector and the headset are metallic. The cable is wrapped in plastic, I guess it's to give more durability, but touch makes me weird. Recommended.")</f>
        <v>Quality headphones at a good price I was looking for a wired headset to use while I'm sitting with laptop. Not looking for anything too because sometimes I get just a headset to listen to peers. I decided on this and I'm happy, sound good, even better than it did before coming to a mobile Samsung. The outside of the connector and the headset are metallic. The cable is wrapped in plastic, I guess it's to give more durability, but touch makes me weird. Recommended.</v>
      </c>
    </row>
    <row r="12847">
      <c r="A12847" s="1">
        <v>5.0</v>
      </c>
      <c r="B12847" s="1" t="s">
        <v>12732</v>
      </c>
      <c r="C12847" t="str">
        <f>IFERROR(__xludf.DUMMYFUNCTION("GOOGLETRANSLATE(B12847, ""es"", ""en"")"),"Very full of the most complete, wide variety of functions. The sound quality is good high, comes with two cable to connect to the phone. It comes with two protective covers from the microphone to avoid causing further damage saliva, we all know that some "&amp;"buckshot can escape ...")</f>
        <v>Very full of the most complete, wide variety of functions. The sound quality is good high, comes with two cable to connect to the phone. It comes with two protective covers from the microphone to avoid causing further damage saliva, we all know that some buckshot can escape ...</v>
      </c>
    </row>
    <row r="12848">
      <c r="A12848" s="1">
        <v>5.0</v>
      </c>
      <c r="B12848" s="1" t="s">
        <v>12733</v>
      </c>
      <c r="C12848" t="str">
        <f>IFERROR(__xludf.DUMMYFUNCTION("GOOGLETRANSLATE(B12848, ""es"", ""en"")"),"Highly recommended was looking for something cheap but good quality and now fulfilled my expectations. The jar is plastic, which makes it somewhat cheaper, but is quite resistant to heat. I tried creams beat vegetables from the pot without problem. In the"&amp;"ory it has a cooling system ... but when you take a minute or so and begins to smell a bit like burning plastic. However, for normal use, one minute and you're all set. For its price, it has enough power, and best, it is very easy to scrub through the por"&amp;"tion of the blades is unscrewed. highly recommended")</f>
        <v>Highly recommended was looking for something cheap but good quality and now fulfilled my expectations. The jar is plastic, which makes it somewhat cheaper, but is quite resistant to heat. I tried creams beat vegetables from the pot without problem. In theory it has a cooling system ... but when you take a minute or so and begins to smell a bit like burning plastic. However, for normal use, one minute and you're all set. For its price, it has enough power, and best, it is very easy to scrub through the portion of the blades is unscrewed. highly recommended</v>
      </c>
    </row>
    <row r="12849">
      <c r="A12849" s="1">
        <v>5.0</v>
      </c>
      <c r="B12849" s="1" t="s">
        <v>12734</v>
      </c>
      <c r="C12849" t="str">
        <f>IFERROR(__xludf.DUMMYFUNCTION("GOOGLETRANSLATE(B12849, ""es"", ""en"")"),"Very happy with the purchase. It was a gift for a family is very happy. It fits perfectly and has very good sound. It comes with a bag to protect and easily collected.")</f>
        <v>Very happy with the purchase. It was a gift for a family is very happy. It fits perfectly and has very good sound. It comes with a bag to protect and easily collected.</v>
      </c>
    </row>
    <row r="12850">
      <c r="A12850" s="1">
        <v>5.0</v>
      </c>
      <c r="B12850" s="1" t="s">
        <v>12735</v>
      </c>
      <c r="C12850" t="str">
        <f>IFERROR(__xludf.DUMMYFUNCTION("GOOGLETRANSLATE(B12850, ""es"", ""en"")"),"Good sound quality and comfort. Very good sound. I advise buying. Good value for money")</f>
        <v>Good sound quality and comfort. Very good sound. I advise buying. Good value for money</v>
      </c>
    </row>
    <row r="12851">
      <c r="A12851" s="1">
        <v>5.0</v>
      </c>
      <c r="B12851" s="1" t="s">
        <v>12736</v>
      </c>
      <c r="C12851" t="str">
        <f>IFERROR(__xludf.DUMMYFUNCTION("GOOGLETRANSLATE(B12851, ""es"", ""en"")"),"What you can not steal recommend 100% works perfectly")</f>
        <v>What you can not steal recommend 100% works perfectly</v>
      </c>
    </row>
    <row r="12852">
      <c r="A12852" s="1">
        <v>5.0</v>
      </c>
      <c r="B12852" s="1" t="s">
        <v>12737</v>
      </c>
      <c r="C12852" t="str">
        <f>IFERROR(__xludf.DUMMYFUNCTION("GOOGLETRANSLATE(B12852, ""es"", ""en"")"),"It came super fast. Just perfect.")</f>
        <v>It came super fast. Just perfect.</v>
      </c>
    </row>
    <row r="12853">
      <c r="A12853" s="1">
        <v>5.0</v>
      </c>
      <c r="B12853" s="1" t="s">
        <v>12738</v>
      </c>
      <c r="C12853" t="str">
        <f>IFERROR(__xludf.DUMMYFUNCTION("GOOGLETRANSLATE(B12853, ""es"", ""en"")"),"Long battery life and very good sound can be heard very well and quickly connect miy, the battery lasts a lot, I caught half price when they were 40 €, 100% Recommended")</f>
        <v>Long battery life and very good sound can be heard very well and quickly connect miy, the battery lasts a lot, I caught half price when they were 40 €, 100% Recommended</v>
      </c>
    </row>
    <row r="12854">
      <c r="A12854" s="1">
        <v>5.0</v>
      </c>
      <c r="B12854" s="1" t="s">
        <v>12739</v>
      </c>
      <c r="C12854" t="str">
        <f>IFERROR(__xludf.DUMMYFUNCTION("GOOGLETRANSLATE(B12854, ""es"", ""en"")"),"The case serves as a mobile battery Headphones are designed to connect to any device including mobile via Bluetooth, you can also link separately, ie each handset with other devices. You can make phone calls without problem and clearly hear the other side"&amp;". Headphones fit very well to the ears, not easily escape, even sports training exercises. I love is that the cover where they keep the headphones can be used as a mobile battery to charge the headset. I love this purchase.")</f>
        <v>The case serves as a mobile battery Headphones are designed to connect to any device including mobile via Bluetooth, you can also link separately, ie each handset with other devices. You can make phone calls without problem and clearly hear the other side. Headphones fit very well to the ears, not easily escape, even sports training exercises. I love is that the cover where they keep the headphones can be used as a mobile battery to charge the headset. I love this purchase.</v>
      </c>
    </row>
    <row r="12855">
      <c r="A12855" s="1">
        <v>5.0</v>
      </c>
      <c r="B12855" s="1" t="s">
        <v>12740</v>
      </c>
      <c r="C12855" t="str">
        <f>IFERROR(__xludf.DUMMYFUNCTION("GOOGLETRANSLATE(B12855, ""es"", ""en"")"),"Desiree comfortable and very resistant. I asked for another number on the recommendation of some clients and I are great. I recommend to 100%")</f>
        <v>Desiree comfortable and very resistant. I asked for another number on the recommendation of some clients and I are great. I recommend to 100%</v>
      </c>
    </row>
    <row r="12856">
      <c r="A12856" s="1">
        <v>5.0</v>
      </c>
      <c r="B12856" s="1" t="s">
        <v>12741</v>
      </c>
      <c r="C12856" t="str">
        <f>IFERROR(__xludf.DUMMYFUNCTION("GOOGLETRANSLATE(B12856, ""es"", ""en"")"),"Pretty good for the price and very aesthetically pleasing confess I had seen this brand before, and even though the clock had struck me for aesthetics and range of colors used, I had not encouraged because it is one of those generic brands Chinese that th"&amp;"ey appear without any real backing and names that sound interesting (or you want interesting sonar) to a European public; then assumed that any clock would, in the end and Cape, nothing but a bungling. But is not the case. Apparently this is, rather, the "&amp;"other case, that of Chinese companies wanting to do things of good quality with good presentation at a bargain price. I was surprised what you get for 20 € with this clock (below delved into it). Without a doubt this watch for 20 € shames other watches in"&amp;" the same or even lower quality brands hold 60-90 €, Kokomo type (ara who wants to read a review about a dreadful clock, has in my profile) or brands even more exorbitant prices as are Hugo Boss, Calvin Klein, Tommy Hilgigher, etc., etc., all watches that"&amp;" take advantage of its brands have a fair design, they charge € 200-300 but, inside, they have exactly the same mechanism as this watch 20 €: Seiko certainly a mechanism which costs between 2-5 €! I open this watch to be sure, but put his hands fire that,"&amp;" like most cheap quartz watches, this watch has a mechanism Seiko. And I definitely know that clocks 200-300 € I mention above have the same, exact mechanism. As they hear, without exaggeration. What you pay for in terms of watches ""mid-range"" it is the"&amp;" design, nothing more; or rather, the brand, as several of these are fairly generic designs. If you want a watch that truly offers something new and offers quality, proprietary mechanisms, and unique and exceptional design, because you have to go and abov"&amp;"e € 2,000-3,000, find yourself a Rolex, Hamilton, Patek Philippe, etc. But while not aspire to something so expensive, better know which accounts under the shell and find out why exactly you are spending your money and if, then, it is worth. The descripti"&amp;"on corroborates the possibility of my suspicion with regard to the movement, as mentioned is a Japanese quartz movement. It is true that Seiko watches using movements tend to say but I have encountered this kind watches and this range is not mentioned, be"&amp;"cause they are not aimed at an audience that knows or cares that sort of thing. In any case, the important point here is that when they put in the description ""KEEP TIME PRECISE"" are not lying or exaggerating, because quartz movements are as simple and "&amp;"cheap there, and also the most functional and confidence and, then, yes, even a clock 20 € or cheaper you can keep accurate time without problem. The problem with cheap watches is that they usually place them needles badly and then, especially in the seco"&amp;"nd hand, note that the needle does not fall precisely on the latter. In this case I have not noticed anything of the genre but I must mention that having the second hand on a separate face, and this being so small, unmarked for every second, it's almost i"&amp;"mpossible to know exactly where the needle drops when certain brand seconds . However, I think it has been well placed or well enough for my critical look should find nothing to reproach. Well, no longer talking about what my experience would be inside th"&amp;"e clock, obviously you do not get a known or recognized brand but you get a watch that works perfectly well without reproach, and it has a very nice design: elegant, simple Sparse and with a range of unusual colors. The needles have a cute design and move"&amp;"ment chosen which has the second on a separate face below gives a touch of old-world elegance, maybe some distinction that could separate watches with movements more ""traditional"" watches, ie , with the second on the same face needles hour and minute. T"&amp;"he materials are good, but only the belt is stainless steel and the box is rather zinc alloy. However, I find that's quite common with watches in this range. So it seems to be quite robust and also promises some resistance to being wet (although I would r"&amp;"ecommend not to go swimming with him, of course). Speaking of strength, the glass feels very good quality, so that probably robust. The description says that mineral glass is high hardness, so that also promises good scratch resistance. But the detail tha"&amp;"t I liked and that you can not see in the pictures of the product is that the crystal has is slightly domed, which not only magnifies the face of the clock, but it gives that extra touch that separates it from ""normal"" watches. The truth that a vaulted "&amp;"glass, even slightly domed, like this, put on a watch where it goes well, makes it look considerably better a clock that otherwise might be pretty ""meh"". Another thing I liked is that, despite not using another color on the face, marked the hours in low"&amp;" relief, which is just but it is there available to you when you see the time and need of these guidelines and also gives another touch of distinction. In similar terms, the only detail that I did not like so much is the inclusion of the 60 in red on the "&amp;"second hand. It is certainly something very personal but I think cleanliness and minimalism of the entire face breaks significantly in such detail, however, are of no use, because it makes no sense to mark 60 seconds, much less the number 6-0, especially "&amp;"considering that you have not marked any other number ... If, on the other hand, had wanted to make interesting and had marked, for example, 10 or 43, ie, completely breaking the rules , rather, assuming that are making this for all tastes, it has no prac"&amp;"tical meaning, and then they were checking anything, I'd better come the fact that there are two numbers in red highlight on one side perfectly black and then draw attention. But, as I say, it is a detail. Anyway, I do not know if the design must attribut"&amp;"e it to the frame or is a copy of another watch but I think it is very well done. And that copy or not, this brand has done or reproduced with complete success, great tact and with a finish that can not be criticized for anything. Finally, the presentatio"&amp;"n is much better than most watches range and the price I've had, because it comes with a proper (even cute) display box, well protected there with foam, belts protected under a plastic and even it comes with a tool watchmaker to adjust the strap to your t"&amp;"aste and need. 20 € I think you would rather go worse than that-I received watches that come in a simple plastic bag without any protection ... conclude by saying that I do love the watches but the truth is that if you do not invest a good mechanism'll ha"&amp;"ve a clock impractical and will bring headaches. Much better to pay a much cheaper watch but with a quartz movement ... will not be anything fancy, and you know you have something cheap on the wrist, but at the least it will be reliable and will give you "&amp;"a good time, and last a long time before the battery runs out and you have to change it. In terms of clocks, so unfortunately the thing works. Well, this is the case of a cheap watch that looks good and has a quartz movement inside, so it is reliable. Tha"&amp;"t will give you a precise time here until it begins to fail loading, it is probably true (unless you come the mechanism failed). So if you can not or do not want to invest in a good and expensive watch, you better invest in a nice one with good design tha"&amp;"t you like, that is of any unknown brand, but with a Seiko movement inside, and cost considerably cheaper. It is done. If you are not a lover of watches, this watch I mention you happy and will probably not let you down for long. This is a good candidate,"&amp;" because for the money offered enough. And I think that design is the best ever, even better than some of those watches more expensive than I mention above, or watches as Daniel Wellington that is so fashionable now (for wearing belts NATO) and me I look "&amp;"like a armed robbery, because without a doubt the design or materials much less movement are better than what comes in this watch.")</f>
        <v>Pretty good for the price and very aesthetically pleasing confess I had seen this brand before, and even though the clock had struck me for aesthetics and range of colors used, I had not encouraged because it is one of those generic brands Chinese that they appear without any real backing and names that sound interesting (or you want interesting sonar) to a European public; then assumed that any clock would, in the end and Cape, nothing but a bungling. But is not the case. Apparently this is, rather, the other case, that of Chinese companies wanting to do things of good quality with good presentation at a bargain price. I was surprised what you get for 20 € with this clock (below delved into it). Without a doubt this watch for 20 € shames other watches in the same or even lower quality brands hold 60-90 €, Kokomo type (ara who wants to read a review about a dreadful clock, has in my profile) or brands even more exorbitant prices as are Hugo Boss, Calvin Klein, Tommy Hilgigher, etc., etc., all watches that take advantage of its brands have a fair design, they charge € 200-300 but, inside, they have exactly the same mechanism as this watch 20 €: Seiko certainly a mechanism which costs between 2-5 €! I open this watch to be sure, but put his hands fire that, like most cheap quartz watches, this watch has a mechanism Seiko. And I definitely know that clocks 200-300 € I mention above have the same, exact mechanism. As they hear, without exaggeration. What you pay for in terms of watches "mid-range" it is the design, nothing more; or rather, the brand, as several of these are fairly generic designs. If you want a watch that truly offers something new and offers quality, proprietary mechanisms, and unique and exceptional design, because you have to go and above € 2,000-3,000, find yourself a Rolex, Hamilton, Patek Philippe, etc. But while not aspire to something so expensive, better know which accounts under the shell and find out why exactly you are spending your money and if, then, it is worth. The description corroborates the possibility of my suspicion with regard to the movement, as mentioned is a Japanese quartz movement. It is true that Seiko watches using movements tend to say but I have encountered this kind watches and this range is not mentioned, because they are not aimed at an audience that knows or cares that sort of thing. In any case, the important point here is that when they put in the description "KEEP TIME PRECISE" are not lying or exaggerating, because quartz movements are as simple and cheap there, and also the most functional and confidence and, then, yes, even a clock 20 € or cheaper you can keep accurate time without problem. The problem with cheap watches is that they usually place them needles badly and then, especially in the second hand, note that the needle does not fall precisely on the latter. In this case I have not noticed anything of the genre but I must mention that having the second hand on a separate face, and this being so small, unmarked for every second, it's almost impossible to know exactly where the needle drops when certain brand seconds . However, I think it has been well placed or well enough for my critical look should find nothing to reproach. Well, no longer talking about what my experience would be inside the clock, obviously you do not get a known or recognized brand but you get a watch that works perfectly well without reproach, and it has a very nice design: elegant, simple Sparse and with a range of unusual colors. The needles have a cute design and movement chosen which has the second on a separate face below gives a touch of old-world elegance, maybe some distinction that could separate watches with movements more "traditional" watches, ie , with the second on the same face needles hour and minute. The materials are good, but only the belt is stainless steel and the box is rather zinc alloy. However, I find that's quite common with watches in this range. So it seems to be quite robust and also promises some resistance to being wet (although I would recommend not to go swimming with him, of course). Speaking of strength, the glass feels very good quality, so that probably robust. The description says that mineral glass is high hardness, so that also promises good scratch resistance. But the detail that I liked and that you can not see in the pictures of the product is that the crystal has is slightly domed, which not only magnifies the face of the clock, but it gives that extra touch that separates it from "normal" watches. The truth that a vaulted glass, even slightly domed, like this, put on a watch where it goes well, makes it look considerably better a clock that otherwise might be pretty "meh". Another thing I liked is that, despite not using another color on the face, marked the hours in low relief, which is just but it is there available to you when you see the time and need of these guidelines and also gives another touch of distinction. In similar terms, the only detail that I did not like so much is the inclusion of the 60 in red on the second hand. It is certainly something very personal but I think cleanliness and minimalism of the entire face breaks significantly in such detail, however, are of no use, because it makes no sense to mark 60 seconds, much less the number 6-0, especially considering that you have not marked any other number ... If, on the other hand, had wanted to make interesting and had marked, for example, 10 or 43, ie, completely breaking the rules , rather, assuming that are making this for all tastes, it has no practical meaning, and then they were checking anything, I'd better come the fact that there are two numbers in red highlight on one side perfectly black and then draw attention. But, as I say, it is a detail. Anyway, I do not know if the design must attribute it to the frame or is a copy of another watch but I think it is very well done. And that copy or not, this brand has done or reproduced with complete success, great tact and with a finish that can not be criticized for anything. Finally, the presentation is much better than most watches range and the price I've had, because it comes with a proper (even cute) display box, well protected there with foam, belts protected under a plastic and even it comes with a tool watchmaker to adjust the strap to your taste and need. 20 € I think you would rather go worse than that-I received watches that come in a simple plastic bag without any protection ... conclude by saying that I do love the watches but the truth is that if you do not invest a good mechanism'll have a clock impractical and will bring headaches. Much better to pay a much cheaper watch but with a quartz movement ... will not be anything fancy, and you know you have something cheap on the wrist, but at the least it will be reliable and will give you a good time, and last a long time before the battery runs out and you have to change it. In terms of clocks, so unfortunately the thing works. Well, this is the case of a cheap watch that looks good and has a quartz movement inside, so it is reliable. That will give you a precise time here until it begins to fail loading, it is probably true (unless you come the mechanism failed). So if you can not or do not want to invest in a good and expensive watch, you better invest in a nice one with good design that you like, that is of any unknown brand, but with a Seiko movement inside, and cost considerably cheaper. It is done. If you are not a lover of watches, this watch I mention you happy and will probably not let you down for long. This is a good candidate, because for the money offered enough. And I think that design is the best ever, even better than some of those watches more expensive than I mention above, or watches as Daniel Wellington that is so fashionable now (for wearing belts NATO) and me I look like a armed robbery, because without a doubt the design or materials much less movement are better than what comes in this watch.</v>
      </c>
    </row>
    <row r="12857">
      <c r="A12857" s="1">
        <v>5.0</v>
      </c>
      <c r="B12857" s="1" t="s">
        <v>12742</v>
      </c>
      <c r="C12857" t="str">
        <f>IFERROR(__xludf.DUMMYFUNCTION("GOOGLETRANSLATE(B12857, ""es"", ""en"")"),"Great quality and good price. My baby does not want other")</f>
        <v>Great quality and good price. My baby does not want other</v>
      </c>
    </row>
    <row r="12858">
      <c r="A12858" s="1">
        <v>5.0</v>
      </c>
      <c r="B12858" s="1" t="s">
        <v>12743</v>
      </c>
      <c r="C12858" t="str">
        <f>IFERROR(__xludf.DUMMYFUNCTION("GOOGLETRANSLATE(B12858, ""es"", ""en"")"),"It is chulisima is great, it's great you can do lot of things in her")</f>
        <v>It is chulisima is great, it's great you can do lot of things in her</v>
      </c>
    </row>
    <row r="12859">
      <c r="A12859" s="1">
        <v>2.0</v>
      </c>
      <c r="B12859" s="1" t="s">
        <v>12744</v>
      </c>
      <c r="C12859" t="str">
        <f>IFERROR(__xludf.DUMMYFUNCTION("GOOGLETRANSLATE(B12859, ""es"", ""en"")"),"Superior siiiiiii time will tell but it does not look bad value for money")</f>
        <v>Superior siiiiiii time will tell but it does not look bad value for money</v>
      </c>
    </row>
    <row r="12860">
      <c r="A12860" s="1">
        <v>3.0</v>
      </c>
      <c r="B12860" s="1" t="s">
        <v>12745</v>
      </c>
      <c r="C12860" t="str">
        <f>IFERROR(__xludf.DUMMYFUNCTION("GOOGLETRANSLATE(B12860, ""es"", ""en"")"),"Meh Good choice to become familiar with this sort of thing.")</f>
        <v>Meh Good choice to become familiar with this sort of thing.</v>
      </c>
    </row>
    <row r="12861">
      <c r="A12861" s="1">
        <v>1.0</v>
      </c>
      <c r="B12861" s="1" t="s">
        <v>12746</v>
      </c>
      <c r="C12861" t="str">
        <f>IFERROR(__xludf.DUMMYFUNCTION("GOOGLETRANSLATE(B12861, ""es"", ""en"")"),"It has coin for 2 € till 1 cent look to be very hard and tough but come with a very sleazy, full of cracks and bumps that how robust is it an had to make the frabricarlos. I'll see if I return because I was in a hurry to have it and now I look at a compro"&amp;"mise. But I not recommend it.")</f>
        <v>It has coin for 2 € till 1 cent look to be very hard and tough but come with a very sleazy, full of cracks and bumps that how robust is it an had to make the frabricarlos. I'll see if I return because I was in a hurry to have it and now I look at a compromise. But I not recommend it.</v>
      </c>
    </row>
    <row r="12862">
      <c r="A12862" s="1">
        <v>1.0</v>
      </c>
      <c r="B12862" s="1" t="s">
        <v>12747</v>
      </c>
      <c r="C12862" t="str">
        <f>IFERROR(__xludf.DUMMYFUNCTION("GOOGLETRANSLATE(B12862, ""es"", ""en"")"),"IS A SCAM The hands glow in the dark by the snobby '' I bought it for just that. Otherwise a watch Moors and little else. I'll buy here for a long time, something we should do and we would avoid all returns and other crap.")</f>
        <v>IS A SCAM The hands glow in the dark by the snobby '' I bought it for just that. Otherwise a watch Moors and little else. I'll buy here for a long time, something we should do and we would avoid all returns and other crap.</v>
      </c>
    </row>
    <row r="12863">
      <c r="A12863" s="1">
        <v>4.0</v>
      </c>
      <c r="B12863" s="1" t="s">
        <v>12748</v>
      </c>
      <c r="C12863" t="str">
        <f>IFERROR(__xludf.DUMMYFUNCTION("GOOGLETRANSLATE(B12863, ""es"", ""en"")"),"Tarja SD memory per MOBIL No hi ha molta thing to comment is an SD memory Tarja expand per l'emmagatzematge of the mòbil. The preu was molt bo, i l'enviament per part d'Amazon, com semper, rapidíssim.")</f>
        <v>Tarja SD memory per MOBIL No hi ha molta thing to comment is an SD memory Tarja expand per l'emmagatzematge of the mòbil. The preu was molt bo, i l'enviament per part d'Amazon, com semper, rapidíssim.</v>
      </c>
    </row>
    <row r="12864">
      <c r="A12864" s="1">
        <v>4.0</v>
      </c>
      <c r="B12864" s="1" t="s">
        <v>12749</v>
      </c>
      <c r="C12864" t="str">
        <f>IFERROR(__xludf.DUMMYFUNCTION("GOOGLETRANSLATE(B12864, ""es"", ""en"")"),"Well suited Size")</f>
        <v>Well suited Size</v>
      </c>
    </row>
    <row r="12865">
      <c r="A12865" s="1">
        <v>4.0</v>
      </c>
      <c r="B12865" s="1" t="s">
        <v>12750</v>
      </c>
      <c r="C12865" t="str">
        <f>IFERROR(__xludf.DUMMYFUNCTION("GOOGLETRANSLATE(B12865, ""es"", ""en"")"),"New Balance black-orange expected for this type of footwear. 40 € fine. I would not pay more for sneakers textile and rubber EVA.")</f>
        <v>New Balance black-orange expected for this type of footwear. 40 € fine. I would not pay more for sneakers textile and rubber EVA.</v>
      </c>
    </row>
    <row r="12866">
      <c r="A12866" s="1">
        <v>4.0</v>
      </c>
      <c r="B12866" s="1" t="s">
        <v>12751</v>
      </c>
      <c r="C12866" t="str">
        <f>IFERROR(__xludf.DUMMYFUNCTION("GOOGLETRANSLATE(B12866, ""es"", ""en"")"),"Image does not correspond to the order I ordered the shoes as he had always used smooth holes and I sent them without holes to the end of the workday I remember perspiration misses")</f>
        <v>Image does not correspond to the order I ordered the shoes as he had always used smooth holes and I sent them without holes to the end of the workday I remember perspiration misses</v>
      </c>
    </row>
    <row r="12867">
      <c r="A12867" s="1">
        <v>4.0</v>
      </c>
      <c r="B12867" s="1" t="s">
        <v>12752</v>
      </c>
      <c r="C12867" t="str">
        <f>IFERROR(__xludf.DUMMYFUNCTION("GOOGLETRANSLATE(B12867, ""es"", ""en"")"),"Comfortable !! Comfortable and very nice ... just weigh.")</f>
        <v>Comfortable !! Comfortable and very nice ... just weigh.</v>
      </c>
    </row>
    <row r="12868">
      <c r="A12868" s="1">
        <v>5.0</v>
      </c>
      <c r="B12868" s="1" t="s">
        <v>12753</v>
      </c>
      <c r="C12868" t="str">
        <f>IFERROR(__xludf.DUMMYFUNCTION("GOOGLETRANSLATE(B12868, ""es"", ""en"")"),"Very original and comfortable nice. They are the originals. Very comfortable.")</f>
        <v>Very original and comfortable nice. They are the originals. Very comfortable.</v>
      </c>
    </row>
    <row r="12869">
      <c r="A12869" s="1">
        <v>5.0</v>
      </c>
      <c r="B12869" s="1" t="s">
        <v>12754</v>
      </c>
      <c r="C12869" t="str">
        <f>IFERROR(__xludf.DUMMYFUNCTION("GOOGLETRANSLATE(B12869, ""es"", ""en"")"),"It was a good buy gift for a family was right. Comfortable and perfect size.")</f>
        <v>It was a good buy gift for a family was right. Comfortable and perfect size.</v>
      </c>
    </row>
    <row r="12870">
      <c r="A12870" s="1">
        <v>5.0</v>
      </c>
      <c r="B12870" s="1" t="s">
        <v>12755</v>
      </c>
      <c r="C12870" t="str">
        <f>IFERROR(__xludf.DUMMYFUNCTION("GOOGLETRANSLATE(B12870, ""es"", ""en"")"),"Good Casio watch. Good mark. Adjustable. Submersible. Light. I take 2 years in and not given me problems. When it breaks I'll buy another.")</f>
        <v>Good Casio watch. Good mark. Adjustable. Submersible. Light. I take 2 years in and not given me problems. When it breaks I'll buy another.</v>
      </c>
    </row>
    <row r="12871">
      <c r="A12871" s="1">
        <v>5.0</v>
      </c>
      <c r="B12871" s="1" t="s">
        <v>12756</v>
      </c>
      <c r="C12871" t="str">
        <f>IFERROR(__xludf.DUMMYFUNCTION("GOOGLETRANSLATE(B12871, ""es"", ""en"")"),"Quality Good quality, go with batteries.")</f>
        <v>Quality Good quality, go with batteries.</v>
      </c>
    </row>
    <row r="12872">
      <c r="A12872" s="1">
        <v>5.0</v>
      </c>
      <c r="B12872" s="1" t="s">
        <v>12757</v>
      </c>
      <c r="C12872" t="str">
        <f>IFERROR(__xludf.DUMMYFUNCTION("GOOGLETRANSLATE(B12872, ""es"", ""en"")"),"Original I match with a k TBM buy flowers at Amazon for a wedding headdress pars")</f>
        <v>Original I match with a k TBM buy flowers at Amazon for a wedding headdress pars</v>
      </c>
    </row>
    <row r="12873">
      <c r="A12873" s="1">
        <v>5.0</v>
      </c>
      <c r="B12873" s="1" t="s">
        <v>12758</v>
      </c>
      <c r="C12873" t="str">
        <f>IFERROR(__xludf.DUMMYFUNCTION("GOOGLETRANSLATE(B12873, ""es"", ""en"")"),"These comfortable and very nice crocs with borreguito are comfortable and warm in very good option for winter. I bought a size more than my usual size and I are perfect, with and without socks.")</f>
        <v>These comfortable and very nice crocs with borreguito are comfortable and warm in very good option for winter. I bought a size more than my usual size and I are perfect, with and without socks.</v>
      </c>
    </row>
    <row r="12874">
      <c r="A12874" s="1">
        <v>5.0</v>
      </c>
      <c r="B12874" s="1" t="s">
        <v>12759</v>
      </c>
      <c r="C12874" t="str">
        <f>IFERROR(__xludf.DUMMYFUNCTION("GOOGLETRANSLATE(B12874, ""es"", ""en"")"),"pleased with the purchase I use it almost daily and is luxury with vegetable purees and fruit batisdos. Leaves it well enough, for the price you have this phenomenal. I recommend buying this product.")</f>
        <v>pleased with the purchase I use it almost daily and is luxury with vegetable purees and fruit batisdos. Leaves it well enough, for the price you have this phenomenal. I recommend buying this product.</v>
      </c>
    </row>
    <row r="12875">
      <c r="A12875" s="1">
        <v>5.0</v>
      </c>
      <c r="B12875" s="1" t="s">
        <v>12760</v>
      </c>
      <c r="C12875" t="str">
        <f>IFERROR(__xludf.DUMMYFUNCTION("GOOGLETRANSLATE(B12875, ""es"", ""en"")"),"Record whatever the Great mobile in my case I use it on android, not going well but I found him the trick. I think that's the model of Huawei. But it works. I successfully POCKET OPERATOR and recorded with the phone, the quality is the best I could get ev"&amp;"en with other teams. Fully recommended to record any device on the phone as line input. Splitter used for clear monitoring.")</f>
        <v>Record whatever the Great mobile in my case I use it on android, not going well but I found him the trick. I think that's the model of Huawei. But it works. I successfully POCKET OPERATOR and recorded with the phone, the quality is the best I could get even with other teams. Fully recommended to record any device on the phone as line input. Splitter used for clear monitoring.</v>
      </c>
    </row>
    <row r="12876">
      <c r="A12876" s="1">
        <v>5.0</v>
      </c>
      <c r="B12876" s="1" t="s">
        <v>12761</v>
      </c>
      <c r="C12876" t="str">
        <f>IFERROR(__xludf.DUMMYFUNCTION("GOOGLETRANSLATE(B12876, ""es"", ""en"")"),"Humidifier practical and elegant addition to being a diffuser, aromatherapy, nuy is nice in the room. To choose the color tb is a point in his favor.")</f>
        <v>Humidifier practical and elegant addition to being a diffuser, aromatherapy, nuy is nice in the room. To choose the color tb is a point in his favor.</v>
      </c>
    </row>
    <row r="12877">
      <c r="A12877" s="1">
        <v>5.0</v>
      </c>
      <c r="B12877" s="1" t="s">
        <v>12762</v>
      </c>
      <c r="C12877" t="str">
        <f>IFERROR(__xludf.DUMMYFUNCTION("GOOGLETRANSLATE(B12877, ""es"", ""en"")"),"Fantastico, great price and very useful Fantastico i very very good quality")</f>
        <v>Fantastico, great price and very useful Fantastico i very very good quality</v>
      </c>
    </row>
    <row r="12878">
      <c r="A12878" s="1">
        <v>5.0</v>
      </c>
      <c r="B12878" s="1" t="s">
        <v>12763</v>
      </c>
      <c r="C12878" t="str">
        <f>IFERROR(__xludf.DUMMYFUNCTION("GOOGLETRANSLATE(B12878, ""es"", ""en"")"),"Perfect !!!! If you want to combine breastfeeding with bottles these are the best out there, I have not had any problems with my baby in 1mes engages exactly like breast and bottle. The materials are of good quality, I recommend 100%")</f>
        <v>Perfect !!!! If you want to combine breastfeeding with bottles these are the best out there, I have not had any problems with my baby in 1mes engages exactly like breast and bottle. The materials are of good quality, I recommend 100%</v>
      </c>
    </row>
    <row r="12879">
      <c r="A12879" s="1">
        <v>5.0</v>
      </c>
      <c r="B12879" s="1" t="s">
        <v>12764</v>
      </c>
      <c r="C12879" t="str">
        <f>IFERROR(__xludf.DUMMYFUNCTION("GOOGLETRANSLATE(B12879, ""es"", ""en"")"),"Similarity to the original Comfortable and very similar to the originals. Second time the buy")</f>
        <v>Similarity to the original Comfortable and very similar to the originals. Second time the buy</v>
      </c>
    </row>
    <row r="12880">
      <c r="A12880" s="1">
        <v>5.0</v>
      </c>
      <c r="B12880" s="1" t="s">
        <v>12765</v>
      </c>
      <c r="C12880" t="str">
        <f>IFERROR(__xludf.DUMMYFUNCTION("GOOGLETRANSLATE(B12880, ""es"", ""en"")"),"Very good is going great great great")</f>
        <v>Very good is going great great great</v>
      </c>
    </row>
    <row r="12881">
      <c r="A12881" s="1">
        <v>5.0</v>
      </c>
      <c r="B12881" s="1" t="s">
        <v>12766</v>
      </c>
      <c r="C12881" t="str">
        <f>IFERROR(__xludf.DUMMYFUNCTION("GOOGLETRANSLATE(B12881, ""es"", ""en"")"),"Excellent Good product, arrived early and trotted excellent seller, recommended")</f>
        <v>Excellent Good product, arrived early and trotted excellent seller, recommended</v>
      </c>
    </row>
    <row r="12882">
      <c r="A12882" s="1">
        <v>5.0</v>
      </c>
      <c r="B12882" s="1" t="s">
        <v>12767</v>
      </c>
      <c r="C12882" t="str">
        <f>IFERROR(__xludf.DUMMYFUNCTION("GOOGLETRANSLATE(B12882, ""es"", ""en"")"),"PENDING PENDING WITH REFLECTIONS very flattering, ORIGINAL. BUT THE CARRIAGE BETWEEN THE STICKS AND CUBES NO pressurizers, from time to LEAKING and you have to hook them; UNIONS MAY BE SEALED")</f>
        <v>PENDING PENDING WITH REFLECTIONS very flattering, ORIGINAL. BUT THE CARRIAGE BETWEEN THE STICKS AND CUBES NO pressurizers, from time to LEAKING and you have to hook them; UNIONS MAY BE SEALED</v>
      </c>
    </row>
    <row r="12883">
      <c r="A12883" s="1">
        <v>5.0</v>
      </c>
      <c r="B12883" s="1" t="s">
        <v>12768</v>
      </c>
      <c r="C12883" t="str">
        <f>IFERROR(__xludf.DUMMYFUNCTION("GOOGLETRANSLATE(B12883, ""es"", ""en"")"),"It goes well takes little time but great time. 1400MB / sec port PCI macpro 5.1")</f>
        <v>It goes well takes little time but great time. 1400MB / sec port PCI macpro 5.1</v>
      </c>
    </row>
    <row r="12884">
      <c r="A12884" s="1">
        <v>5.0</v>
      </c>
      <c r="B12884" s="1" t="s">
        <v>12769</v>
      </c>
      <c r="C12884" t="str">
        <f>IFERROR(__xludf.DUMMYFUNCTION("GOOGLETRANSLATE(B12884, ""es"", ""en"")"),"perfect Bonito")</f>
        <v>perfect Bonito</v>
      </c>
    </row>
    <row r="12885">
      <c r="A12885" s="1">
        <v>5.0</v>
      </c>
      <c r="B12885" s="1" t="s">
        <v>12770</v>
      </c>
      <c r="C12885" t="str">
        <f>IFERROR(__xludf.DUMMYFUNCTION("GOOGLETRANSLATE(B12885, ""es"", ""en"")"),"Are resistant Though a bit different from the original design and quality that meet very well think its function. The would buy, I think the money is very good.")</f>
        <v>Are resistant Though a bit different from the original design and quality that meet very well think its function. The would buy, I think the money is very good.</v>
      </c>
    </row>
    <row r="12886">
      <c r="A12886" s="1">
        <v>5.0</v>
      </c>
      <c r="B12886" s="1" t="s">
        <v>12771</v>
      </c>
      <c r="C12886" t="str">
        <f>IFERROR(__xludf.DUMMYFUNCTION("GOOGLETRANSLATE(B12886, ""es"", ""en"")"),"All perfect. All perfect. Seller 100% recommended.")</f>
        <v>All perfect. All perfect. Seller 100% recommended.</v>
      </c>
    </row>
    <row r="12887">
      <c r="A12887" s="1">
        <v>2.0</v>
      </c>
      <c r="B12887" s="1" t="s">
        <v>12772</v>
      </c>
      <c r="C12887" t="str">
        <f>IFERROR(__xludf.DUMMYFUNCTION("GOOGLETRANSLATE(B12887, ""es"", ""en"")"),"Product bad feeling I bought it for a gift and comes in a cardboard box, the feeling of imitation. I hope it works well for less and do not lose color easily")</f>
        <v>Product bad feeling I bought it for a gift and comes in a cardboard box, the feeling of imitation. I hope it works well for less and do not lose color easily</v>
      </c>
    </row>
    <row r="12888">
      <c r="A12888" s="1">
        <v>3.0</v>
      </c>
      <c r="B12888" s="1" t="s">
        <v>12773</v>
      </c>
      <c r="C12888" t="str">
        <f>IFERROR(__xludf.DUMMYFUNCTION("GOOGLETRANSLATE(B12888, ""es"", ""en"")"),"Well if not professional use Not bad for the price it is, but maybe worth the spend worth more money and buy something better I see a stick to support, you take off the gums and costs a little it securely it is somewhat fragile but the end has been fixed "&amp;"me. The cable is not good and if you want better quality, I advise you buy another. I bought it because it was recording the stories of the computer and wanted to improve my recordings, but honestly I notice the difference is quite small. Good mic for kar"&amp;"aoke or to liven up a party, but if you want something more professional, should invest more money.")</f>
        <v>Well if not professional use Not bad for the price it is, but maybe worth the spend worth more money and buy something better I see a stick to support, you take off the gums and costs a little it securely it is somewhat fragile but the end has been fixed me. The cable is not good and if you want better quality, I advise you buy another. I bought it because it was recording the stories of the computer and wanted to improve my recordings, but honestly I notice the difference is quite small. Good mic for karaoke or to liven up a party, but if you want something more professional, should invest more money.</v>
      </c>
    </row>
    <row r="12889">
      <c r="A12889" s="1">
        <v>3.0</v>
      </c>
      <c r="B12889" s="1" t="s">
        <v>12774</v>
      </c>
      <c r="C12889" t="str">
        <f>IFERROR(__xludf.DUMMYFUNCTION("GOOGLETRANSLATE(B12889, ""es"", ""en"")"),"Luis Miguel. They are missing screws. The silicone support to attach the strap is not robust and eventually breaking. Too expensive for what it is.")</f>
        <v>Luis Miguel. They are missing screws. The silicone support to attach the strap is not robust and eventually breaking. Too expensive for what it is.</v>
      </c>
    </row>
    <row r="12890">
      <c r="A12890" s="1">
        <v>1.0</v>
      </c>
      <c r="B12890" s="1" t="s">
        <v>12775</v>
      </c>
      <c r="C12890" t="str">
        <f>IFERROR(__xludf.DUMMYFUNCTION("GOOGLETRANSLATE(B12890, ""es"", ""en"")"),"They are not stereo. Despite what the description says ""HD stereo"" are monkey, although the stereophonic sound source is exactly the same for both headphones if you pass the test of the PC you see it right away. Do not waste time and money buying these "&amp;"headphones, most importantly fails.")</f>
        <v>They are not stereo. Despite what the description says "HD stereo" are monkey, although the stereophonic sound source is exactly the same for both headphones if you pass the test of the PC you see it right away. Do not waste time and money buying these headphones, most importantly fails.</v>
      </c>
    </row>
    <row r="12891">
      <c r="A12891" s="1">
        <v>1.0</v>
      </c>
      <c r="B12891" s="1" t="s">
        <v>12776</v>
      </c>
      <c r="C12891" t="str">
        <f>IFERROR(__xludf.DUMMYFUNCTION("GOOGLETRANSLATE(B12891, ""es"", ""en"")"),"It's not just not the same, this is normal, X took the dolls for my 3 year old son and Tatu, but nothing came 3 in a bag and listo..Me like to buy what you see q no fool .. Xq this was little thing and if it becomes more.")</f>
        <v>It's not just not the same, this is normal, X took the dolls for my 3 year old son and Tatu, but nothing came 3 in a bag and listo..Me like to buy what you see q no fool .. Xq this was little thing and if it becomes more.</v>
      </c>
    </row>
    <row r="12892">
      <c r="A12892" s="1">
        <v>4.0</v>
      </c>
      <c r="B12892" s="1" t="s">
        <v>12777</v>
      </c>
      <c r="C12892" t="str">
        <f>IFERROR(__xludf.DUMMYFUNCTION("GOOGLETRANSLATE(B12892, ""es"", ""en"")"),"I love are smaller than it looks in the picture But I like it anyway ¡¡¡")</f>
        <v>I love are smaller than it looks in the picture But I like it anyway ¡¡¡</v>
      </c>
    </row>
    <row r="12893">
      <c r="A12893" s="1">
        <v>4.0</v>
      </c>
      <c r="B12893" s="1" t="s">
        <v>12778</v>
      </c>
      <c r="C12893" t="str">
        <f>IFERROR(__xludf.DUMMYFUNCTION("GOOGLETRANSLATE(B12893, ""es"", ""en"")"),"GOOD BUY All good")</f>
        <v>GOOD BUY All good</v>
      </c>
    </row>
    <row r="12894">
      <c r="A12894" s="1">
        <v>4.0</v>
      </c>
      <c r="B12894" s="1" t="s">
        <v>12779</v>
      </c>
      <c r="C12894" t="str">
        <f>IFERROR(__xludf.DUMMYFUNCTION("GOOGLETRANSLATE(B12894, ""es"", ""en"")"),"Good quality; for technical use. Good quality; lightweight materials and modern design, durable and. Flexible for use with pencil, ink pen ... Not cheap but quality.")</f>
        <v>Good quality; for technical use. Good quality; lightweight materials and modern design, durable and. Flexible for use with pencil, ink pen ... Not cheap but quality.</v>
      </c>
    </row>
    <row r="12895">
      <c r="A12895" s="1">
        <v>4.0</v>
      </c>
      <c r="B12895" s="1" t="s">
        <v>12780</v>
      </c>
      <c r="C12895" t="str">
        <f>IFERROR(__xludf.DUMMYFUNCTION("GOOGLETRANSLATE(B12895, ""es"", ""en"")"),"Good Good and good quality. I still have not washed the case.")</f>
        <v>Good Good and good quality. I still have not washed the case.</v>
      </c>
    </row>
    <row r="12896">
      <c r="A12896" s="1">
        <v>4.0</v>
      </c>
      <c r="B12896" s="1" t="s">
        <v>12781</v>
      </c>
      <c r="C12896" t="str">
        <f>IFERROR(__xludf.DUMMYFUNCTION("GOOGLETRANSLATE(B12896, ""es"", ""en"")"),"PLATED RING VERY NICE POSITION AND REMAINS THE STONES ARE MOUNTED WELL BUT in my opinion should have more crimps FOR NOT EMIT. Plating is perfect. Only hope if its quality is also good")</f>
        <v>PLATED RING VERY NICE POSITION AND REMAINS THE STONES ARE MOUNTED WELL BUT in my opinion should have more crimps FOR NOT EMIT. Plating is perfect. Only hope if its quality is also good</v>
      </c>
    </row>
    <row r="12897">
      <c r="A12897" s="1">
        <v>5.0</v>
      </c>
      <c r="B12897" s="1" t="s">
        <v>12782</v>
      </c>
      <c r="C12897" t="str">
        <f>IFERROR(__xludf.DUMMYFUNCTION("GOOGLETRANSLATE(B12897, ""es"", ""en"")"),"Idoia Perfect, fast, accurate use size 39/40 and I took the 40 were well Very good in all aspects")</f>
        <v>Idoia Perfect, fast, accurate use size 39/40 and I took the 40 were well Very good in all aspects</v>
      </c>
    </row>
    <row r="12898">
      <c r="A12898" s="1">
        <v>5.0</v>
      </c>
      <c r="B12898" s="1" t="s">
        <v>12783</v>
      </c>
      <c r="C12898" t="str">
        <f>IFERROR(__xludf.DUMMYFUNCTION("GOOGLETRANSLATE(B12898, ""es"", ""en"")"),"Happy I needed to sing and play the Bongo at a time and helped me satisfactorily.")</f>
        <v>Happy I needed to sing and play the Bongo at a time and helped me satisfactorily.</v>
      </c>
    </row>
    <row r="12899">
      <c r="A12899" s="1">
        <v>5.0</v>
      </c>
      <c r="B12899" s="1" t="s">
        <v>12784</v>
      </c>
      <c r="C12899" t="str">
        <f>IFERROR(__xludf.DUMMYFUNCTION("GOOGLETRANSLATE(B12899, ""es"", ""en"")"),"Diver mythical Fits everything you would expect. It is a superb watch for its price. But if it is expected there to be patient and observe the scale variable offers this product to avoid paying a premium for it annoying.")</f>
        <v>Diver mythical Fits everything you would expect. It is a superb watch for its price. But if it is expected there to be patient and observe the scale variable offers this product to avoid paying a premium for it annoying.</v>
      </c>
    </row>
    <row r="12900">
      <c r="A12900" s="1">
        <v>5.0</v>
      </c>
      <c r="B12900" s="1" t="s">
        <v>12785</v>
      </c>
      <c r="C12900" t="str">
        <f>IFERROR(__xludf.DUMMYFUNCTION("GOOGLETRANSLATE(B12900, ""es"", ""en"")"),"I recommend Love")</f>
        <v>I recommend Love</v>
      </c>
    </row>
    <row r="12901">
      <c r="A12901" s="1">
        <v>5.0</v>
      </c>
      <c r="B12901" s="1" t="s">
        <v>12786</v>
      </c>
      <c r="C12901" t="str">
        <f>IFERROR(__xludf.DUMMYFUNCTION("GOOGLETRANSLATE(B12901, ""es"", ""en"")"),"I love them very comfortable and perfect.")</f>
        <v>I love them very comfortable and perfect.</v>
      </c>
    </row>
    <row r="12902">
      <c r="A12902" s="1">
        <v>5.0</v>
      </c>
      <c r="B12902" s="1" t="s">
        <v>12787</v>
      </c>
      <c r="C12902" t="str">
        <f>IFERROR(__xludf.DUMMYFUNCTION("GOOGLETRANSLATE(B12902, ""es"", ""en"")"),"I came fast very nice and comfortable.")</f>
        <v>I came fast very nice and comfortable.</v>
      </c>
    </row>
    <row r="12903">
      <c r="A12903" s="1">
        <v>5.0</v>
      </c>
      <c r="B12903" s="1" t="s">
        <v>12788</v>
      </c>
      <c r="C12903" t="str">
        <f>IFERROR(__xludf.DUMMYFUNCTION("GOOGLETRANSLATE(B12903, ""es"", ""en"")"),"Heavy duty stapler. A good tool very practical and easy to use. It is recommendable to read the instructions before you start using it. I recommend it.")</f>
        <v>Heavy duty stapler. A good tool very practical and easy to use. It is recommendable to read the instructions before you start using it. I recommend it.</v>
      </c>
    </row>
    <row r="12904">
      <c r="A12904" s="1">
        <v>5.0</v>
      </c>
      <c r="B12904" s="1" t="s">
        <v>12789</v>
      </c>
      <c r="C12904" t="str">
        <f>IFERROR(__xludf.DUMMYFUNCTION("GOOGLETRANSLATE(B12904, ""es"", ""en"")"),"It's a lovely old decorates the kitchen. Q better the smeg.Funciona very well, fast hot. The wire is wound within the base and is embedded. I would buy")</f>
        <v>It's a lovely old decorates the kitchen. Q better the smeg.Funciona very well, fast hot. The wire is wound within the base and is embedded. I would buy</v>
      </c>
    </row>
    <row r="12905">
      <c r="A12905" s="1">
        <v>5.0</v>
      </c>
      <c r="B12905" s="1" t="s">
        <v>12790</v>
      </c>
      <c r="C12905" t="str">
        <f>IFERROR(__xludf.DUMMYFUNCTION("GOOGLETRANSLATE(B12905, ""es"", ""en"")"),"Very cool earrings earrings really cool")</f>
        <v>Very cool earrings earrings really cool</v>
      </c>
    </row>
    <row r="12906">
      <c r="A12906" s="1">
        <v>5.0</v>
      </c>
      <c r="B12906" s="1" t="s">
        <v>12791</v>
      </c>
      <c r="C12906" t="str">
        <f>IFERROR(__xludf.DUMMYFUNCTION("GOOGLETRANSLATE(B12906, ""es"", ""en"")"),"I love Perfect love me works perfectly, I love her style nineties recommend ....... apart weighs nothing, comes very well packaged.")</f>
        <v>I love Perfect love me works perfectly, I love her style nineties recommend ....... apart weighs nothing, comes very well packaged.</v>
      </c>
    </row>
    <row r="12907">
      <c r="A12907" s="1">
        <v>5.0</v>
      </c>
      <c r="B12907" s="1" t="s">
        <v>12792</v>
      </c>
      <c r="C12907" t="str">
        <f>IFERROR(__xludf.DUMMYFUNCTION("GOOGLETRANSLATE(B12907, ""es"", ""en"")"),"Okay great.")</f>
        <v>Okay great.</v>
      </c>
    </row>
    <row r="12908">
      <c r="A12908" s="1">
        <v>5.0</v>
      </c>
      <c r="B12908" s="1" t="s">
        <v>12793</v>
      </c>
      <c r="C12908" t="str">
        <f>IFERROR(__xludf.DUMMYFUNCTION("GOOGLETRANSLATE(B12908, ""es"", ""en"")"),"A + seller better quality than expected and very good service to the customer.")</f>
        <v>A + seller better quality than expected and very good service to the customer.</v>
      </c>
    </row>
    <row r="12909">
      <c r="A12909" s="1">
        <v>5.0</v>
      </c>
      <c r="B12909" s="1" t="s">
        <v>12794</v>
      </c>
      <c r="C12909" t="str">
        <f>IFERROR(__xludf.DUMMYFUNCTION("GOOGLETRANSLATE(B12909, ""es"", ""en"")"),"It was a great gift for my sins and we've had great seamlessly connected and the volume of the speaker is very good.")</f>
        <v>It was a great gift for my sins and we've had great seamlessly connected and the volume of the speaker is very good.</v>
      </c>
    </row>
    <row r="12910">
      <c r="A12910" s="1">
        <v>5.0</v>
      </c>
      <c r="B12910" s="1" t="s">
        <v>12795</v>
      </c>
      <c r="C12910" t="str">
        <f>IFERROR(__xludf.DUMMYFUNCTION("GOOGLETRANSLATE(B12910, ""es"", ""en"")"),"Small but powerful Hardwired television looks great all files, but on the computer, I have Mac, AVI files have to convert them and is an operation that oupa long time. But it does well what it wanted to see files on TV")</f>
        <v>Small but powerful Hardwired television looks great all files, but on the computer, I have Mac, AVI files have to convert them and is an operation that oupa long time. But it does well what it wanted to see files on TV</v>
      </c>
    </row>
    <row r="12911">
      <c r="A12911" s="1">
        <v>5.0</v>
      </c>
      <c r="B12911" s="1" t="s">
        <v>12796</v>
      </c>
      <c r="C12911" t="str">
        <f>IFERROR(__xludf.DUMMYFUNCTION("GOOGLETRANSLATE(B12911, ""es"", ""en"")"),"I have liked are as shown in the photo. The fabric is like lycra, and stick to the body. For me, the only problem is that I probably picked the wrong size, because when I bend down to me, and I have to be all the time pulling them up. Otherwise, they are "&amp;"great.")</f>
        <v>I have liked are as shown in the photo. The fabric is like lycra, and stick to the body. For me, the only problem is that I probably picked the wrong size, because when I bend down to me, and I have to be all the time pulling them up. Otherwise, they are great.</v>
      </c>
    </row>
    <row r="12912">
      <c r="A12912" s="1">
        <v>5.0</v>
      </c>
      <c r="B12912" s="1" t="s">
        <v>12797</v>
      </c>
      <c r="C12912" t="str">
        <f>IFERROR(__xludf.DUMMYFUNCTION("GOOGLETRANSLATE(B12912, ""es"", ""en"")"),"Good quality and best price k Everything expected from this sweatpants for pretty vestir.comodo and economico.recomendado 100% .llego muuuuxo d before expected. And besides d mark. K more can you ask ???")</f>
        <v>Good quality and best price k Everything expected from this sweatpants for pretty vestir.comodo and economico.recomendado 100% .llego muuuuxo d before expected. And besides d mark. K more can you ask ???</v>
      </c>
    </row>
    <row r="12913">
      <c r="A12913" s="1">
        <v>5.0</v>
      </c>
      <c r="B12913" s="1" t="s">
        <v>12798</v>
      </c>
      <c r="C12913" t="str">
        <f>IFERROR(__xludf.DUMMYFUNCTION("GOOGLETRANSLATE(B12913, ""es"", ""en"")"),"Perfect design is beautiful and supplier is very powerful. There are many flavors and I love it. I bought several to give away and it's all the enchanted world. I recommend it. Not as a humidifier if you have a disease because more powerful and better, bu"&amp;"t to moisten the air, flavor stay and help breathe a little easier.")</f>
        <v>Perfect design is beautiful and supplier is very powerful. There are many flavors and I love it. I bought several to give away and it's all the enchanted world. I recommend it. Not as a humidifier if you have a disease because more powerful and better, but to moisten the air, flavor stay and help breathe a little easier.</v>
      </c>
    </row>
    <row r="12914">
      <c r="A12914" s="1">
        <v>5.0</v>
      </c>
      <c r="B12914" s="1" t="s">
        <v>12799</v>
      </c>
      <c r="C12914" t="str">
        <f>IFERROR(__xludf.DUMMYFUNCTION("GOOGLETRANSLATE(B12914, ""es"", ""en"")"),"Good massager shoulder massager and cervical money razonable.No is as if professional but you can use it from home without problems")</f>
        <v>Good massager shoulder massager and cervical money razonable.No is as if professional but you can use it from home without problems</v>
      </c>
    </row>
    <row r="12915">
      <c r="A12915" s="1">
        <v>2.0</v>
      </c>
      <c r="B12915" s="1" t="s">
        <v>12800</v>
      </c>
      <c r="C12915" t="str">
        <f>IFERROR(__xludf.DUMMYFUNCTION("GOOGLETRANSLATE(B12915, ""es"", ""en"")"),"Malo People listen to you like you're talking hiding in the bathroom sealing your mouth. I returned immediately.")</f>
        <v>Malo People listen to you like you're talking hiding in the bathroom sealing your mouth. I returned immediately.</v>
      </c>
    </row>
    <row r="12916">
      <c r="A12916" s="1">
        <v>3.0</v>
      </c>
      <c r="B12916" s="1" t="s">
        <v>12801</v>
      </c>
      <c r="C12916" t="str">
        <f>IFERROR(__xludf.DUMMYFUNCTION("GOOGLETRANSLATE(B12916, ""es"", ""en"")"),"failure closing, otherwise well okay, but the end is not very successful, it is unfastened very easily")</f>
        <v>failure closing, otherwise well okay, but the end is not very successful, it is unfastened very easily</v>
      </c>
    </row>
    <row r="12917">
      <c r="A12917" s="1">
        <v>3.0</v>
      </c>
      <c r="B12917" s="1" t="s">
        <v>12802</v>
      </c>
      <c r="C12917" t="str">
        <f>IFERROR(__xludf.DUMMYFUNCTION("GOOGLETRANSLATE(B12917, ""es"", ""en"")"),"Feedback to future buyers ° Positive: -Sound acceptable seen some noise, if I had to describe it would be 8/10. It could be better? Of course, but does not disturb the noise, if you had good headphones you'll appreciate that noise minimal, if you had a no"&amp;"rmalitos these will astonish your good sound. No they fall off ears. Because of their shape adhere very well to the shape of the ear (at least in my case), reaching the point that walking and moving something head (to the sound of music, if you put rock I"&amp;" can not assure you that They will come to fall). I do not know whether to run would hold (neither I tried). -Have a clamp with which hook to the clothes you will not fall if the ear drop. -The wire is resilient and is twisted. ° Negative: -A when pluggin"&amp;"g them into the phone, if, hook well, but at times you have to put it back as it is not connected well. -THE MICROPHONE. It's too bad, you hear a lot of noise and can not appreciate what you say, so if you want a good microphone, this headset is NOT yours"&amp;". -THE button to stop the song is barely noticeable, so until you get used to it just takes to stop the music. Conclusion: Do you mind microphone? If the answer is yes, look at other headphones, you're will not serve you only the sound you mind? This depe"&amp;"nds on the conception that has each, if there is a minimum of noise. They are not perfect, but the sound is pretty good. All handsets I've had these take second place.")</f>
        <v>Feedback to future buyers ° Positive: -Sound acceptable seen some noise, if I had to describe it would be 8/10. It could be better? Of course, but does not disturb the noise, if you had good headphones you'll appreciate that noise minimal, if you had a normalitos these will astonish your good sound. No they fall off ears. Because of their shape adhere very well to the shape of the ear (at least in my case), reaching the point that walking and moving something head (to the sound of music, if you put rock I can not assure you that They will come to fall). I do not know whether to run would hold (neither I tried). -Have a clamp with which hook to the clothes you will not fall if the ear drop. -The wire is resilient and is twisted. ° Negative: -A when plugging them into the phone, if, hook well, but at times you have to put it back as it is not connected well. -THE MICROPHONE. It's too bad, you hear a lot of noise and can not appreciate what you say, so if you want a good microphone, this headset is NOT yours. -THE button to stop the song is barely noticeable, so until you get used to it just takes to stop the music. Conclusion: Do you mind microphone? If the answer is yes, look at other headphones, you're will not serve you only the sound you mind? This depends on the conception that has each, if there is a minimum of noise. They are not perfect, but the sound is pretty good. All handsets I've had these take second place.</v>
      </c>
    </row>
    <row r="12918">
      <c r="A12918" s="1">
        <v>1.0</v>
      </c>
      <c r="B12918" s="1" t="s">
        <v>12803</v>
      </c>
      <c r="C12918" t="str">
        <f>IFERROR(__xludf.DUMMYFUNCTION("GOOGLETRANSLATE(B12918, ""es"", ""en"")"),"Ask average flow and slow flow send you ordered a Pack of 2 bottles of medium flow and send me the slow flow, which are useless to me now I do .... Spend more money on a Teats of medium flow .. .. I do not understand why these things happen and that solut"&amp;"ion can give me the store?")</f>
        <v>Ask average flow and slow flow send you ordered a Pack of 2 bottles of medium flow and send me the slow flow, which are useless to me now I do .... Spend more money on a Teats of medium flow .. .. I do not understand why these things happen and that solution can give me the store?</v>
      </c>
    </row>
    <row r="12919">
      <c r="A12919" s="1">
        <v>1.0</v>
      </c>
      <c r="B12919" s="1" t="s">
        <v>12804</v>
      </c>
      <c r="C12919" t="str">
        <f>IFERROR(__xludf.DUMMYFUNCTION("GOOGLETRANSLATE(B12919, ""es"", ""en"")"),"It is not silver. It is not silver.")</f>
        <v>It is not silver. It is not silver.</v>
      </c>
    </row>
    <row r="12920">
      <c r="A12920" s="1">
        <v>1.0</v>
      </c>
      <c r="B12920" s="1" t="s">
        <v>12805</v>
      </c>
      <c r="C12920" t="str">
        <f>IFERROR(__xludf.DUMMYFUNCTION("GOOGLETRANSLATE(B12920, ""es"", ""en"")"),"Faulty broke at 3 uses and I'm not refund period")</f>
        <v>Faulty broke at 3 uses and I'm not refund period</v>
      </c>
    </row>
    <row r="12921">
      <c r="A12921" s="1">
        <v>4.0</v>
      </c>
      <c r="B12921" s="1" t="s">
        <v>12806</v>
      </c>
      <c r="C12921" t="str">
        <f>IFERROR(__xludf.DUMMYFUNCTION("GOOGLETRANSLATE(B12921, ""es"", ""en"")"),"Fair quality for low price remain very cool, although the quality is average. They are comfortable. For the price they have, you can not ask for more. For the type of material, easily become dirty.")</f>
        <v>Fair quality for low price remain very cool, although the quality is average. They are comfortable. For the price they have, you can not ask for more. For the type of material, easily become dirty.</v>
      </c>
    </row>
    <row r="12922">
      <c r="A12922" s="1">
        <v>4.0</v>
      </c>
      <c r="B12922" s="1" t="s">
        <v>12807</v>
      </c>
      <c r="C12922" t="str">
        <f>IFERROR(__xludf.DUMMYFUNCTION("GOOGLETRANSLATE(B12922, ""es"", ""en"")"),"Very nice renovated classic My father is the original classic silver eighties and is almost the same, except for the weight: it weighs less (for better or worse). The appearance is like the photo. Special Note About rombos: without being ""holograms"" are"&amp;" more or less intensity depending on the angle. Unisex.")</f>
        <v>Very nice renovated classic My father is the original classic silver eighties and is almost the same, except for the weight: it weighs less (for better or worse). The appearance is like the photo. Special Note About rombos: without being "holograms" are more or less intensity depending on the angle. Unisex.</v>
      </c>
    </row>
    <row r="12923">
      <c r="A12923" s="1">
        <v>4.0</v>
      </c>
      <c r="B12923" s="1" t="s">
        <v>12808</v>
      </c>
      <c r="C12923" t="str">
        <f>IFERROR(__xludf.DUMMYFUNCTION("GOOGLETRANSLATE(B12923, ""es"", ""en"")"),"Good brand adhesive glue two different sizes for each case and one for casa.buen price, maybe something good brand caro.esta paste")</f>
        <v>Good brand adhesive glue two different sizes for each case and one for casa.buen price, maybe something good brand caro.esta paste</v>
      </c>
    </row>
    <row r="12924">
      <c r="A12924" s="1">
        <v>4.0</v>
      </c>
      <c r="B12924" s="1" t="s">
        <v>12809</v>
      </c>
      <c r="C12924" t="str">
        <f>IFERROR(__xludf.DUMMYFUNCTION("GOOGLETRANSLATE(B12924, ""es"", ""en"")"),"Maika Just like that seen in the picture very nice color and very good grip is thick equal size to have each think of asking another color more")</f>
        <v>Maika Just like that seen in the picture very nice color and very good grip is thick equal size to have each think of asking another color more</v>
      </c>
    </row>
    <row r="12925">
      <c r="A12925" s="1">
        <v>5.0</v>
      </c>
      <c r="B12925" s="1" t="s">
        <v>7171</v>
      </c>
      <c r="C12925" t="str">
        <f>IFERROR(__xludf.DUMMYFUNCTION("GOOGLETRANSLATE(B12925, ""es"", ""en"")"),"All right all right")</f>
        <v>All right all right</v>
      </c>
    </row>
    <row r="12926">
      <c r="A12926" s="1">
        <v>5.0</v>
      </c>
      <c r="B12926" s="1" t="s">
        <v>12810</v>
      </c>
      <c r="C12926" t="str">
        <f>IFERROR(__xludf.DUMMYFUNCTION("GOOGLETRANSLATE(B12926, ""es"", ""en"")"),"Perfect birthday gift for detail")</f>
        <v>Perfect birthday gift for detail</v>
      </c>
    </row>
    <row r="12927">
      <c r="A12927" s="1">
        <v>5.0</v>
      </c>
      <c r="B12927" s="1" t="s">
        <v>12811</v>
      </c>
      <c r="C12927" t="str">
        <f>IFERROR(__xludf.DUMMYFUNCTION("GOOGLETRANSLATE(B12927, ""es"", ""en"")"),"They are splendid. comfortable, beautiful and functional, it is has been quite a success buy. If I have to put some downside is that when I walk them good walks with me cause friction in the pinkies Wearable foot, but for short walks are comfortable.")</f>
        <v>They are splendid. comfortable, beautiful and functional, it is has been quite a success buy. If I have to put some downside is that when I walk them good walks with me cause friction in the pinkies Wearable foot, but for short walks are comfortable.</v>
      </c>
    </row>
    <row r="12928">
      <c r="A12928" s="1">
        <v>5.0</v>
      </c>
      <c r="B12928" s="1" t="s">
        <v>12812</v>
      </c>
      <c r="C12928" t="str">
        <f>IFERROR(__xludf.DUMMYFUNCTION("GOOGLETRANSLATE(B12928, ""es"", ""en"")"),"Very good buy. Socks are very good, are coupled to the foot perfectly and also are super frescos.Los advise. Repetire purchase without doubt.")</f>
        <v>Very good buy. Socks are very good, are coupled to the foot perfectly and also are super frescos.Los advise. Repetire purchase without doubt.</v>
      </c>
    </row>
    <row r="12929">
      <c r="A12929" s="1">
        <v>5.0</v>
      </c>
      <c r="B12929" s="1" t="s">
        <v>12813</v>
      </c>
      <c r="C12929" t="str">
        <f>IFERROR(__xludf.DUMMYFUNCTION("GOOGLETRANSLATE(B12929, ""es"", ""en"")"),"The clock quality feel is much more beautiful in person than in the photo posted on Amazon. dark blue with bright reflections when exposed to light of the sun. Good luminescence. The weight makes you feel you're wearing a watch on his wrist. For which we "&amp;"have very wide wrist size is appropriate. The only downside, to name some, is that the days of the week are in English and German, but not important.")</f>
        <v>The clock quality feel is much more beautiful in person than in the photo posted on Amazon. dark blue with bright reflections when exposed to light of the sun. Good luminescence. The weight makes you feel you're wearing a watch on his wrist. For which we have very wide wrist size is appropriate. The only downside, to name some, is that the days of the week are in English and German, but not important.</v>
      </c>
    </row>
    <row r="12930">
      <c r="A12930" s="1">
        <v>5.0</v>
      </c>
      <c r="B12930" s="1" t="s">
        <v>12814</v>
      </c>
      <c r="C12930" t="str">
        <f>IFERROR(__xludf.DUMMYFUNCTION("GOOGLETRANSLATE(B12930, ""es"", ""en"")"),"No problem whistleblowers. Some bottles needed to renew my child and I found this renewal design in Dr.Browns models. He would buy the pack of 4 ... but I saw the comments! How is it possible that the milk comes in a bottle of a brand of prestige? Anyway "&amp;"I decided to just buy one to try. Amazon blessed that never gets hit on returns. The result is that the bottle is even better than the previous model in my experience. No drip (and I mistreated background bottle with well stirred water), redesign of the i"&amp;"nner cannula. Improved visibility levels, which were previously layover and now screenprinted in dark blue. So honestly, or there is an item that has come with manufacturing defects or do not understand the complaints about the new design of bottles. I wi"&amp;"ll buy more, no doubt.")</f>
        <v>No problem whistleblowers. Some bottles needed to renew my child and I found this renewal design in Dr.Browns models. He would buy the pack of 4 ... but I saw the comments! How is it possible that the milk comes in a bottle of a brand of prestige? Anyway I decided to just buy one to try. Amazon blessed that never gets hit on returns. The result is that the bottle is even better than the previous model in my experience. No drip (and I mistreated background bottle with well stirred water), redesign of the inner cannula. Improved visibility levels, which were previously layover and now screenprinted in dark blue. So honestly, or there is an item that has come with manufacturing defects or do not understand the complaints about the new design of bottles. I will buy more, no doubt.</v>
      </c>
    </row>
    <row r="12931">
      <c r="A12931" s="1">
        <v>5.0</v>
      </c>
      <c r="B12931" s="1" t="s">
        <v>12815</v>
      </c>
      <c r="C12931" t="str">
        <f>IFERROR(__xludf.DUMMYFUNCTION("GOOGLETRANSLATE(B12931, ""es"", ""en"")"),"An ally difficult days Masajeador comprehensive spa for feet. Has infrared light, timer to select the time you'll be using it, bubbles, exfoliating stone rotating, massage rollers with different intensity and to put it intermittently also has a temperatur"&amp;"e regulator with which we can keep the temperature constant or upload If you are giving us cold, this feature is well ahead of the winter. In addition to all this has a carrying handle, a water outlet in the lower part of the outside to empty it completel"&amp;"y and large capacity, no longer covers only plants but can reach more above the ankles. Great for use at any time, especially when it's been a hard day and need a little time to relax.")</f>
        <v>An ally difficult days Masajeador comprehensive spa for feet. Has infrared light, timer to select the time you'll be using it, bubbles, exfoliating stone rotating, massage rollers with different intensity and to put it intermittently also has a temperature regulator with which we can keep the temperature constant or upload If you are giving us cold, this feature is well ahead of the winter. In addition to all this has a carrying handle, a water outlet in the lower part of the outside to empty it completely and large capacity, no longer covers only plants but can reach more above the ankles. Great for use at any time, especially when it's been a hard day and need a little time to relax.</v>
      </c>
    </row>
    <row r="12932">
      <c r="A12932" s="1">
        <v>5.0</v>
      </c>
      <c r="B12932" s="1" t="s">
        <v>12816</v>
      </c>
      <c r="C12932" t="str">
        <f>IFERROR(__xludf.DUMMYFUNCTION("GOOGLETRANSLATE(B12932, ""es"", ""en"")"),"Clouds of the most comfortable shoes I've ever had in my life. I've always had trouble finding shoes have flat feet, these shoes are like walking on clouds")</f>
        <v>Clouds of the most comfortable shoes I've ever had in my life. I've always had trouble finding shoes have flat feet, these shoes are like walking on clouds</v>
      </c>
    </row>
    <row r="12933">
      <c r="A12933" s="1">
        <v>5.0</v>
      </c>
      <c r="B12933" s="1" t="s">
        <v>12817</v>
      </c>
      <c r="C12933" t="str">
        <f>IFERROR(__xludf.DUMMYFUNCTION("GOOGLETRANSLATE(B12933, ""es"", ""en"")"),"Ideal for TV size has makes it a bit awkward to extract, but it is ideal to leave it as ""disco"" for TV recordings since no projections of it and has enough capacity to record a few hours. Used on a PC with a USB 3.0 port it provides acceptable speed rea"&amp;"ding and writing rather slow to be a 3.0.")</f>
        <v>Ideal for TV size has makes it a bit awkward to extract, but it is ideal to leave it as "disco" for TV recordings since no projections of it and has enough capacity to record a few hours. Used on a PC with a USB 3.0 port it provides acceptable speed reading and writing rather slow to be a 3.0.</v>
      </c>
    </row>
    <row r="12934">
      <c r="A12934" s="1">
        <v>5.0</v>
      </c>
      <c r="B12934" s="1" t="s">
        <v>12818</v>
      </c>
      <c r="C12934" t="str">
        <f>IFERROR(__xludf.DUMMYFUNCTION("GOOGLETRANSLATE(B12934, ""es"", ""en"")"),"Casio GSHOCK Very good article")</f>
        <v>Casio GSHOCK Very good article</v>
      </c>
    </row>
    <row r="12935">
      <c r="A12935" s="1">
        <v>5.0</v>
      </c>
      <c r="B12935" s="1" t="s">
        <v>12819</v>
      </c>
      <c r="C12935" t="str">
        <f>IFERROR(__xludf.DUMMYFUNCTION("GOOGLETRANSLATE(B12935, ""es"", ""en"")"),"High quality headphones fantastic birthday present. The sound quality is very good isolates you from all outside noise and has a fantastic sound without cuts. It fits perfectly exercising the ear can without any problems. You traee several sponges to choo"&amp;"se the one that best fits the ear. Connectivity is easy fantastic match and do not have to come back when you've already paired once. The volume control is very good. The article is extremely durable and has very good quality is the best I bought joint. T"&amp;"hey are for gift my sister's birthday and she is extremely happy with her gift.")</f>
        <v>High quality headphones fantastic birthday present. The sound quality is very good isolates you from all outside noise and has a fantastic sound without cuts. It fits perfectly exercising the ear can without any problems. You traee several sponges to choose the one that best fits the ear. Connectivity is easy fantastic match and do not have to come back when you've already paired once. The volume control is very good. The article is extremely durable and has very good quality is the best I bought joint. They are for gift my sister's birthday and she is extremely happy with her gift.</v>
      </c>
    </row>
    <row r="12936">
      <c r="A12936" s="1">
        <v>5.0</v>
      </c>
      <c r="B12936" s="1" t="s">
        <v>12820</v>
      </c>
      <c r="C12936" t="str">
        <f>IFERROR(__xludf.DUMMYFUNCTION("GOOGLETRANSLATE(B12936, ""es"", ""en"")"),"They are well Comfortable")</f>
        <v>They are well Comfortable</v>
      </c>
    </row>
    <row r="12937">
      <c r="A12937" s="1">
        <v>5.0</v>
      </c>
      <c r="B12937" s="1" t="s">
        <v>12821</v>
      </c>
      <c r="C12937" t="str">
        <f>IFERROR(__xludf.DUMMYFUNCTION("GOOGLETRANSLATE(B12937, ""es"", ""en"")"),"Talla always perfect, I fit loosely and when the wash will always come to me with that smell as always.")</f>
        <v>Talla always perfect, I fit loosely and when the wash will always come to me with that smell as always.</v>
      </c>
    </row>
    <row r="12938">
      <c r="A12938" s="1">
        <v>5.0</v>
      </c>
      <c r="B12938" s="1" t="s">
        <v>12822</v>
      </c>
      <c r="C12938" t="str">
        <f>IFERROR(__xludf.DUMMYFUNCTION("GOOGLETRANSLATE(B12938, ""es"", ""en"")"),"Highly recommended Good quality good presentation of the packaging and above all very good sound. Of course I advise purchase by the brand that is known super")</f>
        <v>Highly recommended Good quality good presentation of the packaging and above all very good sound. Of course I advise purchase by the brand that is known super</v>
      </c>
    </row>
    <row r="12939">
      <c r="A12939" s="1">
        <v>5.0</v>
      </c>
      <c r="B12939" s="1" t="s">
        <v>12823</v>
      </c>
      <c r="C12939" t="str">
        <f>IFERROR(__xludf.DUMMYFUNCTION("GOOGLETRANSLATE(B12939, ""es"", ""en"")"),"very good buy the girl passes great, and tmb adults were tempted to try it worth Guaranteed fun and can ride a good karaoke")</f>
        <v>very good buy the girl passes great, and tmb adults were tempted to try it worth Guaranteed fun and can ride a good karaoke</v>
      </c>
    </row>
    <row r="12940">
      <c r="A12940" s="1">
        <v>5.0</v>
      </c>
      <c r="B12940" s="1" t="s">
        <v>12824</v>
      </c>
      <c r="C12940" t="str">
        <f>IFERROR(__xludf.DUMMYFUNCTION("GOOGLETRANSLATE(B12940, ""es"", ""en"")"),"Encantada As pictured. I had arrived the day before they told me. Very happy")</f>
        <v>Encantada As pictured. I had arrived the day before they told me. Very happy</v>
      </c>
    </row>
    <row r="12941">
      <c r="A12941" s="1">
        <v>5.0</v>
      </c>
      <c r="B12941" s="1" t="s">
        <v>12825</v>
      </c>
      <c r="C12941" t="str">
        <f>IFERROR(__xludf.DUMMYFUNCTION("GOOGLETRANSLATE(B12941, ""es"", ""en"")"),"A good SSD product perfect for storing data that is not going to change.")</f>
        <v>A good SSD product perfect for storing data that is not going to change.</v>
      </c>
    </row>
    <row r="12942">
      <c r="A12942" s="1">
        <v>5.0</v>
      </c>
      <c r="B12942" s="1" t="s">
        <v>12826</v>
      </c>
      <c r="C12942" t="str">
        <f>IFERROR(__xludf.DUMMYFUNCTION("GOOGLETRANSLATE(B12942, ""es"", ""en"")"),"Good buy The product comes in a nice box, it is quality, but it just smells've tried it with my cream and moisturizing without being pejoso, I really like.")</f>
        <v>Good buy The product comes in a nice box, it is quality, but it just smells've tried it with my cream and moisturizing without being pejoso, I really like.</v>
      </c>
    </row>
    <row r="12943">
      <c r="A12943" s="1">
        <v>5.0</v>
      </c>
      <c r="B12943" s="1" t="s">
        <v>12827</v>
      </c>
      <c r="C12943" t="str">
        <f>IFERROR(__xludf.DUMMYFUNCTION("GOOGLETRANSLATE(B12943, ""es"", ""en"")"),"Perfect good buy but should bring a cover to carry in your handbag without departing nothing, have one purple and that if he brings lid.")</f>
        <v>Perfect good buy but should bring a cover to carry in your handbag without departing nothing, have one purple and that if he brings lid.</v>
      </c>
    </row>
    <row r="12944">
      <c r="A12944" s="1">
        <v>2.0</v>
      </c>
      <c r="B12944" s="1" t="s">
        <v>12828</v>
      </c>
      <c r="C12944" t="str">
        <f>IFERROR(__xludf.DUMMYFUNCTION("GOOGLETRANSLATE(B12944, ""es"", ""en"")"),"Bag good, does not match the handle What is the bag well. With its multiple zippers, strong canvas. This well. What is not good it is that being a man bag handle is very short. Above the waist. Fatal. If mens and take hung like a shoulder bag, very bad. R"&amp;"eaches above the waist. A man of normal weight.")</f>
        <v>Bag good, does not match the handle What is the bag well. With its multiple zippers, strong canvas. This well. What is not good it is that being a man bag handle is very short. Above the waist. Fatal. If mens and take hung like a shoulder bag, very bad. Reaches above the waist. A man of normal weight.</v>
      </c>
    </row>
    <row r="12945">
      <c r="A12945" s="1">
        <v>3.0</v>
      </c>
      <c r="B12945" s="1" t="s">
        <v>12829</v>
      </c>
      <c r="C12945" t="str">
        <f>IFERROR(__xludf.DUMMYFUNCTION("GOOGLETRANSLATE(B12945, ""es"", ""en"")"),"Bambas with heel too high and a little small The volaración 3, because they are sneakers with good tread and breathable and is like the photo material. But it has a high heel and are somewhat small for his size and plays a little finger and costs. High he"&amp;"el makes them comfortable and not of the whole. These are the valuations of my wife. My advice is do not bother and if you doubt between two sizes heel Gather the largest.")</f>
        <v>Bambas with heel too high and a little small The volaración 3, because they are sneakers with good tread and breathable and is like the photo material. But it has a high heel and are somewhat small for his size and plays a little finger and costs. High heel makes them comfortable and not of the whole. These are the valuations of my wife. My advice is do not bother and if you doubt between two sizes heel Gather the largest.</v>
      </c>
    </row>
    <row r="12946">
      <c r="A12946" s="1">
        <v>3.0</v>
      </c>
      <c r="B12946" s="1" t="s">
        <v>12830</v>
      </c>
      <c r="C12946" t="str">
        <f>IFERROR(__xludf.DUMMYFUNCTION("GOOGLETRANSLATE(B12946, ""es"", ""en"")"),"Expensive for what they are Cuesta until done to your foot and the principle are duras.No are the most comfortable I've put")</f>
        <v>Expensive for what they are Cuesta until done to your foot and the principle are duras.No are the most comfortable I've put</v>
      </c>
    </row>
    <row r="12947">
      <c r="A12947" s="1">
        <v>1.0</v>
      </c>
      <c r="B12947" s="1" t="s">
        <v>12831</v>
      </c>
      <c r="C12947" t="str">
        <f>IFERROR(__xludf.DUMMYFUNCTION("GOOGLETRANSLATE(B12947, ""es"", ""en"")"),"You sell a deception that is a product of skin and see her own label which is all plastic and synthetic materials. a hoax")</f>
        <v>You sell a deception that is a product of skin and see her own label which is all plastic and synthetic materials. a hoax</v>
      </c>
    </row>
    <row r="12948">
      <c r="A12948" s="1">
        <v>1.0</v>
      </c>
      <c r="B12948" s="1" t="s">
        <v>12832</v>
      </c>
      <c r="C12948" t="str">
        <f>IFERROR(__xludf.DUMMYFUNCTION("GOOGLETRANSLATE(B12948, ""es"", ""en"")"),"Disenchanted Very expensive for how small I was expecting something else")</f>
        <v>Disenchanted Very expensive for how small I was expecting something else</v>
      </c>
    </row>
    <row r="12949">
      <c r="A12949" s="1">
        <v>4.0</v>
      </c>
      <c r="B12949" s="1" t="s">
        <v>12833</v>
      </c>
      <c r="C12949" t="str">
        <f>IFERROR(__xludf.DUMMYFUNCTION("GOOGLETRANSLATE(B12949, ""es"", ""en"")"),"This book well I gave it to my boyfriend's son and now is happy with reading. If it ends we bought the next.")</f>
        <v>This book well I gave it to my boyfriend's son and now is happy with reading. If it ends we bought the next.</v>
      </c>
    </row>
    <row r="12950">
      <c r="A12950" s="1">
        <v>4.0</v>
      </c>
      <c r="B12950" s="1" t="s">
        <v>12834</v>
      </c>
      <c r="C12950" t="str">
        <f>IFERROR(__xludf.DUMMYFUNCTION("GOOGLETRANSLATE(B12950, ""es"", ""en"")"),"The color does not match the photograph Bonito are !! and very small. For an 8 year old girl great for a woman, a little small. Color is not that intense blue is rather greyish clarito. They still are nice. A little disappointed.")</f>
        <v>The color does not match the photograph Bonito are !! and very small. For an 8 year old girl great for a woman, a little small. Color is not that intense blue is rather greyish clarito. They still are nice. A little disappointed.</v>
      </c>
    </row>
    <row r="12951">
      <c r="A12951" s="1">
        <v>4.0</v>
      </c>
      <c r="B12951" s="1" t="s">
        <v>12835</v>
      </c>
      <c r="C12951" t="str">
        <f>IFERROR(__xludf.DUMMYFUNCTION("GOOGLETRANSLATE(B12951, ""es"", ""en"")"),"It is very wearable It only find a small defect, sewing zippers is not very straight and could have been improved length")</f>
        <v>It is very wearable It only find a small defect, sewing zippers is not very straight and could have been improved length</v>
      </c>
    </row>
    <row r="12952">
      <c r="A12952" s="1">
        <v>4.0</v>
      </c>
      <c r="B12952" s="1" t="s">
        <v>12836</v>
      </c>
      <c r="C12952" t="str">
        <f>IFERROR(__xludf.DUMMYFUNCTION("GOOGLETRANSLATE(B12952, ""es"", ""en"")"),"Red fruit well Smell is super intense red fruit. Oli buy it because a clothing brand used it and I liked when the oil is to use a diffuser is something different but even so I like.")</f>
        <v>Red fruit well Smell is super intense red fruit. Oli buy it because a clothing brand used it and I liked when the oil is to use a diffuser is something different but even so I like.</v>
      </c>
    </row>
    <row r="12953">
      <c r="A12953" s="1">
        <v>4.0</v>
      </c>
      <c r="B12953" s="1" t="s">
        <v>12837</v>
      </c>
      <c r="C12953" t="str">
        <f>IFERROR(__xludf.DUMMYFUNCTION("GOOGLETRANSLATE(B12953, ""es"", ""en"")"),"It came pretty fast and a kettle with SPRT system in the tank itself against this is what heats the bottom of the kettle. This is much faster. Very good style and dimensions. To highlight something to improve, the switch does not know the life you have or"&amp;" if it will cause problems because you see something puny. Otherwise good product at a good price. Hope it lasts.")</f>
        <v>It came pretty fast and a kettle with SPRT system in the tank itself against this is what heats the bottom of the kettle. This is much faster. Very good style and dimensions. To highlight something to improve, the switch does not know the life you have or if it will cause problems because you see something puny. Otherwise good product at a good price. Hope it lasts.</v>
      </c>
    </row>
    <row r="12954">
      <c r="A12954" s="1">
        <v>5.0</v>
      </c>
      <c r="B12954" s="1" t="s">
        <v>12838</v>
      </c>
      <c r="C12954" t="str">
        <f>IFERROR(__xludf.DUMMYFUNCTION("GOOGLETRANSLATE(B12954, ""es"", ""en"")"),"Attaches great great, adhere very well even though they are small, and carry lots. They are white and are ideal for crafts, I use it for classroom activities child. It sticks well to plastic surfaces because they carry all their own adhesive")</f>
        <v>Attaches great great, adhere very well even though they are small, and carry lots. They are white and are ideal for crafts, I use it for classroom activities child. It sticks well to plastic surfaces because they carry all their own adhesive</v>
      </c>
    </row>
    <row r="12955">
      <c r="A12955" s="1">
        <v>5.0</v>
      </c>
      <c r="B12955" s="1" t="s">
        <v>12839</v>
      </c>
      <c r="C12955" t="str">
        <f>IFERROR(__xludf.DUMMYFUNCTION("GOOGLETRANSLATE(B12955, ""es"", ""en"")"),"Mut pants well")</f>
        <v>Mut pants well</v>
      </c>
    </row>
    <row r="12956">
      <c r="A12956" s="1">
        <v>5.0</v>
      </c>
      <c r="B12956" s="1" t="s">
        <v>12840</v>
      </c>
      <c r="C12956" t="str">
        <f>IFERROR(__xludf.DUMMYFUNCTION("GOOGLETRANSLATE(B12956, ""es"", ""en"")"),"As ring finger The shoes are just what is offered and the sizing is perfect. They are very comfortable and are very nice sunsets.")</f>
        <v>As ring finger The shoes are just what is offered and the sizing is perfect. They are very comfortable and are very nice sunsets.</v>
      </c>
    </row>
    <row r="12957">
      <c r="A12957" s="1">
        <v>5.0</v>
      </c>
      <c r="B12957" s="1" t="s">
        <v>12841</v>
      </c>
      <c r="C12957" t="str">
        <f>IFERROR(__xludf.DUMMYFUNCTION("GOOGLETRANSLATE(B12957, ""es"", ""en"")"),"Perfect Warm and comfortable")</f>
        <v>Perfect Warm and comfortable</v>
      </c>
    </row>
    <row r="12958">
      <c r="A12958" s="1">
        <v>5.0</v>
      </c>
      <c r="B12958" s="1" t="s">
        <v>12842</v>
      </c>
      <c r="C12958" t="str">
        <f>IFERROR(__xludf.DUMMYFUNCTION("GOOGLETRANSLATE(B12958, ""es"", ""en"")"),"It's very pretty is very well done has good quality and looks great on the wrist, I use it all day without removing it and does not appear damaged.")</f>
        <v>It's very pretty is very well done has good quality and looks great on the wrist, I use it all day without removing it and does not appear damaged.</v>
      </c>
    </row>
    <row r="12959">
      <c r="A12959" s="1">
        <v>5.0</v>
      </c>
      <c r="B12959" s="1" t="s">
        <v>12843</v>
      </c>
      <c r="C12959" t="str">
        <f>IFERROR(__xludf.DUMMYFUNCTION("GOOGLETRANSLATE(B12959, ""es"", ""en"")"),"Memory capacity ... and in general all .. This all perfect thanks ...")</f>
        <v>Memory capacity ... and in general all .. This all perfect thanks ...</v>
      </c>
    </row>
    <row r="12960">
      <c r="A12960" s="1">
        <v>5.0</v>
      </c>
      <c r="B12960" s="1" t="s">
        <v>12844</v>
      </c>
      <c r="C12960" t="str">
        <f>IFERROR(__xludf.DUMMYFUNCTION("GOOGLETRANSLATE(B12960, ""es"", ""en"")"),"The very good value for money is very good, 134 euros is a very tight price for a watch like this. Gold is beautiful and looks quality green sphere and details are well made. Certainly a very good buy, Amazon very well, took 24 hours to hand it over in a "&amp;"normal shipment. Note the weight and size too, but it's just one catch for who does not like this kind of watches. If you expect a big, flashy and finishes first brand you'll like clock.")</f>
        <v>The very good value for money is very good, 134 euros is a very tight price for a watch like this. Gold is beautiful and looks quality green sphere and details are well made. Certainly a very good buy, Amazon very well, took 24 hours to hand it over in a normal shipment. Note the weight and size too, but it's just one catch for who does not like this kind of watches. If you expect a big, flashy and finishes first brand you'll like clock.</v>
      </c>
    </row>
    <row r="12961">
      <c r="A12961" s="1">
        <v>5.0</v>
      </c>
      <c r="B12961" s="1" t="s">
        <v>12845</v>
      </c>
      <c r="C12961" t="str">
        <f>IFERROR(__xludf.DUMMYFUNCTION("GOOGLETRANSLATE(B12961, ""es"", ""en"")"),"Good sound good sound quality. Not the only cable if unreinforced as a kind of rope material. Great quality")</f>
        <v>Good sound good sound quality. Not the only cable if unreinforced as a kind of rope material. Great quality</v>
      </c>
    </row>
    <row r="12962">
      <c r="A12962" s="1">
        <v>5.0</v>
      </c>
      <c r="B12962" s="1" t="s">
        <v>12846</v>
      </c>
      <c r="C12962" t="str">
        <f>IFERROR(__xludf.DUMMYFUNCTION("GOOGLETRANSLATE(B12962, ""es"", ""en"")"),"great and cheap the truth is I did not know this brand and is very good for its price and quality, totally recommended, the I took with the stapler'll buy")</f>
        <v>great and cheap the truth is I did not know this brand and is very good for its price and quality, totally recommended, the I took with the stapler'll buy</v>
      </c>
    </row>
    <row r="12963">
      <c r="A12963" s="1">
        <v>5.0</v>
      </c>
      <c r="B12963" s="1" t="s">
        <v>12847</v>
      </c>
      <c r="C12963" t="str">
        <f>IFERROR(__xludf.DUMMYFUNCTION("GOOGLETRANSLATE(B12963, ""es"", ""en"")"),"perfect. Perfect.")</f>
        <v>perfect. Perfect.</v>
      </c>
    </row>
    <row r="12964">
      <c r="A12964" s="1">
        <v>5.0</v>
      </c>
      <c r="B12964" s="1" t="s">
        <v>12848</v>
      </c>
      <c r="C12964" t="str">
        <f>IFERROR(__xludf.DUMMYFUNCTION("GOOGLETRANSLATE(B12964, ""es"", ""en"")"),"David is going well although m3jor not use wheels that gives many jumps and my esteopeo me why but I have a new")</f>
        <v>David is going well although m3jor not use wheels that gives many jumps and my esteopeo me why but I have a new</v>
      </c>
    </row>
    <row r="12965">
      <c r="A12965" s="1">
        <v>5.0</v>
      </c>
      <c r="B12965" s="1" t="s">
        <v>12849</v>
      </c>
      <c r="C12965" t="str">
        <f>IFERROR(__xludf.DUMMYFUNCTION("GOOGLETRANSLATE(B12965, ""es"", ""en"")"),"Geniaaal was an anniversary gift for my husband who is bearish and is delighted, it is very useful, worth")</f>
        <v>Geniaaal was an anniversary gift for my husband who is bearish and is delighted, it is very useful, worth</v>
      </c>
    </row>
    <row r="12966">
      <c r="A12966" s="1">
        <v>5.0</v>
      </c>
      <c r="B12966" s="1" t="s">
        <v>12850</v>
      </c>
      <c r="C12966" t="str">
        <f>IFERROR(__xludf.DUMMYFUNCTION("GOOGLETRANSLATE(B12966, ""es"", ""en"")"),"Very funny! It was a compulsive buying, it must be said, but it turned out to be great fun. There is always some small likes and so are kept entertained :)")</f>
        <v>Very funny! It was a compulsive buying, it must be said, but it turned out to be great fun. There is always some small likes and so are kept entertained :)</v>
      </c>
    </row>
    <row r="12967">
      <c r="A12967" s="1">
        <v>5.0</v>
      </c>
      <c r="B12967" s="1" t="s">
        <v>12851</v>
      </c>
      <c r="C12967" t="str">
        <f>IFERROR(__xludf.DUMMYFUNCTION("GOOGLETRANSLATE(B12967, ""es"", ""en"")"),"Very comfortable since I discovered this brand, practically I have not used other footwear. Highly recommended for comfort, perfect for walking and everyday life")</f>
        <v>Very comfortable since I discovered this brand, practically I have not used other footwear. Highly recommended for comfort, perfect for walking and everyday life</v>
      </c>
    </row>
    <row r="12968">
      <c r="A12968" s="1">
        <v>5.0</v>
      </c>
      <c r="B12968" s="1" t="s">
        <v>12852</v>
      </c>
      <c r="C12968" t="str">
        <f>IFERROR(__xludf.DUMMYFUNCTION("GOOGLETRANSLATE(B12968, ""es"", ""en"")"),". We looked smaller but we fits perfectly seal stamping. They are like the picture and come intact with cord included.")</f>
        <v>. We looked smaller but we fits perfectly seal stamping. They are like the picture and come intact with cord included.</v>
      </c>
    </row>
    <row r="12969">
      <c r="A12969" s="1">
        <v>5.0</v>
      </c>
      <c r="B12969" s="1" t="s">
        <v>9704</v>
      </c>
      <c r="C12969" t="str">
        <f>IFERROR(__xludf.DUMMYFUNCTION("GOOGLETRANSLATE(B12969, ""es"", ""en"")"),"Perfect Perfect All")</f>
        <v>Perfect Perfect All</v>
      </c>
    </row>
    <row r="12970">
      <c r="A12970" s="1">
        <v>5.0</v>
      </c>
      <c r="B12970" s="1" t="s">
        <v>12853</v>
      </c>
      <c r="C12970" t="str">
        <f>IFERROR(__xludf.DUMMYFUNCTION("GOOGLETRANSLATE(B12970, ""es"", ""en"")"),"Happy with purchase. Very cute and acceptable size, nice and well printed colors, happy with the purchase and product quality- price excellent.")</f>
        <v>Happy with purchase. Very cute and acceptable size, nice and well printed colors, happy with the purchase and product quality- price excellent.</v>
      </c>
    </row>
    <row r="12971">
      <c r="A12971" s="1">
        <v>5.0</v>
      </c>
      <c r="B12971" s="1" t="s">
        <v>12854</v>
      </c>
      <c r="C12971" t="str">
        <f>IFERROR(__xludf.DUMMYFUNCTION("GOOGLETRANSLATE(B12971, ""es"", ""en"")"),"Very good internet I saw him, I was curious and decided to buy it. The truth is that very pleased with the product, can be stuck almost anywhere although it should fix it so that it holds indefinitely and found not to worry. Very useful to study, especial"&amp;"ly in group (I use in a student apartment and one of my colleagues asked another). Good and nice touch materials include the 3 Pens inside the roll. Overall I am very satisfied with the purchase and would recommend it especially for studying and homework.")</f>
        <v>Very good internet I saw him, I was curious and decided to buy it. The truth is that very pleased with the product, can be stuck almost anywhere although it should fix it so that it holds indefinitely and found not to worry. Very useful to study, especially in group (I use in a student apartment and one of my colleagues asked another). Good and nice touch materials include the 3 Pens inside the roll. Overall I am very satisfied with the purchase and would recommend it especially for studying and homework.</v>
      </c>
    </row>
    <row r="12972">
      <c r="A12972" s="1">
        <v>5.0</v>
      </c>
      <c r="B12972" s="1" t="s">
        <v>12855</v>
      </c>
      <c r="C12972" t="str">
        <f>IFERROR(__xludf.DUMMYFUNCTION("GOOGLETRANSLATE(B12972, ""es"", ""en"")"),"Basque Good recommended highly recommended and very good price, high quality sound, especially activating reducing outside sound is amazing !!. Very good buy for gifts.")</f>
        <v>Basque Good recommended highly recommended and very good price, high quality sound, especially activating reducing outside sound is amazing !!. Very good buy for gifts.</v>
      </c>
    </row>
    <row r="12973">
      <c r="A12973" s="1">
        <v>2.0</v>
      </c>
      <c r="B12973" s="1" t="s">
        <v>12856</v>
      </c>
      <c r="C12973" t="str">
        <f>IFERROR(__xludf.DUMMYFUNCTION("GOOGLETRANSLATE(B12973, ""es"", ""en"")"),"The first stretch. Are sleeping, because sports are not worth, contain nothing and just stretch them, returned them.")</f>
        <v>The first stretch. Are sleeping, because sports are not worth, contain nothing and just stretch them, returned them.</v>
      </c>
    </row>
    <row r="12974">
      <c r="A12974" s="1">
        <v>3.0</v>
      </c>
      <c r="B12974" s="1" t="s">
        <v>12857</v>
      </c>
      <c r="C12974" t="str">
        <f>IFERROR(__xludf.DUMMYFUNCTION("GOOGLETRANSLATE(B12974, ""es"", ""en"")"),"Bluetooth and software After several contacts with Sony, will return these ""earbuds"". First, because the software ""Sony Connect"" I personally disconnected after 5 to 10 minutes, which loses almost all his grace, still sound but Sony Connect. Blue ligh"&amp;"ts bluetooth continue to function (flashes every 2 seconds) even after connecting, which is very annoying at night or on an overnight flight, my ears look like a Christmas tree and no way to turn it off (confirmed by Sony) . I will continue with my bose.")</f>
        <v>Bluetooth and software After several contacts with Sony, will return these "earbuds". First, because the software "Sony Connect" I personally disconnected after 5 to 10 minutes, which loses almost all his grace, still sound but Sony Connect. Blue lights bluetooth continue to function (flashes every 2 seconds) even after connecting, which is very annoying at night or on an overnight flight, my ears look like a Christmas tree and no way to turn it off (confirmed by Sony) . I will continue with my bose.</v>
      </c>
    </row>
    <row r="12975">
      <c r="A12975" s="1">
        <v>3.0</v>
      </c>
      <c r="B12975" s="1" t="s">
        <v>12858</v>
      </c>
      <c r="C12975" t="str">
        <f>IFERROR(__xludf.DUMMYFUNCTION("GOOGLETRANSLATE(B12975, ""es"", ""en"")"),"Bambitas canvas are pretty good, though not of high quality and are seen Poser :( I have embarrassed but do not know how last, yes!")</f>
        <v>Bambitas canvas are pretty good, though not of high quality and are seen Poser :( I have embarrassed but do not know how last, yes!</v>
      </c>
    </row>
    <row r="12976">
      <c r="A12976" s="1">
        <v>1.0</v>
      </c>
      <c r="B12976" s="1" t="s">
        <v>12859</v>
      </c>
      <c r="C12976" t="str">
        <f>IFERROR(__xludf.DUMMYFUNCTION("GOOGLETRANSLATE(B12976, ""es"", ""en"")"),"Skechars I received it and returned it usually use this brand for many years and when I tried it I was uncomfortable and the box came in very bad condition, I had very bad experience has left me doubt if they were original, I did not like anything .")</f>
        <v>Skechars I received it and returned it usually use this brand for many years and when I tried it I was uncomfortable and the box came in very bad condition, I had very bad experience has left me doubt if they were original, I did not like anything .</v>
      </c>
    </row>
    <row r="12977">
      <c r="A12977" s="1">
        <v>1.0</v>
      </c>
      <c r="B12977" s="1" t="s">
        <v>12860</v>
      </c>
      <c r="C12977" t="str">
        <f>IFERROR(__xludf.DUMMYFUNCTION("GOOGLETRANSLATE(B12977, ""es"", ""en"")"),"DIGITS TO CHANGE THE BIGGEST MIER BUY THAT GOD COULD NOT COME TO CHANGE THE BEST NUMBERS call a technician FATALLLLLLLL")</f>
        <v>DIGITS TO CHANGE THE BIGGEST MIER BUY THAT GOD COULD NOT COME TO CHANGE THE BEST NUMBERS call a technician FATALLLLLLLL</v>
      </c>
    </row>
    <row r="12978">
      <c r="A12978" s="1">
        <v>4.0</v>
      </c>
      <c r="B12978" s="1" t="s">
        <v>12861</v>
      </c>
      <c r="C12978" t="str">
        <f>IFERROR(__xludf.DUMMYFUNCTION("GOOGLETRANSLATE(B12978, ""es"", ""en"")"),"Ran a plastic piece UNION WITH ENGINE foot blender is great: Powerful Robusta; I do not understand how some users complain about this point. That is why it is robust and good engine. Certain quality except the part where they connect inner plastic both si"&amp;"des, spent and can no longer beat. I have it useless. How I claim that piece and where? It is a little room for anything.")</f>
        <v>Ran a plastic piece UNION WITH ENGINE foot blender is great: Powerful Robusta; I do not understand how some users complain about this point. That is why it is robust and good engine. Certain quality except the part where they connect inner plastic both sides, spent and can no longer beat. I have it useless. How I claim that piece and where? It is a little room for anything.</v>
      </c>
    </row>
    <row r="12979">
      <c r="A12979" s="1">
        <v>4.0</v>
      </c>
      <c r="B12979" s="1" t="s">
        <v>42</v>
      </c>
      <c r="C12979" t="str">
        <f>IFERROR(__xludf.DUMMYFUNCTION("GOOGLETRANSLATE(B12979, ""es"", ""en"")"),"Well well")</f>
        <v>Well well</v>
      </c>
    </row>
    <row r="12980">
      <c r="A12980" s="1">
        <v>4.0</v>
      </c>
      <c r="B12980" s="1" t="s">
        <v>12862</v>
      </c>
      <c r="C12980" t="str">
        <f>IFERROR(__xludf.DUMMYFUNCTION("GOOGLETRANSLATE(B12980, ""es"", ""en"")"),"Earrings TOUS Pretty nice, small and comfortable. Value more than correct.")</f>
        <v>Earrings TOUS Pretty nice, small and comfortable. Value more than correct.</v>
      </c>
    </row>
    <row r="12981">
      <c r="A12981" s="1">
        <v>4.0</v>
      </c>
      <c r="B12981" s="1" t="s">
        <v>12863</v>
      </c>
      <c r="C12981" t="str">
        <f>IFERROR(__xludf.DUMMYFUNCTION("GOOGLETRANSLATE(B12981, ""es"", ""en"")"),"Earrings I wish I were a little bigger")</f>
        <v>Earrings I wish I were a little bigger</v>
      </c>
    </row>
    <row r="12982">
      <c r="A12982" s="1">
        <v>4.0</v>
      </c>
      <c r="B12982" s="1" t="s">
        <v>12864</v>
      </c>
      <c r="C12982" t="str">
        <f>IFERROR(__xludf.DUMMYFUNCTION("GOOGLETRANSLATE(B12982, ""es"", ""en"")"),"Cheap and convenient. But the engine will warm up is very powerful, but the engine warms up quickly. For use not fussed")</f>
        <v>Cheap and convenient. But the engine will warm up is very powerful, but the engine warms up quickly. For use not fussed</v>
      </c>
    </row>
    <row r="12983">
      <c r="A12983" s="1">
        <v>5.0</v>
      </c>
      <c r="B12983" s="1" t="s">
        <v>12865</v>
      </c>
      <c r="C12983" t="str">
        <f>IFERROR(__xludf.DUMMYFUNCTION("GOOGLETRANSLATE(B12983, ""es"", ""en"")"),"Excellent helmets excellent price Very good helmets are comfortable, they come into my head (not small) very well, unbeatable price, service very good warranty, I had a small problem with the first and sent me another quality very good sound for the price"&amp;" of helmets and comfort like none you've tried before.")</f>
        <v>Excellent helmets excellent price Very good helmets are comfortable, they come into my head (not small) very well, unbeatable price, service very good warranty, I had a small problem with the first and sent me another quality very good sound for the price of helmets and comfort like none you've tried before.</v>
      </c>
    </row>
    <row r="12984">
      <c r="A12984" s="1">
        <v>5.0</v>
      </c>
      <c r="B12984" s="1" t="s">
        <v>12866</v>
      </c>
      <c r="C12984" t="str">
        <f>IFERROR(__xludf.DUMMYFUNCTION("GOOGLETRANSLATE(B12984, ""es"", ""en"")"),"fantastic to say that has not already been said, phenomenal, fantastic and what he wanted")</f>
        <v>fantastic to say that has not already been said, phenomenal, fantastic and what he wanted</v>
      </c>
    </row>
    <row r="12985">
      <c r="A12985" s="1">
        <v>5.0</v>
      </c>
      <c r="B12985" s="1" t="s">
        <v>12867</v>
      </c>
      <c r="C12985" t="str">
        <f>IFERROR(__xludf.DUMMYFUNCTION("GOOGLETRANSLATE(B12985, ""es"", ""en"")"),"Brutal's amazing how you can have fun so much with such a small gizmo ... Now I do not need to go anywhere karaoke, can assemble the party at home with friends. We connect via Bluetooth with YouTube videos and karaoke singing ... And the truth is that sou"&amp;"nds pretty good, we had a blast!")</f>
        <v>Brutal's amazing how you can have fun so much with such a small gizmo ... Now I do not need to go anywhere karaoke, can assemble the party at home with friends. We connect via Bluetooth with YouTube videos and karaoke singing ... And the truth is that sounds pretty good, we had a blast!</v>
      </c>
    </row>
    <row r="12986">
      <c r="A12986" s="1">
        <v>5.0</v>
      </c>
      <c r="B12986" s="1" t="s">
        <v>12868</v>
      </c>
      <c r="C12986" t="str">
        <f>IFERROR(__xludf.DUMMYFUNCTION("GOOGLETRANSLATE(B12986, ""es"", ""en"")"),"Yoga socks for yoga or pilates great")</f>
        <v>Yoga socks for yoga or pilates great</v>
      </c>
    </row>
    <row r="12987">
      <c r="A12987" s="1">
        <v>5.0</v>
      </c>
      <c r="B12987" s="1" t="s">
        <v>12869</v>
      </c>
      <c r="C12987" t="str">
        <f>IFERROR(__xludf.DUMMYFUNCTION("GOOGLETRANSLATE(B12987, ""es"", ""en"")"),"Hard staples had a smaller bent staple when stapled tried many things. With these staples do not have that problem, I can stapled many pages at a time and with the amount I have come for a long time")</f>
        <v>Hard staples had a smaller bent staple when stapled tried many things. With these staples do not have that problem, I can stapled many pages at a time and with the amount I have come for a long time</v>
      </c>
    </row>
    <row r="12988">
      <c r="A12988" s="1">
        <v>5.0</v>
      </c>
      <c r="B12988" s="1" t="s">
        <v>12870</v>
      </c>
      <c r="C12988" t="str">
        <f>IFERROR(__xludf.DUMMYFUNCTION("GOOGLETRANSLATE(B12988, ""es"", ""en"")"),"Cute delicate delicate necklace perfect gift")</f>
        <v>Cute delicate delicate necklace perfect gift</v>
      </c>
    </row>
    <row r="12989">
      <c r="A12989" s="1">
        <v>5.0</v>
      </c>
      <c r="B12989" s="1" t="s">
        <v>12871</v>
      </c>
      <c r="C12989" t="str">
        <f>IFERROR(__xludf.DUMMYFUNCTION("GOOGLETRANSLATE(B12989, ""es"", ""en"")"),"Encantado Encantado")</f>
        <v>Encantado Encantado</v>
      </c>
    </row>
    <row r="12990">
      <c r="A12990" s="1">
        <v>5.0</v>
      </c>
      <c r="B12990" s="1" t="s">
        <v>12872</v>
      </c>
      <c r="C12990" t="str">
        <f>IFERROR(__xludf.DUMMYFUNCTION("GOOGLETRANSLATE(B12990, ""es"", ""en"")"),"You do very good magnificent juices. He made fruit ice and itches you'll quickly. You have recipes on the internet for a lot of variety of juices. It comes with two tubes to fill them with water and put them in the freezer if you get a juice and you want "&amp;"to take in summer and have fresquero. It also comes with two bottles.")</f>
        <v>You do very good magnificent juices. He made fruit ice and itches you'll quickly. You have recipes on the internet for a lot of variety of juices. It comes with two tubes to fill them with water and put them in the freezer if you get a juice and you want to take in summer and have fresquero. It also comes with two bottles.</v>
      </c>
    </row>
    <row r="12991">
      <c r="A12991" s="1">
        <v>5.0</v>
      </c>
      <c r="B12991" s="1" t="s">
        <v>12873</v>
      </c>
      <c r="C12991" t="str">
        <f>IFERROR(__xludf.DUMMYFUNCTION("GOOGLETRANSLATE(B12991, ""es"", ""en"")"),"Very comfortable It is the second time I buy these shoes, although this in the background is another model (the first had fabric grid broke a year or so. I use them a lot to walk (more than one hour per day). Comfortable Son, protect feet and knees. They "&amp;"are light and elegant. I use them in work clothes to change to the reach and totally black to be very discreet. excellent value. very recomedables.")</f>
        <v>Very comfortable It is the second time I buy these shoes, although this in the background is another model (the first had fabric grid broke a year or so. I use them a lot to walk (more than one hour per day). Comfortable Son, protect feet and knees. They are light and elegant. I use them in work clothes to change to the reach and totally black to be very discreet. excellent value. very recomedables.</v>
      </c>
    </row>
    <row r="12992">
      <c r="A12992" s="1">
        <v>5.0</v>
      </c>
      <c r="B12992" s="1" t="s">
        <v>12874</v>
      </c>
      <c r="C12992" t="str">
        <f>IFERROR(__xludf.DUMMYFUNCTION("GOOGLETRANSLATE(B12992, ""es"", ""en"")"),"Good buy weigh nothing and are very comfortable. I asked my number and I are perfect. And they have a good price")</f>
        <v>Good buy weigh nothing and are very comfortable. I asked my number and I are perfect. And they have a good price</v>
      </c>
    </row>
    <row r="12993">
      <c r="A12993" s="1">
        <v>5.0</v>
      </c>
      <c r="B12993" s="1" t="s">
        <v>12875</v>
      </c>
      <c r="C12993" t="str">
        <f>IFERROR(__xludf.DUMMYFUNCTION("GOOGLETRANSLATE(B12993, ""es"", ""en"")"),"Easy to wash, silent and ergonomic As publish many people, it is very quiet, very comfortable and very easy and quick to remove and wash thanks to its ergonomic design and metal grille. Highly recommended. Thanks to the reviews I found this product.")</f>
        <v>Easy to wash, silent and ergonomic As publish many people, it is very quiet, very comfortable and very easy and quick to remove and wash thanks to its ergonomic design and metal grille. Highly recommended. Thanks to the reviews I found this product.</v>
      </c>
    </row>
    <row r="12994">
      <c r="A12994" s="1">
        <v>5.0</v>
      </c>
      <c r="B12994" s="1" t="s">
        <v>12876</v>
      </c>
      <c r="C12994" t="str">
        <f>IFERROR(__xludf.DUMMYFUNCTION("GOOGLETRANSLATE(B12994, ""es"", ""en"")"),"Hdd hdd good 2 and a half quiet and very fast reliable. Good choice.")</f>
        <v>Hdd hdd good 2 and a half quiet and very fast reliable. Good choice.</v>
      </c>
    </row>
    <row r="12995">
      <c r="A12995" s="1">
        <v>5.0</v>
      </c>
      <c r="B12995" s="1" t="s">
        <v>12877</v>
      </c>
      <c r="C12995" t="str">
        <f>IFERROR(__xludf.DUMMYFUNCTION("GOOGLETRANSLATE(B12995, ""es"", ""en"")"),"Perfect for now. It is not false. Well, what I've read in the comments I've been lucky. I have received an original, not a fake. I came to his printed cardboard box well with its serial number and made one China. I have done the speed test and gave me 84m"&amp;"g / s writing and 96 reading. Very happy with the purchase. To see how durability.")</f>
        <v>Perfect for now. It is not false. Well, what I've read in the comments I've been lucky. I have received an original, not a fake. I came to his printed cardboard box well with its serial number and made one China. I have done the speed test and gave me 84mg / s writing and 96 reading. Very happy with the purchase. To see how durability.</v>
      </c>
    </row>
    <row r="12996">
      <c r="A12996" s="1">
        <v>5.0</v>
      </c>
      <c r="B12996" s="1" t="s">
        <v>12878</v>
      </c>
      <c r="C12996" t="str">
        <f>IFERROR(__xludf.DUMMYFUNCTION("GOOGLETRANSLATE(B12996, ""es"", ""en"")"),"Quality and price . They are very comfortable warm and beautiful, size M and I am the S pedi. and perfect ... This brand is usually larger. I will return him to ask in all available colors.")</f>
        <v>Quality and price . They are very comfortable warm and beautiful, size M and I am the S pedi. and perfect ... This brand is usually larger. I will return him to ask in all available colors.</v>
      </c>
    </row>
    <row r="12997">
      <c r="A12997" s="1">
        <v>5.0</v>
      </c>
      <c r="B12997" s="1" t="s">
        <v>12879</v>
      </c>
      <c r="C12997" t="str">
        <f>IFERROR(__xludf.DUMMYFUNCTION("GOOGLETRANSLATE(B12997, ""es"", ""en"")"),"I look great! I recommend! Just the size I use q M .... They fit well al.cuerpo done right sport with them ...")</f>
        <v>I look great! I recommend! Just the size I use q M .... They fit well al.cuerpo done right sport with them ...</v>
      </c>
    </row>
    <row r="12998">
      <c r="A12998" s="1">
        <v>5.0</v>
      </c>
      <c r="B12998" s="1" t="s">
        <v>12880</v>
      </c>
      <c r="C12998" t="str">
        <f>IFERROR(__xludf.DUMMYFUNCTION("GOOGLETRANSLATE(B12998, ""es"", ""en"")"),"The most comfortable shoes I've ever had this big brand shoes. Calls for a number less than the usually shopping for other shoes, I had to change them. Apart from this, I can no longer live without them. Are comfy, the aching left heel spur. And I go with"&amp;" the sensation of floating, that weigh nothing. I recommend it very much.")</f>
        <v>The most comfortable shoes I've ever had this big brand shoes. Calls for a number less than the usually shopping for other shoes, I had to change them. Apart from this, I can no longer live without them. Are comfy, the aching left heel spur. And I go with the sensation of floating, that weigh nothing. I recommend it very much.</v>
      </c>
    </row>
    <row r="12999">
      <c r="A12999" s="1">
        <v>5.0</v>
      </c>
      <c r="B12999" s="1" t="s">
        <v>12881</v>
      </c>
      <c r="C12999" t="str">
        <f>IFERROR(__xludf.DUMMYFUNCTION("GOOGLETRANSLATE(B12999, ""es"", ""en"")"),"Very nice quality is fine, and size is according to size chart. They're very beatiful.")</f>
        <v>Very nice quality is fine, and size is according to size chart. They're very beatiful.</v>
      </c>
    </row>
    <row r="13000">
      <c r="A13000" s="1">
        <v>5.0</v>
      </c>
      <c r="B13000" s="1" t="s">
        <v>12882</v>
      </c>
      <c r="C13000" t="str">
        <f>IFERROR(__xludf.DUMMYFUNCTION("GOOGLETRANSLATE(B13000, ""es"", ""en"")"),"Good invention invention to get good fruit in a single vessel. Good juices and all very manageable and comfortable")</f>
        <v>Good invention invention to get good fruit in a single vessel. Good juices and all very manageable and comfortable</v>
      </c>
    </row>
    <row r="13001">
      <c r="A13001" s="1">
        <v>2.0</v>
      </c>
      <c r="B13001" s="1" t="s">
        <v>12883</v>
      </c>
      <c r="C13001" t="str">
        <f>IFERROR(__xludf.DUMMYFUNCTION("GOOGLETRANSLATE(B13001, ""es"", ""en"")"),"Good sound but very uncomfortable The sound quality is not bad but they are very uncomfortable. Earmuffs are small and hard and crush the ears, while the headband is tough and nails. I did not expect so uncomfortable. Are cheap but in this price range bet"&amp;"ter a decent in-ear that the pain no less wear them.")</f>
        <v>Good sound but very uncomfortable The sound quality is not bad but they are very uncomfortable. Earmuffs are small and hard and crush the ears, while the headband is tough and nails. I did not expect so uncomfortable. Are cheap but in this price range better a decent in-ear that the pain no less wear them.</v>
      </c>
    </row>
    <row r="13002">
      <c r="A13002" s="1">
        <v>3.0</v>
      </c>
      <c r="B13002" s="1" t="s">
        <v>12884</v>
      </c>
      <c r="C13002" t="str">
        <f>IFERROR(__xludf.DUMMYFUNCTION("GOOGLETRANSLATE(B13002, ""es"", ""en"")"),"A few simple shoes simple shoes are good quality but none of the other world are not as comfortable expected to be brand it is, but neither are uncomfortable. The defined as a normal shoe.")</f>
        <v>A few simple shoes simple shoes are good quality but none of the other world are not as comfortable expected to be brand it is, but neither are uncomfortable. The defined as a normal shoe.</v>
      </c>
    </row>
    <row r="13003">
      <c r="A13003" s="1">
        <v>1.0</v>
      </c>
      <c r="B13003" s="1" t="s">
        <v>12885</v>
      </c>
      <c r="C13003" t="str">
        <f>IFERROR(__xludf.DUMMYFUNCTION("GOOGLETRANSLATE(B13003, ""es"", ""en"")"),"A single disaster rotate the blades when you do not put anything to crush them. In addition the blade is bent stripes plastic container. So a disaster. Call Amazon to complain and was told to write to CECOTEC. I took a month and still have not answered me"&amp;". So a real disaster!")</f>
        <v>A single disaster rotate the blades when you do not put anything to crush them. In addition the blade is bent stripes plastic container. So a disaster. Call Amazon to complain and was told to write to CECOTEC. I took a month and still have not answered me. So a real disaster!</v>
      </c>
    </row>
    <row r="13004">
      <c r="A13004" s="1">
        <v>1.0</v>
      </c>
      <c r="B13004" s="1" t="s">
        <v>12886</v>
      </c>
      <c r="C13004" t="str">
        <f>IFERROR(__xludf.DUMMYFUNCTION("GOOGLETRANSLATE(B13004, ""es"", ""en"")"),"2 Pendrives not work I ordered a pack of 5 pendrives and 2 of them do not work. The rest of them often fail.")</f>
        <v>2 Pendrives not work I ordered a pack of 5 pendrives and 2 of them do not work. The rest of them often fail.</v>
      </c>
    </row>
    <row r="13005">
      <c r="A13005" s="1">
        <v>4.0</v>
      </c>
      <c r="B13005" s="1" t="s">
        <v>12887</v>
      </c>
      <c r="C13005" t="str">
        <f>IFERROR(__xludf.DUMMYFUNCTION("GOOGLETRANSLATE(B13005, ""es"", ""en"")"),"For the price very good quality but have to wait a few months to see how it with the washing. Now that remain are not as a good brand that deals with the design, but are more than acceptable price. Store worth double.")</f>
        <v>For the price very good quality but have to wait a few months to see how it with the washing. Now that remain are not as a good brand that deals with the design, but are more than acceptable price. Store worth double.</v>
      </c>
    </row>
    <row r="13006">
      <c r="A13006" s="1">
        <v>4.0</v>
      </c>
      <c r="B13006" s="1" t="s">
        <v>12888</v>
      </c>
      <c r="C13006" t="str">
        <f>IFERROR(__xludf.DUMMYFUNCTION("GOOGLETRANSLATE(B13006, ""es"", ""en"")"),"Easy handling and great power has fulfilled my expectations. Robust vacuum cleaner with a sense of quality product. Very good suction power, very manageable and easy to assemble and disassemble.")</f>
        <v>Easy handling and great power has fulfilled my expectations. Robust vacuum cleaner with a sense of quality product. Very good suction power, very manageable and easy to assemble and disassemble.</v>
      </c>
    </row>
    <row r="13007">
      <c r="A13007" s="1">
        <v>4.0</v>
      </c>
      <c r="B13007" s="1" t="s">
        <v>12889</v>
      </c>
      <c r="C13007" t="str">
        <f>IFERROR(__xludf.DUMMYFUNCTION("GOOGLETRANSLATE(B13007, ""es"", ""en"")"),"Good value for money Very good value for money. The handles are properly at night. Steel bracelet is very correct, but is very long and you have to go to a horological it cut to size.")</f>
        <v>Good value for money Very good value for money. The handles are properly at night. Steel bracelet is very correct, but is very long and you have to go to a horological it cut to size.</v>
      </c>
    </row>
    <row r="13008">
      <c r="A13008" s="1">
        <v>4.0</v>
      </c>
      <c r="B13008" s="1" t="s">
        <v>12890</v>
      </c>
      <c r="C13008" t="str">
        <f>IFERROR(__xludf.DUMMYFUNCTION("GOOGLETRANSLATE(B13008, ""es"", ""en"")"),"Hooded good value for money I liked the material and printing is not as weak as other bts sweatshirt. It is quite broad. It looks to be durable.")</f>
        <v>Hooded good value for money I liked the material and printing is not as weak as other bts sweatshirt. It is quite broad. It looks to be durable.</v>
      </c>
    </row>
    <row r="13009">
      <c r="A13009" s="1">
        <v>5.0</v>
      </c>
      <c r="B13009" s="1" t="s">
        <v>12891</v>
      </c>
      <c r="C13009" t="str">
        <f>IFERROR(__xludf.DUMMYFUNCTION("GOOGLETRANSLATE(B13009, ""es"", ""en"")"),"Small functional longer I have to go cut Velcro to make crafts at school. The size is small but ideal for school, around 10 mm in diameter (pictured've placed a euro coin so you can see dimensions). Easily adhere (as seen in the photograph). there is only"&amp;" to select them properly and do not peel off at the attaching to the surfaces we want to join. Considering the size, in my opinion it is an excellent product for handicrafts.")</f>
        <v>Small functional longer I have to go cut Velcro to make crafts at school. The size is small but ideal for school, around 10 mm in diameter (pictured've placed a euro coin so you can see dimensions). Easily adhere (as seen in the photograph). there is only to select them properly and do not peel off at the attaching to the surfaces we want to join. Considering the size, in my opinion it is an excellent product for handicrafts.</v>
      </c>
    </row>
    <row r="13010">
      <c r="A13010" s="1">
        <v>5.0</v>
      </c>
      <c r="B13010" s="1" t="s">
        <v>12892</v>
      </c>
      <c r="C13010" t="str">
        <f>IFERROR(__xludf.DUMMYFUNCTION("GOOGLETRANSLATE(B13010, ""es"", ""en"")"),"Very good price relative to the pendrive store is fine, and at a very good price. You can take the house keys with no problem, and it takes up very little good naterial. The shipment came quickly enough, but hey, as I urged not.")</f>
        <v>Very good price relative to the pendrive store is fine, and at a very good price. You can take the house keys with no problem, and it takes up very little good naterial. The shipment came quickly enough, but hey, as I urged not.</v>
      </c>
    </row>
    <row r="13011">
      <c r="A13011" s="1">
        <v>5.0</v>
      </c>
      <c r="B13011" s="1" t="s">
        <v>12893</v>
      </c>
      <c r="C13011" t="str">
        <f>IFERROR(__xludf.DUMMYFUNCTION("GOOGLETRANSLATE(B13011, ""es"", ""en"")"),"ligerapara carryon, good ypotencia capacity. Recommend buying I loved this little detail of the size of a palm, was very skeptical when I bought it, but it's worth a lot, in the small suitcase not add any bulk, weightless, works fast and well, the cable i"&amp;"s normal long to plug, I have taken for a stay of 15 days in a hotel and take infusions poderme I feel like when I want, the think bring all my travels and used in office work. The glasses are useful for traveling, come inside the kettle")</f>
        <v>ligerapara carryon, good ypotencia capacity. Recommend buying I loved this little detail of the size of a palm, was very skeptical when I bought it, but it's worth a lot, in the small suitcase not add any bulk, weightless, works fast and well, the cable is normal long to plug, I have taken for a stay of 15 days in a hotel and take infusions poderme I feel like when I want, the think bring all my travels and used in office work. The glasses are useful for traveling, come inside the kettle</v>
      </c>
    </row>
    <row r="13012">
      <c r="A13012" s="1">
        <v>5.0</v>
      </c>
      <c r="B13012" s="1" t="s">
        <v>12894</v>
      </c>
      <c r="C13012" t="str">
        <f>IFERROR(__xludf.DUMMYFUNCTION("GOOGLETRANSLATE(B13012, ""es"", ""en"")"),"Good shipment. This great product works great.")</f>
        <v>Good shipment. This great product works great.</v>
      </c>
    </row>
    <row r="13013">
      <c r="A13013" s="1">
        <v>5.0</v>
      </c>
      <c r="B13013" s="1" t="s">
        <v>12895</v>
      </c>
      <c r="C13013" t="str">
        <f>IFERROR(__xludf.DUMMYFUNCTION("GOOGLETRANSLATE(B13013, ""es"", ""en"")"),"Well Efe felix")</f>
        <v>Well Efe felix</v>
      </c>
    </row>
    <row r="13014">
      <c r="A13014" s="1">
        <v>5.0</v>
      </c>
      <c r="B13014" s="1" t="s">
        <v>12896</v>
      </c>
      <c r="C13014" t="str">
        <f>IFERROR(__xludf.DUMMYFUNCTION("GOOGLETRANSLATE(B13014, ""es"", ""en"")"),"I love! Not the first pack I have of Lagunamoon, and certainly would buy many more times their oils have an incredible variety, and saving some scents that I do not like personally I think they are pretty well made, so I recommend the brand, luxury van !")</f>
        <v>I love! Not the first pack I have of Lagunamoon, and certainly would buy many more times their oils have an incredible variety, and saving some scents that I do not like personally I think they are pretty well made, so I recommend the brand, luxury van !</v>
      </c>
    </row>
    <row r="13015">
      <c r="A13015" s="1">
        <v>5.0</v>
      </c>
      <c r="B13015" s="1" t="s">
        <v>12897</v>
      </c>
      <c r="C13015" t="str">
        <f>IFERROR(__xludf.DUMMYFUNCTION("GOOGLETRANSLATE(B13015, ""es"", ""en"")"),"Very fast and perfect A classic")</f>
        <v>Very fast and perfect A classic</v>
      </c>
    </row>
    <row r="13016">
      <c r="A13016" s="1">
        <v>5.0</v>
      </c>
      <c r="B13016" s="1" t="s">
        <v>12898</v>
      </c>
      <c r="C13016" t="str">
        <f>IFERROR(__xludf.DUMMYFUNCTION("GOOGLETRANSLATE(B13016, ""es"", ""en"")"),"Adidas sweatshirt Pretty good quality and good price")</f>
        <v>Adidas sweatshirt Pretty good quality and good price</v>
      </c>
    </row>
    <row r="13017">
      <c r="A13017" s="1">
        <v>5.0</v>
      </c>
      <c r="B13017" s="1" t="s">
        <v>12899</v>
      </c>
      <c r="C13017" t="str">
        <f>IFERROR(__xludf.DUMMYFUNCTION("GOOGLETRANSLATE(B13017, ""es"", ""en"")"),"Highly recommended I have used this product for listening to music while I exercise on an exercise bike and an elliptical trainer and has been completely satisfactory. Audio quality, which is excellent. Very good bluetooth, comfortable and clear. If you w"&amp;"ant a decent set of headphones, get this now. Worth it.")</f>
        <v>Highly recommended I have used this product for listening to music while I exercise on an exercise bike and an elliptical trainer and has been completely satisfactory. Audio quality, which is excellent. Very good bluetooth, comfortable and clear. If you want a decent set of headphones, get this now. Worth it.</v>
      </c>
    </row>
    <row r="13018">
      <c r="A13018" s="1">
        <v>5.0</v>
      </c>
      <c r="B13018" s="1" t="s">
        <v>12900</v>
      </c>
      <c r="C13018" t="str">
        <f>IFERROR(__xludf.DUMMYFUNCTION("GOOGLETRANSLATE(B13018, ""es"", ""en"")"),"Good quality - price perfect. perfect quality of this brand. Very desirable to switch to breastfeeding as closely resemble the chest. My child did not want others and these catches them smoothly")</f>
        <v>Good quality - price perfect. perfect quality of this brand. Very desirable to switch to breastfeeding as closely resemble the chest. My child did not want others and these catches them smoothly</v>
      </c>
    </row>
    <row r="13019">
      <c r="A13019" s="1">
        <v>5.0</v>
      </c>
      <c r="B13019" s="1" t="s">
        <v>12901</v>
      </c>
      <c r="C13019" t="str">
        <f>IFERROR(__xludf.DUMMYFUNCTION("GOOGLETRANSLATE(B13019, ""es"", ""en"")"),"Very happy good record, fast and modern design. By value it is as balanced as I could find. Seagate is the trusted brand.")</f>
        <v>Very happy good record, fast and modern design. By value it is as balanced as I could find. Seagate is the trusted brand.</v>
      </c>
    </row>
    <row r="13020">
      <c r="A13020" s="1">
        <v>5.0</v>
      </c>
      <c r="B13020" s="1" t="s">
        <v>12902</v>
      </c>
      <c r="C13020" t="str">
        <f>IFERROR(__xludf.DUMMYFUNCTION("GOOGLETRANSLATE(B13020, ""es"", ""en"")"),"Fast arrival Very good article to mark, I recommend")</f>
        <v>Fast arrival Very good article to mark, I recommend</v>
      </c>
    </row>
    <row r="13021">
      <c r="A13021" s="1">
        <v>5.0</v>
      </c>
      <c r="B13021" s="1" t="s">
        <v>12903</v>
      </c>
      <c r="C13021" t="str">
        <f>IFERROR(__xludf.DUMMYFUNCTION("GOOGLETRANSLATE(B13021, ""es"", ""en"")"),"Product Encantada perfect")</f>
        <v>Product Encantada perfect</v>
      </c>
    </row>
    <row r="13022">
      <c r="A13022" s="1">
        <v>5.0</v>
      </c>
      <c r="B13022" s="1" t="s">
        <v>12904</v>
      </c>
      <c r="C13022" t="str">
        <f>IFERROR(__xludf.DUMMYFUNCTION("GOOGLETRANSLATE(B13022, ""es"", ""en"")"),"Good product good product, perfect for massages.")</f>
        <v>Good product good product, perfect for massages.</v>
      </c>
    </row>
    <row r="13023">
      <c r="A13023" s="1">
        <v>5.0</v>
      </c>
      <c r="B13023" s="1" t="s">
        <v>12905</v>
      </c>
      <c r="C13023" t="str">
        <f>IFERROR(__xludf.DUMMYFUNCTION("GOOGLETRANSLATE(B13023, ""es"", ""en"")"),"success was a gift and has been a success. In the opinion, quality, design ... and that are fashionable, make it a success.")</f>
        <v>success was a gift and has been a success. In the opinion, quality, design ... and that are fashionable, make it a success.</v>
      </c>
    </row>
    <row r="13024">
      <c r="A13024" s="1">
        <v>5.0</v>
      </c>
      <c r="B13024" s="1" t="s">
        <v>12906</v>
      </c>
      <c r="C13024" t="str">
        <f>IFERROR(__xludf.DUMMYFUNCTION("GOOGLETRANSLATE(B13024, ""es"", ""en"")"),"Fran I'll buy it again but on a smaller size pants fabric is fine and sizes do not match you have to buy the bottom.")</f>
        <v>Fran I'll buy it again but on a smaller size pants fabric is fine and sizes do not match you have to buy the bottom.</v>
      </c>
    </row>
    <row r="13025">
      <c r="A13025" s="1">
        <v>5.0</v>
      </c>
      <c r="B13025" s="1" t="s">
        <v>12907</v>
      </c>
      <c r="C13025" t="str">
        <f>IFERROR(__xludf.DUMMYFUNCTION("GOOGLETRANSLATE(B13025, ""es"", ""en"")"),"GOOD QUALITY PRICE I bought relaccionados somewhat skeptical due to its price, the truth, but the truth is that I was pleasantly surprised. It was very easy to link it to my laptop. It comes with batteries for the laser pointer. It is also a bit shorter ("&amp;"and therefore much more comfortable and discreet) than it appears in photos. I have not used it yet for a presentation but has all the earmarks that will not disappoint. Buy recommended.")</f>
        <v>GOOD QUALITY PRICE I bought relaccionados somewhat skeptical due to its price, the truth, but the truth is that I was pleasantly surprised. It was very easy to link it to my laptop. It comes with batteries for the laser pointer. It is also a bit shorter (and therefore much more comfortable and discreet) than it appears in photos. I have not used it yet for a presentation but has all the earmarks that will not disappoint. Buy recommended.</v>
      </c>
    </row>
    <row r="13026">
      <c r="A13026" s="1">
        <v>5.0</v>
      </c>
      <c r="B13026" s="1" t="s">
        <v>12908</v>
      </c>
      <c r="C13026" t="str">
        <f>IFERROR(__xludf.DUMMYFUNCTION("GOOGLETRANSLATE(B13026, ""es"", ""en"")"),"So comfortable So comfortable !!! It was doubtful to buying shoes online, I was surprised of how comfortable they are, repeat in the future")</f>
        <v>So comfortable So comfortable !!! It was doubtful to buying shoes online, I was surprised of how comfortable they are, repeat in the future</v>
      </c>
    </row>
    <row r="13027">
      <c r="A13027" s="1">
        <v>5.0</v>
      </c>
      <c r="B13027" s="1" t="s">
        <v>12909</v>
      </c>
      <c r="C13027" t="str">
        <f>IFERROR(__xludf.DUMMYFUNCTION("GOOGLETRANSLATE(B13027, ""es"", ""en"")"),"Lightweight and aesthetic is very light, comfortable, and quite nice (for the ""monstrosities"" that are now sold).")</f>
        <v>Lightweight and aesthetic is very light, comfortable, and quite nice (for the "monstrosities" that are now sold).</v>
      </c>
    </row>
    <row r="13028">
      <c r="A13028" s="1">
        <v>2.0</v>
      </c>
      <c r="B13028" s="1" t="s">
        <v>12910</v>
      </c>
      <c r="C13028" t="str">
        <f>IFERROR(__xludf.DUMMYFUNCTION("GOOGLETRANSLATE(B13028, ""es"", ""en"")"),"You will not hear me! Well, I'm a little disappointed and I'll explain, today I came headphones and I was listening to music, good volume, sound good, the best without doubt the connection was very easy, so far so perfect, my problem was when quice call m"&amp;"y wife, I did not listen well I was wondering around 2 times, telling me it's like I was far away, I hung up and called my sister to see if the problem was with my wife and my bad luck, is not I heard, with much regret that I'm back, talking on the headph"&amp;"ones it is essential for me and not whether this particular computer is damaged, but I am not okay.")</f>
        <v>You will not hear me! Well, I'm a little disappointed and I'll explain, today I came headphones and I was listening to music, good volume, sound good, the best without doubt the connection was very easy, so far so perfect, my problem was when quice call my wife, I did not listen well I was wondering around 2 times, telling me it's like I was far away, I hung up and called my sister to see if the problem was with my wife and my bad luck, is not I heard, with much regret that I'm back, talking on the headphones it is essential for me and not whether this particular computer is damaged, but I am not okay.</v>
      </c>
    </row>
    <row r="13029">
      <c r="A13029" s="1">
        <v>3.0</v>
      </c>
      <c r="B13029" s="1" t="s">
        <v>12911</v>
      </c>
      <c r="C13029" t="str">
        <f>IFERROR(__xludf.DUMMYFUNCTION("GOOGLETRANSLATE(B13029, ""es"", ""en"")"),"Can improve comfortable, beautiful and enduring the blows, the only downside would put it is that the sole is very resistant and wearing just a little time, I lasted less than a year.")</f>
        <v>Can improve comfortable, beautiful and enduring the blows, the only downside would put it is that the sole is very resistant and wearing just a little time, I lasted less than a year.</v>
      </c>
    </row>
    <row r="13030">
      <c r="A13030" s="1">
        <v>3.0</v>
      </c>
      <c r="B13030" s="1" t="s">
        <v>12912</v>
      </c>
      <c r="C13030" t="str">
        <f>IFERROR(__xludf.DUMMYFUNCTION("GOOGLETRANSLATE(B13030, ""es"", ""en"")"),"Comfortable but have been short-lived My feet have loved it. They are very comfortable. my pocket but not so much because they have less than 2 months of use and are already broken. The design is very good but the material very regular")</f>
        <v>Comfortable but have been short-lived My feet have loved it. They are very comfortable. my pocket but not so much because they have less than 2 months of use and are already broken. The design is very good but the material very regular</v>
      </c>
    </row>
    <row r="13031">
      <c r="A13031" s="1">
        <v>1.0</v>
      </c>
      <c r="B13031" s="1" t="s">
        <v>12913</v>
      </c>
      <c r="C13031" t="str">
        <f>IFERROR(__xludf.DUMMYFUNCTION("GOOGLETRANSLATE(B13031, ""es"", ""en"")"),"Lousy PAPER ARE NOT buy some, are paper COLOR IF, BUT PAPER, NO LAST 2 DAYS. I ordered a school agendas and my daughters asked him to take me step separators. Thought are expensive, € 3,50 but I say come 10 and half for each. For that price I buy 2 games "&amp;"in the Chinese plastic. I do not return because I used them (are rolled and spending leaves you stay with them in hand chickening holes). A SCAM IN RULE THAT ALL AMAZON should watch. FOOL YOU ARE LEFT SIDE.")</f>
        <v>Lousy PAPER ARE NOT buy some, are paper COLOR IF, BUT PAPER, NO LAST 2 DAYS. I ordered a school agendas and my daughters asked him to take me step separators. Thought are expensive, € 3,50 but I say come 10 and half for each. For that price I buy 2 games in the Chinese plastic. I do not return because I used them (are rolled and spending leaves you stay with them in hand chickening holes). A SCAM IN RULE THAT ALL AMAZON should watch. FOOL YOU ARE LEFT SIDE.</v>
      </c>
    </row>
    <row r="13032">
      <c r="A13032" s="1">
        <v>1.0</v>
      </c>
      <c r="B13032" s="1" t="s">
        <v>12914</v>
      </c>
      <c r="C13032" t="str">
        <f>IFERROR(__xludf.DUMMYFUNCTION("GOOGLETRANSLATE(B13032, ""es"", ""en"")"),"I did not last even a month healthy lasted me healthy. It has failed an out and now I have to hear only one ear. It is not the first time it happens with this type of headphones. I would say that reintegrated me, but I will say that the stay.")</f>
        <v>I did not last even a month healthy lasted me healthy. It has failed an out and now I have to hear only one ear. It is not the first time it happens with this type of headphones. I would say that reintegrated me, but I will say that the stay.</v>
      </c>
    </row>
    <row r="13033">
      <c r="A13033" s="1">
        <v>4.0</v>
      </c>
      <c r="B13033" s="1" t="s">
        <v>12915</v>
      </c>
      <c r="C13033" t="str">
        <f>IFERROR(__xludf.DUMMYFUNCTION("GOOGLETRANSLATE(B13033, ""es"", ""en"")"),"Almost perfect Good product, USB not load the controls of the PS4, but it is the only")</f>
        <v>Almost perfect Good product, USB not load the controls of the PS4, but it is the only</v>
      </c>
    </row>
    <row r="13034">
      <c r="A13034" s="1">
        <v>4.0</v>
      </c>
      <c r="B13034" s="1" t="s">
        <v>12916</v>
      </c>
      <c r="C13034" t="str">
        <f>IFERROR(__xludf.DUMMYFUNCTION("GOOGLETRANSLATE(B13034, ""es"", ""en"")"),"Nice, light is nice but the chain is much thinner than I thought")</f>
        <v>Nice, light is nice but the chain is much thinner than I thought</v>
      </c>
    </row>
    <row r="13035">
      <c r="A13035" s="1">
        <v>4.0</v>
      </c>
      <c r="B13035" s="1" t="s">
        <v>12917</v>
      </c>
      <c r="C13035" t="str">
        <f>IFERROR(__xludf.DUMMYFUNCTION("GOOGLETRANSLATE(B13035, ""es"", ""en"")"),"The product is good buy as it appears in the ad is the right size, are very comfortable and good quality, weigh nothing.")</f>
        <v>The product is good buy as it appears in the ad is the right size, are very comfortable and good quality, weigh nothing.</v>
      </c>
    </row>
    <row r="13036">
      <c r="A13036" s="1">
        <v>4.0</v>
      </c>
      <c r="B13036" s="1" t="s">
        <v>12918</v>
      </c>
      <c r="C13036" t="str">
        <f>IFERROR(__xludf.DUMMYFUNCTION("GOOGLETRANSLATE(B13036, ""es"", ""en"")"),"Well as sweeper broom, light and small I really like the broom bend, it weighs nothing and takes up very little. It has considerable autonomy. The only downside at the moment the meeting is not the tomb of everything, so you can not spend well under furni"&amp;"ture. Nor it has the power of a vacuum cleaner. For my use it as a broom sweeper to collect crumbs and stuff after eating, I do well. But if you're more the vacuum function not recommend it.")</f>
        <v>Well as sweeper broom, light and small I really like the broom bend, it weighs nothing and takes up very little. It has considerable autonomy. The only downside at the moment the meeting is not the tomb of everything, so you can not spend well under furniture. Nor it has the power of a vacuum cleaner. For my use it as a broom sweeper to collect crumbs and stuff after eating, I do well. But if you're more the vacuum function not recommend it.</v>
      </c>
    </row>
    <row r="13037">
      <c r="A13037" s="1">
        <v>4.0</v>
      </c>
      <c r="B13037" s="1" t="s">
        <v>12919</v>
      </c>
      <c r="C13037" t="str">
        <f>IFERROR(__xludf.DUMMYFUNCTION("GOOGLETRANSLATE(B13037, ""es"", ""en"")"),"excellent product good as in the photo ,, I love solonque sale at the beginning I had to remove the templates until they gave a little more ..")</f>
        <v>excellent product good as in the photo ,, I love solonque sale at the beginning I had to remove the templates until they gave a little more ..</v>
      </c>
    </row>
    <row r="13038">
      <c r="A13038" s="1">
        <v>5.0</v>
      </c>
      <c r="B13038" s="1" t="s">
        <v>12920</v>
      </c>
      <c r="C13038" t="str">
        <f>IFERROR(__xludf.DUMMYFUNCTION("GOOGLETRANSLATE(B13038, ""es"", ""en"")"),"Very good buy Its construction seems solid. In turn, the flexibility of the material allows can be used several pedals in pedalboard without fear of deterioration. I quite like the design of the JACK 90 degrees apart, no noise outside connection. I will d"&amp;"efinitely buy more as these cables. I've used an average of 2-3 hours a day for two weeks continuously, and no registration problem. I recommend this purchase.")</f>
        <v>Very good buy Its construction seems solid. In turn, the flexibility of the material allows can be used several pedals in pedalboard without fear of deterioration. I quite like the design of the JACK 90 degrees apart, no noise outside connection. I will definitely buy more as these cables. I've used an average of 2-3 hours a day for two weeks continuously, and no registration problem. I recommend this purchase.</v>
      </c>
    </row>
    <row r="13039">
      <c r="A13039" s="1">
        <v>5.0</v>
      </c>
      <c r="B13039" s="1" t="s">
        <v>12921</v>
      </c>
      <c r="C13039" t="str">
        <f>IFERROR(__xludf.DUMMYFUNCTION("GOOGLETRANSLATE(B13039, ""es"", ""en"")"),"Well I bought for use during the time of fitness training, I did not want headphones two units. Bluetooth connection is easy and stable, no coverage is lost as about 10 steps away. You can listen to songs and performing excited phone call. It's fine for m"&amp;"y needs.")</f>
        <v>Well I bought for use during the time of fitness training, I did not want headphones two units. Bluetooth connection is easy and stable, no coverage is lost as about 10 steps away. You can listen to songs and performing excited phone call. It's fine for my needs.</v>
      </c>
    </row>
    <row r="13040">
      <c r="A13040" s="1">
        <v>5.0</v>
      </c>
      <c r="B13040" s="1" t="s">
        <v>12922</v>
      </c>
      <c r="C13040" t="str">
        <f>IFERROR(__xludf.DUMMYFUNCTION("GOOGLETRANSLATE(B13040, ""es"", ""en"")"),"The size shoes did not correspond with the order to return them had")</f>
        <v>The size shoes did not correspond with the order to return them had</v>
      </c>
    </row>
    <row r="13041">
      <c r="A13041" s="1">
        <v>5.0</v>
      </c>
      <c r="B13041" s="1" t="s">
        <v>12923</v>
      </c>
      <c r="C13041" t="str">
        <f>IFERROR(__xludf.DUMMYFUNCTION("GOOGLETRANSLATE(B13041, ""es"", ""en"")"),"Perfect perfect and easy. Very easy to clean glasses with this apparatus. Worth what you pay for sure. I wish I had bought earlier.")</f>
        <v>Perfect perfect and easy. Very easy to clean glasses with this apparatus. Worth what you pay for sure. I wish I had bought earlier.</v>
      </c>
    </row>
    <row r="13042">
      <c r="A13042" s="1">
        <v>5.0</v>
      </c>
      <c r="B13042" s="1" t="s">
        <v>12924</v>
      </c>
      <c r="C13042" t="str">
        <f>IFERROR(__xludf.DUMMYFUNCTION("GOOGLETRANSLATE(B13042, ""es"", ""en"")"),"José precious Simply, good quality, I have about 45 watches and this has nothing to send most of them.")</f>
        <v>José precious Simply, good quality, I have about 45 watches and this has nothing to send most of them.</v>
      </c>
    </row>
    <row r="13043">
      <c r="A13043" s="1">
        <v>5.0</v>
      </c>
      <c r="B13043" s="1" t="s">
        <v>12925</v>
      </c>
      <c r="C13043" t="str">
        <f>IFERROR(__xludf.DUMMYFUNCTION("GOOGLETRANSLATE(B13043, ""es"", ""en"")"),"Comfy works great. I usually open the tap with hot water so that less heat it later. Boiling takes less than a minute and a half, which is very convenient for infusions for example.")</f>
        <v>Comfy works great. I usually open the tap with hot water so that less heat it later. Boiling takes less than a minute and a half, which is very convenient for infusions for example.</v>
      </c>
    </row>
    <row r="13044">
      <c r="A13044" s="1">
        <v>5.0</v>
      </c>
      <c r="B13044" s="1" t="s">
        <v>12926</v>
      </c>
      <c r="C13044" t="str">
        <f>IFERROR(__xludf.DUMMYFUNCTION("GOOGLETRANSLATE(B13044, ""es"", ""en"")"),"Beautiful I liked everything very fast. And a lovely necklace")</f>
        <v>Beautiful I liked everything very fast. And a lovely necklace</v>
      </c>
    </row>
    <row r="13045">
      <c r="A13045" s="1">
        <v>5.0</v>
      </c>
      <c r="B13045" s="1" t="s">
        <v>12927</v>
      </c>
      <c r="C13045" t="str">
        <f>IFERROR(__xludf.DUMMYFUNCTION("GOOGLETRANSLATE(B13045, ""es"", ""en"")"),"LIKE ME BECAUSE IT IS PERFECT AND ASKED had an EQUAL")</f>
        <v>LIKE ME BECAUSE IT IS PERFECT AND ASKED had an EQUAL</v>
      </c>
    </row>
    <row r="13046">
      <c r="A13046" s="1">
        <v>5.0</v>
      </c>
      <c r="B13046" s="1" t="s">
        <v>12928</v>
      </c>
      <c r="C13046" t="str">
        <f>IFERROR(__xludf.DUMMYFUNCTION("GOOGLETRANSLATE(B13046, ""es"", ""en"")"),"Super is one of the products that has lasted me considering the given use. It has lasted over 3 years using it during autumn and winter almost daily so great use-durability ratio. The heat produced is correct, there is a sauna but well heated. highly reco"&amp;"mmended")</f>
        <v>Super is one of the products that has lasted me considering the given use. It has lasted over 3 years using it during autumn and winter almost daily so great use-durability ratio. The heat produced is correct, there is a sauna but well heated. highly recommended</v>
      </c>
    </row>
    <row r="13047">
      <c r="A13047" s="1">
        <v>5.0</v>
      </c>
      <c r="B13047" s="1" t="s">
        <v>12929</v>
      </c>
      <c r="C13047" t="str">
        <f>IFERROR(__xludf.DUMMYFUNCTION("GOOGLETRANSLATE(B13047, ""es"", ""en"")"),"Excellent arm good product for that price took several months without any fault")</f>
        <v>Excellent arm good product for that price took several months without any fault</v>
      </c>
    </row>
    <row r="13048">
      <c r="A13048" s="1">
        <v>5.0</v>
      </c>
      <c r="B13048" s="1" t="s">
        <v>12930</v>
      </c>
      <c r="C13048" t="str">
        <f>IFERROR(__xludf.DUMMYFUNCTION("GOOGLETRANSLATE(B13048, ""es"", ""en"")"),"Highly recommended. This great, very good quality for the price you have.")</f>
        <v>Highly recommended. This great, very good quality for the price you have.</v>
      </c>
    </row>
    <row r="13049">
      <c r="A13049" s="1">
        <v>5.0</v>
      </c>
      <c r="B13049" s="1" t="s">
        <v>12931</v>
      </c>
      <c r="C13049" t="str">
        <f>IFERROR(__xludf.DUMMYFUNCTION("GOOGLETRANSLATE(B13049, ""es"", ""en"")"),"Not heat much much much much heat .. not .. but you out of trouble. To put maximum power if you want to use. Price / quality ratio: ok.")</f>
        <v>Not heat much much much much heat .. not .. but you out of trouble. To put maximum power if you want to use. Price / quality ratio: ok.</v>
      </c>
    </row>
    <row r="13050">
      <c r="A13050" s="1">
        <v>5.0</v>
      </c>
      <c r="B13050" s="1" t="s">
        <v>12932</v>
      </c>
      <c r="C13050" t="str">
        <f>IFERROR(__xludf.DUMMYFUNCTION("GOOGLETRANSLATE(B13050, ""es"", ""en"")"),"Good I buy I am delighted with my purchase. Suprr useful and super cool. The enfrega was perfect. Only it makes noise serving, but serving only")</f>
        <v>Good I buy I am delighted with my purchase. Suprr useful and super cool. The enfrega was perfect. Only it makes noise serving, but serving only</v>
      </c>
    </row>
    <row r="13051">
      <c r="A13051" s="1">
        <v>5.0</v>
      </c>
      <c r="B13051" s="1" t="s">
        <v>12933</v>
      </c>
      <c r="C13051" t="str">
        <f>IFERROR(__xludf.DUMMYFUNCTION("GOOGLETRANSLATE(B13051, ""es"", ""en"")"),"Perfect! Pants are phenomenal. My son've loved you! You take one size smaller than usual to fit you perfect.")</f>
        <v>Perfect! Pants are phenomenal. My son've loved you! You take one size smaller than usual to fit you perfect.</v>
      </c>
    </row>
    <row r="13052">
      <c r="A13052" s="1">
        <v>5.0</v>
      </c>
      <c r="B13052" s="1" t="s">
        <v>12934</v>
      </c>
      <c r="C13052" t="str">
        <f>IFERROR(__xludf.DUMMYFUNCTION("GOOGLETRANSLATE(B13052, ""es"", ""en"")"),"Excellent product Skercher shoes comfortable for walking with rubber sole that grips well even in wet areas")</f>
        <v>Excellent product Skercher shoes comfortable for walking with rubber sole that grips well even in wet areas</v>
      </c>
    </row>
    <row r="13053">
      <c r="A13053" s="1">
        <v>5.0</v>
      </c>
      <c r="B13053" s="1" t="s">
        <v>12935</v>
      </c>
      <c r="C13053" t="str">
        <f>IFERROR(__xludf.DUMMYFUNCTION("GOOGLETRANSLATE(B13053, ""es"", ""en"")"),"Subject quite'm delighted with, I caught him at a good price and also nice quality and subject fairly. Very good buy.")</f>
        <v>Subject quite'm delighted with, I caught him at a good price and also nice quality and subject fairly. Very good buy.</v>
      </c>
    </row>
    <row r="13054">
      <c r="A13054" s="1">
        <v>5.0</v>
      </c>
      <c r="B13054" s="1" t="s">
        <v>12936</v>
      </c>
      <c r="C13054" t="str">
        <f>IFERROR(__xludf.DUMMYFUNCTION("GOOGLETRANSLATE(B13054, ""es"", ""en"")"),"Very good and pretty and functional harbors a lot a lot going It shelters to keep warm without weighing not overwhelm the garment")</f>
        <v>Very good and pretty and functional harbors a lot a lot going It shelters to keep warm without weighing not overwhelm the garment</v>
      </c>
    </row>
    <row r="13055">
      <c r="A13055" s="1">
        <v>5.0</v>
      </c>
      <c r="B13055" s="1" t="s">
        <v>12937</v>
      </c>
      <c r="C13055" t="str">
        <f>IFERROR(__xludf.DUMMYFUNCTION("GOOGLETRANSLATE(B13055, ""es"", ""en"")"),"Very comfortable I really like good quality")</f>
        <v>Very comfortable I really like good quality</v>
      </c>
    </row>
    <row r="13056">
      <c r="A13056" s="1">
        <v>5.0</v>
      </c>
      <c r="B13056" s="1" t="s">
        <v>12938</v>
      </c>
      <c r="C13056" t="str">
        <f>IFERROR(__xludf.DUMMYFUNCTION("GOOGLETRANSLATE(B13056, ""es"", ""en"")"),"Good sound, the microphone works well and comfortable They are very good headphones, the sound quality is good and with good bass, talking on the phone when listening in stereo as well. What worried me most was the microphone to listen to me either talkin"&amp;"g on the phone and have exceeded my expectations. Bring rubber bands to better fit into the ears but the truth I do not look very comfortable, it may be useful to better subject to the exercise, but I have not used them. Synchronize themselves to turn the"&amp;"m on and the audio will indicate by what the right and left.")</f>
        <v>Good sound, the microphone works well and comfortable They are very good headphones, the sound quality is good and with good bass, talking on the phone when listening in stereo as well. What worried me most was the microphone to listen to me either talking on the phone and have exceeded my expectations. Bring rubber bands to better fit into the ears but the truth I do not look very comfortable, it may be useful to better subject to the exercise, but I have not used them. Synchronize themselves to turn them on and the audio will indicate by what the right and left.</v>
      </c>
    </row>
    <row r="13057">
      <c r="A13057" s="1">
        <v>2.0</v>
      </c>
      <c r="B13057" s="1" t="s">
        <v>12939</v>
      </c>
      <c r="C13057" t="str">
        <f>IFERROR(__xludf.DUMMYFUNCTION("GOOGLETRANSLATE(B13057, ""es"", ""en"")"),"Felisa J. R The pendant hes completely different .more seved as small .loqueria for a gift and I think very little")</f>
        <v>Felisa J. R The pendant hes completely different .more seved as small .loqueria for a gift and I think very little</v>
      </c>
    </row>
    <row r="13058">
      <c r="A13058" s="1">
        <v>3.0</v>
      </c>
      <c r="B13058" s="1" t="s">
        <v>12940</v>
      </c>
      <c r="C13058" t="str">
        <f>IFERROR(__xludf.DUMMYFUNCTION("GOOGLETRANSLATE(B13058, ""es"", ""en"")"),"Very nice but average quality This kettle is very nice, and remains very beautiful decoration item. It surprised how light it is. The trouble is that once after the first use appeared inside some stains. We have continued to use it casually, but wish had "&amp;"more resistance.")</f>
        <v>Very nice but average quality This kettle is very nice, and remains very beautiful decoration item. It surprised how light it is. The trouble is that once after the first use appeared inside some stains. We have continued to use it casually, but wish had more resistance.</v>
      </c>
    </row>
    <row r="13059">
      <c r="A13059" s="1">
        <v>1.0</v>
      </c>
      <c r="B13059" s="1" t="s">
        <v>12941</v>
      </c>
      <c r="C13059" t="str">
        <f>IFERROR(__xludf.DUMMYFUNCTION("GOOGLETRANSLATE(B13059, ""es"", ""en"")"),"QUALITY obvious price q no q eseprar nothing else but unwrapped, poor presentation and very poor quality")</f>
        <v>QUALITY obvious price q no q eseprar nothing else but unwrapped, poor presentation and very poor quality</v>
      </c>
    </row>
    <row r="13060">
      <c r="A13060" s="1">
        <v>1.0</v>
      </c>
      <c r="B13060" s="1" t="s">
        <v>12942</v>
      </c>
      <c r="C13060" t="str">
        <f>IFERROR(__xludf.DUMMYFUNCTION("GOOGLETRANSLATE(B13060, ""es"", ""en"")"),"Penoso transfer rate painful, below the 100MB / s. Tested against an SD memory 300MB / s less than half speed (same computer, same files, same USB mouth, Samsung 96MB / s, Lexar 196MB / s). Transfer begins to 200MB / s but after a few seconds low and main"&amp;"tained at 96MB / s, typical of Samsung, compensate for the low quality of their products with a very aggressive marketing and good. inadvisable")</f>
        <v>Penoso transfer rate painful, below the 100MB / s. Tested against an SD memory 300MB / s less than half speed (same computer, same files, same USB mouth, Samsung 96MB / s, Lexar 196MB / s). Transfer begins to 200MB / s but after a few seconds low and maintained at 96MB / s, typical of Samsung, compensate for the low quality of their products with a very aggressive marketing and good. inadvisable</v>
      </c>
    </row>
    <row r="13061">
      <c r="A13061" s="1">
        <v>1.0</v>
      </c>
      <c r="B13061" s="1" t="s">
        <v>12943</v>
      </c>
      <c r="C13061" t="str">
        <f>IFERROR(__xludf.DUMMYFUNCTION("GOOGLETRANSLATE(B13061, ""es"", ""en"")"),"Is a thymus is a ripoff")</f>
        <v>Is a thymus is a ripoff</v>
      </c>
    </row>
    <row r="13062">
      <c r="A13062" s="1">
        <v>4.0</v>
      </c>
      <c r="B13062" s="1" t="s">
        <v>12944</v>
      </c>
      <c r="C13062" t="str">
        <f>IFERROR(__xludf.DUMMYFUNCTION("GOOGLETRANSLATE(B13062, ""es"", ""en"")"),"Good watch good money and good price")</f>
        <v>Good watch good money and good price</v>
      </c>
    </row>
    <row r="13063">
      <c r="A13063" s="1">
        <v>4.0</v>
      </c>
      <c r="B13063" s="1" t="s">
        <v>12945</v>
      </c>
      <c r="C13063" t="str">
        <f>IFERROR(__xludf.DUMMYFUNCTION("GOOGLETRANSLATE(B13063, ""es"", ""en"")"),"Good product All right. Content, for the price that comes out is a good product.")</f>
        <v>Good product All right. Content, for the price that comes out is a good product.</v>
      </c>
    </row>
    <row r="13064">
      <c r="A13064" s="1">
        <v>4.0</v>
      </c>
      <c r="B13064" s="1" t="s">
        <v>12946</v>
      </c>
      <c r="C13064" t="str">
        <f>IFERROR(__xludf.DUMMYFUNCTION("GOOGLETRANSLATE(B13064, ""es"", ""en"")"),"10 aspect was the watch model wearing looking aesthetically and their functions quite some time, just come near, and first impressions very satisfied. Yet I could not do much with. Even if you have little doll, it is pretty good. Everything comes in its b"&amp;"ox and in the manual very well explained by your warranty. Delivery time 10")</f>
        <v>10 aspect was the watch model wearing looking aesthetically and their functions quite some time, just come near, and first impressions very satisfied. Yet I could not do much with. Even if you have little doll, it is pretty good. Everything comes in its box and in the manual very well explained by your warranty. Delivery time 10</v>
      </c>
    </row>
    <row r="13065">
      <c r="A13065" s="1">
        <v>4.0</v>
      </c>
      <c r="B13065" s="1" t="s">
        <v>12947</v>
      </c>
      <c r="C13065" t="str">
        <f>IFERROR(__xludf.DUMMYFUNCTION("GOOGLETRANSLATE(B13065, ""es"", ""en"")"),"Very good!! Very elegant for my taste ... very good.")</f>
        <v>Very good!! Very elegant for my taste ... very good.</v>
      </c>
    </row>
    <row r="13066">
      <c r="A13066" s="1">
        <v>4.0</v>
      </c>
      <c r="B13066" s="1" t="s">
        <v>12948</v>
      </c>
      <c r="C13066" t="str">
        <f>IFERROR(__xludf.DUMMYFUNCTION("GOOGLETRANSLATE(B13066, ""es"", ""en"")"),"Powerful. Easy to use and complete. I am delighted with the Ultimate Moulinex blender. Thanks to its power (1000W) takes me less time to prepare my creams and that's a luxury that I prepare almost one every day. It also makes very little noise. It comes w"&amp;"ith several useful accessories such as glass and mincer. And, although not very confectioner, also it has an accessory for mounting cream. So far I have not tried any so effective :)")</f>
        <v>Powerful. Easy to use and complete. I am delighted with the Ultimate Moulinex blender. Thanks to its power (1000W) takes me less time to prepare my creams and that's a luxury that I prepare almost one every day. It also makes very little noise. It comes with several useful accessories such as glass and mincer. And, although not very confectioner, also it has an accessory for mounting cream. So far I have not tried any so effective :)</v>
      </c>
    </row>
    <row r="13067">
      <c r="A13067" s="1">
        <v>5.0</v>
      </c>
      <c r="B13067" s="1" t="s">
        <v>12949</v>
      </c>
      <c r="C13067" t="str">
        <f>IFERROR(__xludf.DUMMYFUNCTION("GOOGLETRANSLATE(B13067, ""es"", ""en"")"),"He did not think really comfortable plastic slippers prove as comfortable. The whole family have them and use both summer and winter.")</f>
        <v>He did not think really comfortable plastic slippers prove as comfortable. The whole family have them and use both summer and winter.</v>
      </c>
    </row>
    <row r="13068">
      <c r="A13068" s="1">
        <v>5.0</v>
      </c>
      <c r="B13068" s="1" t="s">
        <v>12950</v>
      </c>
      <c r="C13068" t="str">
        <f>IFERROR(__xludf.DUMMYFUNCTION("GOOGLETRANSLATE(B13068, ""es"", ""en"")"),"Fits perfectly! 1byone bought a microphone and fits perfectly, stability decent microphone. Medium quality.")</f>
        <v>Fits perfectly! 1byone bought a microphone and fits perfectly, stability decent microphone. Medium quality.</v>
      </c>
    </row>
    <row r="13069">
      <c r="A13069" s="1">
        <v>5.0</v>
      </c>
      <c r="B13069" s="1" t="s">
        <v>12951</v>
      </c>
      <c r="C13069" t="str">
        <f>IFERROR(__xludf.DUMMYFUNCTION("GOOGLETRANSLATE(B13069, ""es"", ""en"")"),"Perfectas good material. Good quality and are amazing and super comfortable")</f>
        <v>Perfectas good material. Good quality and are amazing and super comfortable</v>
      </c>
    </row>
    <row r="13070">
      <c r="A13070" s="1">
        <v>5.0</v>
      </c>
      <c r="B13070" s="1" t="s">
        <v>12952</v>
      </c>
      <c r="C13070" t="str">
        <f>IFERROR(__xludf.DUMMYFUNCTION("GOOGLETRANSLATE(B13070, ""es"", ""en"")"),"Ssd very good album I've been waiting for this review and after 430 hrs. still it is running at top with very good speed reading, writing down a bit, but it's normal in almost all SSDs midrange. In short, good buy and highly recommended.")</f>
        <v>Ssd very good album I've been waiting for this review and after 430 hrs. still it is running at top with very good speed reading, writing down a bit, but it's normal in almost all SSDs midrange. In short, good buy and highly recommended.</v>
      </c>
    </row>
    <row r="13071">
      <c r="A13071" s="1">
        <v>5.0</v>
      </c>
      <c r="B13071" s="1" t="s">
        <v>12953</v>
      </c>
      <c r="C13071" t="str">
        <f>IFERROR(__xludf.DUMMYFUNCTION("GOOGLETRANSLATE(B13071, ""es"", ""en"")"),"Perfect perfect, we tested several brands and this is the only one that is not chokes and coughs. I'm a bit of a bummer to clean but you get used to it.")</f>
        <v>Perfect perfect, we tested several brands and this is the only one that is not chokes and coughs. I'm a bit of a bummer to clean but you get used to it.</v>
      </c>
    </row>
    <row r="13072">
      <c r="A13072" s="1">
        <v>5.0</v>
      </c>
      <c r="B13072" s="1" t="s">
        <v>12954</v>
      </c>
      <c r="C13072" t="str">
        <f>IFERROR(__xludf.DUMMYFUNCTION("GOOGLETRANSLATE(B13072, ""es"", ""en"")"),"Memories of my youth At 15 I bought a Casio and now at 65 I returned to buy another ... It seems that Casio will not spend the years are the same in size and shape ... hayyyy still remember my 15 years but I if I changed")</f>
        <v>Memories of my youth At 15 I bought a Casio and now at 65 I returned to buy another ... It seems that Casio will not spend the years are the same in size and shape ... hayyyy still remember my 15 years but I if I changed</v>
      </c>
    </row>
    <row r="13073">
      <c r="A13073" s="1">
        <v>5.0</v>
      </c>
      <c r="B13073" s="1" t="s">
        <v>12955</v>
      </c>
      <c r="C13073" t="str">
        <f>IFERROR(__xludf.DUMMYFUNCTION("GOOGLETRANSLATE(B13073, ""es"", ""en"")"),"Great, portable super fast Now my laptop runs at the speed of lightning. He had a HDD before a Toshiba Satellite P850 and took 5 or 6 minutes to boot and respond to commands; now it takes 10 seconds or less. Is incredible. It is very easy to install, you "&amp;"just have to open the bottom casing of the laptop remove the old and install the new one. As for the operating system, I had Windows 10, I had to make a recovery USB and install the new SSD, the activation key saves the BIOS, so why not worry.")</f>
        <v>Great, portable super fast Now my laptop runs at the speed of lightning. He had a HDD before a Toshiba Satellite P850 and took 5 or 6 minutes to boot and respond to commands; now it takes 10 seconds or less. Is incredible. It is very easy to install, you just have to open the bottom casing of the laptop remove the old and install the new one. As for the operating system, I had Windows 10, I had to make a recovery USB and install the new SSD, the activation key saves the BIOS, so why not worry.</v>
      </c>
    </row>
    <row r="13074">
      <c r="A13074" s="1">
        <v>5.0</v>
      </c>
      <c r="B13074" s="1" t="s">
        <v>12956</v>
      </c>
      <c r="C13074" t="str">
        <f>IFERROR(__xludf.DUMMYFUNCTION("GOOGLETRANSLATE(B13074, ""es"", ""en"")"),"As it comes ... excellent fantastic Shoes")</f>
        <v>As it comes ... excellent fantastic Shoes</v>
      </c>
    </row>
    <row r="13075">
      <c r="A13075" s="1">
        <v>5.0</v>
      </c>
      <c r="B13075" s="1" t="s">
        <v>12957</v>
      </c>
      <c r="C13075" t="str">
        <f>IFERROR(__xludf.DUMMYFUNCTION("GOOGLETRANSLATE(B13075, ""es"", ""en"")"),"He was looking for a big, big good light alarm clock and it does just fine. I also like the sound.")</f>
        <v>He was looking for a big, big good light alarm clock and it does just fine. I also like the sound.</v>
      </c>
    </row>
    <row r="13076">
      <c r="A13076" s="1">
        <v>5.0</v>
      </c>
      <c r="B13076" s="1" t="s">
        <v>12958</v>
      </c>
      <c r="C13076" t="str">
        <f>IFERROR(__xludf.DUMMYFUNCTION("GOOGLETRANSLATE(B13076, ""es"", ""en"")"),"Good Very cool, you have to change the motherboard DIMM for them to 1600MHz, but come 1330 standard.")</f>
        <v>Good Very cool, you have to change the motherboard DIMM for them to 1600MHz, but come 1330 standard.</v>
      </c>
    </row>
    <row r="13077">
      <c r="A13077" s="1">
        <v>5.0</v>
      </c>
      <c r="B13077" s="1" t="s">
        <v>12959</v>
      </c>
      <c r="C13077" t="str">
        <f>IFERROR(__xludf.DUMMYFUNCTION("GOOGLETRANSLATE(B13077, ""es"", ""en"")"),"Very comfortable and practical. Perfect ...")</f>
        <v>Very comfortable and practical. Perfect ...</v>
      </c>
    </row>
    <row r="13078">
      <c r="A13078" s="1">
        <v>5.0</v>
      </c>
      <c r="B13078" s="1" t="s">
        <v>12960</v>
      </c>
      <c r="C13078" t="str">
        <f>IFERROR(__xludf.DUMMYFUNCTION("GOOGLETRANSLATE(B13078, ""es"", ""en"")"),"Transcend quality Good quality and time without problemad")</f>
        <v>Transcend quality Good quality and time without problemad</v>
      </c>
    </row>
    <row r="13079">
      <c r="A13079" s="1">
        <v>5.0</v>
      </c>
      <c r="B13079" s="1" t="s">
        <v>12961</v>
      </c>
      <c r="C13079" t="str">
        <f>IFERROR(__xludf.DUMMYFUNCTION("GOOGLETRANSLATE(B13079, ""es"", ""en"")"),"Just as I expected good quality. Perfect for two cards. Having to wear one, it would fall to not having enough pressure on the plastic")</f>
        <v>Just as I expected good quality. Perfect for two cards. Having to wear one, it would fall to not having enough pressure on the plastic</v>
      </c>
    </row>
    <row r="13080">
      <c r="A13080" s="1">
        <v>5.0</v>
      </c>
      <c r="B13080" s="1" t="s">
        <v>12962</v>
      </c>
      <c r="C13080" t="str">
        <f>IFERROR(__xludf.DUMMYFUNCTION("GOOGLETRANSLATE(B13080, ""es"", ""en"")"),"They have pretty good and cheap 3 B if you are looking for a simple helmets, sound good and easy to use at a good price, these are a very good choice. Moment these days just have a good feeling with them. The battery lasts enough, they are easy to connect"&amp;", sound pretty good and materials give confidence. In addition, it biene with a nice bag and travel charger and audio cables.")</f>
        <v>They have pretty good and cheap 3 B if you are looking for a simple helmets, sound good and easy to use at a good price, these are a very good choice. Moment these days just have a good feeling with them. The battery lasts enough, they are easy to connect, sound pretty good and materials give confidence. In addition, it biene with a nice bag and travel charger and audio cables.</v>
      </c>
    </row>
    <row r="13081">
      <c r="A13081" s="1">
        <v>5.0</v>
      </c>
      <c r="B13081" s="1" t="s">
        <v>12963</v>
      </c>
      <c r="C13081" t="str">
        <f>IFERROR(__xludf.DUMMYFUNCTION("GOOGLETRANSLATE(B13081, ""es"", ""en"")"),"It's perfect blender and images as shown in the description. A blender and crushing very complete and with plenty of power. I'm happy with the purchase.")</f>
        <v>It's perfect blender and images as shown in the description. A blender and crushing very complete and with plenty of power. I'm happy with the purchase.</v>
      </c>
    </row>
    <row r="13082">
      <c r="A13082" s="1">
        <v>5.0</v>
      </c>
      <c r="B13082" s="1" t="s">
        <v>12964</v>
      </c>
      <c r="C13082" t="str">
        <f>IFERROR(__xludf.DUMMYFUNCTION("GOOGLETRANSLATE(B13082, ""es"", ""en"")"),"Very satisfied with the microphone Buy this microphone to use for games like chats in Skype, TeamSpeak etc, and the truth is going swimmingly perfect, highly recommended.")</f>
        <v>Very satisfied with the microphone Buy this microphone to use for games like chats in Skype, TeamSpeak etc, and the truth is going swimmingly perfect, highly recommended.</v>
      </c>
    </row>
    <row r="13083">
      <c r="A13083" s="1">
        <v>5.0</v>
      </c>
      <c r="B13083" s="1" t="s">
        <v>12965</v>
      </c>
      <c r="C13083" t="str">
        <f>IFERROR(__xludf.DUMMYFUNCTION("GOOGLETRANSLATE(B13083, ""es"", ""en"")"),"Very light very good quality bluetooth headset more than decent, very small size, very light hardly notice you're wearing. Easy synchronization with small keypad up and down volume button on and off. It has several accessories, microUSB charging cable and"&amp;" several accessories to choose which is the one that best fits your ears.")</f>
        <v>Very light very good quality bluetooth headset more than decent, very small size, very light hardly notice you're wearing. Easy synchronization with small keypad up and down volume button on and off. It has several accessories, microUSB charging cable and several accessories to choose which is the one that best fits your ears.</v>
      </c>
    </row>
    <row r="13084">
      <c r="A13084" s="1">
        <v>5.0</v>
      </c>
      <c r="B13084" s="1" t="s">
        <v>12966</v>
      </c>
      <c r="C13084" t="str">
        <f>IFERROR(__xludf.DUMMYFUNCTION("GOOGLETRANSLATE(B13084, ""es"", ""en"")"),"The excellent excellent product tested, leaves your skin in perfect condition, soft and super clean")</f>
        <v>The excellent excellent product tested, leaves your skin in perfect condition, soft and super clean</v>
      </c>
    </row>
    <row r="13085">
      <c r="A13085" s="1">
        <v>2.0</v>
      </c>
      <c r="B13085" s="1" t="s">
        <v>12967</v>
      </c>
      <c r="C13085" t="str">
        <f>IFERROR(__xludf.DUMMYFUNCTION("GOOGLETRANSLATE(B13085, ""es"", ""en"")"),"My foot hurts Delivery and product well. Now I have put me one day and left me chafing and major wounds on a finger. Zalatillas as a canvas you should not be soft with feet ??????")</f>
        <v>My foot hurts Delivery and product well. Now I have put me one day and left me chafing and major wounds on a finger. Zalatillas as a canvas you should not be soft with feet ??????</v>
      </c>
    </row>
    <row r="13086">
      <c r="A13086" s="1">
        <v>3.0</v>
      </c>
      <c r="B13086" s="1" t="s">
        <v>12968</v>
      </c>
      <c r="C13086" t="str">
        <f>IFERROR(__xludf.DUMMYFUNCTION("GOOGLETRANSLATE(B13086, ""es"", ""en"")"),"Overall well. Good watch, good value for money, as I expected, but only has one drawback, and it is very important to me: if you have body hair do not buy the bracelet to the metal being between links is a small space and attaches to hairs with such exagg"&amp;"eration that could not withstand pulling hair and I can not carry. If you have no hair, no problem")</f>
        <v>Overall well. Good watch, good value for money, as I expected, but only has one drawback, and it is very important to me: if you have body hair do not buy the bracelet to the metal being between links is a small space and attaches to hairs with such exaggeration that could not withstand pulling hair and I can not carry. If you have no hair, no problem</v>
      </c>
    </row>
    <row r="13087">
      <c r="A13087" s="1">
        <v>3.0</v>
      </c>
      <c r="B13087" s="1" t="s">
        <v>12969</v>
      </c>
      <c r="C13087" t="str">
        <f>IFERROR(__xludf.DUMMYFUNCTION("GOOGLETRANSLATE(B13087, ""es"", ""en"")"),"Fair Fair value")</f>
        <v>Fair Fair value</v>
      </c>
    </row>
    <row r="13088">
      <c r="A13088" s="1">
        <v>3.0</v>
      </c>
      <c r="B13088" s="1" t="s">
        <v>12970</v>
      </c>
      <c r="C13088" t="str">
        <f>IFERROR(__xludf.DUMMYFUNCTION("GOOGLETRANSLATE(B13088, ""es"", ""en"")"),"Not enough heat returned it because the heat did not seem enough. Buy another by Amazon that if it worked for me")</f>
        <v>Not enough heat returned it because the heat did not seem enough. Buy another by Amazon that if it worked for me</v>
      </c>
    </row>
    <row r="13089">
      <c r="A13089" s="1">
        <v>1.0</v>
      </c>
      <c r="B13089" s="1" t="s">
        <v>12971</v>
      </c>
      <c r="C13089" t="str">
        <f>IFERROR(__xludf.DUMMYFUNCTION("GOOGLETRANSLATE(B13089, ""es"", ""en"")"),"We have ruined the photos very poor quality. The covers are marked and arrows drawn. According to these drawings disappear package passing through laminator, but it is not. Now it seems that our photos had watermark.")</f>
        <v>We have ruined the photos very poor quality. The covers are marked and arrows drawn. According to these drawings disappear package passing through laminator, but it is not. Now it seems that our photos had watermark.</v>
      </c>
    </row>
    <row r="13090">
      <c r="A13090" s="1">
        <v>1.0</v>
      </c>
      <c r="B13090" s="1" t="s">
        <v>12972</v>
      </c>
      <c r="C13090" t="str">
        <f>IFERROR(__xludf.DUMMYFUNCTION("GOOGLETRANSLATE(B13090, ""es"", ""en"")"),"Rompeado am a foreign student from Germany. He bought that reloja and that rompear a little over a month later. Although cheap, it is not enough.")</f>
        <v>Rompeado am a foreign student from Germany. He bought that reloja and that rompear a little over a month later. Although cheap, it is not enough.</v>
      </c>
    </row>
    <row r="13091">
      <c r="A13091" s="1">
        <v>4.0</v>
      </c>
      <c r="B13091" s="1" t="s">
        <v>12973</v>
      </c>
      <c r="C13091" t="str">
        <f>IFERROR(__xludf.DUMMYFUNCTION("GOOGLETRANSLATE(B13091, ""es"", ""en"")"),"are really original can be found cheaper, but this model made it impossible for me. It is the right price and the original product.")</f>
        <v>are really original can be found cheaper, but this model made it impossible for me. It is the right price and the original product.</v>
      </c>
    </row>
    <row r="13092">
      <c r="A13092" s="1">
        <v>4.0</v>
      </c>
      <c r="B13092" s="1" t="s">
        <v>12974</v>
      </c>
      <c r="C13092" t="str">
        <f>IFERROR(__xludf.DUMMYFUNCTION("GOOGLETRANSLATE(B13092, ""es"", ""en"")"),"Speed ​​performance does not get the maximum speed indicated on my pc runs at 1333 MHz just not 1600")</f>
        <v>Speed ​​performance does not get the maximum speed indicated on my pc runs at 1333 MHz just not 1600</v>
      </c>
    </row>
    <row r="13093">
      <c r="A13093" s="1">
        <v>4.0</v>
      </c>
      <c r="B13093" s="1" t="s">
        <v>12975</v>
      </c>
      <c r="C13093" t="str">
        <f>IFERROR(__xludf.DUMMYFUNCTION("GOOGLETRANSLATE(B13093, ""es"", ""en"")"),"The elegant and comfortable've been using as 1 month and the truth is I'm pretty happy with it. Has only one problem and that is to adjust it made me need a screwdriver and a hammer XD, should make it easier to fit the wrist. Otherwise everything perfect."&amp;" That if, if you have very little doll will not be worth, I have small and comes just.")</f>
        <v>The elegant and comfortable've been using as 1 month and the truth is I'm pretty happy with it. Has only one problem and that is to adjust it made me need a screwdriver and a hammer XD, should make it easier to fit the wrist. Otherwise everything perfect. That if, if you have very little doll will not be worth, I have small and comes just.</v>
      </c>
    </row>
    <row r="13094">
      <c r="A13094" s="1">
        <v>4.0</v>
      </c>
      <c r="B13094" s="1" t="s">
        <v>12976</v>
      </c>
      <c r="C13094" t="str">
        <f>IFERROR(__xludf.DUMMYFUNCTION("GOOGLETRANSLATE(B13094, ""es"", ""en"")"),"good buy if the edges were finished off would put 5 *")</f>
        <v>good buy if the edges were finished off would put 5 *</v>
      </c>
    </row>
    <row r="13095">
      <c r="A13095" s="1">
        <v>4.0</v>
      </c>
      <c r="B13095" s="1" t="s">
        <v>12977</v>
      </c>
      <c r="C13095" t="str">
        <f>IFERROR(__xludf.DUMMYFUNCTION("GOOGLETRANSLATE(B13095, ""es"", ""en"")"),"The prettiest of the smartwatch market is the classic watch design that I liked most of the market. Its Tizen operating system 3 is very fluid. The battery lasts me five days although many people that barely lasts two days. This is the main problem of thi"&amp;"s watch. Mysteriously there are units that work out battery like mine and others that even by changing the battery still lasted very little. Another problem is that only giving displays the last message whassapp and Telegram. You have to put a third-party"&amp;" app to solve this problem. The timing was simple and the only problem I got was on the way to cover the screen with your palm. You need to have the watch to work and thus terminate the initial startup. Le worth any 22mm strap the market. No need to be Sa"&amp;"msung.")</f>
        <v>The prettiest of the smartwatch market is the classic watch design that I liked most of the market. Its Tizen operating system 3 is very fluid. The battery lasts me five days although many people that barely lasts two days. This is the main problem of this watch. Mysteriously there are units that work out battery like mine and others that even by changing the battery still lasted very little. Another problem is that only giving displays the last message whassapp and Telegram. You have to put a third-party app to solve this problem. The timing was simple and the only problem I got was on the way to cover the screen with your palm. You need to have the watch to work and thus terminate the initial startup. Le worth any 22mm strap the market. No need to be Samsung.</v>
      </c>
    </row>
    <row r="13096">
      <c r="A13096" s="1">
        <v>5.0</v>
      </c>
      <c r="B13096" s="1" t="s">
        <v>12978</v>
      </c>
      <c r="C13096" t="str">
        <f>IFERROR(__xludf.DUMMYFUNCTION("GOOGLETRANSLATE(B13096, ""es"", ""en"")"),"A very good brand Buenisima")</f>
        <v>A very good brand Buenisima</v>
      </c>
    </row>
    <row r="13097">
      <c r="A13097" s="1">
        <v>5.0</v>
      </c>
      <c r="B13097" s="1" t="s">
        <v>12979</v>
      </c>
      <c r="C13097" t="str">
        <f>IFERROR(__xludf.DUMMYFUNCTION("GOOGLETRANSLATE(B13097, ""es"", ""en"")"),"The perfect gift bought. It is great, the measures look very good, close perfectly, and the heat it does not burn a lot of glass. The only thing is that it weighs, but that falls within my expectations since glass is heavier than plastic. Best for babies.")</f>
        <v>The perfect gift bought. It is great, the measures look very good, close perfectly, and the heat it does not burn a lot of glass. The only thing is that it weighs, but that falls within my expectations since glass is heavier than plastic. Best for babies.</v>
      </c>
    </row>
    <row r="13098">
      <c r="A13098" s="1">
        <v>5.0</v>
      </c>
      <c r="B13098" s="1" t="s">
        <v>12980</v>
      </c>
      <c r="C13098" t="str">
        <f>IFERROR(__xludf.DUMMYFUNCTION("GOOGLETRANSLATE(B13098, ""es"", ""en"")"),"Excellent Excellent. Tropezones leaves. I used one of 1300w and 6 blades and left many. I guess it was more disenyo theme that power, and quebesta with 800w is better. A speed 1 or 2 and without problem. 3 or use. Easy and smooth fits jar. The speed selec"&amp;"tor lever very practical, rather than rotating models. Pica cubes without problem. It is also very nice.")</f>
        <v>Excellent Excellent. Tropezones leaves. I used one of 1300w and 6 blades and left many. I guess it was more disenyo theme that power, and quebesta with 800w is better. A speed 1 or 2 and without problem. 3 or use. Easy and smooth fits jar. The speed selector lever very practical, rather than rotating models. Pica cubes without problem. It is also very nice.</v>
      </c>
    </row>
    <row r="13099">
      <c r="A13099" s="1">
        <v>5.0</v>
      </c>
      <c r="B13099" s="1" t="s">
        <v>12981</v>
      </c>
      <c r="C13099" t="str">
        <f>IFERROR(__xludf.DUMMYFUNCTION("GOOGLETRANSLATE(B13099, ""es"", ""en"")"),"Ugg boots authentic boots are authentic, and very comfortable calentitas")</f>
        <v>Ugg boots authentic boots are authentic, and very comfortable calentitas</v>
      </c>
    </row>
    <row r="13100">
      <c r="A13100" s="1">
        <v>5.0</v>
      </c>
      <c r="B13100" s="1" t="s">
        <v>12982</v>
      </c>
      <c r="C13100" t="str">
        <f>IFERROR(__xludf.DUMMYFUNCTION("GOOGLETRANSLATE(B13100, ""es"", ""en"")"),"Very well it is what he asked so well")</f>
        <v>Very well it is what he asked so well</v>
      </c>
    </row>
    <row r="13101">
      <c r="A13101" s="1">
        <v>5.0</v>
      </c>
      <c r="B13101" s="1" t="s">
        <v>12983</v>
      </c>
      <c r="C13101" t="str">
        <f>IFERROR(__xludf.DUMMYFUNCTION("GOOGLETRANSLATE(B13101, ""es"", ""en"")"),"Memori Kingston As always, this is rarely disappoint brand. It is not the fastest, but for my use and the price they have, do not ask him anymore. Recommended.")</f>
        <v>Memori Kingston As always, this is rarely disappoint brand. It is not the fastest, but for my use and the price they have, do not ask him anymore. Recommended.</v>
      </c>
    </row>
    <row r="13102">
      <c r="A13102" s="1">
        <v>5.0</v>
      </c>
      <c r="B13102" s="1" t="s">
        <v>12984</v>
      </c>
      <c r="C13102" t="str">
        <f>IFERROR(__xludf.DUMMYFUNCTION("GOOGLETRANSLATE(B13102, ""es"", ""en"")"),"100% compatibility Great. 100% compatible, by putting a but. It gets very hot.")</f>
        <v>100% compatibility Great. 100% compatible, by putting a but. It gets very hot.</v>
      </c>
    </row>
    <row r="13103">
      <c r="A13103" s="1">
        <v>5.0</v>
      </c>
      <c r="B13103" s="1" t="s">
        <v>12985</v>
      </c>
      <c r="C13103" t="str">
        <f>IFERROR(__xludf.DUMMYFUNCTION("GOOGLETRANSLATE(B13103, ""es"", ""en"")"),"Beautiful to look good and stylish")</f>
        <v>Beautiful to look good and stylish</v>
      </c>
    </row>
    <row r="13104">
      <c r="A13104" s="1">
        <v>5.0</v>
      </c>
      <c r="B13104" s="1" t="s">
        <v>12986</v>
      </c>
      <c r="C13104" t="str">
        <f>IFERROR(__xludf.DUMMYFUNCTION("GOOGLETRANSLATE(B13104, ""es"", ""en"")"),"Highly entertaining the girl I love. The only thing I do not like is that if a mistake in a key has to re-start the song from the beginning.")</f>
        <v>Highly entertaining the girl I love. The only thing I do not like is that if a mistake in a key has to re-start the song from the beginning.</v>
      </c>
    </row>
    <row r="13105">
      <c r="A13105" s="1">
        <v>5.0</v>
      </c>
      <c r="B13105" s="1" t="s">
        <v>12987</v>
      </c>
      <c r="C13105" t="str">
        <f>IFERROR(__xludf.DUMMYFUNCTION("GOOGLETRANSLATE(B13105, ""es"", ""en"")"),"Quality - price are gorgeous.")</f>
        <v>Quality - price are gorgeous.</v>
      </c>
    </row>
    <row r="13106">
      <c r="A13106" s="1">
        <v>5.0</v>
      </c>
      <c r="B13106" s="1" t="s">
        <v>12988</v>
      </c>
      <c r="C13106" t="str">
        <f>IFERROR(__xludf.DUMMYFUNCTION("GOOGLETRANSLATE(B13106, ""es"", ""en"")"),"Good quality, easy setup like I have enough quality. The setup is very easy, just out of the box, push the button and go. More or less reach about 7 meters autonomy from the distance of the device to which you connect, if there are walls in between about "&amp;"5 or so. They are very comfortable and coming with 3 pillows of different sizes can be adjusted to many types of ear. The sound is pretty good, and the price they are worth.")</f>
        <v>Good quality, easy setup like I have enough quality. The setup is very easy, just out of the box, push the button and go. More or less reach about 7 meters autonomy from the distance of the device to which you connect, if there are walls in between about 5 or so. They are very comfortable and coming with 3 pillows of different sizes can be adjusted to many types of ear. The sound is pretty good, and the price they are worth.</v>
      </c>
    </row>
    <row r="13107">
      <c r="A13107" s="1">
        <v>5.0</v>
      </c>
      <c r="B13107" s="1" t="s">
        <v>12989</v>
      </c>
      <c r="C13107" t="str">
        <f>IFERROR(__xludf.DUMMYFUNCTION("GOOGLETRANSLATE(B13107, ""es"", ""en"")"),"Aromatic oils come beautifully presented in a small box. 6 jars are a small diffuser that allows the amount of drops put into the aromatized. They are very fresh and natural aromas (fruits and herbs)")</f>
        <v>Aromatic oils come beautifully presented in a small box. 6 jars are a small diffuser that allows the amount of drops put into the aromatized. They are very fresh and natural aromas (fruits and herbs)</v>
      </c>
    </row>
    <row r="13108">
      <c r="A13108" s="1">
        <v>5.0</v>
      </c>
      <c r="B13108" s="1" t="s">
        <v>12990</v>
      </c>
      <c r="C13108" t="str">
        <f>IFERROR(__xludf.DUMMYFUNCTION("GOOGLETRANSLATE(B13108, ""es"", ""en"")"),"Encantada loved the color photo as it is, all size I stay just a bit, I asked my size the 38, but otherwise fits my style money ..")</f>
        <v>Encantada loved the color photo as it is, all size I stay just a bit, I asked my size the 38, but otherwise fits my style money ..</v>
      </c>
    </row>
    <row r="13109">
      <c r="A13109" s="1">
        <v>5.0</v>
      </c>
      <c r="B13109" s="1" t="s">
        <v>12991</v>
      </c>
      <c r="C13109" t="str">
        <f>IFERROR(__xludf.DUMMYFUNCTION("GOOGLETRANSLATE(B13109, ""es"", ""en"")"),"Super useful if you want juice by is morning just about not take a juice at breakfast, before I was too lazy to get to squeeze narajas morning (as my juicer was not electric and had to force) now It took just 3 min to make juice.")</f>
        <v>Super useful if you want juice by is morning just about not take a juice at breakfast, before I was too lazy to get to squeeze narajas morning (as my juicer was not electric and had to force) now It took just 3 min to make juice.</v>
      </c>
    </row>
    <row r="13110">
      <c r="A13110" s="1">
        <v>5.0</v>
      </c>
      <c r="B13110" s="1" t="s">
        <v>4285</v>
      </c>
      <c r="C13110" t="str">
        <f>IFERROR(__xludf.DUMMYFUNCTION("GOOGLETRANSLATE(B13110, ""es"", ""en"")"),"Recommended expected")</f>
        <v>Recommended expected</v>
      </c>
    </row>
    <row r="13111">
      <c r="A13111" s="1">
        <v>5.0</v>
      </c>
      <c r="B13111" s="1" t="s">
        <v>12992</v>
      </c>
      <c r="C13111" t="str">
        <f>IFERROR(__xludf.DUMMYFUNCTION("GOOGLETRANSLATE(B13111, ""es"", ""en"")"),"Very nice very nice. As in the photo. I gave it to the mother and loved it !!!!")</f>
        <v>Very nice very nice. As in the photo. I gave it to the mother and loved it !!!!</v>
      </c>
    </row>
    <row r="13112">
      <c r="A13112" s="1">
        <v>5.0</v>
      </c>
      <c r="B13112" s="1" t="s">
        <v>12993</v>
      </c>
      <c r="C13112" t="str">
        <f>IFERROR(__xludf.DUMMYFUNCTION("GOOGLETRANSLATE(B13112, ""es"", ""en"")"),"Very Good Very Good perfect and just everything on time")</f>
        <v>Very Good Very Good perfect and just everything on time</v>
      </c>
    </row>
    <row r="13113">
      <c r="A13113" s="1">
        <v>5.0</v>
      </c>
      <c r="B13113" s="1" t="s">
        <v>12994</v>
      </c>
      <c r="C13113" t="str">
        <f>IFERROR(__xludf.DUMMYFUNCTION("GOOGLETRANSLATE(B13113, ""es"", ""en"")"),"Perfect gift Just what we were looking for. Quickly and well packaged. Wrist is perfect. Perhaps the only downside is that the light is illuminating the screen is not as shown in the photo, is a normal light like all the clocks.")</f>
        <v>Perfect gift Just what we were looking for. Quickly and well packaged. Wrist is perfect. Perhaps the only downside is that the light is illuminating the screen is not as shown in the photo, is a normal light like all the clocks.</v>
      </c>
    </row>
    <row r="13114">
      <c r="A13114" s="1">
        <v>5.0</v>
      </c>
      <c r="B13114" s="1" t="s">
        <v>12995</v>
      </c>
      <c r="C13114" t="str">
        <f>IFERROR(__xludf.DUMMYFUNCTION("GOOGLETRANSLATE(B13114, ""es"", ""en"")"),"It works good works very well. Good product for that price")</f>
        <v>It works good works very well. Good product for that price</v>
      </c>
    </row>
    <row r="13115">
      <c r="A13115" s="1">
        <v>2.0</v>
      </c>
      <c r="B13115" s="1" t="s">
        <v>12996</v>
      </c>
      <c r="C13115" t="str">
        <f>IFERROR(__xludf.DUMMYFUNCTION("GOOGLETRANSLATE(B13115, ""es"", ""en"")"),"A sleazy Cape a few times of use bracelet has caught a reddish color, without having been in contact with any abrasive product")</f>
        <v>A sleazy Cape a few times of use bracelet has caught a reddish color, without having been in contact with any abrasive product</v>
      </c>
    </row>
    <row r="13116">
      <c r="A13116" s="1">
        <v>3.0</v>
      </c>
      <c r="B13116" s="1" t="s">
        <v>12997</v>
      </c>
      <c r="C13116" t="str">
        <f>IFERROR(__xludf.DUMMYFUNCTION("GOOGLETRANSLATE(B13116, ""es"", ""en"")"),"I guess material is recycled cardboard Craft although it has a plastic finish that prevents the edges from cracking.")</f>
        <v>I guess material is recycled cardboard Craft although it has a plastic finish that prevents the edges from cracking.</v>
      </c>
    </row>
    <row r="13117">
      <c r="A13117" s="1">
        <v>3.0</v>
      </c>
      <c r="B13117" s="1" t="s">
        <v>12998</v>
      </c>
      <c r="C13117" t="str">
        <f>IFERROR(__xludf.DUMMYFUNCTION("GOOGLETRANSLATE(B13117, ""es"", ""en"")"),"Not bad. And it's something big does not fit as expected. Not bad, in the end what use to be home. But for what it costs ...")</f>
        <v>Not bad. And it's something big does not fit as expected. Not bad, in the end what use to be home. But for what it costs ...</v>
      </c>
    </row>
    <row r="13118">
      <c r="A13118" s="1">
        <v>1.0</v>
      </c>
      <c r="B13118" s="1" t="s">
        <v>12999</v>
      </c>
      <c r="C13118" t="str">
        <f>IFERROR(__xludf.DUMMYFUNCTION("GOOGLETRANSLATE(B13118, ""es"", ""en"")"),"Sold as new product at least reconditioned As you can see in the photo the back cover of the watch is scratched, the same happens with the bracelet, they should sell as refurbished or second hand product, not new")</f>
        <v>Sold as new product at least reconditioned As you can see in the photo the back cover of the watch is scratched, the same happens with the bracelet, they should sell as refurbished or second hand product, not new</v>
      </c>
    </row>
    <row r="13119">
      <c r="A13119" s="1">
        <v>1.0</v>
      </c>
      <c r="B13119" s="1" t="s">
        <v>13000</v>
      </c>
      <c r="C13119" t="str">
        <f>IFERROR(__xludf.DUMMYFUNCTION("GOOGLETRANSLATE(B13119, ""es"", ""en"")"),"Disappointed just receive it in time and step on fallolo turned to 3 times on the first day. It is very nice but does not work what a disappointment as it was for a gift")</f>
        <v>Disappointed just receive it in time and step on fallolo turned to 3 times on the first day. It is very nice but does not work what a disappointment as it was for a gift</v>
      </c>
    </row>
    <row r="13120">
      <c r="A13120" s="1">
        <v>4.0</v>
      </c>
      <c r="B13120" s="1" t="s">
        <v>13001</v>
      </c>
      <c r="C13120" t="str">
        <f>IFERROR(__xludf.DUMMYFUNCTION("GOOGLETRANSLATE(B13120, ""es"", ""en"")"),"A little big quality and good looking. The measures are what you put, but being fabric and very wide, if not full, take it to the hanging collapses and gives feeling of being much bigger. If you want a bag with much capacity, it is perfect, but I find it "&amp;"a little big.")</f>
        <v>A little big quality and good looking. The measures are what you put, but being fabric and very wide, if not full, take it to the hanging collapses and gives feeling of being much bigger. If you want a bag with much capacity, it is perfect, but I find it a little big.</v>
      </c>
    </row>
    <row r="13121">
      <c r="A13121" s="1">
        <v>4.0</v>
      </c>
      <c r="B13121" s="1" t="s">
        <v>13002</v>
      </c>
      <c r="C13121" t="str">
        <f>IFERROR(__xludf.DUMMYFUNCTION("GOOGLETRANSLATE(B13121, ""es"", ""en"")"),"Practical, small, comfortable and cheap I bought this little kettle Agual (0'6 l.) For use in my work since I'm the only one who is fond of tea. It is exactly what I wanted and that heats water quickly and its capacity is more than enough for two cups. I "&amp;"recognize that I acquired for my house is much better (and twice as expensive ....) but as I say, I meet all my needs at a very affordable price")</f>
        <v>Practical, small, comfortable and cheap I bought this little kettle Agual (0'6 l.) For use in my work since I'm the only one who is fond of tea. It is exactly what I wanted and that heats water quickly and its capacity is more than enough for two cups. I recognize that I acquired for my house is much better (and twice as expensive ....) but as I say, I meet all my needs at a very affordable price</v>
      </c>
    </row>
    <row r="13122">
      <c r="A13122" s="1">
        <v>4.0</v>
      </c>
      <c r="B13122" s="1" t="s">
        <v>13003</v>
      </c>
      <c r="C13122" t="str">
        <f>IFERROR(__xludf.DUMMYFUNCTION("GOOGLETRANSLATE(B13122, ""es"", ""en"")"),"Good product I have not squeezed much yet because recently I have it but first impressions are good. I use it as a mini hard drive for PC and goes well.")</f>
        <v>Good product I have not squeezed much yet because recently I have it but first impressions are good. I use it as a mini hard drive for PC and goes well.</v>
      </c>
    </row>
    <row r="13123">
      <c r="A13123" s="1">
        <v>4.0</v>
      </c>
      <c r="B13123" s="1" t="s">
        <v>13004</v>
      </c>
      <c r="C13123" t="str">
        <f>IFERROR(__xludf.DUMMYFUNCTION("GOOGLETRANSLATE(B13123, ""es"", ""en"")"),"the clock is ok. to see how it goes. The only bad and although nobody read the instructions missing, and that even the watches come ..... 3 €.")</f>
        <v>the clock is ok. to see how it goes. The only bad and although nobody read the instructions missing, and that even the watches come ..... 3 €.</v>
      </c>
    </row>
    <row r="13124">
      <c r="A13124" s="1">
        <v>5.0</v>
      </c>
      <c r="B13124" s="1" t="s">
        <v>13005</v>
      </c>
      <c r="C13124" t="str">
        <f>IFERROR(__xludf.DUMMYFUNCTION("GOOGLETRANSLATE(B13124, ""es"", ""en"")"),"Great Value Good materials, surprising even the metal part that adds quality to auticulares. For less than 10 € you have a headset 30 € on.")</f>
        <v>Great Value Good materials, surprising even the metal part that adds quality to auticulares. For less than 10 € you have a headset 30 € on.</v>
      </c>
    </row>
    <row r="13125">
      <c r="A13125" s="1">
        <v>5.0</v>
      </c>
      <c r="B13125" s="1" t="s">
        <v>13006</v>
      </c>
      <c r="C13125" t="str">
        <f>IFERROR(__xludf.DUMMYFUNCTION("GOOGLETRANSLATE(B13125, ""es"", ""en"")"),"Sound quality and adjust Very good sound quality multi-grabbers earhook. Do not move to the sport and are very comfortable. It fits the diameter of the ear and gums spring effect to the pinna to not move.")</f>
        <v>Sound quality and adjust Very good sound quality multi-grabbers earhook. Do not move to the sport and are very comfortable. It fits the diameter of the ear and gums spring effect to the pinna to not move.</v>
      </c>
    </row>
    <row r="13126">
      <c r="A13126" s="1">
        <v>5.0</v>
      </c>
      <c r="B13126" s="1" t="s">
        <v>13007</v>
      </c>
      <c r="C13126" t="str">
        <f>IFERROR(__xludf.DUMMYFUNCTION("GOOGLETRANSLATE(B13126, ""es"", ""en"")"),"Everything !, Great. Nieto happy! ,,")</f>
        <v>Everything !, Great. Nieto happy! ,,</v>
      </c>
    </row>
    <row r="13127">
      <c r="A13127" s="1">
        <v>5.0</v>
      </c>
      <c r="B13127" s="1" t="s">
        <v>13008</v>
      </c>
      <c r="C13127" t="str">
        <f>IFERROR(__xludf.DUMMYFUNCTION("GOOGLETRANSLATE(B13127, ""es"", ""en"")"),"Good pants pants good quality. To 1'75 tall and 85 kilos L it is perfect. It has pockets and zippers on the sides below. The worst shipping, I had to come on December 22 and it was my 26. Otherwise all good.")</f>
        <v>Good pants pants good quality. To 1'75 tall and 85 kilos L it is perfect. It has pockets and zippers on the sides below. The worst shipping, I had to come on December 22 and it was my 26. Otherwise all good.</v>
      </c>
    </row>
    <row r="13128">
      <c r="A13128" s="1">
        <v>5.0</v>
      </c>
      <c r="B13128" s="1" t="s">
        <v>13009</v>
      </c>
      <c r="C13128" t="str">
        <f>IFERROR(__xludf.DUMMYFUNCTION("GOOGLETRANSLATE(B13128, ""es"", ""en"")"),"Perfect sound and good product quality little to say. Sound great, better food, and very comfortable support. I may miss some manual, but it's all easy to assemble.")</f>
        <v>Perfect sound and good product quality little to say. Sound great, better food, and very comfortable support. I may miss some manual, but it's all easy to assemble.</v>
      </c>
    </row>
    <row r="13129">
      <c r="A13129" s="1">
        <v>5.0</v>
      </c>
      <c r="B13129" s="1" t="s">
        <v>13010</v>
      </c>
      <c r="C13129" t="str">
        <f>IFERROR(__xludf.DUMMYFUNCTION("GOOGLETRANSLATE(B13129, ""es"", ""en"")"),"Solomon Speedcross is the best I have shoes sneaker. It is the second pair of the same kind I buy. I say no more.")</f>
        <v>Solomon Speedcross is the best I have shoes sneaker. It is the second pair of the same kind I buy. I say no more.</v>
      </c>
    </row>
    <row r="13130">
      <c r="A13130" s="1">
        <v>5.0</v>
      </c>
      <c r="B13130" s="1" t="s">
        <v>13011</v>
      </c>
      <c r="C13130" t="str">
        <f>IFERROR(__xludf.DUMMYFUNCTION("GOOGLETRANSLATE(B13130, ""es"", ""en"")"),"easy to use I liked the simplicity to use. The trouble is that the instructions are not in Spanish.")</f>
        <v>easy to use I liked the simplicity to use. The trouble is that the instructions are not in Spanish.</v>
      </c>
    </row>
    <row r="13131">
      <c r="A13131" s="1">
        <v>5.0</v>
      </c>
      <c r="B13131" s="1" t="s">
        <v>13012</v>
      </c>
      <c r="C13131" t="str">
        <f>IFERROR(__xludf.DUMMYFUNCTION("GOOGLETRANSLATE(B13131, ""es"", ""en"")"),"No doubt the incredible speed improvement is noticeable from the first time you start your computer. Everything loads much faster and makes less noise running. In addition it is much easier to install than a conventional mechanical hard disk because it is"&amp;" much smaller. It also leaves more space for cables and to improve air circulation and cooling.")</f>
        <v>No doubt the incredible speed improvement is noticeable from the first time you start your computer. Everything loads much faster and makes less noise running. In addition it is much easier to install than a conventional mechanical hard disk because it is much smaller. It also leaves more space for cables and to improve air circulation and cooling.</v>
      </c>
    </row>
    <row r="13132">
      <c r="A13132" s="1">
        <v>5.0</v>
      </c>
      <c r="B13132" s="1" t="s">
        <v>13013</v>
      </c>
      <c r="C13132" t="str">
        <f>IFERROR(__xludf.DUMMYFUNCTION("GOOGLETRANSLATE(B13132, ""es"", ""en"")"),"Prime is very very good I am very happy with it.")</f>
        <v>Prime is very very good I am very happy with it.</v>
      </c>
    </row>
    <row r="13133">
      <c r="A13133" s="1">
        <v>5.0</v>
      </c>
      <c r="B13133" s="1" t="s">
        <v>13014</v>
      </c>
      <c r="C13133" t="str">
        <f>IFERROR(__xludf.DUMMYFUNCTION("GOOGLETRANSLATE(B13133, ""es"", ""en"")"),"Very comfortable and functional NB Never had bought the brand and the first thing that most caught my attention is how comfortable they are. The soles grip fine, these rainy days I have been found. The foot is well collected and relatively sturdy shoes ar"&amp;"e. The rubber soles gives considerable weight to the assembly. Very pleased with purchase, I repeat brand / model but will change the color.")</f>
        <v>Very comfortable and functional NB Never had bought the brand and the first thing that most caught my attention is how comfortable they are. The soles grip fine, these rainy days I have been found. The foot is well collected and relatively sturdy shoes are. The rubber soles gives considerable weight to the assembly. Very pleased with purchase, I repeat brand / model but will change the color.</v>
      </c>
    </row>
    <row r="13134">
      <c r="A13134" s="1">
        <v>5.0</v>
      </c>
      <c r="B13134" s="1" t="s">
        <v>13015</v>
      </c>
      <c r="C13134" t="str">
        <f>IFERROR(__xludf.DUMMYFUNCTION("GOOGLETRANSLATE(B13134, ""es"", ""en"")"),"Estefania Casares Fully recommended. Does not run anything, they are very comfortable and the exact colors as they appear in the photo. I will repeat for sure.")</f>
        <v>Estefania Casares Fully recommended. Does not run anything, they are very comfortable and the exact colors as they appear in the photo. I will repeat for sure.</v>
      </c>
    </row>
    <row r="13135">
      <c r="A13135" s="1">
        <v>5.0</v>
      </c>
      <c r="B13135" s="1" t="s">
        <v>13016</v>
      </c>
      <c r="C13135" t="str">
        <f>IFERROR(__xludf.DUMMYFUNCTION("GOOGLETRANSLATE(B13135, ""es"", ""en"")"),"Paste very comfortable very good, easy d peels off the wall and not leave stains. Amazon, as always sent me rapidisimo")</f>
        <v>Paste very comfortable very good, easy d peels off the wall and not leave stains. Amazon, as always sent me rapidisimo</v>
      </c>
    </row>
    <row r="13136">
      <c r="A13136" s="1">
        <v>5.0</v>
      </c>
      <c r="B13136" s="1" t="s">
        <v>13017</v>
      </c>
      <c r="C13136" t="str">
        <f>IFERROR(__xludf.DUMMYFUNCTION("GOOGLETRANSLATE(B13136, ""es"", ""en"")"),"Very good product recommended recommended")</f>
        <v>Very good product recommended recommended</v>
      </c>
    </row>
    <row r="13137">
      <c r="A13137" s="1">
        <v>5.0</v>
      </c>
      <c r="B13137" s="1" t="s">
        <v>13018</v>
      </c>
      <c r="C13137" t="str">
        <f>IFERROR(__xludf.DUMMYFUNCTION("GOOGLETRANSLATE(B13137, ""es"", ""en"")"),"very good recommend these headphones for their quality, the price they sound great, also are second to buy iguales.gracias, a greeting")</f>
        <v>very good recommend these headphones for their quality, the price they sound great, also are second to buy iguales.gracias, a greeting</v>
      </c>
    </row>
    <row r="13138">
      <c r="A13138" s="1">
        <v>5.0</v>
      </c>
      <c r="B13138" s="1" t="s">
        <v>13019</v>
      </c>
      <c r="C13138" t="str">
        <f>IFERROR(__xludf.DUMMYFUNCTION("GOOGLETRANSLATE(B13138, ""es"", ""en"")"),"Perfect as expected")</f>
        <v>Perfect as expected</v>
      </c>
    </row>
    <row r="13139">
      <c r="A13139" s="1">
        <v>5.0</v>
      </c>
      <c r="B13139" s="1" t="s">
        <v>13020</v>
      </c>
      <c r="C13139" t="str">
        <f>IFERROR(__xludf.DUMMYFUNCTION("GOOGLETRANSLATE(B13139, ""es"", ""en"")"),"Good product arrived on time and the truth is that really helps children to acquire good posture pencil.")</f>
        <v>Good product arrived on time and the truth is that really helps children to acquire good posture pencil.</v>
      </c>
    </row>
    <row r="13140">
      <c r="A13140" s="1">
        <v>5.0</v>
      </c>
      <c r="B13140" s="1" t="s">
        <v>13021</v>
      </c>
      <c r="C13140" t="str">
        <f>IFERROR(__xludf.DUMMYFUNCTION("GOOGLETRANSLATE(B13140, ""es"", ""en"")"),"Very good first impression The first impresiómn has been very good. The size is large. Normally I use a 43-44 depending on models and ordered a 43 and I was too big. I returned it and ordered a 42 and perfect. Return management with Amazon perfect.")</f>
        <v>Very good first impression The first impresiómn has been very good. The size is large. Normally I use a 43-44 depending on models and ordered a 43 and I was too big. I returned it and ordered a 42 and perfect. Return management with Amazon perfect.</v>
      </c>
    </row>
    <row r="13141">
      <c r="A13141" s="1">
        <v>5.0</v>
      </c>
      <c r="B13141" s="1" t="s">
        <v>13022</v>
      </c>
      <c r="C13141" t="str">
        <f>IFERROR(__xludf.DUMMYFUNCTION("GOOGLETRANSLATE(B13141, ""es"", ""en"")"),"Perfect! He arrived overnight, perfectly packed and works perfectly. I tried it and it worked perfectly. We made a smoothie with ice and fruit and the other with milk and fruit (very rich both). The assembly is simple and very intuitive. If it is true tha"&amp;"t makes a lot of noise, but that is something that can not be avoided in this type of equipment. Very comfortable and easy to assemble and disassemble for cleaning. Delighted with purchase!")</f>
        <v>Perfect! He arrived overnight, perfectly packed and works perfectly. I tried it and it worked perfectly. We made a smoothie with ice and fruit and the other with milk and fruit (very rich both). The assembly is simple and very intuitive. If it is true that makes a lot of noise, but that is something that can not be avoided in this type of equipment. Very comfortable and easy to assemble and disassemble for cleaning. Delighted with purchase!</v>
      </c>
    </row>
    <row r="13142">
      <c r="A13142" s="1">
        <v>5.0</v>
      </c>
      <c r="B13142" s="1" t="s">
        <v>13023</v>
      </c>
      <c r="C13142" t="str">
        <f>IFERROR(__xludf.DUMMYFUNCTION("GOOGLETRANSLATE(B13142, ""es"", ""en"")"),"Meets boots perfect prospects. Boots are very comfortable and durable mountain. They carve well and are for wide foot so are ironed. The would buy.")</f>
        <v>Meets boots perfect prospects. Boots are very comfortable and durable mountain. They carve well and are for wide foot so are ironed. The would buy.</v>
      </c>
    </row>
    <row r="13143">
      <c r="A13143" s="1">
        <v>2.0</v>
      </c>
      <c r="B13143" s="1" t="s">
        <v>13024</v>
      </c>
      <c r="C13143" t="str">
        <f>IFERROR(__xludf.DUMMYFUNCTION("GOOGLETRANSLATE(B13143, ""es"", ""en"")"),"Under Armor, amazing sizing Before buying the shirt, I read one by one all opinions concerning the size primary factor when buying. Some said: ""When in doubt, buy a size less""; other: ""When in doubt, buy a size too."" So certainly resolved! In the end "&amp;"I bought my usual size T-shirts, shirts, pants ..., XL (1.87 m x 82 kg). When I tried it I got the surprise of a totally new size for me. Width of the trunk, either. Width arm, ideal for Stallone, fit my arms. Length shirt is just below the pants, ideal f"&amp;"or Willow. So this was my first and last article of Under Armor, at least until they understand the European anatomy. I have two compression shirts and Nike are perfect, they can be more or less adjusted, that depends on taste, but there is good correlati"&amp;"on between the different dimensions of the shirt and do not bring unpleasant surprises. As the fabric well.")</f>
        <v>Under Armor, amazing sizing Before buying the shirt, I read one by one all opinions concerning the size primary factor when buying. Some said: "When in doubt, buy a size less"; other: "When in doubt, buy a size too." So certainly resolved! In the end I bought my usual size T-shirts, shirts, pants ..., XL (1.87 m x 82 kg). When I tried it I got the surprise of a totally new size for me. Width of the trunk, either. Width arm, ideal for Stallone, fit my arms. Length shirt is just below the pants, ideal for Willow. So this was my first and last article of Under Armor, at least until they understand the European anatomy. I have two compression shirts and Nike are perfect, they can be more or less adjusted, that depends on taste, but there is good correlation between the different dimensions of the shirt and do not bring unpleasant surprises. As the fabric well.</v>
      </c>
    </row>
    <row r="13144">
      <c r="A13144" s="1">
        <v>3.0</v>
      </c>
      <c r="B13144" s="1" t="s">
        <v>13025</v>
      </c>
      <c r="C13144" t="str">
        <f>IFERROR(__xludf.DUMMYFUNCTION("GOOGLETRANSLATE(B13144, ""es"", ""en"")"),"Comodos are very comfortable. The only drawback is the microphone is too rigid")</f>
        <v>Comodos are very comfortable. The only drawback is the microphone is too rigid</v>
      </c>
    </row>
    <row r="13145">
      <c r="A13145" s="1">
        <v>1.0</v>
      </c>
      <c r="B13145" s="1" t="s">
        <v>13026</v>
      </c>
      <c r="C13145" t="str">
        <f>IFERROR(__xludf.DUMMYFUNCTION("GOOGLETRANSLATE(B13145, ""es"", ""en"")"),"If shoddy use to speak, the caller is heard me herself. The use very little because of this, and as single headphones fall, do not fit well (we've tried several). not recommend")</f>
        <v>If shoddy use to speak, the caller is heard me herself. The use very little because of this, and as single headphones fall, do not fit well (we've tried several). not recommend</v>
      </c>
    </row>
    <row r="13146">
      <c r="A13146" s="1">
        <v>1.0</v>
      </c>
      <c r="B13146" s="1" t="s">
        <v>13027</v>
      </c>
      <c r="C13146" t="str">
        <f>IFERROR(__xludf.DUMMYFUNCTION("GOOGLETRANSLATE(B13146, ""es"", ""en"")"),"Malo 2 times and worked over, no longer will")</f>
        <v>Malo 2 times and worked over, no longer will</v>
      </c>
    </row>
    <row r="13147">
      <c r="A13147" s="1">
        <v>4.0</v>
      </c>
      <c r="B13147" s="1" t="s">
        <v>13028</v>
      </c>
      <c r="C13147" t="str">
        <f>IFERROR(__xludf.DUMMYFUNCTION("GOOGLETRANSLATE(B13147, ""es"", ""en"")"),"Good product if you choose right size The cup is fine. It is very soft and the tail shaped ball is very soft. In my case it was not me either because I chose a small size and had leaks. What I did not like was the way I was sent it was in an envelope arri"&amp;"ved cardboard cup crushed and never regained its round shape")</f>
        <v>Good product if you choose right size The cup is fine. It is very soft and the tail shaped ball is very soft. In my case it was not me either because I chose a small size and had leaks. What I did not like was the way I was sent it was in an envelope arrived cardboard cup crushed and never regained its round shape</v>
      </c>
    </row>
    <row r="13148">
      <c r="A13148" s="1">
        <v>4.0</v>
      </c>
      <c r="B13148" s="1" t="s">
        <v>13029</v>
      </c>
      <c r="C13148" t="str">
        <f>IFERROR(__xludf.DUMMYFUNCTION("GOOGLETRANSLATE(B13148, ""es"", ""en"")"),"All ok in the absence of the hard case I've already used this type of card for my Canon and I'm very satisfied with the results. This agreement only would miss the ""box"" to preserve it as it comes without it. Moreover and failing to use all good")</f>
        <v>All ok in the absence of the hard case I've already used this type of card for my Canon and I'm very satisfied with the results. This agreement only would miss the "box" to preserve it as it comes without it. Moreover and failing to use all good</v>
      </c>
    </row>
    <row r="13149">
      <c r="A13149" s="1">
        <v>4.0</v>
      </c>
      <c r="B13149" s="1" t="s">
        <v>13030</v>
      </c>
      <c r="C13149" t="str">
        <f>IFERROR(__xludf.DUMMYFUNCTION("GOOGLETRANSLATE(B13149, ""es"", ""en"")"),"Solid steel design that fits in almost every kitchen. Very fast. The stainless steel design house almost any kitchen today, with very clean lines design and satisfactory. That the strongest point of the product aesthetically. Then, it is a quick kettle, m"&amp;"uch, branded feature of the house Russell Hobbs, carrying an indicator of 1-2-3 cups (breakfast), never boil over, or spend power unnecessarily. This is most useful in the kettle, allowing it incredibly efficient since only the electricity needed to spend"&amp;" the selected amount. In addition, it is very fast. A cup in less than a minute. The design is nice as I say, mouth water filling is not very wide, this has not liked it, but the dumping area, let not spill a drop on the wall of the kettle. The handle, to"&amp;"uch cold, makes it completely safe to use. To be perfect, need to have a regulation for specific teas that give off their aroma and flavor at 80, but with a little practice, just with the sound and see, thanks again to its light LED, when the water starts"&amp;" to bubble have a temperature similar to those 80. If we let it boil until it pops only core switch, have water at 100 ° C, and is effective both in small amounts as to capacity that are 1.7 liters, stretching almost 2 liters if you do not need to boil to"&amp;" 100 °. It takes at maximum capacity, about 4 minutes, so offset against other system heat water. Recommendable.")</f>
        <v>Solid steel design that fits in almost every kitchen. Very fast. The stainless steel design house almost any kitchen today, with very clean lines design and satisfactory. That the strongest point of the product aesthetically. Then, it is a quick kettle, much, branded feature of the house Russell Hobbs, carrying an indicator of 1-2-3 cups (breakfast), never boil over, or spend power unnecessarily. This is most useful in the kettle, allowing it incredibly efficient since only the electricity needed to spend the selected amount. In addition, it is very fast. A cup in less than a minute. The design is nice as I say, mouth water filling is not very wide, this has not liked it, but the dumping area, let not spill a drop on the wall of the kettle. The handle, touch cold, makes it completely safe to use. To be perfect, need to have a regulation for specific teas that give off their aroma and flavor at 80, but with a little practice, just with the sound and see, thanks again to its light LED, when the water starts to bubble have a temperature similar to those 80. If we let it boil until it pops only core switch, have water at 100 ° C, and is effective both in small amounts as to capacity that are 1.7 liters, stretching almost 2 liters if you do not need to boil to 100 °. It takes at maximum capacity, about 4 minutes, so offset against other system heat water. Recommendable.</v>
      </c>
    </row>
    <row r="13150">
      <c r="A13150" s="1">
        <v>4.0</v>
      </c>
      <c r="B13150" s="1" t="s">
        <v>13031</v>
      </c>
      <c r="C13150" t="str">
        <f>IFERROR(__xludf.DUMMYFUNCTION("GOOGLETRANSLATE(B13150, ""es"", ""en"")"),"Hector is good, but has a feature that does not work, the automatic lighting. For everything else is good value for money.")</f>
        <v>Hector is good, but has a feature that does not work, the automatic lighting. For everything else is good value for money.</v>
      </c>
    </row>
    <row r="13151">
      <c r="A13151" s="1">
        <v>4.0</v>
      </c>
      <c r="B13151" s="1" t="s">
        <v>13032</v>
      </c>
      <c r="C13151" t="str">
        <f>IFERROR(__xludf.DUMMYFUNCTION("GOOGLETRANSLATE(B13151, ""es"", ""en"")"),"Sizes clasico have returned are not what I expected.")</f>
        <v>Sizes clasico have returned are not what I expected.</v>
      </c>
    </row>
    <row r="13152">
      <c r="A13152" s="1">
        <v>5.0</v>
      </c>
      <c r="B13152" s="1" t="s">
        <v>13033</v>
      </c>
      <c r="C13152" t="str">
        <f>IFERROR(__xludf.DUMMYFUNCTION("GOOGLETRANSLATE(B13152, ""es"", ""en"")"),"Quality and comfort I bought them for usarlls when I train and truth that have pleasantly surprised not only the quality and power of sound if not particularly in this case how well they adapt to the ear and I have not had feeling that I will fall. The ba"&amp;"ttery lasts quite and also the case that serves to load is quite true. Very happy with the purchase.")</f>
        <v>Quality and comfort I bought them for usarlls when I train and truth that have pleasantly surprised not only the quality and power of sound if not particularly in this case how well they adapt to the ear and I have not had feeling that I will fall. The battery lasts quite and also the case that serves to load is quite true. Very happy with the purchase.</v>
      </c>
    </row>
    <row r="13153">
      <c r="A13153" s="1">
        <v>5.0</v>
      </c>
      <c r="B13153" s="1" t="s">
        <v>13034</v>
      </c>
      <c r="C13153" t="str">
        <f>IFERROR(__xludf.DUMMYFUNCTION("GOOGLETRANSLATE(B13153, ""es"", ""en"")"),"Cool they are perfect. Very comfortable")</f>
        <v>Cool they are perfect. Very comfortable</v>
      </c>
    </row>
    <row r="13154">
      <c r="A13154" s="1">
        <v>5.0</v>
      </c>
      <c r="B13154" s="1" t="s">
        <v>13035</v>
      </c>
      <c r="C13154" t="str">
        <f>IFERROR(__xludf.DUMMYFUNCTION("GOOGLETRANSLATE(B13154, ""es"", ""en"")"),"Good robot to price content After searching and seek opinions and compare several robot I decided to take the conga and truth the result could not be better. I write this review after 2 months of use, and this time the operation of the robot has been impe"&amp;"ccable, perfectly clean and takes a lot of dust, the truth is amazing how much rubbish collecting robot when seemingly everything is clean. Scrubbing mode is not as accomplished, but it does perfectly, keeps clean the house daily, takes away from having t"&amp;"o sweep and mop daily, but not having to do a thorough cleaning from time to time. Also from the application management it is very comfortable and you can put it from your mobile wherever you are.")</f>
        <v>Good robot to price content After searching and seek opinions and compare several robot I decided to take the conga and truth the result could not be better. I write this review after 2 months of use, and this time the operation of the robot has been impeccable, perfectly clean and takes a lot of dust, the truth is amazing how much rubbish collecting robot when seemingly everything is clean. Scrubbing mode is not as accomplished, but it does perfectly, keeps clean the house daily, takes away from having to sweep and mop daily, but not having to do a thorough cleaning from time to time. Also from the application management it is very comfortable and you can put it from your mobile wherever you are.</v>
      </c>
    </row>
    <row r="13155">
      <c r="A13155" s="1">
        <v>5.0</v>
      </c>
      <c r="B13155" s="1" t="s">
        <v>13036</v>
      </c>
      <c r="C13155" t="str">
        <f>IFERROR(__xludf.DUMMYFUNCTION("GOOGLETRANSLATE(B13155, ""es"", ""en"")"),"Better than I expected. Perfect. I really liked this product for use I've given it is very versatile and sticks well. I recommend")</f>
        <v>Better than I expected. Perfect. I really liked this product for use I've given it is very versatile and sticks well. I recommend</v>
      </c>
    </row>
    <row r="13156">
      <c r="A13156" s="1">
        <v>5.0</v>
      </c>
      <c r="B13156" s="1" t="s">
        <v>13037</v>
      </c>
      <c r="C13156" t="str">
        <f>IFERROR(__xludf.DUMMYFUNCTION("GOOGLETRANSLATE(B13156, ""es"", ""en"")"),"Apli 1281 - Labels, 100 sheets Very sticky")</f>
        <v>Apli 1281 - Labels, 100 sheets Very sticky</v>
      </c>
    </row>
    <row r="13157">
      <c r="A13157" s="1">
        <v>5.0</v>
      </c>
      <c r="B13157" s="1" t="s">
        <v>13038</v>
      </c>
      <c r="C13157" t="str">
        <f>IFERROR(__xludf.DUMMYFUNCTION("GOOGLETRANSLATE(B13157, ""es"", ""en"")"),"Exceptional had previously bought the robot vacuum cleaner CECOTEC and so I chose the same brand. It works great with a wheel for different speeds. somewhat larger accessories but you get used to, you thank.")</f>
        <v>Exceptional had previously bought the robot vacuum cleaner CECOTEC and so I chose the same brand. It works great with a wheel for different speeds. somewhat larger accessories but you get used to, you thank.</v>
      </c>
    </row>
    <row r="13158">
      <c r="A13158" s="1">
        <v>5.0</v>
      </c>
      <c r="B13158" s="1" t="s">
        <v>13039</v>
      </c>
      <c r="C13158" t="str">
        <f>IFERROR(__xludf.DUMMYFUNCTION("GOOGLETRANSLATE(B13158, ""es"", ""en"")"),"Bag practical and good quality at a great price Impresionante..muy comfortable, pegadito to the body. Many useful pockets and all a very affordable to all pockets great price. Both cloth and zipper going great. Very happy with it, I always leave home with"&amp;" my stuff .... one of my best buys on Amazon. Fully recommended.")</f>
        <v>Bag practical and good quality at a great price Impresionante..muy comfortable, pegadito to the body. Many useful pockets and all a very affordable to all pockets great price. Both cloth and zipper going great. Very happy with it, I always leave home with my stuff .... one of my best buys on Amazon. Fully recommended.</v>
      </c>
    </row>
    <row r="13159">
      <c r="A13159" s="1">
        <v>5.0</v>
      </c>
      <c r="B13159" s="1" t="s">
        <v>13040</v>
      </c>
      <c r="C13159" t="str">
        <f>IFERROR(__xludf.DUMMYFUNCTION("GOOGLETRANSLATE(B13159, ""es"", ""en"")"),"Very good helmets active noise cancellation works great, are comfortable and beautiful, the materials are quality and everything works perfect. Would buy them. The only complaint (to take one) you have to buy an external device to bluetooth minijack do if"&amp;" your computer does not have Bluetooth to use wireless for this price should come something. But hey, that recommend.")</f>
        <v>Very good helmets active noise cancellation works great, are comfortable and beautiful, the materials are quality and everything works perfect. Would buy them. The only complaint (to take one) you have to buy an external device to bluetooth minijack do if your computer does not have Bluetooth to use wireless for this price should come something. But hey, that recommend.</v>
      </c>
    </row>
    <row r="13160">
      <c r="A13160" s="1">
        <v>5.0</v>
      </c>
      <c r="B13160" s="1" t="s">
        <v>13041</v>
      </c>
      <c r="C13160" t="str">
        <f>IFERROR(__xludf.DUMMYFUNCTION("GOOGLETRANSLATE(B13160, ""es"", ""en"")"),"Excellent is the second time bought. 2 times to give. It is very beautiful and safe return to the shop and also one for me")</f>
        <v>Excellent is the second time bought. 2 times to give. It is very beautiful and safe return to the shop and also one for me</v>
      </c>
    </row>
    <row r="13161">
      <c r="A13161" s="1">
        <v>5.0</v>
      </c>
      <c r="B13161" s="1" t="s">
        <v>13042</v>
      </c>
      <c r="C13161" t="str">
        <f>IFERROR(__xludf.DUMMYFUNCTION("GOOGLETRANSLATE(B13161, ""es"", ""en"")"),"Magnificent buy very good mixer. Very powerful, much more than others had used, and it shows. It is very easy to adapt the power you want, and yet makes very little noise. It shows very robust and materials are of high quality. It comes with various acces"&amp;"sories (glass, mincer (very useful!) And rod, which use much cream and is perfect for riding) and all it shows the quality of workmanship and materials. Easy to clean, beautifully designed product generally smooth, gorgeous, and totally recommended purcha"&amp;"se.")</f>
        <v>Magnificent buy very good mixer. Very powerful, much more than others had used, and it shows. It is very easy to adapt the power you want, and yet makes very little noise. It shows very robust and materials are of high quality. It comes with various accessories (glass, mincer (very useful!) And rod, which use much cream and is perfect for riding) and all it shows the quality of workmanship and materials. Easy to clean, beautifully designed product generally smooth, gorgeous, and totally recommended purchase.</v>
      </c>
    </row>
    <row r="13162">
      <c r="A13162" s="1">
        <v>5.0</v>
      </c>
      <c r="B13162" s="1" t="s">
        <v>13043</v>
      </c>
      <c r="C13162" t="str">
        <f>IFERROR(__xludf.DUMMYFUNCTION("GOOGLETRANSLATE(B13162, ""es"", ""en"")"),"Simple. Basic but effective emphasize the simplicity of implementation, the functional operation and maintenance. No I have something to compare, but I thought a bit noisy. Let's not to watch TV while working on nearby. But for me this is no problem, beca"&amp;"use when it works I will not be close. It is a commodity so you can not demand the same price a product four times. Fulfills its mission effectively, it is comprehensive, so I've seen in a first and only working session has left corner or crawl space and "&amp;"returned alone to its charging base when finished. Therefore, at the moment happy with it. At home we have already named. By the way, it's boy.")</f>
        <v>Simple. Basic but effective emphasize the simplicity of implementation, the functional operation and maintenance. No I have something to compare, but I thought a bit noisy. Let's not to watch TV while working on nearby. But for me this is no problem, because when it works I will not be close. It is a commodity so you can not demand the same price a product four times. Fulfills its mission effectively, it is comprehensive, so I've seen in a first and only working session has left corner or crawl space and returned alone to its charging base when finished. Therefore, at the moment happy with it. At home we have already named. By the way, it's boy.</v>
      </c>
    </row>
    <row r="13163">
      <c r="A13163" s="1">
        <v>5.0</v>
      </c>
      <c r="B13163" s="1" t="s">
        <v>13044</v>
      </c>
      <c r="C13163" t="str">
        <f>IFERROR(__xludf.DUMMYFUNCTION("GOOGLETRANSLATE(B13163, ""es"", ""en"")"),"Very good buy The bag is perfect. It has an ideal size. Many compartments. High quality and at a very competitive price. It's certainly a good buy.")</f>
        <v>Very good buy The bag is perfect. It has an ideal size. Many compartments. High quality and at a very competitive price. It's certainly a good buy.</v>
      </c>
    </row>
    <row r="13164">
      <c r="A13164" s="1">
        <v>5.0</v>
      </c>
      <c r="B13164" s="1" t="s">
        <v>13045</v>
      </c>
      <c r="C13164" t="str">
        <f>IFERROR(__xludf.DUMMYFUNCTION("GOOGLETRANSLATE(B13164, ""es"", ""en"")"),"Nice shoe everything perfect.")</f>
        <v>Nice shoe everything perfect.</v>
      </c>
    </row>
    <row r="13165">
      <c r="A13165" s="1">
        <v>5.0</v>
      </c>
      <c r="B13165" s="1" t="s">
        <v>13046</v>
      </c>
      <c r="C13165" t="str">
        <f>IFERROR(__xludf.DUMMYFUNCTION("GOOGLETRANSLATE(B13165, ""es"", ""en"")"),"Nice and arrived before great time very comfortable")</f>
        <v>Nice and arrived before great time very comfortable</v>
      </c>
    </row>
    <row r="13166">
      <c r="A13166" s="1">
        <v>5.0</v>
      </c>
      <c r="B13166" s="1" t="s">
        <v>13047</v>
      </c>
      <c r="C13166" t="str">
        <f>IFERROR(__xludf.DUMMYFUNCTION("GOOGLETRANSLATE(B13166, ""es"", ""en"")"),"Bravat We bought that and teniamosun roomba that only aspires lar truth is true for what we wanted to put in rooms, kitchen, bathroom, if husastodos the day keeps you l cleaning the apartment, not to clean the entire house blow but to go for parts.")</f>
        <v>Bravat We bought that and teniamosun roomba that only aspires lar truth is true for what we wanted to put in rooms, kitchen, bathroom, if husastodos the day keeps you l cleaning the apartment, not to clean the entire house blow but to go for parts.</v>
      </c>
    </row>
    <row r="13167">
      <c r="A13167" s="1">
        <v>5.0</v>
      </c>
      <c r="B13167" s="1" t="s">
        <v>13048</v>
      </c>
      <c r="C13167" t="str">
        <f>IFERROR(__xludf.DUMMYFUNCTION("GOOGLETRANSLATE(B13167, ""es"", ""en"")"),"LIGHTWEIGHT AND FAST THIS DISK UTIL PORTABLE, is easy to use, quick FILE TRANSFER, LIGHT ... THE ONLY THING I DO NOT LIKE IS THE USB CABLE INCLUDING THE PURCHASE, an adapter USB TO TURN IN INSTEAD OF A LIVE WIRE WITHOUT CHARGE ADAPTED.")</f>
        <v>LIGHTWEIGHT AND FAST THIS DISK UTIL PORTABLE, is easy to use, quick FILE TRANSFER, LIGHT ... THE ONLY THING I DO NOT LIKE IS THE USB CABLE INCLUDING THE PURCHASE, an adapter USB TO TURN IN INSTEAD OF A LIVE WIRE WITHOUT CHARGE ADAPTED.</v>
      </c>
    </row>
    <row r="13168">
      <c r="A13168" s="1">
        <v>5.0</v>
      </c>
      <c r="B13168" s="1" t="s">
        <v>13049</v>
      </c>
      <c r="C13168" t="str">
        <f>IFERROR(__xludf.DUMMYFUNCTION("GOOGLETRANSLATE(B13168, ""es"", ""en"")"),"++ The size is a tad more but are great")</f>
        <v>++ The size is a tad more but are great</v>
      </c>
    </row>
    <row r="13169">
      <c r="A13169" s="1">
        <v>5.0</v>
      </c>
      <c r="B13169" s="1" t="s">
        <v>13050</v>
      </c>
      <c r="C13169" t="str">
        <f>IFERROR(__xludf.DUMMYFUNCTION("GOOGLETRANSLATE(B13169, ""es"", ""en"")"),"perfect item. Awaken more natural and easy. If you could choose the color of the hour it would be perfect (pictured leaves backlit blank time in the mine leaves orange). Another improvement would be to put songs on it.")</f>
        <v>perfect item. Awaken more natural and easy. If you could choose the color of the hour it would be perfect (pictured leaves backlit blank time in the mine leaves orange). Another improvement would be to put songs on it.</v>
      </c>
    </row>
    <row r="13170">
      <c r="A13170" s="1">
        <v>2.0</v>
      </c>
      <c r="B13170" s="1" t="s">
        <v>13051</v>
      </c>
      <c r="C13170" t="str">
        <f>IFERROR(__xludf.DUMMYFUNCTION("GOOGLETRANSLATE(B13170, ""es"", ""en"")"),"I do not like to buy it for a person with quite chest and returned it as they first buy your size and very rare because it was not holding his chest, and asked for another size he was huge.")</f>
        <v>I do not like to buy it for a person with quite chest and returned it as they first buy your size and very rare because it was not holding his chest, and asked for another size he was huge.</v>
      </c>
    </row>
    <row r="13171">
      <c r="A13171" s="1">
        <v>3.0</v>
      </c>
      <c r="B13171" s="1" t="s">
        <v>13052</v>
      </c>
      <c r="C13171" t="str">
        <f>IFERROR(__xludf.DUMMYFUNCTION("GOOGLETRANSLATE(B13171, ""es"", ""en"")"),"It is not too good note that is not a liner premium at the time of engagement, acceptable, but it makes you lose more time than necessary if you're a bit of a perfectionist")</f>
        <v>It is not too good note that is not a liner premium at the time of engagement, acceptable, but it makes you lose more time than necessary if you're a bit of a perfectionist</v>
      </c>
    </row>
    <row r="13172">
      <c r="A13172" s="1">
        <v>3.0</v>
      </c>
      <c r="B13172" s="1" t="s">
        <v>13053</v>
      </c>
      <c r="C13172" t="str">
        <f>IFERROR(__xludf.DUMMYFUNCTION("GOOGLETRANSLATE(B13172, ""es"", ""en"")"),"The top of the Bibes sold separately, They look tough, but shopping as a bibe from 0m and the box appears from 3M, the lid to agitate sold separately, which I think is fatal, because it is necessary to agitate the formula.")</f>
        <v>The top of the Bibes sold separately, They look tough, but shopping as a bibe from 0m and the box appears from 3M, the lid to agitate sold separately, which I think is fatal, because it is necessary to agitate the formula.</v>
      </c>
    </row>
    <row r="13173">
      <c r="A13173" s="1">
        <v>1.0</v>
      </c>
      <c r="B13173" s="1" t="s">
        <v>13054</v>
      </c>
      <c r="C13173" t="str">
        <f>IFERROR(__xludf.DUMMYFUNCTION("GOOGLETRANSLATE(B13173, ""es"", ""en"")"),"Recharges the battery !!! Fantastic vacuum cleaner: lightweight, with a variety of accessories to suit all surfaces ... until after the first battery charge vacuum cleaner dies. I can not claim the seller Hoover because he has not reached me, after five d"&amp;"ays, the mail product valuation. Only from Amazon convey my case.")</f>
        <v>Recharges the battery !!! Fantastic vacuum cleaner: lightweight, with a variety of accessories to suit all surfaces ... until after the first battery charge vacuum cleaner dies. I can not claim the seller Hoover because he has not reached me, after five days, the mail product valuation. Only from Amazon convey my case.</v>
      </c>
    </row>
    <row r="13174">
      <c r="A13174" s="1">
        <v>1.0</v>
      </c>
      <c r="B13174" s="1" t="s">
        <v>13055</v>
      </c>
      <c r="C13174" t="str">
        <f>IFERROR(__xludf.DUMMYFUNCTION("GOOGLETRANSLATE(B13174, ""es"", ""en"")"),"Rafael Madrid takes a long time to start heating. And not very hot. I bought it for when you get home with cold feet and not use it because it never takes long to heat up.")</f>
        <v>Rafael Madrid takes a long time to start heating. And not very hot. I bought it for when you get home with cold feet and not use it because it never takes long to heat up.</v>
      </c>
    </row>
    <row r="13175">
      <c r="A13175" s="1">
        <v>1.0</v>
      </c>
      <c r="B13175" s="1" t="s">
        <v>13056</v>
      </c>
      <c r="C13175" t="str">
        <f>IFERROR(__xludf.DUMMYFUNCTION("GOOGLETRANSLATE(B13175, ""es"", ""en"")"),"Hosaire Jewelry Silver Bracelet Flower ... Hosaire Jewelry Silver Bracelet Flower ... is very nice, although not very good quality. I have put on two occasions.")</f>
        <v>Hosaire Jewelry Silver Bracelet Flower ... Hosaire Jewelry Silver Bracelet Flower ... is very nice, although not very good quality. I have put on two occasions.</v>
      </c>
    </row>
    <row r="13176">
      <c r="A13176" s="1">
        <v>4.0</v>
      </c>
      <c r="B13176" s="1" t="s">
        <v>13057</v>
      </c>
      <c r="C13176" t="str">
        <f>IFERROR(__xludf.DUMMYFUNCTION("GOOGLETRANSLATE(B13176, ""es"", ""en"")"),"Clasicas havainas Well, all right. Product as expected. Pretty green bottle.")</f>
        <v>Clasicas havainas Well, all right. Product as expected. Pretty green bottle.</v>
      </c>
    </row>
    <row r="13177">
      <c r="A13177" s="1">
        <v>4.0</v>
      </c>
      <c r="B13177" s="1" t="s">
        <v>13058</v>
      </c>
      <c r="C13177" t="str">
        <f>IFERROR(__xludf.DUMMYFUNCTION("GOOGLETRANSLATE(B13177, ""es"", ""en"")"),"Excellent Very cool money and time are not in place and ugly and have a tiempo..las recommend to friends gift")</f>
        <v>Excellent Very cool money and time are not in place and ugly and have a tiempo..las recommend to friends gift</v>
      </c>
    </row>
    <row r="13178">
      <c r="A13178" s="1">
        <v>4.0</v>
      </c>
      <c r="B13178" s="1" t="s">
        <v>13059</v>
      </c>
      <c r="C13178" t="str">
        <f>IFERROR(__xludf.DUMMYFUNCTION("GOOGLETRANSLATE(B13178, ""es"", ""en"")"),"Well Fuerteventura and durable")</f>
        <v>Well Fuerteventura and durable</v>
      </c>
    </row>
    <row r="13179">
      <c r="A13179" s="1">
        <v>4.0</v>
      </c>
      <c r="B13179" s="1" t="s">
        <v>13060</v>
      </c>
      <c r="C13179" t="str">
        <f>IFERROR(__xludf.DUMMYFUNCTION("GOOGLETRANSLATE(B13179, ""es"", ""en"")"),"Very cute gift very nice but it's something big. It is easily solved by changing the rubber and removing leftover balls. Better that than be small. I guess they do so to make it worth for everyone. It took longer to arrive.")</f>
        <v>Very cute gift very nice but it's something big. It is easily solved by changing the rubber and removing leftover balls. Better that than be small. I guess they do so to make it worth for everyone. It took longer to arrive.</v>
      </c>
    </row>
    <row r="13180">
      <c r="A13180" s="1">
        <v>4.0</v>
      </c>
      <c r="B13180" s="1" t="s">
        <v>13061</v>
      </c>
      <c r="C13180" t="str">
        <f>IFERROR(__xludf.DUMMYFUNCTION("GOOGLETRANSLATE(B13180, ""es"", ""en"")"),"very satisfied Very satisfied with the quality zips seem mochila.las and the fabric is tough and seems sender. It has many pockets and ample space to carry even a large videocamara a smartphone 6 ""etc. Polivalente for both field and for the city. You wou"&amp;"ld be perfect to have a second strap for securing hip and prevent it from moving too much or boat if you run but otherwise I'm delighted.")</f>
        <v>very satisfied Very satisfied with the quality zips seem mochila.las and the fabric is tough and seems sender. It has many pockets and ample space to carry even a large videocamara a smartphone 6 "etc. Polivalente for both field and for the city. You would be perfect to have a second strap for securing hip and prevent it from moving too much or boat if you run but otherwise I'm delighted.</v>
      </c>
    </row>
    <row r="13181">
      <c r="A13181" s="1">
        <v>5.0</v>
      </c>
      <c r="B13181" s="1" t="s">
        <v>13062</v>
      </c>
      <c r="C13181" t="str">
        <f>IFERROR(__xludf.DUMMYFUNCTION("GOOGLETRANSLATE(B13181, ""es"", ""en"")"),"good sound fantastic, very comfortable and sturdy but against themselves and need amplification or quite large if not, will enjoy the")</f>
        <v>good sound fantastic, very comfortable and sturdy but against themselves and need amplification or quite large if not, will enjoy the</v>
      </c>
    </row>
    <row r="13182">
      <c r="A13182" s="1">
        <v>5.0</v>
      </c>
      <c r="B13182" s="1" t="s">
        <v>13063</v>
      </c>
      <c r="C13182" t="str">
        <f>IFERROR(__xludf.DUMMYFUNCTION("GOOGLETRANSLATE(B13182, ""es"", ""en"")"),"Apple Compatible perfect mind. It is very easy to use on an Apple.")</f>
        <v>Apple Compatible perfect mind. It is very easy to use on an Apple.</v>
      </c>
    </row>
    <row r="13183">
      <c r="A13183" s="1">
        <v>5.0</v>
      </c>
      <c r="B13183" s="1" t="s">
        <v>13064</v>
      </c>
      <c r="C13183" t="str">
        <f>IFERROR(__xludf.DUMMYFUNCTION("GOOGLETRANSLATE(B13183, ""es"", ""en"")"),"VERY USEFUL. I put it in the kitchen and separate switches allow me to have disconnected some devices when not in use without unplugging. It gives me more peace of mind.")</f>
        <v>VERY USEFUL. I put it in the kitchen and separate switches allow me to have disconnected some devices when not in use without unplugging. It gives me more peace of mind.</v>
      </c>
    </row>
    <row r="13184">
      <c r="A13184" s="1">
        <v>5.0</v>
      </c>
      <c r="B13184" s="1" t="s">
        <v>13065</v>
      </c>
      <c r="C13184" t="str">
        <f>IFERROR(__xludf.DUMMYFUNCTION("GOOGLETRANSLATE(B13184, ""es"", ""en"")"),"Very comfortable annoys me to pass Timberland 47.5 to 49. I bought a 47 and I was too small and 49 are slightly larger. They are very comfortable and fine to go arranged and informal at the same time")</f>
        <v>Very comfortable annoys me to pass Timberland 47.5 to 49. I bought a 47 and I was too small and 49 are slightly larger. They are very comfortable and fine to go arranged and informal at the same time</v>
      </c>
    </row>
    <row r="13185">
      <c r="A13185" s="1">
        <v>5.0</v>
      </c>
      <c r="B13185" s="1" t="s">
        <v>13066</v>
      </c>
      <c r="C13185" t="str">
        <f>IFERROR(__xludf.DUMMYFUNCTION("GOOGLETRANSLATE(B13185, ""es"", ""en"")"),"Perfect I received a day earlier than planned. It sounds great. You isolate enough or much of external sounds. If you have to speak to separate to hear. I recommend them to anyone who wants or find a perfect and without being expensive headphones.")</f>
        <v>Perfect I received a day earlier than planned. It sounds great. You isolate enough or much of external sounds. If you have to speak to separate to hear. I recommend them to anyone who wants or find a perfect and without being expensive headphones.</v>
      </c>
    </row>
    <row r="13186">
      <c r="A13186" s="1">
        <v>5.0</v>
      </c>
      <c r="B13186" s="1" t="s">
        <v>13067</v>
      </c>
      <c r="C13186" t="str">
        <f>IFERROR(__xludf.DUMMYFUNCTION("GOOGLETRANSLATE(B13186, ""es"", ""en"")"),"Very nice and comfortable nice, comfortable, very good quality. They attract attention.")</f>
        <v>Very nice and comfortable nice, comfortable, very good quality. They attract attention.</v>
      </c>
    </row>
    <row r="13187">
      <c r="A13187" s="1">
        <v>5.0</v>
      </c>
      <c r="B13187" s="1" t="s">
        <v>13068</v>
      </c>
      <c r="C13187" t="str">
        <f>IFERROR(__xludf.DUMMYFUNCTION("GOOGLETRANSLATE(B13187, ""es"", ""en"")"),"Casio. Excellent.")</f>
        <v>Casio. Excellent.</v>
      </c>
    </row>
    <row r="13188">
      <c r="A13188" s="1">
        <v>5.0</v>
      </c>
      <c r="B13188" s="1" t="s">
        <v>13069</v>
      </c>
      <c r="C13188" t="str">
        <f>IFERROR(__xludf.DUMMYFUNCTION("GOOGLETRANSLATE(B13188, ""es"", ""en"")"),"Infinite photographic infinite storage. So far, no fault")</f>
        <v>Infinite photographic infinite storage. So far, no fault</v>
      </c>
    </row>
    <row r="13189">
      <c r="A13189" s="1">
        <v>5.0</v>
      </c>
      <c r="B13189" s="1" t="s">
        <v>13070</v>
      </c>
      <c r="C13189" t="str">
        <f>IFERROR(__xludf.DUMMYFUNCTION("GOOGLETRANSLATE(B13189, ""es"", ""en"")"),"For day to day quite correct")</f>
        <v>For day to day quite correct</v>
      </c>
    </row>
    <row r="13190">
      <c r="A13190" s="1">
        <v>5.0</v>
      </c>
      <c r="B13190" s="1" t="s">
        <v>13071</v>
      </c>
      <c r="C13190" t="str">
        <f>IFERROR(__xludf.DUMMYFUNCTION("GOOGLETRANSLATE(B13190, ""es"", ""en"")"),".CUMPLIENDO A DREAM, CREAS need ANOTHER meet. .The shoes, I bought on Amazon, had an unbeatable price in relation to its quality, but I remain small, to the beginning, clenching, (I chock 46, a former, now, in online stores, is 48, and my shoes are 47), b"&amp;"ut gradually gave way, (how quality garments), and adapted to my feet like a guante.¿Debí, buy a 48? .Never know.")</f>
        <v>.CUMPLIENDO A DREAM, CREAS need ANOTHER meet. .The shoes, I bought on Amazon, had an unbeatable price in relation to its quality, but I remain small, to the beginning, clenching, (I chock 46, a former, now, in online stores, is 48, and my shoes are 47), but gradually gave way, (how quality garments), and adapted to my feet like a guante.¿Debí, buy a 48? .Never know.</v>
      </c>
    </row>
    <row r="13191">
      <c r="A13191" s="1">
        <v>5.0</v>
      </c>
      <c r="B13191" s="1" t="s">
        <v>13072</v>
      </c>
      <c r="C13191" t="str">
        <f>IFERROR(__xludf.DUMMYFUNCTION("GOOGLETRANSLATE(B13191, ""es"", ""en"")"),"The best I've had. They are the best headphones I've ever had. I love the insulation capacity and quality of the sound, which is the best I've tasted. As for durability, I talk time, for now I have 6 months with him using it every day at work and so far n"&amp;"o problems. I recommend it 100%, in fact I gave some.")</f>
        <v>The best I've had. They are the best headphones I've ever had. I love the insulation capacity and quality of the sound, which is the best I've tasted. As for durability, I talk time, for now I have 6 months with him using it every day at work and so far no problems. I recommend it 100%, in fact I gave some.</v>
      </c>
    </row>
    <row r="13192">
      <c r="A13192" s="1">
        <v>5.0</v>
      </c>
      <c r="B13192" s="1" t="s">
        <v>13073</v>
      </c>
      <c r="C13192" t="str">
        <f>IFERROR(__xludf.DUMMYFUNCTION("GOOGLETRANSLATE(B13192, ""es"", ""en"")"),"Great companion thrilled. Buy one of lower quality and is very noticeable. It's noisy but gives very good results. incredible power and various ways and intensities. Perfect for massages.")</f>
        <v>Great companion thrilled. Buy one of lower quality and is very noticeable. It's noisy but gives very good results. incredible power and various ways and intensities. Perfect for massages.</v>
      </c>
    </row>
    <row r="13193">
      <c r="A13193" s="1">
        <v>5.0</v>
      </c>
      <c r="B13193" s="1" t="s">
        <v>13074</v>
      </c>
      <c r="C13193" t="str">
        <f>IFERROR(__xludf.DUMMYFUNCTION("GOOGLETRANSLATE(B13193, ""es"", ""en"")"),"Beautiful lotus at a good price to buy it for a gift and I am extremely pleased and happy with the purchase, not at all expensive and very nice")</f>
        <v>Beautiful lotus at a good price to buy it for a gift and I am extremely pleased and happy with the purchase, not at all expensive and very nice</v>
      </c>
    </row>
    <row r="13194">
      <c r="A13194" s="1">
        <v>5.0</v>
      </c>
      <c r="B13194" s="1" t="s">
        <v>13075</v>
      </c>
      <c r="C13194" t="str">
        <f>IFERROR(__xludf.DUMMYFUNCTION("GOOGLETRANSLATE(B13194, ""es"", ""en"")"),"I love it I like that you can turn off the lights. You can place the oil you want. And looks good")</f>
        <v>I love it I like that you can turn off the lights. You can place the oil you want. And looks good</v>
      </c>
    </row>
    <row r="13195">
      <c r="A13195" s="1">
        <v>5.0</v>
      </c>
      <c r="B13195" s="1" t="s">
        <v>13076</v>
      </c>
      <c r="C13195" t="str">
        <f>IFERROR(__xludf.DUMMYFUNCTION("GOOGLETRANSLATE(B13195, ""es"", ""en"")"),"Good quality and well taken very good quality and comfort. If you like the model, you're not going to regret it. Colo is a little paneling to the photo.")</f>
        <v>Good quality and well taken very good quality and comfort. If you like the model, you're not going to regret it. Colo is a little paneling to the photo.</v>
      </c>
    </row>
    <row r="13196">
      <c r="A13196" s="1">
        <v>5.0</v>
      </c>
      <c r="B13196" s="1" t="s">
        <v>13077</v>
      </c>
      <c r="C13196" t="str">
        <f>IFERROR(__xludf.DUMMYFUNCTION("GOOGLETRANSLATE(B13196, ""es"", ""en"")"),"Quality - great price I love its size, and how quickly it heats the water. I do not put any hits.")</f>
        <v>Quality - great price I love its size, and how quickly it heats the water. I do not put any hits.</v>
      </c>
    </row>
    <row r="13197">
      <c r="A13197" s="1">
        <v>5.0</v>
      </c>
      <c r="B13197" s="1" t="s">
        <v>13078</v>
      </c>
      <c r="C13197" t="str">
        <f>IFERROR(__xludf.DUMMYFUNCTION("GOOGLETRANSLATE(B13197, ""es"", ""en"")"),"perfect are rigid, ie, the first day pretend not walk 5km with them ... because you will die. must gradually give them the first two days, then they are already comfortable and do not weigh excessively.")</f>
        <v>perfect are rigid, ie, the first day pretend not walk 5km with them ... because you will die. must gradually give them the first two days, then they are already comfortable and do not weigh excessively.</v>
      </c>
    </row>
    <row r="13198">
      <c r="A13198" s="1">
        <v>5.0</v>
      </c>
      <c r="B13198" s="1" t="s">
        <v>13079</v>
      </c>
      <c r="C13198" t="str">
        <f>IFERROR(__xludf.DUMMYFUNCTION("GOOGLETRANSLATE(B13198, ""es"", ""en"")"),"`Comfortable perfect, perfect and good price .... which have been sought and pending another similar purchase maybe ... we'll see later ....")</f>
        <v>`Comfortable perfect, perfect and good price .... which have been sought and pending another similar purchase maybe ... we'll see later ....</v>
      </c>
    </row>
    <row r="13199">
      <c r="A13199" s="1">
        <v>5.0</v>
      </c>
      <c r="B13199" s="1" t="s">
        <v>13080</v>
      </c>
      <c r="C13199" t="str">
        <f>IFERROR(__xludf.DUMMYFUNCTION("GOOGLETRANSLATE(B13199, ""es"", ""en"")"),"As you see. As is")</f>
        <v>As you see. As is</v>
      </c>
    </row>
    <row r="13200">
      <c r="A13200" s="1">
        <v>2.0</v>
      </c>
      <c r="B13200" s="1" t="s">
        <v>13081</v>
      </c>
      <c r="C13200" t="str">
        <f>IFERROR(__xludf.DUMMYFUNCTION("GOOGLETRANSLATE(B13200, ""es"", ""en"")"),"Regular fairly regular, but the price is fair")</f>
        <v>Regular fairly regular, but the price is fair</v>
      </c>
    </row>
    <row r="13201">
      <c r="A13201" s="1">
        <v>3.0</v>
      </c>
      <c r="B13201" s="1" t="s">
        <v>13082</v>
      </c>
      <c r="C13201" t="str">
        <f>IFERROR(__xludf.DUMMYFUNCTION("GOOGLETRANSLATE(B13201, ""es"", ""en"")"),"Value The shoes are made bolisas continued use, but for the price you can not ask for more.")</f>
        <v>Value The shoes are made bolisas continued use, but for the price you can not ask for more.</v>
      </c>
    </row>
    <row r="13202">
      <c r="A13202" s="1">
        <v>3.0</v>
      </c>
      <c r="B13202" s="1" t="s">
        <v>13083</v>
      </c>
      <c r="C13202" t="str">
        <f>IFERROR(__xludf.DUMMYFUNCTION("GOOGLETRANSLATE(B13202, ""es"", ""en"")"),"Perfect size q buy good standard seaprecia")</f>
        <v>Perfect size q buy good standard seaprecia</v>
      </c>
    </row>
    <row r="13203">
      <c r="A13203" s="1">
        <v>1.0</v>
      </c>
      <c r="B13203" s="1" t="s">
        <v>13084</v>
      </c>
      <c r="C13203" t="str">
        <f>IFERROR(__xludf.DUMMYFUNCTION("GOOGLETRANSLATE(B13203, ""es"", ""en"")"),"I feel cheated The product has not arrived and I have reenvolsado money. I keep waiting for reply. Kk mk n")</f>
        <v>I feel cheated The product has not arrived and I have reenvolsado money. I keep waiting for reply. Kk mk n</v>
      </c>
    </row>
    <row r="13204">
      <c r="A13204" s="1">
        <v>1.0</v>
      </c>
      <c r="B13204" s="1" t="s">
        <v>13085</v>
      </c>
      <c r="C13204" t="str">
        <f>IFERROR(__xludf.DUMMYFUNCTION("GOOGLETRANSLATE(B13204, ""es"", ""en"")"),"Very unhappy !!! I think just buy ....... I got an earring broken pin. Esparo exchange or refund. A consultation now if you buy 19 € you can not buy cheaper things.")</f>
        <v>Very unhappy !!! I think just buy ....... I got an earring broken pin. Esparo exchange or refund. A consultation now if you buy 19 € you can not buy cheaper things.</v>
      </c>
    </row>
    <row r="13205">
      <c r="A13205" s="1">
        <v>4.0</v>
      </c>
      <c r="B13205" s="1" t="s">
        <v>13086</v>
      </c>
      <c r="C13205" t="str">
        <f>IFERROR(__xludf.DUMMYFUNCTION("GOOGLETRANSLATE(B13205, ""es"", ""en"")"),"Gatomama The fabric is thin and very soft, very comfortable. I ordered the L O 42 and is plus 42 a L, no matter that baggy look great. I ordered a gray and M are perfect. I have recommended.")</f>
        <v>Gatomama The fabric is thin and very soft, very comfortable. I ordered the L O 42 and is plus 42 a L, no matter that baggy look great. I ordered a gray and M are perfect. I have recommended.</v>
      </c>
    </row>
    <row r="13206">
      <c r="A13206" s="1">
        <v>4.0</v>
      </c>
      <c r="B13206" s="1" t="s">
        <v>13087</v>
      </c>
      <c r="C13206" t="str">
        <f>IFERROR(__xludf.DUMMYFUNCTION("GOOGLETRANSLATE(B13206, ""es"", ""en"")"),"Sturdy shoes and comfortable After many laps looking for information about cycling shoes a friend recommended these shoes and the truth is that I am very happy. Are quite light and comfortable Velcro foot grips well. Most of the opinions of the produto sa"&amp;"id it was better to order a number more than the usual shoes and I was lucky because I look great. Recommended.")</f>
        <v>Sturdy shoes and comfortable After many laps looking for information about cycling shoes a friend recommended these shoes and the truth is that I am very happy. Are quite light and comfortable Velcro foot grips well. Most of the opinions of the produto said it was better to order a number more than the usual shoes and I was lucky because I look great. Recommended.</v>
      </c>
    </row>
    <row r="13207">
      <c r="A13207" s="1">
        <v>4.0</v>
      </c>
      <c r="B13207" s="1" t="s">
        <v>13088</v>
      </c>
      <c r="C13207" t="str">
        <f>IFERROR(__xludf.DUMMYFUNCTION("GOOGLETRANSLATE(B13207, ""es"", ""en"")"),"Not bad It was a gift, but the person who received it has not been very consistent in its use, so I can not say whether it does the job.")</f>
        <v>Not bad It was a gift, but the person who received it has not been very consistent in its use, so I can not say whether it does the job.</v>
      </c>
    </row>
    <row r="13208">
      <c r="A13208" s="1">
        <v>4.0</v>
      </c>
      <c r="B13208" s="1" t="s">
        <v>13089</v>
      </c>
      <c r="C13208" t="str">
        <f>IFERROR(__xludf.DUMMYFUNCTION("GOOGLETRANSLATE(B13208, ""es"", ""en"")"),"Russell Hobbs jug Good product. It works well after months of use. A being black marks lime is too noticeable and the noise level is rather high heat. Give blue light gives a bonus of elegance ...")</f>
        <v>Russell Hobbs jug Good product. It works well after months of use. A being black marks lime is too noticeable and the noise level is rather high heat. Give blue light gives a bonus of elegance ...</v>
      </c>
    </row>
    <row r="13209">
      <c r="A13209" s="1">
        <v>5.0</v>
      </c>
      <c r="B13209" s="1" t="s">
        <v>13090</v>
      </c>
      <c r="C13209" t="str">
        <f>IFERROR(__xludf.DUMMYFUNCTION("GOOGLETRANSLATE(B13209, ""es"", ""en"")"),"Very cool. The shoes are fine. They come in a very simple packaging but for the price you can not have ask for much more. Are pretty cool, my son liked him a lot.")</f>
        <v>Very cool. The shoes are fine. They come in a very simple packaging but for the price you can not have ask for much more. Are pretty cool, my son liked him a lot.</v>
      </c>
    </row>
    <row r="13210">
      <c r="A13210" s="1">
        <v>5.0</v>
      </c>
      <c r="B13210" s="1" t="s">
        <v>13091</v>
      </c>
      <c r="C13210" t="str">
        <f>IFERROR(__xludf.DUMMYFUNCTION("GOOGLETRANSLATE(B13210, ""es"", ""en"")"),"Easy to use and sound quality I have several wired and wireless headsets this is without cable. At the beginning I struggled to get used to because it gives the feeling that you are losing, but when you get used to them are very comfortable. You come seve"&amp;"ral sponges to choose the one that best fits your ear. Read important instructions before because you explain how you connect and link with your mobile. Too easy. It also indicates that the left is connected to 3 seconds and the law needs more time. You c"&amp;"an hear the two or only one, being able to choose. Attached images of the explanatory sheets. Also it carries instructions in several languages, including Castilian. Regarding the sound quality I find them. The basis used to load and save. Measures about "&amp;"6 cm long and 3 cm high. Very practical to carry in your purse or pocket. I recommend purchase.")</f>
        <v>Easy to use and sound quality I have several wired and wireless headsets this is without cable. At the beginning I struggled to get used to because it gives the feeling that you are losing, but when you get used to them are very comfortable. You come several sponges to choose the one that best fits your ear. Read important instructions before because you explain how you connect and link with your mobile. Too easy. It also indicates that the left is connected to 3 seconds and the law needs more time. You can hear the two or only one, being able to choose. Attached images of the explanatory sheets. Also it carries instructions in several languages, including Castilian. Regarding the sound quality I find them. The basis used to load and save. Measures about 6 cm long and 3 cm high. Very practical to carry in your purse or pocket. I recommend purchase.</v>
      </c>
    </row>
    <row r="13211">
      <c r="A13211" s="1">
        <v>5.0</v>
      </c>
      <c r="B13211" s="1" t="s">
        <v>13092</v>
      </c>
      <c r="C13211" t="str">
        <f>IFERROR(__xludf.DUMMYFUNCTION("GOOGLETRANSLATE(B13211, ""es"", ""en"")"),"Very good bottle. I noticed the difference with the other bottles, with this my baby expels gases as easily and certainly not forced to drink much more slowly vomits.")</f>
        <v>Very good bottle. I noticed the difference with the other bottles, with this my baby expels gases as easily and certainly not forced to drink much more slowly vomits.</v>
      </c>
    </row>
    <row r="13212">
      <c r="A13212" s="1">
        <v>5.0</v>
      </c>
      <c r="B13212" s="1" t="s">
        <v>13093</v>
      </c>
      <c r="C13212" t="str">
        <f>IFERROR(__xludf.DUMMYFUNCTION("GOOGLETRANSLATE(B13212, ""es"", ""en"")"),"100% recommendable!!! Very good value for money work perfectly, have been singing with them 4h and consumed only a portion of the battery, the charging receiver works if the battery is just t. They are professional size, when out of the box I was surprise"&amp;"d to see them so big. They have finished professional appearance. 100% recommended")</f>
        <v>100% recommendable!!! Very good value for money work perfectly, have been singing with them 4h and consumed only a portion of the battery, the charging receiver works if the battery is just t. They are professional size, when out of the box I was surprised to see them so big. They have finished professional appearance. 100% recommended</v>
      </c>
    </row>
    <row r="13213">
      <c r="A13213" s="1">
        <v>5.0</v>
      </c>
      <c r="B13213" s="1" t="s">
        <v>13094</v>
      </c>
      <c r="C13213" t="str">
        <f>IFERROR(__xludf.DUMMYFUNCTION("GOOGLETRANSLATE(B13213, ""es"", ""en"")"),"Magnifico amazing for this price. I shower with him and not take it off for anything. It is very convenient because it is very fine and perfect size. Not the typical small giant or as a child. Very nice and works perfectly.")</f>
        <v>Magnifico amazing for this price. I shower with him and not take it off for anything. It is very convenient because it is very fine and perfect size. Not the typical small giant or as a child. Very nice and works perfectly.</v>
      </c>
    </row>
    <row r="13214">
      <c r="A13214" s="1">
        <v>5.0</v>
      </c>
      <c r="B13214" s="1" t="s">
        <v>13095</v>
      </c>
      <c r="C13214" t="str">
        <f>IFERROR(__xludf.DUMMYFUNCTION("GOOGLETRANSLATE(B13214, ""es"", ""en"")"),"perfect 👍")</f>
        <v>perfect 👍</v>
      </c>
    </row>
    <row r="13215">
      <c r="A13215" s="1">
        <v>5.0</v>
      </c>
      <c r="B13215" s="1" t="s">
        <v>13096</v>
      </c>
      <c r="C13215" t="str">
        <f>IFERROR(__xludf.DUMMYFUNCTION("GOOGLETRANSLATE(B13215, ""es"", ""en"")"),"Very useful and comfortable, perfect heard are heard perfect. It is easy to connect and use, and are very comfortable. The best thing about it is that you can use headphones charger to charge your phone too which is very handy. They are waterproof is also"&amp;" a great advantage because you do not have to worry if you wet because rain or because you're sweating take them to exercise. Noise cancellation is also very good. In value is a ten out of ten, I highly recommend them. Perfect for sports or simply listen "&amp;"to your music or watch your series.")</f>
        <v>Very useful and comfortable, perfect heard are heard perfect. It is easy to connect and use, and are very comfortable. The best thing about it is that you can use headphones charger to charge your phone too which is very handy. They are waterproof is also a great advantage because you do not have to worry if you wet because rain or because you're sweating take them to exercise. Noise cancellation is also very good. In value is a ten out of ten, I highly recommend them. Perfect for sports or simply listen to your music or watch your series.</v>
      </c>
    </row>
    <row r="13216">
      <c r="A13216" s="1">
        <v>5.0</v>
      </c>
      <c r="B13216" s="1" t="s">
        <v>13097</v>
      </c>
      <c r="C13216" t="str">
        <f>IFERROR(__xludf.DUMMYFUNCTION("GOOGLETRANSLATE(B13216, ""es"", ""en"")"),"View product already had used the hernesurina, this time I was diagnosed with kidney stones and this has been great getting me that I passed the unbearable pain.")</f>
        <v>View product already had used the hernesurina, this time I was diagnosed with kidney stones and this has been great getting me that I passed the unbearable pain.</v>
      </c>
    </row>
    <row r="13217">
      <c r="A13217" s="1">
        <v>5.0</v>
      </c>
      <c r="B13217" s="1" t="s">
        <v>13098</v>
      </c>
      <c r="C13217" t="str">
        <f>IFERROR(__xludf.DUMMYFUNCTION("GOOGLETRANSLATE(B13217, ""es"", ""en"")"),"Very good Cool !! They are the only ones using my daughter, teats spot so wide and anti-colic being perfect")</f>
        <v>Very good Cool !! They are the only ones using my daughter, teats spot so wide and anti-colic being perfect</v>
      </c>
    </row>
    <row r="13218">
      <c r="A13218" s="1">
        <v>5.0</v>
      </c>
      <c r="B13218" s="1" t="s">
        <v>13099</v>
      </c>
      <c r="C13218" t="str">
        <f>IFERROR(__xludf.DUMMYFUNCTION("GOOGLETRANSLATE(B13218, ""es"", ""en"")"),"A good filter perfect.")</f>
        <v>A good filter perfect.</v>
      </c>
    </row>
    <row r="13219">
      <c r="A13219" s="1">
        <v>5.0</v>
      </c>
      <c r="B13219" s="1" t="s">
        <v>13100</v>
      </c>
      <c r="C13219" t="str">
        <f>IFERROR(__xludf.DUMMYFUNCTION("GOOGLETRANSLATE(B13219, ""es"", ""en"")"),"Fast shipping and nice shoes and slippers super fast shipping just as expected. They are very nice and comfortable. All 10.")</f>
        <v>Fast shipping and nice shoes and slippers super fast shipping just as expected. They are very nice and comfortable. All 10.</v>
      </c>
    </row>
    <row r="13220">
      <c r="A13220" s="1">
        <v>5.0</v>
      </c>
      <c r="B13220" s="1" t="s">
        <v>13101</v>
      </c>
      <c r="C13220" t="str">
        <f>IFERROR(__xludf.DUMMYFUNCTION("GOOGLETRANSLATE(B13220, ""es"", ""en"")"),"Quality came to the other day and are spectacular")</f>
        <v>Quality came to the other day and are spectacular</v>
      </c>
    </row>
    <row r="13221">
      <c r="A13221" s="1">
        <v>5.0</v>
      </c>
      <c r="B13221" s="1" t="s">
        <v>13102</v>
      </c>
      <c r="C13221" t="str">
        <f>IFERROR(__xludf.DUMMYFUNCTION("GOOGLETRANSLATE(B13221, ""es"", ""en"")"),"High quality at a good price Some sports helmets for a gift, these are great, are comfortable (bring several sets of tires of different sizes, the sound is very good and are easily matched, both among themselves and with mobile. The box which are saved is"&amp;" a cargo box, ie for example leave at night charging box and then have helmets battery to charge 4 or 5 times I think they have very good price. I like very much.")</f>
        <v>High quality at a good price Some sports helmets for a gift, these are great, are comfortable (bring several sets of tires of different sizes, the sound is very good and are easily matched, both among themselves and with mobile. The box which are saved is a cargo box, ie for example leave at night charging box and then have helmets battery to charge 4 or 5 times I think they have very good price. I like very much.</v>
      </c>
    </row>
    <row r="13222">
      <c r="A13222" s="1">
        <v>5.0</v>
      </c>
      <c r="B13222" s="1" t="s">
        <v>13103</v>
      </c>
      <c r="C13222" t="str">
        <f>IFERROR(__xludf.DUMMYFUNCTION("GOOGLETRANSLATE(B13222, ""es"", ""en"")"),"Winter warmth! We use it as a blanket of bed, we have it in bed, turn on a few minutes before going to sleep and when you enter this warm bed warm. Put you in a warm bed in winter priceless! The touch of the blanket is very nice, the same as the typical b"&amp;"lanket sleeper. The module ""programmer"" can be unplugged to wash the blanket in the washing machine according to the instructions no problem putting it in the washing machine, even though we have not done. Has 6 levels of ""heat"", we usually put them t"&amp;"o 3-4 and into the bed is enough, but if you use it on the sofa the ground up to 6. It has a timer, at 3 hours turns off, so no it stays on all night or all day if you forget to turn it off. Power consumption is low and is a way to stay warm at home witho"&amp;"ut very many consuming electricity. For now delighted! Ah! our bed is 1.35, perfect!")</f>
        <v>Winter warmth! We use it as a blanket of bed, we have it in bed, turn on a few minutes before going to sleep and when you enter this warm bed warm. Put you in a warm bed in winter priceless! The touch of the blanket is very nice, the same as the typical blanket sleeper. The module "programmer" can be unplugged to wash the blanket in the washing machine according to the instructions no problem putting it in the washing machine, even though we have not done. Has 6 levels of "heat", we usually put them to 3-4 and into the bed is enough, but if you use it on the sofa the ground up to 6. It has a timer, at 3 hours turns off, so no it stays on all night or all day if you forget to turn it off. Power consumption is low and is a way to stay warm at home without very many consuming electricity. For now delighted! Ah! our bed is 1.35, perfect!</v>
      </c>
    </row>
    <row r="13223">
      <c r="A13223" s="1">
        <v>5.0</v>
      </c>
      <c r="B13223" s="1" t="s">
        <v>13104</v>
      </c>
      <c r="C13223" t="str">
        <f>IFERROR(__xludf.DUMMYFUNCTION("GOOGLETRANSLATE(B13223, ""es"", ""en"")"),"Such very comfortable that described. I love.")</f>
        <v>Such very comfortable that described. I love.</v>
      </c>
    </row>
    <row r="13224">
      <c r="A13224" s="1">
        <v>5.0</v>
      </c>
      <c r="B13224" s="1" t="s">
        <v>13105</v>
      </c>
      <c r="C13224" t="str">
        <f>IFERROR(__xludf.DUMMYFUNCTION("GOOGLETRANSLATE(B13224, ""es"", ""en"")"),"PERFECT GIFT AND CHEAPER PROVEN PROBLEM WITHOUT DEPTH 40M CARE MUST BE TAKEN WITH RUBBER AND FRESHWATER wash it with salt could corrode AS THE LEFT IS STOPPED TIME")</f>
        <v>PERFECT GIFT AND CHEAPER PROVEN PROBLEM WITHOUT DEPTH 40M CARE MUST BE TAKEN WITH RUBBER AND FRESHWATER wash it with salt could corrode AS THE LEFT IS STOPPED TIME</v>
      </c>
    </row>
    <row r="13225">
      <c r="A13225" s="1">
        <v>5.0</v>
      </c>
      <c r="B13225" s="1" t="s">
        <v>13106</v>
      </c>
      <c r="C13225" t="str">
        <f>IFERROR(__xludf.DUMMYFUNCTION("GOOGLETRANSLATE(B13225, ""es"", ""en"")"),"Very good buy comfy and look great. Attention excellent seller.")</f>
        <v>Very good buy comfy and look great. Attention excellent seller.</v>
      </c>
    </row>
    <row r="13226">
      <c r="A13226" s="1">
        <v>5.0</v>
      </c>
      <c r="B13226" s="1" t="s">
        <v>13107</v>
      </c>
      <c r="C13226" t="str">
        <f>IFERROR(__xludf.DUMMYFUNCTION("GOOGLETRANSLATE(B13226, ""es"", ""en"")"),"Excellent Very good product highly recommended, good reach and good coverage.")</f>
        <v>Excellent Very good product highly recommended, good reach and good coverage.</v>
      </c>
    </row>
    <row r="13227">
      <c r="A13227" s="1">
        <v>5.0</v>
      </c>
      <c r="B13227" s="1" t="s">
        <v>13108</v>
      </c>
      <c r="C13227" t="str">
        <f>IFERROR(__xludf.DUMMYFUNCTION("GOOGLETRANSLATE(B13227, ""es"", ""en"")"),"quality at a good price when I bought looked good, and so it has been, good fabric, good density, it conforms well to the body and is as expected. I loved it!!! It is so'll get another another color.")</f>
        <v>quality at a good price when I bought looked good, and so it has been, good fabric, good density, it conforms well to the body and is as expected. I loved it!!! It is so'll get another another color.</v>
      </c>
    </row>
    <row r="13228">
      <c r="A13228" s="1">
        <v>2.0</v>
      </c>
      <c r="B13228" s="1" t="s">
        <v>13109</v>
      </c>
      <c r="C13228" t="str">
        <f>IFERROR(__xludf.DUMMYFUNCTION("GOOGLETRANSLATE(B13228, ""es"", ""en"")"),"Does not meet expectations are always stuck in the carpet and no long hair or have animal")</f>
        <v>Does not meet expectations are always stuck in the carpet and no long hair or have animal</v>
      </c>
    </row>
    <row r="13229">
      <c r="A13229" s="1">
        <v>3.0</v>
      </c>
      <c r="B13229" s="1" t="s">
        <v>13110</v>
      </c>
      <c r="C13229" t="str">
        <f>IFERROR(__xludf.DUMMYFUNCTION("GOOGLETRANSLATE(B13229, ""es"", ""en"")"),"Nonconforming. In principle apparently well, but they have not lasted all, have broken em enseguida.Para price they have, could have been a bit careful.")</f>
        <v>Nonconforming. In principle apparently well, but they have not lasted all, have broken em enseguida.Para price they have, could have been a bit careful.</v>
      </c>
    </row>
    <row r="13230">
      <c r="A13230" s="1">
        <v>3.0</v>
      </c>
      <c r="B13230" s="1" t="s">
        <v>13111</v>
      </c>
      <c r="C13230" t="str">
        <f>IFERROR(__xludf.DUMMYFUNCTION("GOOGLETRANSLATE(B13230, ""es"", ""en"")"),"Should have ordered a full size Son calentitas, they guataron my son but fit too just, very small.")</f>
        <v>Should have ordered a full size Son calentitas, they guataron my son but fit too just, very small.</v>
      </c>
    </row>
    <row r="13231">
      <c r="A13231" s="1">
        <v>1.0</v>
      </c>
      <c r="B13231" s="1" t="s">
        <v>13112</v>
      </c>
      <c r="C13231" t="str">
        <f>IFERROR(__xludf.DUMMYFUNCTION("GOOGLETRANSLATE(B13231, ""es"", ""en"")"),"fatal Horrible")</f>
        <v>fatal Horrible</v>
      </c>
    </row>
    <row r="13232">
      <c r="A13232" s="1">
        <v>1.0</v>
      </c>
      <c r="B13232" s="1" t="s">
        <v>13113</v>
      </c>
      <c r="C13232" t="str">
        <f>IFERROR(__xludf.DUMMYFUNCTION("GOOGLETRANSLATE(B13232, ""es"", ""en"")"),"It is the product that I ordered. The color does not match the one shown. It's not pretty. The quality is bad. I will not buy it. Disappointment!")</f>
        <v>It is the product that I ordered. The color does not match the one shown. It's not pretty. The quality is bad. I will not buy it. Disappointment!</v>
      </c>
    </row>
    <row r="13233">
      <c r="A13233" s="1">
        <v>4.0</v>
      </c>
      <c r="B13233" s="1" t="s">
        <v>13114</v>
      </c>
      <c r="C13233" t="str">
        <f>IFERROR(__xludf.DUMMYFUNCTION("GOOGLETRANSLATE(B13233, ""es"", ""en"")"),"Nice shoes comfortable shoes. I arrive before the deadline.")</f>
        <v>Nice shoes comfortable shoes. I arrive before the deadline.</v>
      </c>
    </row>
    <row r="13234">
      <c r="A13234" s="1">
        <v>4.0</v>
      </c>
      <c r="B13234" s="1" t="s">
        <v>13115</v>
      </c>
      <c r="C13234" t="str">
        <f>IFERROR(__xludf.DUMMYFUNCTION("GOOGLETRANSLATE(B13234, ""es"", ""en"")"),"good management when they start with cereal foods is fine, you have three positions to regulate the flow and has good form the bottle so that little hands can grab with")</f>
        <v>good management when they start with cereal foods is fine, you have three positions to regulate the flow and has good form the bottle so that little hands can grab with</v>
      </c>
    </row>
    <row r="13235">
      <c r="A13235" s="1">
        <v>4.0</v>
      </c>
      <c r="B13235" s="1" t="s">
        <v>13116</v>
      </c>
      <c r="C13235" t="str">
        <f>IFERROR(__xludf.DUMMYFUNCTION("GOOGLETRANSLATE(B13235, ""es"", ""en"")"),"Good watch is a nice digital clock. It has all the basic functions expected and many advanced and essential.")</f>
        <v>Good watch is a nice digital clock. It has all the basic functions expected and many advanced and essential.</v>
      </c>
    </row>
    <row r="13236">
      <c r="A13236" s="1">
        <v>4.0</v>
      </c>
      <c r="B13236" s="1" t="s">
        <v>13117</v>
      </c>
      <c r="C13236" t="str">
        <f>IFERROR(__xludf.DUMMYFUNCTION("GOOGLETRANSLATE(B13236, ""es"", ""en"")"),"They are nice but very small are very nice but too small")</f>
        <v>They are nice but very small are very nice but too small</v>
      </c>
    </row>
    <row r="13237">
      <c r="A13237" s="1">
        <v>4.0</v>
      </c>
      <c r="B13237" s="1" t="s">
        <v>13118</v>
      </c>
      <c r="C13237" t="str">
        <f>IFERROR(__xludf.DUMMYFUNCTION("GOOGLETRANSLATE(B13237, ""es"", ""en"")"),"Good microphone at that price Using gameplay and perfect video recording. Pc tower connected to non-portable (I mean by valuations needed source q) I said perfect for everything.")</f>
        <v>Good microphone at that price Using gameplay and perfect video recording. Pc tower connected to non-portable (I mean by valuations needed source q) I said perfect for everything.</v>
      </c>
    </row>
    <row r="13238">
      <c r="A13238" s="1">
        <v>5.0</v>
      </c>
      <c r="B13238" s="1" t="s">
        <v>13119</v>
      </c>
      <c r="C13238" t="str">
        <f>IFERROR(__xludf.DUMMYFUNCTION("GOOGLETRANSLATE(B13238, ""es"", ""en"")"),"very good for any phone headset sel few days before term has come, they are the same as shown in the picture. Well hear other models including my phone is a perfect listen zte and are very comfortable for the ears. The cable is of a reasonable size 3 cm l"&amp;"ong")</f>
        <v>very good for any phone headset sel few days before term has come, they are the same as shown in the picture. Well hear other models including my phone is a perfect listen zte and are very comfortable for the ears. The cable is of a reasonable size 3 cm long</v>
      </c>
    </row>
    <row r="13239">
      <c r="A13239" s="1">
        <v>5.0</v>
      </c>
      <c r="B13239" s="1" t="s">
        <v>13120</v>
      </c>
      <c r="C13239" t="str">
        <f>IFERROR(__xludf.DUMMYFUNCTION("GOOGLETRANSLATE(B13239, ""es"", ""en"")"),"Works very well Very good services!")</f>
        <v>Works very well Very good services!</v>
      </c>
    </row>
    <row r="13240">
      <c r="A13240" s="1">
        <v>5.0</v>
      </c>
      <c r="B13240" s="1" t="s">
        <v>13121</v>
      </c>
      <c r="C13240" t="str">
        <f>IFERROR(__xludf.DUMMYFUNCTION("GOOGLETRANSLATE(B13240, ""es"", ""en"")"),"Under Armor tracksuit. Very comfortable tracksuit, is more pulling Maya.")</f>
        <v>Under Armor tracksuit. Very comfortable tracksuit, is more pulling Maya.</v>
      </c>
    </row>
    <row r="13241">
      <c r="A13241" s="1">
        <v>5.0</v>
      </c>
      <c r="B13241" s="1" t="s">
        <v>13122</v>
      </c>
      <c r="C13241" t="str">
        <f>IFERROR(__xludf.DUMMYFUNCTION("GOOGLETRANSLATE(B13241, ""es"", ""en"")"),"Excellent quality, good price and very comfortable. Little to add to what was said in the title. Just I compare with others of a similar pack ago I bought a whopping 8 years and are the same model. Yea leave me half as good I'm content.")</f>
        <v>Excellent quality, good price and very comfortable. Little to add to what was said in the title. Just I compare with others of a similar pack ago I bought a whopping 8 years and are the same model. Yea leave me half as good I'm content.</v>
      </c>
    </row>
    <row r="13242">
      <c r="A13242" s="1">
        <v>5.0</v>
      </c>
      <c r="B13242" s="1" t="s">
        <v>13123</v>
      </c>
      <c r="C13242" t="str">
        <f>IFERROR(__xludf.DUMMYFUNCTION("GOOGLETRANSLATE(B13242, ""es"", ""en"")"),"Super comfortable as desacansados")</f>
        <v>Super comfortable as desacansados</v>
      </c>
    </row>
    <row r="13243">
      <c r="A13243" s="1">
        <v>5.0</v>
      </c>
      <c r="B13243" s="1" t="s">
        <v>13124</v>
      </c>
      <c r="C13243" t="str">
        <f>IFERROR(__xludf.DUMMYFUNCTION("GOOGLETRANSLATE(B13243, ""es"", ""en"")"),"Fully recommended Great for walking! I used them on a journey that walked a lot and did not notice the feet. Tread very well damped and can use it for hours without getting sore feet. They combine well with jeans.")</f>
        <v>Fully recommended Great for walking! I used them on a journey that walked a lot and did not notice the feet. Tread very well damped and can use it for hours without getting sore feet. They combine well with jeans.</v>
      </c>
    </row>
    <row r="13244">
      <c r="A13244" s="1">
        <v>5.0</v>
      </c>
      <c r="B13244" s="1" t="s">
        <v>13125</v>
      </c>
      <c r="C13244" t="str">
        <f>IFERROR(__xludf.DUMMYFUNCTION("GOOGLETRANSLATE(B13244, ""es"", ""en"")"),"Very good and fast, thanks amazon👌 Me gosto clock, very precise and good quality.")</f>
        <v>Very good and fast, thanks amazon👌 Me gosto clock, very precise and good quality.</v>
      </c>
    </row>
    <row r="13245">
      <c r="A13245" s="1">
        <v>5.0</v>
      </c>
      <c r="B13245" s="1" t="s">
        <v>13126</v>
      </c>
      <c r="C13245" t="str">
        <f>IFERROR(__xludf.DUMMYFUNCTION("GOOGLETRANSLATE(B13245, ""es"", ""en"")"),"Shoe nice quality. Large size shoe is nice and quality. The sole is rather hard. outsized, at least you have to take one size smaller than what you correspond.")</f>
        <v>Shoe nice quality. Large size shoe is nice and quality. The sole is rather hard. outsized, at least you have to take one size smaller than what you correspond.</v>
      </c>
    </row>
    <row r="13246">
      <c r="A13246" s="1">
        <v>5.0</v>
      </c>
      <c r="B13246" s="1" t="s">
        <v>13127</v>
      </c>
      <c r="C13246" t="str">
        <f>IFERROR(__xludf.DUMMYFUNCTION("GOOGLETRANSLATE(B13246, ""es"", ""en"")"),"great Excellent")</f>
        <v>great Excellent</v>
      </c>
    </row>
    <row r="13247">
      <c r="A13247" s="1">
        <v>5.0</v>
      </c>
      <c r="B13247" s="1" t="s">
        <v>13128</v>
      </c>
      <c r="C13247" t="str">
        <f>IFERROR(__xludf.DUMMYFUNCTION("GOOGLETRANSLATE(B13247, ""es"", ""en"")"),"Perfect Exactly what I needed for my barbecue.")</f>
        <v>Perfect Exactly what I needed for my barbecue.</v>
      </c>
    </row>
    <row r="13248">
      <c r="A13248" s="1">
        <v>5.0</v>
      </c>
      <c r="B13248" s="1" t="s">
        <v>13129</v>
      </c>
      <c r="C13248" t="str">
        <f>IFERROR(__xludf.DUMMYFUNCTION("GOOGLETRANSLATE(B13248, ""es"", ""en"")"),"GOOD QUALITY / PRICE I bought one for me and one for a friend. We loved it.")</f>
        <v>GOOD QUALITY / PRICE I bought one for me and one for a friend. We loved it.</v>
      </c>
    </row>
    <row r="13249">
      <c r="A13249" s="1">
        <v>5.0</v>
      </c>
      <c r="B13249" s="1" t="s">
        <v>13130</v>
      </c>
      <c r="C13249" t="str">
        <f>IFERROR(__xludf.DUMMYFUNCTION("GOOGLETRANSLATE(B13249, ""es"", ""en"")"),"very cool bottles set of bottles, NUK am a regular buyer since I have three children and I found this set superchulo and has an incredible price. and quality as nothing to say the buy and nine years no change.")</f>
        <v>very cool bottles set of bottles, NUK am a regular buyer since I have three children and I found this set superchulo and has an incredible price. and quality as nothing to say the buy and nine years no change.</v>
      </c>
    </row>
    <row r="13250">
      <c r="A13250" s="1">
        <v>5.0</v>
      </c>
      <c r="B13250" s="1" t="s">
        <v>13131</v>
      </c>
      <c r="C13250" t="str">
        <f>IFERROR(__xludf.DUMMYFUNCTION("GOOGLETRANSLATE(B13250, ""es"", ""en"")"),"This sturdy folder and cheap pretty good folder. The cover is of a plastic material very hard and tough. He met my expectations and compared to other prices, not worth spending more.")</f>
        <v>This sturdy folder and cheap pretty good folder. The cover is of a plastic material very hard and tough. He met my expectations and compared to other prices, not worth spending more.</v>
      </c>
    </row>
    <row r="13251">
      <c r="A13251" s="1">
        <v>5.0</v>
      </c>
      <c r="B13251" s="1" t="s">
        <v>13132</v>
      </c>
      <c r="C13251" t="str">
        <f>IFERROR(__xludf.DUMMYFUNCTION("GOOGLETRANSLATE(B13251, ""es"", ""en"")"),"Quality high-quality headphones. The sound is pretty good, and increase the volume of the music.")</f>
        <v>Quality high-quality headphones. The sound is pretty good, and increase the volume of the music.</v>
      </c>
    </row>
    <row r="13252">
      <c r="A13252" s="1">
        <v>5.0</v>
      </c>
      <c r="B13252" s="1" t="s">
        <v>13133</v>
      </c>
      <c r="C13252" t="str">
        <f>IFERROR(__xludf.DUMMYFUNCTION("GOOGLETRANSLATE(B13252, ""es"", ""en"")"),"I like I like a lot and I pretty subject, is the bra that was looking to dance and sports, I recommend")</f>
        <v>I like I like a lot and I pretty subject, is the bra that was looking to dance and sports, I recommend</v>
      </c>
    </row>
    <row r="13253">
      <c r="A13253" s="1">
        <v>5.0</v>
      </c>
      <c r="B13253" s="1" t="s">
        <v>13134</v>
      </c>
      <c r="C13253" t="str">
        <f>IFERROR(__xludf.DUMMYFUNCTION("GOOGLETRANSLATE(B13253, ""es"", ""en"")"),"Studio laptop is the closest thing to a portable recording studio, many options. Good finishes. Multiple inputs, compact without capsules")</f>
        <v>Studio laptop is the closest thing to a portable recording studio, many options. Good finishes. Multiple inputs, compact without capsules</v>
      </c>
    </row>
    <row r="13254">
      <c r="A13254" s="1">
        <v>5.0</v>
      </c>
      <c r="B13254" s="1" t="s">
        <v>13135</v>
      </c>
      <c r="C13254" t="str">
        <f>IFERROR(__xludf.DUMMYFUNCTION("GOOGLETRANSLATE(B13254, ""es"", ""en"")"),"They recommend purchasing good headphones are very easy to connect and have good grip, do not fall to the exercise. They operate at a considerable distance from the button and you can pause, skip to the next and handle the volume without having the device"&amp;" by hand. The battery lasts several hours and headphone box itself also has charge that lasts a week. Load quickly. I recommend purchase")</f>
        <v>They recommend purchasing good headphones are very easy to connect and have good grip, do not fall to the exercise. They operate at a considerable distance from the button and you can pause, skip to the next and handle the volume without having the device by hand. The battery lasts several hours and headphone box itself also has charge that lasts a week. Load quickly. I recommend purchase</v>
      </c>
    </row>
    <row r="13255">
      <c r="A13255" s="1">
        <v>5.0</v>
      </c>
      <c r="B13255" s="1" t="s">
        <v>13136</v>
      </c>
      <c r="C13255" t="str">
        <f>IFERROR(__xludf.DUMMYFUNCTION("GOOGLETRANSLATE(B13255, ""es"", ""en"")"),"Very hidrayados patches Patches are very comfortable to wear, come with a lot of product. Once set takes about 15 or 20 minutes the skin to absorb it all. When time has elapsed and withdraw patches, notes the area super hydrated and fluffy, nice looking.")</f>
        <v>Very hidrayados patches Patches are very comfortable to wear, come with a lot of product. Once set takes about 15 or 20 minutes the skin to absorb it all. When time has elapsed and withdraw patches, notes the area super hydrated and fluffy, nice looking.</v>
      </c>
    </row>
    <row r="13256">
      <c r="A13256" s="1">
        <v>2.0</v>
      </c>
      <c r="B13256" s="1" t="s">
        <v>13137</v>
      </c>
      <c r="C13256" t="str">
        <f>IFERROR(__xludf.DUMMYFUNCTION("GOOGLETRANSLATE(B13256, ""es"", ""en"")"),"It was good for what I wanted. Did not work for what I wanted ... I was not worth.")</f>
        <v>It was good for what I wanted. Did not work for what I wanted ... I was not worth.</v>
      </c>
    </row>
    <row r="13257">
      <c r="A13257" s="1">
        <v>3.0</v>
      </c>
      <c r="B13257" s="1" t="s">
        <v>13138</v>
      </c>
      <c r="C13257" t="str">
        <f>IFERROR(__xludf.DUMMYFUNCTION("GOOGLETRANSLATE(B13257, ""es"", ""en"")"),"the price is the only one but it was for a gift and we liked it, especially that received them, although the price seems somewhat high for the quality of the product. Do not expect something exceptional, although they meet")</f>
        <v>the price is the only one but it was for a gift and we liked it, especially that received them, although the price seems somewhat high for the quality of the product. Do not expect something exceptional, although they meet</v>
      </c>
    </row>
    <row r="13258">
      <c r="A13258" s="1">
        <v>1.0</v>
      </c>
      <c r="B13258" s="1" t="s">
        <v>13139</v>
      </c>
      <c r="C13258" t="str">
        <f>IFERROR(__xludf.DUMMYFUNCTION("GOOGLETRANSLATE(B13258, ""es"", ""en"")"),"The unit appears damaged overall performance does not resemble anything like what it is supposed to offer the unit. Crashean games buggy access to the disk. I will return")</f>
        <v>The unit appears damaged overall performance does not resemble anything like what it is supposed to offer the unit. Crashean games buggy access to the disk. I will return</v>
      </c>
    </row>
    <row r="13259">
      <c r="A13259" s="1">
        <v>1.0</v>
      </c>
      <c r="B13259" s="1" t="s">
        <v>13140</v>
      </c>
      <c r="C13259" t="str">
        <f>IFERROR(__xludf.DUMMYFUNCTION("GOOGLETRANSLATE(B13259, ""es"", ""en"")"),"The product is shoddy imitation achieved an outwardly but inside all comfortable material malisimo")</f>
        <v>The product is shoddy imitation achieved an outwardly but inside all comfortable material malisimo</v>
      </c>
    </row>
    <row r="13260">
      <c r="A13260" s="1">
        <v>4.0</v>
      </c>
      <c r="B13260" s="1" t="s">
        <v>13141</v>
      </c>
      <c r="C13260" t="str">
        <f>IFERROR(__xludf.DUMMYFUNCTION("GOOGLETRANSLATE(B13260, ""es"", ""en"")"),"Okay meets expectations, but if the micro is heavy and neck support is pulled forward, he wins easily because the grip is not very powerful. For everything else right")</f>
        <v>Okay meets expectations, but if the micro is heavy and neck support is pulled forward, he wins easily because the grip is not very powerful. For everything else right</v>
      </c>
    </row>
    <row r="13261">
      <c r="A13261" s="1">
        <v>4.0</v>
      </c>
      <c r="B13261" s="1" t="s">
        <v>13142</v>
      </c>
      <c r="C13261" t="str">
        <f>IFERROR(__xludf.DUMMYFUNCTION("GOOGLETRANSLATE(B13261, ""es"", ""en"")"),"Proper shipping all good and all good but I do not quite get used to 24 h. Very good watch")</f>
        <v>Proper shipping all good and all good but I do not quite get used to 24 h. Very good watch</v>
      </c>
    </row>
    <row r="13262">
      <c r="A13262" s="1">
        <v>4.0</v>
      </c>
      <c r="B13262" s="1" t="s">
        <v>13143</v>
      </c>
      <c r="C13262" t="str">
        <f>IFERROR(__xludf.DUMMYFUNCTION("GOOGLETRANSLATE(B13262, ""es"", ""en"")"),"Good product! I really like, the price is competitive and it's like the rest of the reviews have described. So far he has behaved very well with me. I personally like to have something that will not slip on the table but still I managed with what comes in"&amp;" the box.")</f>
        <v>Good product! I really like, the price is competitive and it's like the rest of the reviews have described. So far he has behaved very well with me. I personally like to have something that will not slip on the table but still I managed with what comes in the box.</v>
      </c>
    </row>
    <row r="13263">
      <c r="A13263" s="1">
        <v>4.0</v>
      </c>
      <c r="B13263" s="1" t="s">
        <v>13144</v>
      </c>
      <c r="C13263" t="str">
        <f>IFERROR(__xludf.DUMMYFUNCTION("GOOGLETRANSLATE(B13263, ""es"", ""en"")"),"OK but not stable at the base of the kettle funiona very well, is nice and the quality / price is good. The only drawback we have found it is that the fit it into the base is not stable, it moves a bit and when it boils moves and is not the whole plane")</f>
        <v>OK but not stable at the base of the kettle funiona very well, is nice and the quality / price is good. The only drawback we have found it is that the fit it into the base is not stable, it moves a bit and when it boils moves and is not the whole plane</v>
      </c>
    </row>
    <row r="13264">
      <c r="A13264" s="1">
        <v>4.0</v>
      </c>
      <c r="B13264" s="1" t="s">
        <v>13145</v>
      </c>
      <c r="C13264" t="str">
        <f>IFERROR(__xludf.DUMMYFUNCTION("GOOGLETRANSLATE(B13264, ""es"", ""en"")"),"Good product for the price it was for a gift and the truth that size is suitable for your lower back. Does not have too much power to heat (not burn but if heated) but to have it in bed to go to sleep is ideal, also turns off after 90 min. Recommended.")</f>
        <v>Good product for the price it was for a gift and the truth that size is suitable for your lower back. Does not have too much power to heat (not burn but if heated) but to have it in bed to go to sleep is ideal, also turns off after 90 min. Recommended.</v>
      </c>
    </row>
    <row r="13265">
      <c r="A13265" s="1">
        <v>5.0</v>
      </c>
      <c r="B13265" s="1" t="s">
        <v>13146</v>
      </c>
      <c r="C13265" t="str">
        <f>IFERROR(__xludf.DUMMYFUNCTION("GOOGLETRANSLATE(B13265, ""es"", ""en"")"),"Bandolier I liked what I bought for a gift and the material is very good, very elegant for a man")</f>
        <v>Bandolier I liked what I bought for a gift and the material is very good, very elegant for a man</v>
      </c>
    </row>
    <row r="13266">
      <c r="A13266" s="1">
        <v>5.0</v>
      </c>
      <c r="B13266" s="1" t="s">
        <v>13147</v>
      </c>
      <c r="C13266" t="str">
        <f>IFERROR(__xludf.DUMMYFUNCTION("GOOGLETRANSLATE(B13266, ""es"", ""en"")"),"Perfect for its size and price MIDI keyboard that as indicated in its name has 32 keys (2 octaves and a half) and their respective detailed functions by the seller. A being MIDI means you need a computer or tablet with USB input and a music program to be "&amp;"reproduced and that by itself does not sound. It's perfect for carrying. The keys are obviously smaller than conventional piano and it shows, but that does not stop to play at. And most of all and most importantly, the piano perfectly reproduces the speed"&amp;" at which the keys are played and the pressure they have been under pressure. Obviously for me this keyboard was the perfect choice and I frame of a conventional piano and use the keyboard to convey my notes to the production program of music from my PC a"&amp;"nd did not want fanciest lot of money on a second keyboard. If it had not sought a larger MIDI keyboard.")</f>
        <v>Perfect for its size and price MIDI keyboard that as indicated in its name has 32 keys (2 octaves and a half) and their respective detailed functions by the seller. A being MIDI means you need a computer or tablet with USB input and a music program to be reproduced and that by itself does not sound. It's perfect for carrying. The keys are obviously smaller than conventional piano and it shows, but that does not stop to play at. And most of all and most importantly, the piano perfectly reproduces the speed at which the keys are played and the pressure they have been under pressure. Obviously for me this keyboard was the perfect choice and I frame of a conventional piano and use the keyboard to convey my notes to the production program of music from my PC and did not want fanciest lot of money on a second keyboard. If it had not sought a larger MIDI keyboard.</v>
      </c>
    </row>
    <row r="13267">
      <c r="A13267" s="1">
        <v>5.0</v>
      </c>
      <c r="B13267" s="1" t="s">
        <v>13148</v>
      </c>
      <c r="C13267" t="str">
        <f>IFERROR(__xludf.DUMMYFUNCTION("GOOGLETRANSLATE(B13267, ""es"", ""en"")"),"Outstanding product quality High quality and brand trust. The amount of flow can be adjusted in three positions as the months have the baby.")</f>
        <v>Outstanding product quality High quality and brand trust. The amount of flow can be adjusted in three positions as the months have the baby.</v>
      </c>
    </row>
    <row r="13268">
      <c r="A13268" s="1">
        <v>5.0</v>
      </c>
      <c r="B13268" s="1" t="s">
        <v>13149</v>
      </c>
      <c r="C13268" t="str">
        <f>IFERROR(__xludf.DUMMYFUNCTION("GOOGLETRANSLATE(B13268, ""es"", ""en"")"),"This perfect perfect thank you very much for everything and all the speed of the product I recommend it to everyone, again thanks for all ...")</f>
        <v>This perfect perfect thank you very much for everything and all the speed of the product I recommend it to everyone, again thanks for all ...</v>
      </c>
    </row>
    <row r="13269">
      <c r="A13269" s="1">
        <v>5.0</v>
      </c>
      <c r="B13269" s="1" t="s">
        <v>13150</v>
      </c>
      <c r="C13269" t="str">
        <f>IFERROR(__xludf.DUMMYFUNCTION("GOOGLETRANSLATE(B13269, ""es"", ""en"")"),"If you recommend is a little curl to exercise in casa.Me mut bien.Tengo I will spur and plantar fasciitis and I am using it and I recommend gusta.Si.")</f>
        <v>If you recommend is a little curl to exercise in casa.Me mut bien.Tengo I will spur and plantar fasciitis and I am using it and I recommend gusta.Si.</v>
      </c>
    </row>
    <row r="13270">
      <c r="A13270" s="1">
        <v>5.0</v>
      </c>
      <c r="B13270" s="1" t="s">
        <v>13151</v>
      </c>
      <c r="C13270" t="str">
        <f>IFERROR(__xludf.DUMMYFUNCTION("GOOGLETRANSLATE(B13270, ""es"", ""en"")"),"Cracking very very happy !!!!! With the little that I have and I am amortizing xD shakes and smoothies me daily and has a specific button for them. Also other snacks and ice super useful self-cleaning button, which with 1.25 liters of water and two jets d"&amp;"iffuser fairy will leave it limpito absence of a rinse. And you can also regulate power manually. 10")</f>
        <v>Cracking very very happy !!!!! With the little that I have and I am amortizing xD shakes and smoothies me daily and has a specific button for them. Also other snacks and ice super useful self-cleaning button, which with 1.25 liters of water and two jets diffuser fairy will leave it limpito absence of a rinse. And you can also regulate power manually. 10</v>
      </c>
    </row>
    <row r="13271">
      <c r="A13271" s="1">
        <v>5.0</v>
      </c>
      <c r="B13271" s="1" t="s">
        <v>13152</v>
      </c>
      <c r="C13271" t="str">
        <f>IFERROR(__xludf.DUMMYFUNCTION("GOOGLETRANSLATE(B13271, ""es"", ""en"")"),"The item is new and required. I find it more useful to the end or purpose required.")</f>
        <v>The item is new and required. I find it more useful to the end or purpose required.</v>
      </c>
    </row>
    <row r="13272">
      <c r="A13272" s="1">
        <v>5.0</v>
      </c>
      <c r="B13272" s="1" t="s">
        <v>13153</v>
      </c>
      <c r="C13272" t="str">
        <f>IFERROR(__xludf.DUMMYFUNCTION("GOOGLETRANSLATE(B13272, ""es"", ""en"")"),"Perfect condition quite well")</f>
        <v>Perfect condition quite well</v>
      </c>
    </row>
    <row r="13273">
      <c r="A13273" s="1">
        <v>5.0</v>
      </c>
      <c r="B13273" s="1" t="s">
        <v>13154</v>
      </c>
      <c r="C13273" t="str">
        <f>IFERROR(__xludf.DUMMYFUNCTION("GOOGLETRANSLATE(B13273, ""es"", ""en"")"),"POWERFUL, good quality comprehensive Blender, brings many vessels to snack without having to go cleaning. I caught her to make aora smoothie summer comes ... has a great power to the ice itchy ... I love it because I put fruit and ice in glasses and put m"&amp;"ore knives and grind ... and then sack the blades and put the lid and run !!!! Crushed and out very quick to having so much power. Then I can also use it as little ordinary dora, even for coffee beans out enough ground. Very happy!!")</f>
        <v>POWERFUL, good quality comprehensive Blender, brings many vessels to snack without having to go cleaning. I caught her to make aora smoothie summer comes ... has a great power to the ice itchy ... I love it because I put fruit and ice in glasses and put more knives and grind ... and then sack the blades and put the lid and run !!!! Crushed and out very quick to having so much power. Then I can also use it as little ordinary dora, even for coffee beans out enough ground. Very happy!!</v>
      </c>
    </row>
    <row r="13274">
      <c r="A13274" s="1">
        <v>5.0</v>
      </c>
      <c r="B13274" s="1" t="s">
        <v>13155</v>
      </c>
      <c r="C13274" t="str">
        <f>IFERROR(__xludf.DUMMYFUNCTION("GOOGLETRANSLATE(B13274, ""es"", ""en"")"),"Economic and good I needed a blender cup and I decided on this because of its price and I saw very complete, I am delighted with it great as bat with two power modes and has very good closure of glasses to keep out not a drop, has many accessories and the"&amp;"y look pretty strong, happy with the purchase and very good price.")</f>
        <v>Economic and good I needed a blender cup and I decided on this because of its price and I saw very complete, I am delighted with it great as bat with two power modes and has very good closure of glasses to keep out not a drop, has many accessories and they look pretty strong, happy with the purchase and very good price.</v>
      </c>
    </row>
    <row r="13275">
      <c r="A13275" s="1">
        <v>5.0</v>
      </c>
      <c r="B13275" s="1" t="s">
        <v>13156</v>
      </c>
      <c r="C13275" t="str">
        <f>IFERROR(__xludf.DUMMYFUNCTION("GOOGLETRANSLATE(B13275, ""es"", ""en"")"),"ORIGINAL We are very happy with this purchase! A gift for my daughter and are super happy. Someone uploaded some photos that has nothing to do with the produto ...... I got started reading the comments to bought it then and I was worried ... Super've seen"&amp;" a tutorial to distinguish the original X replica.! And I could say that they are 100% original we have received! I leave photos so you can see. I would definitely buy!")</f>
        <v>ORIGINAL We are very happy with this purchase! A gift for my daughter and are super happy. Someone uploaded some photos that has nothing to do with the produto ...... I got started reading the comments to bought it then and I was worried ... Super've seen a tutorial to distinguish the original X replica.! And I could say that they are 100% original we have received! I leave photos so you can see. I would definitely buy!</v>
      </c>
    </row>
    <row r="13276">
      <c r="A13276" s="1">
        <v>5.0</v>
      </c>
      <c r="B13276" s="1" t="s">
        <v>13157</v>
      </c>
      <c r="C13276" t="str">
        <f>IFERROR(__xludf.DUMMYFUNCTION("GOOGLETRANSLATE(B13276, ""es"", ""en"")"),"Great !! I love the color and size size is small and light. Ideal for carrying the work in the backpack as it weighs nothing over there to plug. Wear fruit, get into the juicer and fresh juice. It is also very useful for children purees. Fast and without "&amp;"losing final vitaminas.en and what my best, it is an ideal blender to take the field, beach, etc ... and take your smoothie freshly made.")</f>
        <v>Great !! I love the color and size size is small and light. Ideal for carrying the work in the backpack as it weighs nothing over there to plug. Wear fruit, get into the juicer and fresh juice. It is also very useful for children purees. Fast and without losing final vitaminas.en and what my best, it is an ideal blender to take the field, beach, etc ... and take your smoothie freshly made.</v>
      </c>
    </row>
    <row r="13277">
      <c r="A13277" s="1">
        <v>5.0</v>
      </c>
      <c r="B13277" s="1" t="s">
        <v>13158</v>
      </c>
      <c r="C13277" t="str">
        <f>IFERROR(__xludf.DUMMYFUNCTION("GOOGLETRANSLATE(B13277, ""es"", ""en"")"),"I'm still learning impressive, but with Ableton 9 is great")</f>
        <v>I'm still learning impressive, but with Ableton 9 is great</v>
      </c>
    </row>
    <row r="13278">
      <c r="A13278" s="1">
        <v>5.0</v>
      </c>
      <c r="B13278" s="1" t="s">
        <v>13159</v>
      </c>
      <c r="C13278" t="str">
        <f>IFERROR(__xludf.DUMMYFUNCTION("GOOGLETRANSLATE(B13278, ""es"", ""en"")"),"Super Thermal hot and hot rebate is an incredible price")</f>
        <v>Super Thermal hot and hot rebate is an incredible price</v>
      </c>
    </row>
    <row r="13279">
      <c r="A13279" s="1">
        <v>5.0</v>
      </c>
      <c r="B13279" s="1" t="s">
        <v>13160</v>
      </c>
      <c r="C13279" t="str">
        <f>IFERROR(__xludf.DUMMYFUNCTION("GOOGLETRANSLATE(B13279, ""es"", ""en"")"),"Seur apparatus 10 braun zero retire one 600w d for 8 years is going very well and I use old accessories d hope last me another 8 years previous was made in spain made new in Poland")</f>
        <v>Seur apparatus 10 braun zero retire one 600w d for 8 years is going very well and I use old accessories d hope last me another 8 years previous was made in spain made new in Poland</v>
      </c>
    </row>
    <row r="13280">
      <c r="A13280" s="1">
        <v>5.0</v>
      </c>
      <c r="B13280" s="1" t="s">
        <v>13161</v>
      </c>
      <c r="C13280" t="str">
        <f>IFERROR(__xludf.DUMMYFUNCTION("GOOGLETRANSLATE(B13280, ""es"", ""en"")"),"Not advisable to add to this article. It does the job and looks tough, but I have not given much use. I hope it last's.")</f>
        <v>Not advisable to add to this article. It does the job and looks tough, but I have not given much use. I hope it last's.</v>
      </c>
    </row>
    <row r="13281">
      <c r="A13281" s="1">
        <v>5.0</v>
      </c>
      <c r="B13281" s="1" t="s">
        <v>13162</v>
      </c>
      <c r="C13281" t="str">
        <f>IFERROR(__xludf.DUMMYFUNCTION("GOOGLETRANSLATE(B13281, ""es"", ""en"")"),"everything perfect all OK")</f>
        <v>everything perfect all OK</v>
      </c>
    </row>
    <row r="13282">
      <c r="A13282" s="1">
        <v>5.0</v>
      </c>
      <c r="B13282" s="1" t="s">
        <v>13163</v>
      </c>
      <c r="C13282" t="str">
        <f>IFERROR(__xludf.DUMMYFUNCTION("GOOGLETRANSLATE(B13282, ""es"", ""en"")"),"Will buy another to have it spare I bought it without knowing whether it was effective and I love to use it every night facial massage, I have eye bags and is very effective using it night and day")</f>
        <v>Will buy another to have it spare I bought it without knowing whether it was effective and I love to use it every night facial massage, I have eye bags and is very effective using it night and day</v>
      </c>
    </row>
    <row r="13283">
      <c r="A13283" s="1">
        <v>5.0</v>
      </c>
      <c r="B13283" s="1" t="s">
        <v>13164</v>
      </c>
      <c r="C13283" t="str">
        <f>IFERROR(__xludf.DUMMYFUNCTION("GOOGLETRANSLATE(B13283, ""es"", ""en"")"),"It harbors very light pretty, ultra light")</f>
        <v>It harbors very light pretty, ultra light</v>
      </c>
    </row>
    <row r="13284">
      <c r="A13284" s="1">
        <v>2.0</v>
      </c>
      <c r="B13284" s="1" t="s">
        <v>13165</v>
      </c>
      <c r="C13284" t="str">
        <f>IFERROR(__xludf.DUMMYFUNCTION("GOOGLETRANSLATE(B13284, ""es"", ""en"")"),"Comfortable but loose online. They are very comfortable, but it has many cuts Connection, supposedly its bluetooth 5.0 should improve that aspect. With the phone in the pocket of pants (one s9 +) audio cuts are too annoying. I hope you solve it with an up"&amp;"date.")</f>
        <v>Comfortable but loose online. They are very comfortable, but it has many cuts Connection, supposedly its bluetooth 5.0 should improve that aspect. With the phone in the pocket of pants (one s9 +) audio cuts are too annoying. I hope you solve it with an update.</v>
      </c>
    </row>
    <row r="13285">
      <c r="A13285" s="1">
        <v>3.0</v>
      </c>
      <c r="B13285" s="1" t="s">
        <v>13166</v>
      </c>
      <c r="C13285" t="str">
        <f>IFERROR(__xludf.DUMMYFUNCTION("GOOGLETRANSLATE(B13285, ""es"", ""en"")"),"Lose the seams The product has a seemingly good quality, but only apparent and it is a pity because the quality of the skin looks good and the size is perfect. The problem is the short time begin to appear everywhere threads and seams are fading. I've sol"&amp;"ved it with a thin layer of liquid silicone along the inseams. A lack of quality manufacturing because the design and materials are good.")</f>
        <v>Lose the seams The product has a seemingly good quality, but only apparent and it is a pity because the quality of the skin looks good and the size is perfect. The problem is the short time begin to appear everywhere threads and seams are fading. I've solved it with a thin layer of liquid silicone along the inseams. A lack of quality manufacturing because the design and materials are good.</v>
      </c>
    </row>
    <row r="13286">
      <c r="A13286" s="1">
        <v>3.0</v>
      </c>
      <c r="B13286" s="1" t="s">
        <v>13167</v>
      </c>
      <c r="C13286" t="str">
        <f>IFERROR(__xludf.DUMMYFUNCTION("GOOGLETRANSLATE(B13286, ""es"", ""en"")"),"Easy to install sound quality")</f>
        <v>Easy to install sound quality</v>
      </c>
    </row>
    <row r="13287">
      <c r="A13287" s="1">
        <v>1.0</v>
      </c>
      <c r="B13287" s="1" t="s">
        <v>13168</v>
      </c>
      <c r="C13287" t="str">
        <f>IFERROR(__xludf.DUMMYFUNCTION("GOOGLETRANSLATE(B13287, ""es"", ""en"")"),"the small numbers coming back .I k I have used a pedi 44/45 and 46, were coming .And thinking small k 46 me this very fair .Aconsejo always ask 2 or 3 numbers more")</f>
        <v>the small numbers coming back .I k I have used a pedi 44/45 and 46, were coming .And thinking small k 46 me this very fair .Aconsejo always ask 2 or 3 numbers more</v>
      </c>
    </row>
    <row r="13288">
      <c r="A13288" s="1">
        <v>1.0</v>
      </c>
      <c r="B13288" s="1" t="s">
        <v>13169</v>
      </c>
      <c r="C13288" t="str">
        <f>IFERROR(__xludf.DUMMYFUNCTION("GOOGLETRANSLATE(B13288, ""es"", ""en"")"),"different model to the order I have arrived later than directed, ordered 4 September and is not the same model as advertised.")</f>
        <v>different model to the order I have arrived later than directed, ordered 4 September and is not the same model as advertised.</v>
      </c>
    </row>
    <row r="13289">
      <c r="A13289" s="1">
        <v>1.0</v>
      </c>
      <c r="B13289" s="1" t="s">
        <v>13170</v>
      </c>
      <c r="C13289" t="str">
        <f>IFERROR(__xludf.DUMMYFUNCTION("GOOGLETRANSLATE(B13289, ""es"", ""en"")"),"Neither they resemble the photo I got a totally different boots, post pictures, my review and photos do not appear anywhere. I question very much the forms of Amazon")</f>
        <v>Neither they resemble the photo I got a totally different boots, post pictures, my review and photos do not appear anywhere. I question very much the forms of Amazon</v>
      </c>
    </row>
    <row r="13290">
      <c r="A13290" s="1">
        <v>4.0</v>
      </c>
      <c r="B13290" s="1" t="s">
        <v>13171</v>
      </c>
      <c r="C13290" t="str">
        <f>IFERROR(__xludf.DUMMYFUNCTION("GOOGLETRANSLATE(B13290, ""es"", ""en"")"),"They are fine. They are very nice aesthetically, although the material of the sole are no longer those who used to use this brand, the air chamber is quite hard and not damped, the sole no longer tufting as models for years, is now hard rubber completely."&amp;" TONGUE was fine apart from the sugección of the ankle in the old models, has also disappeared, now is a mere detail sewn into the fastening nothing else. Sizes are smaller bit than other brands in length, in width are fine, I asked for a 43, usually in o"&amp;"ther brands I usually leave a small space toe with these it is more just and finger touches the big toe. Still, for the price they are very good, are lovely, seams and finishes are of good quality. Amazon service, Immaculate, came a day before the estimat"&amp;"ed date. I recommend even though they are no longer what they used to be.")</f>
        <v>They are fine. They are very nice aesthetically, although the material of the sole are no longer those who used to use this brand, the air chamber is quite hard and not damped, the sole no longer tufting as models for years, is now hard rubber completely. TONGUE was fine apart from the sugección of the ankle in the old models, has also disappeared, now is a mere detail sewn into the fastening nothing else. Sizes are smaller bit than other brands in length, in width are fine, I asked for a 43, usually in other brands I usually leave a small space toe with these it is more just and finger touches the big toe. Still, for the price they are very good, are lovely, seams and finishes are of good quality. Amazon service, Immaculate, came a day before the estimated date. I recommend even though they are no longer what they used to be.</v>
      </c>
    </row>
    <row r="13291">
      <c r="A13291" s="1">
        <v>4.0</v>
      </c>
      <c r="B13291" s="1" t="s">
        <v>13172</v>
      </c>
      <c r="C13291" t="str">
        <f>IFERROR(__xludf.DUMMYFUNCTION("GOOGLETRANSLATE(B13291, ""es"", ""en"")"),"Bluetooth headsets PROS: - Very easy to use - Valen for almost any mobile - Lightweight - Long battery life - Pets quite a distance (10m) - To handle have a physical button, not one of those tactile ranging fatal - The microphone is good - You use both se"&amp;"parately CONS: - they fall from time to time (still are held much better than others I've tried)")</f>
        <v>Bluetooth headsets PROS: - Very easy to use - Valen for almost any mobile - Lightweight - Long battery life - Pets quite a distance (10m) - To handle have a physical button, not one of those tactile ranging fatal - The microphone is good - You use both separately CONS: - they fall from time to time (still are held much better than others I've tried)</v>
      </c>
    </row>
    <row r="13292">
      <c r="A13292" s="1">
        <v>4.0</v>
      </c>
      <c r="B13292" s="1" t="s">
        <v>13173</v>
      </c>
      <c r="C13292" t="str">
        <f>IFERROR(__xludf.DUMMYFUNCTION("GOOGLETRANSLATE(B13292, ""es"", ""en"")"),"It makes its function Good value for money")</f>
        <v>It makes its function Good value for money</v>
      </c>
    </row>
    <row r="13293">
      <c r="A13293" s="1">
        <v>4.0</v>
      </c>
      <c r="B13293" s="1" t="s">
        <v>13174</v>
      </c>
      <c r="C13293" t="str">
        <f>IFERROR(__xludf.DUMMYFUNCTION("GOOGLETRANSLATE(B13293, ""es"", ""en"")"),"Good finish and quality content. It includes only the glass but all I wanted, no unnecessary accessories. recomemendado 100%")</f>
        <v>Good finish and quality content. It includes only the glass but all I wanted, no unnecessary accessories. recomemendado 100%</v>
      </c>
    </row>
    <row r="13294">
      <c r="A13294" s="1">
        <v>4.0</v>
      </c>
      <c r="B13294" s="1" t="s">
        <v>13175</v>
      </c>
      <c r="C13294" t="str">
        <f>IFERROR(__xludf.DUMMYFUNCTION("GOOGLETRANSLATE(B13294, ""es"", ""en"")"),"Comfort are very comfortable and breathable. The only downside is that you get constantly untie the laces because of the material they are miss ....... too plastic.")</f>
        <v>Comfort are very comfortable and breathable. The only downside is that you get constantly untie the laces because of the material they are miss ....... too plastic.</v>
      </c>
    </row>
    <row r="13295">
      <c r="A13295" s="1">
        <v>5.0</v>
      </c>
      <c r="B13295" s="1" t="s">
        <v>13176</v>
      </c>
      <c r="C13295" t="str">
        <f>IFERROR(__xludf.DUMMYFUNCTION("GOOGLETRANSLATE(B13295, ""es"", ""en"")"),"Contenta Pleased with purchase are a little larger than I expected, make 3 cm and hook, but are very good and are very comfortable.")</f>
        <v>Contenta Pleased with purchase are a little larger than I expected, make 3 cm and hook, but are very good and are very comfortable.</v>
      </c>
    </row>
    <row r="13296">
      <c r="A13296" s="1">
        <v>5.0</v>
      </c>
      <c r="B13296" s="1" t="s">
        <v>13177</v>
      </c>
      <c r="C13296" t="str">
        <f>IFERROR(__xludf.DUMMYFUNCTION("GOOGLETRANSLATE(B13296, ""es"", ""en"")"),"Good buy is very comfortable and allows to design bottles, caps and brackets as you like water remains in the bottom and is easy to empty")</f>
        <v>Good buy is very comfortable and allows to design bottles, caps and brackets as you like water remains in the bottom and is easy to empty</v>
      </c>
    </row>
    <row r="13297">
      <c r="A13297" s="1">
        <v>5.0</v>
      </c>
      <c r="B13297" s="1" t="s">
        <v>13178</v>
      </c>
      <c r="C13297" t="str">
        <f>IFERROR(__xludf.DUMMYFUNCTION("GOOGLETRANSLATE(B13297, ""es"", ""en"")"),"Very handsome looks great")</f>
        <v>Very handsome looks great</v>
      </c>
    </row>
    <row r="13298">
      <c r="A13298" s="1">
        <v>5.0</v>
      </c>
      <c r="B13298" s="1" t="s">
        <v>13179</v>
      </c>
      <c r="C13298" t="str">
        <f>IFERROR(__xludf.DUMMYFUNCTION("GOOGLETRANSLATE(B13298, ""es"", ""en"")"),"Perfect speed and quality")</f>
        <v>Perfect speed and quality</v>
      </c>
    </row>
    <row r="13299">
      <c r="A13299" s="1">
        <v>5.0</v>
      </c>
      <c r="B13299" s="1" t="s">
        <v>13180</v>
      </c>
      <c r="C13299" t="str">
        <f>IFERROR(__xludf.DUMMYFUNCTION("GOOGLETRANSLATE(B13299, ""es"", ""en"")"),"Nice watch watch very good looking nice, for the price it is worth what it will last I do not know, the belt is regulated very easy with the tool that brings inside the box and a cloth to clean the watch comes in handy I personally packed like so much, fo"&amp;"r the price it is very good quality")</f>
        <v>Nice watch watch very good looking nice, for the price it is worth what it will last I do not know, the belt is regulated very easy with the tool that brings inside the box and a cloth to clean the watch comes in handy I personally packed like so much, for the price it is very good quality</v>
      </c>
    </row>
    <row r="13300">
      <c r="A13300" s="1">
        <v>5.0</v>
      </c>
      <c r="B13300" s="1" t="s">
        <v>13181</v>
      </c>
      <c r="C13300" t="str">
        <f>IFERROR(__xludf.DUMMYFUNCTION("GOOGLETRANSLATE(B13300, ""es"", ""en"")"),"High quality, best price. The product is good quality, comfortable and perfect for sport. The value is fine. Highly recommended.")</f>
        <v>High quality, best price. The product is good quality, comfortable and perfect for sport. The value is fine. Highly recommended.</v>
      </c>
    </row>
    <row r="13301">
      <c r="A13301" s="1">
        <v>5.0</v>
      </c>
      <c r="B13301" s="1" t="s">
        <v>13182</v>
      </c>
      <c r="C13301" t="str">
        <f>IFERROR(__xludf.DUMMYFUNCTION("GOOGLETRANSLATE(B13301, ""es"", ""en"")"),"Perfect for transporting our data A hard disk portable small and easy to carry and now it comes with USB-C connection to connect to any device with that port and USB-A adapter. Carcas design is resistant plastic, you can buy a protective housing or cover "&amp;"to avoid scratches if we are going to carry a lot. The manufacturer sells us two versions, PC and MAC, just change the file system, both are compatible only have to format a file system necessary and work perfect. This version brings a hard drive 4 Mechan"&amp;"ical Tb, there is also a ssd version that won speed, depends for what we will use, but if we file store large capacity I recommend the version of mechanical disk. The connection to the computer can be done via the USB-C port or a USB-A port, bring an adap"&amp;"ter for it, but be very careful using these adapters, and you have to insert the cable into a unique position, it is not reversible, if we introduce bad we can damage your computer and hard drive. They have the ability to encrypt data using digital wester"&amp;"m program ""wdpassport-utils"" and I can only see the content if we install the software and passwords. Additional safety that comes in handy for people who store sensitive information. A hard disk handy to carry data anywhere, if we use the best encrypti"&amp;"on much.")</f>
        <v>Perfect for transporting our data A hard disk portable small and easy to carry and now it comes with USB-C connection to connect to any device with that port and USB-A adapter. Carcas design is resistant plastic, you can buy a protective housing or cover to avoid scratches if we are going to carry a lot. The manufacturer sells us two versions, PC and MAC, just change the file system, both are compatible only have to format a file system necessary and work perfect. This version brings a hard drive 4 Mechanical Tb, there is also a ssd version that won speed, depends for what we will use, but if we file store large capacity I recommend the version of mechanical disk. The connection to the computer can be done via the USB-C port or a USB-A port, bring an adapter for it, but be very careful using these adapters, and you have to insert the cable into a unique position, it is not reversible, if we introduce bad we can damage your computer and hard drive. They have the ability to encrypt data using digital westerm program "wdpassport-utils" and I can only see the content if we install the software and passwords. Additional safety that comes in handy for people who store sensitive information. A hard disk handy to carry data anywhere, if we use the best encryption much.</v>
      </c>
    </row>
    <row r="13302">
      <c r="A13302" s="1">
        <v>5.0</v>
      </c>
      <c r="B13302" s="1" t="s">
        <v>13183</v>
      </c>
      <c r="C13302" t="str">
        <f>IFERROR(__xludf.DUMMYFUNCTION("GOOGLETRANSLATE(B13302, ""es"", ""en"")"),"Bueno, Bonito y Barato Buy this alarm for a gift, because speaking a day on the phone with this person told me that already had 3 alarm clocks purchased from the Chinese, including 2 he had broken no more at the end of a month or so more directly and anot"&amp;"her was delayed alone. At the end, I opted for this alarm clock that, without any frills, perfectly fulfills what is asked and being Casio, we know that will last a lifetime. The size is normal, the base is wide and the sound is shooting high without bein"&amp;"g either a bit silly giving you these overturns the heart. If you seek an easy to use alarm clock with good sound, durable ... this is your choice. Casio is always synonymous with quality, whether the product is.")</f>
        <v>Bueno, Bonito y Barato Buy this alarm for a gift, because speaking a day on the phone with this person told me that already had 3 alarm clocks purchased from the Chinese, including 2 he had broken no more at the end of a month or so more directly and another was delayed alone. At the end, I opted for this alarm clock that, without any frills, perfectly fulfills what is asked and being Casio, we know that will last a lifetime. The size is normal, the base is wide and the sound is shooting high without being either a bit silly giving you these overturns the heart. If you seek an easy to use alarm clock with good sound, durable ... this is your choice. Casio is always synonymous with quality, whether the product is.</v>
      </c>
    </row>
    <row r="13303">
      <c r="A13303" s="1">
        <v>5.0</v>
      </c>
      <c r="B13303" s="1" t="s">
        <v>13184</v>
      </c>
      <c r="C13303" t="str">
        <f>IFERROR(__xludf.DUMMYFUNCTION("GOOGLETRANSLATE(B13303, ""es"", ""en"")"),"very comfortable I like for comfort and one size fits all and you do not seem to be great and a good price I am happy with the purchase of the shoulder bag")</f>
        <v>very comfortable I like for comfort and one size fits all and you do not seem to be great and a good price I am happy with the purchase of the shoulder bag</v>
      </c>
    </row>
    <row r="13304">
      <c r="A13304" s="1">
        <v>5.0</v>
      </c>
      <c r="B13304" s="1" t="s">
        <v>13185</v>
      </c>
      <c r="C13304" t="str">
        <f>IFERROR(__xludf.DUMMYFUNCTION("GOOGLETRANSLATE(B13304, ""es"", ""en"")"),"Very Good works perfectly. A good buy. It works with two batteries and washed well.")</f>
        <v>Very Good works perfectly. A good buy. It works with two batteries and washed well.</v>
      </c>
    </row>
    <row r="13305">
      <c r="A13305" s="1">
        <v>5.0</v>
      </c>
      <c r="B13305" s="1" t="s">
        <v>13186</v>
      </c>
      <c r="C13305" t="str">
        <f>IFERROR(__xludf.DUMMYFUNCTION("GOOGLETRANSLATE(B13305, ""es"", ""en"")"),"Mini safe ideal for tickets or jewelry I love. I bought months ago and is ideal. Not very big but does the job.")</f>
        <v>Mini safe ideal for tickets or jewelry I love. I bought months ago and is ideal. Not very big but does the job.</v>
      </c>
    </row>
    <row r="13306">
      <c r="A13306" s="1">
        <v>5.0</v>
      </c>
      <c r="B13306" s="1" t="s">
        <v>13187</v>
      </c>
      <c r="C13306" t="str">
        <f>IFERROR(__xludf.DUMMYFUNCTION("GOOGLETRANSLATE(B13306, ""es"", ""en"")"),"Good product good price")</f>
        <v>Good product good price</v>
      </c>
    </row>
    <row r="13307">
      <c r="A13307" s="1">
        <v>5.0</v>
      </c>
      <c r="B13307" s="1" t="s">
        <v>13188</v>
      </c>
      <c r="C13307" t="str">
        <f>IFERROR(__xludf.DUMMYFUNCTION("GOOGLETRANSLATE(B13307, ""es"", ""en"")"),"Robust and reliable meets expectations. To see when the time. The only downside is that the cable is too short")</f>
        <v>Robust and reliable meets expectations. To see when the time. The only downside is that the cable is too short</v>
      </c>
    </row>
    <row r="13308">
      <c r="A13308" s="1">
        <v>5.0</v>
      </c>
      <c r="B13308" s="1" t="s">
        <v>13189</v>
      </c>
      <c r="C13308" t="str">
        <f>IFERROR(__xludf.DUMMYFUNCTION("GOOGLETRANSLATE(B13308, ""es"", ""en"")"),"Quality and potency. I know I've given to my daughter who loves to sing him and the open, and we struck by how nice and good finishes you have. Although it may seem heavy, it is very light and comfortable to handle. It has 3 modes to set the volume. One i"&amp;"s the echo, which is amazing. Another sound of music and the other that of the microphone. Uncurling battery to handle the microphone. And the sound is crisp and quite strong. The truth is that it is better than I expected. Very happy with the purchase an"&amp;"d daughter also delighted and singing everywhere.")</f>
        <v>Quality and potency. I know I've given to my daughter who loves to sing him and the open, and we struck by how nice and good finishes you have. Although it may seem heavy, it is very light and comfortable to handle. It has 3 modes to set the volume. One is the echo, which is amazing. Another sound of music and the other that of the microphone. Uncurling battery to handle the microphone. And the sound is crisp and quite strong. The truth is that it is better than I expected. Very happy with the purchase and daughter also delighted and singing everywhere.</v>
      </c>
    </row>
    <row r="13309">
      <c r="A13309" s="1">
        <v>5.0</v>
      </c>
      <c r="B13309" s="1" t="s">
        <v>13190</v>
      </c>
      <c r="C13309" t="str">
        <f>IFERROR(__xludf.DUMMYFUNCTION("GOOGLETRANSLATE(B13309, ""es"", ""en"")"),"I liked crystals to clean everything and used windows")</f>
        <v>I liked crystals to clean everything and used windows</v>
      </c>
    </row>
    <row r="13310">
      <c r="A13310" s="1">
        <v>5.0</v>
      </c>
      <c r="B13310" s="1" t="s">
        <v>13191</v>
      </c>
      <c r="C13310" t="str">
        <f>IFERROR(__xludf.DUMMYFUNCTION("GOOGLETRANSLATE(B13310, ""es"", ""en"")"),"Headphones comfortable and very practical super recommended, perfectly fit the ear and not fall to the sport. The box in which they come is perfect for charging and not lose, very nice design. They hear perfectly and battery lasts several hours. At the mo"&amp;"ment, very happy with the product.")</f>
        <v>Headphones comfortable and very practical super recommended, perfectly fit the ear and not fall to the sport. The box in which they come is perfect for charging and not lose, very nice design. They hear perfectly and battery lasts several hours. At the moment, very happy with the product.</v>
      </c>
    </row>
    <row r="13311">
      <c r="A13311" s="1">
        <v>5.0</v>
      </c>
      <c r="B13311" s="1" t="s">
        <v>13192</v>
      </c>
      <c r="C13311" t="str">
        <f>IFERROR(__xludf.DUMMYFUNCTION("GOOGLETRANSLATE(B13311, ""es"", ""en"")"),"Quality x price is rather a winter shoe, I ordered a size more and I was perfect. The air chamber heel is my wife very well.")</f>
        <v>Quality x price is rather a winter shoe, I ordered a size more and I was perfect. The air chamber heel is my wife very well.</v>
      </c>
    </row>
    <row r="13312">
      <c r="A13312" s="1">
        <v>5.0</v>
      </c>
      <c r="B13312" s="1" t="s">
        <v>13193</v>
      </c>
      <c r="C13312" t="str">
        <f>IFERROR(__xludf.DUMMYFUNCTION("GOOGLETRANSLATE(B13312, ""es"", ""en"")"),"They are perfect !! perfect very comfortable and nice, as seen in the images. The only problem is that if any blank bought the first day I put them is pretty messed ya .. But it's bad color.")</f>
        <v>They are perfect !! perfect very comfortable and nice, as seen in the images. The only problem is that if any blank bought the first day I put them is pretty messed ya .. But it's bad color.</v>
      </c>
    </row>
    <row r="13313">
      <c r="A13313" s="1">
        <v>5.0</v>
      </c>
      <c r="B13313" s="1" t="s">
        <v>13194</v>
      </c>
      <c r="C13313" t="str">
        <f>IFERROR(__xludf.DUMMYFUNCTION("GOOGLETRANSLATE(B13313, ""es"", ""en"")"),"As orginales are comfortable and beautiful. I took several months and are using them as the first day. Personally I do not seek brands so these shoes are perfect, do not wear labels or stickers. The color is great. All ok.")</f>
        <v>As orginales are comfortable and beautiful. I took several months and are using them as the first day. Personally I do not seek brands so these shoes are perfect, do not wear labels or stickers. The color is great. All ok.</v>
      </c>
    </row>
    <row r="13314">
      <c r="A13314" s="1">
        <v>2.0</v>
      </c>
      <c r="B13314" s="1" t="s">
        <v>13195</v>
      </c>
      <c r="C13314" t="str">
        <f>IFERROR(__xludf.DUMMYFUNCTION("GOOGLETRANSLATE(B13314, ""es"", ""en"")"),"Ana Low power, not liquefy quickly and you have to constantly move content (if the content does not have much water)")</f>
        <v>Ana Low power, not liquefy quickly and you have to constantly move content (if the content does not have much water)</v>
      </c>
    </row>
    <row r="13315">
      <c r="A13315" s="1">
        <v>3.0</v>
      </c>
      <c r="B13315" s="1" t="s">
        <v>13196</v>
      </c>
      <c r="C13315" t="str">
        <f>IFERROR(__xludf.DUMMYFUNCTION("GOOGLETRANSLATE(B13315, ""es"", ""en"")"),"The acceptable caoacidad indicated is not true, it is lower. The lid of the vessel costs a lot to take, Beat, acceptable")</f>
        <v>The acceptable caoacidad indicated is not true, it is lower. The lid of the vessel costs a lot to take, Beat, acceptable</v>
      </c>
    </row>
    <row r="13316">
      <c r="A13316" s="1">
        <v>3.0</v>
      </c>
      <c r="B13316" s="1" t="s">
        <v>13197</v>
      </c>
      <c r="C13316" t="str">
        <f>IFERROR(__xludf.DUMMYFUNCTION("GOOGLETRANSLATE(B13316, ""es"", ""en"")"),"Underpowered odor smells good, but you have to take enough")</f>
        <v>Underpowered odor smells good, but you have to take enough</v>
      </c>
    </row>
    <row r="13317">
      <c r="A13317" s="1">
        <v>3.0</v>
      </c>
      <c r="B13317" s="1" t="s">
        <v>13198</v>
      </c>
      <c r="C13317" t="str">
        <f>IFERROR(__xludf.DUMMYFUNCTION("GOOGLETRANSLATE(B13317, ""es"", ""en"")"),"The too small area is small and too short strap. Although it listed as ""casio watch collection for men"" in describing its size looks more like a child watch. I had to return it and buy another model.")</f>
        <v>The too small area is small and too short strap. Although it listed as "casio watch collection for men" in describing its size looks more like a child watch. I had to return it and buy another model.</v>
      </c>
    </row>
    <row r="13318">
      <c r="A13318" s="1">
        <v>1.0</v>
      </c>
      <c r="B13318" s="1" t="s">
        <v>13199</v>
      </c>
      <c r="C13318" t="str">
        <f>IFERROR(__xludf.DUMMYFUNCTION("GOOGLETRANSLATE(B13318, ""es"", ""en"")"),"Does not work does not work the mic. I have returned and I returned to buy another. Let's see if I'm lucky. And I will tell")</f>
        <v>Does not work does not work the mic. I have returned and I returned to buy another. Let's see if I'm lucky. And I will tell</v>
      </c>
    </row>
    <row r="13319">
      <c r="A13319" s="1">
        <v>1.0</v>
      </c>
      <c r="B13319" s="1" t="s">
        <v>13200</v>
      </c>
      <c r="C13319" t="str">
        <f>IFERROR(__xludf.DUMMYFUNCTION("GOOGLETRANSLATE(B13319, ""es"", ""en"")"),"I do not recommend it works Fatal vacuum cleaner, the hose has been bored, the filters are released. I do not recommend it")</f>
        <v>I do not recommend it works Fatal vacuum cleaner, the hose has been bored, the filters are released. I do not recommend it</v>
      </c>
    </row>
    <row r="13320">
      <c r="A13320" s="1">
        <v>4.0</v>
      </c>
      <c r="B13320" s="1" t="s">
        <v>13201</v>
      </c>
      <c r="C13320" t="str">
        <f>IFERROR(__xludf.DUMMYFUNCTION("GOOGLETRANSLATE(B13320, ""es"", ""en"")"),"Good product good product. Hold the dishwasher washes. The problem is that I will not get proper performance. So it's a product that is very good, close very well and no escapes but is not a product for me.")</f>
        <v>Good product good product. Hold the dishwasher washes. The problem is that I will not get proper performance. So it's a product that is very good, close very well and no escapes but is not a product for me.</v>
      </c>
    </row>
    <row r="13321">
      <c r="A13321" s="1">
        <v>4.0</v>
      </c>
      <c r="B13321" s="1" t="s">
        <v>13202</v>
      </c>
      <c r="C13321" t="str">
        <f>IFERROR(__xludf.DUMMYFUNCTION("GOOGLETRANSLATE(B13321, ""es"", ""en"")"),"Leather and resists all have enough space to store an external battery, a wallet and a mobile (some room left over). The only downside that I give is that the rope is short for me. Mido 1.96 cm ;-)")</f>
        <v>Leather and resists all have enough space to store an external battery, a wallet and a mobile (some room left over). The only downside that I give is that the rope is short for me. Mido 1.96 cm ;-)</v>
      </c>
    </row>
    <row r="13322">
      <c r="A13322" s="1">
        <v>4.0</v>
      </c>
      <c r="B13322" s="1" t="s">
        <v>13203</v>
      </c>
      <c r="C13322" t="str">
        <f>IFERROR(__xludf.DUMMYFUNCTION("GOOGLETRANSLATE(B13322, ""es"", ""en"")"),"I expected I expected. Bracelet something puny, but the whole is light. It puts in time almost every day. If you do manually, much better at night.")</f>
        <v>I expected I expected. Bracelet something puny, but the whole is light. It puts in time almost every day. If you do manually, much better at night.</v>
      </c>
    </row>
    <row r="13323">
      <c r="A13323" s="1">
        <v>4.0</v>
      </c>
      <c r="B13323" s="1" t="s">
        <v>13204</v>
      </c>
      <c r="C13323" t="str">
        <f>IFERROR(__xludf.DUMMYFUNCTION("GOOGLETRANSLATE(B13323, ""es"", ""en"")"),"Compact design and good functionality bag that meets your expectations, missing a pocket on the inside, but the price is recommended.")</f>
        <v>Compact design and good functionality bag that meets your expectations, missing a pocket on the inside, but the price is recommended.</v>
      </c>
    </row>
    <row r="13324">
      <c r="A13324" s="1">
        <v>5.0</v>
      </c>
      <c r="B13324" s="1" t="s">
        <v>13205</v>
      </c>
      <c r="C13324" t="str">
        <f>IFERROR(__xludf.DUMMYFUNCTION("GOOGLETRANSLATE(B13324, ""es"", ""en"")"),"Five Stars Recommended, quality perfect price.")</f>
        <v>Five Stars Recommended, quality perfect price.</v>
      </c>
    </row>
    <row r="13325">
      <c r="A13325" s="1">
        <v>5.0</v>
      </c>
      <c r="B13325" s="1" t="s">
        <v>13206</v>
      </c>
      <c r="C13325" t="str">
        <f>IFERROR(__xludf.DUMMYFUNCTION("GOOGLETRANSLATE(B13325, ""es"", ""en"")"),"Jonathan Very happy with this coffee makes a very good coffee and ami I like strong coffee with little Heche would buy out loud.")</f>
        <v>Jonathan Very happy with this coffee makes a very good coffee and ami I like strong coffee with little Heche would buy out loud.</v>
      </c>
    </row>
    <row r="13326">
      <c r="A13326" s="1">
        <v>5.0</v>
      </c>
      <c r="B13326" s="1" t="s">
        <v>13207</v>
      </c>
      <c r="C13326" t="str">
        <f>IFERROR(__xludf.DUMMYFUNCTION("GOOGLETRANSLATE(B13326, ""es"", ""en"")"),"Great perfect Everything I buy is the third and this is a little small, but everything very well like the other.")</f>
        <v>Great perfect Everything I buy is the third and this is a little small, but everything very well like the other.</v>
      </c>
    </row>
    <row r="13327">
      <c r="A13327" s="1">
        <v>5.0</v>
      </c>
      <c r="B13327" s="1" t="s">
        <v>13208</v>
      </c>
      <c r="C13327" t="str">
        <f>IFERROR(__xludf.DUMMYFUNCTION("GOOGLETRANSLATE(B13327, ""es"", ""en"")"),"Perfect Value")</f>
        <v>Perfect Value</v>
      </c>
    </row>
    <row r="13328">
      <c r="A13328" s="1">
        <v>5.0</v>
      </c>
      <c r="B13328" s="1" t="s">
        <v>13209</v>
      </c>
      <c r="C13328" t="str">
        <f>IFERROR(__xludf.DUMMYFUNCTION("GOOGLETRANSLATE(B13328, ""es"", ""en"")"),"SING I've loved, work very well and are easy to install. And I can finally play karaoke. They are tough and do not weigh.")</f>
        <v>SING I've loved, work very well and are easy to install. And I can finally play karaoke. They are tough and do not weigh.</v>
      </c>
    </row>
    <row r="13329">
      <c r="A13329" s="1">
        <v>5.0</v>
      </c>
      <c r="B13329" s="1" t="s">
        <v>13210</v>
      </c>
      <c r="C13329" t="str">
        <f>IFERROR(__xludf.DUMMYFUNCTION("GOOGLETRANSLATE(B13329, ""es"", ""en"")"),"money would also love to use it does not leak anything, buy for the nursery, the quality is good and the nipple is made of rubber. the handles are thin and you can catch well. not filled with a lot of water because it weighs and then can not drink without"&amp;" help.")</f>
        <v>money would also love to use it does not leak anything, buy for the nursery, the quality is good and the nipple is made of rubber. the handles are thin and you can catch well. not filled with a lot of water because it weighs and then can not drink without help.</v>
      </c>
    </row>
    <row r="13330">
      <c r="A13330" s="1">
        <v>5.0</v>
      </c>
      <c r="B13330" s="1" t="s">
        <v>13211</v>
      </c>
      <c r="C13330" t="str">
        <f>IFERROR(__xludf.DUMMYFUNCTION("GOOGLETRANSLATE(B13330, ""es"", ""en"")"),"GO Verbatim V3 USB memory 3.0.que is well between price and quality. transfer rates fluctuate according to the port to which you connect to your computer and you have but overall it is a good article. It will not defradudará. The mouth is retractable.")</f>
        <v>GO Verbatim V3 USB memory 3.0.que is well between price and quality. transfer rates fluctuate according to the port to which you connect to your computer and you have but overall it is a good article. It will not defradudará. The mouth is retractable.</v>
      </c>
    </row>
    <row r="13331">
      <c r="A13331" s="1">
        <v>5.0</v>
      </c>
      <c r="B13331" s="1" t="s">
        <v>13212</v>
      </c>
      <c r="C13331" t="str">
        <f>IFERROR(__xludf.DUMMYFUNCTION("GOOGLETRANSLATE(B13331, ""es"", ""en"")"),"Haunted! I loved the product. It has a pocket behind is huge and there you can fit mobile which is perfect if you're running or walking. They also have very good quality. You do not fall off and clog the belly. I have size 38-40, I grabbed an M and is rig"&amp;"ht. Very happy.")</f>
        <v>Haunted! I loved the product. It has a pocket behind is huge and there you can fit mobile which is perfect if you're running or walking. They also have very good quality. You do not fall off and clog the belly. I have size 38-40, I grabbed an M and is right. Very happy.</v>
      </c>
    </row>
    <row r="13332">
      <c r="A13332" s="1">
        <v>5.0</v>
      </c>
      <c r="B13332" s="1" t="s">
        <v>524</v>
      </c>
      <c r="C13332" t="str">
        <f>IFERROR(__xludf.DUMMYFUNCTION("GOOGLETRANSLATE(B13332, ""es"", ""en"")"),"Brilliant brilliant")</f>
        <v>Brilliant brilliant</v>
      </c>
    </row>
    <row r="13333">
      <c r="A13333" s="1">
        <v>5.0</v>
      </c>
      <c r="B13333" s="1" t="s">
        <v>13213</v>
      </c>
      <c r="C13333" t="str">
        <f>IFERROR(__xludf.DUMMYFUNCTION("GOOGLETRANSLATE(B13333, ""es"", ""en"")"),"All OK OK")</f>
        <v>All OK OK</v>
      </c>
    </row>
    <row r="13334">
      <c r="A13334" s="1">
        <v>5.0</v>
      </c>
      <c r="B13334" s="1" t="s">
        <v>13214</v>
      </c>
      <c r="C13334" t="str">
        <f>IFERROR(__xludf.DUMMYFUNCTION("GOOGLETRANSLATE(B13334, ""es"", ""en"")"),"Perfect for these times I love the fabric, which is super soft, and if you add the warmth of hot water, and is more than most, especially in the cold is beginning to do. I am very happy with the purchase.")</f>
        <v>Perfect for these times I love the fabric, which is super soft, and if you add the warmth of hot water, and is more than most, especially in the cold is beginning to do. I am very happy with the purchase.</v>
      </c>
    </row>
    <row r="13335">
      <c r="A13335" s="1">
        <v>5.0</v>
      </c>
      <c r="B13335" s="1" t="s">
        <v>13215</v>
      </c>
      <c r="C13335" t="str">
        <f>IFERROR(__xludf.DUMMYFUNCTION("GOOGLETRANSLATE(B13335, ""es"", ""en"")"),"Alone stands out it is great I had a car accident. Both the physio and the doctor have recommended heat. This mat is perfect for its size, it suits me shoulder, back and neck, I'll alternate. I tape fantastic price for agarrartela waist. I loved that I we"&amp;"ar at night and I just sleeping but for herself. That suits me great.")</f>
        <v>Alone stands out it is great I had a car accident. Both the physio and the doctor have recommended heat. This mat is perfect for its size, it suits me shoulder, back and neck, I'll alternate. I tape fantastic price for agarrartela waist. I loved that I wear at night and I just sleeping but for herself. That suits me great.</v>
      </c>
    </row>
    <row r="13336">
      <c r="A13336" s="1">
        <v>5.0</v>
      </c>
      <c r="B13336" s="1" t="s">
        <v>13216</v>
      </c>
      <c r="C13336" t="str">
        <f>IFERROR(__xludf.DUMMYFUNCTION("GOOGLETRANSLATE(B13336, ""es"", ""en"")"),"Calentito and great love my pet")</f>
        <v>Calentito and great love my pet</v>
      </c>
    </row>
    <row r="13337">
      <c r="A13337" s="1">
        <v>5.0</v>
      </c>
      <c r="B13337" s="1" t="s">
        <v>13217</v>
      </c>
      <c r="C13337" t="str">
        <f>IFERROR(__xludf.DUMMYFUNCTION("GOOGLETRANSLATE(B13337, ""es"", ""en"")"),"Short super good quality and is very suitable for children because their ends are blunt. Handling is comfortable and spacious and anatomical surface grip for those ages. The price is very good.")</f>
        <v>Short super good quality and is very suitable for children because their ends are blunt. Handling is comfortable and spacious and anatomical surface grip for those ages. The price is very good.</v>
      </c>
    </row>
    <row r="13338">
      <c r="A13338" s="1">
        <v>5.0</v>
      </c>
      <c r="B13338" s="1" t="s">
        <v>13218</v>
      </c>
      <c r="C13338" t="str">
        <f>IFERROR(__xludf.DUMMYFUNCTION("GOOGLETRANSLATE(B13338, ""es"", ""en"")"),"I arrive on time If I do well. not to go barefoot")</f>
        <v>I arrive on time If I do well. not to go barefoot</v>
      </c>
    </row>
    <row r="13339">
      <c r="A13339" s="1">
        <v>5.0</v>
      </c>
      <c r="B13339" s="1" t="s">
        <v>13219</v>
      </c>
      <c r="C13339" t="str">
        <f>IFERROR(__xludf.DUMMYFUNCTION("GOOGLETRANSLATE(B13339, ""es"", ""en"")"),"Perfect with all the bad reviews that there are Amazon about these ssd ... (false, malfunction ...), I have not risky and I bought sold and shipped by Amazon despite being somewhat more expensive. Perfect, has arrived at its bliste kingston its original p"&amp;"roduct label. The operation is also appropriate. Recommendable.")</f>
        <v>Perfect with all the bad reviews that there are Amazon about these ssd ... (false, malfunction ...), I have not risky and I bought sold and shipped by Amazon despite being somewhat more expensive. Perfect, has arrived at its bliste kingston its original product label. The operation is also appropriate. Recommendable.</v>
      </c>
    </row>
    <row r="13340">
      <c r="A13340" s="1">
        <v>5.0</v>
      </c>
      <c r="B13340" s="1" t="s">
        <v>13220</v>
      </c>
      <c r="C13340" t="str">
        <f>IFERROR(__xludf.DUMMYFUNCTION("GOOGLETRANSLATE(B13340, ""es"", ""en"")"),"Perfect not disappoint !!!")</f>
        <v>Perfect not disappoint !!!</v>
      </c>
    </row>
    <row r="13341">
      <c r="A13341" s="1">
        <v>5.0</v>
      </c>
      <c r="B13341" s="1" t="s">
        <v>13221</v>
      </c>
      <c r="C13341" t="str">
        <f>IFERROR(__xludf.DUMMYFUNCTION("GOOGLETRANSLATE(B13341, ""es"", ""en"")"),"It works fine for video QUALITY 4K UHD. Some still face.")</f>
        <v>It works fine for video QUALITY 4K UHD. Some still face.</v>
      </c>
    </row>
    <row r="13342">
      <c r="A13342" s="1">
        <v>2.0</v>
      </c>
      <c r="B13342" s="1" t="s">
        <v>13222</v>
      </c>
      <c r="C13342" t="str">
        <f>IFERROR(__xludf.DUMMYFUNCTION("GOOGLETRANSLATE(B13342, ""es"", ""en"")"),"Too bad small size")</f>
        <v>Too bad small size</v>
      </c>
    </row>
    <row r="13343">
      <c r="A13343" s="1">
        <v>3.0</v>
      </c>
      <c r="B13343" s="1" t="s">
        <v>13223</v>
      </c>
      <c r="C13343" t="str">
        <f>IFERROR(__xludf.DUMMYFUNCTION("GOOGLETRANSLATE(B13343, ""es"", ""en"")"),"Fold the price of normal to close nature, and did not notice a difference between the two is the same bottle than normal to close nature, but with the central tube, which I honestly do not know if is good for something, and yet that alone costs the double"&amp;". So it comes out more profitable to buy more units bottles close to normal nature, and one unit of anti colic, and put the tube all every time it is used, if ye shall see who amount to anything.")</f>
        <v>Fold the price of normal to close nature, and did not notice a difference between the two is the same bottle than normal to close nature, but with the central tube, which I honestly do not know if is good for something, and yet that alone costs the double. So it comes out more profitable to buy more units bottles close to normal nature, and one unit of anti colic, and put the tube all every time it is used, if ye shall see who amount to anything.</v>
      </c>
    </row>
    <row r="13344">
      <c r="A13344" s="1">
        <v>1.0</v>
      </c>
      <c r="B13344" s="1" t="s">
        <v>13224</v>
      </c>
      <c r="C13344" t="str">
        <f>IFERROR(__xludf.DUMMYFUNCTION("GOOGLETRANSLATE(B13344, ""es"", ""en"")"),"PC does not recognize First, it has less capacity than advertised, and secondly, I've tried on computers with different operating systems and none recognized.")</f>
        <v>PC does not recognize First, it has less capacity than advertised, and secondly, I've tried on computers with different operating systems and none recognized.</v>
      </c>
    </row>
    <row r="13345">
      <c r="A13345" s="1">
        <v>1.0</v>
      </c>
      <c r="B13345" s="1" t="s">
        <v>13225</v>
      </c>
      <c r="C13345" t="str">
        <f>IFERROR(__xludf.DUMMYFUNCTION("GOOGLETRANSLATE(B13345, ""es"", ""en"")"),"Very different from the picture. Very different from the picture.")</f>
        <v>Very different from the picture. Very different from the picture.</v>
      </c>
    </row>
    <row r="13346">
      <c r="A13346" s="1">
        <v>4.0</v>
      </c>
      <c r="B13346" s="1" t="s">
        <v>13226</v>
      </c>
      <c r="C13346" t="str">
        <f>IFERROR(__xludf.DUMMYFUNCTION("GOOGLETRANSLATE(B13346, ""es"", ""en"")"),"Excellent watch, but right battery. The truth is that it is an excellent product. Personally after testing I decided to return because it did not fit my expectations. It is a great watch. Acting comprehensive and despite its monochrome display does not la"&amp;"ck anything. It is a robust and elegant watch, quite big but nothing uncomfortable. Very light . Narrow wrists like mine pretty spare leash, but nothing that can not be shortened. A watch that meets perfectly for walkers, country people, mountaineers *, e"&amp;"tc ... Meets all promises, except autonomy. I have been unable to register up 9:50 min leaving the stopped clock on a table. Moving things change and battery decreases by 15% the time, which have roughly a little over 6 hours operation (maximum precision)"&amp;". Those who do not have many pretensions, using GPS sporadically, or that interest plus other functions, etc ... are at an excellent watch. Altimeter / barometer works very well. Superfast GPS positions with excellent precision. Magnificent night vision m"&amp;"ode ... but back to clock mode autonomy 14 days only true if you disable all dispensable that (bluetooth, sound buttons, glitter below 50%, etc ..) Without going further. It really is magnificent. More battery only needs to be the perfect mountain watch. "&amp;"Unfortunately Suunto has decided to put an insufficient battery for coming out to the mountain more than 8 hours. (That would have cost the battery meter Ambit3 Peak¿?) I recommend it, but be Ena account the use you will give. The extended mode auntonomia"&amp;" 100 hours is simply to trace an approximate path. 4 stars.")</f>
        <v>Excellent watch, but right battery. The truth is that it is an excellent product. Personally after testing I decided to return because it did not fit my expectations. It is a great watch. Acting comprehensive and despite its monochrome display does not lack anything. It is a robust and elegant watch, quite big but nothing uncomfortable. Very light . Narrow wrists like mine pretty spare leash, but nothing that can not be shortened. A watch that meets perfectly for walkers, country people, mountaineers *, etc ... Meets all promises, except autonomy. I have been unable to register up 9:50 min leaving the stopped clock on a table. Moving things change and battery decreases by 15% the time, which have roughly a little over 6 hours operation (maximum precision). Those who do not have many pretensions, using GPS sporadically, or that interest plus other functions, etc ... are at an excellent watch. Altimeter / barometer works very well. Superfast GPS positions with excellent precision. Magnificent night vision mode ... but back to clock mode autonomy 14 days only true if you disable all dispensable that (bluetooth, sound buttons, glitter below 50%, etc ..) Without going further. It really is magnificent. More battery only needs to be the perfect mountain watch. Unfortunately Suunto has decided to put an insufficient battery for coming out to the mountain more than 8 hours. (That would have cost the battery meter Ambit3 Peak¿?) I recommend it, but be Ena account the use you will give. The extended mode auntonomia 100 hours is simply to trace an approximate path. 4 stars.</v>
      </c>
    </row>
    <row r="13347">
      <c r="A13347" s="1">
        <v>4.0</v>
      </c>
      <c r="B13347" s="1" t="s">
        <v>13227</v>
      </c>
      <c r="C13347" t="str">
        <f>IFERROR(__xludf.DUMMYFUNCTION("GOOGLETRANSLATE(B13347, ""es"", ""en"")"),"Very comfortable more comfortable than the previous model, but you get used to them")</f>
        <v>Very comfortable more comfortable than the previous model, but you get used to them</v>
      </c>
    </row>
    <row r="13348">
      <c r="A13348" s="1">
        <v>4.0</v>
      </c>
      <c r="B13348" s="1" t="s">
        <v>13228</v>
      </c>
      <c r="C13348" t="str">
        <f>IFERROR(__xludf.DUMMYFUNCTION("GOOGLETRANSLATE(B13348, ""es"", ""en"")"),"M.Carmen, Granada Great mixer in its class; ideal for babies paps .... a lot of power, leaves a very fine puree third .The I buy for each of my children.")</f>
        <v>M.Carmen, Granada Great mixer in its class; ideal for babies paps .... a lot of power, leaves a very fine puree third .The I buy for each of my children.</v>
      </c>
    </row>
    <row r="13349">
      <c r="A13349" s="1">
        <v>4.0</v>
      </c>
      <c r="B13349" s="1" t="s">
        <v>13229</v>
      </c>
      <c r="C13349" t="str">
        <f>IFERROR(__xludf.DUMMYFUNCTION("GOOGLETRANSLATE(B13349, ""es"", ""en"")"),"Van good option, when you shoot in RAW takes more money but are very well, is a good option to have a number for the camera.")</f>
        <v>Van good option, when you shoot in RAW takes more money but are very well, is a good option to have a number for the camera.</v>
      </c>
    </row>
    <row r="13350">
      <c r="A13350" s="1">
        <v>4.0</v>
      </c>
      <c r="B13350" s="1" t="s">
        <v>13230</v>
      </c>
      <c r="C13350" t="str">
        <f>IFERROR(__xludf.DUMMYFUNCTION("GOOGLETRANSLATE(B13350, ""es"", ""en"")"),"Sound pretty good. Price 26.99 and sound pretty good and I had some serious problem acceptable to the beginning, only listening to a headset. So is reset to factory settings: Press and hold the MFB for about 6 seconds during charging, until both LEDs flas"&amp;"h with light blue 3 times to restore the factory settings. First make sure that Bluetooth is turned off for all Bluetooth-enabled devices, then remove the headphones from the case charing at the same time, the headset is on and automatically matching Mean"&amp;"while, the blue light of the left atrial disappears, the red lights and blue flashing alternately handset right now turn Bluetooth on your phone, delete the logs of connection the ""S3"", locate and reconnect. If you do not work well, again delete the reg"&amp;"istry repair ""S3"". Please try more than a few times to succeed.")</f>
        <v>Sound pretty good. Price 26.99 and sound pretty good and I had some serious problem acceptable to the beginning, only listening to a headset. So is reset to factory settings: Press and hold the MFB for about 6 seconds during charging, until both LEDs flash with light blue 3 times to restore the factory settings. First make sure that Bluetooth is turned off for all Bluetooth-enabled devices, then remove the headphones from the case charing at the same time, the headset is on and automatically matching Meanwhile, the blue light of the left atrial disappears, the red lights and blue flashing alternately handset right now turn Bluetooth on your phone, delete the logs of connection the "S3", locate and reconnect. If you do not work well, again delete the registry repair "S3". Please try more than a few times to succeed.</v>
      </c>
    </row>
    <row r="13351">
      <c r="A13351" s="1">
        <v>5.0</v>
      </c>
      <c r="B13351" s="1" t="s">
        <v>13231</v>
      </c>
      <c r="C13351" t="str">
        <f>IFERROR(__xludf.DUMMYFUNCTION("GOOGLETRANSLATE(B13351, ""es"", ""en"")"),"Good product I purchased other stores for professionals in the same or more expensive than this and nowhere near ... this is much better, adheres well and most importantly hold while ...")</f>
        <v>Good product I purchased other stores for professionals in the same or more expensive than this and nowhere near ... this is much better, adheres well and most importantly hold while ...</v>
      </c>
    </row>
    <row r="13352">
      <c r="A13352" s="1">
        <v>5.0</v>
      </c>
      <c r="B13352" s="1" t="s">
        <v>13232</v>
      </c>
      <c r="C13352" t="str">
        <f>IFERROR(__xludf.DUMMYFUNCTION("GOOGLETRANSLATE(B13352, ""es"", ""en"")"),"Good weight and good aparicuencia if little money, very good finish, strap. Very good size, very happy with his precii")</f>
        <v>Good weight and good aparicuencia if little money, very good finish, strap. Very good size, very happy with his precii</v>
      </c>
    </row>
    <row r="13353">
      <c r="A13353" s="1">
        <v>5.0</v>
      </c>
      <c r="B13353" s="1" t="s">
        <v>13233</v>
      </c>
      <c r="C13353" t="str">
        <f>IFERROR(__xludf.DUMMYFUNCTION("GOOGLETRANSLATE(B13353, ""es"", ""en"")"),"They are very comfortable and perfect size although slightly larger carving, still well. The would buy.")</f>
        <v>They are very comfortable and perfect size although slightly larger carving, still well. The would buy.</v>
      </c>
    </row>
    <row r="13354">
      <c r="A13354" s="1">
        <v>5.0</v>
      </c>
      <c r="B13354" s="1" t="s">
        <v>13234</v>
      </c>
      <c r="C13354" t="str">
        <f>IFERROR(__xludf.DUMMYFUNCTION("GOOGLETRANSLATE(B13354, ""es"", ""en"")"),"Perfect excellent product !! He helped me with my problem in the baby stroller in the hood I rajo me on a journey of plane")</f>
        <v>Perfect excellent product !! He helped me with my problem in the baby stroller in the hood I rajo me on a journey of plane</v>
      </c>
    </row>
    <row r="13355">
      <c r="A13355" s="1">
        <v>5.0</v>
      </c>
      <c r="B13355" s="1" t="s">
        <v>13235</v>
      </c>
      <c r="C13355" t="str">
        <f>IFERROR(__xludf.DUMMYFUNCTION("GOOGLETRANSLATE(B13355, ""es"", ""en"")"),"I bought more very comfortable, are high socks, rise above the ankle enough, which sought")</f>
        <v>I bought more very comfortable, are high socks, rise above the ankle enough, which sought</v>
      </c>
    </row>
    <row r="13356">
      <c r="A13356" s="1">
        <v>5.0</v>
      </c>
      <c r="B13356" s="1" t="s">
        <v>13236</v>
      </c>
      <c r="C13356" t="str">
        <f>IFERROR(__xludf.DUMMYFUNCTION("GOOGLETRANSLATE(B13356, ""es"", ""en"")"),"The sound is good sound really good and can play music for several hours. Aesthetically they are quite beautiful. Good sound These headphones are perfectly suited to your ear and you can even play sports with them without fear to lose them.")</f>
        <v>The sound is good sound really good and can play music for several hours. Aesthetically they are quite beautiful. Good sound These headphones are perfectly suited to your ear and you can even play sports with them without fear to lose them.</v>
      </c>
    </row>
    <row r="13357">
      <c r="A13357" s="1">
        <v>5.0</v>
      </c>
      <c r="B13357" s="1" t="s">
        <v>13237</v>
      </c>
      <c r="C13357" t="str">
        <f>IFERROR(__xludf.DUMMYFUNCTION("GOOGLETRANSLATE(B13357, ""es"", ""en"")"),"Nice and very fast very good kettle, powerful, fast and beautiful. Accommodates 1.7L of water can boil in less than two minutes. Like all kettles of this mark, on the inside it has a visual gauge that helps heat the water required to fill just one, two or"&amp;" three cups. This is something that I love and I appreciate that implements brand in its kettles because it helps you to not waste energy heating water or more than it is necessary. On the other hand, this particular model has a very useful temperature in"&amp;"dicator at the bottom that besides giving information, gives a touch characteristic of this retro kettle. Overall I really liked this model, although my point of view, the price is somewhat high for what it offers.")</f>
        <v>Nice and very fast very good kettle, powerful, fast and beautiful. Accommodates 1.7L of water can boil in less than two minutes. Like all kettles of this mark, on the inside it has a visual gauge that helps heat the water required to fill just one, two or three cups. This is something that I love and I appreciate that implements brand in its kettles because it helps you to not waste energy heating water or more than it is necessary. On the other hand, this particular model has a very useful temperature indicator at the bottom that besides giving information, gives a touch characteristic of this retro kettle. Overall I really liked this model, although my point of view, the price is somewhat high for what it offers.</v>
      </c>
    </row>
    <row r="13358">
      <c r="A13358" s="1">
        <v>5.0</v>
      </c>
      <c r="B13358" s="1" t="s">
        <v>13238</v>
      </c>
      <c r="C13358" t="str">
        <f>IFERROR(__xludf.DUMMYFUNCTION("GOOGLETRANSLATE(B13358, ""es"", ""en"")"),"There are versatile and comfortable wrong. The sound quality is acceptable, they are lightweight and well constructed. The material does not seem to be very weak, we'll see over time. The battery lasts long enough to see a movie smoothly and keeps the box"&amp;" that has stored energy to charge the in-ear a couple of times.")</f>
        <v>There are versatile and comfortable wrong. The sound quality is acceptable, they are lightweight and well constructed. The material does not seem to be very weak, we'll see over time. The battery lasts long enough to see a movie smoothly and keeps the box that has stored energy to charge the in-ear a couple of times.</v>
      </c>
    </row>
    <row r="13359">
      <c r="A13359" s="1">
        <v>5.0</v>
      </c>
      <c r="B13359" s="1" t="s">
        <v>13239</v>
      </c>
      <c r="C13359" t="str">
        <f>IFERROR(__xludf.DUMMYFUNCTION("GOOGLETRANSLATE(B13359, ""es"", ""en"")"),"I think I love a fantastic album. A exceeded my expectations. The photos are great. I bought the same brand stickers to paste photos and looks great.")</f>
        <v>I think I love a fantastic album. A exceeded my expectations. The photos are great. I bought the same brand stickers to paste photos and looks great.</v>
      </c>
    </row>
    <row r="13360">
      <c r="A13360" s="1">
        <v>5.0</v>
      </c>
      <c r="B13360" s="1" t="s">
        <v>13240</v>
      </c>
      <c r="C13360" t="str">
        <f>IFERROR(__xludf.DUMMYFUNCTION("GOOGLETRANSLATE(B13360, ""es"", ""en"")"),"The value is excellent. Including the box, it's perfect for gift giving.")</f>
        <v>The value is excellent. Including the box, it's perfect for gift giving.</v>
      </c>
    </row>
    <row r="13361">
      <c r="A13361" s="1">
        <v>5.0</v>
      </c>
      <c r="B13361" s="1" t="s">
        <v>13241</v>
      </c>
      <c r="C13361" t="str">
        <f>IFERROR(__xludf.DUMMYFUNCTION("GOOGLETRANSLATE(B13361, ""es"", ""en"")"),"Very comfortable backpack. It takes great. Perfect to wear underneath motorcycle jacket")</f>
        <v>Very comfortable backpack. It takes great. Perfect to wear underneath motorcycle jacket</v>
      </c>
    </row>
    <row r="13362">
      <c r="A13362" s="1">
        <v>5.0</v>
      </c>
      <c r="B13362" s="1" t="s">
        <v>13242</v>
      </c>
      <c r="C13362" t="str">
        <f>IFERROR(__xludf.DUMMYFUNCTION("GOOGLETRANSLATE(B13362, ""es"", ""en"")"),"I love both products are very comfortable, rest quite the hand and wrist, is appreciated when you have to be a computer many hours. I recommend")</f>
        <v>I love both products are very comfortable, rest quite the hand and wrist, is appreciated when you have to be a computer many hours. I recommend</v>
      </c>
    </row>
    <row r="13363">
      <c r="A13363" s="1">
        <v>5.0</v>
      </c>
      <c r="B13363" s="1" t="s">
        <v>13243</v>
      </c>
      <c r="C13363" t="str">
        <f>IFERROR(__xludf.DUMMYFUNCTION("GOOGLETRANSLATE(B13363, ""es"", ""en"")"),"Excellent and easy to assemble excellent Put on the clock and change totally Very good and nice")</f>
        <v>Excellent and easy to assemble excellent Put on the clock and change totally Very good and nice</v>
      </c>
    </row>
    <row r="13364">
      <c r="A13364" s="1">
        <v>5.0</v>
      </c>
      <c r="B13364" s="1" t="s">
        <v>13244</v>
      </c>
      <c r="C13364" t="str">
        <f>IFERROR(__xludf.DUMMYFUNCTION("GOOGLETRANSLATE(B13364, ""es"", ""en"")"),"Good product. It arrived quickly and well. It's as seen in the photo. I recommend it.")</f>
        <v>Good product. It arrived quickly and well. It's as seen in the photo. I recommend it.</v>
      </c>
    </row>
    <row r="13365">
      <c r="A13365" s="1">
        <v>5.0</v>
      </c>
      <c r="B13365" s="1" t="s">
        <v>13245</v>
      </c>
      <c r="C13365" t="str">
        <f>IFERROR(__xludf.DUMMYFUNCTION("GOOGLETRANSLATE(B13365, ""es"", ""en"")"),"Low power kettle If you are looking for a lower power kettle, Because your house has Insufficient current, Then this is a real beauty. Instead of the typical 3kW rapid boil units, the Tristar consume half that. Also it is stylish and very stable. It is sm"&amp;"aller capacity, but How Often do you need to boil more than 5 mugs of water? Excellent ... this is met my expectations and would recommend others this is.")</f>
        <v>Low power kettle If you are looking for a lower power kettle, Because your house has Insufficient current, Then this is a real beauty. Instead of the typical 3kW rapid boil units, the Tristar consume half that. Also it is stylish and very stable. It is smaller capacity, but How Often do you need to boil more than 5 mugs of water? Excellent ... this is met my expectations and would recommend others this is.</v>
      </c>
    </row>
    <row r="13366">
      <c r="A13366" s="1">
        <v>5.0</v>
      </c>
      <c r="B13366" s="1" t="s">
        <v>13246</v>
      </c>
      <c r="C13366" t="str">
        <f>IFERROR(__xludf.DUMMYFUNCTION("GOOGLETRANSLATE(B13366, ""es"", ""en"")"),"Original Pandora and good service delivery Beautiful")</f>
        <v>Original Pandora and good service delivery Beautiful</v>
      </c>
    </row>
    <row r="13367">
      <c r="A13367" s="1">
        <v>5.0</v>
      </c>
      <c r="B13367" s="1" t="s">
        <v>13247</v>
      </c>
      <c r="C13367" t="str">
        <f>IFERROR(__xludf.DUMMYFUNCTION("GOOGLETRANSLATE(B13367, ""es"", ""en"")"),"Nice pain relief heating pad Excellent. a sense of relief is heated quickly and provides in pain control can easily adjust the temperature to suit your needs and the soft texture of the coating it makes it very comfortable and pleasant to the touch. It ca"&amp;"n be as versatile as to be used for pain relief or just warm in winter. Buy recommended!")</f>
        <v>Nice pain relief heating pad Excellent. a sense of relief is heated quickly and provides in pain control can easily adjust the temperature to suit your needs and the soft texture of the coating it makes it very comfortable and pleasant to the touch. It can be as versatile as to be used for pain relief or just warm in winter. Buy recommended!</v>
      </c>
    </row>
    <row r="13368">
      <c r="A13368" s="1">
        <v>5.0</v>
      </c>
      <c r="B13368" s="1" t="s">
        <v>13248</v>
      </c>
      <c r="C13368" t="str">
        <f>IFERROR(__xludf.DUMMYFUNCTION("GOOGLETRANSLATE(B13368, ""es"", ""en"")"),"Great. Very good product, and very nice to decorate.")</f>
        <v>Great. Very good product, and very nice to decorate.</v>
      </c>
    </row>
    <row r="13369">
      <c r="A13369" s="1">
        <v>5.0</v>
      </c>
      <c r="B13369" s="1" t="s">
        <v>13249</v>
      </c>
      <c r="C13369" t="str">
        <f>IFERROR(__xludf.DUMMYFUNCTION("GOOGLETRANSLATE(B13369, ""es"", ""en"")"),"It's great! It was the only baby bottle that my 4 month old daughter has accepted, since taking single-breasted not want any nipple. But this bottle has accepted without problems. Suuuuper the nipple is soft and fine controls the amount that sucks.")</f>
        <v>It's great! It was the only baby bottle that my 4 month old daughter has accepted, since taking single-breasted not want any nipple. But this bottle has accepted without problems. Suuuuper the nipple is soft and fine controls the amount that sucks.</v>
      </c>
    </row>
    <row r="13370">
      <c r="A13370" s="1">
        <v>2.0</v>
      </c>
      <c r="B13370" s="1" t="s">
        <v>13250</v>
      </c>
      <c r="C13370" t="str">
        <f>IFERROR(__xludf.DUMMYFUNCTION("GOOGLETRANSLATE(B13370, ""es"", ""en"")"),"Wrong number sent me a size and was not accurate to the store xq I tried others in the store and these giant ersn.")</f>
        <v>Wrong number sent me a size and was not accurate to the store xq I tried others in the store and these giant ersn.</v>
      </c>
    </row>
    <row r="13371">
      <c r="A13371" s="1">
        <v>3.0</v>
      </c>
      <c r="B13371" s="1" t="s">
        <v>13251</v>
      </c>
      <c r="C13371" t="str">
        <f>IFERROR(__xludf.DUMMYFUNCTION("GOOGLETRANSLATE(B13371, ""es"", ""en"")"),"Note that it is not APTX The design is fine, to me over the hours it hurt enough to use it. But above all descambie why not having APTX noticeable latency, ie no delay between picture and sound are not good for series or videos on YouTube. If it's for the"&amp;" gym all ok but nothing else.")</f>
        <v>Note that it is not APTX The design is fine, to me over the hours it hurt enough to use it. But above all descambie why not having APTX noticeable latency, ie no delay between picture and sound are not good for series or videos on YouTube. If it's for the gym all ok but nothing else.</v>
      </c>
    </row>
    <row r="13372">
      <c r="A13372" s="1">
        <v>3.0</v>
      </c>
      <c r="B13372" s="1" t="s">
        <v>13252</v>
      </c>
      <c r="C13372" t="str">
        <f>IFERROR(__xludf.DUMMYFUNCTION("GOOGLETRANSLATE(B13372, ""es"", ""en"")"),"The good article met my expectations blender until a next day he began to hear that it was a short time to plug. I ordered the return and return to buy another. It has good power, easy to clean.")</f>
        <v>The good article met my expectations blender until a next day he began to hear that it was a short time to plug. I ordered the return and return to buy another. It has good power, easy to clean.</v>
      </c>
    </row>
    <row r="13373">
      <c r="A13373" s="1">
        <v>1.0</v>
      </c>
      <c r="B13373" s="1" t="s">
        <v>13253</v>
      </c>
      <c r="C13373" t="str">
        <f>IFERROR(__xludf.DUMMYFUNCTION("GOOGLETRANSLATE(B13373, ""es"", ""en"")"),"Open box Yesterday we received the blender and currently do not have drawbacks, but it seems that the box had been opened and not closed as it came with detached seals and broken, broken instructions, and any product misfitted")</f>
        <v>Open box Yesterday we received the blender and currently do not have drawbacks, but it seems that the box had been opened and not closed as it came with detached seals and broken, broken instructions, and any product misfitted</v>
      </c>
    </row>
    <row r="13374">
      <c r="A13374" s="1">
        <v>1.0</v>
      </c>
      <c r="B13374" s="1" t="s">
        <v>13254</v>
      </c>
      <c r="C13374" t="str">
        <f>IFERROR(__xludf.DUMMYFUNCTION("GOOGLETRANSLATE(B13374, ""es"", ""en"")"),"Product too ugly fraud. Above trash, but receives pedi li black blue I do not recommend anyone")</f>
        <v>Product too ugly fraud. Above trash, but receives pedi li black blue I do not recommend anyone</v>
      </c>
    </row>
    <row r="13375">
      <c r="A13375" s="1">
        <v>4.0</v>
      </c>
      <c r="B13375" s="1" t="s">
        <v>13255</v>
      </c>
      <c r="C13375" t="str">
        <f>IFERROR(__xludf.DUMMYFUNCTION("GOOGLETRANSLATE(B13375, ""es"", ""en"")"),"Good quality good quality and warm")</f>
        <v>Good quality good quality and warm</v>
      </c>
    </row>
    <row r="13376">
      <c r="A13376" s="1">
        <v>4.0</v>
      </c>
      <c r="B13376" s="1" t="s">
        <v>13256</v>
      </c>
      <c r="C13376" t="str">
        <f>IFERROR(__xludf.DUMMYFUNCTION("GOOGLETRANSLATE(B13376, ""es"", ""en"")"),"Short lightweight good and not ostentatious. It does not weigh much and you need to hold it a little, but for occasional use is fine.")</f>
        <v>Short lightweight good and not ostentatious. It does not weigh much and you need to hold it a little, but for occasional use is fine.</v>
      </c>
    </row>
    <row r="13377">
      <c r="A13377" s="1">
        <v>4.0</v>
      </c>
      <c r="B13377" s="1" t="s">
        <v>13257</v>
      </c>
      <c r="C13377" t="str">
        <f>IFERROR(__xludf.DUMMYFUNCTION("GOOGLETRANSLATE(B13377, ""es"", ""en"")"),"I ordered a glove for spinning a number and after 2 months .... I loved, really!")</f>
        <v>I ordered a glove for spinning a number and after 2 months .... I loved, really!</v>
      </c>
    </row>
    <row r="13378">
      <c r="A13378" s="1">
        <v>4.0</v>
      </c>
      <c r="B13378" s="1" t="s">
        <v>13258</v>
      </c>
      <c r="C13378" t="str">
        <f>IFERROR(__xludf.DUMMYFUNCTION("GOOGLETRANSLATE(B13378, ""es"", ""en"")"),"Excellent value very good quality helmets, both in materials and sound, after a year and think you can fairly and objectively review so we can help those who require accurate information. Say that for the price of around 50 €, this article offers a Blueto"&amp;"oth reliable connection, no cuts, both for telephone calls and for multimedia, with a capacity of amazing battery, more than 20 hours of battery life is a long time in a a single charge of about 3 hours. More than happy, I can recommend it with confidence"&amp;" to any consumer and if you are fussy like me, you will be completely satisfied. If you think well my contribution, useful pressed.")</f>
        <v>Excellent value very good quality helmets, both in materials and sound, after a year and think you can fairly and objectively review so we can help those who require accurate information. Say that for the price of around 50 €, this article offers a Bluetooth reliable connection, no cuts, both for telephone calls and for multimedia, with a capacity of amazing battery, more than 20 hours of battery life is a long time in a a single charge of about 3 hours. More than happy, I can recommend it with confidence to any consumer and if you are fussy like me, you will be completely satisfied. If you think well my contribution, useful pressed.</v>
      </c>
    </row>
    <row r="13379">
      <c r="A13379" s="1">
        <v>4.0</v>
      </c>
      <c r="B13379" s="1" t="s">
        <v>13259</v>
      </c>
      <c r="C13379" t="str">
        <f>IFERROR(__xludf.DUMMYFUNCTION("GOOGLETRANSLATE(B13379, ""es"", ""en"")"),"Good buy. Shipping a little slow, but detro of the term. They are normal plastic, but do their job perfectly. The've been using a few weeks and has not broken any, I've read that say they are of poor quality .... for nothing ... they are like those you bu"&amp;"y such a physical store. I buy them again. Recommended by price and quality")</f>
        <v>Good buy. Shipping a little slow, but detro of the term. They are normal plastic, but do their job perfectly. The've been using a few weeks and has not broken any, I've read that say they are of poor quality .... for nothing ... they are like those you buy such a physical store. I buy them again. Recommended by price and quality</v>
      </c>
    </row>
    <row r="13380">
      <c r="A13380" s="1">
        <v>5.0</v>
      </c>
      <c r="B13380" s="1" t="s">
        <v>13260</v>
      </c>
      <c r="C13380" t="str">
        <f>IFERROR(__xludf.DUMMYFUNCTION("GOOGLETRANSLATE(B13380, ""es"", ""en"")"),"Durable and perfect service I wrong size because this product has little size, and even put it on all the reviews, I made no case, from now Tendre into account. The change order and delivered again in two days without ningin incovenien 10 to the product a"&amp;"nd 10 to amazon")</f>
        <v>Durable and perfect service I wrong size because this product has little size, and even put it on all the reviews, I made no case, from now Tendre into account. The change order and delivered again in two days without ningin incovenien 10 to the product and 10 to amazon</v>
      </c>
    </row>
    <row r="13381">
      <c r="A13381" s="1">
        <v>5.0</v>
      </c>
      <c r="B13381" s="1" t="s">
        <v>13261</v>
      </c>
      <c r="C13381" t="str">
        <f>IFERROR(__xludf.DUMMYFUNCTION("GOOGLETRANSLATE(B13381, ""es"", ""en"")"),"Very useful are cleaning brushes embedded grime that has around the house. Despite the earmarks of toothbrushes bristles are much stronger and take good dirt. However, to be used in hard surface such as glass, metal or tiles, not plastic screen mobile. On"&amp;"e of the brushes is larger and rectangular in shape, and the other is smaller and shaped like a ""V"" for finer work. also it has a useful small rubber wedge serving to remove all the scab seals and cavities. Very happy!")</f>
        <v>Very useful are cleaning brushes embedded grime that has around the house. Despite the earmarks of toothbrushes bristles are much stronger and take good dirt. However, to be used in hard surface such as glass, metal or tiles, not plastic screen mobile. One of the brushes is larger and rectangular in shape, and the other is smaller and shaped like a "V" for finer work. also it has a useful small rubber wedge serving to remove all the scab seals and cavities. Very happy!</v>
      </c>
    </row>
    <row r="13382">
      <c r="A13382" s="1">
        <v>5.0</v>
      </c>
      <c r="B13382" s="1" t="s">
        <v>13262</v>
      </c>
      <c r="C13382" t="str">
        <f>IFERROR(__xludf.DUMMYFUNCTION("GOOGLETRANSLATE(B13382, ""es"", ""en"")"),"Bought it is nice place to make a gift to my wife, she has loved, is very nice place and size as it is ideal, neither large nor small.")</f>
        <v>Bought it is nice place to make a gift to my wife, she has loved, is very nice place and size as it is ideal, neither large nor small.</v>
      </c>
    </row>
    <row r="13383">
      <c r="A13383" s="1">
        <v>5.0</v>
      </c>
      <c r="B13383" s="1" t="s">
        <v>13263</v>
      </c>
      <c r="C13383" t="str">
        <f>IFERROR(__xludf.DUMMYFUNCTION("GOOGLETRANSLATE(B13383, ""es"", ""en"")"),"Good buy good power for private parties. Menu option appears in radio but no. You have to put Bluetooth phone to hear her")</f>
        <v>Good buy good power for private parties. Menu option appears in radio but no. You have to put Bluetooth phone to hear her</v>
      </c>
    </row>
    <row r="13384">
      <c r="A13384" s="1">
        <v>5.0</v>
      </c>
      <c r="B13384" s="1" t="s">
        <v>13264</v>
      </c>
      <c r="C13384" t="str">
        <f>IFERROR(__xludf.DUMMYFUNCTION("GOOGLETRANSLATE(B13384, ""es"", ""en"")"),"Good works perfectly on Mac product, well finished.")</f>
        <v>Good works perfectly on Mac product, well finished.</v>
      </c>
    </row>
    <row r="13385">
      <c r="A13385" s="1">
        <v>5.0</v>
      </c>
      <c r="B13385" s="1" t="s">
        <v>13265</v>
      </c>
      <c r="C13385" t="str">
        <f>IFERROR(__xludf.DUMMYFUNCTION("GOOGLETRANSLATE(B13385, ""es"", ""en"")"),"The style I wanted to Nice and comfortable when you take a few days.")</f>
        <v>The style I wanted to Nice and comfortable when you take a few days.</v>
      </c>
    </row>
    <row r="13386">
      <c r="A13386" s="1">
        <v>5.0</v>
      </c>
      <c r="B13386" s="1" t="s">
        <v>13266</v>
      </c>
      <c r="C13386" t="str">
        <f>IFERROR(__xludf.DUMMYFUNCTION("GOOGLETRANSLATE(B13386, ""es"", ""en"")"),"The article was as expected Article was as expected")</f>
        <v>The article was as expected Article was as expected</v>
      </c>
    </row>
    <row r="13387">
      <c r="A13387" s="1">
        <v>5.0</v>
      </c>
      <c r="B13387" s="1" t="s">
        <v>13267</v>
      </c>
      <c r="C13387" t="str">
        <f>IFERROR(__xludf.DUMMYFUNCTION("GOOGLETRANSLATE(B13387, ""es"", ""en"")"),"Stupendous as is quality photos and original")</f>
        <v>Stupendous as is quality photos and original</v>
      </c>
    </row>
    <row r="13388">
      <c r="A13388" s="1">
        <v>5.0</v>
      </c>
      <c r="B13388" s="1" t="s">
        <v>13268</v>
      </c>
      <c r="C13388" t="str">
        <f>IFERROR(__xludf.DUMMYFUNCTION("GOOGLETRANSLATE(B13388, ""es"", ""en"")"),"All right massager arrived in perfect condition. It works very well and I'm testing in the cervical and it seems that loosens enough.")</f>
        <v>All right massager arrived in perfect condition. It works very well and I'm testing in the cervical and it seems that loosens enough.</v>
      </c>
    </row>
    <row r="13389">
      <c r="A13389" s="1">
        <v>5.0</v>
      </c>
      <c r="B13389" s="1" t="s">
        <v>13269</v>
      </c>
      <c r="C13389" t="str">
        <f>IFERROR(__xludf.DUMMYFUNCTION("GOOGLETRANSLATE(B13389, ""es"", ""en"")"),"Pretty good qualities and very good quality backpack pleasantly surprised. Super duper design. I loved the truth. I recommend it 100%.")</f>
        <v>Pretty good qualities and very good quality backpack pleasantly surprised. Super duper design. I loved the truth. I recommend it 100%.</v>
      </c>
    </row>
    <row r="13390">
      <c r="A13390" s="1">
        <v>5.0</v>
      </c>
      <c r="B13390" s="1" t="s">
        <v>13270</v>
      </c>
      <c r="C13390" t="str">
        <f>IFERROR(__xludf.DUMMYFUNCTION("GOOGLETRANSLATE(B13390, ""es"", ""en"")"),"Helmets good quality affordable bluetooth helmets are the second I buy now seeking something compact and handy to use in the office and on the way to it. Something to easily remove and replace and render them comfortable for long hours. After these weeks "&amp;"of use I am very happy with them. It comes in a cardboard box with charging cable micro-USB and silicone pads of different sizes. The headphone box opens comfortably but safely opened alone. Has an indicator that shows when you are charging the headphones"&amp;" and the residual capacity of the box. Inside subjects helmets come with some magnets that make it impossible to loosen while they are inside. Once light helmets light a candle as well as other blue when paired. PROS - Safety small and manageable but rigi"&amp;"d. Good finish. - Helmets and lid securely fastened. - Capacity helmets and housing as well as indicators cargo of the box. - Monkey Use / esterero. - quality sound. - Technical support. CONS - Getting used to the long leg of its design. - I had a hard sy"&amp;"nc, but with the help of the support I got it solved very quickly. In short, very good product and a good price. As commented, besides technical support was very fast and solved my problem synchronizing with a list of steps.")</f>
        <v>Helmets good quality affordable bluetooth helmets are the second I buy now seeking something compact and handy to use in the office and on the way to it. Something to easily remove and replace and render them comfortable for long hours. After these weeks of use I am very happy with them. It comes in a cardboard box with charging cable micro-USB and silicone pads of different sizes. The headphone box opens comfortably but safely opened alone. Has an indicator that shows when you are charging the headphones and the residual capacity of the box. Inside subjects helmets come with some magnets that make it impossible to loosen while they are inside. Once light helmets light a candle as well as other blue when paired. PROS - Safety small and manageable but rigid. Good finish. - Helmets and lid securely fastened. - Capacity helmets and housing as well as indicators cargo of the box. - Monkey Use / esterero. - quality sound. - Technical support. CONS - Getting used to the long leg of its design. - I had a hard sync, but with the help of the support I got it solved very quickly. In short, very good product and a good price. As commented, besides technical support was very fast and solved my problem synchronizing with a list of steps.</v>
      </c>
    </row>
    <row r="13391">
      <c r="A13391" s="1">
        <v>5.0</v>
      </c>
      <c r="B13391" s="1" t="s">
        <v>13271</v>
      </c>
      <c r="C13391" t="str">
        <f>IFERROR(__xludf.DUMMYFUNCTION("GOOGLETRANSLATE(B13391, ""es"", ""en"")"),"As in perfect photos. perfect size")</f>
        <v>As in perfect photos. perfect size</v>
      </c>
    </row>
    <row r="13392">
      <c r="A13392" s="1">
        <v>5.0</v>
      </c>
      <c r="B13392" s="1" t="s">
        <v>13272</v>
      </c>
      <c r="C13392" t="str">
        <f>IFERROR(__xludf.DUMMYFUNCTION("GOOGLETRANSLATE(B13392, ""es"", ""en"")"),"Very good sound and comfortable are comfortable and have a very good sound quality")</f>
        <v>Very good sound and comfortable are comfortable and have a very good sound quality</v>
      </c>
    </row>
    <row r="13393">
      <c r="A13393" s="1">
        <v>5.0</v>
      </c>
      <c r="B13393" s="1" t="s">
        <v>13273</v>
      </c>
      <c r="C13393" t="str">
        <f>IFERROR(__xludf.DUMMYFUNCTION("GOOGLETRANSLATE(B13393, ""es"", ""en"")"),"Cable sealed Well, it's what I needed")</f>
        <v>Cable sealed Well, it's what I needed</v>
      </c>
    </row>
    <row r="13394">
      <c r="A13394" s="1">
        <v>5.0</v>
      </c>
      <c r="B13394" s="1" t="s">
        <v>13274</v>
      </c>
      <c r="C13394" t="str">
        <f>IFERROR(__xludf.DUMMYFUNCTION("GOOGLETRANSLATE(B13394, ""es"", ""en"")"),"airpods pro AirPods much better than classic design is well pads fit well with the negative price")</f>
        <v>airpods pro AirPods much better than classic design is well pads fit well with the negative price</v>
      </c>
    </row>
    <row r="13395">
      <c r="A13395" s="1">
        <v>5.0</v>
      </c>
      <c r="B13395" s="1" t="s">
        <v>13275</v>
      </c>
      <c r="C13395" t="str">
        <f>IFERROR(__xludf.DUMMYFUNCTION("GOOGLETRANSLATE(B13395, ""es"", ""en"")"),"Resistene metal structure and easy to clean The engine is difficult to restrain squeezing, which pleased me greatly, easy disassembling of the parts for cleaning, put it in the dishwasher without problem today. The metal part of the outside recubrieminto "&amp;"holds up well without discolouration or slight dents small bumps, holds up well. simple design, I recommend it if you need a good juicer")</f>
        <v>Resistene metal structure and easy to clean The engine is difficult to restrain squeezing, which pleased me greatly, easy disassembling of the parts for cleaning, put it in the dishwasher without problem today. The metal part of the outside recubrieminto holds up well without discolouration or slight dents small bumps, holds up well. simple design, I recommend it if you need a good juicer</v>
      </c>
    </row>
    <row r="13396">
      <c r="A13396" s="1">
        <v>5.0</v>
      </c>
      <c r="B13396" s="1" t="s">
        <v>13276</v>
      </c>
      <c r="C13396" t="str">
        <f>IFERROR(__xludf.DUMMYFUNCTION("GOOGLETRANSLATE(B13396, ""es"", ""en"")"),"Very good yet I have not used because they are winter, but I have tried and are excellent. Comfortable, just the right size for my feet. All skin quality. I hope that with the use do not deteriorate quickly.")</f>
        <v>Very good yet I have not used because they are winter, but I have tried and are excellent. Comfortable, just the right size for my feet. All skin quality. I hope that with the use do not deteriorate quickly.</v>
      </c>
    </row>
    <row r="13397">
      <c r="A13397" s="1">
        <v>5.0</v>
      </c>
      <c r="B13397" s="1" t="s">
        <v>13277</v>
      </c>
      <c r="C13397" t="str">
        <f>IFERROR(__xludf.DUMMYFUNCTION("GOOGLETRANSLATE(B13397, ""es"", ""en"")"),"Good Perfect function, does its job, and it's nice.")</f>
        <v>Good Perfect function, does its job, and it's nice.</v>
      </c>
    </row>
    <row r="13398">
      <c r="A13398" s="1">
        <v>5.0</v>
      </c>
      <c r="B13398" s="1" t="s">
        <v>13278</v>
      </c>
      <c r="C13398" t="str">
        <f>IFERROR(__xludf.DUMMYFUNCTION("GOOGLETRANSLATE(B13398, ""es"", ""en"")"),"a micro and aesthetic quality for use i am giving you is just what I needed. good micro. It has an impressive quality response")</f>
        <v>a micro and aesthetic quality for use i am giving you is just what I needed. good micro. It has an impressive quality response</v>
      </c>
    </row>
    <row r="13399">
      <c r="A13399" s="1">
        <v>2.0</v>
      </c>
      <c r="B13399" s="1" t="s">
        <v>13279</v>
      </c>
      <c r="C13399" t="str">
        <f>IFERROR(__xludf.DUMMYFUNCTION("GOOGLETRANSLATE(B13399, ""es"", ""en"")"),"I am not convinced thought they were as I had, but no. They are smooth, not aristados as they should be leading me to think they are not TOUS")</f>
        <v>I am not convinced thought they were as I had, but no. They are smooth, not aristados as they should be leading me to think they are not TOUS</v>
      </c>
    </row>
    <row r="13400">
      <c r="A13400" s="1">
        <v>3.0</v>
      </c>
      <c r="B13400" s="1" t="s">
        <v>13280</v>
      </c>
      <c r="C13400" t="str">
        <f>IFERROR(__xludf.DUMMYFUNCTION("GOOGLETRANSLATE(B13400, ""es"", ""en"")"),"I will break to the little use and is not very big has broken my little button to use, and a notebook inside the meter stays rigid, so it is not very large.")</f>
        <v>I will break to the little use and is not very big has broken my little button to use, and a notebook inside the meter stays rigid, so it is not very large.</v>
      </c>
    </row>
    <row r="13401">
      <c r="A13401" s="1">
        <v>1.0</v>
      </c>
      <c r="B13401" s="1" t="s">
        <v>13281</v>
      </c>
      <c r="C13401" t="str">
        <f>IFERROR(__xludf.DUMMYFUNCTION("GOOGLETRANSLATE(B13401, ""es"", ""en"")"),"I did not like this product'm not happy with this product they smell much paint I asked my size and I sent more that is not mine and I crossed out the number of shoes really that bad product not use or 20 minutes so that the product does not I recommend i"&amp;"t and are so uncomfortable that tired")</f>
        <v>I did not like this product'm not happy with this product they smell much paint I asked my size and I sent more that is not mine and I crossed out the number of shoes really that bad product not use or 20 minutes so that the product does not I recommend it and are so uncomfortable that tired</v>
      </c>
    </row>
    <row r="13402">
      <c r="A13402" s="1">
        <v>1.0</v>
      </c>
      <c r="B13402" s="1" t="s">
        <v>13282</v>
      </c>
      <c r="C13402" t="str">
        <f>IFERROR(__xludf.DUMMYFUNCTION("GOOGLETRANSLATE(B13402, ""es"", ""en"")"),"Compatibility problems with avi files and problems eject the flash drive from the computer pendrive gives me problems in the iPad Pro 10.5 reading AVI files (the picture is jerky), even though it puts that are compatible. I checked on a computer these fil"&amp;"es are fine. Da problems also on the disc eject because you have to force out to remove it, despite working on an iMac that is supposed to be fully supported.")</f>
        <v>Compatibility problems with avi files and problems eject the flash drive from the computer pendrive gives me problems in the iPad Pro 10.5 reading AVI files (the picture is jerky), even though it puts that are compatible. I checked on a computer these files are fine. Da problems also on the disc eject because you have to force out to remove it, despite working on an iMac that is supposed to be fully supported.</v>
      </c>
    </row>
    <row r="13403">
      <c r="A13403" s="1">
        <v>4.0</v>
      </c>
      <c r="B13403" s="1" t="s">
        <v>13283</v>
      </c>
      <c r="C13403" t="str">
        <f>IFERROR(__xludf.DUMMYFUNCTION("GOOGLETRANSLATE(B13403, ""es"", ""en"")"),"Comfortable sports pants great, as expected. Great value, good size, great cotton and coupled to the ankle and leg. Like hell out well and color.")</f>
        <v>Comfortable sports pants great, as expected. Great value, good size, great cotton and coupled to the ankle and leg. Like hell out well and color.</v>
      </c>
    </row>
    <row r="13404">
      <c r="A13404" s="1">
        <v>4.0</v>
      </c>
      <c r="B13404" s="1" t="s">
        <v>13284</v>
      </c>
      <c r="C13404" t="str">
        <f>IFERROR(__xludf.DUMMYFUNCTION("GOOGLETRANSLATE(B13404, ""es"", ""en"")"),"Sole ceramic and vertical steam Iron simple, easy operation, roll temperature: synthetic, wool and silk, cotton and linen. At the top button brings steam jet and water jet. Also has a lever to select the intensity of the steam. It has self-cleaning button"&amp;". The sole is ceramic provides good slip and precision tip allows good ironing between buttons. Cable brings nearly two meters, which is comfortable on the ironing board usual. For the iron vertically must select the maximum temperature and press the stea"&amp;"m button. I do not use much vertical ironing, but for the price you have grilled me feel very good that it offers. As for the traditional ironing it is not bad. Good value for money.")</f>
        <v>Sole ceramic and vertical steam Iron simple, easy operation, roll temperature: synthetic, wool and silk, cotton and linen. At the top button brings steam jet and water jet. Also has a lever to select the intensity of the steam. It has self-cleaning button. The sole is ceramic provides good slip and precision tip allows good ironing between buttons. Cable brings nearly two meters, which is comfortable on the ironing board usual. For the iron vertically must select the maximum temperature and press the steam button. I do not use much vertical ironing, but for the price you have grilled me feel very good that it offers. As for the traditional ironing it is not bad. Good value for money.</v>
      </c>
    </row>
    <row r="13405">
      <c r="A13405" s="1">
        <v>4.0</v>
      </c>
      <c r="B13405" s="1" t="s">
        <v>13285</v>
      </c>
      <c r="C13405" t="str">
        <f>IFERROR(__xludf.DUMMYFUNCTION("GOOGLETRANSLATE(B13405, ""es"", ""en"")"),"Cable balanced good article suitable for miking. The product came well packaged.")</f>
        <v>Cable balanced good article suitable for miking. The product came well packaged.</v>
      </c>
    </row>
    <row r="13406">
      <c r="A13406" s="1">
        <v>4.0</v>
      </c>
      <c r="B13406" s="1" t="s">
        <v>13286</v>
      </c>
      <c r="C13406" t="str">
        <f>IFERROR(__xludf.DUMMYFUNCTION("GOOGLETRANSLATE(B13406, ""es"", ""en"")"),"You can write something nice. Great for gifts.")</f>
        <v>You can write something nice. Great for gifts.</v>
      </c>
    </row>
    <row r="13407">
      <c r="A13407" s="1">
        <v>5.0</v>
      </c>
      <c r="B13407" s="1" t="s">
        <v>13287</v>
      </c>
      <c r="C13407" t="str">
        <f>IFERROR(__xludf.DUMMYFUNCTION("GOOGLETRANSLATE(B13407, ""es"", ""en"")"),"Good price quality ratio perfect works. It has good power level.")</f>
        <v>Good price quality ratio perfect works. It has good power level.</v>
      </c>
    </row>
    <row r="13408">
      <c r="A13408" s="1">
        <v>5.0</v>
      </c>
      <c r="B13408" s="1" t="s">
        <v>13288</v>
      </c>
      <c r="C13408" t="str">
        <f>IFERROR(__xludf.DUMMYFUNCTION("GOOGLETRANSLATE(B13408, ""es"", ""en"")"),"Repeated purchase in a week I bought for home and the next week I bought another for work. Well finished, size enough to work well with the mouse, very comfortable wrist")</f>
        <v>Repeated purchase in a week I bought for home and the next week I bought another for work. Well finished, size enough to work well with the mouse, very comfortable wrist</v>
      </c>
    </row>
    <row r="13409">
      <c r="A13409" s="1">
        <v>5.0</v>
      </c>
      <c r="B13409" s="1" t="s">
        <v>13289</v>
      </c>
      <c r="C13409" t="str">
        <f>IFERROR(__xludf.DUMMYFUNCTION("GOOGLETRANSLATE(B13409, ""es"", ""en"")"),"I read that good quality press buttons is annoying, but I do not think so. Is quite handy regulator power-speed is at the top. The picador accessory is quite small, but very effective. I tried larger choppers accessories, but do not stop chopping everythi"&amp;"ng right. This however, makes the dive very quickly and well.")</f>
        <v>I read that good quality press buttons is annoying, but I do not think so. Is quite handy regulator power-speed is at the top. The picador accessory is quite small, but very effective. I tried larger choppers accessories, but do not stop chopping everything right. This however, makes the dive very quickly and well.</v>
      </c>
    </row>
    <row r="13410">
      <c r="A13410" s="1">
        <v>5.0</v>
      </c>
      <c r="B13410" s="1" t="s">
        <v>13290</v>
      </c>
      <c r="C13410" t="str">
        <f>IFERROR(__xludf.DUMMYFUNCTION("GOOGLETRANSLATE(B13410, ""es"", ""en"")"),"Good buy. Built-in battery that can be carried anywhere else. Easy to use, make milk shake and juice are very convenient. Suitable for preparing nutritious meals, my girls like. Good buy.")</f>
        <v>Good buy. Built-in battery that can be carried anywhere else. Easy to use, make milk shake and juice are very convenient. Suitable for preparing nutritious meals, my girls like. Good buy.</v>
      </c>
    </row>
    <row r="13411">
      <c r="A13411" s="1">
        <v>5.0</v>
      </c>
      <c r="B13411" s="1" t="s">
        <v>13291</v>
      </c>
      <c r="C13411" t="str">
        <f>IFERROR(__xludf.DUMMYFUNCTION("GOOGLETRANSLATE(B13411, ""es"", ""en"")"),"Very cool Very nice, fine and elephant pendant. Although perhaps a little small. My sister, who is it who gave him loved.")</f>
        <v>Very cool Very nice, fine and elephant pendant. Although perhaps a little small. My sister, who is it who gave him loved.</v>
      </c>
    </row>
    <row r="13412">
      <c r="A13412" s="1">
        <v>5.0</v>
      </c>
      <c r="B13412" s="1" t="s">
        <v>13292</v>
      </c>
      <c r="C13412" t="str">
        <f>IFERROR(__xludf.DUMMYFUNCTION("GOOGLETRANSLATE(B13412, ""es"", ""en"")"),"NICE AND COMFORTABLE GOOD PURCHASE IS COMFORTABLE and esthetically SPORTS, WATER QUALITY A MATTER used it to combine with summer clothes.")</f>
        <v>NICE AND COMFORTABLE GOOD PURCHASE IS COMFORTABLE and esthetically SPORTS, WATER QUALITY A MATTER used it to combine with summer clothes.</v>
      </c>
    </row>
    <row r="13413">
      <c r="A13413" s="1">
        <v>5.0</v>
      </c>
      <c r="B13413" s="1" t="s">
        <v>13293</v>
      </c>
      <c r="C13413" t="str">
        <f>IFERROR(__xludf.DUMMYFUNCTION("GOOGLETRANSLATE(B13413, ""es"", ""en"")"),"Very good very comfortable and accurate size")</f>
        <v>Very good very comfortable and accurate size</v>
      </c>
    </row>
    <row r="13414">
      <c r="A13414" s="1">
        <v>5.0</v>
      </c>
      <c r="B13414" s="1" t="s">
        <v>13294</v>
      </c>
      <c r="C13414" t="str">
        <f>IFERROR(__xludf.DUMMYFUNCTION("GOOGLETRANSLATE(B13414, ""es"", ""en"")"),"The comfortable use for a gym")</f>
        <v>The comfortable use for a gym</v>
      </c>
    </row>
    <row r="13415">
      <c r="A13415" s="1">
        <v>5.0</v>
      </c>
      <c r="B13415" s="1" t="s">
        <v>13295</v>
      </c>
      <c r="C13415" t="str">
        <f>IFERROR(__xludf.DUMMYFUNCTION("GOOGLETRANSLATE(B13415, ""es"", ""en"")"),"A classic is a clock that does not disappoint, a classic. Very good finish. It has good quality and very good value / price. .")</f>
        <v>A classic is a clock that does not disappoint, a classic. Very good finish. It has good quality and very good value / price. .</v>
      </c>
    </row>
    <row r="13416">
      <c r="A13416" s="1">
        <v>5.0</v>
      </c>
      <c r="B13416" s="1" t="s">
        <v>13296</v>
      </c>
      <c r="C13416" t="str">
        <f>IFERROR(__xludf.DUMMYFUNCTION("GOOGLETRANSLATE(B13416, ""es"", ""en"")"),"I arrived two missing one. I have mounted on the pc and is a load rapided last program, I recommend it to everyone.")</f>
        <v>I arrived two missing one. I have mounted on the pc and is a load rapided last program, I recommend it to everyone.</v>
      </c>
    </row>
    <row r="13417">
      <c r="A13417" s="1">
        <v>5.0</v>
      </c>
      <c r="B13417" s="1" t="s">
        <v>13297</v>
      </c>
      <c r="C13417" t="str">
        <f>IFERROR(__xludf.DUMMYFUNCTION("GOOGLETRANSLATE(B13417, ""es"", ""en"")"),"Shoe safety shoes very comfortable to work all day. Very light.")</f>
        <v>Shoe safety shoes very comfortable to work all day. Very light.</v>
      </c>
    </row>
    <row r="13418">
      <c r="A13418" s="1">
        <v>5.0</v>
      </c>
      <c r="B13418" s="1" t="s">
        <v>13298</v>
      </c>
      <c r="C13418" t="str">
        <f>IFERROR(__xludf.DUMMYFUNCTION("GOOGLETRANSLATE(B13418, ""es"", ""en"")"),"Perfect perfect. Comfortable and high quality.")</f>
        <v>Perfect perfect. Comfortable and high quality.</v>
      </c>
    </row>
    <row r="13419">
      <c r="A13419" s="1">
        <v>5.0</v>
      </c>
      <c r="B13419" s="1" t="s">
        <v>13299</v>
      </c>
      <c r="C13419" t="str">
        <f>IFERROR(__xludf.DUMMYFUNCTION("GOOGLETRANSLATE(B13419, ""es"", ""en"")"),"Good product quality, good speed, good size and the LED gives a touch of originality. Very happy")</f>
        <v>Good product quality, good speed, good size and the LED gives a touch of originality. Very happy</v>
      </c>
    </row>
    <row r="13420">
      <c r="A13420" s="1">
        <v>5.0</v>
      </c>
      <c r="B13420" s="1" t="s">
        <v>13300</v>
      </c>
      <c r="C13420" t="str">
        <f>IFERROR(__xludf.DUMMYFUNCTION("GOOGLETRANSLATE(B13420, ""es"", ""en"")"),"Mont is great hits")</f>
        <v>Mont is great hits</v>
      </c>
    </row>
    <row r="13421">
      <c r="A13421" s="1">
        <v>5.0</v>
      </c>
      <c r="B13421" s="1" t="s">
        <v>13301</v>
      </c>
      <c r="C13421" t="str">
        <f>IFERROR(__xludf.DUMMYFUNCTION("GOOGLETRANSLATE(B13421, ""es"", ""en"")"),"Good article meets its functions perfectly. It has clear sound and is great for video recordings without much noise. It has two modes, smartphone and video. Perfect choice before buying a micro / radio.")</f>
        <v>Good article meets its functions perfectly. It has clear sound and is great for video recordings without much noise. It has two modes, smartphone and video. Perfect choice before buying a micro / radio.</v>
      </c>
    </row>
    <row r="13422">
      <c r="A13422" s="1">
        <v>5.0</v>
      </c>
      <c r="B13422" s="1" t="s">
        <v>13302</v>
      </c>
      <c r="C13422" t="str">
        <f>IFERROR(__xludf.DUMMYFUNCTION("GOOGLETRANSLATE(B13422, ""es"", ""en"")"),"What I expected what I expected")</f>
        <v>What I expected what I expected</v>
      </c>
    </row>
    <row r="13423">
      <c r="A13423" s="1">
        <v>5.0</v>
      </c>
      <c r="B13423" s="1" t="s">
        <v>13303</v>
      </c>
      <c r="C13423" t="str">
        <f>IFERROR(__xludf.DUMMYFUNCTION("GOOGLETRANSLATE(B13423, ""es"", ""en"")"),"It works properly. All good")</f>
        <v>It works properly. All good</v>
      </c>
    </row>
    <row r="13424">
      <c r="A13424" s="1">
        <v>5.0</v>
      </c>
      <c r="B13424" s="1" t="s">
        <v>13304</v>
      </c>
      <c r="C13424" t="str">
        <f>IFERROR(__xludf.DUMMYFUNCTION("GOOGLETRANSLATE(B13424, ""es"", ""en"")"),"Execelente Excellent product and easy to wash when dirty")</f>
        <v>Execelente Excellent product and easy to wash when dirty</v>
      </c>
    </row>
    <row r="13425">
      <c r="A13425" s="1">
        <v>2.0</v>
      </c>
      <c r="B13425" s="1" t="s">
        <v>13305</v>
      </c>
      <c r="C13425" t="str">
        <f>IFERROR(__xludf.DUMMYFUNCTION("GOOGLETRANSLATE(B13425, ""es"", ""en"")"),"Small sized chest For girls, not subject it should. Even taking my size, I would see small and long straps.")</f>
        <v>Small sized chest For girls, not subject it should. Even taking my size, I would see small and long straps.</v>
      </c>
    </row>
    <row r="13426">
      <c r="A13426" s="1">
        <v>3.0</v>
      </c>
      <c r="B13426" s="1" t="s">
        <v>13306</v>
      </c>
      <c r="C13426" t="str">
        <f>IFERROR(__xludf.DUMMYFUNCTION("GOOGLETRANSLATE(B13426, ""es"", ""en"")"),"Basic Basic Boot")</f>
        <v>Basic Basic Boot</v>
      </c>
    </row>
    <row r="13427">
      <c r="A13427" s="1">
        <v>3.0</v>
      </c>
      <c r="B13427" s="1" t="s">
        <v>13307</v>
      </c>
      <c r="C13427" t="str">
        <f>IFERROR(__xludf.DUMMYFUNCTION("GOOGLETRANSLATE(B13427, ""es"", ""en"")"),"I do not like Pille average number more and I left Juto and very tight")</f>
        <v>I do not like Pille average number more and I left Juto and very tight</v>
      </c>
    </row>
    <row r="13428">
      <c r="A13428" s="1">
        <v>1.0</v>
      </c>
      <c r="B13428" s="1" t="s">
        <v>13308</v>
      </c>
      <c r="C13428" t="str">
        <f>IFERROR(__xludf.DUMMYFUNCTION("GOOGLETRANSLATE(B13428, ""es"", ""en"")"),"Very expensive for the quality I expected better quality for the price paid. It is the same or very similar to that of Ikea but 3 times more expensive.")</f>
        <v>Very expensive for the quality I expected better quality for the price paid. It is the same or very similar to that of Ikea but 3 times more expensive.</v>
      </c>
    </row>
    <row r="13429">
      <c r="A13429" s="1">
        <v>1.0</v>
      </c>
      <c r="B13429" s="1" t="s">
        <v>13309</v>
      </c>
      <c r="C13429" t="str">
        <f>IFERROR(__xludf.DUMMYFUNCTION("GOOGLETRANSLATE(B13429, ""es"", ""en"")"),"These pen drives are very slow sold as USB 3.0 but is only facade. If you try to copy something from a PC to one of these pen drives USB 3.0, the maximum speed is reached are one 10MB / s. This means that if you have 100Mbps fiber, takes less download a f"&amp;"ile in Internet copying locally by USB. A shame. We know that the wreck can not ask for much but coming from a recognized brand like kingston me seems a mockery.")</f>
        <v>These pen drives are very slow sold as USB 3.0 but is only facade. If you try to copy something from a PC to one of these pen drives USB 3.0, the maximum speed is reached are one 10MB / s. This means that if you have 100Mbps fiber, takes less download a file in Internet copying locally by USB. A shame. We know that the wreck can not ask for much but coming from a recognized brand like kingston me seems a mockery.</v>
      </c>
    </row>
    <row r="13430">
      <c r="A13430" s="1">
        <v>4.0</v>
      </c>
      <c r="B13430" s="1" t="s">
        <v>13310</v>
      </c>
      <c r="C13430" t="str">
        <f>IFERROR(__xludf.DUMMYFUNCTION("GOOGLETRANSLATE(B13430, ""es"", ""en"")"),"Fulfills very well the product is great, I think value for money is the best of the market, the only drawback that I see and what I gave it 4 stars instead of 5 is because the writing speed, it seems somewhat slow you have the ability to otherwise has ful"&amp;"filled my expectations.")</f>
        <v>Fulfills very well the product is great, I think value for money is the best of the market, the only drawback that I see and what I gave it 4 stars instead of 5 is because the writing speed, it seems somewhat slow you have the ability to otherwise has fulfilled my expectations.</v>
      </c>
    </row>
    <row r="13431">
      <c r="A13431" s="1">
        <v>4.0</v>
      </c>
      <c r="B13431" s="1" t="s">
        <v>13311</v>
      </c>
      <c r="C13431" t="str">
        <f>IFERROR(__xludf.DUMMYFUNCTION("GOOGLETRANSLATE(B13431, ""es"", ""en"")"),"S Very good acquisition")</f>
        <v>S Very good acquisition</v>
      </c>
    </row>
    <row r="13432">
      <c r="A13432" s="1">
        <v>4.0</v>
      </c>
      <c r="B13432" s="1" t="s">
        <v>13312</v>
      </c>
      <c r="C13432" t="str">
        <f>IFERROR(__xludf.DUMMYFUNCTION("GOOGLETRANSLATE(B13432, ""es"", ""en"")"),"Product highly recommended highly recommended. Comprehensive in features, although a little big. It only remains to check their durability and warranty.")</f>
        <v>Product highly recommended highly recommended. Comprehensive in features, although a little big. It only remains to check their durability and warranty.</v>
      </c>
    </row>
    <row r="13433">
      <c r="A13433" s="1">
        <v>4.0</v>
      </c>
      <c r="B13433" s="1" t="s">
        <v>13313</v>
      </c>
      <c r="C13433" t="str">
        <f>IFERROR(__xludf.DUMMYFUNCTION("GOOGLETRANSLATE(B13433, ""es"", ""en"")"),"Good!! That already is the body of each too ... but my kid looks good, not as expected but quite good")</f>
        <v>Good!! That already is the body of each too ... but my kid looks good, not as expected but quite good</v>
      </c>
    </row>
    <row r="13434">
      <c r="A13434" s="1">
        <v>4.0</v>
      </c>
      <c r="B13434" s="1" t="s">
        <v>13314</v>
      </c>
      <c r="C13434" t="str">
        <f>IFERROR(__xludf.DUMMYFUNCTION("GOOGLETRANSLATE(B13434, ""es"", ""en"")"),"Satisfied, but the screen is plastic and easily ralla Very good watch, I tried to immerse myself with him and dive a few meters, and resists great. The only bad thing: the screen (which incidentally is plastic) muuucha ralla with ease, with the slightest "&amp;"touch, you find that you have a new scratch.")</f>
        <v>Satisfied, but the screen is plastic and easily ralla Very good watch, I tried to immerse myself with him and dive a few meters, and resists great. The only bad thing: the screen (which incidentally is plastic) muuucha ralla with ease, with the slightest touch, you find that you have a new scratch.</v>
      </c>
    </row>
    <row r="13435">
      <c r="A13435" s="1">
        <v>5.0</v>
      </c>
      <c r="B13435" s="1" t="s">
        <v>13315</v>
      </c>
      <c r="C13435" t="str">
        <f>IFERROR(__xludf.DUMMYFUNCTION("GOOGLETRANSLATE(B13435, ""es"", ""en"")"),"What a surprise it works great! Esstou 100% happy with my dram Meluna. The've been playing tennis when I go to the sauna and tb if I'm traveling. No note and sometimes I forget that I have set ... Who Invented for freedom and independence of us ..... !!! "&amp;"I hope there are more women who dare ..... Animo !!!")</f>
        <v>What a surprise it works great! Esstou 100% happy with my dram Meluna. The've been playing tennis when I go to the sauna and tb if I'm traveling. No note and sometimes I forget that I have set ... Who Invented for freedom and independence of us ..... !!! I hope there are more women who dare ..... Animo !!!</v>
      </c>
    </row>
    <row r="13436">
      <c r="A13436" s="1">
        <v>5.0</v>
      </c>
      <c r="B13436" s="1" t="s">
        <v>13316</v>
      </c>
      <c r="C13436" t="str">
        <f>IFERROR(__xludf.DUMMYFUNCTION("GOOGLETRANSLATE(B13436, ""es"", ""en"")"),"perfect quiet and reliable easy to install with a measured total knowledge mind silent computer")</f>
        <v>perfect quiet and reliable easy to install with a measured total knowledge mind silent computer</v>
      </c>
    </row>
    <row r="13437">
      <c r="A13437" s="1">
        <v>5.0</v>
      </c>
      <c r="B13437" s="1" t="s">
        <v>13317</v>
      </c>
      <c r="C13437" t="str">
        <f>IFERROR(__xludf.DUMMYFUNCTION("GOOGLETRANSLATE(B13437, ""es"", ""en"")"),"Excellent simple board that meets for personal use. After several uses some dirt, which can be eliminated easily by applying some alcohol appears. If you have this problem with a draft it is less.")</f>
        <v>Excellent simple board that meets for personal use. After several uses some dirt, which can be eliminated easily by applying some alcohol appears. If you have this problem with a draft it is less.</v>
      </c>
    </row>
    <row r="13438">
      <c r="A13438" s="1">
        <v>5.0</v>
      </c>
      <c r="B13438" s="1" t="s">
        <v>13318</v>
      </c>
      <c r="C13438" t="str">
        <f>IFERROR(__xludf.DUMMYFUNCTION("GOOGLETRANSLATE(B13438, ""es"", ""en"")"),"Well it packed everything perfect. Good price. Plenty of storage space. Very pretty. I loved.")</f>
        <v>Well it packed everything perfect. Good price. Plenty of storage space. Very pretty. I loved.</v>
      </c>
    </row>
    <row r="13439">
      <c r="A13439" s="1">
        <v>5.0</v>
      </c>
      <c r="B13439" s="1" t="s">
        <v>13319</v>
      </c>
      <c r="C13439" t="str">
        <f>IFERROR(__xludf.DUMMYFUNCTION("GOOGLETRANSLATE(B13439, ""es"", ""en"")"),"Good product at a good price The feeling you get is very nice when you wake up you have used, tensions back disappear completely.")</f>
        <v>Good product at a good price The feeling you get is very nice when you wake up you have used, tensions back disappear completely.</v>
      </c>
    </row>
    <row r="13440">
      <c r="A13440" s="1">
        <v>5.0</v>
      </c>
      <c r="B13440" s="1" t="s">
        <v>13320</v>
      </c>
      <c r="C13440" t="str">
        <f>IFERROR(__xludf.DUMMYFUNCTION("GOOGLETRANSLATE(B13440, ""es"", ""en"")"),"Lightweight and comfortable backpack very practical, is lightweight and comfortable to wear. It has enough pockets to carry everything close at hand. It is small if you want to use as a bag but to carry mobile, keys, wallet and an accessory there's plenty"&amp;".")</f>
        <v>Lightweight and comfortable backpack very practical, is lightweight and comfortable to wear. It has enough pockets to carry everything close at hand. It is small if you want to use as a bag but to carry mobile, keys, wallet and an accessory there's plenty.</v>
      </c>
    </row>
    <row r="13441">
      <c r="A13441" s="1">
        <v>5.0</v>
      </c>
      <c r="B13441" s="1" t="s">
        <v>13321</v>
      </c>
      <c r="C13441" t="str">
        <f>IFERROR(__xludf.DUMMYFUNCTION("GOOGLETRANSLATE(B13441, ""es"", ""en"")"),"I have great No negative words. good quality, it fits what I expected, carving goes well ... I'm very happy")</f>
        <v>I have great No negative words. good quality, it fits what I expected, carving goes well ... I'm very happy</v>
      </c>
    </row>
    <row r="13442">
      <c r="A13442" s="1">
        <v>5.0</v>
      </c>
      <c r="B13442" s="1" t="s">
        <v>13322</v>
      </c>
      <c r="C13442" t="str">
        <f>IFERROR(__xludf.DUMMYFUNCTION("GOOGLETRANSLATE(B13442, ""es"", ""en"")"),"Beautiful Perfec9")</f>
        <v>Beautiful Perfec9</v>
      </c>
    </row>
    <row r="13443">
      <c r="A13443" s="1">
        <v>5.0</v>
      </c>
      <c r="B13443" s="1" t="s">
        <v>13323</v>
      </c>
      <c r="C13443" t="str">
        <f>IFERROR(__xludf.DUMMYFUNCTION("GOOGLETRANSLATE(B13443, ""es"", ""en"")"),"Satisfied Good price and good quality. As I expected.")</f>
        <v>Satisfied Good price and good quality. As I expected.</v>
      </c>
    </row>
    <row r="13444">
      <c r="A13444" s="1">
        <v>5.0</v>
      </c>
      <c r="B13444" s="1" t="s">
        <v>13324</v>
      </c>
      <c r="C13444" t="str">
        <f>IFERROR(__xludf.DUMMYFUNCTION("GOOGLETRANSLATE(B13444, ""es"", ""en"")"),"Comfort and sound quality After several days trying them, I am delighted with them, do not fall, and above all sound great, has great sound quality, I'm not an expert but sound very good .. besides the system takes to load with the battery or headset hold"&amp;"er that incorporates !!, were synchronized virtually alone among themselves and then super fast with the phone, only use to listen to music which extras to answer telf etc can not comment, although the be tactiles have positive proof that only touch them "&amp;"and make the function. its presentacio and finishing are super .. use them to get to and from work and those times have not loaded the carrier and took more than a week .. fantastic RELATIO Value")</f>
        <v>Comfort and sound quality After several days trying them, I am delighted with them, do not fall, and above all sound great, has great sound quality, I'm not an expert but sound very good .. besides the system takes to load with the battery or headset holder that incorporates !!, were synchronized virtually alone among themselves and then super fast with the phone, only use to listen to music which extras to answer telf etc can not comment, although the be tactiles have positive proof that only touch them and make the function. its presentacio and finishing are super .. use them to get to and from work and those times have not loaded the carrier and took more than a week .. fantastic RELATIO Value</v>
      </c>
    </row>
    <row r="13445">
      <c r="A13445" s="1">
        <v>5.0</v>
      </c>
      <c r="B13445" s="1" t="s">
        <v>13325</v>
      </c>
      <c r="C13445" t="str">
        <f>IFERROR(__xludf.DUMMYFUNCTION("GOOGLETRANSLATE(B13445, ""es"", ""en"")"),"Fulfilled expectations very good buy and good quality. Very useful as it has many pockets. At the moment I do not see any negative thing.")</f>
        <v>Fulfilled expectations very good buy and good quality. Very useful as it has many pockets. At the moment I do not see any negative thing.</v>
      </c>
    </row>
    <row r="13446">
      <c r="A13446" s="1">
        <v>5.0</v>
      </c>
      <c r="B13446" s="1" t="s">
        <v>13326</v>
      </c>
      <c r="C13446" t="str">
        <f>IFERROR(__xludf.DUMMYFUNCTION("GOOGLETRANSLATE(B13446, ""es"", ""en"")"),"Good sound, lightweight and ergonomic Buenos headphones for sports or workout at the gym thanks to its comfort. They do not fall as other models and are very light. The sound is good and thanks to its touch panel can turn it on or turn it off and turn up "&amp;"the volume. Definitely a good buy because the price / quality ratio is very good. Everything now durability in battery time since I bought another model of another brand but also wireless and I lasted 6 months. For now I leave the 5 stars and if something"&amp;" happens I will update my review.")</f>
        <v>Good sound, lightweight and ergonomic Buenos headphones for sports or workout at the gym thanks to its comfort. They do not fall as other models and are very light. The sound is good and thanks to its touch panel can turn it on or turn it off and turn up the volume. Definitely a good buy because the price / quality ratio is very good. Everything now durability in battery time since I bought another model of another brand but also wireless and I lasted 6 months. For now I leave the 5 stars and if something happens I will update my review.</v>
      </c>
    </row>
    <row r="13447">
      <c r="A13447" s="1">
        <v>5.0</v>
      </c>
      <c r="B13447" s="1" t="s">
        <v>13327</v>
      </c>
      <c r="C13447" t="str">
        <f>IFERROR(__xludf.DUMMYFUNCTION("GOOGLETRANSLATE(B13447, ""es"", ""en"")"),"Hard disk recommended 100% fantastic. Very small and large capacity and transfer rate")</f>
        <v>Hard disk recommended 100% fantastic. Very small and large capacity and transfer rate</v>
      </c>
    </row>
    <row r="13448">
      <c r="A13448" s="1">
        <v>5.0</v>
      </c>
      <c r="B13448" s="1" t="s">
        <v>13328</v>
      </c>
      <c r="C13448" t="str">
        <f>IFERROR(__xludf.DUMMYFUNCTION("GOOGLETRANSLATE(B13448, ""es"", ""en"")"),"It is perfect. Very good product, clean clothes, odorless and very eco.")</f>
        <v>It is perfect. Very good product, clean clothes, odorless and very eco.</v>
      </c>
    </row>
    <row r="13449">
      <c r="A13449" s="1">
        <v>5.0</v>
      </c>
      <c r="B13449" s="1" t="s">
        <v>13329</v>
      </c>
      <c r="C13449" t="str">
        <f>IFERROR(__xludf.DUMMYFUNCTION("GOOGLETRANSLATE(B13449, ""es"", ""en"")"),"Highly recommended I love this model, very elegant and of high quality")</f>
        <v>Highly recommended I love this model, very elegant and of high quality</v>
      </c>
    </row>
    <row r="13450">
      <c r="A13450" s="1">
        <v>5.0</v>
      </c>
      <c r="B13450" s="1" t="s">
        <v>13330</v>
      </c>
      <c r="C13450" t="str">
        <f>IFERROR(__xludf.DUMMYFUNCTION("GOOGLETRANSLATE(B13450, ""es"", ""en"")"),"Very comfortable sneakers with Very warm and very comfortable for the winter. I see good quality. They are recommended")</f>
        <v>Very comfortable sneakers with Very warm and very comfortable for the winter. I see good quality. They are recommended</v>
      </c>
    </row>
    <row r="13451">
      <c r="A13451" s="1">
        <v>5.0</v>
      </c>
      <c r="B13451" s="1" t="s">
        <v>13331</v>
      </c>
      <c r="C13451" t="str">
        <f>IFERROR(__xludf.DUMMYFUNCTION("GOOGLETRANSLATE(B13451, ""es"", ""en"")"),"Memorizing with Harry Potter My son loved. Esxtal as shown in the picture.")</f>
        <v>Memorizing with Harry Potter My son loved. Esxtal as shown in the picture.</v>
      </c>
    </row>
    <row r="13452">
      <c r="A13452" s="1">
        <v>5.0</v>
      </c>
      <c r="B13452" s="1" t="s">
        <v>13332</v>
      </c>
      <c r="C13452" t="str">
        <f>IFERROR(__xludf.DUMMYFUNCTION("GOOGLETRANSLATE(B13452, ""es"", ""en"")"),"Money well I decided on this mixer by reference Oster brand and blades with metal connection. I use it for everything: purees, shakes, sauces ... even ice pick. The jar is glass and resists both cold and heat. The lace may seem somewhat ""loose"" compared"&amp;" with other juicers, but just about fit well. I searched YouTube videos of people using it and there learned to do well. The price / quality ratio is very good. Recommended for domestic use. In fact, this is the second buy, to another house. Very happy wi"&amp;"th it")</f>
        <v>Money well I decided on this mixer by reference Oster brand and blades with metal connection. I use it for everything: purees, shakes, sauces ... even ice pick. The jar is glass and resists both cold and heat. The lace may seem somewhat "loose" compared with other juicers, but just about fit well. I searched YouTube videos of people using it and there learned to do well. The price / quality ratio is very good. Recommended for domestic use. In fact, this is the second buy, to another house. Very happy with it</v>
      </c>
    </row>
    <row r="13453">
      <c r="A13453" s="1">
        <v>5.0</v>
      </c>
      <c r="B13453" s="1" t="s">
        <v>13333</v>
      </c>
      <c r="C13453" t="str">
        <f>IFERROR(__xludf.DUMMYFUNCTION("GOOGLETRANSLATE(B13453, ""es"", ""en"")"),"Recommended. Comfortable and very nice.")</f>
        <v>Recommended. Comfortable and very nice.</v>
      </c>
    </row>
    <row r="13454">
      <c r="A13454" s="1">
        <v>2.0</v>
      </c>
      <c r="B13454" s="1" t="s">
        <v>13334</v>
      </c>
      <c r="C13454" t="str">
        <f>IFERROR(__xludf.DUMMYFUNCTION("GOOGLETRANSLATE(B13454, ""es"", ""en"")"),"The sizing should be more precise. The design of the shoe is beautiful, the material looks good, but the size is incredibly small, I ordered 41 1/3, and is a 40 at most. So I doubt the purchase generates 42.")</f>
        <v>The sizing should be more precise. The design of the shoe is beautiful, the material looks good, but the size is incredibly small, I ordered 41 1/3, and is a 40 at most. So I doubt the purchase generates 42.</v>
      </c>
    </row>
    <row r="13455">
      <c r="A13455" s="1">
        <v>3.0</v>
      </c>
      <c r="B13455" s="1" t="s">
        <v>13335</v>
      </c>
      <c r="C13455" t="str">
        <f>IFERROR(__xludf.DUMMYFUNCTION("GOOGLETRANSLATE(B13455, ""es"", ""en"")"),"They are still looking expensive for the quality they have.")</f>
        <v>They are still looking expensive for the quality they have.</v>
      </c>
    </row>
    <row r="13456">
      <c r="A13456" s="1">
        <v>3.0</v>
      </c>
      <c r="B13456" s="1" t="s">
        <v>13336</v>
      </c>
      <c r="C13456" t="str">
        <f>IFERROR(__xludf.DUMMYFUNCTION("GOOGLETRANSLATE(B13456, ""es"", ""en"")"),"Well you can improve")</f>
        <v>Well you can improve</v>
      </c>
    </row>
    <row r="13457">
      <c r="A13457" s="1">
        <v>1.0</v>
      </c>
      <c r="B13457" s="1" t="s">
        <v>13337</v>
      </c>
      <c r="C13457" t="str">
        <f>IFERROR(__xludf.DUMMYFUNCTION("GOOGLETRANSLATE(B13457, ""es"", ""en"")"),"CLOSURE very uncomfortable and short-lived. The collar is nice, as seen in the photos. But the chains are very thin and the closure has a very small diameter and is very thin and delicate. It is to put it with help; one, it's complicated. The chains are e"&amp;"ither welded to the end, so to fail, it would be by the closure itself. It has good gloss, both chains as pendant and zircons, although synthetic, have good size and very much reflect light. Seems real silver, by the weight and appearance. In closing it b"&amp;"ears the seal 925, almost invisible. The box that comes in my case was faulty and did not lock, remained ajar, which added to the other, me not over to convince. I do not recommend it. I hope I have been helpful in my opinion.")</f>
        <v>CLOSURE very uncomfortable and short-lived. The collar is nice, as seen in the photos. But the chains are very thin and the closure has a very small diameter and is very thin and delicate. It is to put it with help; one, it's complicated. The chains are either welded to the end, so to fail, it would be by the closure itself. It has good gloss, both chains as pendant and zircons, although synthetic, have good size and very much reflect light. Seems real silver, by the weight and appearance. In closing it bears the seal 925, almost invisible. The box that comes in my case was faulty and did not lock, remained ajar, which added to the other, me not over to convince. I do not recommend it. I hope I have been helpful in my opinion.</v>
      </c>
    </row>
    <row r="13458">
      <c r="A13458" s="1">
        <v>1.0</v>
      </c>
      <c r="B13458" s="1" t="s">
        <v>13338</v>
      </c>
      <c r="C13458" t="str">
        <f>IFERROR(__xludf.DUMMYFUNCTION("GOOGLETRANSLATE(B13458, ""es"", ""en"")"),"Disastrous The salesman touts the ""massage"" produced by the protuberances on the floor of the foot, but the result is exactly the opposite. They look like an instrument of torture devised by maestgros of the Inquisition. I can not imagine anyone feeling"&amp;" comfortable with them. A star because there is less.")</f>
        <v>Disastrous The salesman touts the "massage" produced by the protuberances on the floor of the foot, but the result is exactly the opposite. They look like an instrument of torture devised by maestgros of the Inquisition. I can not imagine anyone feeling comfortable with them. A star because there is less.</v>
      </c>
    </row>
    <row r="13459">
      <c r="A13459" s="1">
        <v>1.0</v>
      </c>
      <c r="B13459" s="1" t="s">
        <v>13339</v>
      </c>
      <c r="C13459" t="str">
        <f>IFERROR(__xludf.DUMMYFUNCTION("GOOGLETRANSLATE(B13459, ""es"", ""en"")"),"Nothing The fabric is very nice, but the sweatshirt you have sent to me is deformed, one side is longer than the other")</f>
        <v>Nothing The fabric is very nice, but the sweatshirt you have sent to me is deformed, one side is longer than the other</v>
      </c>
    </row>
    <row r="13460">
      <c r="A13460" s="1">
        <v>4.0</v>
      </c>
      <c r="B13460" s="1" t="s">
        <v>13340</v>
      </c>
      <c r="C13460" t="str">
        <f>IFERROR(__xludf.DUMMYFUNCTION("GOOGLETRANSLATE(B13460, ""es"", ""en"")"),"Pretty simple, but correct is a hand mixer too well known brand of AEG. In the box we find basically the mixer and the measuring cup, no more. As for construction, if there is to say that although plastic is solid. The cable has a proper length to use it "&amp;"comfortably (1.2 meters). The blades are resistant, stainless steel, double blade with vertical and horizontal action. Including the measuring cup is 600ml. It is a simple mixer that simply has the operation button and the turbo button. To clean the botto"&amp;"m is as simple as rotating the two pieces as they are anchored. The truth that price is not bad, but it's a simple truth pack, you are missing a tool less rods.")</f>
        <v>Pretty simple, but correct is a hand mixer too well known brand of AEG. In the box we find basically the mixer and the measuring cup, no more. As for construction, if there is to say that although plastic is solid. The cable has a proper length to use it comfortably (1.2 meters). The blades are resistant, stainless steel, double blade with vertical and horizontal action. Including the measuring cup is 600ml. It is a simple mixer that simply has the operation button and the turbo button. To clean the bottom is as simple as rotating the two pieces as they are anchored. The truth that price is not bad, but it's a simple truth pack, you are missing a tool less rods.</v>
      </c>
    </row>
    <row r="13461">
      <c r="A13461" s="1">
        <v>4.0</v>
      </c>
      <c r="B13461" s="1" t="s">
        <v>13341</v>
      </c>
      <c r="C13461" t="str">
        <f>IFERROR(__xludf.DUMMYFUNCTION("GOOGLETRANSLATE(B13461, ""es"", ""en"")"),"Completes next. The glass is very thick and pesado.por else is pretty good.")</f>
        <v>Completes next. The glass is very thick and pesado.por else is pretty good.</v>
      </c>
    </row>
    <row r="13462">
      <c r="A13462" s="1">
        <v>4.0</v>
      </c>
      <c r="B13462" s="1" t="s">
        <v>13342</v>
      </c>
      <c r="C13462" t="str">
        <f>IFERROR(__xludf.DUMMYFUNCTION("GOOGLETRANSLATE(B13462, ""es"", ""en"")"),"Overall very good, very good buy, comfortable, large, nice and looks good both lit and unlit. To take one but the alarm sounds quite low")</f>
        <v>Overall very good, very good buy, comfortable, large, nice and looks good both lit and unlit. To take one but the alarm sounds quite low</v>
      </c>
    </row>
    <row r="13463">
      <c r="A13463" s="1">
        <v>4.0</v>
      </c>
      <c r="B13463" s="1" t="s">
        <v>13343</v>
      </c>
      <c r="C13463" t="str">
        <f>IFERROR(__xludf.DUMMYFUNCTION("GOOGLETRANSLATE(B13463, ""es"", ""en"")"),"Clock was what I expected")</f>
        <v>Clock was what I expected</v>
      </c>
    </row>
    <row r="13464">
      <c r="A13464" s="1">
        <v>4.0</v>
      </c>
      <c r="B13464" s="1" t="s">
        <v>13344</v>
      </c>
      <c r="C13464" t="str">
        <f>IFERROR(__xludf.DUMMYFUNCTION("GOOGLETRANSLATE(B13464, ""es"", ""en"")"),"The only fault one thing great shooter, very easy to use and taste very good beer, really knows Chuck beer tap the bar. The only fault I have is I do not think this thought for hot areas, unless used in a acclimatized room as if the ambient temperature is"&amp;" above 30 degrees for more hours than is connected is not put in green, and cold beer does not come out of the whole. Great, but for use in winter, forget about cold beer in summer.")</f>
        <v>The only fault one thing great shooter, very easy to use and taste very good beer, really knows Chuck beer tap the bar. The only fault I have is I do not think this thought for hot areas, unless used in a acclimatized room as if the ambient temperature is above 30 degrees for more hours than is connected is not put in green, and cold beer does not come out of the whole. Great, but for use in winter, forget about cold beer in summer.</v>
      </c>
    </row>
    <row r="13465">
      <c r="A13465" s="1">
        <v>5.0</v>
      </c>
      <c r="B13465" s="1" t="s">
        <v>13345</v>
      </c>
      <c r="C13465" t="str">
        <f>IFERROR(__xludf.DUMMYFUNCTION("GOOGLETRANSLATE(B13465, ""es"", ""en"")"),"Best SSD to liven up an old Dell A few months ago, due to lack of budget, decided that instead of buying a new PC would renew an old Dell Optiplex 760. I bought a processor, a graphics card, more memory but most widely noticed was this SSD. Windows 10 pro"&amp;" starts in seconds, nothing but leave the desk I can open any program, open any menu in seconds with HDD thing was impossible. I knew that an SSD would improve the performance of my PC but the truth so much that I did not expect anything. Super happy with"&amp;" the purchase and 6 months I did not give any problems. The only thing is that installing windows, I could not get the SSD until you format (NTFS, default, quick format) but other than that nothing. Very happy the truth.")</f>
        <v>Best SSD to liven up an old Dell A few months ago, due to lack of budget, decided that instead of buying a new PC would renew an old Dell Optiplex 760. I bought a processor, a graphics card, more memory but most widely noticed was this SSD. Windows 10 pro starts in seconds, nothing but leave the desk I can open any program, open any menu in seconds with HDD thing was impossible. I knew that an SSD would improve the performance of my PC but the truth so much that I did not expect anything. Super happy with the purchase and 6 months I did not give any problems. The only thing is that installing windows, I could not get the SSD until you format (NTFS, default, quick format) but other than that nothing. Very happy the truth.</v>
      </c>
    </row>
    <row r="13466">
      <c r="A13466" s="1">
        <v>5.0</v>
      </c>
      <c r="B13466" s="1" t="s">
        <v>13346</v>
      </c>
      <c r="C13466" t="str">
        <f>IFERROR(__xludf.DUMMYFUNCTION("GOOGLETRANSLATE(B13466, ""es"", ""en"")"),"Chests are perfect as a sport but look boots, the feet are warm but not too, used them in Galicia and now on the Costa Brava, the would buy")</f>
        <v>Chests are perfect as a sport but look boots, the feet are warm but not too, used them in Galicia and now on the Costa Brava, the would buy</v>
      </c>
    </row>
    <row r="13467">
      <c r="A13467" s="1">
        <v>5.0</v>
      </c>
      <c r="B13467" s="1" t="s">
        <v>13347</v>
      </c>
      <c r="C13467" t="str">
        <f>IFERROR(__xludf.DUMMYFUNCTION("GOOGLETRANSLATE(B13467, ""es"", ""en"")"),"Good Value Little more to say, it just works. Currently I bought two, one of them is on a Windows 10 and the other on a Linux distribution, Kde Neon particular problems 0. 45 € which offer cost me, great.")</f>
        <v>Good Value Little more to say, it just works. Currently I bought two, one of them is on a Windows 10 and the other on a Linux distribution, Kde Neon particular problems 0. 45 € which offer cost me, great.</v>
      </c>
    </row>
    <row r="13468">
      <c r="A13468" s="1">
        <v>5.0</v>
      </c>
      <c r="B13468" s="1" t="s">
        <v>13348</v>
      </c>
      <c r="C13468" t="str">
        <f>IFERROR(__xludf.DUMMYFUNCTION("GOOGLETRANSLATE(B13468, ""es"", ""en"")"),"Fulfills its Contentos function with the purchase, tired of the supports typical bad plastic that are not supported and are just breaking two days, this has weight enough to go cutting zeal with one hand and quality of materials It looks very good.")</f>
        <v>Fulfills its Contentos function with the purchase, tired of the supports typical bad plastic that are not supported and are just breaking two days, this has weight enough to go cutting zeal with one hand and quality of materials It looks very good.</v>
      </c>
    </row>
    <row r="13469">
      <c r="A13469" s="1">
        <v>5.0</v>
      </c>
      <c r="B13469" s="1" t="s">
        <v>13349</v>
      </c>
      <c r="C13469" t="str">
        <f>IFERROR(__xludf.DUMMYFUNCTION("GOOGLETRANSLATE(B13469, ""es"", ""en"")"),"Clock memories ***************************** *************** Disclaimer ************** there is an increasing amount of votes ""sponsored"" by the same vendors, this creates distrust in the classification of products, which is based on the Amazon platform"&amp;". A margin that Amazon should regularize this situation, I think that the contribution we can make as users is to write interesting, objective and specific valuations. ************************************************** ********************* Why buy the pr"&amp;"oduct? It is the watch that use a lifetime and for the price it was worth a try. Buy two more to give away to friends Opinion I am delighted with the clock, it is of very good quality, original and very good packaging Pros - Design - Price - Resistant to "&amp;"water (I use it for swimming) Cons - No noteworthy")</f>
        <v>Clock memories ***************************** *************** Disclaimer ************** there is an increasing amount of votes "sponsored" by the same vendors, this creates distrust in the classification of products, which is based on the Amazon platform. A margin that Amazon should regularize this situation, I think that the contribution we can make as users is to write interesting, objective and specific valuations. ************************************************** ********************* Why buy the product? It is the watch that use a lifetime and for the price it was worth a try. Buy two more to give away to friends Opinion I am delighted with the clock, it is of very good quality, original and very good packaging Pros - Design - Price - Resistant to water (I use it for swimming) Cons - No noteworthy</v>
      </c>
    </row>
    <row r="13470">
      <c r="A13470" s="1">
        <v>5.0</v>
      </c>
      <c r="B13470" s="1" t="s">
        <v>13350</v>
      </c>
      <c r="C13470" t="str">
        <f>IFERROR(__xludf.DUMMYFUNCTION("GOOGLETRANSLATE(B13470, ""es"", ""en"")"),"Everything. I like cheap. And very effective. I recommend it")</f>
        <v>Everything. I like cheap. And very effective. I recommend it</v>
      </c>
    </row>
    <row r="13471">
      <c r="A13471" s="1">
        <v>5.0</v>
      </c>
      <c r="B13471" s="1" t="s">
        <v>13351</v>
      </c>
      <c r="C13471" t="str">
        <f>IFERROR(__xludf.DUMMYFUNCTION("GOOGLETRANSLATE(B13471, ""es"", ""en"")"),"I LOVE ME LOVE HAS STYLE, VERY MODERN FINE AND FAST, ESPECIALLY IN ANY KITCHEN PEGA AS IS QUITE ELEGANT. It IS SUPER PRACTICAL. I LOVE. ORDER CAME TO ME NEXT DAY IN PERFECT CONDITION. GREAT THIS SELLER .... THE RE eating.")</f>
        <v>I LOVE ME LOVE HAS STYLE, VERY MODERN FINE AND FAST, ESPECIALLY IN ANY KITCHEN PEGA AS IS QUITE ELEGANT. It IS SUPER PRACTICAL. I LOVE. ORDER CAME TO ME NEXT DAY IN PERFECT CONDITION. GREAT THIS SELLER .... THE RE eating.</v>
      </c>
    </row>
    <row r="13472">
      <c r="A13472" s="1">
        <v>5.0</v>
      </c>
      <c r="B13472" s="1" t="s">
        <v>13352</v>
      </c>
      <c r="C13472" t="str">
        <f>IFERROR(__xludf.DUMMYFUNCTION("GOOGLETRANSLATE(B13472, ""es"", ""en"")"),"Very nice elegant liked good presentation")</f>
        <v>Very nice elegant liked good presentation</v>
      </c>
    </row>
    <row r="13473">
      <c r="A13473" s="1">
        <v>5.0</v>
      </c>
      <c r="B13473" s="1" t="s">
        <v>13353</v>
      </c>
      <c r="C13473" t="str">
        <f>IFERROR(__xludf.DUMMYFUNCTION("GOOGLETRANSLATE(B13473, ""es"", ""en"")"),"Perfect for back pain relieve back pain. It has a very soft feel and different temperature levels.")</f>
        <v>Perfect for back pain relieve back pain. It has a very soft feel and different temperature levels.</v>
      </c>
    </row>
    <row r="13474">
      <c r="A13474" s="1">
        <v>5.0</v>
      </c>
      <c r="B13474" s="1" t="s">
        <v>13354</v>
      </c>
      <c r="C13474" t="str">
        <f>IFERROR(__xludf.DUMMYFUNCTION("GOOGLETRANSLATE(B13474, ""es"", ""en"")"),"Comfortable and good price fast")</f>
        <v>Comfortable and good price fast</v>
      </c>
    </row>
    <row r="13475">
      <c r="A13475" s="1">
        <v>5.0</v>
      </c>
      <c r="B13475" s="1" t="s">
        <v>13355</v>
      </c>
      <c r="C13475" t="str">
        <f>IFERROR(__xludf.DUMMYFUNCTION("GOOGLETRANSLATE(B13475, ""es"", ""en"")"),"Good product good product cut well, but could use another blade that will cut above also")</f>
        <v>Good product good product cut well, but could use another blade that will cut above also</v>
      </c>
    </row>
    <row r="13476">
      <c r="A13476" s="1">
        <v>5.0</v>
      </c>
      <c r="B13476" s="1" t="s">
        <v>13356</v>
      </c>
      <c r="C13476" t="str">
        <f>IFERROR(__xludf.DUMMYFUNCTION("GOOGLETRANSLATE(B13476, ""es"", ""en"")"),"It is spacious messenger bag is quite large and has two zippers inside inside was a gift for my husband and used in their daily lives")</f>
        <v>It is spacious messenger bag is quite large and has two zippers inside inside was a gift for my husband and used in their daily lives</v>
      </c>
    </row>
    <row r="13477">
      <c r="A13477" s="1">
        <v>5.0</v>
      </c>
      <c r="B13477" s="1" t="s">
        <v>13357</v>
      </c>
      <c r="C13477" t="str">
        <f>IFERROR(__xludf.DUMMYFUNCTION("GOOGLETRANSLATE(B13477, ""es"", ""en"")"),"Good quality is very tough truth is that I made my buy it because it seems good quality.")</f>
        <v>Good quality is very tough truth is that I made my buy it because it seems good quality.</v>
      </c>
    </row>
    <row r="13478">
      <c r="A13478" s="1">
        <v>5.0</v>
      </c>
      <c r="B13478" s="1" t="s">
        <v>13358</v>
      </c>
      <c r="C13478" t="str">
        <f>IFERROR(__xludf.DUMMYFUNCTION("GOOGLETRANSLATE(B13478, ""es"", ""en"")"),"The opening and closing system a bit annoying, but their ability is excellent although not quite get my hands on the opening system, it is an ingenious pendrive, and most importantly, it offers plenty of capacity. I have not had any problems so far.")</f>
        <v>The opening and closing system a bit annoying, but their ability is excellent although not quite get my hands on the opening system, it is an ingenious pendrive, and most importantly, it offers plenty of capacity. I have not had any problems so far.</v>
      </c>
    </row>
    <row r="13479">
      <c r="A13479" s="1">
        <v>5.0</v>
      </c>
      <c r="B13479" s="1" t="s">
        <v>42</v>
      </c>
      <c r="C13479" t="str">
        <f>IFERROR(__xludf.DUMMYFUNCTION("GOOGLETRANSLATE(B13479, ""es"", ""en"")"),"Well well")</f>
        <v>Well well</v>
      </c>
    </row>
    <row r="13480">
      <c r="A13480" s="1">
        <v>5.0</v>
      </c>
      <c r="B13480" s="1" t="s">
        <v>461</v>
      </c>
      <c r="C13480" t="str">
        <f>IFERROR(__xludf.DUMMYFUNCTION("GOOGLETRANSLATE(B13480, ""es"", ""en"")"),"excellent excellent")</f>
        <v>excellent excellent</v>
      </c>
    </row>
    <row r="13481">
      <c r="A13481" s="1">
        <v>5.0</v>
      </c>
      <c r="B13481" s="1" t="s">
        <v>13359</v>
      </c>
      <c r="C13481" t="str">
        <f>IFERROR(__xludf.DUMMYFUNCTION("GOOGLETRANSLATE(B13481, ""es"", ""en"")"),"Comodo and correct size In the opinion of the person to whom I gave it told me is very comfortable and it's like wearing nothing, the set pressure is correct and is nice. It looks good and is very aesthetic.")</f>
        <v>Comodo and correct size In the opinion of the person to whom I gave it told me is very comfortable and it's like wearing nothing, the set pressure is correct and is nice. It looks good and is very aesthetic.</v>
      </c>
    </row>
    <row r="13482">
      <c r="A13482" s="1">
        <v>5.0</v>
      </c>
      <c r="B13482" s="1" t="s">
        <v>13360</v>
      </c>
      <c r="C13482" t="str">
        <f>IFERROR(__xludf.DUMMYFUNCTION("GOOGLETRANSLATE(B13482, ""es"", ""en"")"),"VERY GOOD AND GREAT PRICE HALF ZAPATILLA VERY NICE CLASSIC. I HAVE THREE PAIRS. HE DISCOVERED IN AMAZON MEDIA NUMBERS EXIST. THE BECAUSE I WAS VERY returned FAIR AND THE NUMBER more perfect. AND GREAT PRICE.")</f>
        <v>VERY GOOD AND GREAT PRICE HALF ZAPATILLA VERY NICE CLASSIC. I HAVE THREE PAIRS. HE DISCOVERED IN AMAZON MEDIA NUMBERS EXIST. THE BECAUSE I WAS VERY returned FAIR AND THE NUMBER more perfect. AND GREAT PRICE.</v>
      </c>
    </row>
    <row r="13483">
      <c r="A13483" s="1">
        <v>5.0</v>
      </c>
      <c r="B13483" s="1" t="s">
        <v>13361</v>
      </c>
      <c r="C13483" t="str">
        <f>IFERROR(__xludf.DUMMYFUNCTION("GOOGLETRANSLATE(B13483, ""es"", ""en"")"),"Q Better than expected Very comfortable, stable and light")</f>
        <v>Q Better than expected Very comfortable, stable and light</v>
      </c>
    </row>
    <row r="13484">
      <c r="A13484" s="1">
        <v>2.0</v>
      </c>
      <c r="B13484" s="1" t="s">
        <v>13362</v>
      </c>
      <c r="C13484" t="str">
        <f>IFERROR(__xludf.DUMMYFUNCTION("GOOGLETRANSLATE(B13484, ""es"", ""en"")"),"untitled It may be my fault for not noticing fine but the numbers are blank and black screen does not look good time.")</f>
        <v>untitled It may be my fault for not noticing fine but the numbers are blank and black screen does not look good time.</v>
      </c>
    </row>
    <row r="13485">
      <c r="A13485" s="1">
        <v>3.0</v>
      </c>
      <c r="B13485" s="1" t="s">
        <v>13363</v>
      </c>
      <c r="C13485" t="str">
        <f>IFERROR(__xludf.DUMMYFUNCTION("GOOGLETRANSLATE(B13485, ""es"", ""en"")"),"eye are a little big my wife has several pairs and these are as a size more than makes")</f>
        <v>eye are a little big my wife has several pairs and these are as a size more than makes</v>
      </c>
    </row>
    <row r="13486">
      <c r="A13486" s="1">
        <v>3.0</v>
      </c>
      <c r="B13486" s="1" t="s">
        <v>13364</v>
      </c>
      <c r="C13486" t="str">
        <f>IFERROR(__xludf.DUMMYFUNCTION("GOOGLETRANSLATE(B13486, ""es"", ""en"")"),"COLOR PHOTO DISTA is a gray very, very black. It's a shame. Much more interesting picture than in reality. So if comodííííísimas and very hot. The quality is noticeable. But since this is an online purchase, the photo does not correspond 100% with the art"&amp;"icle is not a good experience for the buyer.")</f>
        <v>COLOR PHOTO DISTA is a gray very, very black. It's a shame. Much more interesting picture than in reality. So if comodííííísimas and very hot. The quality is noticeable. But since this is an online purchase, the photo does not correspond 100% with the article is not a good experience for the buyer.</v>
      </c>
    </row>
    <row r="13487">
      <c r="A13487" s="1">
        <v>1.0</v>
      </c>
      <c r="B13487" s="1" t="s">
        <v>13365</v>
      </c>
      <c r="C13487" t="str">
        <f>IFERROR(__xludf.DUMMYFUNCTION("GOOGLETRANSLATE(B13487, ""es"", ""en"")"),"ARE NOT ORIGINAL've had to change because I asked for the number I always use at Reebok and I was small. I have put up only three times for a few hours and have already been taken off the sole. Very rare especially if they are as original as they say ...."&amp;" For my part I do not recommend buying them.")</f>
        <v>ARE NOT ORIGINAL've had to change because I asked for the number I always use at Reebok and I was small. I have put up only three times for a few hours and have already been taken off the sole. Very rare especially if they are as original as they say .... For my part I do not recommend buying them.</v>
      </c>
    </row>
    <row r="13488">
      <c r="A13488" s="1">
        <v>1.0</v>
      </c>
      <c r="B13488" s="1" t="s">
        <v>13366</v>
      </c>
      <c r="C13488" t="str">
        <f>IFERROR(__xludf.DUMMYFUNCTION("GOOGLETRANSLATE(B13488, ""es"", ""en"")"),"The sound I correct 3 applications and the left ear no longer works and I can not synchronize with the phone. I hope you change it. The worst transportation and failing to get a manual in Spanish")</f>
        <v>The sound I correct 3 applications and the left ear no longer works and I can not synchronize with the phone. I hope you change it. The worst transportation and failing to get a manual in Spanish</v>
      </c>
    </row>
    <row r="13489">
      <c r="A13489" s="1">
        <v>4.0</v>
      </c>
      <c r="B13489" s="1" t="s">
        <v>13367</v>
      </c>
      <c r="C13489" t="str">
        <f>IFERROR(__xludf.DUMMYFUNCTION("GOOGLETRANSLATE(B13489, ""es"", ""en"")"),"GOOD clock was looking for a watch had long G shock, I was seduced by the issue of radio control has always unhinged me the advance or delay times with changing annual hour, this is done automatically apart is solar is loaded with 5 minutes exposed to the"&amp;" sun, the size is yours is not as cumbersome as it sounds, if it is true that if you want something more sophisticated this is not your watch because apart from the writing you control the moon phases and tides and is a digital clock typical, there anothe"&amp;"r model like this cheaper but it is not radicontrolado, and others that are aesthetically beautiful Casio and cheaper, if you think twice deserves the latter is worth saving twice. By talking about my say clock that controls the power automatically when i"&amp;"t detects that you do not use is switched to the full until you press a button to turn to encender.La light comes on with a flick of the wrist and pressing a button, it is fair to see hora.Me like the calendar is fully automatic and does not need to adjus"&amp;"t certain months.")</f>
        <v>GOOD clock was looking for a watch had long G shock, I was seduced by the issue of radio control has always unhinged me the advance or delay times with changing annual hour, this is done automatically apart is solar is loaded with 5 minutes exposed to the sun, the size is yours is not as cumbersome as it sounds, if it is true that if you want something more sophisticated this is not your watch because apart from the writing you control the moon phases and tides and is a digital clock typical, there another model like this cheaper but it is not radicontrolado, and others that are aesthetically beautiful Casio and cheaper, if you think twice deserves the latter is worth saving twice. By talking about my say clock that controls the power automatically when it detects that you do not use is switched to the full until you press a button to turn to encender.La light comes on with a flick of the wrist and pressing a button, it is fair to see hora.Me like the calendar is fully automatic and does not need to adjust certain months.</v>
      </c>
    </row>
    <row r="13490">
      <c r="A13490" s="1">
        <v>4.0</v>
      </c>
      <c r="B13490" s="1" t="s">
        <v>13368</v>
      </c>
      <c r="C13490" t="str">
        <f>IFERROR(__xludf.DUMMYFUNCTION("GOOGLETRANSLATE(B13490, ""es"", ""en"")"),"Silent is fairly quiet, thanks thing because I use it in the office. Cover with filter is useful if you wanted to take some grass inside with boiling water.")</f>
        <v>Silent is fairly quiet, thanks thing because I use it in the office. Cover with filter is useful if you wanted to take some grass inside with boiling water.</v>
      </c>
    </row>
    <row r="13491">
      <c r="A13491" s="1">
        <v>4.0</v>
      </c>
      <c r="B13491" s="1" t="s">
        <v>13369</v>
      </c>
      <c r="C13491" t="str">
        <f>IFERROR(__xludf.DUMMYFUNCTION("GOOGLETRANSLATE(B13491, ""es"", ""en"")"),"Ranking Very nice watch and I can combine with elegant than what you put on and very satisfied with the purchase")</f>
        <v>Ranking Very nice watch and I can combine with elegant than what you put on and very satisfied with the purchase</v>
      </c>
    </row>
    <row r="13492">
      <c r="A13492" s="1">
        <v>4.0</v>
      </c>
      <c r="B13492" s="1" t="s">
        <v>13370</v>
      </c>
      <c r="C13492" t="str">
        <f>IFERROR(__xludf.DUMMYFUNCTION("GOOGLETRANSLATE(B13492, ""es"", ""en"")"),"OK but very justito it is smaller than I thought, and lock but goes well it looks like a bowler hat that will not last long, for the money is well")</f>
        <v>OK but very justito it is smaller than I thought, and lock but goes well it looks like a bowler hat that will not last long, for the money is well</v>
      </c>
    </row>
    <row r="13493">
      <c r="A13493" s="1">
        <v>4.0</v>
      </c>
      <c r="B13493" s="1" t="s">
        <v>13371</v>
      </c>
      <c r="C13493" t="str">
        <f>IFERROR(__xludf.DUMMYFUNCTION("GOOGLETRANSLATE(B13493, ""es"", ""en"")"),"Pretty good detail")</f>
        <v>Pretty good detail</v>
      </c>
    </row>
    <row r="13494">
      <c r="A13494" s="1">
        <v>5.0</v>
      </c>
      <c r="B13494" s="1" t="s">
        <v>13372</v>
      </c>
      <c r="C13494" t="str">
        <f>IFERROR(__xludf.DUMMYFUNCTION("GOOGLETRANSLATE(B13494, ""es"", ""en"")"),"great autonomy !!! wireless headphones with a very nice design and small size fits very well in the ears and comes with three different battery sizes almhoadillas.La hard enough and its capacity 2200 mah allows you to charge our phone (that liked me enoug"&amp;"h). The sound quality is very good for the price ofrecen.Se connect very quick and easy and no interupciones when exercising. IPX7 waterproof certificate can withstand sweat and rain. Anyway, good headphones that recommend")</f>
        <v>great autonomy !!! wireless headphones with a very nice design and small size fits very well in the ears and comes with three different battery sizes almhoadillas.La hard enough and its capacity 2200 mah allows you to charge our phone (that liked me enough). The sound quality is very good for the price ofrecen.Se connect very quick and easy and no interupciones when exercising. IPX7 waterproof certificate can withstand sweat and rain. Anyway, good headphones that recommend</v>
      </c>
    </row>
    <row r="13495">
      <c r="A13495" s="1">
        <v>5.0</v>
      </c>
      <c r="B13495" s="1" t="s">
        <v>13373</v>
      </c>
      <c r="C13495" t="str">
        <f>IFERROR(__xludf.DUMMYFUNCTION("GOOGLETRANSLATE(B13495, ""es"", ""en"")"),"I enjoyed very comfortable and nice shirt. The first time I bought this brand and I am very satisfied.")</f>
        <v>I enjoyed very comfortable and nice shirt. The first time I bought this brand and I am very satisfied.</v>
      </c>
    </row>
    <row r="13496">
      <c r="A13496" s="1">
        <v>5.0</v>
      </c>
      <c r="B13496" s="1" t="s">
        <v>13374</v>
      </c>
      <c r="C13496" t="str">
        <f>IFERROR(__xludf.DUMMYFUNCTION("GOOGLETRANSLATE(B13496, ""es"", ""en"")"),"They are really cool I really like these shoes, especially for the color that gives a different touch. Comfortable and light, but when you walk for a long time with them cause pain in the side of the foot, so far I have not noticed chafing after use.")</f>
        <v>They are really cool I really like these shoes, especially for the color that gives a different touch. Comfortable and light, but when you walk for a long time with them cause pain in the side of the foot, so far I have not noticed chafing after use.</v>
      </c>
    </row>
    <row r="13497">
      <c r="A13497" s="1">
        <v>5.0</v>
      </c>
      <c r="B13497" s="1" t="s">
        <v>13375</v>
      </c>
      <c r="C13497" t="str">
        <f>IFERROR(__xludf.DUMMYFUNCTION("GOOGLETRANSLATE(B13497, ""es"", ""en"")"),"Very good shoulder bag for men. Very good quality, practical size and pockets. I highly recommend purchase at this size and the smaller too.")</f>
        <v>Very good shoulder bag for men. Very good quality, practical size and pockets. I highly recommend purchase at this size and the smaller too.</v>
      </c>
    </row>
    <row r="13498">
      <c r="A13498" s="1">
        <v>5.0</v>
      </c>
      <c r="B13498" s="1" t="s">
        <v>13376</v>
      </c>
      <c r="C13498" t="str">
        <f>IFERROR(__xludf.DUMMYFUNCTION("GOOGLETRANSLATE(B13498, ""es"", ""en"")"),"Nice and light good product")</f>
        <v>Nice and light good product</v>
      </c>
    </row>
    <row r="13499">
      <c r="A13499" s="1">
        <v>5.0</v>
      </c>
      <c r="B13499" s="1" t="s">
        <v>13377</v>
      </c>
      <c r="C13499" t="str">
        <f>IFERROR(__xludf.DUMMYFUNCTION("GOOGLETRANSLATE(B13499, ""es"", ""en"")"),"soon came Okay, for a gift for someone, make a detailed")</f>
        <v>soon came Okay, for a gift for someone, make a detailed</v>
      </c>
    </row>
    <row r="13500">
      <c r="A13500" s="1">
        <v>5.0</v>
      </c>
      <c r="B13500" s="1" t="s">
        <v>13378</v>
      </c>
      <c r="C13500" t="str">
        <f>IFERROR(__xludf.DUMMYFUNCTION("GOOGLETRANSLATE(B13500, ""es"", ""en"")"),"Good value for money've been using the moment three months and works perfectly")</f>
        <v>Good value for money've been using the moment three months and works perfectly</v>
      </c>
    </row>
    <row r="13501">
      <c r="A13501" s="1">
        <v>5.0</v>
      </c>
      <c r="B13501" s="1" t="s">
        <v>13379</v>
      </c>
      <c r="C13501" t="str">
        <f>IFERROR(__xludf.DUMMYFUNCTION("GOOGLETRANSLATE(B13501, ""es"", ""en"")"),"Comfort are very comfortable, well withstand sweat and do not fall.")</f>
        <v>Comfort are very comfortable, well withstand sweat and do not fall.</v>
      </c>
    </row>
    <row r="13502">
      <c r="A13502" s="1">
        <v>5.0</v>
      </c>
      <c r="B13502" s="1" t="s">
        <v>13380</v>
      </c>
      <c r="C13502" t="str">
        <f>IFERROR(__xludf.DUMMYFUNCTION("GOOGLETRANSLATE(B13502, ""es"", ""en"")"),"It helps me a lot great place rj45 wiring installations without taladrarle to the customer. They delighted and I also bought several")</f>
        <v>It helps me a lot great place rj45 wiring installations without taladrarle to the customer. They delighted and I also bought several</v>
      </c>
    </row>
    <row r="13503">
      <c r="A13503" s="1">
        <v>5.0</v>
      </c>
      <c r="B13503" s="1" t="s">
        <v>13381</v>
      </c>
      <c r="C13503" t="str">
        <f>IFERROR(__xludf.DUMMYFUNCTION("GOOGLETRANSLATE(B13503, ""es"", ""en"")"),"I love good buy. They are the third pair I bought the same model because of stuck with everything and are very comfortable. I have 39 and that is what I bought and is perfect")</f>
        <v>I love good buy. They are the third pair I bought the same model because of stuck with everything and are very comfortable. I have 39 and that is what I bought and is perfect</v>
      </c>
    </row>
    <row r="13504">
      <c r="A13504" s="1">
        <v>5.0</v>
      </c>
      <c r="B13504" s="1" t="s">
        <v>13382</v>
      </c>
      <c r="C13504" t="str">
        <f>IFERROR(__xludf.DUMMYFUNCTION("GOOGLETRANSLATE(B13504, ""es"", ""en"")"),"Excellent price for excellent for its price")</f>
        <v>Excellent price for excellent for its price</v>
      </c>
    </row>
    <row r="13505">
      <c r="A13505" s="1">
        <v>5.0</v>
      </c>
      <c r="B13505" s="1" t="s">
        <v>13383</v>
      </c>
      <c r="C13505" t="str">
        <f>IFERROR(__xludf.DUMMYFUNCTION("GOOGLETRANSLATE(B13505, ""es"", ""en"")"),"Actually I needed a very good product, excellent quality for the price paid !. Size according to what I was looking, very happy with the purchase.")</f>
        <v>Actually I needed a very good product, excellent quality for the price paid !. Size according to what I was looking, very happy with the purchase.</v>
      </c>
    </row>
    <row r="13506">
      <c r="A13506" s="1">
        <v>5.0</v>
      </c>
      <c r="B13506" s="1" t="s">
        <v>13384</v>
      </c>
      <c r="C13506" t="str">
        <f>IFERROR(__xludf.DUMMYFUNCTION("GOOGLETRANSLATE(B13506, ""es"", ""en"")"),"Good sound with a very practical and comfortable design I liked because they are very comfortable when wearing them, mate well to the ear with a sound that close to perfection for the price they have, come in a box round where there are also various spare"&amp;" parts for tapincitos ear and put it in charge cable .Easy to pair with Bluetooth device, I have an S7 edge and have had no problems.")</f>
        <v>Good sound with a very practical and comfortable design I liked because they are very comfortable when wearing them, mate well to the ear with a sound that close to perfection for the price they have, come in a box round where there are also various spare parts for tapincitos ear and put it in charge cable .Easy to pair with Bluetooth device, I have an S7 edge and have had no problems.</v>
      </c>
    </row>
    <row r="13507">
      <c r="A13507" s="1">
        <v>5.0</v>
      </c>
      <c r="B13507" s="1" t="s">
        <v>13385</v>
      </c>
      <c r="C13507" t="str">
        <f>IFERROR(__xludf.DUMMYFUNCTION("GOOGLETRANSLATE(B13507, ""es"", ""en"")"),"The product is good the product complies very well with what I expected from him. Cleaning is fast and comfortable places.")</f>
        <v>The product is good the product complies very well with what I expected from him. Cleaning is fast and comfortable places.</v>
      </c>
    </row>
    <row r="13508">
      <c r="A13508" s="1">
        <v>5.0</v>
      </c>
      <c r="B13508" s="1" t="s">
        <v>13386</v>
      </c>
      <c r="C13508" t="str">
        <f>IFERROR(__xludf.DUMMYFUNCTION("GOOGLETRANSLATE(B13508, ""es"", ""en"")"),"It's a quick and easy secure, no cheating or cardboard, shipping is fast and on schedule, and in relation to the product is exactly what is described")</f>
        <v>It's a quick and easy secure, no cheating or cardboard, shipping is fast and on schedule, and in relation to the product is exactly what is described</v>
      </c>
    </row>
    <row r="13509">
      <c r="A13509" s="1">
        <v>5.0</v>
      </c>
      <c r="B13509" s="1" t="s">
        <v>13387</v>
      </c>
      <c r="C13509" t="str">
        <f>IFERROR(__xludf.DUMMYFUNCTION("GOOGLETRANSLATE(B13509, ""es"", ""en"")"),"All you need at a glance I love, you have everything at a glance and clearly, time in two modes (for those who like me are not clarified if you tell 18:00), day and month not get confused and know that you day and month. Light, darkness comes to you very "&amp;"well, although not to illuminate the entire screen, but you can see quite well. simple, one-hour timer, when it comes to 1 hour starts again, for what you have to use it more than enough. With its alarm beep beep lifetime, and beep when activated, to be g"&amp;"rateful to know that you have to watch the clock because it has already fallen another hour and you'll be late. Light, does not bother, submersible really do not like now, you can always take up in the shower, pool, beach, This one does not fuck, not subm"&amp;"ersible mobile now. Is a liberation not have to be going screens and opening applications to do or see things. Retro LOVES ME, lightweight, super useful, recommended 200% and at these prices is no doubt.")</f>
        <v>All you need at a glance I love, you have everything at a glance and clearly, time in two modes (for those who like me are not clarified if you tell 18:00), day and month not get confused and know that you day and month. Light, darkness comes to you very well, although not to illuminate the entire screen, but you can see quite well. simple, one-hour timer, when it comes to 1 hour starts again, for what you have to use it more than enough. With its alarm beep beep lifetime, and beep when activated, to be grateful to know that you have to watch the clock because it has already fallen another hour and you'll be late. Light, does not bother, submersible really do not like now, you can always take up in the shower, pool, beach, This one does not fuck, not submersible mobile now. Is a liberation not have to be going screens and opening applications to do or see things. Retro LOVES ME, lightweight, super useful, recommended 200% and at these prices is no doubt.</v>
      </c>
    </row>
    <row r="13510">
      <c r="A13510" s="1">
        <v>5.0</v>
      </c>
      <c r="B13510" s="1" t="s">
        <v>13388</v>
      </c>
      <c r="C13510" t="str">
        <f>IFERROR(__xludf.DUMMYFUNCTION("GOOGLETRANSLATE(B13510, ""es"", ""en"")"),"fulfill their function if they are not original, for my taste, it sound worse than those who come with the phone")</f>
        <v>fulfill their function if they are not original, for my taste, it sound worse than those who come with the phone</v>
      </c>
    </row>
    <row r="13511">
      <c r="A13511" s="1">
        <v>5.0</v>
      </c>
      <c r="B13511" s="1" t="s">
        <v>13389</v>
      </c>
      <c r="C13511" t="str">
        <f>IFERROR(__xludf.DUMMYFUNCTION("GOOGLETRANSLATE(B13511, ""es"", ""en"")"),"He wore sorpresón time testing different headphones-ear type. They were spoiled and then bought others. None of them deserved mention. right sound, some more or less better in terms of subject ... I just bought this and I can only say WOW! Well above the "&amp;"average in this price range !!! Very good bass and better hold to the ear I have ever experienced in this type of headphones. THEY HAVE ENCHANTED ME.")</f>
        <v>He wore sorpresón time testing different headphones-ear type. They were spoiled and then bought others. None of them deserved mention. right sound, some more or less better in terms of subject ... I just bought this and I can only say WOW! Well above the average in this price range !!! Very good bass and better hold to the ear I have ever experienced in this type of headphones. THEY HAVE ENCHANTED ME.</v>
      </c>
    </row>
    <row r="13512">
      <c r="A13512" s="1">
        <v>2.0</v>
      </c>
      <c r="B13512" s="1" t="s">
        <v>13390</v>
      </c>
      <c r="C13512" t="str">
        <f>IFERROR(__xludf.DUMMYFUNCTION("GOOGLETRANSLATE(B13512, ""es"", ""en"")"),"Regular headphones arrived defective. one of them does not work. They should offer option trading. offer money back. but if ever want to buy now the price has gone up ..")</f>
        <v>Regular headphones arrived defective. one of them does not work. They should offer option trading. offer money back. but if ever want to buy now the price has gone up ..</v>
      </c>
    </row>
    <row r="13513">
      <c r="A13513" s="1">
        <v>3.0</v>
      </c>
      <c r="B13513" s="1" t="s">
        <v>13391</v>
      </c>
      <c r="C13513" t="str">
        <f>IFERROR(__xludf.DUMMYFUNCTION("GOOGLETRANSLATE(B13513, ""es"", ""en"")"),"Good quality but imprecise size materials were of good quality but the size I chose was not adequate and did not fit the bill.")</f>
        <v>Good quality but imprecise size materials were of good quality but the size I chose was not adequate and did not fit the bill.</v>
      </c>
    </row>
    <row r="13514">
      <c r="A13514" s="1">
        <v>3.0</v>
      </c>
      <c r="B13514" s="1" t="s">
        <v>13392</v>
      </c>
      <c r="C13514" t="str">
        <f>IFERROR(__xludf.DUMMYFUNCTION("GOOGLETRANSLATE(B13514, ""es"", ""en"")"),"only one earring is not bad, something difficult to put on. Only comes a slope, and just as well as it is quite striking.")</f>
        <v>only one earring is not bad, something difficult to put on. Only comes a slope, and just as well as it is quite striking.</v>
      </c>
    </row>
    <row r="13515">
      <c r="A13515" s="1">
        <v>1.0</v>
      </c>
      <c r="B13515" s="1" t="s">
        <v>13393</v>
      </c>
      <c r="C13515" t="str">
        <f>IFERROR(__xludf.DUMMYFUNCTION("GOOGLETRANSLATE(B13515, ""es"", ""en"")"),"Safety footwear was happy with them until I began to notice that the soles were not going well, as he had taken off something inside, even to sound when trod water. The sole has worn remarkably even been cracked material. Disappointed by the purchase of a"&amp;"ll the shoes I had, some I even have lasted 3-4 years, this is the least it has. In addition all the information is in Chinese, do not bring cash because they come packed with plastic.")</f>
        <v>Safety footwear was happy with them until I began to notice that the soles were not going well, as he had taken off something inside, even to sound when trod water. The sole has worn remarkably even been cracked material. Disappointed by the purchase of all the shoes I had, some I even have lasted 3-4 years, this is the least it has. In addition all the information is in Chinese, do not bring cash because they come packed with plastic.</v>
      </c>
    </row>
    <row r="13516">
      <c r="A13516" s="1">
        <v>1.0</v>
      </c>
      <c r="B13516" s="1" t="s">
        <v>13394</v>
      </c>
      <c r="C13516" t="str">
        <f>IFERROR(__xludf.DUMMYFUNCTION("GOOGLETRANSLATE(B13516, ""es"", ""en"")"),"Not recommended shoddy earrings are not good quality. The threads are not well made and difficult to screw and desenroscalos")</f>
        <v>Not recommended shoddy earrings are not good quality. The threads are not well made and difficult to screw and desenroscalos</v>
      </c>
    </row>
    <row r="13517">
      <c r="A13517" s="1">
        <v>4.0</v>
      </c>
      <c r="B13517" s="1" t="s">
        <v>13395</v>
      </c>
      <c r="C13517" t="str">
        <f>IFERROR(__xludf.DUMMYFUNCTION("GOOGLETRANSLATE(B13517, ""es"", ""en"")"),"European sizes are not good product sizes for Asian, European je size is different, 8xl corresponds to 3XL.")</f>
        <v>European sizes are not good product sizes for Asian, European je size is different, 8xl corresponds to 3XL.</v>
      </c>
    </row>
    <row r="13518">
      <c r="A13518" s="1">
        <v>4.0</v>
      </c>
      <c r="B13518" s="1" t="s">
        <v>13396</v>
      </c>
      <c r="C13518" t="str">
        <f>IFERROR(__xludf.DUMMYFUNCTION("GOOGLETRANSLATE(B13518, ""es"", ""en"")"),"3 B: Well, Bonito y Barato. I have used 3 or 4 times only but the power is exceptional. His body looks sturdy and durable. As for other accessories, yet I have not had occasion to use them, but little work properly, the blender along with the entire set f"&amp;"or the price it costs ... worth it.")</f>
        <v>3 B: Well, Bonito y Barato. I have used 3 or 4 times only but the power is exceptional. His body looks sturdy and durable. As for other accessories, yet I have not had occasion to use them, but little work properly, the blender along with the entire set for the price it costs ... worth it.</v>
      </c>
    </row>
    <row r="13519">
      <c r="A13519" s="1">
        <v>4.0</v>
      </c>
      <c r="B13519" s="1" t="s">
        <v>13397</v>
      </c>
      <c r="C13519" t="str">
        <f>IFERROR(__xludf.DUMMYFUNCTION("GOOGLETRANSLATE(B13519, ""es"", ""en"")"),"Okay, missing a small case The truth is that for the price is not bad, compared to other much more expensive and marking recognized and above all considerably more expensive. Packaging and a cardboard box, better few plastic. Fit very well in the lead, yo"&amp;"u have pads of various sizes (six) for different types of ears ... If I made a small case Memos to store they can be, we do not always hang. Regarding the sound, I'm not strict in that sense, I will use for sports and quality of sound for me is not the mo"&amp;"st important. But still I must admit that sound great for the price. Have connected to two devices at once without problem, a player and a mobile phone, you can listen to music on the player and answer a call with the phone, that if when the call comes th"&amp;"e music is cut. Very happy with the purchase and lasts for at least one year and would be perfect, have taken on far more expensive that only lasted me six months, I think that as much sweat spoil that.")</f>
        <v>Okay, missing a small case The truth is that for the price is not bad, compared to other much more expensive and marking recognized and above all considerably more expensive. Packaging and a cardboard box, better few plastic. Fit very well in the lead, you have pads of various sizes (six) for different types of ears ... If I made a small case Memos to store they can be, we do not always hang. Regarding the sound, I'm not strict in that sense, I will use for sports and quality of sound for me is not the most important. But still I must admit that sound great for the price. Have connected to two devices at once without problem, a player and a mobile phone, you can listen to music on the player and answer a call with the phone, that if when the call comes the music is cut. Very happy with the purchase and lasts for at least one year and would be perfect, have taken on far more expensive that only lasted me six months, I think that as much sweat spoil that.</v>
      </c>
    </row>
    <row r="13520">
      <c r="A13520" s="1">
        <v>4.0</v>
      </c>
      <c r="B13520" s="1" t="s">
        <v>13398</v>
      </c>
      <c r="C13520" t="str">
        <f>IFERROR(__xludf.DUMMYFUNCTION("GOOGLETRANSLATE(B13520, ""es"", ""en"")"),"Good socks meet well for autumn winter.")</f>
        <v>Good socks meet well for autumn winter.</v>
      </c>
    </row>
    <row r="13521">
      <c r="A13521" s="1">
        <v>5.0</v>
      </c>
      <c r="B13521" s="1" t="s">
        <v>13399</v>
      </c>
      <c r="C13521" t="str">
        <f>IFERROR(__xludf.DUMMYFUNCTION("GOOGLETRANSLATE(B13521, ""es"", ""en"")"),"Very comfortable boots and Panama Jack Quality is a safe buy. The boots are very comfortable and perfectly fit the foot. In addition to the winter are warm and water resistant.")</f>
        <v>Very comfortable boots and Panama Jack Quality is a safe buy. The boots are very comfortable and perfectly fit the foot. In addition to the winter are warm and water resistant.</v>
      </c>
    </row>
    <row r="13522">
      <c r="A13522" s="1">
        <v>5.0</v>
      </c>
      <c r="B13522" s="1" t="s">
        <v>13400</v>
      </c>
      <c r="C13522" t="str">
        <f>IFERROR(__xludf.DUMMYFUNCTION("GOOGLETRANSLATE(B13522, ""es"", ""en"")"),"Best of dramatic market-level hard drive. High capacity and very fast.")</f>
        <v>Best of dramatic market-level hard drive. High capacity and very fast.</v>
      </c>
    </row>
    <row r="13523">
      <c r="A13523" s="1">
        <v>5.0</v>
      </c>
      <c r="B13523" s="1" t="s">
        <v>13401</v>
      </c>
      <c r="C13523" t="str">
        <f>IFERROR(__xludf.DUMMYFUNCTION("GOOGLETRANSLATE(B13523, ""es"", ""en"")"),"On-time delivery is what I expected, nothing less")</f>
        <v>On-time delivery is what I expected, nothing less</v>
      </c>
    </row>
    <row r="13524">
      <c r="A13524" s="1">
        <v>5.0</v>
      </c>
      <c r="B13524" s="1" t="s">
        <v>13402</v>
      </c>
      <c r="C13524" t="str">
        <f>IFERROR(__xludf.DUMMYFUNCTION("GOOGLETRANSLATE(B13524, ""es"", ""en"")"),"Very comfortable and good sound. Buy these headphones for sports. Best of all is that small hugging ear headbands are super comfortable. A being of a soft material are stuck at any point. They bring a small box very comfortable to keep and carry the charg"&amp;"er cable. The sound for the price is great, as the volume. The power button is located at pause and just right on the outside of the handset so it is very easy to set them up or pause. Definitely I recommend it.")</f>
        <v>Very comfortable and good sound. Buy these headphones for sports. Best of all is that small hugging ear headbands are super comfortable. A being of a soft material are stuck at any point. They bring a small box very comfortable to keep and carry the charger cable. The sound for the price is great, as the volume. The power button is located at pause and just right on the outside of the handset so it is very easy to set them up or pause. Definitely I recommend it.</v>
      </c>
    </row>
    <row r="13525">
      <c r="A13525" s="1">
        <v>5.0</v>
      </c>
      <c r="B13525" s="1" t="s">
        <v>13403</v>
      </c>
      <c r="C13525" t="str">
        <f>IFERROR(__xludf.DUMMYFUNCTION("GOOGLETRANSLATE(B13525, ""es"", ""en"")"),"Good quality covers cases have good quality and are resistant. They came in a box so that transport are not damaged")</f>
        <v>Good quality covers cases have good quality and are resistant. They came in a box so that transport are not damaged</v>
      </c>
    </row>
    <row r="13526">
      <c r="A13526" s="1">
        <v>5.0</v>
      </c>
      <c r="B13526" s="1" t="s">
        <v>13404</v>
      </c>
      <c r="C13526" t="str">
        <f>IFERROR(__xludf.DUMMYFUNCTION("GOOGLETRANSLATE(B13526, ""es"", ""en"")"),"necessary clock had been looking a watch of this kind to my father and I decided on this model for its design. It is a very elegant and classic watch strap is strong and fits snugly to the wrist. It comes in a nice box with a screw to adjust the strap. It"&amp;" is a highly recommended watch.")</f>
        <v>necessary clock had been looking a watch of this kind to my father and I decided on this model for its design. It is a very elegant and classic watch strap is strong and fits snugly to the wrist. It comes in a nice box with a screw to adjust the strap. It is a highly recommended watch.</v>
      </c>
    </row>
    <row r="13527">
      <c r="A13527" s="1">
        <v>5.0</v>
      </c>
      <c r="B13527" s="1" t="s">
        <v>13405</v>
      </c>
      <c r="C13527" t="str">
        <f>IFERROR(__xludf.DUMMYFUNCTION("GOOGLETRANSLATE(B13527, ""es"", ""en"")"),"Great product great is heard")</f>
        <v>Great product great is heard</v>
      </c>
    </row>
    <row r="13528">
      <c r="A13528" s="1">
        <v>5.0</v>
      </c>
      <c r="B13528" s="1" t="s">
        <v>13406</v>
      </c>
      <c r="C13528" t="str">
        <f>IFERROR(__xludf.DUMMYFUNCTION("GOOGLETRANSLATE(B13528, ""es"", ""en"")"),"Very good There was never used this brand in storage devices and have to say I was very pleasantly surprised. I bought the 128GB and has real 119.3 and the speed test gave me 48.3 MB / s in writing and 63.1 in reading, both stable values ​​and they are no"&amp;"t bad, even better than other cards ""first"" much more expensive brands. I recorded videos 4k without any problems. It comes in perfect packaging. Although it manufactured in Taiwan puts that brand is Japanese. I recommend purchase based on my experience")</f>
        <v>Very good There was never used this brand in storage devices and have to say I was very pleasantly surprised. I bought the 128GB and has real 119.3 and the speed test gave me 48.3 MB / s in writing and 63.1 in reading, both stable values ​​and they are not bad, even better than other cards "first" much more expensive brands. I recorded videos 4k without any problems. It comes in perfect packaging. Although it manufactured in Taiwan puts that brand is Japanese. I recommend purchase based on my experience</v>
      </c>
    </row>
    <row r="13529">
      <c r="A13529" s="1">
        <v>5.0</v>
      </c>
      <c r="B13529" s="1" t="s">
        <v>13407</v>
      </c>
      <c r="C13529" t="str">
        <f>IFERROR(__xludf.DUMMYFUNCTION("GOOGLETRANSLATE(B13529, ""es"", ""en"")"),"Triumphed with gift was a gift for a friend and loved invisibe. This person works hard taking photos with mobile documentation and then was a bummer for him to have to be watching the images. It downloads fast and has a lot of capacity. Great to dump phot"&amp;"os, audios, videos, images and not take everything on your phone, so you can pass.")</f>
        <v>Triumphed with gift was a gift for a friend and loved invisibe. This person works hard taking photos with mobile documentation and then was a bummer for him to have to be watching the images. It downloads fast and has a lot of capacity. Great to dump photos, audios, videos, images and not take everything on your phone, so you can pass.</v>
      </c>
    </row>
    <row r="13530">
      <c r="A13530" s="1">
        <v>5.0</v>
      </c>
      <c r="B13530" s="1" t="s">
        <v>13408</v>
      </c>
      <c r="C13530" t="str">
        <f>IFERROR(__xludf.DUMMYFUNCTION("GOOGLETRANSLATE(B13530, ""es"", ""en"")"),"It's fast and it's great")</f>
        <v>It's fast and it's great</v>
      </c>
    </row>
    <row r="13531">
      <c r="A13531" s="1">
        <v>5.0</v>
      </c>
      <c r="B13531" s="1" t="s">
        <v>13409</v>
      </c>
      <c r="C13531" t="str">
        <f>IFERROR(__xludf.DUMMYFUNCTION("GOOGLETRANSLATE(B13531, ""es"", ""en"")"),"Comfortable headphones, good sound quality and price very tight headphones great for day to day. Perfectly they fit my ear, but if I had some problem size, it comes with a adjustable gomitas three different sizes. I use them mainly as handsfree phone. I h"&amp;"ave a button on rl wire used to take the incoming call or to hang, if necessary. Also use them to listen to the radio mobile, because it makes antenna. And finally the use to listen to music. The material of the wire mesh is coated with a layer of soft, f"&amp;"lexible plastic very comfortable. The sound quality is adequate for the price you would recommend.")</f>
        <v>Comfortable headphones, good sound quality and price very tight headphones great for day to day. Perfectly they fit my ear, but if I had some problem size, it comes with a adjustable gomitas three different sizes. I use them mainly as handsfree phone. I have a button on rl wire used to take the incoming call or to hang, if necessary. Also use them to listen to the radio mobile, because it makes antenna. And finally the use to listen to music. The material of the wire mesh is coated with a layer of soft, flexible plastic very comfortable. The sound quality is adequate for the price you would recommend.</v>
      </c>
    </row>
    <row r="13532">
      <c r="A13532" s="1">
        <v>5.0</v>
      </c>
      <c r="B13532" s="1" t="s">
        <v>13410</v>
      </c>
      <c r="C13532" t="str">
        <f>IFERROR(__xludf.DUMMYFUNCTION("GOOGLETRANSLATE(B13532, ""es"", ""en"")"),"High quality at low price. Well I bought a lot of wireless headphones in the past, but only these satisfy me. The block price with the quality of the product is a product that allows you to experience music at its best. I liked the brand, so I'll keep buy"&amp;"ing brand products and recommend them to everyone.")</f>
        <v>High quality at low price. Well I bought a lot of wireless headphones in the past, but only these satisfy me. The block price with the quality of the product is a product that allows you to experience music at its best. I liked the brand, so I'll keep buying brand products and recommend them to everyone.</v>
      </c>
    </row>
    <row r="13533">
      <c r="A13533" s="1">
        <v>5.0</v>
      </c>
      <c r="B13533" s="1" t="s">
        <v>13411</v>
      </c>
      <c r="C13533" t="str">
        <f>IFERROR(__xludf.DUMMYFUNCTION("GOOGLETRANSLATE(B13533, ""es"", ""en"")"),"Powerful cleaner Alucinando am with this product, I bought it for its affordable price and to test if it really worked. And there just to see the photos .. The product fulfills its mission 100%. The only complaint I get is that once you're using the stick"&amp;", you have to go cutting to remove the dirt, and it is very difficult and hard to do. If anyone can tell me how you do, I was delighted to hear. I will repeat this purchase absolutely certain")</f>
        <v>Powerful cleaner Alucinando am with this product, I bought it for its affordable price and to test if it really worked. And there just to see the photos .. The product fulfills its mission 100%. The only complaint I get is that once you're using the stick, you have to go cutting to remove the dirt, and it is very difficult and hard to do. If anyone can tell me how you do, I was delighted to hear. I will repeat this purchase absolutely certain</v>
      </c>
    </row>
    <row r="13534">
      <c r="A13534" s="1">
        <v>5.0</v>
      </c>
      <c r="B13534" s="1" t="s">
        <v>13412</v>
      </c>
      <c r="C13534" t="str">
        <f>IFERROR(__xludf.DUMMYFUNCTION("GOOGLETRANSLATE(B13534, ""es"", ""en"")"),"Happy with the choice I bought it mainly through the mincer and renew my old mixer on having multiple speeds can adapt to food, no problem either to mahonesa. I tried to chop ice, but it comes with instructions that says permits. I put less comfort that t"&amp;"he blades of the chopper can not be washed.")</f>
        <v>Happy with the choice I bought it mainly through the mincer and renew my old mixer on having multiple speeds can adapt to food, no problem either to mahonesa. I tried to chop ice, but it comes with instructions that says permits. I put less comfort that the blades of the chopper can not be washed.</v>
      </c>
    </row>
    <row r="13535">
      <c r="A13535" s="1">
        <v>5.0</v>
      </c>
      <c r="B13535" s="1" t="s">
        <v>13413</v>
      </c>
      <c r="C13535" t="str">
        <f>IFERROR(__xludf.DUMMYFUNCTION("GOOGLETRANSLATE(B13535, ""es"", ""en"")"),"Recommend purchase are good headphones so far I have not failed, the cable is made of a material that never entangled stays forever as rolled, some people maybe can bother you because you can not bend, but for me it is a the advantage since you can place "&amp;"without desliarlos. Hear well.")</f>
        <v>Recommend purchase are good headphones so far I have not failed, the cable is made of a material that never entangled stays forever as rolled, some people maybe can bother you because you can not bend, but for me it is a the advantage since you can place without desliarlos. Hear well.</v>
      </c>
    </row>
    <row r="13536">
      <c r="A13536" s="1">
        <v>5.0</v>
      </c>
      <c r="B13536" s="1" t="s">
        <v>13414</v>
      </c>
      <c r="C13536" t="str">
        <f>IFERROR(__xludf.DUMMYFUNCTION("GOOGLETRANSLATE(B13536, ""es"", ""en"")"),"Milagrooooo was desperate, I wanted to wean my son and there was no way, I tried many bottles, milk and nothing different, I bought this and the boy picked up the phenomenal bibi. I'm delighted")</f>
        <v>Milagrooooo was desperate, I wanted to wean my son and there was no way, I tried many bottles, milk and nothing different, I bought this and the boy picked up the phenomenal bibi. I'm delighted</v>
      </c>
    </row>
    <row r="13537">
      <c r="A13537" s="1">
        <v>5.0</v>
      </c>
      <c r="B13537" s="1" t="s">
        <v>13415</v>
      </c>
      <c r="C13537" t="str">
        <f>IFERROR(__xludf.DUMMYFUNCTION("GOOGLETRANSLATE(B13537, ""es"", ""en"")"),"Recommendable. Good product at a great price. Recommendable.")</f>
        <v>Recommendable. Good product at a great price. Recommendable.</v>
      </c>
    </row>
    <row r="13538">
      <c r="A13538" s="1">
        <v>5.0</v>
      </c>
      <c r="B13538" s="1" t="s">
        <v>13416</v>
      </c>
      <c r="C13538" t="str">
        <f>IFERROR(__xludf.DUMMYFUNCTION("GOOGLETRANSLATE(B13538, ""es"", ""en"")"),"And practical for daily use Very light to carry and very good price")</f>
        <v>And practical for daily use Very light to carry and very good price</v>
      </c>
    </row>
    <row r="13539">
      <c r="A13539" s="1">
        <v>5.0</v>
      </c>
      <c r="B13539" s="1" t="s">
        <v>13417</v>
      </c>
      <c r="C13539" t="str">
        <f>IFERROR(__xludf.DUMMYFUNCTION("GOOGLETRANSLATE(B13539, ""es"", ""en"")"),"A success Very nice and thin. I bought it to give and has been a success.")</f>
        <v>A success Very nice and thin. I bought it to give and has been a success.</v>
      </c>
    </row>
    <row r="13540">
      <c r="A13540" s="1">
        <v>2.0</v>
      </c>
      <c r="B13540" s="1" t="s">
        <v>13418</v>
      </c>
      <c r="C13540" t="str">
        <f>IFERROR(__xludf.DUMMYFUNCTION("GOOGLETRANSLATE(B13540, ""es"", ""en"")"),"It lasted four months The top of the blade has lasted four months")</f>
        <v>It lasted four months The top of the blade has lasted four months</v>
      </c>
    </row>
    <row r="13541">
      <c r="A13541" s="1">
        <v>3.0</v>
      </c>
      <c r="B13541" s="1" t="s">
        <v>13419</v>
      </c>
      <c r="C13541" t="str">
        <f>IFERROR(__xludf.DUMMYFUNCTION("GOOGLETRANSLATE(B13541, ""es"", ""en"")"),"Must be ordered at least two sizes more Very warm but tightened enough, although I ordered a full size. A tightening it up and leaves bare waist. I guess that will not happen but to get the right size")</f>
        <v>Must be ordered at least two sizes more Very warm but tightened enough, although I ordered a full size. A tightening it up and leaves bare waist. I guess that will not happen but to get the right size</v>
      </c>
    </row>
    <row r="13542">
      <c r="A13542" s="1">
        <v>1.0</v>
      </c>
      <c r="B13542" s="1" t="s">
        <v>13420</v>
      </c>
      <c r="C13542" t="str">
        <f>IFERROR(__xludf.DUMMYFUNCTION("GOOGLETRANSLATE(B13542, ""es"", ""en"")"),"He put 170 Caca writing speed. Fact: 30")</f>
        <v>He put 170 Caca writing speed. Fact: 30</v>
      </c>
    </row>
    <row r="13543">
      <c r="A13543" s="1">
        <v>1.0</v>
      </c>
      <c r="B13543" s="1" t="s">
        <v>13421</v>
      </c>
      <c r="C13543" t="str">
        <f>IFERROR(__xludf.DUMMYFUNCTION("GOOGLETRANSLATE(B13543, ""es"", ""en"")"),"Frail is nice but is very fragile, a week without doing anything hitch holding the chain broke.")</f>
        <v>Frail is nice but is very fragile, a week without doing anything hitch holding the chain broke.</v>
      </c>
    </row>
    <row r="13544">
      <c r="A13544" s="1">
        <v>4.0</v>
      </c>
      <c r="B13544" s="1" t="s">
        <v>13422</v>
      </c>
      <c r="C13544" t="str">
        <f>IFERROR(__xludf.DUMMYFUNCTION("GOOGLETRANSLATE(B13544, ""es"", ""en"")"),"Recommended for value are very comfortable, handled and connected to the mobile easily. The sound, of course improved, but this price is expected, is heard correctly. I have a problem to use as a hands-free call, the call hear well, but I say that to me I"&amp;" hear far.")</f>
        <v>Recommended for value are very comfortable, handled and connected to the mobile easily. The sound, of course improved, but this price is expected, is heard correctly. I have a problem to use as a hands-free call, the call hear well, but I say that to me I hear far.</v>
      </c>
    </row>
    <row r="13545">
      <c r="A13545" s="1">
        <v>4.0</v>
      </c>
      <c r="B13545" s="1" t="s">
        <v>13423</v>
      </c>
      <c r="C13545" t="str">
        <f>IFERROR(__xludf.DUMMYFUNCTION("GOOGLETRANSLATE(B13545, ""es"", ""en"")"),"Convenient and takes up little is perfect for those who do not have space. It is saved and does not take anything. I ran over and breaking the folds, I hope this will last me something else, but the other I lasted a year and a half. The order came fast an"&amp;"d perfect.")</f>
        <v>Convenient and takes up little is perfect for those who do not have space. It is saved and does not take anything. I ran over and breaking the folds, I hope this will last me something else, but the other I lasted a year and a half. The order came fast and perfect.</v>
      </c>
    </row>
    <row r="13546">
      <c r="A13546" s="1">
        <v>4.0</v>
      </c>
      <c r="B13546" s="1" t="s">
        <v>13424</v>
      </c>
      <c r="C13546" t="str">
        <f>IFERROR(__xludf.DUMMYFUNCTION("GOOGLETRANSLATE(B13546, ""es"", ""en"")"),"If you have an iPhone you have this many problems had to spend my photos and videos from iPhone to PC and since I discovered this problem. He did not give it 5 stars because it is not as intuitive than it should, although it is not difficult to handle.")</f>
        <v>If you have an iPhone you have this many problems had to spend my photos and videos from iPhone to PC and since I discovered this problem. He did not give it 5 stars because it is not as intuitive than it should, although it is not difficult to handle.</v>
      </c>
    </row>
    <row r="13547">
      <c r="A13547" s="1">
        <v>4.0</v>
      </c>
      <c r="B13547" s="1" t="s">
        <v>13425</v>
      </c>
      <c r="C13547" t="str">
        <f>IFERROR(__xludf.DUMMYFUNCTION("GOOGLETRANSLATE(B13547, ""es"", ""en"")"),"Very comfortable and easy to use. Comfortable. Easy to use and can be paired with anything bluetooth without any incompatibility problem. The sound is also excellent. The only thing that bothers me are pillows, I had to buy some of my size.")</f>
        <v>Very comfortable and easy to use. Comfortable. Easy to use and can be paired with anything bluetooth without any incompatibility problem. The sound is also excellent. The only thing that bothers me are pillows, I had to buy some of my size.</v>
      </c>
    </row>
    <row r="13548">
      <c r="A13548" s="1">
        <v>4.0</v>
      </c>
      <c r="B13548" s="1" t="s">
        <v>13426</v>
      </c>
      <c r="C13548" t="str">
        <f>IFERROR(__xludf.DUMMYFUNCTION("GOOGLETRANSLATE(B13548, ""es"", ""en"")"),"Comfortable comfort, but it is not me to sleep because it's very fair to me.")</f>
        <v>Comfortable comfort, but it is not me to sleep because it's very fair to me.</v>
      </c>
    </row>
    <row r="13549">
      <c r="A13549" s="1">
        <v>5.0</v>
      </c>
      <c r="B13549" s="1" t="s">
        <v>13427</v>
      </c>
      <c r="C13549" t="str">
        <f>IFERROR(__xludf.DUMMYFUNCTION("GOOGLETRANSLATE(B13549, ""es"", ""en"")"),"is very beautiful is super nice")</f>
        <v>is very beautiful is super nice</v>
      </c>
    </row>
    <row r="13550">
      <c r="A13550" s="1">
        <v>5.0</v>
      </c>
      <c r="B13550" s="1" t="s">
        <v>13428</v>
      </c>
      <c r="C13550" t="str">
        <f>IFERROR(__xludf.DUMMYFUNCTION("GOOGLETRANSLATE(B13550, ""es"", ""en"")"),"Very good blender is a very easy to use with different levels of speed and powerful. It is very comfortable in the hand and the accessory that brings you can do many things.")</f>
        <v>Very good blender is a very easy to use with different levels of speed and powerful. It is very comfortable in the hand and the accessory that brings you can do many things.</v>
      </c>
    </row>
    <row r="13551">
      <c r="A13551" s="1">
        <v>5.0</v>
      </c>
      <c r="B13551" s="1" t="s">
        <v>13429</v>
      </c>
      <c r="C13551" t="str">
        <f>IFERROR(__xludf.DUMMYFUNCTION("GOOGLETRANSLATE(B13551, ""es"", ""en"")"),"It arrived in good condition and fast is more beautiful than the picture .... I recommend")</f>
        <v>It arrived in good condition and fast is more beautiful than the picture .... I recommend</v>
      </c>
    </row>
    <row r="13552">
      <c r="A13552" s="1">
        <v>5.0</v>
      </c>
      <c r="B13552" s="1" t="s">
        <v>13430</v>
      </c>
      <c r="C13552" t="str">
        <f>IFERROR(__xludf.DUMMYFUNCTION("GOOGLETRANSLATE(B13552, ""es"", ""en"")"),"! It's beautiful .. is very powerful and finishing when in your hand you will notice that it is very good quality; I recommend it for the price!")</f>
        <v>! It's beautiful .. is very powerful and finishing when in your hand you will notice that it is very good quality; I recommend it for the price!</v>
      </c>
    </row>
    <row r="13553">
      <c r="A13553" s="1">
        <v>5.0</v>
      </c>
      <c r="B13553" s="1" t="s">
        <v>13431</v>
      </c>
      <c r="C13553" t="str">
        <f>IFERROR(__xludf.DUMMYFUNCTION("GOOGLETRANSLATE(B13553, ""es"", ""en"")"),"dani Perfect and enough quality. Would buy because what I bought cost me only 1. Here is the pair.")</f>
        <v>dani Perfect and enough quality. Would buy because what I bought cost me only 1. Here is the pair.</v>
      </c>
    </row>
    <row r="13554">
      <c r="A13554" s="1">
        <v>5.0</v>
      </c>
      <c r="B13554" s="1" t="s">
        <v>13432</v>
      </c>
      <c r="C13554" t="str">
        <f>IFERROR(__xludf.DUMMYFUNCTION("GOOGLETRANSLATE(B13554, ""es"", ""en"")"),"A perfect sweatshirt. Just great. Quality appears.")</f>
        <v>A perfect sweatshirt. Just great. Quality appears.</v>
      </c>
    </row>
    <row r="13555">
      <c r="A13555" s="1">
        <v>5.0</v>
      </c>
      <c r="B13555" s="1" t="s">
        <v>13433</v>
      </c>
      <c r="C13555" t="str">
        <f>IFERROR(__xludf.DUMMYFUNCTION("GOOGLETRANSLATE(B13555, ""es"", ""en"")"),"Good product always in large bowl. All right")</f>
        <v>Good product always in large bowl. All right</v>
      </c>
    </row>
    <row r="13556">
      <c r="A13556" s="1">
        <v>5.0</v>
      </c>
      <c r="B13556" s="1" t="s">
        <v>13434</v>
      </c>
      <c r="C13556" t="str">
        <f>IFERROR(__xludf.DUMMYFUNCTION("GOOGLETRANSLATE(B13556, ""es"", ""en"")"),"Fulfills its function perfectly fulfills its function, heated at maximum power when enough takes a few minutes turned on and off one by safety issue.")</f>
        <v>Fulfills its function perfectly fulfills its function, heated at maximum power when enough takes a few minutes turned on and off one by safety issue.</v>
      </c>
    </row>
    <row r="13557">
      <c r="A13557" s="1">
        <v>5.0</v>
      </c>
      <c r="B13557" s="1" t="s">
        <v>13435</v>
      </c>
      <c r="C13557" t="str">
        <f>IFERROR(__xludf.DUMMYFUNCTION("GOOGLETRANSLATE(B13557, ""es"", ""en"")"),"Good value for money. It fits description, it is adaptable and supercoómodo! I recommend it")</f>
        <v>Good value for money. It fits description, it is adaptable and supercoómodo! I recommend it</v>
      </c>
    </row>
    <row r="13558">
      <c r="A13558" s="1">
        <v>5.0</v>
      </c>
      <c r="B13558" s="1" t="s">
        <v>13436</v>
      </c>
      <c r="C13558" t="str">
        <f>IFERROR(__xludf.DUMMYFUNCTION("GOOGLETRANSLATE(B13558, ""es"", ""en"")"),"Very nice for my taste. I like the shirt. I do not understand some comments like that are long or if the fabric is of poor quality. If someone wants to try them on and see the quality of the fabric go to a physical store. The shirt itself is very good, I "&amp;"can not say that is false or true, but I do not, for 11 euros that has cost me this great, very comfortable and it is nice. I bought one in blue and one blank, and if it is true that the white fabric seems something different, like thicker. As for the hel"&amp;"l out, I measure 1.73 m long and left me somewhat long, but it is understandable that some people also use a 1.80 M and q will eventually be. Anyway, who does not care whether it is true or false (I think it's true) and will use for the gym, it is perfect"&amp;" for both price and quality.")</f>
        <v>Very nice for my taste. I like the shirt. I do not understand some comments like that are long or if the fabric is of poor quality. If someone wants to try them on and see the quality of the fabric go to a physical store. The shirt itself is very good, I can not say that is false or true, but I do not, for 11 euros that has cost me this great, very comfortable and it is nice. I bought one in blue and one blank, and if it is true that the white fabric seems something different, like thicker. As for the hell out, I measure 1.73 m long and left me somewhat long, but it is understandable that some people also use a 1.80 M and q will eventually be. Anyway, who does not care whether it is true or false (I think it's true) and will use for the gym, it is perfect for both price and quality.</v>
      </c>
    </row>
    <row r="13559">
      <c r="A13559" s="1">
        <v>5.0</v>
      </c>
      <c r="B13559" s="1" t="s">
        <v>13437</v>
      </c>
      <c r="C13559" t="str">
        <f>IFERROR(__xludf.DUMMYFUNCTION("GOOGLETRANSLATE(B13559, ""es"", ""en"")"),"SEIKO is a pleasant surprise, automatic, which until now works perfección.La the nice surprise is that in the dark are both luminescent needles, such as ""stripes"" that indicate each number so it looks great. I was somewhat disappointed belt, although it"&amp;" is sport, a bit simple for the category of the clock.")</f>
        <v>SEIKO is a pleasant surprise, automatic, which until now works perfección.La the nice surprise is that in the dark are both luminescent needles, such as "stripes" that indicate each number so it looks great. I was somewhat disappointed belt, although it is sport, a bit simple for the category of the clock.</v>
      </c>
    </row>
    <row r="13560">
      <c r="A13560" s="1">
        <v>5.0</v>
      </c>
      <c r="B13560" s="1" t="s">
        <v>13438</v>
      </c>
      <c r="C13560" t="str">
        <f>IFERROR(__xludf.DUMMYFUNCTION("GOOGLETRANSLATE(B13560, ""es"", ""en"")"),"Optimal are great! I love!")</f>
        <v>Optimal are great! I love!</v>
      </c>
    </row>
    <row r="13561">
      <c r="A13561" s="1">
        <v>5.0</v>
      </c>
      <c r="B13561" s="1" t="s">
        <v>13439</v>
      </c>
      <c r="C13561" t="str">
        <f>IFERROR(__xludf.DUMMYFUNCTION("GOOGLETRANSLATE(B13561, ""es"", ""en"")"),"Ideal for hiking low boots are ideal for trekking (hiking). The tip has rubber reinforcing, anti-shock. Inside are comfortable and well grab the ankles. The plant has excellent rigidity that make it flexible walking. The price was below the official store"&amp;".")</f>
        <v>Ideal for hiking low boots are ideal for trekking (hiking). The tip has rubber reinforcing, anti-shock. Inside are comfortable and well grab the ankles. The plant has excellent rigidity that make it flexible walking. The price was below the official store.</v>
      </c>
    </row>
    <row r="13562">
      <c r="A13562" s="1">
        <v>5.0</v>
      </c>
      <c r="B13562" s="1" t="s">
        <v>13440</v>
      </c>
      <c r="C13562" t="str">
        <f>IFERROR(__xludf.DUMMYFUNCTION("GOOGLETRANSLATE(B13562, ""es"", ""en"")"),"Perfect Pants are very comfortable, very warm and feel great, I measure 1.90 and weight 82kg I ordered a L and I is perfectly volvere to buy another color certainly")</f>
        <v>Perfect Pants are very comfortable, very warm and feel great, I measure 1.90 and weight 82kg I ordered a L and I is perfectly volvere to buy another color certainly</v>
      </c>
    </row>
    <row r="13563">
      <c r="A13563" s="1">
        <v>5.0</v>
      </c>
      <c r="B13563" s="1" t="s">
        <v>13441</v>
      </c>
      <c r="C13563" t="str">
        <f>IFERROR(__xludf.DUMMYFUNCTION("GOOGLETRANSLATE(B13563, ""es"", ""en"")"),"Very good is small but very nice. With several illustrations, one of them a map of Hogwarts and its surroundings very cool. I will ask the other books in the collection.")</f>
        <v>Very good is small but very nice. With several illustrations, one of them a map of Hogwarts and its surroundings very cool. I will ask the other books in the collection.</v>
      </c>
    </row>
    <row r="13564">
      <c r="A13564" s="1">
        <v>5.0</v>
      </c>
      <c r="B13564" s="1" t="s">
        <v>13442</v>
      </c>
      <c r="C13564" t="str">
        <f>IFERROR(__xludf.DUMMYFUNCTION("GOOGLETRANSLATE(B13564, ""es"", ""en"")"),"Excellent quality guaranteed")</f>
        <v>Excellent quality guaranteed</v>
      </c>
    </row>
    <row r="13565">
      <c r="A13565" s="1">
        <v>5.0</v>
      </c>
      <c r="B13565" s="1" t="s">
        <v>13443</v>
      </c>
      <c r="C13565" t="str">
        <f>IFERROR(__xludf.DUMMYFUNCTION("GOOGLETRANSLATE(B13565, ""es"", ""en"")"),"Aesthetically lovely product aesthetically beautiful with a modern beautifully designed and furnished. Stick with any style of decoration and its use is very easy and simple. It comes with a power cable with enough length which facilitates installation of"&amp;" long-distance product of a plug. Happy with the result.")</f>
        <v>Aesthetically lovely product aesthetically beautiful with a modern beautifully designed and furnished. Stick with any style of decoration and its use is very easy and simple. It comes with a power cable with enough length which facilitates installation of long-distance product of a plug. Happy with the result.</v>
      </c>
    </row>
    <row r="13566">
      <c r="A13566" s="1">
        <v>5.0</v>
      </c>
      <c r="B13566" s="1" t="s">
        <v>13444</v>
      </c>
      <c r="C13566" t="str">
        <f>IFERROR(__xludf.DUMMYFUNCTION("GOOGLETRANSLATE(B13566, ""es"", ""en"")"),"Good design The design is very cool, much more than shown in the image. Exterior finishes are very good, good sewing, gluing, wireless and well made. The colors are good, uniform and appropriate materials. As for the interior they are comfortable to use, "&amp;"except that part of the bridge of the foot note slightly outside sewn and uncomfortable a bit. Overall it's a good shoe and I'm happy with the purchase.")</f>
        <v>Good design The design is very cool, much more than shown in the image. Exterior finishes are very good, good sewing, gluing, wireless and well made. The colors are good, uniform and appropriate materials. As for the interior they are comfortable to use, except that part of the bridge of the foot note slightly outside sewn and uncomfortable a bit. Overall it's a good shoe and I'm happy with the purchase.</v>
      </c>
    </row>
    <row r="13567">
      <c r="A13567" s="1">
        <v>5.0</v>
      </c>
      <c r="B13567" s="1" t="s">
        <v>13445</v>
      </c>
      <c r="C13567" t="str">
        <f>IFERROR(__xludf.DUMMYFUNCTION("GOOGLETRANSLATE(B13567, ""es"", ""en"")"),"Love is perfect. A child loves")</f>
        <v>Love is perfect. A child loves</v>
      </c>
    </row>
    <row r="13568">
      <c r="A13568" s="1">
        <v>2.0</v>
      </c>
      <c r="B13568" s="1" t="s">
        <v>13446</v>
      </c>
      <c r="C13568" t="str">
        <f>IFERROR(__xludf.DUMMYFUNCTION("GOOGLETRANSLATE(B13568, ""es"", ""en"")"),"what I was looking right")</f>
        <v>what I was looking right</v>
      </c>
    </row>
    <row r="13569">
      <c r="A13569" s="1">
        <v>3.0</v>
      </c>
      <c r="B13569" s="1" t="s">
        <v>13447</v>
      </c>
      <c r="C13569" t="str">
        <f>IFERROR(__xludf.DUMMYFUNCTION("GOOGLETRANSLATE(B13569, ""es"", ""en"")"),"L To improve blood circulation How it works massager to stimulate the circulation but do not expect miracles nothing they can do sport and good food unless you have circulation problems because in that case help.")</f>
        <v>L To improve blood circulation How it works massager to stimulate the circulation but do not expect miracles nothing they can do sport and good food unless you have circulation problems because in that case help.</v>
      </c>
    </row>
    <row r="13570">
      <c r="A13570" s="1">
        <v>3.0</v>
      </c>
      <c r="B13570" s="1" t="s">
        <v>13448</v>
      </c>
      <c r="C13570" t="str">
        <f>IFERROR(__xludf.DUMMYFUNCTION("GOOGLETRANSLATE(B13570, ""es"", ""en"")"),"Very comfortable very nice and comfortable, but I would like q to the wash a few times kes out balls")</f>
        <v>Very comfortable very nice and comfortable, but I would like q to the wash a few times kes out balls</v>
      </c>
    </row>
    <row r="13571">
      <c r="A13571" s="1">
        <v>1.0</v>
      </c>
      <c r="B13571" s="1" t="s">
        <v>13449</v>
      </c>
      <c r="C13571" t="str">
        <f>IFERROR(__xludf.DUMMYFUNCTION("GOOGLETRANSLATE(B13571, ""es"", ""en"")"),"🤔 To be at home")</f>
        <v>🤔 To be at home</v>
      </c>
    </row>
    <row r="13572">
      <c r="A13572" s="1">
        <v>1.0</v>
      </c>
      <c r="B13572" s="1" t="s">
        <v>13450</v>
      </c>
      <c r="C13572" t="str">
        <f>IFERROR(__xludf.DUMMYFUNCTION("GOOGLETRANSLATE(B13572, ""es"", ""en"")"),"Bad design and poor outcome Truth This article was disappointed from the start. First I had to change because the gore tex did not work and seeped water (a 10 for Amazon to change it without any problem). Then every time I wore these shoes I have suffered"&amp;" plantar fasciitis and heel pain (I walk a lot by mountains and countryside and only happens with these slippers). I think they are not well designed. Too bad that when I've noticed the problem and could not return the unit.")</f>
        <v>Bad design and poor outcome Truth This article was disappointed from the start. First I had to change because the gore tex did not work and seeped water (a 10 for Amazon to change it without any problem). Then every time I wore these shoes I have suffered plantar fasciitis and heel pain (I walk a lot by mountains and countryside and only happens with these slippers). I think they are not well designed. Too bad that when I've noticed the problem and could not return the unit.</v>
      </c>
    </row>
    <row r="13573">
      <c r="A13573" s="1">
        <v>1.0</v>
      </c>
      <c r="B13573" s="1" t="s">
        <v>13451</v>
      </c>
      <c r="C13573" t="str">
        <f>IFERROR(__xludf.DUMMYFUNCTION("GOOGLETRANSLATE(B13573, ""es"", ""en"")"),"Lamentable What I have received is nonsense, this all unarmed and unusable. Linkers loose stones made a sentence without possibility of use or placement")</f>
        <v>Lamentable What I have received is nonsense, this all unarmed and unusable. Linkers loose stones made a sentence without possibility of use or placement</v>
      </c>
    </row>
    <row r="13574">
      <c r="A13574" s="1">
        <v>4.0</v>
      </c>
      <c r="B13574" s="1" t="s">
        <v>13452</v>
      </c>
      <c r="C13574" t="str">
        <f>IFERROR(__xludf.DUMMYFUNCTION("GOOGLETRANSLATE(B13574, ""es"", ""en"")"),"It looks pretty good pretty good, I've used once. It takes more than 10 mins to heat. But heat very well and holds much vajo savannas.")</f>
        <v>It looks pretty good pretty good, I've used once. It takes more than 10 mins to heat. But heat very well and holds much vajo savannas.</v>
      </c>
    </row>
    <row r="13575">
      <c r="A13575" s="1">
        <v>4.0</v>
      </c>
      <c r="B13575" s="1" t="s">
        <v>13453</v>
      </c>
      <c r="C13575" t="str">
        <f>IFERROR(__xludf.DUMMYFUNCTION("GOOGLETRANSLATE(B13575, ""es"", ""en"")"),"FOR WHAT IS fulfills its function.")</f>
        <v>FOR WHAT IS fulfills its function.</v>
      </c>
    </row>
    <row r="13576">
      <c r="A13576" s="1">
        <v>4.0</v>
      </c>
      <c r="B13576" s="1" t="s">
        <v>13454</v>
      </c>
      <c r="C13576" t="str">
        <f>IFERROR(__xludf.DUMMYFUNCTION("GOOGLETRANSLATE(B13576, ""es"", ""en"")"),"Buy Perfect My partner is delighted with them, not let them put a single night ....")</f>
        <v>Buy Perfect My partner is delighted with them, not let them put a single night ....</v>
      </c>
    </row>
    <row r="13577">
      <c r="A13577" s="1">
        <v>4.0</v>
      </c>
      <c r="B13577" s="1" t="s">
        <v>13455</v>
      </c>
      <c r="C13577" t="str">
        <f>IFERROR(__xludf.DUMMYFUNCTION("GOOGLETRANSLATE(B13577, ""es"", ""en"")"),"Paste oegsmento good super good")</f>
        <v>Paste oegsmento good super good</v>
      </c>
    </row>
    <row r="13578">
      <c r="A13578" s="1">
        <v>4.0</v>
      </c>
      <c r="B13578" s="1" t="s">
        <v>13456</v>
      </c>
      <c r="C13578" t="str">
        <f>IFERROR(__xludf.DUMMYFUNCTION("GOOGLETRANSLATE(B13578, ""es"", ""en"")"),"Very comfortable and numbers are correct plastic slippers quite comfortable, nice and light design. I especially liked the correct size, and have no hassles with returns. Women if you have a 39 normal footwear because these is perfect. Shipping in one day"&amp;".")</f>
        <v>Very comfortable and numbers are correct plastic slippers quite comfortable, nice and light design. I especially liked the correct size, and have no hassles with returns. Women if you have a 39 normal footwear because these is perfect. Shipping in one day.</v>
      </c>
    </row>
    <row r="13579">
      <c r="A13579" s="1">
        <v>5.0</v>
      </c>
      <c r="B13579" s="1" t="s">
        <v>13457</v>
      </c>
      <c r="C13579" t="str">
        <f>IFERROR(__xludf.DUMMYFUNCTION("GOOGLETRANSLATE(B13579, ""es"", ""en"")"),"Very useful &lt;div id = ""video-block-R1ILMQJR10VA6T"" class = ""a-section a-spacing-small a-spacing-top mini video-block""&gt; &lt;div tabindex = ""0"" class = ""airy airy-svg vmin-unsupported airy-skin-beacon ""style ="" background-color: rgb (0, 0, 0) position"&amp;": relative; width: 100%; height: 100%; font-size: 0px; overflow: hidden; outline : none; ""&gt; &lt;div class ="" airy-renderer-container ""style ="" position: relative; height: 100%; width: 100%; ""&gt; &lt;video id ="" 71 ""preload ="" auto ""src ="" https://images"&amp;"-eu.ssl-images-amazon.com/images/I/B1VhghbUsHS.mp4 ""style ="" position: absolute; left: 0px; top: 0px; overflow: hidden; height: 1px; width: 1px ; ""&gt; &lt;/ video&gt; &lt;/ div&gt; &lt;div id ="" airy-slate-preload ""style ="" background-color: rgb (0, 0, 0); backgroun"&amp;"d-image: url (&amp; quot; https: // images-eu.ssl-images-amazon.com/images/I/81Qc5jqHamS.png&amp;quot;); background-size: Contain; background-position: center center; background-repeat: no-repeat; position: absolute; top: 0px ; left: 0px; visibility: visible; wid"&amp;"th: 100%; height: 100%; ""&gt; &lt;/ div&gt; &lt;iframe scrolling ="" no "" frameborder = ""0"" src = ""about: blank"" style = ""display: none;""&gt; &lt;/ iframe&gt; &lt;div tabindex = ""- 1"" class = ""airy-controls-container"" style = ""opacity: 0; visibility: hidden; ""&gt; &lt;di"&amp;"v tabindex ="" - 1 ""class ="" airy-screen-size-toggle airy-fullscreen ""&gt; &lt;/ div&gt; &lt;div tabindex ="" - 1 ""class ="" airy-container-bottom "" &gt; &lt;div tabindex = ""- 1"" class = ""airy-track-bar-spacer-left"" style = ""width: 11px;""&gt; &lt;/ div&gt; &lt;div tabindex "&amp;"= ""- 1"" class = ""airy-play- airy toggle-play ""style ="" width: 12px; margin-right: 12px; ""&gt; &lt;/ div&gt; &lt;div tabindex ="" - 1 ""class ="" airy-audio-elements ""style ="" float: right; width: 34px; ""&gt; &lt;div tabindex ="" - 1 ""class ="" airy-audio-toggle a"&amp;"iry-on ""&gt; &lt;/ div&gt; &lt;div tabindex ="" - 1 ""class ="" airy-audio-container ""style = ""opacity: 0; visibility: hidden; ""&gt; &lt;div tabindex ="" - 1 ""class ="" airy-audio-track-bar ""style ="" height: 80%; ""&gt; &lt;div tabindex ="" - 1 ""class ="" airy-audio- Scr"&amp;"ubber-bar ""style ="" height: 85%; ""&gt; &lt;/ div&gt; &lt;div tabindex ="" - 1 ""class ="" airy-audio-scrubber ""style ="" height: 12px; bottom: 85% ""&gt; &lt;/ div&gt; &lt;/ div&gt; &lt;/ div&gt; &lt;/ div&gt; &lt;div tabindex ="" - 1 ""class ="" airy-duration-label ""style ="" float: right; "&amp;"width: 26px; margin-right: 4px; text-align: center; ""&gt; 0:00 &lt;/ div&gt; &lt;div tabindex ="" - 1 ""class ="" airy-track-bar-spacer-right ""style ="" float: right; width: 11px; ""&gt; &lt;/ div&gt; &lt;div tabindex ="" - 1 ""class ="" airy-track-bar-container ""style ="" ma"&amp;"rgin-left: 35px; margin-right: 75px; ""&gt; &lt;div tabindex ="" - 1 ""class ="" airy-airy-track-bar vertically-centering-table ""&gt; &lt;div tabindex ="" - 1 ""class ="" airy-Vertical-centering- table-cell ""&gt; &lt;div tabindex ="" - 1 ""class ="" airy-track-bar-elemen"&amp;"ts ""&gt; &lt;div tabindex ="" - 1 ""class ="" airy-progress-bar ""&gt; &lt;/ div&gt; &lt;div tabindex = ""- 1"" class = ""airy-scrubber-bar""&gt; &lt;/ div&gt; &lt;div tabindex = ""- 1"" class = ""airy-scrubber""&gt; &lt;div tabindex = ""- 1"" class = ""airy-scrubber- icon ""&gt; &lt;/ div&gt; &lt;div"&amp;" tabindex ="" - 1 ""class ="" airy-adjusted-AUI-tooltip ""style ="" opacity: 0; visibility: hidden; ""&gt; &lt;div tabindex ="" - 1 ""class ="" airy-adjusted-aui-tooltip-inner ""&gt; &lt;div tabindex ="" - 1 ""class ="" airy-current-time-label ""&gt; 0: 00 &lt;/ div&gt; &lt;/ di"&amp;"v&gt; &lt;div tabindex = ""- 1"" class = ""airy-adjusted-AUI-arrow-border""&gt; &lt;div tabindex = ""- 1"" class = ""airy-adjusted-AUI-arrow"" &gt; &lt;/ div&gt; &lt;/ div&gt; &lt;/ div&gt; &lt;/ div&gt; &lt;/ div&gt; &lt;/ div&gt; &lt;/ div&gt; &lt;/ div&gt; &lt;/ div&gt; &lt;/ div&gt; &lt;div tabindex = ""- 1"" class = ""airy-age"&amp;"-gate airy-stage airy-Vertical-centering-table airy-dialog"" style = ""opacity: 0; visibility: hidden; ""&gt; &lt;div tabindex ="" - 1 ""class ="" airy-age-gate-Vertical-centering-table-cell airy-Vertical-centering-table-cell ""&gt; &lt;div tabindex ="" - 1 ""class ="&amp;" ""airy-Vertical-centering-wrapper airy-age-gate-elements-wrapper""&gt; &lt;div tabindex = ""- 1"" class = ""airy-age-gate-elements airy-dialog-elements""&gt; &lt;div tabindex = "" -1 ""class ="" airy-age-gate-prompt ""&gt; This video is not Intended for all audiences W"&amp;"hat date were you born &lt;/ div&gt; &lt;div tabindex =.?"" - 1 ""class ="" airy-age-gate -inputs airy-dialog-inner-elements ""&gt; &lt;select tabindex ="" - 1 ""class ="" airy-age-gate-month ""&gt; &lt;option value ="" 1 ""&gt; January &lt;/ option&gt; &lt;option value ="" 2 ""&gt; Februar"&amp;"y &lt;/ option&gt; &lt;option value ="" 3 ""&gt; March &lt;/ option&gt; &lt;option value ="" 4 ""&gt; April &lt;/ option&gt; &lt;option value ="" 5 ""&gt; May &lt;/ option&gt; &lt;option value = ""6""&gt; June &lt;/ option&gt; &lt;option value = ""7""&gt; July &lt;/ option&gt; &lt;option value = ""8""&gt; August &lt;/ option&gt; &lt;o"&amp;"ption value = ""9""&gt; September &lt;/ option&gt; &lt;option value = ""10""&gt; October &lt;/ option&gt; &lt;option value = ""11""&gt; November &lt;/ option&gt; &lt;option value = ""12""&gt; December &lt;/ option&gt; &lt;/ select&gt; &lt;select tabindex = ""- 1"" class = ""airy-age-gate-day""&gt; &lt;opti on valu"&amp;"e = ""1""&gt; 1 &lt;/ option&gt; &lt;option value = ""2""&gt; 2 &lt;/ option&gt; &lt;option value = ""3""&gt; 3 &lt;/ option&gt; &lt;option value = ""4""&gt; 4 &lt;/ option &gt; &lt;option value = ""5""&gt; 5 &lt;/ option&gt; &lt;option value = ""6""&gt; 6 &lt;/ option&gt; &lt;option value = ""7""&gt; 7 &lt;/ option&gt; &lt;option value "&amp;"= ""8""&gt; 8 &lt; / option&gt; &lt;option value = ""9""&gt; 9 &lt;/ option&gt; &lt;option value = ""10""&gt; 10 &lt;/ option&gt; &lt;option value = ""11""&gt; 11 &lt;/ option&gt; &lt;option value = ""12""&gt; 12 &lt;/ option&gt; &lt;option value = ""13""&gt; 13 &lt;/ option&gt; &lt;option value = ""14""&gt; 14 &lt;/ option&gt; &lt;optio"&amp;"n value = ""15""&gt; 15 &lt;/ option&gt; &lt;option value = ""16 ""&gt; 16 &lt;/ option&gt; &lt;option value ="" 17 ""&gt; 17 &lt;/ option&gt; &lt;option value ="" 18 ""&gt; 18 &lt;/ option&gt; &lt;option value ="" 19 ""&gt; 19 &lt;/ option&gt; &lt;option value = ""20""&gt; 20 &lt;/ option&gt; &lt;option value = ""21""&gt; 21 &lt;/"&amp;"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option "&amp;"value = ""2018""&gt; 2018 &lt;/ option&gt; &lt;option value = ""2017""&gt; 2017 &lt;/ option&gt; &lt;option value = ""2016""&gt; ​​2016 &lt;/ option&gt; &lt;option value = ""2015""&gt; 2015 &lt;/ option &gt; &lt;option value = ""2014""&gt; 2014 &lt;/ option&gt; &lt;option value = ""2013""&gt; 2013 &lt;/ option&gt; &lt;option "&amp;"value = ""2012""&gt; 2012 &lt;/ option&gt; &lt;option value = ""2011""&gt; 2011 &lt; / option&gt; &lt;option value = ""2010""&gt; 2010 &lt;/ option&gt; &lt;option value = ""2009""&gt; 2009 &lt;/ option&gt; &lt;option value = ""2008""&gt; 2008 &lt;/ option&gt; &lt;option value = ""2007""&gt; 2007 &lt;/ option&gt; &lt;option va"&amp;"lue = ""2006""&gt; 2006 &lt;/ option&gt; &lt;option value = ""2005""&gt; 2005 &lt;/ option&gt; &lt;option value = ""2004""&gt; 2004 &lt;/ option&gt; &lt;option value = ""2003 ""&gt; 2003 &lt;/ option&gt; &lt;option value ="" 2002 ""&gt; 2002 &lt;/ option&gt; &lt;option value ="" 2001 ""&gt; 2001 &lt;/ option&gt; &lt;option va"&amp;"lue ="" 2000 ""&gt; 2000 &lt;/ option&gt; &lt;option value = ""1999""&gt; 1999 &lt;/ option&gt; &lt;option value = ""1998""&gt; 1998 &lt;/ option&gt; &lt;option value = ""1997""&gt; 1997 &lt;/ option&gt; &lt;option value = ""1996""&gt; 1996 &lt;/ option&gt; &lt;option value = ""1995""&gt; 1995 &lt;/ option&gt; &lt;option valu"&amp;"e = ""1994""&gt; 1994 &lt;/ option&gt; &lt;option value = ""1993""&gt; 1993 &lt;/ option&gt; &lt;option value = ""1992""&gt; 1992 &lt;/ option&gt; &lt;option value = ""1991""&gt; 1991 &lt;/ option&gt; &lt;option value = ""1990""&gt; 1990 &lt;/ option&gt; &lt;option value = "" 1989 ""&gt; 1989 &lt;/ option&gt; &lt;option value"&amp;" ="" 1988 ""&gt; 1988 &lt;/ option&gt; &lt;option value ="" 1987 ""&gt; 1987 &lt;/ option&gt; &lt;option value ="" 1986 ""&gt; 1986 &lt;/ option&gt; &lt;value option = ""1985""&gt; 1985 &lt;/ option&gt; &lt;option value = ""1984""&gt; 1984 &lt;/ option&gt; &lt;option value = ""1983""&gt; 1983 &lt;/ option&gt; &lt;option value"&amp;" = ""1982""&gt; 1982 &lt;/ option&gt; &lt; option value = ""1981""&gt; 1981 &lt;/ option&gt; &lt;option value = ""1980""&gt; 1980 &lt;/ option&gt; &lt;option value = ""1979""&gt; 1979 &lt;/ option&gt; &lt;option value = ""1978""&gt; 1978 &lt;/ option &gt; &lt;option value = ""1977""&gt; 1977 &lt;/ option&gt; &lt;option value "&amp;"= ""1976""&gt;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 "&amp;"""1958""&gt; 1958 &lt;/ option&gt; &lt;option value = ""1957""&gt; 1957 &lt;/ option&gt; &lt;option value = ""1956""&gt; 1956 &lt;/ option&gt; &lt;option value = ""1955""&gt; 1955 &lt;/ option&gt; &lt;option value = ""1954""&gt; 1954 &lt;/ option&gt; &lt;option value = ""1953""&gt; 1953 &lt;/ option&gt; &lt;option value = ""1"&amp;"952"" &gt; 1952 &lt;/ option&gt; &lt;option value = ""1951""&gt; 1951 &lt;/ option&gt; &lt;option value = ""1950""&gt; 1950 &lt;/ option&gt; &lt;option value = ""1949""&gt; 1949 &lt;/ option&gt; &lt;option value = "" 1948 ""&gt; 1948 &lt;/ option&gt; &lt;option value ="" 1947 ""&gt; 1947 &lt;/ option&gt; &lt;option value ="" "&amp;"1946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""19"&amp;"34""&gt; 1934 &lt;/ option&gt; &lt;option value = ""1933""&gt; 1933 &lt; / option&gt; &lt;option value = ""1932""&gt; 1932 &lt;/ option&gt; &lt;option value = ""1931""&gt; 1931 &lt;/ option&gt; &lt;option v alue = ""1930""&gt; 1930 &lt;/ option&gt; &lt;option value = ""1929""&gt; 1929 &lt;/ option&gt; &lt;option value = ""192"&amp;"8""&gt;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 1"&amp;"916 &lt;/ option&gt; &lt;option value = ""1915"" &gt; 1915 &lt;/ option&gt; &lt;option value = ""1914""&gt; 1914 &lt;/ option&gt; &lt;option value = ""1913""&gt; 1913 &lt;/ option&gt; &lt;option value = ""1912""&gt; 1912 &lt;/ option&gt; &lt;option value = "" 1911 ""&gt; 1911 &lt;/ option&gt; &lt;option value ="" 1910 ""&gt; "&amp;"1910 &lt;/ option&gt; &lt;option value ="" 1909 ""&gt; 1909 &lt;/ option&gt; &lt;option value ="" 1908 ""&gt; 1908 &lt;/ option&gt; &lt;value option = ""1907""&gt; 1907 &lt;/ option&gt; &lt;option value = ""1906""&gt; 1906 &lt;/ option&gt; &lt;option value = ""1905""&gt; 1905 &lt;/ option&gt; &lt;option value = ""1904""&gt; 1"&amp;"904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tabindex =."" - 1 ""class ="" airy-install-flash-"&amp;"button-wrapper airy -dialog-inner-elements ""&gt; &lt;div tabindex ="" - 1 ""class ="" airy-install-flash-button airy-button ""&gt; install Flash Player &lt;/ div&gt; &lt;/ div&gt; &lt;/ div&gt; &lt;/ div&gt; &lt;/ div&gt; &lt;/ div&gt; &lt;div tabindex = ""- 1"" class = ""airy-video-unsupported-dialog"&amp;" 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B1VhghbUsHS.mp4 ""Class ="" video-url ""&gt; &lt;input type ="" hidden ""name ="" ""value ="" https://images-eu.ssl-images-amazon.com/images/I/81Qc5jqHamS.png ""class ="" video-slate-img-url ""&gt; &amp; nbsp; The product is great. Very easy to us"&amp;"e and versatile, plus you can program it from the mobile app. It can be used as light, alarm clock or radio. Very happy with the purchase.")</f>
        <v>Very useful &lt;div id = "video-block-R1ILMQJR10VA6T"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71 "preload =" auto "src =" https://images-eu.ssl-images-amazon.com/images/I/B1VhghbUsHS.mp4 "style =" position: absolute; left: 0px; top: 0px; overflow: hidden; height: 1px; width: 1px ; "&gt; &lt;/ video&gt; &lt;/ div&gt; &lt;div id =" airy-slate-preload "style =" background-color: rgb (0, 0, 0); background-image: url (&amp; quot; https: // images-eu.ssl-images-amazon.com/images/I/81Qc5jqHamS.png&amp;quot;); background-size: Contain; background-position: center center; background-repeat: no-repeat; position: absolute; top: 0px ; left: 0px; visibility: visible; width: 100%; height: 100%; "&gt; &lt;/ div&gt; &lt;iframe scrolling =" no "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B1VhghbUsHS.mp4 "Class =" video-url "&gt; &lt;input type =" hidden "name =" "value =" https://images-eu.ssl-images-amazon.com/images/I/81Qc5jqHamS.png "class =" video-slate-img-url "&gt; &amp; nbsp; The product is great. Very easy to use and versatile, plus you can program it from the mobile app. It can be used as light, alarm clock or radio. Very happy with the purchase.</v>
      </c>
    </row>
    <row r="13580">
      <c r="A13580" s="1">
        <v>5.0</v>
      </c>
      <c r="B13580" s="1" t="s">
        <v>13458</v>
      </c>
      <c r="C13580" t="str">
        <f>IFERROR(__xludf.DUMMYFUNCTION("GOOGLETRANSLATE(B13580, ""es"", ""en"")"),"A bygone era to give to my husband and triumph ... Perfect cane leaves")</f>
        <v>A bygone era to give to my husband and triumph ... Perfect cane leaves</v>
      </c>
    </row>
    <row r="13581">
      <c r="A13581" s="1">
        <v>5.0</v>
      </c>
      <c r="B13581" s="1" t="s">
        <v>13459</v>
      </c>
      <c r="C13581" t="str">
        <f>IFERROR(__xludf.DUMMYFUNCTION("GOOGLETRANSLATE(B13581, ""es"", ""en"")"),"well I think, are correct money, sounds good and does what q says. The material is comfortable and happy malleable for each ear 😋")</f>
        <v>well I think, are correct money, sounds good and does what q says. The material is comfortable and happy malleable for each ear 😋</v>
      </c>
    </row>
    <row r="13582">
      <c r="A13582" s="1">
        <v>5.0</v>
      </c>
      <c r="B13582" s="1" t="s">
        <v>13460</v>
      </c>
      <c r="C13582" t="str">
        <f>IFERROR(__xludf.DUMMYFUNCTION("GOOGLETRANSLATE(B13582, ""es"", ""en"")"),"It's great just what I expected. is not as hot as other memories I've had")</f>
        <v>It's great just what I expected. is not as hot as other memories I've had</v>
      </c>
    </row>
    <row r="13583">
      <c r="A13583" s="1">
        <v>5.0</v>
      </c>
      <c r="B13583" s="1" t="s">
        <v>13461</v>
      </c>
      <c r="C13583" t="str">
        <f>IFERROR(__xludf.DUMMYFUNCTION("GOOGLETRANSLATE(B13583, ""es"", ""en"")"),"As I expected good size, fit like a glove, nice and comfortable, I'm happy")</f>
        <v>As I expected good size, fit like a glove, nice and comfortable, I'm happy</v>
      </c>
    </row>
    <row r="13584">
      <c r="A13584" s="1">
        <v>5.0</v>
      </c>
      <c r="B13584" s="1" t="s">
        <v>13462</v>
      </c>
      <c r="C13584" t="str">
        <f>IFERROR(__xludf.DUMMYFUNCTION("GOOGLETRANSLATE(B13584, ""es"", ""en"")"),"Okay When we broke the one we had my wife asked me to look for a new blender, this I like the brand and the price so I bought it and I have already successful that there have been complaints and whether sauces and pastries.")</f>
        <v>Okay When we broke the one we had my wife asked me to look for a new blender, this I like the brand and the price so I bought it and I have already successful that there have been complaints and whether sauces and pastries.</v>
      </c>
    </row>
    <row r="13585">
      <c r="A13585" s="1">
        <v>5.0</v>
      </c>
      <c r="B13585" s="1" t="s">
        <v>13463</v>
      </c>
      <c r="C13585" t="str">
        <f>IFERROR(__xludf.DUMMYFUNCTION("GOOGLETRANSLATE(B13585, ""es"", ""en"")"),"Price / quality ratio almost unbeatable works perfect. SSD amazing for its price.")</f>
        <v>Price / quality ratio almost unbeatable works perfect. SSD amazing for its price.</v>
      </c>
    </row>
    <row r="13586">
      <c r="A13586" s="1">
        <v>5.0</v>
      </c>
      <c r="B13586" s="1" t="s">
        <v>13464</v>
      </c>
      <c r="C13586" t="str">
        <f>IFERROR(__xludf.DUMMYFUNCTION("GOOGLETRANSLATE(B13586, ""es"", ""en"")"),"Comfort Very comfortable. The downside is q outside shock is fragile because q is fabric. Very cool and recommended.")</f>
        <v>Comfort Very comfortable. The downside is q outside shock is fragile because q is fabric. Very cool and recommended.</v>
      </c>
    </row>
    <row r="13587">
      <c r="A13587" s="1">
        <v>5.0</v>
      </c>
      <c r="B13587" s="1" t="s">
        <v>13465</v>
      </c>
      <c r="C13587" t="str">
        <f>IFERROR(__xludf.DUMMYFUNCTION("GOOGLETRANSLATE(B13587, ""es"", ""en"")"),"Comfortable, nice and good quality I bought these shoes for a gift and have been a success. The model is very pretty, comfortable and all Skechers and good quality. The shipment reached me long before the scheduled date. 100% recommend both the shoes and "&amp;"the seller.")</f>
        <v>Comfortable, nice and good quality I bought these shoes for a gift and have been a success. The model is very pretty, comfortable and all Skechers and good quality. The shipment reached me long before the scheduled date. 100% recommend both the shoes and the seller.</v>
      </c>
    </row>
    <row r="13588">
      <c r="A13588" s="1">
        <v>5.0</v>
      </c>
      <c r="B13588" s="1" t="s">
        <v>13466</v>
      </c>
      <c r="C13588" t="str">
        <f>IFERROR(__xludf.DUMMYFUNCTION("GOOGLETRANSLATE(B13588, ""es"", ""en"")"),"Referred to size by the comments I saw was the subject of controversy sizes. In our case it was easy to hit with the likes since he was about similar, but in this sense, I would comment that I think the last of this type of shoe is loose standard and many"&amp;" think people buying one size is less fit best. Not so, the mold is what it is and you have to take the size that suits you. Precisely because the mold is wide, if you have a narrow foot, sabots you dance a little but it's normal. I must be careful with t"&amp;"he use then you give. Moreover, it is the brand that I better do this kind of clog. Important to have holes to aerate the foot but you can get to sweat a lot.")</f>
        <v>Referred to size by the comments I saw was the subject of controversy sizes. In our case it was easy to hit with the likes since he was about similar, but in this sense, I would comment that I think the last of this type of shoe is loose standard and many think people buying one size is less fit best. Not so, the mold is what it is and you have to take the size that suits you. Precisely because the mold is wide, if you have a narrow foot, sabots you dance a little but it's normal. I must be careful with the use then you give. Moreover, it is the brand that I better do this kind of clog. Important to have holes to aerate the foot but you can get to sweat a lot.</v>
      </c>
    </row>
    <row r="13589">
      <c r="A13589" s="1">
        <v>5.0</v>
      </c>
      <c r="B13589" s="1" t="s">
        <v>13467</v>
      </c>
      <c r="C13589" t="str">
        <f>IFERROR(__xludf.DUMMYFUNCTION("GOOGLETRANSLATE(B13589, ""es"", ""en"")"),"We are fully confident PERFECT Medela brand and we can not complain, we had no problems with colic or choking problems. The baby has never shown signs of rechazo.Y if like us you use all of the same brand have no problem of compatibility and similar thing"&amp;"s.")</f>
        <v>We are fully confident PERFECT Medela brand and we can not complain, we had no problems with colic or choking problems. The baby has never shown signs of rechazo.Y if like us you use all of the same brand have no problem of compatibility and similar things.</v>
      </c>
    </row>
    <row r="13590">
      <c r="A13590" s="1">
        <v>5.0</v>
      </c>
      <c r="B13590" s="1" t="s">
        <v>13468</v>
      </c>
      <c r="C13590" t="str">
        <f>IFERROR(__xludf.DUMMYFUNCTION("GOOGLETRANSLATE(B13590, ""es"", ""en"")"),"Shirt Good product good very nice price")</f>
        <v>Shirt Good product good very nice price</v>
      </c>
    </row>
    <row r="13591">
      <c r="A13591" s="1">
        <v>5.0</v>
      </c>
      <c r="B13591" s="1" t="s">
        <v>13469</v>
      </c>
      <c r="C13591" t="str">
        <f>IFERROR(__xludf.DUMMYFUNCTION("GOOGLETRANSLATE(B13591, ""es"", ""en"")"),"Such good buy and as indicated")</f>
        <v>Such good buy and as indicated</v>
      </c>
    </row>
    <row r="13592">
      <c r="A13592" s="1">
        <v>5.0</v>
      </c>
      <c r="B13592" s="1" t="s">
        <v>13470</v>
      </c>
      <c r="C13592" t="str">
        <f>IFERROR(__xludf.DUMMYFUNCTION("GOOGLETRANSLATE(B13592, ""es"", ""en"")"),"Based on excellent quality / price ratio it is not the cheapest nor the most expensive, but this case was selected because it was something larger than other models. Fits perfectly with hard drives Transcend model 25M2, 25M3 (which are somewhat larger tha"&amp;"n normal) and even a bit bigger disk for other models like the STOR.E Thosiba basics. It has good finish, durable and all improvable is the zipper, which gives a sense of being somewhat weaker than the rest of the case.")</f>
        <v>Based on excellent quality / price ratio it is not the cheapest nor the most expensive, but this case was selected because it was something larger than other models. Fits perfectly with hard drives Transcend model 25M2, 25M3 (which are somewhat larger than normal) and even a bit bigger disk for other models like the STOR.E Thosiba basics. It has good finish, durable and all improvable is the zipper, which gives a sense of being somewhat weaker than the rest of the case.</v>
      </c>
    </row>
    <row r="13593">
      <c r="A13593" s="1">
        <v>5.0</v>
      </c>
      <c r="B13593" s="1" t="s">
        <v>13471</v>
      </c>
      <c r="C13593" t="str">
        <f>IFERROR(__xludf.DUMMYFUNCTION("GOOGLETRANSLATE(B13593, ""es"", ""en"")"),"All good collected's fine if you want to order your cables but no holes in the furniture, because it goes with adhesives.")</f>
        <v>All good collected's fine if you want to order your cables but no holes in the furniture, because it goes with adhesives.</v>
      </c>
    </row>
    <row r="13594">
      <c r="A13594" s="1">
        <v>5.0</v>
      </c>
      <c r="B13594" s="1" t="s">
        <v>13472</v>
      </c>
      <c r="C13594" t="str">
        <f>IFERROR(__xludf.DUMMYFUNCTION("GOOGLETRANSLATE(B13594, ""es"", ""en"")"),"Velcro strips which is used to buy it.")</f>
        <v>Velcro strips which is used to buy it.</v>
      </c>
    </row>
    <row r="13595">
      <c r="A13595" s="1">
        <v>5.0</v>
      </c>
      <c r="B13595" s="1" t="s">
        <v>13473</v>
      </c>
      <c r="C13595" t="str">
        <f>IFERROR(__xludf.DUMMYFUNCTION("GOOGLETRANSLATE(B13595, ""es"", ""en"")"),"Very nice very nice and arrived in perfect condition, I love !!!")</f>
        <v>Very nice very nice and arrived in perfect condition, I love !!!</v>
      </c>
    </row>
    <row r="13596">
      <c r="A13596" s="1">
        <v>5.0</v>
      </c>
      <c r="B13596" s="1" t="s">
        <v>13474</v>
      </c>
      <c r="C13596" t="str">
        <f>IFERROR(__xludf.DUMMYFUNCTION("GOOGLETRANSLATE(B13596, ""es"", ""en"")"),"Brush hygienic and clean. Brush hygienic and clean. Tired of changing brushes cheap, I decided to try this rubber does not accumulate dirt and water does not accumulate in the warehouse or support. Works very well, it is very simple and will not stain. Do"&amp;"es not accumulate water, it can be easily cleaned. The support is placed where the brush is resilient and does not fall as plastic.")</f>
        <v>Brush hygienic and clean. Brush hygienic and clean. Tired of changing brushes cheap, I decided to try this rubber does not accumulate dirt and water does not accumulate in the warehouse or support. Works very well, it is very simple and will not stain. Does not accumulate water, it can be easily cleaned. The support is placed where the brush is resilient and does not fall as plastic.</v>
      </c>
    </row>
    <row r="13597">
      <c r="A13597" s="1">
        <v>2.0</v>
      </c>
      <c r="B13597" s="1" t="s">
        <v>13475</v>
      </c>
      <c r="C13597" t="str">
        <f>IFERROR(__xludf.DUMMYFUNCTION("GOOGLETRANSLATE(B13597, ""es"", ""en"")"),"I do not like has come quickly and well, but the product is rather small and the stretch material is white, for anything I like, why not recommend it.")</f>
        <v>I do not like has come quickly and well, but the product is rather small and the stretch material is white, for anything I like, why not recommend it.</v>
      </c>
    </row>
    <row r="13598">
      <c r="A13598" s="1">
        <v>3.0</v>
      </c>
      <c r="B13598" s="1" t="s">
        <v>13476</v>
      </c>
      <c r="C13598" t="str">
        <f>IFERROR(__xludf.DUMMYFUNCTION("GOOGLETRANSLATE(B13598, ""es"", ""en"")"),"Good quality at a good price quality shoe de.buena, the only thing is that when flexed instep rubs me the crease of the shoe with the foot")</f>
        <v>Good quality at a good price quality shoe de.buena, the only thing is that when flexed instep rubs me the crease of the shoe with the foot</v>
      </c>
    </row>
    <row r="13599">
      <c r="A13599" s="1">
        <v>3.0</v>
      </c>
      <c r="B13599" s="1" t="s">
        <v>13477</v>
      </c>
      <c r="C13599" t="str">
        <f>IFERROR(__xludf.DUMMYFUNCTION("GOOGLETRANSLATE(B13599, ""es"", ""en"")"),"Too big. Clock back ... It works well, but the diameter of the sphere is too large, and the strap is somewhat flimsy and thin, not for how long, the gray is somewhat clearer than it is here.")</f>
        <v>Too big. Clock back ... It works well, but the diameter of the sphere is too large, and the strap is somewhat flimsy and thin, not for how long, the gray is somewhat clearer than it is here.</v>
      </c>
    </row>
    <row r="13600">
      <c r="A13600" s="1">
        <v>1.0</v>
      </c>
      <c r="B13600" s="1" t="s">
        <v>13478</v>
      </c>
      <c r="C13600" t="str">
        <f>IFERROR(__xludf.DUMMYFUNCTION("GOOGLETRANSLATE(B13600, ""es"", ""en"")"),"Deception, are not resistant cardboard sheets. Folios are, no cardboard. Carry no plastic coating on the edges as he says. Not buy a scam.")</f>
        <v>Deception, are not resistant cardboard sheets. Folios are, no cardboard. Carry no plastic coating on the edges as he says. Not buy a scam.</v>
      </c>
    </row>
    <row r="13601">
      <c r="A13601" s="1">
        <v>1.0</v>
      </c>
      <c r="B13601" s="1" t="s">
        <v>13479</v>
      </c>
      <c r="C13601" t="str">
        <f>IFERROR(__xludf.DUMMYFUNCTION("GOOGLETRANSLATE(B13601, ""es"", ""en"")"),"Connect APP app can not connect.")</f>
        <v>Connect APP app can not connect.</v>
      </c>
    </row>
    <row r="13602">
      <c r="A13602" s="1">
        <v>4.0</v>
      </c>
      <c r="B13602" s="1" t="s">
        <v>13480</v>
      </c>
      <c r="C13602" t="str">
        <f>IFERROR(__xludf.DUMMYFUNCTION("GOOGLETRANSLATE(B13602, ""es"", ""en"")"),"Very satisfied all right. The product comes and is such as advertised. Easy to clean. Baby eats perfectly. Teats come with the number 3. I get everything perfect fn state. Very satisfied with the purchase.")</f>
        <v>Very satisfied all right. The product comes and is such as advertised. Easy to clean. Baby eats perfectly. Teats come with the number 3. I get everything perfect fn state. Very satisfied with the purchase.</v>
      </c>
    </row>
    <row r="13603">
      <c r="A13603" s="1">
        <v>4.0</v>
      </c>
      <c r="B13603" s="1" t="s">
        <v>13481</v>
      </c>
      <c r="C13603" t="str">
        <f>IFERROR(__xludf.DUMMYFUNCTION("GOOGLETRANSLATE(B13603, ""es"", ""en"")"),"Good for kids who start using compass The material is plastic so it makes it lighter and easier to use for children who are starting. To open the compass has a wheel so it will not close when you are using. The two legs are articulated. It also has an ada"&amp;"pter to use pens or rotrings. Brings a unique mine as spares. Everything comes in a carrying case for easy transportation.")</f>
        <v>Good for kids who start using compass The material is plastic so it makes it lighter and easier to use for children who are starting. To open the compass has a wheel so it will not close when you are using. The two legs are articulated. It also has an adapter to use pens or rotrings. Brings a unique mine as spares. Everything comes in a carrying case for easy transportation.</v>
      </c>
    </row>
    <row r="13604">
      <c r="A13604" s="1">
        <v>4.0</v>
      </c>
      <c r="B13604" s="1" t="s">
        <v>13482</v>
      </c>
      <c r="C13604" t="str">
        <f>IFERROR(__xludf.DUMMYFUNCTION("GOOGLETRANSLATE(B13604, ""es"", ""en"")"),"Boots boots last good quality and good finish, but did not bring the carrying bag and cleaning kit")</f>
        <v>Boots boots last good quality and good finish, but did not bring the carrying bag and cleaning kit</v>
      </c>
    </row>
    <row r="13605">
      <c r="A13605" s="1">
        <v>4.0</v>
      </c>
      <c r="B13605" s="1" t="s">
        <v>13483</v>
      </c>
      <c r="C13605" t="str">
        <f>IFERROR(__xludf.DUMMYFUNCTION("GOOGLETRANSLATE(B13605, ""es"", ""en"")"),"mola had the previous model and decided to buy this with output for helmets and Jack normal output to use with an amplifier! Great!")</f>
        <v>mola had the previous model and decided to buy this with output for helmets and Jack normal output to use with an amplifier! Great!</v>
      </c>
    </row>
    <row r="13606">
      <c r="A13606" s="1">
        <v>5.0</v>
      </c>
      <c r="B13606" s="1" t="s">
        <v>13484</v>
      </c>
      <c r="C13606" t="str">
        <f>IFERROR(__xludf.DUMMYFUNCTION("GOOGLETRANSLATE(B13606, ""es"", ""en"")"),"Recommendable! Excellent all in a timely manner. The only thing to consider is that at night can not see anything. It costs a lot to see the time since the needles are black.")</f>
        <v>Recommendable! Excellent all in a timely manner. The only thing to consider is that at night can not see anything. It costs a lot to see the time since the needles are black.</v>
      </c>
    </row>
    <row r="13607">
      <c r="A13607" s="1">
        <v>5.0</v>
      </c>
      <c r="B13607" s="1" t="s">
        <v>13485</v>
      </c>
      <c r="C13607" t="str">
        <f>IFERROR(__xludf.DUMMYFUNCTION("GOOGLETRANSLATE(B13607, ""es"", ""en"")"),"It is just as had His versatility")</f>
        <v>It is just as had His versatility</v>
      </c>
    </row>
    <row r="13608">
      <c r="A13608" s="1">
        <v>5.0</v>
      </c>
      <c r="B13608" s="1" t="s">
        <v>13486</v>
      </c>
      <c r="C13608" t="str">
        <f>IFERROR(__xludf.DUMMYFUNCTION("GOOGLETRANSLATE(B13608, ""es"", ""en"")"),"Correa is very elegant and economical fcail inserting the My Band 3. So you just have to pull back plates on both sides and insert. To remove just press springs there under and out alone. I find it very comfortable to carry it daily and it is super stylis"&amp;"h. You can take in any situation. We in the box 2 screen protectors plastic. Quality price is very good.")</f>
        <v>Correa is very elegant and economical fcail inserting the My Band 3. So you just have to pull back plates on both sides and insert. To remove just press springs there under and out alone. I find it very comfortable to carry it daily and it is super stylish. You can take in any situation. We in the box 2 screen protectors plastic. Quality price is very good.</v>
      </c>
    </row>
    <row r="13609">
      <c r="A13609" s="1">
        <v>5.0</v>
      </c>
      <c r="B13609" s="1" t="s">
        <v>13487</v>
      </c>
      <c r="C13609" t="str">
        <f>IFERROR(__xludf.DUMMYFUNCTION("GOOGLETRANSLATE(B13609, ""es"", ""en"")"),"Very comfortable and colorful right")</f>
        <v>Very comfortable and colorful right</v>
      </c>
    </row>
    <row r="13610">
      <c r="A13610" s="1">
        <v>5.0</v>
      </c>
      <c r="B13610" s="1" t="s">
        <v>13488</v>
      </c>
      <c r="C13610" t="str">
        <f>IFERROR(__xludf.DUMMYFUNCTION("GOOGLETRANSLATE(B13610, ""es"", ""en"")"),"Recommended it is perfect, much better than the previous")</f>
        <v>Recommended it is perfect, much better than the previous</v>
      </c>
    </row>
    <row r="13611">
      <c r="A13611" s="1">
        <v>5.0</v>
      </c>
      <c r="B13611" s="1" t="s">
        <v>13489</v>
      </c>
      <c r="C13611" t="str">
        <f>IFERROR(__xludf.DUMMYFUNCTION("GOOGLETRANSLATE(B13611, ""es"", ""en"")"),"perfect is as expected and seen in the photo, thank you.")</f>
        <v>perfect is as expected and seen in the photo, thank you.</v>
      </c>
    </row>
    <row r="13612">
      <c r="A13612" s="1">
        <v>5.0</v>
      </c>
      <c r="B13612" s="1" t="s">
        <v>13490</v>
      </c>
      <c r="C13612" t="str">
        <f>IFERROR(__xludf.DUMMYFUNCTION("GOOGLETRANSLATE(B13612, ""es"", ""en"")"),"Very good buy has come before the due date. I am a 39.5, I ordered a 39 after reading the online criticism and are perfect. Good quality, and in what they are unaesthetic these are not bad when bought in transparent color.")</f>
        <v>Very good buy has come before the due date. I am a 39.5, I ordered a 39 after reading the online criticism and are perfect. Good quality, and in what they are unaesthetic these are not bad when bought in transparent color.</v>
      </c>
    </row>
    <row r="13613">
      <c r="A13613" s="1">
        <v>5.0</v>
      </c>
      <c r="B13613" s="1" t="s">
        <v>13491</v>
      </c>
      <c r="C13613" t="str">
        <f>IFERROR(__xludf.DUMMYFUNCTION("GOOGLETRANSLATE(B13613, ""es"", ""en"")"),"Come cool cut and if you want them to make smaller, with scissors no problem. Stick and magnetize well")</f>
        <v>Come cool cut and if you want them to make smaller, with scissors no problem. Stick and magnetize well</v>
      </c>
    </row>
    <row r="13614">
      <c r="A13614" s="1">
        <v>5.0</v>
      </c>
      <c r="B13614" s="1" t="s">
        <v>13492</v>
      </c>
      <c r="C13614" t="str">
        <f>IFERROR(__xludf.DUMMYFUNCTION("GOOGLETRANSLATE(B13614, ""es"", ""en"")"),"Great super happy good quality, the best brand of menstrual cup does not bother anything seems not carrying anything. Good product.")</f>
        <v>Great super happy good quality, the best brand of menstrual cup does not bother anything seems not carrying anything. Good product.</v>
      </c>
    </row>
    <row r="13615">
      <c r="A13615" s="1">
        <v>5.0</v>
      </c>
      <c r="B13615" s="1" t="s">
        <v>13493</v>
      </c>
      <c r="C13615" t="str">
        <f>IFERROR(__xludf.DUMMYFUNCTION("GOOGLETRANSLATE(B13615, ""es"", ""en"")"),"Very good price, quality !!!! Beautiful bracelet, beaded stones with a good tamaño.El price is great !!!")</f>
        <v>Very good price, quality !!!! Beautiful bracelet, beaded stones with a good tamaño.El price is great !!!</v>
      </c>
    </row>
    <row r="13616">
      <c r="A13616" s="1">
        <v>5.0</v>
      </c>
      <c r="B13616" s="1" t="s">
        <v>13494</v>
      </c>
      <c r="C13616" t="str">
        <f>IFERROR(__xludf.DUMMYFUNCTION("GOOGLETRANSLATE(B13616, ""es"", ""en"")"),"good and cheap is a good deal")</f>
        <v>good and cheap is a good deal</v>
      </c>
    </row>
    <row r="13617">
      <c r="A13617" s="1">
        <v>5.0</v>
      </c>
      <c r="B13617" s="1" t="s">
        <v>13495</v>
      </c>
      <c r="C13617" t="str">
        <f>IFERROR(__xludf.DUMMYFUNCTION("GOOGLETRANSLATE(B13617, ""es"", ""en"")"),"Retro clock retro style famous brand Casio. Perfect for a gift and economical. Two years of use and new. Not a scratch. I recommend it.")</f>
        <v>Retro clock retro style famous brand Casio. Perfect for a gift and economical. Two years of use and new. Not a scratch. I recommend it.</v>
      </c>
    </row>
    <row r="13618">
      <c r="A13618" s="1">
        <v>5.0</v>
      </c>
      <c r="B13618" s="1" t="s">
        <v>13496</v>
      </c>
      <c r="C13618" t="str">
        <f>IFERROR(__xludf.DUMMYFUNCTION("GOOGLETRANSLATE(B13618, ""es"", ""en"")"),"You put in the ear spectacular with vertical brand SONY, the SONY tours until it is horizontal and ... goodbye NOISES! 📦 CONTAINS: - Wireless headphones - Charging case - Charging Cable USB-C to USB - Instructions - 6 pairs of spare pads 🧱 MATARIALES: S"&amp;"ince you remove the wrapper and touch the box, notes that Sony has worked hard and has made this product thoroughly. Touch the box itself is already a past. Everything will care every detail to protect headphones, padded and pampered. The cargo box is mad"&amp;"e of black plastic or beige (according to the chosen color) and the cover is made of metal gold colored in both cases. The aspect that gives the color scheme is undoubtedly premium. The headphones are very light thanks to manufacture plastic but under no "&amp;"circumstances are lazy, to the contrary. We are faced with a product that is high-end note. ✍️ DESIGN: The combination of chosen colors black / beige or gold / gold gives both a premium and the product quality aspect. I do not see the choice of color blac"&amp;"k and beige man woman. Both seem to me suitable for either sex and precious at the same time. It's going to like everyone. In my opinion the black seems to me a pass and come from some white and change, if I had to decant some would vote for blacks. The c"&amp;"harging case, when compared with AirPods (no doubt the reference of the sector) is very large. The Apple is 4 cm and 8 cm Sony just twice. But as it is extremely nice, I do not see it as a problem. In the end these devices are like an accessory and likes "&amp;"to show off. In addition, the size is directly reflected in the battery. By contrast, the design of the headphones I see very currados. They are very tiny and place system facilitates not fall off the ear do what you do. I went to the gym with them and ha"&amp;"ve also come to run without problems. The introduction of headphones in the battery cool a lot, are magnetized and coupled directly into the box. Then there outside the box with an LED battery indicator by charging status. A the same, the two handsets ind"&amp;"icated by LEDs (red / blue) charge state. 🎧 SOUND: You really sound great. Bluetooth is a product with very good sound result. Gradually the new products of this kind are reaching spectacular qualities and this model of headphones go down this path. They"&amp;" have a great power, which together with noise cancellation does not have the need to use full power to cover the noise outside and so more care and protect your ears. As for the sound itself, they are a headset that would qualify as very balanced in all "&amp;"registers. It does not have a powerful and serious but annoying if what you're looking do not worry, since the APP can tweak EQ and give much more power to the record that you like or want at all times. Undoubtedly, a clear and rich sound with good shades"&amp;". Certainly they have what you are missing the Airpods, noise cancellation. And plus, the distinctive ""Made for iPhone"" which gives maximum compatibility with iOS devices. ⚙️ OPERATION: Undoubtedly one of the strengths of these headphones since differen"&amp;"tiation of gestures in each of them means you can do anything with them without the need to use your phone a pass. Each headset has a mini trackpad on top that looks to the naked eye. The left atrial controls everything about noise cancellation and audio "&amp;"modes: NC (noise canceling, noise cancellation); ambient sound; Off: changes with a touch. If you hold down the left continuous, low volume music automatically and raisins to hear what happens around you and even amplifies sound to comfortably hold a conv"&amp;"ersation (very useful). The right earpiece controls everything related to music: a touch play / pause; next two touches song; three touches previous song; double tap respond to phone call and if you hold down the virtual assistant using your mobile device"&amp;". It really works very well and is agile and quick gestures. I have come quickly. 📱 APP: The app gives you many options like adaptive control of the sound according to the situation in which you find yourself: walk, metro, plane ... It works very well an"&amp;"d it changes automatically. The downside is that you use your mobile battery and you need to use location. The other features that gives you the APP are equalizer (either custom or pre default), control the music you listen to, change notification languag"&amp;"e headphones, automatic downloading of software headphones and charge level of the drums. ☎️ PHONE CALLS: A having noise cancellation works well for this purpose. The built-in microphones make hear you perfectly and smoothly. Very easy to handle calls and"&amp;" have your hands free. I use them much while facing the computer doing some things and I have to attend the same time calls. 🔋 BATTERY: 32 hours of battery life is a real treat. No doubt we rarely spend much time on the day to leave them dry in a couple "&amp;"of days. So for my use, it's pretty (gym, at home while I work, going to work ..) I was going to last more than a week. So no, forget about loading. In addition, fast charging with USB-C cable gives you with only 10 minutes of charging 90 minutes of music"&amp;". A luxurious. ✏️ conclusion. Headphones high-end profile very good performance and a very good quality sound that makes them suitable for all types of music. If you enjoy music and you care not spend what they cost to enjoy a good sound and high performa"&amp;"nce, this is your product without any doubt.")</f>
        <v>You put in the ear spectacular with vertical brand SONY, the SONY tours until it is horizontal and ... goodbye NOISES! 📦 CONTAINS: - Wireless headphones - Charging case - Charging Cable USB-C to USB - Instructions - 6 pairs of spare pads 🧱 MATARIALES: Since you remove the wrapper and touch the box, notes that Sony has worked hard and has made this product thoroughly. Touch the box itself is already a past. Everything will care every detail to protect headphones, padded and pampered. The cargo box is made of black plastic or beige (according to the chosen color) and the cover is made of metal gold colored in both cases. The aspect that gives the color scheme is undoubtedly premium. The headphones are very light thanks to manufacture plastic but under no circumstances are lazy, to the contrary. We are faced with a product that is high-end note. ✍️ DESIGN: The combination of chosen colors black / beige or gold / gold gives both a premium and the product quality aspect. I do not see the choice of color black and beige man woman. Both seem to me suitable for either sex and precious at the same time. It's going to like everyone. In my opinion the black seems to me a pass and come from some white and change, if I had to decant some would vote for blacks. The charging case, when compared with AirPods (no doubt the reference of the sector) is very large. The Apple is 4 cm and 8 cm Sony just twice. But as it is extremely nice, I do not see it as a problem. In the end these devices are like an accessory and likes to show off. In addition, the size is directly reflected in the battery. By contrast, the design of the headphones I see very currados. They are very tiny and place system facilitates not fall off the ear do what you do. I went to the gym with them and have also come to run without problems. The introduction of headphones in the battery cool a lot, are magnetized and coupled directly into the box. Then there outside the box with an LED battery indicator by charging status. A the same, the two handsets indicated by LEDs (red / blue) charge state. 🎧 SOUND: You really sound great. Bluetooth is a product with very good sound result. Gradually the new products of this kind are reaching spectacular qualities and this model of headphones go down this path. They have a great power, which together with noise cancellation does not have the need to use full power to cover the noise outside and so more care and protect your ears. As for the sound itself, they are a headset that would qualify as very balanced in all registers. It does not have a powerful and serious but annoying if what you're looking do not worry, since the APP can tweak EQ and give much more power to the record that you like or want at all times. Undoubtedly, a clear and rich sound with good shades. Certainly they have what you are missing the Airpods, noise cancellation. And plus, the distinctive "Made for iPhone" which gives maximum compatibility with iOS devices. ⚙️ OPERATION: Undoubtedly one of the strengths of these headphones since differentiation of gestures in each of them means you can do anything with them without the need to use your phone a pass. Each headset has a mini trackpad on top that looks to the naked eye. The left atrial controls everything about noise cancellation and audio modes: NC (noise canceling, noise cancellation); ambient sound; Off: changes with a touch. If you hold down the left continuous, low volume music automatically and raisins to hear what happens around you and even amplifies sound to comfortably hold a conversation (very useful). The right earpiece controls everything related to music: a touch play / pause; next two touches song; three touches previous song; double tap respond to phone call and if you hold down the virtual assistant using your mobile device. It really works very well and is agile and quick gestures. I have come quickly. 📱 APP: The app gives you many options like adaptive control of the sound according to the situation in which you find yourself: walk, metro, plane ... It works very well and it changes automatically. The downside is that you use your mobile battery and you need to use location. The other features that gives you the APP are equalizer (either custom or pre default), control the music you listen to, change notification language headphones, automatic downloading of software headphones and charge level of the drums. ☎️ PHONE CALLS: A having noise cancellation works well for this purpose. The built-in microphones make hear you perfectly and smoothly. Very easy to handle calls and have your hands free. I use them much while facing the computer doing some things and I have to attend the same time calls. 🔋 BATTERY: 32 hours of battery life is a real treat. No doubt we rarely spend much time on the day to leave them dry in a couple of days. So for my use, it's pretty (gym, at home while I work, going to work ..) I was going to last more than a week. So no, forget about loading. In addition, fast charging with USB-C cable gives you with only 10 minutes of charging 90 minutes of music. A luxurious. ✏️ conclusion. Headphones high-end profile very good performance and a very good quality sound that makes them suitable for all types of music. If you enjoy music and you care not spend what they cost to enjoy a good sound and high performance, this is your product without any doubt.</v>
      </c>
    </row>
    <row r="13619">
      <c r="A13619" s="1">
        <v>5.0</v>
      </c>
      <c r="B13619" s="1" t="s">
        <v>6000</v>
      </c>
      <c r="C13619" t="str">
        <f>IFERROR(__xludf.DUMMYFUNCTION("GOOGLETRANSLATE(B13619, ""es"", ""en"")"),"Very good very good")</f>
        <v>Very good very good</v>
      </c>
    </row>
    <row r="13620">
      <c r="A13620" s="1">
        <v>5.0</v>
      </c>
      <c r="B13620" s="1" t="s">
        <v>13497</v>
      </c>
      <c r="C13620" t="str">
        <f>IFERROR(__xludf.DUMMYFUNCTION("GOOGLETRANSLATE(B13620, ""es"", ""en"")"),"Good quality is not ta quality to the unrolling the tape does not wrinkle easily and comfortably handled the used")</f>
        <v>Good quality is not ta quality to the unrolling the tape does not wrinkle easily and comfortably handled the used</v>
      </c>
    </row>
    <row r="13621">
      <c r="A13621" s="1">
        <v>5.0</v>
      </c>
      <c r="B13621" s="1" t="s">
        <v>13498</v>
      </c>
      <c r="C13621" t="str">
        <f>IFERROR(__xludf.DUMMYFUNCTION("GOOGLETRANSLATE(B13621, ""es"", ""en"")"),"Recommendable!! Very good product at a super price set at home !! It is quite well in any soil. I use both platelet and parquet flooring type and the result is very good. The smell is very nice but not long lasting as I read in other reviews. All shiny an"&amp;"d bright ✴️✴️ in quantity and at a good price !!! Recommendable!! 👍👍")</f>
        <v>Recommendable!! Very good product at a super price set at home !! It is quite well in any soil. I use both platelet and parquet flooring type and the result is very good. The smell is very nice but not long lasting as I read in other reviews. All shiny and bright ✴️✴️ in quantity and at a good price !!! Recommendable!! 👍👍</v>
      </c>
    </row>
    <row r="13622">
      <c r="A13622" s="1">
        <v>5.0</v>
      </c>
      <c r="B13622" s="1" t="s">
        <v>13499</v>
      </c>
      <c r="C13622" t="str">
        <f>IFERROR(__xludf.DUMMYFUNCTION("GOOGLETRANSLATE(B13622, ""es"", ""en"")"),"Perfect for travel Very compact when folded, does not occupy any space and not heavy, it's perfect for travel wear.")</f>
        <v>Perfect for travel Very compact when folded, does not occupy any space and not heavy, it's perfect for travel wear.</v>
      </c>
    </row>
    <row r="13623">
      <c r="A13623" s="1">
        <v>5.0</v>
      </c>
      <c r="B13623" s="1" t="s">
        <v>13500</v>
      </c>
      <c r="C13623" t="str">
        <f>IFERROR(__xludf.DUMMYFUNCTION("GOOGLETRANSLATE(B13623, ""es"", ""en"")"),"Easy to use and good quality I wanted to try to see how it complements these cleaning. Basically I wanted to try a glass screen, which is very tedious to clean and also the bathroom tiles. And I must say that it saves enough job and gets faster, and that "&amp;"alone is worth the purchase.")</f>
        <v>Easy to use and good quality I wanted to try to see how it complements these cleaning. Basically I wanted to try a glass screen, which is very tedious to clean and also the bathroom tiles. And I must say that it saves enough job and gets faster, and that alone is worth the purchase.</v>
      </c>
    </row>
    <row r="13624">
      <c r="A13624" s="1">
        <v>5.0</v>
      </c>
      <c r="B13624" s="1" t="s">
        <v>13501</v>
      </c>
      <c r="C13624" t="str">
        <f>IFERROR(__xludf.DUMMYFUNCTION("GOOGLETRANSLATE(B13624, ""es"", ""en"")"),"Nothing good buy I are enjoying it very much, to see if they last. both the headphones well as the microphone. Good buy.")</f>
        <v>Nothing good buy I are enjoying it very much, to see if they last. both the headphones well as the microphone. Good buy.</v>
      </c>
    </row>
    <row r="13625">
      <c r="A13625" s="1">
        <v>2.0</v>
      </c>
      <c r="B13625" s="1" t="s">
        <v>13502</v>
      </c>
      <c r="C13625" t="str">
        <f>IFERROR(__xludf.DUMMYFUNCTION("GOOGLETRANSLATE(B13625, ""es"", ""en"")"),"There are too thin ""socks"" have no sole and do not prevent rubbing stone floors")</f>
        <v>There are too thin "socks" have no sole and do not prevent rubbing stone floors</v>
      </c>
    </row>
    <row r="13626">
      <c r="A13626" s="1">
        <v>3.0</v>
      </c>
      <c r="B13626" s="1" t="s">
        <v>13503</v>
      </c>
      <c r="C13626" t="str">
        <f>IFERROR(__xludf.DUMMYFUNCTION("GOOGLETRANSLATE(B13626, ""es"", ""en"")"),"Well that works well")</f>
        <v>Well that works well</v>
      </c>
    </row>
    <row r="13627">
      <c r="A13627" s="1">
        <v>3.0</v>
      </c>
      <c r="B13627" s="1" t="s">
        <v>13504</v>
      </c>
      <c r="C13627" t="str">
        <f>IFERROR(__xludf.DUMMYFUNCTION("GOOGLETRANSLATE(B13627, ""es"", ""en"")"),"Value for money was slow in coming but well worth it")</f>
        <v>Value for money was slow in coming but well worth it</v>
      </c>
    </row>
    <row r="13628">
      <c r="A13628" s="1">
        <v>1.0</v>
      </c>
      <c r="B13628" s="1" t="s">
        <v>13505</v>
      </c>
      <c r="C13628" t="str">
        <f>IFERROR(__xludf.DUMMYFUNCTION("GOOGLETRANSLATE(B13628, ""es"", ""en"")"),"They serve not seal very thin, constantly broken, no hits. Not worth buying")</f>
        <v>They serve not seal very thin, constantly broken, no hits. Not worth buying</v>
      </c>
    </row>
    <row r="13629">
      <c r="A13629" s="1">
        <v>1.0</v>
      </c>
      <c r="B13629" s="1" t="s">
        <v>13506</v>
      </c>
      <c r="C13629" t="str">
        <f>IFERROR(__xludf.DUMMYFUNCTION("GOOGLETRANSLATE(B13629, ""es"", ""en"")"),"It did not meet expectations a bit disappointing, not going very well when downloading and when he managed to do was very slow, I returned it to the end.")</f>
        <v>It did not meet expectations a bit disappointing, not going very well when downloading and when he managed to do was very slow, I returned it to the end.</v>
      </c>
    </row>
    <row r="13630">
      <c r="A13630" s="1">
        <v>4.0</v>
      </c>
      <c r="B13630" s="1" t="s">
        <v>13507</v>
      </c>
      <c r="C13630" t="str">
        <f>IFERROR(__xludf.DUMMYFUNCTION("GOOGLETRANSLATE(B13630, ""es"", ""en"")"),"Fulfills its funciom well use it to hang some pictures and the truth that quite well, there is only qur clean the surface well and adheres well. As only downside, it could be a little cheaper.")</f>
        <v>Fulfills its funciom well use it to hang some pictures and the truth that quite well, there is only qur clean the surface well and adheres well. As only downside, it could be a little cheaper.</v>
      </c>
    </row>
    <row r="13631">
      <c r="A13631" s="1">
        <v>4.0</v>
      </c>
      <c r="B13631" s="1" t="s">
        <v>13508</v>
      </c>
      <c r="C13631" t="str">
        <f>IFERROR(__xludf.DUMMYFUNCTION("GOOGLETRANSLATE(B13631, ""es"", ""en"")"),"If successful purchase not want to spend much on a USB and want good usb storage capacity this is what were looking for. Has a different style to other USB are manufactured in block form, it is easy to handle and is theirs to stress that there are 32 gb i"&amp;"ntantactos in my case are 28.8 GB which is normal as any storage device has the GB promises to disposal of the client software issues etc, so do not be alarmed. Excellent price performance ratio. USB UAN buy 64 or 128 GB, it is not necessary with this lef"&amp;"t over going 'for any task, if you store large queries is USB not buy things, buy hard disks. THE PERFECT USB.")</f>
        <v>If successful purchase not want to spend much on a USB and want good usb storage capacity this is what were looking for. Has a different style to other USB are manufactured in block form, it is easy to handle and is theirs to stress that there are 32 gb intantactos in my case are 28.8 GB which is normal as any storage device has the GB promises to disposal of the client software issues etc, so do not be alarmed. Excellent price performance ratio. USB UAN buy 64 or 128 GB, it is not necessary with this left over going 'for any task, if you store large queries is USB not buy things, buy hard disks. THE PERFECT USB.</v>
      </c>
    </row>
    <row r="13632">
      <c r="A13632" s="1">
        <v>4.0</v>
      </c>
      <c r="B13632" s="1" t="s">
        <v>13509</v>
      </c>
      <c r="C13632" t="str">
        <f>IFERROR(__xludf.DUMMYFUNCTION("GOOGLETRANSLATE(B13632, ""es"", ""en"")"),"Perfect I enjoyed very chilly pa veranito")</f>
        <v>Perfect I enjoyed very chilly pa veranito</v>
      </c>
    </row>
    <row r="13633">
      <c r="A13633" s="1">
        <v>4.0</v>
      </c>
      <c r="B13633" s="1" t="s">
        <v>13510</v>
      </c>
      <c r="C13633" t="str">
        <f>IFERROR(__xludf.DUMMYFUNCTION("GOOGLETRANSLATE(B13633, ""es"", ""en"")"),"Meets correct what I needed. correct product. I recommend and also a good price. He arrived in optimas condiciones.Volvería to buy it.")</f>
        <v>Meets correct what I needed. correct product. I recommend and also a good price. He arrived in optimas condiciones.Volvería to buy it.</v>
      </c>
    </row>
    <row r="13634">
      <c r="A13634" s="1">
        <v>4.0</v>
      </c>
      <c r="B13634" s="1" t="s">
        <v>13511</v>
      </c>
      <c r="C13634" t="str">
        <f>IFERROR(__xludf.DUMMYFUNCTION("GOOGLETRANSLATE(B13634, ""es"", ""en"")"),"It is bamboo's like in the photos. Perfect")</f>
        <v>It is bamboo's like in the photos. Perfect</v>
      </c>
    </row>
    <row r="13635">
      <c r="A13635" s="1">
        <v>5.0</v>
      </c>
      <c r="B13635" s="1" t="s">
        <v>13512</v>
      </c>
      <c r="C13635" t="str">
        <f>IFERROR(__xludf.DUMMYFUNCTION("GOOGLETRANSLATE(B13635, ""es"", ""en"")"),"High quality and smooth. Very beautiful and wonderful, easy to use and high quality, loved it.")</f>
        <v>High quality and smooth. Very beautiful and wonderful, easy to use and high quality, loved it.</v>
      </c>
    </row>
    <row r="13636">
      <c r="A13636" s="1">
        <v>5.0</v>
      </c>
      <c r="B13636" s="1" t="s">
        <v>13513</v>
      </c>
      <c r="C13636" t="str">
        <f>IFERROR(__xludf.DUMMYFUNCTION("GOOGLETRANSLATE(B13636, ""es"", ""en"")"),"Happy with purchase works perfectly. Design as it appears in the photos. Recommendable!")</f>
        <v>Happy with purchase works perfectly. Design as it appears in the photos. Recommendable!</v>
      </c>
    </row>
    <row r="13637">
      <c r="A13637" s="1">
        <v>5.0</v>
      </c>
      <c r="B13637" s="1" t="s">
        <v>13514</v>
      </c>
      <c r="C13637" t="str">
        <f>IFERROR(__xludf.DUMMYFUNCTION("GOOGLETRANSLATE(B13637, ""es"", ""en"")"),"Lapsed shoes Just wear them one day and he took off the cloth covering the template. The staff began to crumble the second day of use")</f>
        <v>Lapsed shoes Just wear them one day and he took off the cloth covering the template. The staff began to crumble the second day of use</v>
      </c>
    </row>
    <row r="13638">
      <c r="A13638" s="1">
        <v>5.0</v>
      </c>
      <c r="B13638" s="1" t="s">
        <v>13515</v>
      </c>
      <c r="C13638" t="str">
        <f>IFERROR(__xludf.DUMMYFUNCTION("GOOGLETRANSLATE(B13638, ""es"", ""en"")"),"Very good product is comfortable to train, perspires well and looks wonderful")</f>
        <v>Very good product is comfortable to train, perspires well and looks wonderful</v>
      </c>
    </row>
    <row r="13639">
      <c r="A13639" s="1">
        <v>5.0</v>
      </c>
      <c r="B13639" s="1" t="s">
        <v>13516</v>
      </c>
      <c r="C13639" t="str">
        <f>IFERROR(__xludf.DUMMYFUNCTION("GOOGLETRANSLATE(B13639, ""es"", ""en"")"),"Very glad perfect wine in perfect condition, the downside is that for very fast being operated automatic hand movement and for the price you can not ask for much")</f>
        <v>Very glad perfect wine in perfect condition, the downside is that for very fast being operated automatic hand movement and for the price you can not ask for much</v>
      </c>
    </row>
    <row r="13640">
      <c r="A13640" s="1">
        <v>5.0</v>
      </c>
      <c r="B13640" s="1" t="s">
        <v>13517</v>
      </c>
      <c r="C13640" t="str">
        <f>IFERROR(__xludf.DUMMYFUNCTION("GOOGLETRANSLATE(B13640, ""es"", ""en"")"),"Perfect Perfect, change the Dr.Brown by these when the little I already turned 5 months and are great and much better for cleaning ...")</f>
        <v>Perfect Perfect, change the Dr.Brown by these when the little I already turned 5 months and are great and much better for cleaning ...</v>
      </c>
    </row>
    <row r="13641">
      <c r="A13641" s="1">
        <v>5.0</v>
      </c>
      <c r="B13641" s="1" t="s">
        <v>13518</v>
      </c>
      <c r="C13641" t="str">
        <f>IFERROR(__xludf.DUMMYFUNCTION("GOOGLETRANSLATE(B13641, ""es"", ""en"")"),"ideal Perfectas")</f>
        <v>ideal Perfectas</v>
      </c>
    </row>
    <row r="13642">
      <c r="A13642" s="1">
        <v>5.0</v>
      </c>
      <c r="B13642" s="1" t="s">
        <v>13519</v>
      </c>
      <c r="C13642" t="str">
        <f>IFERROR(__xludf.DUMMYFUNCTION("GOOGLETRANSLATE(B13642, ""es"", ""en"")"),"perfect perfect")</f>
        <v>perfect perfect</v>
      </c>
    </row>
    <row r="13643">
      <c r="A13643" s="1">
        <v>5.0</v>
      </c>
      <c r="B13643" s="1" t="s">
        <v>13520</v>
      </c>
      <c r="C13643" t="str">
        <f>IFERROR(__xludf.DUMMYFUNCTION("GOOGLETRANSLATE(B13643, ""es"", ""en"")"),"Very good speed transfer After being shuffled several models, I bought this because I have another installed on the PC (although less capacity). And in general it has been another good buy. The transfer rate is very good (usually use large files) and like"&amp;" all these discs is easy to install on your PC. As for the noise and I could not say, but hey, no more notice environmental nuisance since I use.")</f>
        <v>Very good speed transfer After being shuffled several models, I bought this because I have another installed on the PC (although less capacity). And in general it has been another good buy. The transfer rate is very good (usually use large files) and like all these discs is easy to install on your PC. As for the noise and I could not say, but hey, no more notice environmental nuisance since I use.</v>
      </c>
    </row>
    <row r="13644">
      <c r="A13644" s="1">
        <v>5.0</v>
      </c>
      <c r="B13644" s="1" t="s">
        <v>13521</v>
      </c>
      <c r="C13644" t="str">
        <f>IFERROR(__xludf.DUMMYFUNCTION("GOOGLETRANSLATE(B13644, ""es"", ""en"")"),"Perfect for sacaleches My baby is 5 months and the teats Calma does not like, so we had to slow flow and are great. Bottles, such as Medela, go great with the pump.")</f>
        <v>Perfect for sacaleches My baby is 5 months and the teats Calma does not like, so we had to slow flow and are great. Bottles, such as Medela, go great with the pump.</v>
      </c>
    </row>
    <row r="13645">
      <c r="A13645" s="1">
        <v>5.0</v>
      </c>
      <c r="B13645" s="1" t="s">
        <v>13522</v>
      </c>
      <c r="C13645" t="str">
        <f>IFERROR(__xludf.DUMMYFUNCTION("GOOGLETRANSLATE(B13645, ""es"", ""en"")"),"Great!!! They are great though but put its weight is significant considering that the material is glass")</f>
        <v>Great!!! They are great though but put its weight is significant considering that the material is glass</v>
      </c>
    </row>
    <row r="13646">
      <c r="A13646" s="1">
        <v>5.0</v>
      </c>
      <c r="B13646" s="1" t="s">
        <v>13523</v>
      </c>
      <c r="C13646" t="str">
        <f>IFERROR(__xludf.DUMMYFUNCTION("GOOGLETRANSLATE(B13646, ""es"", ""en"")"),"VERY VERY VERY WELL product is great, now buy more for my brother, and the company's service is great and very nice. recommen this product!")</f>
        <v>VERY VERY VERY WELL product is great, now buy more for my brother, and the company's service is great and very nice. recommen this product!</v>
      </c>
    </row>
    <row r="13647">
      <c r="A13647" s="1">
        <v>5.0</v>
      </c>
      <c r="B13647" s="1" t="s">
        <v>13524</v>
      </c>
      <c r="C13647" t="str">
        <f>IFERROR(__xludf.DUMMYFUNCTION("GOOGLETRANSLATE(B13647, ""es"", ""en"")"),"READ, IMPORTANT: SELLER TOTALLY RELIABLE (vs Other than not) As a user says, are mixed comments from various vendors because Amazon unifies all the comments of the same product (I hope they change because it is very confusing). This venderdor is perfectly"&amp;" reliable. I have arrived in perfect condition and are original. He entrusted me talk to the code of the tab. Do not seek the star in the OR because not going to encorara as the logo talk some time ago that changed. R trademark does not appear anymore. I "&amp;"bought the seller through Converse, directly managed by Amazon unbeatable price and in perfect condition. Other reviews from other vendors.")</f>
        <v>READ, IMPORTANT: SELLER TOTALLY RELIABLE (vs Other than not) As a user says, are mixed comments from various vendors because Amazon unifies all the comments of the same product (I hope they change because it is very confusing). This venderdor is perfectly reliable. I have arrived in perfect condition and are original. He entrusted me talk to the code of the tab. Do not seek the star in the OR because not going to encorara as the logo talk some time ago that changed. R trademark does not appear anymore. I bought the seller through Converse, directly managed by Amazon unbeatable price and in perfect condition. Other reviews from other vendors.</v>
      </c>
    </row>
    <row r="13648">
      <c r="A13648" s="1">
        <v>5.0</v>
      </c>
      <c r="B13648" s="1" t="s">
        <v>13525</v>
      </c>
      <c r="C13648" t="str">
        <f>IFERROR(__xludf.DUMMYFUNCTION("GOOGLETRANSLATE(B13648, ""es"", ""en"")"),"I've recommended fast. It is a bottle that interferes less than usual in breastfeeding, because it forces the baby to suck, does not fall under pressure, such as Medela. Recommended")</f>
        <v>I've recommended fast. It is a bottle that interferes less than usual in breastfeeding, because it forces the baby to suck, does not fall under pressure, such as Medela. Recommended</v>
      </c>
    </row>
    <row r="13649">
      <c r="A13649" s="1">
        <v>5.0</v>
      </c>
      <c r="B13649" s="1" t="s">
        <v>13526</v>
      </c>
      <c r="C13649" t="str">
        <f>IFERROR(__xludf.DUMMYFUNCTION("GOOGLETRANSLATE(B13649, ""es"", ""en"")"),"Not so bad! For children it is a good product! It is very cool and love. Also, it does not worry it breaks, so not so bad!")</f>
        <v>Not so bad! For children it is a good product! It is very cool and love. Also, it does not worry it breaks, so not so bad!</v>
      </c>
    </row>
    <row r="13650">
      <c r="A13650" s="1">
        <v>5.0</v>
      </c>
      <c r="B13650" s="1" t="s">
        <v>13527</v>
      </c>
      <c r="C13650" t="str">
        <f>IFERROR(__xludf.DUMMYFUNCTION("GOOGLETRANSLATE(B13650, ""es"", ""en"")"),"Very comfortable with it Great for when you are sore neck, neck and / or back, very comfortable and works perfectly.")</f>
        <v>Very comfortable with it Great for when you are sore neck, neck and / or back, very comfortable and works perfectly.</v>
      </c>
    </row>
    <row r="13651">
      <c r="A13651" s="1">
        <v>5.0</v>
      </c>
      <c r="B13651" s="1" t="s">
        <v>13528</v>
      </c>
      <c r="C13651" t="str">
        <f>IFERROR(__xludf.DUMMYFUNCTION("GOOGLETRANSLATE(B13651, ""es"", ""en"")"),"Design The design and material of outstanding love")</f>
        <v>Design The design and material of outstanding love</v>
      </c>
    </row>
    <row r="13652">
      <c r="A13652" s="1">
        <v>5.0</v>
      </c>
      <c r="B13652" s="1" t="s">
        <v>13529</v>
      </c>
      <c r="C13652" t="str">
        <f>IFERROR(__xludf.DUMMYFUNCTION("GOOGLETRANSLATE(B13652, ""es"", ""en"")"),"I love the gorgeous color and works perfectly")</f>
        <v>I love the gorgeous color and works perfectly</v>
      </c>
    </row>
    <row r="13653">
      <c r="A13653" s="1">
        <v>5.0</v>
      </c>
      <c r="B13653" s="1" t="s">
        <v>13530</v>
      </c>
      <c r="C13653" t="str">
        <f>IFERROR(__xludf.DUMMYFUNCTION("GOOGLETRANSLATE(B13653, ""es"", ""en"")"),"Such good buy that. Excellent purchase and sizing according to Adidas (in my case always a number over which normally chock).")</f>
        <v>Such good buy that. Excellent purchase and sizing according to Adidas (in my case always a number over which normally chock).</v>
      </c>
    </row>
    <row r="13654">
      <c r="A13654" s="1">
        <v>2.0</v>
      </c>
      <c r="B13654" s="1" t="s">
        <v>13531</v>
      </c>
      <c r="C13654" t="str">
        <f>IFERROR(__xludf.DUMMYFUNCTION("GOOGLETRANSLATE(B13654, ""es"", ""en"")"),"They do not adapt to the contour Patches are, for my taste, short and too thick, so they do not adapt well to the contour of the eye. They should be more elongated. Furthermore, until dry a little and fixed to the skin tend to fall down.")</f>
        <v>They do not adapt to the contour Patches are, for my taste, short and too thick, so they do not adapt well to the contour of the eye. They should be more elongated. Furthermore, until dry a little and fixed to the skin tend to fall down.</v>
      </c>
    </row>
    <row r="13655">
      <c r="A13655" s="1">
        <v>3.0</v>
      </c>
      <c r="B13655" s="1" t="s">
        <v>13532</v>
      </c>
      <c r="C13655" t="str">
        <f>IFERROR(__xludf.DUMMYFUNCTION("GOOGLETRANSLATE(B13655, ""es"", ""en"")"),"Microphone microphone acceptable quality")</f>
        <v>Microphone microphone acceptable quality</v>
      </c>
    </row>
    <row r="13656">
      <c r="A13656" s="1">
        <v>3.0</v>
      </c>
      <c r="B13656" s="1" t="s">
        <v>13533</v>
      </c>
      <c r="C13656" t="str">
        <f>IFERROR(__xludf.DUMMYFUNCTION("GOOGLETRANSLATE(B13656, ""es"", ""en"")"),"There was a bug in a jar arrived yesterday and only probe the Eucaliptus is pretty good, all ue was wrong and put 2 of lavender and did not put the mint")</f>
        <v>There was a bug in a jar arrived yesterday and only probe the Eucaliptus is pretty good, all ue was wrong and put 2 of lavender and did not put the mint</v>
      </c>
    </row>
    <row r="13657">
      <c r="A13657" s="1">
        <v>1.0</v>
      </c>
      <c r="B13657" s="1" t="s">
        <v>13534</v>
      </c>
      <c r="C13657" t="str">
        <f>IFERROR(__xludf.DUMMYFUNCTION("GOOGLETRANSLATE(B13657, ""es"", ""en"")"),"FAILED have asked twice and both times I have returned, half an hour of them are descose in the part of the instep. Once may be normal, but twice in the same place, as are a shoe that I always pulled by overuse ..... This model not recommend it. The retur"&amp;"n of the first fast and accurate, the latter are in process")</f>
        <v>FAILED have asked twice and both times I have returned, half an hour of them are descose in the part of the instep. Once may be normal, but twice in the same place, as are a shoe that I always pulled by overuse ..... This model not recommend it. The return of the first fast and accurate, the latter are in process</v>
      </c>
    </row>
    <row r="13658">
      <c r="A13658" s="1">
        <v>1.0</v>
      </c>
      <c r="B13658" s="1" t="s">
        <v>13535</v>
      </c>
      <c r="C13658" t="str">
        <f>IFERROR(__xludf.DUMMYFUNCTION("GOOGLETRANSLATE(B13658, ""es"", ""en"")"),"Lights not working or not working. I bought 2 and one does not turn on. I have to return it with the illusion that made me. That bad")</f>
        <v>Lights not working or not working. I bought 2 and one does not turn on. I have to return it with the illusion that made me. That bad</v>
      </c>
    </row>
    <row r="13659">
      <c r="A13659" s="1">
        <v>4.0</v>
      </c>
      <c r="B13659" s="1" t="s">
        <v>13536</v>
      </c>
      <c r="C13659" t="str">
        <f>IFERROR(__xludf.DUMMYFUNCTION("GOOGLETRANSLATE(B13659, ""es"", ""en"")"),"A friend fernandez Fair, smooth and good connection to the IPad / IPhone and computer on all occasions he attempted")</f>
        <v>A friend fernandez Fair, smooth and good connection to the IPad / IPhone and computer on all occasions he attempted</v>
      </c>
    </row>
    <row r="13660">
      <c r="A13660" s="1">
        <v>4.0</v>
      </c>
      <c r="B13660" s="1" t="s">
        <v>13537</v>
      </c>
      <c r="C13660" t="str">
        <f>IFERROR(__xludf.DUMMYFUNCTION("GOOGLETRANSLATE(B13660, ""es"", ""en"")"),"Perfect to speak for PC and PS4 everything very well. It is best to bring all anti-pop rabbit I guess that does the same as anti-pop filter, filter, spider arm. I do not get it 5 stars because, while it is good and delivers what it promises, it could alwa"&amp;"ys be better. I use it to speak for PC and even record my voice, and doing very well. I also use it on the PS4, but using a sound card / adapter to connect via USB to Play. Overall very good. Yes, buy a larger phantom power. If you do not, you're going to"&amp;" have to shout to hear ye.")</f>
        <v>Perfect to speak for PC and PS4 everything very well. It is best to bring all anti-pop rabbit I guess that does the same as anti-pop filter, filter, spider arm. I do not get it 5 stars because, while it is good and delivers what it promises, it could always be better. I use it to speak for PC and even record my voice, and doing very well. I also use it on the PS4, but using a sound card / adapter to connect via USB to Play. Overall very good. Yes, buy a larger phantom power. If you do not, you're going to have to shout to hear ye.</v>
      </c>
    </row>
    <row r="13661">
      <c r="A13661" s="1">
        <v>4.0</v>
      </c>
      <c r="B13661" s="1" t="s">
        <v>13538</v>
      </c>
      <c r="C13661" t="str">
        <f>IFERROR(__xludf.DUMMYFUNCTION("GOOGLETRANSLATE(B13661, ""es"", ""en"")"),"It smells great. There is a good quality price relation")</f>
        <v>It smells great. There is a good quality price relation</v>
      </c>
    </row>
    <row r="13662">
      <c r="A13662" s="1">
        <v>4.0</v>
      </c>
      <c r="B13662" s="1" t="s">
        <v>13539</v>
      </c>
      <c r="C13662" t="str">
        <f>IFERROR(__xludf.DUMMYFUNCTION("GOOGLETRANSLATE(B13662, ""es"", ""en"")"),"Jullafe Good watch !!! Good finish and very striking. I love and doing very well. Not scored with 5 that goes with the movement and the morning is stopped.")</f>
        <v>Jullafe Good watch !!! Good finish and very striking. I love and doing very well. Not scored with 5 that goes with the movement and the morning is stopped.</v>
      </c>
    </row>
    <row r="13663">
      <c r="A13663" s="1">
        <v>4.0</v>
      </c>
      <c r="B13663" s="1" t="s">
        <v>13540</v>
      </c>
      <c r="C13663" t="str">
        <f>IFERROR(__xludf.DUMMYFUNCTION("GOOGLETRANSLATE(B13663, ""es"", ""en"")"),"Very nice although a little small pendant is.")</f>
        <v>Very nice although a little small pendant is.</v>
      </c>
    </row>
    <row r="13664">
      <c r="A13664" s="1">
        <v>5.0</v>
      </c>
      <c r="B13664" s="1" t="s">
        <v>13541</v>
      </c>
      <c r="C13664" t="str">
        <f>IFERROR(__xludf.DUMMYFUNCTION("GOOGLETRANSLATE(B13664, ""es"", ""en"")"),"They are excellent but size is not for me. I love but returned because they were very small, I have a foot wide and this shoe is not for me. I ordered 44, being 42 and me were small.")</f>
        <v>They are excellent but size is not for me. I love but returned because they were very small, I have a foot wide and this shoe is not for me. I ordered 44, being 42 and me were small.</v>
      </c>
    </row>
    <row r="13665">
      <c r="A13665" s="1">
        <v>5.0</v>
      </c>
      <c r="B13665" s="1" t="s">
        <v>13542</v>
      </c>
      <c r="C13665" t="str">
        <f>IFERROR(__xludf.DUMMYFUNCTION("GOOGLETRANSLATE(B13665, ""es"", ""en"")"),"Watch gorgeous It is very beautiful, looks great and much attention for its aesthetics, people think that is a much more expensive watch. My son loves")</f>
        <v>Watch gorgeous It is very beautiful, looks great and much attention for its aesthetics, people think that is a much more expensive watch. My son loves</v>
      </c>
    </row>
    <row r="13666">
      <c r="A13666" s="1">
        <v>5.0</v>
      </c>
      <c r="B13666" s="1" t="s">
        <v>13543</v>
      </c>
      <c r="C13666" t="str">
        <f>IFERROR(__xludf.DUMMYFUNCTION("GOOGLETRANSLATE(B13666, ""es"", ""en"")"),"Very good buy. are very cool are beautifully and very comfortable, the shipment arrived quickly and in perfect condition, it is true that are still a tad large but very little, nothing important, I ordered my usual number 39 and very good.")</f>
        <v>Very good buy. are very cool are beautifully and very comfortable, the shipment arrived quickly and in perfect condition, it is true that are still a tad large but very little, nothing important, I ordered my usual number 39 and very good.</v>
      </c>
    </row>
    <row r="13667">
      <c r="A13667" s="1">
        <v>5.0</v>
      </c>
      <c r="B13667" s="1" t="s">
        <v>13544</v>
      </c>
      <c r="C13667" t="str">
        <f>IFERROR(__xludf.DUMMYFUNCTION("GOOGLETRANSLATE(B13667, ""es"", ""en"")"),"One of my best buys Super useful and functional. I love having organized cables and with this purchase I have succeeded.")</f>
        <v>One of my best buys Super useful and functional. I love having organized cables and with this purchase I have succeeded.</v>
      </c>
    </row>
    <row r="13668">
      <c r="A13668" s="1">
        <v>5.0</v>
      </c>
      <c r="B13668" s="1" t="s">
        <v>13545</v>
      </c>
      <c r="C13668" t="str">
        <f>IFERROR(__xludf.DUMMYFUNCTION("GOOGLETRANSLATE(B13668, ""es"", ""en"")"),"Well well. What is required")</f>
        <v>Well well. What is required</v>
      </c>
    </row>
    <row r="13669">
      <c r="A13669" s="1">
        <v>5.0</v>
      </c>
      <c r="B13669" s="1" t="s">
        <v>13546</v>
      </c>
      <c r="C13669" t="str">
        <f>IFERROR(__xludf.DUMMYFUNCTION("GOOGLETRANSLATE(B13669, ""es"", ""en"")"),"Durable and stylish. After using it for one being time I can say good things. Build quality is very good, fabric is perfect because it holds moisture and is not easily stain. A capacity to carry the necessities of the day and its design is attractive, alt"&amp;"hough this is already personal tastes. I recommend it to 100%")</f>
        <v>Durable and stylish. After using it for one being time I can say good things. Build quality is very good, fabric is perfect because it holds moisture and is not easily stain. A capacity to carry the necessities of the day and its design is attractive, although this is already personal tastes. I recommend it to 100%</v>
      </c>
    </row>
    <row r="13670">
      <c r="A13670" s="1">
        <v>5.0</v>
      </c>
      <c r="B13670" s="1" t="s">
        <v>13547</v>
      </c>
      <c r="C13670" t="str">
        <f>IFERROR(__xludf.DUMMYFUNCTION("GOOGLETRANSLATE(B13670, ""es"", ""en"")"),"The perfect sneakers are perfect. 100% original. Manufactured in Vietnam, like all current Reebok Classics, with original box.")</f>
        <v>The perfect sneakers are perfect. 100% original. Manufactured in Vietnam, like all current Reebok Classics, with original box.</v>
      </c>
    </row>
    <row r="13671">
      <c r="A13671" s="1">
        <v>5.0</v>
      </c>
      <c r="B13671" s="1" t="s">
        <v>13548</v>
      </c>
      <c r="C13671" t="str">
        <f>IFERROR(__xludf.DUMMYFUNCTION("GOOGLETRANSLATE(B13671, ""es"", ""en"")"),"I like the product upload photos so you can see the size. I like a lot. What other difference is it has a knob to change the function or colors from afar. It is super economical because with water and a little scent as you used to the whole room. I have p"&amp;"ut in the living room and served me.")</f>
        <v>I like the product upload photos so you can see the size. I like a lot. What other difference is it has a knob to change the function or colors from afar. It is super economical because with water and a little scent as you used to the whole room. I have put in the living room and served me.</v>
      </c>
    </row>
    <row r="13672">
      <c r="A13672" s="1">
        <v>5.0</v>
      </c>
      <c r="B13672" s="1" t="s">
        <v>13549</v>
      </c>
      <c r="C13672" t="str">
        <f>IFERROR(__xludf.DUMMYFUNCTION("GOOGLETRANSLATE(B13672, ""es"", ""en"")"),"Toshiba TR200 25SAT3-240G Good ssd, and took two bought, I've used to revive an HP tower with a I5 2500 and 8ram and a portable Asus A52F with i5 third generation. I have not checked speeds, that if they are better than when buying new !. I recommend purc"&amp;"hase.")</f>
        <v>Toshiba TR200 25SAT3-240G Good ssd, and took two bought, I've used to revive an HP tower with a I5 2500 and 8ram and a portable Asus A52F with i5 third generation. I have not checked speeds, that if they are better than when buying new !. I recommend purchase.</v>
      </c>
    </row>
    <row r="13673">
      <c r="A13673" s="1">
        <v>5.0</v>
      </c>
      <c r="B13673" s="1" t="s">
        <v>13550</v>
      </c>
      <c r="C13673" t="str">
        <f>IFERROR(__xludf.DUMMYFUNCTION("GOOGLETRANSLATE(B13673, ""es"", ""en"")"),"Great. It is just what you wanted to. It is very complete and its price is phenomenal.")</f>
        <v>Great. It is just what you wanted to. It is very complete and its price is phenomenal.</v>
      </c>
    </row>
    <row r="13674">
      <c r="A13674" s="1">
        <v>5.0</v>
      </c>
      <c r="B13674" s="1" t="s">
        <v>13551</v>
      </c>
      <c r="C13674" t="str">
        <f>IFERROR(__xludf.DUMMYFUNCTION("GOOGLETRANSLATE(B13674, ""es"", ""en"")"),"It is very nice so thin that it seems white !. It is cortita and very fine (be careful that no tangling). Looks good but still do not know whether fade or change color with use.")</f>
        <v>It is very nice so thin that it seems white !. It is cortita and very fine (be careful that no tangling). Looks good but still do not know whether fade or change color with use.</v>
      </c>
    </row>
    <row r="13675">
      <c r="A13675" s="1">
        <v>5.0</v>
      </c>
      <c r="B13675" s="1" t="s">
        <v>13552</v>
      </c>
      <c r="C13675" t="str">
        <f>IFERROR(__xludf.DUMMYFUNCTION("GOOGLETRANSLATE(B13675, ""es"", ""en"")"),"Freshener very complete and original The ambiance is amazing, the design is very beautiful and elegant, it takes to put aside timer and has various colors of light that gives a touch very original, does almost noise")</f>
        <v>Freshener very complete and original The ambiance is amazing, the design is very beautiful and elegant, it takes to put aside timer and has various colors of light that gives a touch very original, does almost noise</v>
      </c>
    </row>
    <row r="13676">
      <c r="A13676" s="1">
        <v>5.0</v>
      </c>
      <c r="B13676" s="1" t="s">
        <v>13553</v>
      </c>
      <c r="C13676" t="str">
        <f>IFERROR(__xludf.DUMMYFUNCTION("GOOGLETRANSLATE(B13676, ""es"", ""en"")"),"Great headphones! These headphones are really beautiful. They cancel the noise and really have many serious. They have rubber tips of different sizes for comfort and children are comfortable. They have been in my ear almost nonstop since I got them. I lov"&amp;"e them. I think the only time I took off was to load them. I also love the fact that they are waterproof. I could use them in the rain the other day without having to worry that ruin. If you are looking for an amazing pair of Bluetooth headphones. You sho"&amp;"uld definitely get these. You can not go wrong.")</f>
        <v>Great headphones! These headphones are really beautiful. They cancel the noise and really have many serious. They have rubber tips of different sizes for comfort and children are comfortable. They have been in my ear almost nonstop since I got them. I love them. I think the only time I took off was to load them. I also love the fact that they are waterproof. I could use them in the rain the other day without having to worry that ruin. If you are looking for an amazing pair of Bluetooth headphones. You should definitely get these. You can not go wrong.</v>
      </c>
    </row>
    <row r="13677">
      <c r="A13677" s="1">
        <v>5.0</v>
      </c>
      <c r="B13677" s="1" t="s">
        <v>13554</v>
      </c>
      <c r="C13677" t="str">
        <f>IFERROR(__xludf.DUMMYFUNCTION("GOOGLETRANSLATE(B13677, ""es"", ""en"")"),"EarPods wired good sound.")</f>
        <v>EarPods wired good sound.</v>
      </c>
    </row>
    <row r="13678">
      <c r="A13678" s="1">
        <v>5.0</v>
      </c>
      <c r="B13678" s="1" t="s">
        <v>13555</v>
      </c>
      <c r="C13678" t="str">
        <f>IFERROR(__xludf.DUMMYFUNCTION("GOOGLETRANSLATE(B13678, ""es"", ""en"")"),"Is a watch that last years Casio lifelong tough and cool very nice, the whole life are very hard and aside recommended this very nice silver color")</f>
        <v>Is a watch that last years Casio lifelong tough and cool very nice, the whole life are very hard and aside recommended this very nice silver color</v>
      </c>
    </row>
    <row r="13679">
      <c r="A13679" s="1">
        <v>5.0</v>
      </c>
      <c r="B13679" s="1" t="s">
        <v>13556</v>
      </c>
      <c r="C13679" t="str">
        <f>IFERROR(__xludf.DUMMYFUNCTION("GOOGLETRANSLATE(B13679, ""es"", ""en"")"),"Only quality Lexar always have tried one of the two I bought, but apparently it works very well")</f>
        <v>Only quality Lexar always have tried one of the two I bought, but apparently it works very well</v>
      </c>
    </row>
    <row r="13680">
      <c r="A13680" s="1">
        <v>5.0</v>
      </c>
      <c r="B13680" s="1" t="s">
        <v>13557</v>
      </c>
      <c r="C13680" t="str">
        <f>IFERROR(__xludf.DUMMYFUNCTION("GOOGLETRANSLATE(B13680, ""es"", ""en"")"),"Dancers, they are what they say. The quality is great, the starting template ideal for ballet, correct size to 31 feet, asked, no.32 and great. soft color accurate to the presentation of the article. Despite the problems customs product came sooner than e"&amp;"xpected by express mail. By faulted the color is salmon pink.")</f>
        <v>Dancers, they are what they say. The quality is great, the starting template ideal for ballet, correct size to 31 feet, asked, no.32 and great. soft color accurate to the presentation of the article. Despite the problems customs product came sooner than expected by express mail. By faulted the color is salmon pink.</v>
      </c>
    </row>
    <row r="13681">
      <c r="A13681" s="1">
        <v>5.0</v>
      </c>
      <c r="B13681" s="1" t="s">
        <v>13558</v>
      </c>
      <c r="C13681" t="str">
        <f>IFERROR(__xludf.DUMMYFUNCTION("GOOGLETRANSLATE(B13681, ""es"", ""en"")"),"Purse for cab is ideal for work, very strong and nice")</f>
        <v>Purse for cab is ideal for work, very strong and nice</v>
      </c>
    </row>
    <row r="13682">
      <c r="A13682" s="1">
        <v>2.0</v>
      </c>
      <c r="B13682" s="1" t="s">
        <v>13559</v>
      </c>
      <c r="C13682" t="str">
        <f>IFERROR(__xludf.DUMMYFUNCTION("GOOGLETRANSLATE(B13682, ""es"", ""en"")"),"Good sound with expiration date headphones sound very good but bad durability. I bought three six months and three have lost the sound in a headset with moderate use. I will not buy them.")</f>
        <v>Good sound with expiration date headphones sound very good but bad durability. I bought three six months and three have lost the sound in a headset with moderate use. I will not buy them.</v>
      </c>
    </row>
    <row r="13683">
      <c r="A13683" s="1">
        <v>3.0</v>
      </c>
      <c r="B13683" s="1" t="s">
        <v>13560</v>
      </c>
      <c r="C13683" t="str">
        <f>IFERROR(__xludf.DUMMYFUNCTION("GOOGLETRANSLATE(B13683, ""es"", ""en"")"),"Pending tree seemed slightly larger life, but are very nice")</f>
        <v>Pending tree seemed slightly larger life, but are very nice</v>
      </c>
    </row>
    <row r="13684">
      <c r="A13684" s="1">
        <v>1.0</v>
      </c>
      <c r="B13684" s="1" t="s">
        <v>13561</v>
      </c>
      <c r="C13684" t="str">
        <f>IFERROR(__xludf.DUMMYFUNCTION("GOOGLETRANSLATE(B13684, ""es"", ""en"")"),"NO CRUSH UNIFORMLY it back. I tried to chop an onion and had large pieces and small pieces. Unsatisfactory. Besides heavy. I do not recommend.")</f>
        <v>NO CRUSH UNIFORMLY it back. I tried to chop an onion and had large pieces and small pieces. Unsatisfactory. Besides heavy. I do not recommend.</v>
      </c>
    </row>
    <row r="13685">
      <c r="A13685" s="1">
        <v>1.0</v>
      </c>
      <c r="B13685" s="1" t="s">
        <v>13562</v>
      </c>
      <c r="C13685" t="str">
        <f>IFERROR(__xludf.DUMMYFUNCTION("GOOGLETRANSLATE(B13685, ""es"", ""en"")"),"Typical Fail meshes of Chinese, zero coat.")</f>
        <v>Typical Fail meshes of Chinese, zero coat.</v>
      </c>
    </row>
    <row r="13686">
      <c r="A13686" s="1">
        <v>1.0</v>
      </c>
      <c r="B13686" s="1" t="s">
        <v>13563</v>
      </c>
      <c r="C13686" t="str">
        <f>IFERROR(__xludf.DUMMYFUNCTION("GOOGLETRANSLATE(B13686, ""es"", ""en"")"),"Wicked deceit often crock. They have neither a month and the worn soles. I have a Chinese that have lasted me more. I not recommend Crocks thought would be better but I see no")</f>
        <v>Wicked deceit often crock. They have neither a month and the worn soles. I have a Chinese that have lasted me more. I not recommend Crocks thought would be better but I see no</v>
      </c>
    </row>
    <row r="13687">
      <c r="A13687" s="1">
        <v>4.0</v>
      </c>
      <c r="B13687" s="1" t="s">
        <v>13564</v>
      </c>
      <c r="C13687" t="str">
        <f>IFERROR(__xludf.DUMMYFUNCTION("GOOGLETRANSLATE(B13687, ""es"", ""en"")"),"Good keyboard with 2 and a half octaves I have not tried all the functions since I bought it just for use with trackers (who can not use all its functions) instead of having to rely on the PC keyboard. Perhaps the feel of the keys is not appropriate for t"&amp;"he whole but perfectly fulfills its function, and comes with a couple of pretty good programs to start playing and composing. The good: -cheap, good value for money -Programmes ""free"" (lite versions) -Small and manageable. The bad: 'Do not because I exp"&amp;"ected it to be a tad bigger. -The keys do not have the right touch everything. What surprising I'm asked a week ago. And I said I came on 14 September, I came to buy the next day. Without warning or anything, he gave much chance that someone is home to re"&amp;"ceive the package. Perhaps the seller should provide better tools for the customer knew how your order, or less better estimate when the package will be sent.")</f>
        <v>Good keyboard with 2 and a half octaves I have not tried all the functions since I bought it just for use with trackers (who can not use all its functions) instead of having to rely on the PC keyboard. Perhaps the feel of the keys is not appropriate for the whole but perfectly fulfills its function, and comes with a couple of pretty good programs to start playing and composing. The good: -cheap, good value for money -Programmes "free" (lite versions) -Small and manageable. The bad: 'Do not because I expected it to be a tad bigger. -The keys do not have the right touch everything. What surprising I'm asked a week ago. And I said I came on 14 September, I came to buy the next day. Without warning or anything, he gave much chance that someone is home to receive the package. Perhaps the seller should provide better tools for the customer knew how your order, or less better estimate when the package will be sent.</v>
      </c>
    </row>
    <row r="13688">
      <c r="A13688" s="1">
        <v>4.0</v>
      </c>
      <c r="B13688" s="1" t="s">
        <v>13565</v>
      </c>
      <c r="C13688" t="str">
        <f>IFERROR(__xludf.DUMMYFUNCTION("GOOGLETRANSLATE(B13688, ""es"", ""en"")"),"Uncomfortable It hurts the button, otherwise fine")</f>
        <v>Uncomfortable It hurts the button, otherwise fine</v>
      </c>
    </row>
    <row r="13689">
      <c r="A13689" s="1">
        <v>4.0</v>
      </c>
      <c r="B13689" s="1" t="s">
        <v>13566</v>
      </c>
      <c r="C13689" t="str">
        <f>IFERROR(__xludf.DUMMYFUNCTION("GOOGLETRANSLATE(B13689, ""es"", ""en"")"),"For that price is very correct good device, pretty lights, everything can graduate. Maybe a little noisy and pours some water, but very satisfied with the value")</f>
        <v>For that price is very correct good device, pretty lights, everything can graduate. Maybe a little noisy and pours some water, but very satisfied with the value</v>
      </c>
    </row>
    <row r="13690">
      <c r="A13690" s="1">
        <v>4.0</v>
      </c>
      <c r="B13690" s="1" t="s">
        <v>13567</v>
      </c>
      <c r="C13690" t="str">
        <f>IFERROR(__xludf.DUMMYFUNCTION("GOOGLETRANSLATE(B13690, ""es"", ""en"")"),"There is a good quality price relation. Perfect for school use drawing set consisting of a square a gusset, a ruler and a semicircle with a cover to keep it. They are made of transparent plastic methacrylate green with high precision milling. Rules are te"&amp;"chniques 2 mm thick with bevelled edges and graduations recorded proof smearing. They are of very good quality despite being so finite and the right size for use in technical drawing. I know I bought my son to 1st High School because he trusted fully bran"&amp;"d and also do not want too big because the grids used in small sheets. So for us they are the right size. We are happy with them. They fulfill their function and are much better than others of lesser-known brands and the price is right. Sometimes the qual"&amp;"ity must be paid.")</f>
        <v>There is a good quality price relation. Perfect for school use drawing set consisting of a square a gusset, a ruler and a semicircle with a cover to keep it. They are made of transparent plastic methacrylate green with high precision milling. Rules are techniques 2 mm thick with bevelled edges and graduations recorded proof smearing. They are of very good quality despite being so finite and the right size for use in technical drawing. I know I bought my son to 1st High School because he trusted fully brand and also do not want too big because the grids used in small sheets. So for us they are the right size. We are happy with them. They fulfill their function and are much better than others of lesser-known brands and the price is right. Sometimes the quality must be paid.</v>
      </c>
    </row>
    <row r="13691">
      <c r="A13691" s="1">
        <v>5.0</v>
      </c>
      <c r="B13691" s="1" t="s">
        <v>13568</v>
      </c>
      <c r="C13691" t="str">
        <f>IFERROR(__xludf.DUMMYFUNCTION("GOOGLETRANSLATE(B13691, ""es"", ""en"")"),"Good quality elegant I bought this bracelet for my band 3 for use also to wear. This model with black belt and black metal base is very elegant anthracite. Material seems good.")</f>
        <v>Good quality elegant I bought this bracelet for my band 3 for use also to wear. This model with black belt and black metal base is very elegant anthracite. Material seems good.</v>
      </c>
    </row>
    <row r="13692">
      <c r="A13692" s="1">
        <v>5.0</v>
      </c>
      <c r="B13692" s="1" t="s">
        <v>13569</v>
      </c>
      <c r="C13692" t="str">
        <f>IFERROR(__xludf.DUMMYFUNCTION("GOOGLETRANSLATE(B13692, ""es"", ""en"")"),"An immortal classic purchased for casual style. Recommend foot and guided measured by height in centimeters, thus not fail as a result of the differences between different brands. Comfortable, nice and usable.")</f>
        <v>An immortal classic purchased for casual style. Recommend foot and guided measured by height in centimeters, thus not fail as a result of the differences between different brands. Comfortable, nice and usable.</v>
      </c>
    </row>
    <row r="13693">
      <c r="A13693" s="1">
        <v>5.0</v>
      </c>
      <c r="B13693" s="1" t="s">
        <v>13570</v>
      </c>
      <c r="C13693" t="str">
        <f>IFERROR(__xludf.DUMMYFUNCTION("GOOGLETRANSLATE(B13693, ""es"", ""en"")"),"Precious perfect size. They are nicer than you see in the picture")</f>
        <v>Precious perfect size. They are nicer than you see in the picture</v>
      </c>
    </row>
    <row r="13694">
      <c r="A13694" s="1">
        <v>5.0</v>
      </c>
      <c r="B13694" s="1" t="s">
        <v>13571</v>
      </c>
      <c r="C13694" t="str">
        <f>IFERROR(__xludf.DUMMYFUNCTION("GOOGLETRANSLATE(B13694, ""es"", ""en"")"),"What I expected all right")</f>
        <v>What I expected all right</v>
      </c>
    </row>
    <row r="13695">
      <c r="A13695" s="1">
        <v>5.0</v>
      </c>
      <c r="B13695" s="1" t="s">
        <v>13572</v>
      </c>
      <c r="C13695" t="str">
        <f>IFERROR(__xludf.DUMMYFUNCTION("GOOGLETRANSLATE(B13695, ""es"", ""en"")"),"It comfortable from the first moment and durable The best of these shoes is not only to be very comfortable from the first moment and fit like a glove. In addition, it is almost one year remain so after using them daily. In some opinions it recommends usi"&amp;"ng a number less but I ordered mine and I are perfect (yes it is true that in other brands of shoes usually ask one more).")</f>
        <v>It comfortable from the first moment and durable The best of these shoes is not only to be very comfortable from the first moment and fit like a glove. In addition, it is almost one year remain so after using them daily. In some opinions it recommends using a number less but I ordered mine and I are perfect (yes it is true that in other brands of shoes usually ask one more).</v>
      </c>
    </row>
    <row r="13696">
      <c r="A13696" s="1">
        <v>5.0</v>
      </c>
      <c r="B13696" s="1" t="s">
        <v>13573</v>
      </c>
      <c r="C13696" t="str">
        <f>IFERROR(__xludf.DUMMYFUNCTION("GOOGLETRANSLATE(B13696, ""es"", ""en"")"),"The best of the market after much searching for comparative Internet SSDs, I decided decantarme by Samsung since in general the criticism was very good, after some time of use can conclude that it is a true wonder. If you come from a hard drive HDD, your "&amp;"first impression will be simply amazing, improved performance is overwhelming, raisins to go to prepare a leisurely coffee at the kitchen while your computer is turned on and back while still is finishing going on to directly not reach or get out of the c"&amp;"hair before you have raised the OS with all applications ready for use. The starter usually surprise you, but the best feeling of all is instantly open any program, it gives you a sense of fluidity, which once tested will be impossible to the old HDD. Com"&amp;"ing from another brand of SSD and will not be as noticeable improvements, however in my personal perception, if it has somewhat improved speed, do not expect the same result as the aforementioned, but the most demanding if you notice an improvement. As fo"&amp;"r the ability I think it best if you do use high disk space is 1TB, does have time one of 500GB and if you are someone who have several games and some other multimedia content the 500GB can be reached stay right with the passage of time (as it happened to"&amp;" me) referring to the ease of installation, it is not something I can do without any effort someone without little knowledge, but it is nothing impossible and seeing some other tutorial on the internet you can be carried out without problem. In conclusion"&amp;" say that this product is well deserving of the 5 stars and recommend purchase.")</f>
        <v>The best of the market after much searching for comparative Internet SSDs, I decided decantarme by Samsung since in general the criticism was very good, after some time of use can conclude that it is a true wonder. If you come from a hard drive HDD, your first impression will be simply amazing, improved performance is overwhelming, raisins to go to prepare a leisurely coffee at the kitchen while your computer is turned on and back while still is finishing going on to directly not reach or get out of the chair before you have raised the OS with all applications ready for use. The starter usually surprise you, but the best feeling of all is instantly open any program, it gives you a sense of fluidity, which once tested will be impossible to the old HDD. Coming from another brand of SSD and will not be as noticeable improvements, however in my personal perception, if it has somewhat improved speed, do not expect the same result as the aforementioned, but the most demanding if you notice an improvement. As for the ability I think it best if you do use high disk space is 1TB, does have time one of 500GB and if you are someone who have several games and some other multimedia content the 500GB can be reached stay right with the passage of time (as it happened to me) referring to the ease of installation, it is not something I can do without any effort someone without little knowledge, but it is nothing impossible and seeing some other tutorial on the internet you can be carried out without problem. In conclusion say that this product is well deserving of the 5 stars and recommend purchase.</v>
      </c>
    </row>
    <row r="13697">
      <c r="A13697" s="1">
        <v>5.0</v>
      </c>
      <c r="B13697" s="1" t="s">
        <v>13574</v>
      </c>
      <c r="C13697" t="str">
        <f>IFERROR(__xludf.DUMMYFUNCTION("GOOGLETRANSLATE(B13697, ""es"", ""en"")"),"long cable but you take it anywhere. I like to have a cable and to solve interviews with micro wiring with cable. to being so fine it goes unnoticed and does not bother. you wind easily and carry in any pocket of the backpack unobtrusively. A being made o"&amp;"f kevlar promises durability though its small size seems fragile. Careful because being so thin you easily step on it and you punish, señalizalo and estate pending.")</f>
        <v>long cable but you take it anywhere. I like to have a cable and to solve interviews with micro wiring with cable. to being so fine it goes unnoticed and does not bother. you wind easily and carry in any pocket of the backpack unobtrusively. A being made of kevlar promises durability though its small size seems fragile. Careful because being so thin you easily step on it and you punish, señalizalo and estate pending.</v>
      </c>
    </row>
    <row r="13698">
      <c r="A13698" s="1">
        <v>5.0</v>
      </c>
      <c r="B13698" s="1" t="s">
        <v>13575</v>
      </c>
      <c r="C13698" t="str">
        <f>IFERROR(__xludf.DUMMYFUNCTION("GOOGLETRANSLATE(B13698, ""es"", ""en"")"),"Buy a size less than q q There used to buy a number minus, and are the second q buy and give very good results.")</f>
        <v>Buy a size less than q q There used to buy a number minus, and are the second q buy and give very good results.</v>
      </c>
    </row>
    <row r="13699">
      <c r="A13699" s="1">
        <v>5.0</v>
      </c>
      <c r="B13699" s="1" t="s">
        <v>13576</v>
      </c>
      <c r="C13699" t="str">
        <f>IFERROR(__xludf.DUMMYFUNCTION("GOOGLETRANSLATE(B13699, ""es"", ""en"")"),"Resistant Casio watch, quality")</f>
        <v>Resistant Casio watch, quality</v>
      </c>
    </row>
    <row r="13700">
      <c r="A13700" s="1">
        <v>5.0</v>
      </c>
      <c r="B13700" s="1" t="s">
        <v>13577</v>
      </c>
      <c r="C13700" t="str">
        <f>IFERROR(__xludf.DUMMYFUNCTION("GOOGLETRANSLATE(B13700, ""es"", ""en"")"),"Beautiful and convenient We liked it, it is practical for day to day. They seem resistant materials. And as always, the delivery was successful.")</f>
        <v>Beautiful and convenient We liked it, it is practical for day to day. They seem resistant materials. And as always, the delivery was successful.</v>
      </c>
    </row>
    <row r="13701">
      <c r="A13701" s="1">
        <v>5.0</v>
      </c>
      <c r="B13701" s="1" t="s">
        <v>13578</v>
      </c>
      <c r="C13701" t="str">
        <f>IFERROR(__xludf.DUMMYFUNCTION("GOOGLETRANSLATE(B13701, ""es"", ""en"")"),"His gentle and soothing touch is soft and cold, helping to soothe the skin and relax, I use it every night with a facial vitamin E oil that helps moisturize my skin me. It is very manageable and stands out for its two stones rose quartz, smaller and large"&amp;"r other a tad, each quartz stone is intended for different facial parts. Its value is great, I have called my attention! A product of 10!")</f>
        <v>His gentle and soothing touch is soft and cold, helping to soothe the skin and relax, I use it every night with a facial vitamin E oil that helps moisturize my skin me. It is very manageable and stands out for its two stones rose quartz, smaller and larger other a tad, each quartz stone is intended for different facial parts. Its value is great, I have called my attention! A product of 10!</v>
      </c>
    </row>
    <row r="13702">
      <c r="A13702" s="1">
        <v>5.0</v>
      </c>
      <c r="B13702" s="1" t="s">
        <v>13579</v>
      </c>
      <c r="C13702" t="str">
        <f>IFERROR(__xludf.DUMMYFUNCTION("GOOGLETRANSLATE(B13702, ""es"", ""en"")"),"Very good and comfortable in their fair measure")</f>
        <v>Very good and comfortable in their fair measure</v>
      </c>
    </row>
    <row r="13703">
      <c r="A13703" s="1">
        <v>5.0</v>
      </c>
      <c r="B13703" s="1" t="s">
        <v>13580</v>
      </c>
      <c r="C13703" t="str">
        <f>IFERROR(__xludf.DUMMYFUNCTION("GOOGLETRANSLATE(B13703, ""es"", ""en"")"),"the juice is done well I'm thrilled! I have a few days with her and took more fruit than ever. Delicious, sparkling, soft and juices without pulp. To take one but not the pulp falls all in the container and that makes cleaning more complicated ....")</f>
        <v>the juice is done well I'm thrilled! I have a few days with her and took more fruit than ever. Delicious, sparkling, soft and juices without pulp. To take one but not the pulp falls all in the container and that makes cleaning more complicated ....</v>
      </c>
    </row>
    <row r="13704">
      <c r="A13704" s="1">
        <v>5.0</v>
      </c>
      <c r="B13704" s="1" t="s">
        <v>13581</v>
      </c>
      <c r="C13704" t="str">
        <f>IFERROR(__xludf.DUMMYFUNCTION("GOOGLETRANSLATE(B13704, ""es"", ""en"")"),"Very good price arrived early. Quality")</f>
        <v>Very good price arrived early. Quality</v>
      </c>
    </row>
    <row r="13705">
      <c r="A13705" s="1">
        <v>5.0</v>
      </c>
      <c r="B13705" s="1" t="s">
        <v>13582</v>
      </c>
      <c r="C13705" t="str">
        <f>IFERROR(__xludf.DUMMYFUNCTION("GOOGLETRANSLATE(B13705, ""es"", ""en"")"),"For me, the best in-ear headphone with ANC 2019, with things to polish Let's see, I'm currently reading reviews and above all user comments, and this, we are out of hand a little. First clarify concepts and differentiate one customer view, from an analysi"&amp;"s of a product. - Customer Review: This is what you are reading here at Amazon and is just that. A view of a totally subjective and free customer of a product, such as these Sony. Can be positive, negative, neutral, 10 words or 2,000, and may be giving a "&amp;"person skilled in audio, or a normal user ... to see if these Sony to buy, you must be audiophile or something similar. Missing more. .... ""Yeah, but it's a Vine Voice"" ... of course! ... and think that person, have made voice came for her pretty face. "&amp;"The years of writing opinions completely disinterested and behind the times that you who are reading, or others, have helped you make an informed buying decision ... that no longer? ... I do not see fair. I have more than 10 years writing to you you read,"&amp;" I'm here on Amazon Spain, USA or UK, and I guess I have helped buyers to the same as my peers. You should assess that a little more, and never forget that we are talking about a customer view, which is very different from .... - Product analysis: See, th"&amp;"at's another story. A product analysis, makes it a specialized environment, either magazine, web, youtube channel, etc., and assume it does an expert in the field, and should be, therefore, something comprehensive and truthful, elaborate, well written, an"&amp;"d impeccable technique stringency. Therefore, a review of Amazon, NEVER usually an analysis to use, but here, it will taste each, write more or less, therefore, they should respect the views from my point of view, eye . At this point, there are only 2 opt"&amp;"ions: 1. Like the view, read and give a useful (or not). 2. Do you like then spend the next and longer. I see it not so difficult. It's what I've been doing since it opened Amazon. Or you think that being the commentator nº1 I do not read your opinions? S"&amp;"ure !, every time I have to make a purchase, and you you read mine because that's how I consider myself, that we can feed back from customers, because do not forget, that all who write here, we customers are the same. And I said, my opinion: First say as "&amp;"I have mentioned several times that while I am not in technical audio, I have some experience in audio behind me. DJ 16 years, hundreds of Hi-Fi equipment installed in homes, rooms, restaurants .... car audio. But my ear is mine, and my tastes for audio, "&amp;"too, so come with me to see if it's what I'll tell you about the headset. First say that I give 4 * as today, it is not a 100% to excellence. There are some things to improve, and as happened off the 1000XM3 headset (which I also have), they lack polish t"&amp;"he software as they did in their day. You could compare with the 20 other different headphones have at home, because I have to say I am a lover of good sound, but not like other brands put me in garlic. I think you have left to know that today, as I write"&amp;" these lines, no in-ear headset with active noise canceling better. You may like more or less, you may seem sufficient or insufficient, but there is none better work this aspect, no, they do not reach the level of their brothers diadem, because they are a"&amp;" product entirely. -The main feature so that you will acquire is for its noise cancellation. Amazing what Sony has achieved in a headset so small. It is by far the best in the market, and I give my, it will remain so for a long time. In this regard, 10/10"&amp;" with technology today. In range of earbuds, there's nothing better (I insist on not compare to a different category). Sony has done an excellent job in this field. -Quality sound very good. Within which is a commercial sound, you may like more or less, t"&amp;"he sound is very good. Very powerful bass with lots of punch and development, deep, no reverb heard more than enough for the current and commercial music, that nothing, other frequencies dirty. Possibly the headphones, have a larger size than usual, given"&amp;" that there is an extra space that fosters a driver with more space you get better sound. Yes, ornate and in keeping with the current trend (somewhat less than in the headset), in line with Sony, maintaining its essence, but I have to tell you that if you"&amp;" want a crisp and clear sound, these are not your headphones. Better, opt for a headband with open drivers and prepares the pocket. The media is as usual when we talk button, skinniest point, although I must say they are not all bad, the vocals are crisp "&amp;"without any distortion. Where more decay is on the scene these headphones, but is normal given the size of the driver, a smaller size is very difficult to give a greater spacing instruments. Treble, have a very decent brightness to my liking, and perfectl"&amp;"y cover the entire sound spectrum without dirtying mids and squeaky harmonic distortion, as with low sound quality headphones. As I say, roughly, the sound is ""tipicla Sony"" with a somewhat flatter grave, a general trend in EQ that simulates a V, but le"&amp;"ss pronounced than in other brand products. Ultimately, sound business, which is what is demanded. Not suitable for purists, but I do not think it seeks to pursue excellence in that regard. Sound very correct and clean, beyond the equalization chosen by t"&amp;"he brand to offer the product. It will not disappoint anyone in this regard. - Microphone. It is what most weakens, and honestly, you have to work harder at it. At the diadem like when they left, the micros, leave something to be desired. This is somethin"&amp;"g that should not worry too much, for the simple reason that with updates, will greatly improve. In fact, large, they passed on an update, if not usable for calls, to have a decent microphones sea. Here, you will just for the simple reason that for qualit"&amp;"y mics will not be because they supposedly have to have a very high sensitivity to be the same as those used for cancellation, so if when you read this, the microphone is not up, quiet, it will work out. Battery - Connectivity BT 5.0 Possessing, does, not"&amp;" only more energy efficient, but do they have a very beast listening range (most of my floor without disconnecting from the mobile also with BT 5.0). At the time, the timing is perfect between the two headphones, no delay and I was able to watch movies wi"&amp;"th him in different streaming services, as well as videos on youtube without problems or delays in the audio lag whatsoever. The battery, if not well timed if I arrive at 6 o'clock promises, I would say that even surpasses average volume. The case load br"&amp;"eakneck speed USB-C connector. The aesthetics of the case, it seems simply spectacular, albeit somewhat exaggerated in size. Finally technically, and returning back to the noise cancellation, indicate that it has several modes. -Normal (without cancellati"&amp;"on) -Activates. Drastically reduces all noises, especially the continuous frequencies where it is easier to work. Where it loses (like everyone) it is in sudden sounds. A blow dry, it costs more. A shrill voice, slammed the door, etc, it is something not "&amp;"seem to give you time to process. Anyway, it is far superior to everything tested, including tiaras other brands and I say knowingly. I do not know as it has done Sony, but has put the bar very high. At home, as I write these lines, I put the kids acting "&amp;"up around me, and just listen. The other sounds disappear. I do not hear the air conditioning, the kitchen hood is on, etc. -Mode listening: one pass. When I see my wife making gestures with his hands, I know you want me to say something, I put the finger"&amp;" on the left ear, and low music, and enhances the media and treble sounds received in a dramatic way. the voice of the interlocutor a little robotic, processed, but a perfectly audible clearly heard. Very useful to be absorbed in my world, and press the h"&amp;"andset for a brief conversation. -Mode atmosphere: very useful especially if you want to listen to music but your want to ever hear everything around you without losing hearing. Is just the reverse of noise cancellation, the best certainly is customizable"&amp;" it is by app. Another negative is that moment, I had trouble connecting with Windows 10. In the first notebook which I tried to connect, did not emit any audio, and the second is I constantly disconnected if you started the command of the Xbox One. so if"&amp;" you manage to connect it to your computer, I do not think that you can play if you have more peripherals connected via Bluetooth. It does not have audio codec owner of Sony: LDAC. In addition neither it has nor APTX APTX HD. Both audio codec is SBC and A"&amp;"AC, the latter is only an advantage if you use itunes as in my case, since the songs are compressed with this codec, which makes bluetooth decompression faster. Moreover, the AAC is only more advantageous to consume something less than the SBC. Indeed it "&amp;"is likely that the latter is the reason that Sony has not included or LDAC or APTX, and is battery consumption, because with these codecs is higher. Ultimately, headphones, seemed to me the best in their field noise cancellation, and whether you like it m"&amp;"ore or less sound Sony, you can not deny they have a great sound and build quality, coupled with a battery dignified and an application to control everything worked very well (at the least iOS). I think that target non-sporting strictly for widespread pub"&amp;"lic use because they do not carry any type of IP protection. This obviously is not going to subtract any point in my estimation, since Sony, not advertised as sports headphones at any time and in the same way that does not rest points to a headset that do"&amp;"es not include noise cancellation not take (or that it was mandatory), not going to be in the case of IP protection, and honestly, I do not see them much sense to cancellation while doing sport, because you could not find out anything in your environment,"&amp;" I see so dangerous if used the cancellation while going around the city. Yes, it says that in August, on the coast, I use them with an important level of sweat and relative humidity up to 90%, and no problem, just in case. Finalizing ... I recommend it? "&amp;"Yes, much you may have its drawbacks, like any other handset, and weaknesses, but I think their strengths are the most important and those who tip the scales in your favor. In addition, some weaknesses could be solved with software updates. They are undou"&amp;"btedly the best earbud of the market and the only ones I know noise canceling REAL AND ACTUAL (The best for this type of headphones). With its spectacular autonomy and excellent connectivity and absence of micro-range, I can not stop recommending them. In"&amp;" addition to that output out 100 euros less than other headphones noise canceling headset. Whenever you do not mind that the microphone is not the moment to scratch and not going to use for sports, I think it's the choice. He could have published the revi"&amp;"ew before, but I decided to wait a couple of weeks to see if he entered an update to improve the micros, but hey, so far, has not been so, therefore, I think I have enough information to decide If this text is useful to you decide to purchase, or otherwis"&amp;"e, choose another option market. Certainly, as I say at the beginning, I recommend it, but this is just my opinion user. Cheers")</f>
        <v>For me, the best in-ear headphone with ANC 2019, with things to polish Let's see, I'm currently reading reviews and above all user comments, and this, we are out of hand a little. First clarify concepts and differentiate one customer view, from an analysis of a product. - Customer Review: This is what you are reading here at Amazon and is just that. A view of a totally subjective and free customer of a product, such as these Sony. Can be positive, negative, neutral, 10 words or 2,000, and may be giving a person skilled in audio, or a normal user ... to see if these Sony to buy, you must be audiophile or something similar. Missing more. .... "Yeah, but it's a Vine Voice" ... of course! ... and think that person, have made voice came for her pretty face. The years of writing opinions completely disinterested and behind the times that you who are reading, or others, have helped you make an informed buying decision ... that no longer? ... I do not see fair. I have more than 10 years writing to you you read, I'm here on Amazon Spain, USA or UK, and I guess I have helped buyers to the same as my peers. You should assess that a little more, and never forget that we are talking about a customer view, which is very different from .... - Product analysis: See, that's another story. A product analysis, makes it a specialized environment, either magazine, web, youtube channel, etc., and assume it does an expert in the field, and should be, therefore, something comprehensive and truthful, elaborate, well written, and impeccable technique stringency. Therefore, a review of Amazon, NEVER usually an analysis to use, but here, it will taste each, write more or less, therefore, they should respect the views from my point of view, eye . At this point, there are only 2 options: 1. Like the view, read and give a useful (or not). 2. Do you like then spend the next and longer. I see it not so difficult. It's what I've been doing since it opened Amazon. Or you think that being the commentator nº1 I do not read your opinions? Sure !, every time I have to make a purchase, and you you read mine because that's how I consider myself, that we can feed back from customers, because do not forget, that all who write here, we customers are the same. And I said, my opinion: First say as I have mentioned several times that while I am not in technical audio, I have some experience in audio behind me. DJ 16 years, hundreds of Hi-Fi equipment installed in homes, rooms, restaurants .... car audio. But my ear is mine, and my tastes for audio, too, so come with me to see if it's what I'll tell you about the headset. First say that I give 4 * as today, it is not a 100% to excellence. There are some things to improve, and as happened off the 1000XM3 headset (which I also have), they lack polish the software as they did in their day. You could compare with the 20 other different headphones have at home, because I have to say I am a lover of good sound, but not like other brands put me in garlic. I think you have left to know that today, as I write these lines, no in-ear headset with active noise canceling better. You may like more or less, you may seem sufficient or insufficient, but there is none better work this aspect, no, they do not reach the level of their brothers diadem, because they are a product entirely. -The main feature so that you will acquire is for its noise cancellation. Amazing what Sony has achieved in a headset so small. It is by far the best in the market, and I give my, it will remain so for a long time. In this regard, 10/10 with technology today. In range of earbuds, there's nothing better (I insist on not compare to a different category). Sony has done an excellent job in this field. -Quality sound very good. Within which is a commercial sound, you may like more or less, the sound is very good. Very powerful bass with lots of punch and development, deep, no reverb heard more than enough for the current and commercial music, that nothing, other frequencies dirty. Possibly the headphones, have a larger size than usual, given that there is an extra space that fosters a driver with more space you get better sound. Yes, ornate and in keeping with the current trend (somewhat less than in the headset), in line with Sony, maintaining its essence, but I have to tell you that if you want a crisp and clear sound, these are not your headphones. Better, opt for a headband with open drivers and prepares the pocket. The media is as usual when we talk button, skinniest point, although I must say they are not all bad, the vocals are crisp without any distortion. Where more decay is on the scene these headphones, but is normal given the size of the driver, a smaller size is very difficult to give a greater spacing instruments. Treble, have a very decent brightness to my liking, and perfectly cover the entire sound spectrum without dirtying mids and squeaky harmonic distortion, as with low sound quality headphones. As I say, roughly, the sound is "tipicla Sony" with a somewhat flatter grave, a general trend in EQ that simulates a V, but less pronounced than in other brand products. Ultimately, sound business, which is what is demanded. Not suitable for purists, but I do not think it seeks to pursue excellence in that regard. Sound very correct and clean, beyond the equalization chosen by the brand to offer the product. It will not disappoint anyone in this regard. - Microphone. It is what most weakens, and honestly, you have to work harder at it. At the diadem like when they left, the micros, leave something to be desired. This is something that should not worry too much, for the simple reason that with updates, will greatly improve. In fact, large, they passed on an update, if not usable for calls, to have a decent microphones sea. Here, you will just for the simple reason that for quality mics will not be because they supposedly have to have a very high sensitivity to be the same as those used for cancellation, so if when you read this, the microphone is not up, quiet, it will work out. Battery - Connectivity BT 5.0 Possessing, does, not only more energy efficient, but do they have a very beast listening range (most of my floor without disconnecting from the mobile also with BT 5.0). At the time, the timing is perfect between the two headphones, no delay and I was able to watch movies with him in different streaming services, as well as videos on youtube without problems or delays in the audio lag whatsoever. The battery, if not well timed if I arrive at 6 o'clock promises, I would say that even surpasses average volume. The case load breakneck speed USB-C connector. The aesthetics of the case, it seems simply spectacular, albeit somewhat exaggerated in size. Finally technically, and returning back to the noise cancellation, indicate that it has several modes. -Normal (without cancellation) -Activates. Drastically reduces all noises, especially the continuous frequencies where it is easier to work. Where it loses (like everyone) it is in sudden sounds. A blow dry, it costs more. A shrill voice, slammed the door, etc, it is something not seem to give you time to process. Anyway, it is far superior to everything tested, including tiaras other brands and I say knowingly. I do not know as it has done Sony, but has put the bar very high. At home, as I write these lines, I put the kids acting up around me, and just listen. The other sounds disappear. I do not hear the air conditioning, the kitchen hood is on, etc. -Mode listening: one pass. When I see my wife making gestures with his hands, I know you want me to say something, I put the finger on the left ear, and low music, and enhances the media and treble sounds received in a dramatic way. the voice of the interlocutor a little robotic, processed, but a perfectly audible clearly heard. Very useful to be absorbed in my world, and press the handset for a brief conversation. -Mode atmosphere: very useful especially if you want to listen to music but your want to ever hear everything around you without losing hearing. Is just the reverse of noise cancellation, the best certainly is customizable it is by app. Another negative is that moment, I had trouble connecting with Windows 10. In the first notebook which I tried to connect, did not emit any audio, and the second is I constantly disconnected if you started the command of the Xbox One. so if you manage to connect it to your computer, I do not think that you can play if you have more peripherals connected via Bluetooth. It does not have audio codec owner of Sony: LDAC. In addition neither it has nor APTX APTX HD. Both audio codec is SBC and AAC, the latter is only an advantage if you use itunes as in my case, since the songs are compressed with this codec, which makes bluetooth decompression faster. Moreover, the AAC is only more advantageous to consume something less than the SBC. Indeed it is likely that the latter is the reason that Sony has not included or LDAC or APTX, and is battery consumption, because with these codecs is higher. Ultimately, headphones, seemed to me the best in their field noise cancellation, and whether you like it more or less sound Sony, you can not deny they have a great sound and build quality, coupled with a battery dignified and an application to control everything worked very well (at the least iOS). I think that target non-sporting strictly for widespread public use because they do not carry any type of IP protection. This obviously is not going to subtract any point in my estimation, since Sony, not advertised as sports headphones at any time and in the same way that does not rest points to a headset that does not include noise cancellation not take (or that it was mandatory), not going to be in the case of IP protection, and honestly, I do not see them much sense to cancellation while doing sport, because you could not find out anything in your environment, I see so dangerous if used the cancellation while going around the city. Yes, it says that in August, on the coast, I use them with an important level of sweat and relative humidity up to 90%, and no problem, just in case. Finalizing ... I recommend it? Yes, much you may have its drawbacks, like any other handset, and weaknesses, but I think their strengths are the most important and those who tip the scales in your favor. In addition, some weaknesses could be solved with software updates. They are undoubtedly the best earbud of the market and the only ones I know noise canceling REAL AND ACTUAL (The best for this type of headphones). With its spectacular autonomy and excellent connectivity and absence of micro-range, I can not stop recommending them. In addition to that output out 100 euros less than other headphones noise canceling headset. Whenever you do not mind that the microphone is not the moment to scratch and not going to use for sports, I think it's the choice. He could have published the review before, but I decided to wait a couple of weeks to see if he entered an update to improve the micros, but hey, so far, has not been so, therefore, I think I have enough information to decide If this text is useful to you decide to purchase, or otherwise, choose another option market. Certainly, as I say at the beginning, I recommend it, but this is just my opinion user. Cheers</v>
      </c>
    </row>
    <row r="13706">
      <c r="A13706" s="1">
        <v>5.0</v>
      </c>
      <c r="B13706" s="1" t="s">
        <v>13583</v>
      </c>
      <c r="C13706" t="str">
        <f>IFERROR(__xludf.DUMMYFUNCTION("GOOGLETRANSLATE(B13706, ""es"", ""en"")"),"It was great for my niece and this enchanted")</f>
        <v>It was great for my niece and this enchanted</v>
      </c>
    </row>
    <row r="13707">
      <c r="A13707" s="1">
        <v>5.0</v>
      </c>
      <c r="B13707" s="1" t="s">
        <v>13584</v>
      </c>
      <c r="C13707" t="str">
        <f>IFERROR(__xludf.DUMMYFUNCTION("GOOGLETRANSLATE(B13707, ""es"", ""en"")"),"Great, it looks great temperature and humidity. Very comfortable to know the temperature and humidity, both outside and inside.")</f>
        <v>Great, it looks great temperature and humidity. Very comfortable to know the temperature and humidity, both outside and inside.</v>
      </c>
    </row>
    <row r="13708">
      <c r="A13708" s="1">
        <v>5.0</v>
      </c>
      <c r="B13708" s="1" t="s">
        <v>13585</v>
      </c>
      <c r="C13708" t="str">
        <f>IFERROR(__xludf.DUMMYFUNCTION("GOOGLETRANSLATE(B13708, ""es"", ""en"")"),"Slippers ok! The shoes are ok and what I expected, comfortable and I like. The only thing is no one size smaller, at least in my case, I use a 44 and 43 hurt.")</f>
        <v>Slippers ok! The shoes are ok and what I expected, comfortable and I like. The only thing is no one size smaller, at least in my case, I use a 44 and 43 hurt.</v>
      </c>
    </row>
    <row r="13709">
      <c r="A13709" s="1">
        <v>5.0</v>
      </c>
      <c r="B13709" s="1" t="s">
        <v>13586</v>
      </c>
      <c r="C13709" t="str">
        <f>IFERROR(__xludf.DUMMYFUNCTION("GOOGLETRANSLATE(B13709, ""es"", ""en"")"),"Highly recommended works very well. I love the material from which it is made and easy operation. highly recommended")</f>
        <v>Highly recommended works very well. I love the material from which it is made and easy operation. highly recommended</v>
      </c>
    </row>
    <row r="13710">
      <c r="A13710" s="1">
        <v>2.0</v>
      </c>
      <c r="B13710" s="1" t="s">
        <v>13587</v>
      </c>
      <c r="C13710" t="str">
        <f>IFERROR(__xludf.DUMMYFUNCTION("GOOGLETRANSLATE(B13710, ""es"", ""en"")"),"Did not last long after use in my camera for a year, I started having problems and losing large numbers of photos.")</f>
        <v>Did not last long after use in my camera for a year, I started having problems and losing large numbers of photos.</v>
      </c>
    </row>
    <row r="13711">
      <c r="A13711" s="1">
        <v>3.0</v>
      </c>
      <c r="B13711" s="1" t="s">
        <v>13588</v>
      </c>
      <c r="C13711" t="str">
        <f>IFERROR(__xludf.DUMMYFUNCTION("GOOGLETRANSLATE(B13711, ""es"", ""en"")"),"Not bad for the price, recommended I've been using it a few days and I do not feel bad product but has some flaws, the good thing is q the machine power is enough to crush ice and frozen fruit is easy to clean and perfectly fulfills its function, the bad "&amp;"thing is q after q end up crushing if you're not careful you turn the glass and module blades can stay together with the engine, you can pour all tamb the top of the glass is nothing practiced it gets dirty much you outside and beat face filled with drink"&amp;"ing q stopper is at the height of the nose. I said one meets q but easily upgradeable product.")</f>
        <v>Not bad for the price, recommended I've been using it a few days and I do not feel bad product but has some flaws, the good thing is q the machine power is enough to crush ice and frozen fruit is easy to clean and perfectly fulfills its function, the bad thing is q after q end up crushing if you're not careful you turn the glass and module blades can stay together with the engine, you can pour all tamb the top of the glass is nothing practiced it gets dirty much you outside and beat face filled with drinking q stopper is at the height of the nose. I said one meets q but easily upgradeable product.</v>
      </c>
    </row>
    <row r="13712">
      <c r="A13712" s="1">
        <v>3.0</v>
      </c>
      <c r="B13712" s="1" t="s">
        <v>13589</v>
      </c>
      <c r="C13712" t="str">
        <f>IFERROR(__xludf.DUMMYFUNCTION("GOOGLETRANSLATE(B13712, ""es"", ""en"")"),"Sorry but I have not had to return, they hurt me")</f>
        <v>Sorry but I have not had to return, they hurt me</v>
      </c>
    </row>
    <row r="13713">
      <c r="A13713" s="1">
        <v>3.0</v>
      </c>
      <c r="B13713" s="1" t="s">
        <v>13590</v>
      </c>
      <c r="C13713" t="str">
        <f>IFERROR(__xludf.DUMMYFUNCTION("GOOGLETRANSLATE(B13713, ""es"", ""en"")"),"Better look for other ... updated to: better to look for another brand, I have not had the best experience with them. And I had to send one to the SAT that died, charging the RAID0 he had with his files. I also attached a picture of performance in RAID0 w"&amp;"ith an Intel controller in an ASUS Z270-A. It is its main attraction, since we have a HDD with a speed of reading and writing about 100Mb / s. Other models such as WD Green arrive at 150Mb. Perfect for storing large amounts of data.")</f>
        <v>Better look for other ... updated to: better to look for another brand, I have not had the best experience with them. And I had to send one to the SAT that died, charging the RAID0 he had with his files. I also attached a picture of performance in RAID0 with an Intel controller in an ASUS Z270-A. It is its main attraction, since we have a HDD with a speed of reading and writing about 100Mb / s. Other models such as WD Green arrive at 150Mb. Perfect for storing large amounts of data.</v>
      </c>
    </row>
    <row r="13714">
      <c r="A13714" s="1">
        <v>1.0</v>
      </c>
      <c r="B13714" s="1" t="s">
        <v>13591</v>
      </c>
      <c r="C13714" t="str">
        <f>IFERROR(__xludf.DUMMYFUNCTION("GOOGLETRANSLATE(B13714, ""es"", ""en"")"),"I open constantly bought two rings of different sizes. This particular one I open all the time, without touching it.")</f>
        <v>I open constantly bought two rings of different sizes. This particular one I open all the time, without touching it.</v>
      </c>
    </row>
    <row r="13715">
      <c r="A13715" s="1">
        <v>1.0</v>
      </c>
      <c r="B13715" s="1" t="s">
        <v>13592</v>
      </c>
      <c r="C13715" t="str">
        <f>IFERROR(__xludf.DUMMYFUNCTION("GOOGLETRANSLATE(B13715, ""es"", ""en"")"),"More or less .. I do not understand how it is used.")</f>
        <v>More or less .. I do not understand how it is used.</v>
      </c>
    </row>
    <row r="13716">
      <c r="A13716" s="1">
        <v>4.0</v>
      </c>
      <c r="B13716" s="1" t="s">
        <v>13593</v>
      </c>
      <c r="C13716" t="str">
        <f>IFERROR(__xludf.DUMMYFUNCTION("GOOGLETRANSLATE(B13716, ""es"", ""en"")"),"correct product. Positive that it can be so small. At the same time I think it must be so small fingers cojerlo costs to disconnect it from the PC. This is not a paste of the product is a personal opinion. Your sitema internal file encryption is a bit slo"&amp;"w. Once encrypted files if these are images, you can not be displayed in the folder as images before loading. Way to move, cumbersome encrypted files. The encryption system requires quite often it is updated online. Attention !: The encryption program tha"&amp;"t takes, is no longer valid for Windows XP.")</f>
        <v>correct product. Positive that it can be so small. At the same time I think it must be so small fingers cojerlo costs to disconnect it from the PC. This is not a paste of the product is a personal opinion. Your sitema internal file encryption is a bit slow. Once encrypted files if these are images, you can not be displayed in the folder as images before loading. Way to move, cumbersome encrypted files. The encryption system requires quite often it is updated online. Attention !: The encryption program that takes, is no longer valid for Windows XP.</v>
      </c>
    </row>
    <row r="13717">
      <c r="A13717" s="1">
        <v>4.0</v>
      </c>
      <c r="B13717" s="1" t="s">
        <v>13594</v>
      </c>
      <c r="C13717" t="str">
        <f>IFERROR(__xludf.DUMMYFUNCTION("GOOGLETRANSLATE(B13717, ""es"", ""en"")"),"It fulfills its basic function card holder that does the job. The downside is that if full of cards does not close properly.")</f>
        <v>It fulfills its basic function card holder that does the job. The downside is that if full of cards does not close properly.</v>
      </c>
    </row>
    <row r="13718">
      <c r="A13718" s="1">
        <v>4.0</v>
      </c>
      <c r="B13718" s="1" t="s">
        <v>13595</v>
      </c>
      <c r="C13718" t="str">
        <f>IFERROR(__xludf.DUMMYFUNCTION("GOOGLETRANSLATE(B13718, ""es"", ""en"")"),"well hear reasonably well, excellent volume, 0 interference .. maybe are not the most comfortable of the world, but use them to train and work great and hardly move even running. battery addition lasts several hours; I used took no less than 6, and still "&amp;"have not had to charge it again.")</f>
        <v>well hear reasonably well, excellent volume, 0 interference .. maybe are not the most comfortable of the world, but use them to train and work great and hardly move even running. battery addition lasts several hours; I used took no less than 6, and still have not had to charge it again.</v>
      </c>
    </row>
    <row r="13719">
      <c r="A13719" s="1">
        <v>4.0</v>
      </c>
      <c r="B13719" s="1" t="s">
        <v>13596</v>
      </c>
      <c r="C13719" t="str">
        <f>IFERROR(__xludf.DUMMYFUNCTION("GOOGLETRANSLATE(B13719, ""es"", ""en"")"),"Meets and is nice digits are large and very visible. I've gotten into the pool without problems, although I think it should not be abused. Very good for its price")</f>
        <v>Meets and is nice digits are large and very visible. I've gotten into the pool without problems, although I think it should not be abused. Very good for its price</v>
      </c>
    </row>
    <row r="13720">
      <c r="A13720" s="1">
        <v>4.0</v>
      </c>
      <c r="B13720" s="1" t="s">
        <v>13597</v>
      </c>
      <c r="C13720" t="str">
        <f>IFERROR(__xludf.DUMMYFUNCTION("GOOGLETRANSLATE(B13720, ""es"", ""en"")"),"Not bad I I liked")</f>
        <v>Not bad I I liked</v>
      </c>
    </row>
    <row r="13721">
      <c r="A13721" s="1">
        <v>5.0</v>
      </c>
      <c r="B13721" s="1" t="s">
        <v>13598</v>
      </c>
      <c r="C13721" t="str">
        <f>IFERROR(__xludf.DUMMYFUNCTION("GOOGLETRANSLATE(B13721, ""es"", ""en"")"),"A good gift choice great product. The result is spectacular and is fun to do. It gives a lot of creative freedom. Important to note that the price of the box it is necessary to add all other pictures and you want to put ...")</f>
        <v>A good gift choice great product. The result is spectacular and is fun to do. It gives a lot of creative freedom. Important to note that the price of the box it is necessary to add all other pictures and you want to put ...</v>
      </c>
    </row>
    <row r="13722">
      <c r="A13722" s="1">
        <v>5.0</v>
      </c>
      <c r="B13722" s="1" t="s">
        <v>13599</v>
      </c>
      <c r="C13722" t="str">
        <f>IFERROR(__xludf.DUMMYFUNCTION("GOOGLETRANSLATE(B13722, ""es"", ""en"")"),"Transparent glass essential in cleaning. Transparent glass very important for the purposes of cleaning all non-glass does not help to know when you need to remove any traces such as lime are difficult to identify.")</f>
        <v>Transparent glass essential in cleaning. Transparent glass very important for the purposes of cleaning all non-glass does not help to know when you need to remove any traces such as lime are difficult to identify.</v>
      </c>
    </row>
    <row r="13723">
      <c r="A13723" s="1">
        <v>5.0</v>
      </c>
      <c r="B13723" s="1" t="s">
        <v>13600</v>
      </c>
      <c r="C13723" t="str">
        <f>IFERROR(__xludf.DUMMYFUNCTION("GOOGLETRANSLATE(B13723, ""es"", ""en"")"),"Tools are good and take away from apurillos")</f>
        <v>Tools are good and take away from apurillos</v>
      </c>
    </row>
    <row r="13724">
      <c r="A13724" s="1">
        <v>5.0</v>
      </c>
      <c r="B13724" s="1" t="s">
        <v>13601</v>
      </c>
      <c r="C13724" t="str">
        <f>IFERROR(__xludf.DUMMYFUNCTION("GOOGLETRANSLATE(B13724, ""es"", ""en"")"),"Excellent speed used it to store files and documents, it is easy to read on all computers, so far has been a success.")</f>
        <v>Excellent speed used it to store files and documents, it is easy to read on all computers, so far has been a success.</v>
      </c>
    </row>
    <row r="13725">
      <c r="A13725" s="1">
        <v>5.0</v>
      </c>
      <c r="B13725" s="1" t="s">
        <v>13602</v>
      </c>
      <c r="C13725" t="str">
        <f>IFERROR(__xludf.DUMMYFUNCTION("GOOGLETRANSLATE(B13725, ""es"", ""en"")"),"Perfect perfect perfect for a birthday or other event is. The ball has a lot of glitter and the font is beautiful.")</f>
        <v>Perfect perfect perfect for a birthday or other event is. The ball has a lot of glitter and the font is beautiful.</v>
      </c>
    </row>
    <row r="13726">
      <c r="A13726" s="1">
        <v>5.0</v>
      </c>
      <c r="B13726" s="1" t="s">
        <v>13603</v>
      </c>
      <c r="C13726" t="str">
        <f>IFERROR(__xludf.DUMMYFUNCTION("GOOGLETRANSLATE(B13726, ""es"", ""en"")"),"meets all expectations. Many memories to memorize times. Good quality meets all expectations. Many memories to memorize times. Good quality. I recommend it. Intuitively, barely missing instructions do. satisfied")</f>
        <v>meets all expectations. Many memories to memorize times. Good quality meets all expectations. Many memories to memorize times. Good quality. I recommend it. Intuitively, barely missing instructions do. satisfied</v>
      </c>
    </row>
    <row r="13727">
      <c r="A13727" s="1">
        <v>5.0</v>
      </c>
      <c r="B13727" s="1" t="s">
        <v>13604</v>
      </c>
      <c r="C13727" t="str">
        <f>IFERROR(__xludf.DUMMYFUNCTION("GOOGLETRANSLATE(B13727, ""es"", ""en"")"),"I love and I love very good quality and very good quality, very satisfied with the purchase and highly recommend it. It is cheap and very good quality.")</f>
        <v>I love and I love very good quality and very good quality, very satisfied with the purchase and highly recommend it. It is cheap and very good quality.</v>
      </c>
    </row>
    <row r="13728">
      <c r="A13728" s="1">
        <v>5.0</v>
      </c>
      <c r="B13728" s="1" t="s">
        <v>13605</v>
      </c>
      <c r="C13728" t="str">
        <f>IFERROR(__xludf.DUMMYFUNCTION("GOOGLETRANSLATE(B13728, ""es"", ""en"")"),"Recommended seller. Received ok Rapidez- communication on your date. Very good quality for its price. It corresponds to the description: Buttons with good tactile sensitivity. What I like most is that they are resistant to water. The quality of sound is g"&amp;"ood and clear. I could listen to music for 3 hours and about 20 minutes to 1 hour or less have loaded")</f>
        <v>Recommended seller. Received ok Rapidez- communication on your date. Very good quality for its price. It corresponds to the description: Buttons with good tactile sensitivity. What I like most is that they are resistant to water. The quality of sound is good and clear. I could listen to music for 3 hours and about 20 minutes to 1 hour or less have loaded</v>
      </c>
    </row>
    <row r="13729">
      <c r="A13729" s="1">
        <v>5.0</v>
      </c>
      <c r="B13729" s="1" t="s">
        <v>13606</v>
      </c>
      <c r="C13729" t="str">
        <f>IFERROR(__xludf.DUMMYFUNCTION("GOOGLETRANSLATE(B13729, ""es"", ""en"")"),"USB flash drive 128 GB. recommended after several buy, it is one of the best USB flash drives ever tasted, and the correct speed. The only thing is heated a little, but so far no problem with her so. seguiremo need a pen repeating when this capability")</f>
        <v>USB flash drive 128 GB. recommended after several buy, it is one of the best USB flash drives ever tasted, and the correct speed. The only thing is heated a little, but so far no problem with her so. seguiremo need a pen repeating when this capability</v>
      </c>
    </row>
    <row r="13730">
      <c r="A13730" s="1">
        <v>5.0</v>
      </c>
      <c r="B13730" s="1" t="s">
        <v>13607</v>
      </c>
      <c r="C13730" t="str">
        <f>IFERROR(__xludf.DUMMYFUNCTION("GOOGLETRANSLATE(B13730, ""es"", ""en"")"),"Does the job perfectly warm. Level 1 and 2 you okay with 3 handles you as a 🐔")</f>
        <v>Does the job perfectly warm. Level 1 and 2 you okay with 3 handles you as a 🐔</v>
      </c>
    </row>
    <row r="13731">
      <c r="A13731" s="1">
        <v>5.0</v>
      </c>
      <c r="B13731" s="1" t="s">
        <v>13608</v>
      </c>
      <c r="C13731" t="str">
        <f>IFERROR(__xludf.DUMMYFUNCTION("GOOGLETRANSLATE(B13731, ""es"", ""en"")"),"All fantastic quality and pretty reliable for a ridiculous price casio")</f>
        <v>All fantastic quality and pretty reliable for a ridiculous price casio</v>
      </c>
    </row>
    <row r="13732">
      <c r="A13732" s="1">
        <v>5.0</v>
      </c>
      <c r="B13732" s="1" t="s">
        <v>13609</v>
      </c>
      <c r="C13732" t="str">
        <f>IFERROR(__xludf.DUMMYFUNCTION("GOOGLETRANSLATE(B13732, ""es"", ""en"")"),"Very comfortable shoes shoes comfortable and practical, sent belatedly but in perfect condition")</f>
        <v>Very comfortable shoes shoes comfortable and practical, sent belatedly but in perfect condition</v>
      </c>
    </row>
    <row r="13733">
      <c r="A13733" s="1">
        <v>5.0</v>
      </c>
      <c r="B13733" s="1" t="s">
        <v>13610</v>
      </c>
      <c r="C13733" t="str">
        <f>IFERROR(__xludf.DUMMYFUNCTION("GOOGLETRANSLATE(B13733, ""es"", ""en"")"),"Indispensable at home very practical")</f>
        <v>Indispensable at home very practical</v>
      </c>
    </row>
    <row r="13734">
      <c r="A13734" s="1">
        <v>5.0</v>
      </c>
      <c r="B13734" s="1" t="s">
        <v>13611</v>
      </c>
      <c r="C13734" t="str">
        <f>IFERROR(__xludf.DUMMYFUNCTION("GOOGLETRANSLATE(B13734, ""es"", ""en"")"),"Very comfortable to wear very cool. Perfect. They do not weigh anything. They see that result. Only I've taken 2 days.")</f>
        <v>Very comfortable to wear very cool. Perfect. They do not weigh anything. They see that result. Only I've taken 2 days.</v>
      </c>
    </row>
    <row r="13735">
      <c r="A13735" s="1">
        <v>5.0</v>
      </c>
      <c r="B13735" s="1" t="s">
        <v>13612</v>
      </c>
      <c r="C13735" t="str">
        <f>IFERROR(__xludf.DUMMYFUNCTION("GOOGLETRANSLATE(B13735, ""es"", ""en"")"),"Not bad Perfect for what I do not want it to work. Happy moment. Be that hard.")</f>
        <v>Not bad Perfect for what I do not want it to work. Happy moment. Be that hard.</v>
      </c>
    </row>
    <row r="13736">
      <c r="A13736" s="1">
        <v>5.0</v>
      </c>
      <c r="B13736" s="1" t="s">
        <v>13613</v>
      </c>
      <c r="C13736" t="str">
        <f>IFERROR(__xludf.DUMMYFUNCTION("GOOGLETRANSLATE(B13736, ""es"", ""en"")"),"Good price-quality content very nice and comfortable than I expected")</f>
        <v>Good price-quality content very nice and comfortable than I expected</v>
      </c>
    </row>
    <row r="13737">
      <c r="A13737" s="1">
        <v>5.0</v>
      </c>
      <c r="B13737" s="1" t="s">
        <v>13614</v>
      </c>
      <c r="C13737" t="str">
        <f>IFERROR(__xludf.DUMMYFUNCTION("GOOGLETRANSLATE(B13737, ""es"", ""en"")"),"USB correct. The USB is small, gathers what I wanted capacity. Unobtrusive, and a hook that seems robust. My computer has no problems to recognize it.")</f>
        <v>USB correct. The USB is small, gathers what I wanted capacity. Unobtrusive, and a hook that seems robust. My computer has no problems to recognize it.</v>
      </c>
    </row>
    <row r="13738">
      <c r="A13738" s="1">
        <v>5.0</v>
      </c>
      <c r="B13738" s="1" t="s">
        <v>13615</v>
      </c>
      <c r="C13738" t="str">
        <f>IFERROR(__xludf.DUMMYFUNCTION("GOOGLETRANSLATE(B13738, ""es"", ""en"")"),"SSD 500GB for 60 €? nothing more to add ... I said, a 500GB SSD at these prices is simply amazing ... there are smaller capacity flash drives that cost three times ... those capabilities in SSD at that price you have to buy it if or if and eyes closed ..."&amp;" and still being a first mark (Crucial) and not an unknown brand or Chinese manufacturer. I had reservations to read the negative comments saying that they were used etc, so instead of selecting the ""transparent blister"" option select the option to rece"&amp;"ive cash and was quite a success ... same price and warranty seal anti-tampering, so perfectly it sees that the unit is new and the box has never been opened -the warranty label changes its drawing when you take off and it would be impossible to re-paste "&amp;"it without it looking manipulado-. Other negative comments regarding duration / etc still can not speak, but hey, I think it's a similar rate of faults which may have any other manufacturer like Samsung Kingstone or ... anyway if I die or give me any prob"&amp;"lems I will change the review and will go down to 1 star to make it known. In short: I recommend ordering the option box (same price) is more protected and well see if the unit is new or not. Regarding rates read / write a similar rate to others in the sa"&amp;"me range and for that price (60 € instead of 90 € of the page manufacturer), in brand known and that capacity there is no brainer;)")</f>
        <v>SSD 500GB for 60 €? nothing more to add ... I said, a 500GB SSD at these prices is simply amazing ... there are smaller capacity flash drives that cost three times ... those capabilities in SSD at that price you have to buy it if or if and eyes closed ... and still being a first mark (Crucial) and not an unknown brand or Chinese manufacturer. I had reservations to read the negative comments saying that they were used etc, so instead of selecting the "transparent blister" option select the option to receive cash and was quite a success ... same price and warranty seal anti-tampering, so perfectly it sees that the unit is new and the box has never been opened -the warranty label changes its drawing when you take off and it would be impossible to re-paste it without it looking manipulado-. Other negative comments regarding duration / etc still can not speak, but hey, I think it's a similar rate of faults which may have any other manufacturer like Samsung Kingstone or ... anyway if I die or give me any problems I will change the review and will go down to 1 star to make it known. In short: I recommend ordering the option box (same price) is more protected and well see if the unit is new or not. Regarding rates read / write a similar rate to others in the same range and for that price (60 € instead of 90 € of the page manufacturer), in brand known and that capacity there is no brainer;)</v>
      </c>
    </row>
    <row r="13739">
      <c r="A13739" s="1">
        <v>5.0</v>
      </c>
      <c r="B13739" s="1" t="s">
        <v>13616</v>
      </c>
      <c r="C13739" t="str">
        <f>IFERROR(__xludf.DUMMYFUNCTION("GOOGLETRANSLATE(B13739, ""es"", ""en"")"),"Genial very soft. Already he had a commanding, but always trouble finding batteries. This goes with battery. Super soft and comfortable. And the box perfect Super discreet and ordenaditas have them.")</f>
        <v>Genial very soft. Already he had a commanding, but always trouble finding batteries. This goes with battery. Super soft and comfortable. And the box perfect Super discreet and ordenaditas have them.</v>
      </c>
    </row>
    <row r="13740">
      <c r="A13740" s="1">
        <v>2.0</v>
      </c>
      <c r="B13740" s="1" t="s">
        <v>13617</v>
      </c>
      <c r="C13740" t="str">
        <f>IFERROR(__xludf.DUMMYFUNCTION("GOOGLETRANSLATE(B13740, ""es"", ""en"")"),"No regulator speed controller")</f>
        <v>No regulator speed controller</v>
      </c>
    </row>
    <row r="13741">
      <c r="A13741" s="1">
        <v>3.0</v>
      </c>
      <c r="B13741" s="1" t="s">
        <v>13618</v>
      </c>
      <c r="C13741" t="str">
        <f>IFERROR(__xludf.DUMMYFUNCTION("GOOGLETRANSLATE(B13741, ""es"", ""en"")"),"Blender has little force. Unpeeled apple has trouble x example. Low weight has.")</f>
        <v>Blender has little force. Unpeeled apple has trouble x example. Low weight has.</v>
      </c>
    </row>
    <row r="13742">
      <c r="A13742" s="1">
        <v>1.0</v>
      </c>
      <c r="B13742" s="1" t="s">
        <v>13619</v>
      </c>
      <c r="C13742" t="str">
        <f>IFERROR(__xludf.DUMMYFUNCTION("GOOGLETRANSLATE(B13742, ""es"", ""en"")"),"Very unhappy malfunctions, noise claveteos 4 days lasted until I first began to get back noise and disappeared with all the information inside and replace it after the second exactly the same. I have to say I have another external hard disk 2TB WD has 3 y"&amp;"ears and it works great, but with this I have been a big disappointment.")</f>
        <v>Very unhappy malfunctions, noise claveteos 4 days lasted until I first began to get back noise and disappeared with all the information inside and replace it after the second exactly the same. I have to say I have another external hard disk 2TB WD has 3 years and it works great, but with this I have been a big disappointment.</v>
      </c>
    </row>
    <row r="13743">
      <c r="A13743" s="1">
        <v>1.0</v>
      </c>
      <c r="B13743" s="1" t="s">
        <v>13620</v>
      </c>
      <c r="C13743" t="str">
        <f>IFERROR(__xludf.DUMMYFUNCTION("GOOGLETRANSLATE(B13743, ""es"", ""en"")"),"Does not work At 3 weeks of purchase has stopped working. They have changed the batteries and three days later returned to stop working. Amazon does not allow you to return the product because it's been 4 weeks since purchase. Where are the 2-year warrant"&amp;"y marking the legislation?")</f>
        <v>Does not work At 3 weeks of purchase has stopped working. They have changed the batteries and three days later returned to stop working. Amazon does not allow you to return the product because it's been 4 weeks since purchase. Where are the 2-year warranty marking the legislation?</v>
      </c>
    </row>
    <row r="13744">
      <c r="A13744" s="1">
        <v>4.0</v>
      </c>
      <c r="B13744" s="1" t="s">
        <v>13621</v>
      </c>
      <c r="C13744" t="str">
        <f>IFERROR(__xludf.DUMMYFUNCTION("GOOGLETRANSLATE(B13744, ""es"", ""en"")"),"Like As seen in the photo. The only fault that can only be recorded on one side")</f>
        <v>Like As seen in the photo. The only fault that can only be recorded on one side</v>
      </c>
    </row>
    <row r="13745">
      <c r="A13745" s="1">
        <v>4.0</v>
      </c>
      <c r="B13745" s="1" t="s">
        <v>13622</v>
      </c>
      <c r="C13745" t="str">
        <f>IFERROR(__xludf.DUMMYFUNCTION("GOOGLETRANSLATE(B13745, ""es"", ""en"")"),"I arrive quickly and meet expectations. I came sooner than expected. It was for a gift and delivered on time. Before I tried, a little slow to the heat, but then maintained well. The size is right for your lower back. The cover is thin, but dry faster if "&amp;"you wash.")</f>
        <v>I arrive quickly and meet expectations. I came sooner than expected. It was for a gift and delivered on time. Before I tried, a little slow to the heat, but then maintained well. The size is right for your lower back. The cover is thin, but dry faster if you wash.</v>
      </c>
    </row>
    <row r="13746">
      <c r="A13746" s="1">
        <v>4.0</v>
      </c>
      <c r="B13746" s="1" t="s">
        <v>13623</v>
      </c>
      <c r="C13746" t="str">
        <f>IFERROR(__xludf.DUMMYFUNCTION("GOOGLETRANSLATE(B13746, ""es"", ""en"")"),"Cool what I wanted. And they came right away.")</f>
        <v>Cool what I wanted. And they came right away.</v>
      </c>
    </row>
    <row r="13747">
      <c r="A13747" s="1">
        <v>4.0</v>
      </c>
      <c r="B13747" s="1" t="s">
        <v>13624</v>
      </c>
      <c r="C13747" t="str">
        <f>IFERROR(__xludf.DUMMYFUNCTION("GOOGLETRANSLATE(B13747, ""es"", ""en"")"),"Elegant and beautiful I liked")</f>
        <v>Elegant and beautiful I liked</v>
      </c>
    </row>
    <row r="13748">
      <c r="A13748" s="1">
        <v>4.0</v>
      </c>
      <c r="B13748" s="1" t="s">
        <v>13625</v>
      </c>
      <c r="C13748" t="str">
        <f>IFERROR(__xludf.DUMMYFUNCTION("GOOGLETRANSLATE(B13748, ""es"", ""en"")"),"Well but with clarification After a month of using the template memory foam no longer recovers its initial shape so already looks like a normal template.")</f>
        <v>Well but with clarification After a month of using the template memory foam no longer recovers its initial shape so already looks like a normal template.</v>
      </c>
    </row>
    <row r="13749">
      <c r="A13749" s="1">
        <v>5.0</v>
      </c>
      <c r="B13749" s="1" t="s">
        <v>13626</v>
      </c>
      <c r="C13749" t="str">
        <f>IFERROR(__xludf.DUMMYFUNCTION("GOOGLETRANSLATE(B13749, ""es"", ""en"")"),"matching silver necklace with earrings (if you want). It is very fine and elegant. Ideal gift for your partner, your daughter or a friend.")</f>
        <v>matching silver necklace with earrings (if you want). It is very fine and elegant. Ideal gift for your partner, your daughter or a friend.</v>
      </c>
    </row>
    <row r="13750">
      <c r="A13750" s="1">
        <v>5.0</v>
      </c>
      <c r="B13750" s="1" t="s">
        <v>13627</v>
      </c>
      <c r="C13750" t="str">
        <f>IFERROR(__xludf.DUMMYFUNCTION("GOOGLETRANSLATE(B13750, ""es"", ""en"")"),"It's great with other small purchased, this can heat up to 1L of water, but is fine. It is aluminum, much better than plastic, because water does not smell warming and not in contact with the resistance. It has within a meter for up to 3 cups of water if "&amp;"you need the exact amount, and the base is rotatable, so you can move it without tipping over. Noisy as all the kettles, but very happy with the purchase. The have little time so I can not comment on durability, but the material looks good, and considerin"&amp;"g the brand, certainly pays off by 21 € it costs.")</f>
        <v>It's great with other small purchased, this can heat up to 1L of water, but is fine. It is aluminum, much better than plastic, because water does not smell warming and not in contact with the resistance. It has within a meter for up to 3 cups of water if you need the exact amount, and the base is rotatable, so you can move it without tipping over. Noisy as all the kettles, but very happy with the purchase. The have little time so I can not comment on durability, but the material looks good, and considering the brand, certainly pays off by 21 € it costs.</v>
      </c>
    </row>
    <row r="13751">
      <c r="A13751" s="1">
        <v>5.0</v>
      </c>
      <c r="B13751" s="1" t="s">
        <v>13628</v>
      </c>
      <c r="C13751" t="str">
        <f>IFERROR(__xludf.DUMMYFUNCTION("GOOGLETRANSLATE(B13751, ""es"", ""en"")"),"Zapatiilas Fila All very well. Delivered early and very happy with the order.")</f>
        <v>Zapatiilas Fila All very well. Delivered early and very happy with the order.</v>
      </c>
    </row>
    <row r="13752">
      <c r="A13752" s="1">
        <v>5.0</v>
      </c>
      <c r="B13752" s="1" t="s">
        <v>13629</v>
      </c>
      <c r="C13752" t="str">
        <f>IFERROR(__xludf.DUMMYFUNCTION("GOOGLETRANSLATE(B13752, ""es"", ""en"")"),"A good product comfy slippers. What I was already looking to work in hospitality and needed comfort for the feet. Very good product and carving that I do not need to ask another number.")</f>
        <v>A good product comfy slippers. What I was already looking to work in hospitality and needed comfort for the feet. Very good product and carving that I do not need to ask another number.</v>
      </c>
    </row>
    <row r="13753">
      <c r="A13753" s="1">
        <v>5.0</v>
      </c>
      <c r="B13753" s="1" t="s">
        <v>13630</v>
      </c>
      <c r="C13753" t="str">
        <f>IFERROR(__xludf.DUMMYFUNCTION("GOOGLETRANSLATE(B13753, ""es"", ""en"")"),"EXCELLENT PURCHASE very pleased with")</f>
        <v>EXCELLENT PURCHASE very pleased with</v>
      </c>
    </row>
    <row r="13754">
      <c r="A13754" s="1">
        <v>5.0</v>
      </c>
      <c r="B13754" s="1" t="s">
        <v>13631</v>
      </c>
      <c r="C13754" t="str">
        <f>IFERROR(__xludf.DUMMYFUNCTION("GOOGLETRANSLATE(B13754, ""es"", ""en"")"),"Very handy microphone")</f>
        <v>Very handy microphone</v>
      </c>
    </row>
    <row r="13755">
      <c r="A13755" s="1">
        <v>5.0</v>
      </c>
      <c r="B13755" s="1" t="s">
        <v>13632</v>
      </c>
      <c r="C13755" t="str">
        <f>IFERROR(__xludf.DUMMYFUNCTION("GOOGLETRANSLATE(B13755, ""es"", ""en"")"),"I like very much. It is practical, comfortable, and easy to carry.")</f>
        <v>I like very much. It is practical, comfortable, and easy to carry.</v>
      </c>
    </row>
    <row r="13756">
      <c r="A13756" s="1">
        <v>5.0</v>
      </c>
      <c r="B13756" s="1" t="s">
        <v>13633</v>
      </c>
      <c r="C13756" t="str">
        <f>IFERROR(__xludf.DUMMYFUNCTION("GOOGLETRANSLATE(B13756, ""es"", ""en"")"),"I'm delighted I use Brita filtered water (also purchased from Amazon) and so I do not care discard the water and the light it off. I do not think that makes a lot of noise to the ground as they say others. Far from it. Look at the evolution of the price b"&amp;"ecause I see that fluctuates a bit and bought for 314 euros and 100 euros rose suddenly.")</f>
        <v>I'm delighted I use Brita filtered water (also purchased from Amazon) and so I do not care discard the water and the light it off. I do not think that makes a lot of noise to the ground as they say others. Far from it. Look at the evolution of the price because I see that fluctuates a bit and bought for 314 euros and 100 euros rose suddenly.</v>
      </c>
    </row>
    <row r="13757">
      <c r="A13757" s="1">
        <v>5.0</v>
      </c>
      <c r="B13757" s="1" t="s">
        <v>13634</v>
      </c>
      <c r="C13757" t="str">
        <f>IFERROR(__xludf.DUMMYFUNCTION("GOOGLETRANSLATE(B13757, ""es"", ""en"")"),"Comfortable is a good choice for sports or go for a walk, are comfortable not hurt nor send and listen very well recommend it asiq")</f>
        <v>Comfortable is a good choice for sports or go for a walk, are comfortable not hurt nor send and listen very well recommend it asiq</v>
      </c>
    </row>
    <row r="13758">
      <c r="A13758" s="1">
        <v>5.0</v>
      </c>
      <c r="B13758" s="1" t="s">
        <v>13635</v>
      </c>
      <c r="C13758" t="str">
        <f>IFERROR(__xludf.DUMMYFUNCTION("GOOGLETRANSLATE(B13758, ""es"", ""en"")"),"Earrings very cuquis they'm very happy with earrings, are as pictured. The request was not long in coming and I arrived in perfect condition.")</f>
        <v>Earrings very cuquis they'm very happy with earrings, are as pictured. The request was not long in coming and I arrived in perfect condition.</v>
      </c>
    </row>
    <row r="13759">
      <c r="A13759" s="1">
        <v>5.0</v>
      </c>
      <c r="B13759" s="1" t="s">
        <v>13636</v>
      </c>
      <c r="C13759" t="str">
        <f>IFERROR(__xludf.DUMMYFUNCTION("GOOGLETRANSLATE(B13759, ""es"", ""en"")"),"Good product very happy.")</f>
        <v>Good product very happy.</v>
      </c>
    </row>
    <row r="13760">
      <c r="A13760" s="1">
        <v>5.0</v>
      </c>
      <c r="B13760" s="1" t="s">
        <v>13637</v>
      </c>
      <c r="C13760" t="str">
        <f>IFERROR(__xludf.DUMMYFUNCTION("GOOGLETRANSLATE(B13760, ""es"", ""en"")"),"A nice and quality never before had used a glass cleaner and cleaner I bought this request and the charwoman. But as I put it in the same towel rail in the shower, I used it out of curiosity and I loved it! It is very manageable, very comfortable handle, "&amp;"it glides well even on the walls of porcelain. Above is very nice, good quality stainless. In my case it did not install missing the sucker because it is perfectly hanging from the rack and, as is the same chrome, matches with him. You can see in the pict"&amp;"ures I've posted. Very attentive seller, offered to manage the facility and although I did not need, thanks. I recommend the cleaner to 100%")</f>
        <v>A nice and quality never before had used a glass cleaner and cleaner I bought this request and the charwoman. But as I put it in the same towel rail in the shower, I used it out of curiosity and I loved it! It is very manageable, very comfortable handle, it glides well even on the walls of porcelain. Above is very nice, good quality stainless. In my case it did not install missing the sucker because it is perfectly hanging from the rack and, as is the same chrome, matches with him. You can see in the pictures I've posted. Very attentive seller, offered to manage the facility and although I did not need, thanks. I recommend the cleaner to 100%</v>
      </c>
    </row>
    <row r="13761">
      <c r="A13761" s="1">
        <v>5.0</v>
      </c>
      <c r="B13761" s="1" t="s">
        <v>13638</v>
      </c>
      <c r="C13761" t="str">
        <f>IFERROR(__xludf.DUMMYFUNCTION("GOOGLETRANSLATE(B13761, ""es"", ""en"")"),"quality very good quality and especially light on the side are very well")</f>
        <v>quality very good quality and especially light on the side are very well</v>
      </c>
    </row>
    <row r="13762">
      <c r="A13762" s="1">
        <v>5.0</v>
      </c>
      <c r="B13762" s="1" t="s">
        <v>13639</v>
      </c>
      <c r="C13762" t="str">
        <f>IFERROR(__xludf.DUMMYFUNCTION("GOOGLETRANSLATE(B13762, ""es"", ""en"")"),"Good quality at a good price I really like, the fabric is soft and looks good quality. It came very fast, the next day to ask. When I unpacked thought I was wrong with the size, it looked huge, but since it is good. I asked for the S which is the size I n"&amp;"ormally use, so I think the sizing is correct. I asked in pink, the color is nice as pulling bubble gum color.")</f>
        <v>Good quality at a good price I really like, the fabric is soft and looks good quality. It came very fast, the next day to ask. When I unpacked thought I was wrong with the size, it looked huge, but since it is good. I asked for the S which is the size I normally use, so I think the sizing is correct. I asked in pink, the color is nice as pulling bubble gum color.</v>
      </c>
    </row>
    <row r="13763">
      <c r="A13763" s="1">
        <v>5.0</v>
      </c>
      <c r="B13763" s="1" t="s">
        <v>13640</v>
      </c>
      <c r="C13763" t="str">
        <f>IFERROR(__xludf.DUMMYFUNCTION("GOOGLETRANSLATE(B13763, ""es"", ""en"")"),"Very pretty perfect! Recommended")</f>
        <v>Very pretty perfect! Recommended</v>
      </c>
    </row>
    <row r="13764">
      <c r="A13764" s="1">
        <v>5.0</v>
      </c>
      <c r="B13764" s="1" t="s">
        <v>13641</v>
      </c>
      <c r="C13764" t="str">
        <f>IFERROR(__xludf.DUMMYFUNCTION("GOOGLETRANSLATE(B13764, ""es"", ""en"")"),"It is very xulo and the price is unbeatable for this price is brutal. purchase recommended.")</f>
        <v>It is very xulo and the price is unbeatable for this price is brutal. purchase recommended.</v>
      </c>
    </row>
    <row r="13765">
      <c r="A13765" s="1">
        <v>5.0</v>
      </c>
      <c r="B13765" s="1" t="s">
        <v>13642</v>
      </c>
      <c r="C13765" t="str">
        <f>IFERROR(__xludf.DUMMYFUNCTION("GOOGLETRANSLATE(B13765, ""es"", ""en"")"),"There is a good quality price relation! I use it to maintain an image of the hard drive of my macbook ...")</f>
        <v>There is a good quality price relation! I use it to maintain an image of the hard drive of my macbook ...</v>
      </c>
    </row>
    <row r="13766">
      <c r="A13766" s="1">
        <v>5.0</v>
      </c>
      <c r="B13766" s="1" t="s">
        <v>13643</v>
      </c>
      <c r="C13766" t="str">
        <f>IFERROR(__xludf.DUMMYFUNCTION("GOOGLETRANSLATE(B13766, ""es"", ""en"")"),"Confidence in a brand brand Great storage units, reliable and optimal. I have always used this brand for durability, they are the only ones still working for me, that of other brands all dead. This model is very economical and speed more than enough to ra"&amp;"spberry or mobile. I have it installed this raspberry, after thousands of formatting and what it entails support an operating system, it has not given me any problems.")</f>
        <v>Confidence in a brand brand Great storage units, reliable and optimal. I have always used this brand for durability, they are the only ones still working for me, that of other brands all dead. This model is very economical and speed more than enough to raspberry or mobile. I have it installed this raspberry, after thousands of formatting and what it entails support an operating system, it has not given me any problems.</v>
      </c>
    </row>
    <row r="13767">
      <c r="A13767" s="1">
        <v>2.0</v>
      </c>
      <c r="B13767" s="1" t="s">
        <v>13644</v>
      </c>
      <c r="C13767" t="str">
        <f>IFERROR(__xludf.DUMMYFUNCTION("GOOGLETRANSLATE(B13767, ""es"", ""en"")"),"Box shabby The watch itself I really like and is perfect, but the box came to me half open semi dented and the clock did not come in a plastic bag, which I've seen an unboxing yes I had. Besides the clock was out of place to the open was not wrapped aroun"&amp;"d the foam rubber black. Instructions and the role of the guarantee were also misplaced. When I buy a product at this price, apart from the quality of the product itself, also I hope quality packaging. Very disappointed in this regard.")</f>
        <v>Box shabby The watch itself I really like and is perfect, but the box came to me half open semi dented and the clock did not come in a plastic bag, which I've seen an unboxing yes I had. Besides the clock was out of place to the open was not wrapped around the foam rubber black. Instructions and the role of the guarantee were also misplaced. When I buy a product at this price, apart from the quality of the product itself, also I hope quality packaging. Very disappointed in this regard.</v>
      </c>
    </row>
    <row r="13768">
      <c r="A13768" s="1">
        <v>3.0</v>
      </c>
      <c r="B13768" s="1" t="s">
        <v>13645</v>
      </c>
      <c r="C13768" t="str">
        <f>IFERROR(__xludf.DUMMYFUNCTION("GOOGLETRANSLATE(B13768, ""es"", ""en"")"),"It's okay but I am small thin man wrist watch and thought this would look good on my wrist; but no. It's too small for a man, at the least for my taste. Quality and design, beautiful, so I gave it to my wife. For 15 euros I think an excellent price. I wis"&amp;"h it were a little bigger.")</f>
        <v>It's okay but I am small thin man wrist watch and thought this would look good on my wrist; but no. It's too small for a man, at the least for my taste. Quality and design, beautiful, so I gave it to my wife. For 15 euros I think an excellent price. I wish it were a little bigger.</v>
      </c>
    </row>
    <row r="13769">
      <c r="A13769" s="1">
        <v>3.0</v>
      </c>
      <c r="B13769" s="1" t="s">
        <v>13646</v>
      </c>
      <c r="C13769" t="str">
        <f>IFERROR(__xludf.DUMMYFUNCTION("GOOGLETRANSLATE(B13769, ""es"", ""en"")"),"All good Toso well")</f>
        <v>All good Toso well</v>
      </c>
    </row>
    <row r="13770">
      <c r="A13770" s="1">
        <v>1.0</v>
      </c>
      <c r="B13770" s="1" t="s">
        <v>13647</v>
      </c>
      <c r="C13770" t="str">
        <f>IFERROR(__xludf.DUMMYFUNCTION("GOOGLETRANSLATE(B13770, ""es"", ""en"")"),"It has not worked for me has not worked for me")</f>
        <v>It has not worked for me has not worked for me</v>
      </c>
    </row>
    <row r="13771">
      <c r="A13771" s="1">
        <v>1.0</v>
      </c>
      <c r="B13771" s="1" t="s">
        <v>13648</v>
      </c>
      <c r="C13771" t="str">
        <f>IFERROR(__xludf.DUMMYFUNCTION("GOOGLETRANSLATE(B13771, ""es"", ""en"")"),"defective product'm very dissatisfied with the product in less than a month and slippers are detached and not to use. I think q are not true I talk many years ago and some are still unpolluted despite having pasadl by washing several times.")</f>
        <v>defective product'm very dissatisfied with the product in less than a month and slippers are detached and not to use. I think q are not true I talk many years ago and some are still unpolluted despite having pasadl by washing several times.</v>
      </c>
    </row>
    <row r="13772">
      <c r="A13772" s="1">
        <v>4.0</v>
      </c>
      <c r="B13772" s="1" t="s">
        <v>13649</v>
      </c>
      <c r="C13772" t="str">
        <f>IFERROR(__xludf.DUMMYFUNCTION("GOOGLETRANSLATE(B13772, ""es"", ""en"")"),"Moon gold color fast shipping, well wrapped and presented, with box, cloth bag and washcloth to clean .The pendant size is small but I knew and loved him, the truth is very fine and elegant place but only .The I put it to him the color of the chain, is a "&amp;"very artificial yellow-gold until I've raised it back for that alone, it is also true that I always use silver and so might please see rare gold. I'll take the moment and have asked the star in silver xq apart from the color of the chain has given me very"&amp;" good feeling the product.")</f>
        <v>Moon gold color fast shipping, well wrapped and presented, with box, cloth bag and washcloth to clean .The pendant size is small but I knew and loved him, the truth is very fine and elegant place but only .The I put it to him the color of the chain, is a very artificial yellow-gold until I've raised it back for that alone, it is also true that I always use silver and so might please see rare gold. I'll take the moment and have asked the star in silver xq apart from the color of the chain has given me very good feeling the product.</v>
      </c>
    </row>
    <row r="13773">
      <c r="A13773" s="1">
        <v>4.0</v>
      </c>
      <c r="B13773" s="1" t="s">
        <v>13650</v>
      </c>
      <c r="C13773" t="str">
        <f>IFERROR(__xludf.DUMMYFUNCTION("GOOGLETRANSLATE(B13773, ""es"", ""en"")"),"All right are very comfortable and pleasant, medium thick and go perfectly to do some jogging that's what I needed.")</f>
        <v>All right are very comfortable and pleasant, medium thick and go perfectly to do some jogging that's what I needed.</v>
      </c>
    </row>
    <row r="13774">
      <c r="A13774" s="1">
        <v>4.0</v>
      </c>
      <c r="B13774" s="1" t="s">
        <v>13651</v>
      </c>
      <c r="C13774" t="str">
        <f>IFERROR(__xludf.DUMMYFUNCTION("GOOGLETRANSLATE(B13774, ""es"", ""en"")"),"Cruzer Blade 32 GB. Not the first flash memory of the brand and the same ability to buy, this time through Amazon. So far, the operation of this is correct. In any case, I hope I will not fail as the previous one, because if it does, to use replacement wa"&amp;"rranty, the customer must send to the Czech Republic at cost and by certified for it to be replenished, and it costs much more than memory itself. As buying, good think (if it lasts at least a couple of years of average use).")</f>
        <v>Cruzer Blade 32 GB. Not the first flash memory of the brand and the same ability to buy, this time through Amazon. So far, the operation of this is correct. In any case, I hope I will not fail as the previous one, because if it does, to use replacement warranty, the customer must send to the Czech Republic at cost and by certified for it to be replenished, and it costs much more than memory itself. As buying, good think (if it lasts at least a couple of years of average use).</v>
      </c>
    </row>
    <row r="13775">
      <c r="A13775" s="1">
        <v>4.0</v>
      </c>
      <c r="B13775" s="1" t="s">
        <v>13652</v>
      </c>
      <c r="C13775" t="str">
        <f>IFERROR(__xludf.DUMMYFUNCTION("GOOGLETRANSLATE(B13775, ""es"", ""en"")"),"As good photo.")</f>
        <v>As good photo.</v>
      </c>
    </row>
    <row r="13776">
      <c r="A13776" s="1">
        <v>5.0</v>
      </c>
      <c r="B13776" s="1" t="s">
        <v>13653</v>
      </c>
      <c r="C13776" t="str">
        <f>IFERROR(__xludf.DUMMYFUNCTION("GOOGLETRANSLATE(B13776, ""es"", ""en"")"),"Great price good quality looks good'll ask another")</f>
        <v>Great price good quality looks good'll ask another</v>
      </c>
    </row>
    <row r="13777">
      <c r="A13777" s="1">
        <v>5.0</v>
      </c>
      <c r="B13777" s="1" t="s">
        <v>13654</v>
      </c>
      <c r="C13777" t="str">
        <f>IFERROR(__xludf.DUMMYFUNCTION("GOOGLETRANSLATE(B13777, ""es"", ""en"")"),"A good buy good buy. Folds easily and does not just small espacio.mi has 15 months and fits perfectly, I think it will last a few years old")</f>
        <v>A good buy good buy. Folds easily and does not just small espacio.mi has 15 months and fits perfectly, I think it will last a few years old</v>
      </c>
    </row>
    <row r="13778">
      <c r="A13778" s="1">
        <v>5.0</v>
      </c>
      <c r="B13778" s="1" t="s">
        <v>13655</v>
      </c>
      <c r="C13778" t="str">
        <f>IFERROR(__xludf.DUMMYFUNCTION("GOOGLETRANSLATE(B13778, ""es"", ""en"")"),"Excellent buy The size is perfect, occupies on the table you need and wrists rests, is soft and comfortable. October 10.")</f>
        <v>Excellent buy The size is perfect, occupies on the table you need and wrists rests, is soft and comfortable. October 10.</v>
      </c>
    </row>
    <row r="13779">
      <c r="A13779" s="1">
        <v>5.0</v>
      </c>
      <c r="B13779" s="1" t="s">
        <v>13656</v>
      </c>
      <c r="C13779" t="str">
        <f>IFERROR(__xludf.DUMMYFUNCTION("GOOGLETRANSLATE(B13779, ""es"", ""en"")"),"Good product good watch, accurate and reliable. I have not tried it underwater, but I trust the signs. Aesthetically beautiful and for my taste is elegant. Very light and comfortable.")</f>
        <v>Good product good watch, accurate and reliable. I have not tried it underwater, but I trust the signs. Aesthetically beautiful and for my taste is elegant. Very light and comfortable.</v>
      </c>
    </row>
    <row r="13780">
      <c r="A13780" s="1">
        <v>5.0</v>
      </c>
      <c r="B13780" s="1" t="s">
        <v>13657</v>
      </c>
      <c r="C13780" t="str">
        <f>IFERROR(__xludf.DUMMYFUNCTION("GOOGLETRANSLATE(B13780, ""es"", ""en"")"),"All good Perfect Order")</f>
        <v>All good Perfect Order</v>
      </c>
    </row>
    <row r="13781">
      <c r="A13781" s="1">
        <v>5.0</v>
      </c>
      <c r="B13781" s="1" t="s">
        <v>13658</v>
      </c>
      <c r="C13781" t="str">
        <f>IFERROR(__xludf.DUMMYFUNCTION("GOOGLETRANSLATE(B13781, ""es"", ""en"")"),"So comfortable are very comfortable and weigh nothing but come a little big no to order a number minus")</f>
        <v>So comfortable are very comfortable and weigh nothing but come a little big no to order a number minus</v>
      </c>
    </row>
    <row r="13782">
      <c r="A13782" s="1">
        <v>5.0</v>
      </c>
      <c r="B13782" s="1" t="s">
        <v>13659</v>
      </c>
      <c r="C13782" t="str">
        <f>IFERROR(__xludf.DUMMYFUNCTION("GOOGLETRANSLATE(B13782, ""es"", ""en"")"),"Very good choice Very good sound quality also adapt very well to the ear.")</f>
        <v>Very good choice Very good sound quality also adapt very well to the ear.</v>
      </c>
    </row>
    <row r="13783">
      <c r="A13783" s="1">
        <v>5.0</v>
      </c>
      <c r="B13783" s="1" t="s">
        <v>13660</v>
      </c>
      <c r="C13783" t="str">
        <f>IFERROR(__xludf.DUMMYFUNCTION("GOOGLETRANSLATE(B13783, ""es"", ""en"")"),"Very nice watch. I just received and after adjust your belt and put it on when I can not be more than pleased with this watch. Very good finishes, a very good presence and is seen to have quality. The value for money is very good. It comes with mechanical"&amp;" seiko nh35 and still can not say anything about how it works, but it works a little to move it. Is a big, heavy watch, but it now takes no? the same is not to take it daily (I think so) but sometimes use other. I can not help but recommend its purchase. "&amp;"To date 03/06/15 I can say its operation after a week in my hands is about 3 or 4 seconds at the day ahead, which as I read this well enough to be an automatic. Daily use is not easy but it is a nightmare, once you get used to him there is to tell what ti"&amp;"me it is. Regards.")</f>
        <v>Very nice watch. I just received and after adjust your belt and put it on when I can not be more than pleased with this watch. Very good finishes, a very good presence and is seen to have quality. The value for money is very good. It comes with mechanical seiko nh35 and still can not say anything about how it works, but it works a little to move it. Is a big, heavy watch, but it now takes no? the same is not to take it daily (I think so) but sometimes use other. I can not help but recommend its purchase. To date 03/06/15 I can say its operation after a week in my hands is about 3 or 4 seconds at the day ahead, which as I read this well enough to be an automatic. Daily use is not easy but it is a nightmare, once you get used to him there is to tell what time it is. Regards.</v>
      </c>
    </row>
    <row r="13784">
      <c r="A13784" s="1">
        <v>5.0</v>
      </c>
      <c r="B13784" s="1" t="s">
        <v>13661</v>
      </c>
      <c r="C13784" t="str">
        <f>IFERROR(__xludf.DUMMYFUNCTION("GOOGLETRANSLATE(B13784, ""es"", ""en"")"),"Perfect, serves its purpose. Fulfills its function perfectly.")</f>
        <v>Perfect, serves its purpose. Fulfills its function perfectly.</v>
      </c>
    </row>
    <row r="13785">
      <c r="A13785" s="1">
        <v>5.0</v>
      </c>
      <c r="B13785" s="1" t="s">
        <v>13662</v>
      </c>
      <c r="C13785" t="str">
        <f>IFERROR(__xludf.DUMMYFUNCTION("GOOGLETRANSLATE(B13785, ""es"", ""en"")"),"Very nice versatile, practical and light weight. Ideal for everyday use. He thought his tone was going to be darker, or is it a very elegant coppery")</f>
        <v>Very nice versatile, practical and light weight. Ideal for everyday use. He thought his tone was going to be darker, or is it a very elegant coppery</v>
      </c>
    </row>
    <row r="13786">
      <c r="A13786" s="1">
        <v>5.0</v>
      </c>
      <c r="B13786" s="1" t="s">
        <v>13663</v>
      </c>
      <c r="C13786" t="str">
        <f>IFERROR(__xludf.DUMMYFUNCTION("GOOGLETRANSLATE(B13786, ""es"", ""en"")"),"Okay great Everything came on time and in perfect condition. Good quality and appearance also good, easy to fold. Accessories also on")</f>
        <v>Okay great Everything came on time and in perfect condition. Good quality and appearance also good, easy to fold. Accessories also on</v>
      </c>
    </row>
    <row r="13787">
      <c r="A13787" s="1">
        <v>5.0</v>
      </c>
      <c r="B13787" s="1" t="s">
        <v>13664</v>
      </c>
      <c r="C13787" t="str">
        <f>IFERROR(__xludf.DUMMYFUNCTION("GOOGLETRANSLATE(B13787, ""es"", ""en"")"),"Well right moment")</f>
        <v>Well right moment</v>
      </c>
    </row>
    <row r="13788">
      <c r="A13788" s="1">
        <v>5.0</v>
      </c>
      <c r="B13788" s="1" t="s">
        <v>13665</v>
      </c>
      <c r="C13788" t="str">
        <f>IFERROR(__xludf.DUMMYFUNCTION("GOOGLETRANSLATE(B13788, ""es"", ""en"")"),"Good buy good buy. perfect wine was packing")</f>
        <v>Good buy good buy. perfect wine was packing</v>
      </c>
    </row>
    <row r="13789">
      <c r="A13789" s="1">
        <v>5.0</v>
      </c>
      <c r="B13789" s="1" t="s">
        <v>13666</v>
      </c>
      <c r="C13789" t="str">
        <f>IFERROR(__xludf.DUMMYFUNCTION("GOOGLETRANSLATE(B13789, ""es"", ""en"")"),"They are such high quality that image, super comfortable and tough going for almost a year and are in perfect condition ... something dirty that if 🤣")</f>
        <v>They are such high quality that image, super comfortable and tough going for almost a year and are in perfect condition ... something dirty that if 🤣</v>
      </c>
    </row>
    <row r="13790">
      <c r="A13790" s="1">
        <v>5.0</v>
      </c>
      <c r="B13790" s="1" t="s">
        <v>13667</v>
      </c>
      <c r="C13790" t="str">
        <f>IFERROR(__xludf.DUMMYFUNCTION("GOOGLETRANSLATE(B13790, ""es"", ""en"")"),"Good product for parents Nothing else to arrive'm excited to try it, I've been using since two weeks with my parents, especially for them. It is much relaxed when you turn the massager is inside the machine, during the foot bath if put salt and vinegar mu"&amp;"ch suaviliza the skin, takes away the pores remains.")</f>
        <v>Good product for parents Nothing else to arrive'm excited to try it, I've been using since two weeks with my parents, especially for them. It is much relaxed when you turn the massager is inside the machine, during the foot bath if put salt and vinegar much suaviliza the skin, takes away the pores remains.</v>
      </c>
    </row>
    <row r="13791">
      <c r="A13791" s="1">
        <v>5.0</v>
      </c>
      <c r="B13791" s="1" t="s">
        <v>13668</v>
      </c>
      <c r="C13791" t="str">
        <f>IFERROR(__xludf.DUMMYFUNCTION("GOOGLETRANSLATE(B13791, ""es"", ""en"")"),"Super comfortable Very happy with the purchase, if there were other colors or prints them again buy. They are very comfortable and fresh, no show through, all I had to buy L size but usually wear a 38, because the rubber waist but tightened enough.")</f>
        <v>Super comfortable Very happy with the purchase, if there were other colors or prints them again buy. They are very comfortable and fresh, no show through, all I had to buy L size but usually wear a 38, because the rubber waist but tightened enough.</v>
      </c>
    </row>
    <row r="13792">
      <c r="A13792" s="1">
        <v>5.0</v>
      </c>
      <c r="B13792" s="1" t="s">
        <v>13669</v>
      </c>
      <c r="C13792" t="str">
        <f>IFERROR(__xludf.DUMMYFUNCTION("GOOGLETRANSLATE(B13792, ""es"", ""en"")"),"Buy satisfactory Although we have not yet used (this month we introduce some bibe for when you start working), it is very durable and comfortable. For glass is light. We decided on a glass bibe by being able to use diractamente microwave or bain-marie, is"&amp;" not recomemdable heating in plastic containers. The nipple is included Level 1.")</f>
        <v>Buy satisfactory Although we have not yet used (this month we introduce some bibe for when you start working), it is very durable and comfortable. For glass is light. We decided on a glass bibe by being able to use diractamente microwave or bain-marie, is not recomemdable heating in plastic containers. The nipple is included Level 1.</v>
      </c>
    </row>
    <row r="13793">
      <c r="A13793" s="1">
        <v>5.0</v>
      </c>
      <c r="B13793" s="1" t="s">
        <v>13670</v>
      </c>
      <c r="C13793" t="str">
        <f>IFERROR(__xludf.DUMMYFUNCTION("GOOGLETRANSLATE(B13793, ""es"", ""en"")"),"Good durable case is a size that seems small but fit a lot of things, endures well every day and the passage of time.")</f>
        <v>Good durable case is a size that seems small but fit a lot of things, endures well every day and the passage of time.</v>
      </c>
    </row>
    <row r="13794">
      <c r="A13794" s="1">
        <v>5.0</v>
      </c>
      <c r="B13794" s="1" t="s">
        <v>13671</v>
      </c>
      <c r="C13794" t="str">
        <f>IFERROR(__xludf.DUMMYFUNCTION("GOOGLETRANSLATE(B13794, ""es"", ""en"")"),"Very useful are great for pasting pictures or whatever you need. Easy to use and priced very tight. I recommend to make photo albums, easily and without destroying the picture.")</f>
        <v>Very useful are great for pasting pictures or whatever you need. Easy to use and priced very tight. I recommend to make photo albums, easily and without destroying the picture.</v>
      </c>
    </row>
    <row r="13795">
      <c r="A13795" s="1">
        <v>2.0</v>
      </c>
      <c r="B13795" s="1" t="s">
        <v>13672</v>
      </c>
      <c r="C13795" t="str">
        <f>IFERROR(__xludf.DUMMYFUNCTION("GOOGLETRANSLATE(B13795, ""es"", ""en"")"),"Disappointment are headphones third of such MPOW I have, the quality of the sound is very poor, and does not conform to the ear as well as other cordless handsets of the same brand (which do not carry the ""ring"" as big). I hope that at the least last lo"&amp;"nger than the others I had, some stopped on after eighteen months, and the last ever lasts less battery. Next time buy a touch recognized brand.")</f>
        <v>Disappointment are headphones third of such MPOW I have, the quality of the sound is very poor, and does not conform to the ear as well as other cordless handsets of the same brand (which do not carry the "ring" as big). I hope that at the least last longer than the others I had, some stopped on after eighteen months, and the last ever lasts less battery. Next time buy a touch recognized brand.</v>
      </c>
    </row>
    <row r="13796">
      <c r="A13796" s="1">
        <v>3.0</v>
      </c>
      <c r="B13796" s="1" t="s">
        <v>13673</v>
      </c>
      <c r="C13796" t="str">
        <f>IFERROR(__xludf.DUMMYFUNCTION("GOOGLETRANSLATE(B13796, ""es"", ""en"")"),"Not what I expected The machine is fine but does coffee like a bar, if it is true that the coffee is frothy but I was not convinced, in fact I bought a milk frother because it brings does foam enough for my taste.")</f>
        <v>Not what I expected The machine is fine but does coffee like a bar, if it is true that the coffee is frothy but I was not convinced, in fact I bought a milk frother because it brings does foam enough for my taste.</v>
      </c>
    </row>
    <row r="13797">
      <c r="A13797" s="1">
        <v>3.0</v>
      </c>
      <c r="B13797" s="1" t="s">
        <v>13674</v>
      </c>
      <c r="C13797" t="str">
        <f>IFERROR(__xludf.DUMMYFUNCTION("GOOGLETRANSLATE(B13797, ""es"", ""en"")"),"Perfect My rating is three stars, because despite that the product is authentic boots have not come in the original box Timberland.")</f>
        <v>Perfect My rating is three stars, because despite that the product is authentic boots have not come in the original box Timberland.</v>
      </c>
    </row>
    <row r="13798">
      <c r="A13798" s="1">
        <v>1.0</v>
      </c>
      <c r="B13798" s="1" t="s">
        <v>13675</v>
      </c>
      <c r="C13798" t="str">
        <f>IFERROR(__xludf.DUMMYFUNCTION("GOOGLETRANSLATE(B13798, ""es"", ""en"")"),"Not what I expected has not liked anything. The sizing, fabric ....")</f>
        <v>Not what I expected has not liked anything. The sizing, fabric ....</v>
      </c>
    </row>
    <row r="13799">
      <c r="A13799" s="1">
        <v>1.0</v>
      </c>
      <c r="B13799" s="1" t="s">
        <v>13676</v>
      </c>
      <c r="C13799" t="str">
        <f>IFERROR(__xludf.DUMMYFUNCTION("GOOGLETRANSLATE(B13799, ""es"", ""en"")"),"It does not have the ability that says descambié. It was not what was advertised")</f>
        <v>It does not have the ability that says descambié. It was not what was advertised</v>
      </c>
    </row>
    <row r="13800">
      <c r="A13800" s="1">
        <v>4.0</v>
      </c>
      <c r="B13800" s="1" t="s">
        <v>13677</v>
      </c>
      <c r="C13800" t="str">
        <f>IFERROR(__xludf.DUMMYFUNCTION("GOOGLETRANSLATE(B13800, ""es"", ""en"")"),"quality Gift")</f>
        <v>quality Gift</v>
      </c>
    </row>
    <row r="13801">
      <c r="A13801" s="1">
        <v>4.0</v>
      </c>
      <c r="B13801" s="1" t="s">
        <v>13678</v>
      </c>
      <c r="C13801" t="str">
        <f>IFERROR(__xludf.DUMMYFUNCTION("GOOGLETRANSLATE(B13801, ""es"", ""en"")"),"Good product As the picture shows, all right, normal, talleje")</f>
        <v>Good product As the picture shows, all right, normal, talleje</v>
      </c>
    </row>
    <row r="13802">
      <c r="A13802" s="1">
        <v>4.0</v>
      </c>
      <c r="B13802" s="1" t="s">
        <v>13679</v>
      </c>
      <c r="C13802" t="str">
        <f>IFERROR(__xludf.DUMMYFUNCTION("GOOGLETRANSLATE(B13802, ""es"", ""en"")"),"Nice comfortable comfortable and sturdy, though not so I like to clean the grill, you can not ask for more for the price, I recommend")</f>
        <v>Nice comfortable comfortable and sturdy, though not so I like to clean the grill, you can not ask for more for the price, I recommend</v>
      </c>
    </row>
    <row r="13803">
      <c r="A13803" s="1">
        <v>4.0</v>
      </c>
      <c r="B13803" s="1" t="s">
        <v>13680</v>
      </c>
      <c r="C13803" t="str">
        <f>IFERROR(__xludf.DUMMYFUNCTION("GOOGLETRANSLATE(B13803, ""es"", ""en"")"),"Stability meets expectations. Although use templates cushioning and excellent stability.")</f>
        <v>Stability meets expectations. Although use templates cushioning and excellent stability.</v>
      </c>
    </row>
    <row r="13804">
      <c r="A13804" s="1">
        <v>4.0</v>
      </c>
      <c r="B13804" s="1" t="s">
        <v>13681</v>
      </c>
      <c r="C13804" t="str">
        <f>IFERROR(__xludf.DUMMYFUNCTION("GOOGLETRANSLATE(B13804, ""es"", ""en"")"),"Loctite Good product")</f>
        <v>Loctite Good product</v>
      </c>
    </row>
    <row r="13805">
      <c r="A13805" s="1">
        <v>5.0</v>
      </c>
      <c r="B13805" s="1" t="s">
        <v>13682</v>
      </c>
      <c r="C13805" t="str">
        <f>IFERROR(__xludf.DUMMYFUNCTION("GOOGLETRANSLATE(B13805, ""es"", ""en"")"),"Very comfortable I love my sneakers. Very comfortable, but keep in mind that this mark must PWDIR A number less")</f>
        <v>Very comfortable I love my sneakers. Very comfortable, but keep in mind that this mark must PWDIR A number less</v>
      </c>
    </row>
    <row r="13806">
      <c r="A13806" s="1">
        <v>5.0</v>
      </c>
      <c r="B13806" s="1" t="s">
        <v>13683</v>
      </c>
      <c r="C13806" t="str">
        <f>IFERROR(__xludf.DUMMYFUNCTION("GOOGLETRANSLATE(B13806, ""es"", ""en"")"),"Expected expected")</f>
        <v>Expected expected</v>
      </c>
    </row>
    <row r="13807">
      <c r="A13807" s="1">
        <v>5.0</v>
      </c>
      <c r="B13807" s="1" t="s">
        <v>13684</v>
      </c>
      <c r="C13807" t="str">
        <f>IFERROR(__xludf.DUMMYFUNCTION("GOOGLETRANSLATE(B13807, ""es"", ""en"")"),"Adidas Everything is perfect")</f>
        <v>Adidas Everything is perfect</v>
      </c>
    </row>
    <row r="13808">
      <c r="A13808" s="1">
        <v>5.0</v>
      </c>
      <c r="B13808" s="1" t="s">
        <v>13685</v>
      </c>
      <c r="C13808" t="str">
        <f>IFERROR(__xludf.DUMMYFUNCTION("GOOGLETRANSLATE(B13808, ""es"", ""en"")"),"Good quality. Expected DIN A4 Folder with 4 rings. The cap is thick and seems resistant. It has four openings for the rings does not collide with the inside of the lid. It is in matte (not going plasticized and brightness) and 4 rings seem to fulfill its "&amp;"function perfectly. Inside has a pattern to white spots and the fastener tape can be changed easily. I am happy with the product.")</f>
        <v>Good quality. Expected DIN A4 Folder with 4 rings. The cap is thick and seems resistant. It has four openings for the rings does not collide with the inside of the lid. It is in matte (not going plasticized and brightness) and 4 rings seem to fulfill its function perfectly. Inside has a pattern to white spots and the fastener tape can be changed easily. I am happy with the product.</v>
      </c>
    </row>
    <row r="13809">
      <c r="A13809" s="1">
        <v>5.0</v>
      </c>
      <c r="B13809" s="1" t="s">
        <v>13686</v>
      </c>
      <c r="C13809" t="str">
        <f>IFERROR(__xludf.DUMMYFUNCTION("GOOGLETRANSLATE(B13809, ""es"", ""en"")"),"Cable bicolor red / black wire red and black two-color which is often used for any speaker, in my case to replace cables the music")</f>
        <v>Cable bicolor red / black wire red and black two-color which is often used for any speaker, in my case to replace cables the music</v>
      </c>
    </row>
    <row r="13810">
      <c r="A13810" s="1">
        <v>5.0</v>
      </c>
      <c r="B13810" s="1" t="s">
        <v>13687</v>
      </c>
      <c r="C13810" t="str">
        <f>IFERROR(__xludf.DUMMYFUNCTION("GOOGLETRANSLATE(B13810, ""es"", ""en"")"),"Cool sound without wires are the first fully wireless headphones that I use. Previously I used normal cable and sporty type, but the latter have a cable connecting both headphones and although they are quite comfortable cable sometimes nags a bit. I must "&amp;"say that these headphones Umi fit well and are really comfortable. Headphones come to us in a small box, you will understand to seeing the pictures since the cargo is not more than 6 cm long and 4 cm high with a width of just 2cm. The box is very small an"&amp;"d fits in any pocket, used for loading and transportation. The headphones are charged to the stuffing into the box and close the lid. The box is charged via microUSB cable either by connecting directly to the computer or to an adapter that can be of use t"&amp;"o charge you mobile, yes, that does not exceed an output power 5V - 2A. The micro USB cable that brings to load is very short, about 20 cm, ideal for charging on the computer, but as you want load connected to a plug with an adapter and can have something"&amp;" close if you do not want to leave it hanging. Connect under Bluethoot 5.0 and pairing has been very fast and effective, my Xiaomi A2 lite has the recognized without any problems. They can be used in monaural and binaural mode, or both headphones or one. "&amp;"Once paired you do not need to do it all out of the box once connected alone. It has certified IPX7, which guarantees resistance to water and sweat. Has over silicone pads of different sizes for us to use the one that best suits our size ear two games. Ac"&amp;"cording to the features with a full load would autonomy for 100 hours standby call 240 minutes in charging time of the receiver is about 60 min. Lights having the cargo box, the left and right indicate the charging status of the (red left and right respec"&amp;"tively headphones if charging, blue when loaded, when loaded or running the lights go out alone after a while), that of the center indicates the status of the cargo box, when the light is blue that is between 30% and 100% load, when the light turns red is"&amp;" left us less of 30% power. When we are red flashing only 1% which gives us about 5 minutes of use. They have a range of about 15 meters. The truth is that surprised me a lot these headphones Umi brand, do not know the price they will have when they are a"&amp;"vailable, but I look good headphones.")</f>
        <v>Cool sound without wires are the first fully wireless headphones that I use. Previously I used normal cable and sporty type, but the latter have a cable connecting both headphones and although they are quite comfortable cable sometimes nags a bit. I must say that these headphones Umi fit well and are really comfortable. Headphones come to us in a small box, you will understand to seeing the pictures since the cargo is not more than 6 cm long and 4 cm high with a width of just 2cm. The box is very small and fits in any pocket, used for loading and transportation. The headphones are charged to the stuffing into the box and close the lid. The box is charged via microUSB cable either by connecting directly to the computer or to an adapter that can be of use to charge you mobile, yes, that does not exceed an output power 5V - 2A. The micro USB cable that brings to load is very short, about 20 cm, ideal for charging on the computer, but as you want load connected to a plug with an adapter and can have something close if you do not want to leave it hanging. Connect under Bluethoot 5.0 and pairing has been very fast and effective, my Xiaomi A2 lite has the recognized without any problems. They can be used in monaural and binaural mode, or both headphones or one. Once paired you do not need to do it all out of the box once connected alone. It has certified IPX7, which guarantees resistance to water and sweat. Has over silicone pads of different sizes for us to use the one that best suits our size ear two games. According to the features with a full load would autonomy for 100 hours standby call 240 minutes in charging time of the receiver is about 60 min. Lights having the cargo box, the left and right indicate the charging status of the (red left and right respectively headphones if charging, blue when loaded, when loaded or running the lights go out alone after a while), that of the center indicates the status of the cargo box, when the light is blue that is between 30% and 100% load, when the light turns red is left us less of 30% power. When we are red flashing only 1% which gives us about 5 minutes of use. They have a range of about 15 meters. The truth is that surprised me a lot these headphones Umi brand, do not know the price they will have when they are available, but I look good headphones.</v>
      </c>
    </row>
    <row r="13811">
      <c r="A13811" s="1">
        <v>5.0</v>
      </c>
      <c r="B13811" s="1" t="s">
        <v>13688</v>
      </c>
      <c r="C13811" t="str">
        <f>IFERROR(__xludf.DUMMYFUNCTION("GOOGLETRANSLATE(B13811, ""es"", ""en"")"),"XD tastes bad. All ok, it's funny you ask me q Amazon evaluate the taste ...")</f>
        <v>XD tastes bad. All ok, it's funny you ask me q Amazon evaluate the taste ...</v>
      </c>
    </row>
    <row r="13812">
      <c r="A13812" s="1">
        <v>5.0</v>
      </c>
      <c r="B13812" s="1" t="s">
        <v>13689</v>
      </c>
      <c r="C13812" t="str">
        <f>IFERROR(__xludf.DUMMYFUNCTION("GOOGLETRANSLATE(B13812, ""es"", ""en"")"),"The quality is the best in the market. The truth is that the difference is noticeable, had a SanDisk U3-A2 128G and my Mobil got very hot to the shoot videos and certainly EVO Samsung does not give me these heating problems. Very good quality.")</f>
        <v>The quality is the best in the market. The truth is that the difference is noticeable, had a SanDisk U3-A2 128G and my Mobil got very hot to the shoot videos and certainly EVO Samsung does not give me these heating problems. Very good quality.</v>
      </c>
    </row>
    <row r="13813">
      <c r="A13813" s="1">
        <v>5.0</v>
      </c>
      <c r="B13813" s="1" t="s">
        <v>13690</v>
      </c>
      <c r="C13813" t="str">
        <f>IFERROR(__xludf.DUMMYFUNCTION("GOOGLETRANSLATE(B13813, ""es"", ""en"")"),"Good quality is very nice and looks great")</f>
        <v>Good quality is very nice and looks great</v>
      </c>
    </row>
    <row r="13814">
      <c r="A13814" s="1">
        <v>5.0</v>
      </c>
      <c r="B13814" s="1" t="s">
        <v>13691</v>
      </c>
      <c r="C13814" t="str">
        <f>IFERROR(__xludf.DUMMYFUNCTION("GOOGLETRANSLATE(B13814, ""es"", ""en"")"),"Smell very natural Delighted with this oil, comes a lot of quantity and that's what I like. The smell is super natural, I've used for the humidifier and leave me home with that rich smell of lavender, then I also mixed a few drops on my shampoo and body o"&amp;"ils and delicious smells.")</f>
        <v>Smell very natural Delighted with this oil, comes a lot of quantity and that's what I like. The smell is super natural, I've used for the humidifier and leave me home with that rich smell of lavender, then I also mixed a few drops on my shampoo and body oils and delicious smells.</v>
      </c>
    </row>
    <row r="13815">
      <c r="A13815" s="1">
        <v>5.0</v>
      </c>
      <c r="B13815" s="1" t="s">
        <v>13692</v>
      </c>
      <c r="C13815" t="str">
        <f>IFERROR(__xludf.DUMMYFUNCTION("GOOGLETRANSLATE(B13815, ""es"", ""en"")"),"Good buy good buy. I recommend these covers. In addition blanditos remain manageable to hang or put somewhere. recommendable")</f>
        <v>Good buy good buy. I recommend these covers. In addition blanditos remain manageable to hang or put somewhere. recommendable</v>
      </c>
    </row>
    <row r="13816">
      <c r="A13816" s="1">
        <v>5.0</v>
      </c>
      <c r="B13816" s="1" t="s">
        <v>13693</v>
      </c>
      <c r="C13816" t="str">
        <f>IFERROR(__xludf.DUMMYFUNCTION("GOOGLETRANSLATE(B13816, ""es"", ""en"")"),"buenisimas incredible for the kitchen are great cut all great")</f>
        <v>buenisimas incredible for the kitchen are great cut all great</v>
      </c>
    </row>
    <row r="13817">
      <c r="A13817" s="1">
        <v>5.0</v>
      </c>
      <c r="B13817" s="1" t="s">
        <v>42</v>
      </c>
      <c r="C13817" t="str">
        <f>IFERROR(__xludf.DUMMYFUNCTION("GOOGLETRANSLATE(B13817, ""es"", ""en"")"),"Well well")</f>
        <v>Well well</v>
      </c>
    </row>
    <row r="13818">
      <c r="A13818" s="1">
        <v>5.0</v>
      </c>
      <c r="B13818" s="1" t="s">
        <v>13694</v>
      </c>
      <c r="C13818" t="str">
        <f>IFERROR(__xludf.DUMMYFUNCTION("GOOGLETRANSLATE(B13818, ""es"", ""en"")"),"Good socks summer. Well finished off and correct european size. They are fine, the top very breathable, what I expected because I do not like very thick, but winter would not be recommended.")</f>
        <v>Good socks summer. Well finished off and correct european size. They are fine, the top very breathable, what I expected because I do not like very thick, but winter would not be recommended.</v>
      </c>
    </row>
    <row r="13819">
      <c r="A13819" s="1">
        <v>5.0</v>
      </c>
      <c r="B13819" s="1" t="s">
        <v>2925</v>
      </c>
      <c r="C13819" t="str">
        <f>IFERROR(__xludf.DUMMYFUNCTION("GOOGLETRANSLATE(B13819, ""es"", ""en"")"),"perfect perfect")</f>
        <v>perfect perfect</v>
      </c>
    </row>
    <row r="13820">
      <c r="A13820" s="1">
        <v>5.0</v>
      </c>
      <c r="B13820" s="1" t="s">
        <v>13695</v>
      </c>
      <c r="C13820" t="str">
        <f>IFERROR(__xludf.DUMMYFUNCTION("GOOGLETRANSLATE(B13820, ""es"", ""en"")"),"Labadm Very nice, value for money can not be beat. The design is flawless, is very much like the Breitling")</f>
        <v>Labadm Very nice, value for money can not be beat. The design is flawless, is very much like the Breitling</v>
      </c>
    </row>
    <row r="13821">
      <c r="A13821" s="1">
        <v>5.0</v>
      </c>
      <c r="B13821" s="1" t="s">
        <v>13696</v>
      </c>
      <c r="C13821" t="str">
        <f>IFERROR(__xludf.DUMMYFUNCTION("GOOGLETRANSLATE(B13821, ""es"", ""en"")"),"Best anti-colic bottle This bottle is the best on the market prevents the baby's colic and being crystal is very easy to clean and sterilize.")</f>
        <v>Best anti-colic bottle This bottle is the best on the market prevents the baby's colic and being crystal is very easy to clean and sterilize.</v>
      </c>
    </row>
    <row r="13822">
      <c r="A13822" s="1">
        <v>5.0</v>
      </c>
      <c r="B13822" s="1" t="s">
        <v>13697</v>
      </c>
      <c r="C13822" t="str">
        <f>IFERROR(__xludf.DUMMYFUNCTION("GOOGLETRANSLATE(B13822, ""es"", ""en"")"),"Very good magnificent boots at a good price. Sim certainly are very comfortable and have a good design. Perfect for winter. Carve well.")</f>
        <v>Very good magnificent boots at a good price. Sim certainly are very comfortable and have a good design. Perfect for winter. Carve well.</v>
      </c>
    </row>
    <row r="13823">
      <c r="A13823" s="1">
        <v>5.0</v>
      </c>
      <c r="B13823" s="1" t="s">
        <v>13698</v>
      </c>
      <c r="C13823" t="str">
        <f>IFERROR(__xludf.DUMMYFUNCTION("GOOGLETRANSLATE(B13823, ""es"", ""en"")"),"Humidifier aromas. I love the aroma humidifier is divine. Leave a special aroma throughout the house. Easy to use. Without noises. You can apply the scent you like. Is amazing. I recommend that you have in every home is fabulous.")</f>
        <v>Humidifier aromas. I love the aroma humidifier is divine. Leave a special aroma throughout the house. Easy to use. Without noises. You can apply the scent you like. Is amazing. I recommend that you have in every home is fabulous.</v>
      </c>
    </row>
    <row r="13824">
      <c r="A13824" s="1">
        <v>2.0</v>
      </c>
      <c r="B13824" s="1" t="s">
        <v>13699</v>
      </c>
      <c r="C13824" t="str">
        <f>IFERROR(__xludf.DUMMYFUNCTION("GOOGLETRANSLATE(B13824, ""es"", ""en"")"),"Bad memory I just fail. It lasted barely a year. Using the PC is ofimático, is for an office, so the defendant performance has been poor. I bought 2 more hope more reliable than this.")</f>
        <v>Bad memory I just fail. It lasted barely a year. Using the PC is ofimático, is for an office, so the defendant performance has been poor. I bought 2 more hope more reliable than this.</v>
      </c>
    </row>
    <row r="13825">
      <c r="A13825" s="1">
        <v>3.0</v>
      </c>
      <c r="B13825" s="1" t="s">
        <v>13700</v>
      </c>
      <c r="C13825" t="str">
        <f>IFERROR(__xludf.DUMMYFUNCTION("GOOGLETRANSLATE(B13825, ""es"", ""en"")"),"Something expensive for what it is. Product ""bazar Chinese"" OK and ""robust"" is the only downside is that it opens and closes with relative ease when you arrascas, you can find something cheaper at any Chinese bazaar, a shame not to have looked before "&amp;"there .")</f>
        <v>Something expensive for what it is. Product "bazar Chinese" OK and "robust" is the only downside is that it opens and closes with relative ease when you arrascas, you can find something cheaper at any Chinese bazaar, a shame not to have looked before there .</v>
      </c>
    </row>
    <row r="13826">
      <c r="A13826" s="1">
        <v>1.0</v>
      </c>
      <c r="B13826" s="1" t="s">
        <v>13701</v>
      </c>
      <c r="C13826" t="str">
        <f>IFERROR(__xludf.DUMMYFUNCTION("GOOGLETRANSLATE(B13826, ""es"", ""en"")"),"Disgraceful shoes worst! Shame about zaptillas have less than 4 months of use and are already well from the first month the sole and began to peel off and as the go using completely destroyed and why I use very little work going every day I I think in 3/4"&amp;" months are to pull ... for the price you have there are infinitely better I do not recommend")</f>
        <v>Disgraceful shoes worst! Shame about zaptillas have less than 4 months of use and are already well from the first month the sole and began to peel off and as the go using completely destroyed and why I use very little work going every day I I think in 3/4 months are to pull ... for the price you have there are infinitely better I do not recommend</v>
      </c>
    </row>
    <row r="13827">
      <c r="A13827" s="1">
        <v>1.0</v>
      </c>
      <c r="B13827" s="1" t="s">
        <v>13702</v>
      </c>
      <c r="C13827" t="str">
        <f>IFERROR(__xludf.DUMMYFUNCTION("GOOGLETRANSLATE(B13827, ""es"", ""en"")"),"segundamano arrived from amazon and wash your hands obviously I like airpods but I came from segundamano and Amazon can not be held responsible for it")</f>
        <v>segundamano arrived from amazon and wash your hands obviously I like airpods but I came from segundamano and Amazon can not be held responsible for it</v>
      </c>
    </row>
    <row r="13828">
      <c r="A13828" s="1">
        <v>4.0</v>
      </c>
      <c r="B13828" s="1" t="s">
        <v>13703</v>
      </c>
      <c r="C13828" t="str">
        <f>IFERROR(__xludf.DUMMYFUNCTION("GOOGLETRANSLATE(B13828, ""es"", ""en"")"),"Price well. Small size. The loose tissue selected number is small. I recommend you take a size more than yours. They break quite easily. Very resistant fabric.")</f>
        <v>Price well. Small size. The loose tissue selected number is small. I recommend you take a size more than yours. They break quite easily. Very resistant fabric.</v>
      </c>
    </row>
    <row r="13829">
      <c r="A13829" s="1">
        <v>4.0</v>
      </c>
      <c r="B13829" s="1" t="s">
        <v>13704</v>
      </c>
      <c r="C13829" t="str">
        <f>IFERROR(__xludf.DUMMYFUNCTION("GOOGLETRANSLATE(B13829, ""es"", ""en"")"),"Simple Light meets what is required of a clock.")</f>
        <v>Simple Light meets what is required of a clock.</v>
      </c>
    </row>
    <row r="13830">
      <c r="A13830" s="1">
        <v>4.0</v>
      </c>
      <c r="B13830" s="1" t="s">
        <v>13705</v>
      </c>
      <c r="C13830" t="str">
        <f>IFERROR(__xludf.DUMMYFUNCTION("GOOGLETRANSLATE(B13830, ""es"", ""en"")"),"Terrific great buy, great quality. Full are amazing. One can do everything. Xq blade does not clog up and down as one wants to equal the power. Safe handling works perfectly")</f>
        <v>Terrific great buy, great quality. Full are amazing. One can do everything. Xq blade does not clog up and down as one wants to equal the power. Safe handling works perfectly</v>
      </c>
    </row>
    <row r="13831">
      <c r="A13831" s="1">
        <v>4.0</v>
      </c>
      <c r="B13831" s="1" t="s">
        <v>13706</v>
      </c>
      <c r="C13831" t="str">
        <f>IFERROR(__xludf.DUMMYFUNCTION("GOOGLETRANSLATE(B13831, ""es"", ""en"")"),"Retro look, right size, good quality and recording Although the legs are folded over the body to make it more transportable, the truth is that it is a chulada have it on the table with that retro air that adorns both. The quality of the recordings I've do"&amp;"ne a video for youtube another, is very good. So I wonder why there is so much video and podcast that sounds so bad, existing options as adjusted price like this. In short, very pleased with purchase.")</f>
        <v>Retro look, right size, good quality and recording Although the legs are folded over the body to make it more transportable, the truth is that it is a chulada have it on the table with that retro air that adorns both. The quality of the recordings I've done a video for youtube another, is very good. So I wonder why there is so much video and podcast that sounds so bad, existing options as adjusted price like this. In short, very pleased with purchase.</v>
      </c>
    </row>
    <row r="13832">
      <c r="A13832" s="1">
        <v>4.0</v>
      </c>
      <c r="B13832" s="1" t="s">
        <v>13707</v>
      </c>
      <c r="C13832" t="str">
        <f>IFERROR(__xludf.DUMMYFUNCTION("GOOGLETRANSLATE(B13832, ""es"", ""en"")"),"Pitcher Pitcher-learning and drip cup when your baby is learning to drink, the design is beautiful, the one I have for my girl Minnie. From day one catches it in a very natural way and drinks without problems. The nozzle is antigoteo leading, if not it tu"&amp;"rns out yes, sometimes begins to shake it upside down and some water falls but very little. Sell ​​parts of the nozzle-nipple, because as they love to bite things, because the pit end the nipple, but I hard enough. Not like other than Philips Avent I have"&amp;" that broke the first day. Importantly, it is easy for children to drink, do not have to suck very hard to do that, my daughter used from 9- 10 months, but can be used before without problems. The amount is marked to 150 ml, but it fits a little more. ADV"&amp;"ANTAGES - Design - sell spare teats. DISADVANTAGES - Price compared to others. - And then I found cheaper at the pharmacy in my neighborhood.")</f>
        <v>Pitcher Pitcher-learning and drip cup when your baby is learning to drink, the design is beautiful, the one I have for my girl Minnie. From day one catches it in a very natural way and drinks without problems. The nozzle is antigoteo leading, if not it turns out yes, sometimes begins to shake it upside down and some water falls but very little. Sell ​​parts of the nozzle-nipple, because as they love to bite things, because the pit end the nipple, but I hard enough. Not like other than Philips Avent I have that broke the first day. Importantly, it is easy for children to drink, do not have to suck very hard to do that, my daughter used from 9- 10 months, but can be used before without problems. The amount is marked to 150 ml, but it fits a little more. ADVANTAGES - Design - sell spare teats. DISADVANTAGES - Price compared to others. - And then I found cheaper at the pharmacy in my neighborhood.</v>
      </c>
    </row>
    <row r="13833">
      <c r="A13833" s="1">
        <v>5.0</v>
      </c>
      <c r="B13833" s="1" t="s">
        <v>13708</v>
      </c>
      <c r="C13833" t="str">
        <f>IFERROR(__xludf.DUMMYFUNCTION("GOOGLETRANSLATE(B13833, ""es"", ""en"")"),"Good SSD with good speeds even higher for its price range. It has given new life to the laptop of my father 8 years old. As usual, starts, off and starting and closing programs was hell waiting, but now it's like a much more modern laptop. While a laptop "&amp;"is used for office work, its performance is spectacular with this SSD. Compared with my Kingston SSD 120GB (basic black range) this Toshiba is better (noticeable in spurts and tasks incio / off). Although I have not done speed tests, others have done it a"&amp;"nd agree with the results, ie without being ultra-fast range, note that the speed of this model SSD is higher than its range price, so they make it a 10 for its range.")</f>
        <v>Good SSD with good speeds even higher for its price range. It has given new life to the laptop of my father 8 years old. As usual, starts, off and starting and closing programs was hell waiting, but now it's like a much more modern laptop. While a laptop is used for office work, its performance is spectacular with this SSD. Compared with my Kingston SSD 120GB (basic black range) this Toshiba is better (noticeable in spurts and tasks incio / off). Although I have not done speed tests, others have done it and agree with the results, ie without being ultra-fast range, note that the speed of this model SSD is higher than its range price, so they make it a 10 for its range.</v>
      </c>
    </row>
    <row r="13834">
      <c r="A13834" s="1">
        <v>5.0</v>
      </c>
      <c r="B13834" s="1" t="s">
        <v>13709</v>
      </c>
      <c r="C13834" t="str">
        <f>IFERROR(__xludf.DUMMYFUNCTION("GOOGLETRANSLATE(B13834, ""es"", ""en"")"),"I love the light, to feel appreciated and all very good quality. Others have been before in the description said similar characteristics, but no comparison. I am delighted, the would buy forever.")</f>
        <v>I love the light, to feel appreciated and all very good quality. Others have been before in the description said similar characteristics, but no comparison. I am delighted, the would buy forever.</v>
      </c>
    </row>
    <row r="13835">
      <c r="A13835" s="1">
        <v>5.0</v>
      </c>
      <c r="B13835" s="1" t="s">
        <v>13710</v>
      </c>
      <c r="C13835" t="str">
        <f>IFERROR(__xludf.DUMMYFUNCTION("GOOGLETRANSLATE(B13835, ""es"", ""en"")"),"I like to contractures and loaded areas, not relaxing We must be careful because Relieving massage is not relaxing, if any damaged area, it is better to try slowly because just hurt. Otherwise, I've tried it on the neck and legs and is fine, notes like ba"&amp;"lls stretch the muscle. I've used it on smoothly without problems. The strongest way bothered me a little.")</f>
        <v>I like to contractures and loaded areas, not relaxing We must be careful because Relieving massage is not relaxing, if any damaged area, it is better to try slowly because just hurt. Otherwise, I've tried it on the neck and legs and is fine, notes like balls stretch the muscle. I've used it on smoothly without problems. The strongest way bothered me a little.</v>
      </c>
    </row>
    <row r="13836">
      <c r="A13836" s="1">
        <v>5.0</v>
      </c>
      <c r="B13836" s="1" t="s">
        <v>13711</v>
      </c>
      <c r="C13836" t="str">
        <f>IFERROR(__xludf.DUMMYFUNCTION("GOOGLETRANSLATE(B13836, ""es"", ""en"")"),"To clean pet hair ok Perfect for pet hair. The lower LEDs reflect them well and none is left. Duration of the correct battery. Arrives for the two plants.")</f>
        <v>To clean pet hair ok Perfect for pet hair. The lower LEDs reflect them well and none is left. Duration of the correct battery. Arrives for the two plants.</v>
      </c>
    </row>
    <row r="13837">
      <c r="A13837" s="1">
        <v>5.0</v>
      </c>
      <c r="B13837" s="1" t="s">
        <v>13712</v>
      </c>
      <c r="C13837" t="str">
        <f>IFERROR(__xludf.DUMMYFUNCTION("GOOGLETRANSLATE(B13837, ""es"", ""en"")"),"PERFECT beautiful, comfortable, very good quality. my daughter is delighted with them and me too. I totally recommend without any doubt.")</f>
        <v>PERFECT beautiful, comfortable, very good quality. my daughter is delighted with them and me too. I totally recommend without any doubt.</v>
      </c>
    </row>
    <row r="13838">
      <c r="A13838" s="1">
        <v>5.0</v>
      </c>
      <c r="B13838" s="1" t="s">
        <v>13713</v>
      </c>
      <c r="C13838" t="str">
        <f>IFERROR(__xludf.DUMMYFUNCTION("GOOGLETRANSLATE(B13838, ""es"", ""en"")"),"Amazon customer very happy with the purchase, so far only I used to mash and doing very well. It is not removable but can be washed well, I recommend, he arrived soon")</f>
        <v>Amazon customer very happy with the purchase, so far only I used to mash and doing very well. It is not removable but can be washed well, I recommend, he arrived soon</v>
      </c>
    </row>
    <row r="13839">
      <c r="A13839" s="1">
        <v>5.0</v>
      </c>
      <c r="B13839" s="1" t="s">
        <v>13714</v>
      </c>
      <c r="C13839" t="str">
        <f>IFERROR(__xludf.DUMMYFUNCTION("GOOGLETRANSLATE(B13839, ""es"", ""en"")"),"All an ally. I am a teacher and since I have my voice has improved. It has enough power for use inside and outside the classroom.")</f>
        <v>All an ally. I am a teacher and since I have my voice has improved. It has enough power for use inside and outside the classroom.</v>
      </c>
    </row>
    <row r="13840">
      <c r="A13840" s="1">
        <v>5.0</v>
      </c>
      <c r="B13840" s="1" t="s">
        <v>13715</v>
      </c>
      <c r="C13840" t="str">
        <f>IFERROR(__xludf.DUMMYFUNCTION("GOOGLETRANSLATE(B13840, ""es"", ""en"")"),"Item to arrive, I say bad experience Very nice")</f>
        <v>Item to arrive, I say bad experience Very nice</v>
      </c>
    </row>
    <row r="13841">
      <c r="A13841" s="1">
        <v>5.0</v>
      </c>
      <c r="B13841" s="1" t="s">
        <v>13716</v>
      </c>
      <c r="C13841" t="str">
        <f>IFERROR(__xludf.DUMMYFUNCTION("GOOGLETRANSLATE(B13841, ""es"", ""en"")"),"perfect correct and very good")</f>
        <v>perfect correct and very good</v>
      </c>
    </row>
    <row r="13842">
      <c r="A13842" s="1">
        <v>5.0</v>
      </c>
      <c r="B13842" s="1" t="s">
        <v>13519</v>
      </c>
      <c r="C13842" t="str">
        <f>IFERROR(__xludf.DUMMYFUNCTION("GOOGLETRANSLATE(B13842, ""es"", ""en"")"),"perfect perfect")</f>
        <v>perfect perfect</v>
      </c>
    </row>
    <row r="13843">
      <c r="A13843" s="1">
        <v>5.0</v>
      </c>
      <c r="B13843" s="1" t="s">
        <v>13717</v>
      </c>
      <c r="C13843" t="str">
        <f>IFERROR(__xludf.DUMMYFUNCTION("GOOGLETRANSLATE(B13843, ""es"", ""en"")"),"Good product value Despite knowing the dimensions, we have seen small. A scooping box, somewhat rigid and rough touch. Once proven the impression is different. People talk about that warms little, but gives more than enough heat. (I do not know if they pr"&amp;"ove over coat ...) but as is subjective, you can not judge only by it. In short, recommended product.")</f>
        <v>Good product value Despite knowing the dimensions, we have seen small. A scooping box, somewhat rigid and rough touch. Once proven the impression is different. People talk about that warms little, but gives more than enough heat. (I do not know if they prove over coat ...) but as is subjective, you can not judge only by it. In short, recommended product.</v>
      </c>
    </row>
    <row r="13844">
      <c r="A13844" s="1">
        <v>5.0</v>
      </c>
      <c r="B13844" s="1" t="s">
        <v>13718</v>
      </c>
      <c r="C13844" t="str">
        <f>IFERROR(__xludf.DUMMYFUNCTION("GOOGLETRANSLATE(B13844, ""es"", ""en"")"),"Meets my expectations The material is good, smart. It was for a gift")</f>
        <v>Meets my expectations The material is good, smart. It was for a gift</v>
      </c>
    </row>
    <row r="13845">
      <c r="A13845" s="1">
        <v>5.0</v>
      </c>
      <c r="B13845" s="1" t="s">
        <v>13719</v>
      </c>
      <c r="C13845" t="str">
        <f>IFERROR(__xludf.DUMMYFUNCTION("GOOGLETRANSLATE(B13845, ""es"", ""en"")"),"Very good product 100% recommended. Powerful and convenient in terms of use and cleaning. Two glasses come in handy as you get the exact content for one person and always have the other parts. It is very easy to assemble and clean and is smoothies very we"&amp;"ll. Definitely a great purchase. The pity is that has to be pressed the button to be in operation, but the truth is that both what later")</f>
        <v>Very good product 100% recommended. Powerful and convenient in terms of use and cleaning. Two glasses come in handy as you get the exact content for one person and always have the other parts. It is very easy to assemble and clean and is smoothies very well. Definitely a great purchase. The pity is that has to be pressed the button to be in operation, but the truth is that both what later</v>
      </c>
    </row>
    <row r="13846">
      <c r="A13846" s="1">
        <v>5.0</v>
      </c>
      <c r="B13846" s="1" t="s">
        <v>13720</v>
      </c>
      <c r="C13846" t="str">
        <f>IFERROR(__xludf.DUMMYFUNCTION("GOOGLETRANSLATE(B13846, ""es"", ""en"")"),"Much space in a pen peuqueño The announcement does not specify whether it is microusb or type C, it is microusb, menubiera liked more than outside the C type because now the phones begin to have this type of plug. The USB works fine and I feel great much "&amp;"space in such a small pen.")</f>
        <v>Much space in a pen peuqueño The announcement does not specify whether it is microusb or type C, it is microusb, menubiera liked more than outside the C type because now the phones begin to have this type of plug. The USB works fine and I feel great much space in such a small pen.</v>
      </c>
    </row>
    <row r="13847">
      <c r="A13847" s="1">
        <v>5.0</v>
      </c>
      <c r="B13847" s="1" t="s">
        <v>13721</v>
      </c>
      <c r="C13847" t="str">
        <f>IFERROR(__xludf.DUMMYFUNCTION("GOOGLETRANSLATE(B13847, ""es"", ""en"")"),"Very good very good")</f>
        <v>Very good very good</v>
      </c>
    </row>
    <row r="13848">
      <c r="A13848" s="1">
        <v>5.0</v>
      </c>
      <c r="B13848" s="1" t="s">
        <v>13722</v>
      </c>
      <c r="C13848" t="str">
        <f>IFERROR(__xludf.DUMMYFUNCTION("GOOGLETRANSLATE(B13848, ""es"", ""en"")"),"The shoe is recommended podologo my mother and the ask, is very happy with the shoes and says they are very comfortable.")</f>
        <v>The shoe is recommended podologo my mother and the ask, is very happy with the shoes and says they are very comfortable.</v>
      </c>
    </row>
    <row r="13849">
      <c r="A13849" s="1">
        <v>5.0</v>
      </c>
      <c r="B13849" s="1" t="s">
        <v>13723</v>
      </c>
      <c r="C13849" t="str">
        <f>IFERROR(__xludf.DUMMYFUNCTION("GOOGLETRANSLATE(B13849, ""es"", ""en"")"),"Nike Cotton Crew Socks are somewhat expensive but the quality is pretty good. If you want quality care and not pay a little more it is a very good choice. Original product.")</f>
        <v>Nike Cotton Crew Socks are somewhat expensive but the quality is pretty good. If you want quality care and not pay a little more it is a very good choice. Original product.</v>
      </c>
    </row>
    <row r="13850">
      <c r="A13850" s="1">
        <v>5.0</v>
      </c>
      <c r="B13850" s="1" t="s">
        <v>13724</v>
      </c>
      <c r="C13850" t="str">
        <f>IFERROR(__xludf.DUMMYFUNCTION("GOOGLETRANSLATE(B13850, ""es"", ""en"")"),"honor their fame are my first helmets ""good"". A friend recommended me, I tried it at home and it's ... like discovering a new world. The first time I used to listen to music styles shooting hard (death metal, black) power was too low for me desaconstumb"&amp;"rados my ears. Nothing that can not be fixed using the equalizer of the player and down only those frequencies. Softer musical styles (progressive, pop, folk, soundtracks ...) behavior at all frequencies is excellent ""as is"" without having to touch anyt"&amp;"hing. It is a pleasure to hear my favorite albums and rediscover them as having ""new ears""")</f>
        <v>honor their fame are my first helmets "good". A friend recommended me, I tried it at home and it's ... like discovering a new world. The first time I used to listen to music styles shooting hard (death metal, black) power was too low for me desaconstumbrados my ears. Nothing that can not be fixed using the equalizer of the player and down only those frequencies. Softer musical styles (progressive, pop, folk, soundtracks ...) behavior at all frequencies is excellent "as is" without having to touch anything. It is a pleasure to hear my favorite albums and rediscover them as having "new ears"</v>
      </c>
    </row>
    <row r="13851">
      <c r="A13851" s="1">
        <v>2.0</v>
      </c>
      <c r="B13851" s="1" t="s">
        <v>13725</v>
      </c>
      <c r="C13851" t="str">
        <f>IFERROR(__xludf.DUMMYFUNCTION("GOOGLETRANSLATE(B13851, ""es"", ""en"")"),"Good Value Lacks thread ke squeeze and fit, the rest is great")</f>
        <v>Good Value Lacks thread ke squeeze and fit, the rest is great</v>
      </c>
    </row>
    <row r="13852">
      <c r="A13852" s="1">
        <v>3.0</v>
      </c>
      <c r="B13852" s="1" t="s">
        <v>13726</v>
      </c>
      <c r="C13852" t="str">
        <f>IFERROR(__xludf.DUMMYFUNCTION("GOOGLETRANSLATE(B13852, ""es"", ""en"")"),"Okay and meets the expectations I buy to give to my sister, in the record series, movies and photos, and it was easy, I wear a recording time, and I am much room for more. She is happy and so am I, so it meets what you expect from him.")</f>
        <v>Okay and meets the expectations I buy to give to my sister, in the record series, movies and photos, and it was easy, I wear a recording time, and I am much room for more. She is happy and so am I, so it meets what you expect from him.</v>
      </c>
    </row>
    <row r="13853">
      <c r="A13853" s="1">
        <v>3.0</v>
      </c>
      <c r="B13853" s="1" t="s">
        <v>13727</v>
      </c>
      <c r="C13853" t="str">
        <f>IFERROR(__xludf.DUMMYFUNCTION("GOOGLETRANSLATE(B13853, ""es"", ""en"")"),"Very little jacket is great, good finish, good money but ... ENANA! I bought it for my kid, usually using a L, XL took one after reading the opinions, missing at least two sizes, this is 3XL! shame")</f>
        <v>Very little jacket is great, good finish, good money but ... ENANA! I bought it for my kid, usually using a L, XL took one after reading the opinions, missing at least two sizes, this is 3XL! shame</v>
      </c>
    </row>
    <row r="13854">
      <c r="A13854" s="1">
        <v>1.0</v>
      </c>
      <c r="B13854" s="1" t="s">
        <v>13728</v>
      </c>
      <c r="C13854" t="str">
        <f>IFERROR(__xludf.DUMMYFUNCTION("GOOGLETRANSLATE(B13854, ""es"", ""en"")"),"Leaking inner bag is damaged and leaking, which is useless. The inner bag is damaged and leaking, which is useless.")</f>
        <v>Leaking inner bag is damaged and leaking, which is useless. The inner bag is damaged and leaking, which is useless.</v>
      </c>
    </row>
    <row r="13855">
      <c r="A13855" s="1">
        <v>1.0</v>
      </c>
      <c r="B13855" s="1" t="s">
        <v>13729</v>
      </c>
      <c r="C13855" t="str">
        <f>IFERROR(__xludf.DUMMYFUNCTION("GOOGLETRANSLATE(B13855, ""es"", ""en"")"),"Very unhappy watch buy not many months ago and changing the tire when Corina broke hope you can have warranty Greetings")</f>
        <v>Very unhappy watch buy not many months ago and changing the tire when Corina broke hope you can have warranty Greetings</v>
      </c>
    </row>
    <row r="13856">
      <c r="A13856" s="1">
        <v>1.0</v>
      </c>
      <c r="B13856" s="1" t="s">
        <v>13730</v>
      </c>
      <c r="C13856" t="str">
        <f>IFERROR(__xludf.DUMMYFUNCTION("GOOGLETRANSLATE(B13856, ""es"", ""en"")"),"Sole The sole failure has a very ergonomic inn")</f>
        <v>Sole The sole failure has a very ergonomic inn</v>
      </c>
    </row>
    <row r="13857">
      <c r="A13857" s="1">
        <v>4.0</v>
      </c>
      <c r="B13857" s="1" t="s">
        <v>13731</v>
      </c>
      <c r="C13857" t="str">
        <f>IFERROR(__xludf.DUMMYFUNCTION("GOOGLETRANSLATE(B13857, ""es"", ""en"")"),"Everything ok! Something small for my wrist but they are cool.")</f>
        <v>Everything ok! Something small for my wrist but they are cool.</v>
      </c>
    </row>
    <row r="13858">
      <c r="A13858" s="1">
        <v>4.0</v>
      </c>
      <c r="B13858" s="1" t="s">
        <v>13732</v>
      </c>
      <c r="C13858" t="str">
        <f>IFERROR(__xludf.DUMMYFUNCTION("GOOGLETRANSLATE(B13858, ""es"", ""en"")"),"They adapt well acceptable. They are lightweight. He took much the entregs")</f>
        <v>They adapt well acceptable. They are lightweight. He took much the entregs</v>
      </c>
    </row>
    <row r="13859">
      <c r="A13859" s="1">
        <v>4.0</v>
      </c>
      <c r="B13859" s="1" t="s">
        <v>13733</v>
      </c>
      <c r="C13859" t="str">
        <f>IFERROR(__xludf.DUMMYFUNCTION("GOOGLETRANSLATE(B13859, ""es"", ""en"")"),"I like simple to use design (although perhaps a little more long) and it is very easy to install and use. According to instructions on the product, if you hold down the arrow pointing up, you should put in black screen, but does not. I do not know if prod"&amp;"uct failure or is an error in the instructions. Everything else great everything.")</f>
        <v>I like simple to use design (although perhaps a little more long) and it is very easy to install and use. According to instructions on the product, if you hold down the arrow pointing up, you should put in black screen, but does not. I do not know if product failure or is an error in the instructions. Everything else great everything.</v>
      </c>
    </row>
    <row r="13860">
      <c r="A13860" s="1">
        <v>4.0</v>
      </c>
      <c r="B13860" s="1" t="s">
        <v>13734</v>
      </c>
      <c r="C13860" t="str">
        <f>IFERROR(__xludf.DUMMYFUNCTION("GOOGLETRANSLATE(B13860, ""es"", ""en"")"),"USE A MONTH AND PULL to the value it coming but I pushed and they are bad. The synthetic lining degrades rapidly and ennegreca. Not buy them now minimum quality product")</f>
        <v>USE A MONTH AND PULL to the value it coming but I pushed and they are bad. The synthetic lining degrades rapidly and ennegreca. Not buy them now minimum quality product</v>
      </c>
    </row>
    <row r="13861">
      <c r="A13861" s="1">
        <v>4.0</v>
      </c>
      <c r="B13861" s="1" t="s">
        <v>13735</v>
      </c>
      <c r="C13861" t="str">
        <f>IFERROR(__xludf.DUMMYFUNCTION("GOOGLETRANSLATE(B13861, ""es"", ""en"")"),"Good product The value is affordable and good")</f>
        <v>Good product The value is affordable and good</v>
      </c>
    </row>
    <row r="13862">
      <c r="A13862" s="1">
        <v>5.0</v>
      </c>
      <c r="B13862" s="1" t="s">
        <v>13736</v>
      </c>
      <c r="C13862" t="str">
        <f>IFERROR(__xludf.DUMMYFUNCTION("GOOGLETRANSLATE(B13862, ""es"", ""en"")"),"Excellent is a perfect shirt for any kind of exercise and fits perfect to your body, excellent quality and great attention from sellers, all perfect!")</f>
        <v>Excellent is a perfect shirt for any kind of exercise and fits perfect to your body, excellent quality and great attention from sellers, all perfect!</v>
      </c>
    </row>
    <row r="13863">
      <c r="A13863" s="1">
        <v>5.0</v>
      </c>
      <c r="B13863" s="1" t="s">
        <v>13737</v>
      </c>
      <c r="C13863" t="str">
        <f>IFERROR(__xludf.DUMMYFUNCTION("GOOGLETRANSLATE(B13863, ""es"", ""en"")"),"It's VERY GOOD I bought my husband tells me they are very comfortable and calentitas. We have not yet tested the Goretex in case of rain.")</f>
        <v>It's VERY GOOD I bought my husband tells me they are very comfortable and calentitas. We have not yet tested the Goretex in case of rain.</v>
      </c>
    </row>
    <row r="13864">
      <c r="A13864" s="1">
        <v>5.0</v>
      </c>
      <c r="B13864" s="1" t="s">
        <v>13738</v>
      </c>
      <c r="C13864" t="str">
        <f>IFERROR(__xludf.DUMMYFUNCTION("GOOGLETRANSLATE(B13864, ""es"", ""en"")"),"Right moment works very well")</f>
        <v>Right moment works very well</v>
      </c>
    </row>
    <row r="13865">
      <c r="A13865" s="1">
        <v>5.0</v>
      </c>
      <c r="B13865" s="1" t="s">
        <v>13739</v>
      </c>
      <c r="C13865" t="str">
        <f>IFERROR(__xludf.DUMMYFUNCTION("GOOGLETRANSLATE(B13865, ""es"", ""en"")"),"Minimalists are very comfortable and great fit to the foot. I use them for sports")</f>
        <v>Minimalists are very comfortable and great fit to the foot. I use them for sports</v>
      </c>
    </row>
    <row r="13866">
      <c r="A13866" s="1">
        <v>5.0</v>
      </c>
      <c r="B13866" s="1" t="s">
        <v>13740</v>
      </c>
      <c r="C13866" t="str">
        <f>IFERROR(__xludf.DUMMYFUNCTION("GOOGLETRANSLATE(B13866, ""es"", ""en"")"),"Lovely koala pendant for a gift, and it was a success, perfect all")</f>
        <v>Lovely koala pendant for a gift, and it was a success, perfect all</v>
      </c>
    </row>
    <row r="13867">
      <c r="A13867" s="1">
        <v>5.0</v>
      </c>
      <c r="B13867" s="1" t="s">
        <v>13741</v>
      </c>
      <c r="C13867" t="str">
        <f>IFERROR(__xludf.DUMMYFUNCTION("GOOGLETRANSLATE(B13867, ""es"", ""en"")"),"Very good value for money headset very comfortable, suitable for sports or everyday, do not fall and held very well. The quality is pretty good, keep in mind that are not expensive. Furthermore, they can be loaded without being connected to the stream as "&amp;"it is loaded is the basis, so can recharge while on the road. The base can turn off and on. One thing I liked is that it has charger to charge a single handset. Very good quality.")</f>
        <v>Very good value for money headset very comfortable, suitable for sports or everyday, do not fall and held very well. The quality is pretty good, keep in mind that are not expensive. Furthermore, they can be loaded without being connected to the stream as it is loaded is the basis, so can recharge while on the road. The base can turn off and on. One thing I liked is that it has charger to charge a single handset. Very good quality.</v>
      </c>
    </row>
    <row r="13868">
      <c r="A13868" s="1">
        <v>5.0</v>
      </c>
      <c r="B13868" s="1" t="s">
        <v>13742</v>
      </c>
      <c r="C13868" t="str">
        <f>IFERROR(__xludf.DUMMYFUNCTION("GOOGLETRANSLATE(B13868, ""es"", ""en"")"),"Excellent quality I use this type of Microcards for my video camera adapted to my wheelchair. The recording is fantastic, and the rapidity of the great shipping. Worth the name of PLUS.")</f>
        <v>Excellent quality I use this type of Microcards for my video camera adapted to my wheelchair. The recording is fantastic, and the rapidity of the great shipping. Worth the name of PLUS.</v>
      </c>
    </row>
    <row r="13869">
      <c r="A13869" s="1">
        <v>5.0</v>
      </c>
      <c r="B13869" s="1" t="s">
        <v>13743</v>
      </c>
      <c r="C13869" t="str">
        <f>IFERROR(__xludf.DUMMYFUNCTION("GOOGLETRANSLATE(B13869, ""es"", ""en"")"),"I was very satisfied with the transaction I value this score because it's all perfect. Very satisfied. Nothing upset me recommend to all my friends. Cheers")</f>
        <v>I was very satisfied with the transaction I value this score because it's all perfect. Very satisfied. Nothing upset me recommend to all my friends. Cheers</v>
      </c>
    </row>
    <row r="13870">
      <c r="A13870" s="1">
        <v>5.0</v>
      </c>
      <c r="B13870" s="1" t="s">
        <v>13744</v>
      </c>
      <c r="C13870" t="str">
        <f>IFERROR(__xludf.DUMMYFUNCTION("GOOGLETRANSLATE(B13870, ""es"", ""en"")"),"Portable SSD pocket. Portable Hard Drive SSD, well I would say more portable pocket, very fast when loading games and programs, a must in my case if you have a laptop. correct capacity for the price you have.")</f>
        <v>Portable SSD pocket. Portable Hard Drive SSD, well I would say more portable pocket, very fast when loading games and programs, a must in my case if you have a laptop. correct capacity for the price you have.</v>
      </c>
    </row>
    <row r="13871">
      <c r="A13871" s="1">
        <v>5.0</v>
      </c>
      <c r="B13871" s="1" t="s">
        <v>13745</v>
      </c>
      <c r="C13871" t="str">
        <f>IFERROR(__xludf.DUMMYFUNCTION("GOOGLETRANSLATE(B13871, ""es"", ""en"")"),"Very good buy I bought only one to see how I was and now I'll get six more to always replacement. Very good quality and for me is one of the best brands. For my part it is a highly recommended product.")</f>
        <v>Very good buy I bought only one to see how I was and now I'll get six more to always replacement. Very good quality and for me is one of the best brands. For my part it is a highly recommended product.</v>
      </c>
    </row>
    <row r="13872">
      <c r="A13872" s="1">
        <v>5.0</v>
      </c>
      <c r="B13872" s="1" t="s">
        <v>13746</v>
      </c>
      <c r="C13872" t="str">
        <f>IFERROR(__xludf.DUMMYFUNCTION("GOOGLETRANSLATE(B13872, ""es"", ""en"")"),"Great super comfortable. a larger than normal number. recommended")</f>
        <v>Great super comfortable. a larger than normal number. recommended</v>
      </c>
    </row>
    <row r="13873">
      <c r="A13873" s="1">
        <v>5.0</v>
      </c>
      <c r="B13873" s="1" t="s">
        <v>13747</v>
      </c>
      <c r="C13873" t="str">
        <f>IFERROR(__xludf.DUMMYFUNCTION("GOOGLETRANSLATE(B13873, ""es"", ""en"")"),"Friendly little I liked is small, easy to use. What I do not like qje go pillar could be battery or something else")</f>
        <v>Friendly little I liked is small, easy to use. What I do not like qje go pillar could be battery or something else</v>
      </c>
    </row>
    <row r="13874">
      <c r="A13874" s="1">
        <v>5.0</v>
      </c>
      <c r="B13874" s="1" t="s">
        <v>13748</v>
      </c>
      <c r="C13874" t="str">
        <f>IFERROR(__xludf.DUMMYFUNCTION("GOOGLETRANSLATE(B13874, ""es"", ""en"")"),"Price / Quality Rico!")</f>
        <v>Price / Quality Rico!</v>
      </c>
    </row>
    <row r="13875">
      <c r="A13875" s="1">
        <v>5.0</v>
      </c>
      <c r="B13875" s="1" t="s">
        <v>13749</v>
      </c>
      <c r="C13875" t="str">
        <f>IFERROR(__xludf.DUMMYFUNCTION("GOOGLETRANSLATE(B13875, ""es"", ""en"")"),"it fits advertised. Okay.")</f>
        <v>it fits advertised. Okay.</v>
      </c>
    </row>
    <row r="13876">
      <c r="A13876" s="1">
        <v>5.0</v>
      </c>
      <c r="B13876" s="1" t="s">
        <v>13750</v>
      </c>
      <c r="C13876" t="str">
        <f>IFERROR(__xludf.DUMMYFUNCTION("GOOGLETRANSLATE(B13876, ""es"", ""en"")"),"It is great for day to day is a classic day wear ah day")</f>
        <v>It is great for day to day is a classic day wear ah day</v>
      </c>
    </row>
    <row r="13877">
      <c r="A13877" s="1">
        <v>5.0</v>
      </c>
      <c r="B13877" s="1" t="s">
        <v>13751</v>
      </c>
      <c r="C13877" t="str">
        <f>IFERROR(__xludf.DUMMYFUNCTION("GOOGLETRANSLATE(B13877, ""es"", ""en"")"),"Comodisimos not disappoint at all. Super comfortable and quality October 1")</f>
        <v>Comodisimos not disappoint at all. Super comfortable and quality October 1</v>
      </c>
    </row>
    <row r="13878">
      <c r="A13878" s="1">
        <v>5.0</v>
      </c>
      <c r="B13878" s="1" t="s">
        <v>461</v>
      </c>
      <c r="C13878" t="str">
        <f>IFERROR(__xludf.DUMMYFUNCTION("GOOGLETRANSLATE(B13878, ""es"", ""en"")"),"excellent excellent")</f>
        <v>excellent excellent</v>
      </c>
    </row>
    <row r="13879">
      <c r="A13879" s="1">
        <v>5.0</v>
      </c>
      <c r="B13879" s="1" t="s">
        <v>13752</v>
      </c>
      <c r="C13879" t="str">
        <f>IFERROR(__xludf.DUMMYFUNCTION("GOOGLETRANSLATE(B13879, ""es"", ""en"")"),"Quality headphones cheap headphones with good price, although admittedly, has more quality than I expected. It comes in a nice box and cables have a touch of rubber curious. I think it helps that no knots are made.")</f>
        <v>Quality headphones cheap headphones with good price, although admittedly, has more quality than I expected. It comes in a nice box and cables have a touch of rubber curious. I think it helps that no knots are made.</v>
      </c>
    </row>
    <row r="13880">
      <c r="A13880" s="1">
        <v>5.0</v>
      </c>
      <c r="B13880" s="1" t="s">
        <v>13753</v>
      </c>
      <c r="C13880" t="str">
        <f>IFERROR(__xludf.DUMMYFUNCTION("GOOGLETRANSLATE(B13880, ""es"", ""en"")"),"Portable massage is great. Any of the 4 modes of massage is wonderful. The best: not move from home to receive a massage. Very complete and very well prepared.")</f>
        <v>Portable massage is great. Any of the 4 modes of massage is wonderful. The best: not move from home to receive a massage. Very complete and very well prepared.</v>
      </c>
    </row>
    <row r="13881">
      <c r="A13881" s="1">
        <v>2.0</v>
      </c>
      <c r="B13881" s="1" t="s">
        <v>13754</v>
      </c>
      <c r="C13881" t="str">
        <f>IFERROR(__xludf.DUMMYFUNCTION("GOOGLETRANSLATE(B13881, ""es"", ""en"")"),"a headset I stopped working a week The shape and I really liked the sound. All suddenly one day no longer he is listening on a headset. if it was not because I gave a pull and a cable or something would break inside. As I see in the comments that nobody h"&amp;"as happened, I have again asked to see if I have better luck because the shape and sound were fine")</f>
        <v>a headset I stopped working a week The shape and I really liked the sound. All suddenly one day no longer he is listening on a headset. if it was not because I gave a pull and a cable or something would break inside. As I see in the comments that nobody has happened, I have again asked to see if I have better luck because the shape and sound were fine</v>
      </c>
    </row>
    <row r="13882">
      <c r="A13882" s="1">
        <v>3.0</v>
      </c>
      <c r="B13882" s="1" t="s">
        <v>13755</v>
      </c>
      <c r="C13882" t="str">
        <f>IFERROR(__xludf.DUMMYFUNCTION("GOOGLETRANSLATE(B13882, ""es"", ""en"")"),"Defective strip black belt leaving the book to tie defective (rotated as badly hooked, it is a bit odd). Otherwise, all good.")</f>
        <v>Defective strip black belt leaving the book to tie defective (rotated as badly hooked, it is a bit odd). Otherwise, all good.</v>
      </c>
    </row>
    <row r="13883">
      <c r="A13883" s="1">
        <v>3.0</v>
      </c>
      <c r="B13883" s="1" t="s">
        <v>13756</v>
      </c>
      <c r="C13883" t="str">
        <f>IFERROR(__xludf.DUMMYFUNCTION("GOOGLETRANSLATE(B13883, ""es"", ""en"")"),"Super Cheap Headphones Presentation box with zipper, accessories and carabiner clip. And the headset is comfortable and great sounds. It also has micro. And very cheap.")</f>
        <v>Super Cheap Headphones Presentation box with zipper, accessories and carabiner clip. And the headset is comfortable and great sounds. It also has micro. And very cheap.</v>
      </c>
    </row>
    <row r="13884">
      <c r="A13884" s="1">
        <v>1.0</v>
      </c>
      <c r="B13884" s="1" t="s">
        <v>13757</v>
      </c>
      <c r="C13884" t="str">
        <f>IFERROR(__xludf.DUMMYFUNCTION("GOOGLETRANSLATE(B13884, ""es"", ""en"")"),"The defrauded have since 2 November and already have a dislike being broken. The quality leaves much to be desired")</f>
        <v>The defrauded have since 2 November and already have a dislike being broken. The quality leaves much to be desired</v>
      </c>
    </row>
    <row r="13885">
      <c r="A13885" s="1">
        <v>1.0</v>
      </c>
      <c r="B13885" s="1" t="s">
        <v>13758</v>
      </c>
      <c r="C13885" t="str">
        <f>IFERROR(__xludf.DUMMYFUNCTION("GOOGLETRANSLATE(B13885, ""es"", ""en"")"),"Timo rotos.son I came sleazy not recommend it for anything")</f>
        <v>Timo rotos.son I came sleazy not recommend it for anything</v>
      </c>
    </row>
    <row r="13886">
      <c r="A13886" s="1">
        <v>4.0</v>
      </c>
      <c r="B13886" s="1" t="s">
        <v>13759</v>
      </c>
      <c r="C13886" t="str">
        <f>IFERROR(__xludf.DUMMYFUNCTION("GOOGLETRANSLATE(B13886, ""es"", ""en"")"),"A great moment USB memory film is never said it better because I use it connected to the TV to watch movies, documentaries and series. It's not too hot and its only flaw is that the retractable mechanism is not too strong and you have to attach it to conn"&amp;"ect to the USB.")</f>
        <v>A great moment USB memory film is never said it better because I use it connected to the TV to watch movies, documentaries and series. It's not too hot and its only flaw is that the retractable mechanism is not too strong and you have to attach it to connect to the USB.</v>
      </c>
    </row>
    <row r="13887">
      <c r="A13887" s="1">
        <v>4.0</v>
      </c>
      <c r="B13887" s="1" t="s">
        <v>13760</v>
      </c>
      <c r="C13887" t="str">
        <f>IFERROR(__xludf.DUMMYFUNCTION("GOOGLETRANSLATE(B13887, ""es"", ""en"")"),"It is fine for animal hair collects fine animal hair, but it remains an electric mop and not beneath of vacuuming.")</f>
        <v>It is fine for animal hair collects fine animal hair, but it remains an electric mop and not beneath of vacuuming.</v>
      </c>
    </row>
    <row r="13888">
      <c r="A13888" s="1">
        <v>4.0</v>
      </c>
      <c r="B13888" s="1" t="s">
        <v>13761</v>
      </c>
      <c r="C13888" t="str">
        <f>IFERROR(__xludf.DUMMYFUNCTION("GOOGLETRANSLATE(B13888, ""es"", ""en"")"),"Does not seem correct poor quality all the micro is not bad arrived in time it estimated tell time came as in the description")</f>
        <v>Does not seem correct poor quality all the micro is not bad arrived in time it estimated tell time came as in the description</v>
      </c>
    </row>
    <row r="13889">
      <c r="A13889" s="1">
        <v>4.0</v>
      </c>
      <c r="B13889" s="1" t="s">
        <v>13762</v>
      </c>
      <c r="C13889" t="str">
        <f>IFERROR(__xludf.DUMMYFUNCTION("GOOGLETRANSLATE(B13889, ""es"", ""en"")"),"Nice gift for men Very nice design, elegant and comfortable. Very good gift for any man. resistant materials and good quality. You can also record some inscription on the metal. Good Value")</f>
        <v>Nice gift for men Very nice design, elegant and comfortable. Very good gift for any man. resistant materials and good quality. You can also record some inscription on the metal. Good Value</v>
      </c>
    </row>
    <row r="13890">
      <c r="A13890" s="1">
        <v>5.0</v>
      </c>
      <c r="B13890" s="1" t="s">
        <v>13763</v>
      </c>
      <c r="C13890" t="str">
        <f>IFERROR(__xludf.DUMMYFUNCTION("GOOGLETRANSLATE(B13890, ""es"", ""en"")"),"The work slip socks I bought these because staff use on one foot, and makes the sock from sliding into some shoes. With the design of this sock, and non-slip heel that does not happen. Moreover, it seems a good cotton. It is not very fine, but in my case "&amp;"comes in handy because I easily get blisters.")</f>
        <v>The work slip socks I bought these because staff use on one foot, and makes the sock from sliding into some shoes. With the design of this sock, and non-slip heel that does not happen. Moreover, it seems a good cotton. It is not very fine, but in my case comes in handy because I easily get blisters.</v>
      </c>
    </row>
    <row r="13891">
      <c r="A13891" s="1">
        <v>5.0</v>
      </c>
      <c r="B13891" s="1" t="s">
        <v>13764</v>
      </c>
      <c r="C13891" t="str">
        <f>IFERROR(__xludf.DUMMYFUNCTION("GOOGLETRANSLATE(B13891, ""es"", ""en"")"),"Great pad works perfectly for neck and upper back, and have several levels sufficiently heated. For that price, the best I've found.")</f>
        <v>Great pad works perfectly for neck and upper back, and have several levels sufficiently heated. For that price, the best I've found.</v>
      </c>
    </row>
    <row r="13892">
      <c r="A13892" s="1">
        <v>5.0</v>
      </c>
      <c r="B13892" s="1" t="s">
        <v>13765</v>
      </c>
      <c r="C13892" t="str">
        <f>IFERROR(__xludf.DUMMYFUNCTION("GOOGLETRANSLATE(B13892, ""es"", ""en"")"),"It receives all correct what is advertised on the page, nothing more, nothing less. I have no complaints all right product")</f>
        <v>It receives all correct what is advertised on the page, nothing more, nothing less. I have no complaints all right product</v>
      </c>
    </row>
    <row r="13893">
      <c r="A13893" s="1">
        <v>5.0</v>
      </c>
      <c r="B13893" s="1" t="s">
        <v>13766</v>
      </c>
      <c r="C13893" t="str">
        <f>IFERROR(__xludf.DUMMYFUNCTION("GOOGLETRANSLATE(B13893, ""es"", ""en"")"),"Are a fair number q q Just ask the picture, the only thing not worth q Winter perspire too, but they are cool")</f>
        <v>Are a fair number q q Just ask the picture, the only thing not worth q Winter perspire too, but they are cool</v>
      </c>
    </row>
    <row r="13894">
      <c r="A13894" s="1">
        <v>5.0</v>
      </c>
      <c r="B13894" s="1" t="s">
        <v>13767</v>
      </c>
      <c r="C13894" t="str">
        <f>IFERROR(__xludf.DUMMYFUNCTION("GOOGLETRANSLATE(B13894, ""es"", ""en"")"),"Is practico.comodo of juicing is cristal.pesa one poquito.debajo of the device carries a button seguridad.su capacity is a place you can hecer vaso.es practico.cualquiera reciente.es juice with miniUSB charger.")</f>
        <v>Is practico.comodo of juicing is cristal.pesa one poquito.debajo of the device carries a button seguridad.su capacity is a place you can hecer vaso.es practico.cualquiera reciente.es juice with miniUSB charger.</v>
      </c>
    </row>
    <row r="13895">
      <c r="A13895" s="1">
        <v>5.0</v>
      </c>
      <c r="B13895" s="1" t="s">
        <v>13768</v>
      </c>
      <c r="C13895" t="str">
        <f>IFERROR(__xludf.DUMMYFUNCTION("GOOGLETRANSLATE(B13895, ""es"", ""en"")"),"Collect works very well very well, it does not give problems and is very robust")</f>
        <v>Collect works very well very well, it does not give problems and is very robust</v>
      </c>
    </row>
    <row r="13896">
      <c r="A13896" s="1">
        <v>5.0</v>
      </c>
      <c r="B13896" s="1" t="s">
        <v>13769</v>
      </c>
      <c r="C13896" t="str">
        <f>IFERROR(__xludf.DUMMYFUNCTION("GOOGLETRANSLATE(B13896, ""es"", ""en"")"),"In-ear for 8 times less than a Shure Surprisingly they exceeded my expectations. My previous in-ear Shure SE315 were the truth and this is compared with similar quality. Clearly some in-ear compare 8 times cheaper and same result. The aluminum finish give"&amp;"s a twist and braided cable is good quality. And also give you the ability to connect CSR8675 wireless module that is purchased separately. I have not seen anything cheaper with much quality.")</f>
        <v>In-ear for 8 times less than a Shure Surprisingly they exceeded my expectations. My previous in-ear Shure SE315 were the truth and this is compared with similar quality. Clearly some in-ear compare 8 times cheaper and same result. The aluminum finish gives a twist and braided cable is good quality. And also give you the ability to connect CSR8675 wireless module that is purchased separately. I have not seen anything cheaper with much quality.</v>
      </c>
    </row>
    <row r="13897">
      <c r="A13897" s="1">
        <v>5.0</v>
      </c>
      <c r="B13897" s="1" t="s">
        <v>13770</v>
      </c>
      <c r="C13897" t="str">
        <f>IFERROR(__xludf.DUMMYFUNCTION("GOOGLETRANSLATE(B13897, ""es"", ""en"")"),"As well the truth is that for the price they have (just over 4 €), you can not ask for more. I have a demanding use for cards, are to store some data and while not give much speed, class 4 met always, even've seen peaks of 10Mbps, but kept in 4 most of th"&amp;"e time, so it is just what I expected of them and meet promised.")</f>
        <v>As well the truth is that for the price they have (just over 4 €), you can not ask for more. I have a demanding use for cards, are to store some data and while not give much speed, class 4 met always, even've seen peaks of 10Mbps, but kept in 4 most of the time, so it is just what I expected of them and meet promised.</v>
      </c>
    </row>
    <row r="13898">
      <c r="A13898" s="1">
        <v>5.0</v>
      </c>
      <c r="B13898" s="1" t="s">
        <v>13771</v>
      </c>
      <c r="C13898" t="str">
        <f>IFERROR(__xludf.DUMMYFUNCTION("GOOGLETRANSLATE(B13898, ""es"", ""en"")"),"Good location with good attention and understanding after some problems arose with the material, I solved it and always with maximum attention and solution.")</f>
        <v>Good location with good attention and understanding after some problems arose with the material, I solved it and always with maximum attention and solution.</v>
      </c>
    </row>
    <row r="13899">
      <c r="A13899" s="1">
        <v>5.0</v>
      </c>
      <c r="B13899" s="1" t="s">
        <v>13772</v>
      </c>
      <c r="C13899" t="str">
        <f>IFERROR(__xludf.DUMMYFUNCTION("GOOGLETRANSLATE(B13899, ""es"", ""en"")"),"good and fast operation. This ended well, and operation is simple and smoke begins to take a few seconds. Advise your purchase, it performs its function perfectly, this well finished and is priced set.")</f>
        <v>good and fast operation. This ended well, and operation is simple and smoke begins to take a few seconds. Advise your purchase, it performs its function perfectly, this well finished and is priced set.</v>
      </c>
    </row>
    <row r="13900">
      <c r="A13900" s="1">
        <v>5.0</v>
      </c>
      <c r="B13900" s="1" t="s">
        <v>13773</v>
      </c>
      <c r="C13900" t="str">
        <f>IFERROR(__xludf.DUMMYFUNCTION("GOOGLETRANSLATE(B13900, ""es"", ""en"")"),"Great card for GoPro Hero Micro SD 7 Black or other 4K cameras going great card on a GoPro Hero 7 Black to record in 4K 60 FPS. Definitely a good card to get the most out of a good camera. I also tested on a Sony Alpha 6000 and going great. It has much ab"&amp;"ility to take photos and videos in high quality. In addition, the SanDisk itself gives an additional guarantee of 10 years if you register on their website. I bought it on sale for about 30 € with 128GB capacity. It is expensive but so far has not given m"&amp;"e problems.")</f>
        <v>Great card for GoPro Hero Micro SD 7 Black or other 4K cameras going great card on a GoPro Hero 7 Black to record in 4K 60 FPS. Definitely a good card to get the most out of a good camera. I also tested on a Sony Alpha 6000 and going great. It has much ability to take photos and videos in high quality. In addition, the SanDisk itself gives an additional guarantee of 10 years if you register on their website. I bought it on sale for about 30 € with 128GB capacity. It is expensive but so far has not given me problems.</v>
      </c>
    </row>
    <row r="13901">
      <c r="A13901" s="1">
        <v>5.0</v>
      </c>
      <c r="B13901" s="1" t="s">
        <v>13774</v>
      </c>
      <c r="C13901" t="str">
        <f>IFERROR(__xludf.DUMMYFUNCTION("GOOGLETRANSLATE(B13901, ""es"", ""en"")"),"It is a very good shoe. Comfortable and gore-tex isolated from water as niniguno. As always the mark does not disappoint in its medium-high and high-end. Shoe comfortable, flexible, insulated. A marvel. Very recomndable.")</f>
        <v>It is a very good shoe. Comfortable and gore-tex isolated from water as niniguno. As always the mark does not disappoint in its medium-high and high-end. Shoe comfortable, flexible, insulated. A marvel. Very recomndable.</v>
      </c>
    </row>
    <row r="13902">
      <c r="A13902" s="1">
        <v>5.0</v>
      </c>
      <c r="B13902" s="1" t="s">
        <v>13775</v>
      </c>
      <c r="C13902" t="str">
        <f>IFERROR(__xludf.DUMMYFUNCTION("GOOGLETRANSLATE(B13902, ""es"", ""en"")"),"Good packing tape has come perfectly protected, fulfilled all the specifications of the ad. Each roll brings a lot of tape that is very tough and stick with enough force. I acquired through a discount seller and I am very happy with the purchase.")</f>
        <v>Good packing tape has come perfectly protected, fulfilled all the specifications of the ad. Each roll brings a lot of tape that is very tough and stick with enough force. I acquired through a discount seller and I am very happy with the purchase.</v>
      </c>
    </row>
    <row r="13903">
      <c r="A13903" s="1">
        <v>5.0</v>
      </c>
      <c r="B13903" s="1" t="s">
        <v>13776</v>
      </c>
      <c r="C13903" t="str">
        <f>IFERROR(__xludf.DUMMYFUNCTION("GOOGLETRANSLATE(B13903, ""es"", ""en"")"),"I bought them to give perfect in the communion of my daughter and everyone was delighted and surprised")</f>
        <v>I bought them to give perfect in the communion of my daughter and everyone was delighted and surprised</v>
      </c>
    </row>
    <row r="13904">
      <c r="A13904" s="1">
        <v>5.0</v>
      </c>
      <c r="B13904" s="1" t="s">
        <v>13777</v>
      </c>
      <c r="C13904" t="str">
        <f>IFERROR(__xludf.DUMMYFUNCTION("GOOGLETRANSLATE(B13904, ""es"", ""en"")"),"Cutting iron to cutting. All perfect.")</f>
        <v>Cutting iron to cutting. All perfect.</v>
      </c>
    </row>
    <row r="13905">
      <c r="A13905" s="1">
        <v>5.0</v>
      </c>
      <c r="B13905" s="1" t="s">
        <v>13778</v>
      </c>
      <c r="C13905" t="str">
        <f>IFERROR(__xludf.DUMMYFUNCTION("GOOGLETRANSLATE(B13905, ""es"", ""en"")"),"It fits well and is well as in the description.")</f>
        <v>It fits well and is well as in the description.</v>
      </c>
    </row>
    <row r="13906">
      <c r="A13906" s="1">
        <v>5.0</v>
      </c>
      <c r="B13906" s="1" t="s">
        <v>13779</v>
      </c>
      <c r="C13906" t="str">
        <f>IFERROR(__xludf.DUMMYFUNCTION("GOOGLETRANSLATE(B13906, ""es"", ""en"")"),"Perfecctos. It was what I expected.")</f>
        <v>Perfecctos. It was what I expected.</v>
      </c>
    </row>
    <row r="13907">
      <c r="A13907" s="1">
        <v>5.0</v>
      </c>
      <c r="B13907" s="1" t="s">
        <v>13780</v>
      </c>
      <c r="C13907" t="str">
        <f>IFERROR(__xludf.DUMMYFUNCTION("GOOGLETRANSLATE(B13907, ""es"", ""en"")"),"Perfect white shoes, correspond perfectly advertised, very good value for money, much cheaper than other brand with similar quality")</f>
        <v>Perfect white shoes, correspond perfectly advertised, very good value for money, much cheaper than other brand with similar quality</v>
      </c>
    </row>
    <row r="13908">
      <c r="A13908" s="1">
        <v>5.0</v>
      </c>
      <c r="B13908" s="1" t="s">
        <v>13781</v>
      </c>
      <c r="C13908" t="str">
        <f>IFERROR(__xludf.DUMMYFUNCTION("GOOGLETRANSLATE(B13908, ""es"", ""en"")"),"Super nice design, small, lightweight Excellent product. To take a catch, the cable is very short, just about 10cm. I put on my iMac and hangs ... For the rest is perfect. Very small, beautiful design and finish, lightweight, super fast ...! I regret not "&amp;"having money to buy 2T ... !!!")</f>
        <v>Super nice design, small, lightweight Excellent product. To take a catch, the cable is very short, just about 10cm. I put on my iMac and hangs ... For the rest is perfect. Very small, beautiful design and finish, lightweight, super fast ...! I regret not having money to buy 2T ... !!!</v>
      </c>
    </row>
    <row r="13909">
      <c r="A13909" s="1">
        <v>2.0</v>
      </c>
      <c r="B13909" s="1" t="s">
        <v>13782</v>
      </c>
      <c r="C13909" t="str">
        <f>IFERROR(__xludf.DUMMYFUNCTION("GOOGLETRANSLATE(B13909, ""es"", ""en"")"),"Not very adhesive posters I bought it for a few days .. and were on the floor, did not like")</f>
        <v>Not very adhesive posters I bought it for a few days .. and were on the floor, did not like</v>
      </c>
    </row>
    <row r="13910">
      <c r="A13910" s="1">
        <v>3.0</v>
      </c>
      <c r="B13910" s="1" t="s">
        <v>13783</v>
      </c>
      <c r="C13910" t="str">
        <f>IFERROR(__xludf.DUMMYFUNCTION("GOOGLETRANSLATE(B13910, ""es"", ""en"")"),"Good product good product, maybe recommend the rack")</f>
        <v>Good product good product, maybe recommend the rack</v>
      </c>
    </row>
    <row r="13911">
      <c r="A13911" s="1">
        <v>3.0</v>
      </c>
      <c r="B13911" s="1" t="s">
        <v>13784</v>
      </c>
      <c r="C13911" t="str">
        <f>IFERROR(__xludf.DUMMYFUNCTION("GOOGLETRANSLATE(B13911, ""es"", ""en"")"),"Headset I purchased this product value, used them only for TV, in principle, the sound is acceptable, the only downside I see it is that if you turn up the volume of the handset much an intense buzz is heard, but bringing it down to the minimum and turn u"&amp;"p the TV sound is heard quite well and the buzz vanishes in quite acceptable summary.")</f>
        <v>Headset I purchased this product value, used them only for TV, in principle, the sound is acceptable, the only downside I see it is that if you turn up the volume of the handset much an intense buzz is heard, but bringing it down to the minimum and turn up the TV sound is heard quite well and the buzz vanishes in quite acceptable summary.</v>
      </c>
    </row>
    <row r="13912">
      <c r="A13912" s="1">
        <v>1.0</v>
      </c>
      <c r="B13912" s="1" t="s">
        <v>13785</v>
      </c>
      <c r="C13912" t="str">
        <f>IFERROR(__xludf.DUMMYFUNCTION("GOOGLETRANSLATE(B13912, ""es"", ""en"")"),"Carlos Caro for quality, not having has no light and the glow in the dark abujas 3 minutes after giving a strong plastic belt light lousy not have liked me anything")</f>
        <v>Carlos Caro for quality, not having has no light and the glow in the dark abujas 3 minutes after giving a strong plastic belt light lousy not have liked me anything</v>
      </c>
    </row>
    <row r="13913">
      <c r="A13913" s="1">
        <v>1.0</v>
      </c>
      <c r="B13913" s="1" t="s">
        <v>13786</v>
      </c>
      <c r="C13913" t="str">
        <f>IFERROR(__xludf.DUMMYFUNCTION("GOOGLETRANSLATE(B13913, ""es"", ""en"")"),"Very unhappy defective, the 2nd day the headset stopped working right, that of the microphone. They also have a very sharp sound strident.")</f>
        <v>Very unhappy defective, the 2nd day the headset stopped working right, that of the microphone. They also have a very sharp sound strident.</v>
      </c>
    </row>
    <row r="13914">
      <c r="A13914" s="1">
        <v>4.0</v>
      </c>
      <c r="B13914" s="1" t="s">
        <v>13787</v>
      </c>
      <c r="C13914" t="str">
        <f>IFERROR(__xludf.DUMMYFUNCTION("GOOGLETRANSLATE(B13914, ""es"", ""en"")"),"Something thin sweatshirt thin but enough time not very cold.")</f>
        <v>Something thin sweatshirt thin but enough time not very cold.</v>
      </c>
    </row>
    <row r="13915">
      <c r="A13915" s="1">
        <v>4.0</v>
      </c>
      <c r="B13915" s="1" t="s">
        <v>13788</v>
      </c>
      <c r="C13915" t="str">
        <f>IFERROR(__xludf.DUMMYFUNCTION("GOOGLETRANSLATE(B13915, ""es"", ""en"")"),"Like any vinegar White Shipping fast, I'm trying to make cleanups babycook, but it really is like using white vinegar, is the same smell clean and not that much more, I think the result is the same.")</f>
        <v>Like any vinegar White Shipping fast, I'm trying to make cleanups babycook, but it really is like using white vinegar, is the same smell clean and not that much more, I think the result is the same.</v>
      </c>
    </row>
    <row r="13916">
      <c r="A13916" s="1">
        <v>4.0</v>
      </c>
      <c r="B13916" s="1" t="s">
        <v>13789</v>
      </c>
      <c r="C13916" t="str">
        <f>IFERROR(__xludf.DUMMYFUNCTION("GOOGLETRANSLATE(B13916, ""es"", ""en"")"),"isolate the keypad. It works great, I love it. The service impeccable. I did not get a 5 because we must be careful not sneaking liquids through the keypad. If I had a rubber boot as some electrodomenticos to protect her from liquids we could say that thi"&amp;"s is a perfect blender with impeccable service technician. Very satisfied!")</f>
        <v>isolate the keypad. It works great, I love it. The service impeccable. I did not get a 5 because we must be careful not sneaking liquids through the keypad. If I had a rubber boot as some electrodomenticos to protect her from liquids we could say that this is a perfect blender with impeccable service technician. Very satisfied!</v>
      </c>
    </row>
    <row r="13917">
      <c r="A13917" s="1">
        <v>4.0</v>
      </c>
      <c r="B13917" s="1" t="s">
        <v>13790</v>
      </c>
      <c r="C13917" t="str">
        <f>IFERROR(__xludf.DUMMYFUNCTION("GOOGLETRANSLATE(B13917, ""es"", ""en"")"),"If you improve your speed and avoid overheating would be the perfect USB PROS: The price is good. It is a pendrive that occupies very little space which facilitates insertion into multiple sites as TV, DVD, PC's, etc. It is so small you can take keychain."&amp;" It is 3.1. CONS: The speed is not as high as promised. It is so small that you can lose easily. It does not include any light to know when is transferring information. I bought two usb 64GB and I tested yesterday. I'm happy with the purchase although it "&amp;"has some things to improve. Speed ​​in a USB 3.0 port having a 30GB file, starts at 50/60 MB high then stay timid 20MB. For this file 30GB afternoon 25 minutes. It is true that USB 2.0 would have taken 45 minutes. It heats a little, but nothing to panic, "&amp;"it is normal given its small size. I tried it on a Samsung Smart TV to watch 2K End Game Avengers and it worked great. I'll take a flash drive in the portfolio for emergencies and the other stays at home to watch movies high resolution. If I had a better "&amp;"speed and added light to know when it is transmitting I would be perfect. Despite these flaws would recommend.")</f>
        <v>If you improve your speed and avoid overheating would be the perfect USB PROS: The price is good. It is a pendrive that occupies very little space which facilitates insertion into multiple sites as TV, DVD, PC's, etc. It is so small you can take keychain. It is 3.1. CONS: The speed is not as high as promised. It is so small that you can lose easily. It does not include any light to know when is transferring information. I bought two usb 64GB and I tested yesterday. I'm happy with the purchase although it has some things to improve. Speed ​​in a USB 3.0 port having a 30GB file, starts at 50/60 MB high then stay timid 20MB. For this file 30GB afternoon 25 minutes. It is true that USB 2.0 would have taken 45 minutes. It heats a little, but nothing to panic, it is normal given its small size. I tried it on a Samsung Smart TV to watch 2K End Game Avengers and it worked great. I'll take a flash drive in the portfolio for emergencies and the other stays at home to watch movies high resolution. If I had a better speed and added light to know when it is transmitting I would be perfect. Despite these flaws would recommend.</v>
      </c>
    </row>
    <row r="13918">
      <c r="A13918" s="1">
        <v>4.0</v>
      </c>
      <c r="B13918" s="1" t="s">
        <v>13791</v>
      </c>
      <c r="C13918" t="str">
        <f>IFERROR(__xludf.DUMMYFUNCTION("GOOGLETRANSLATE(B13918, ""es"", ""en"")"),"Blender acceptable acceptable for the price it has. What I do not like at all is the clip to release the Arm buttons are small and very hard it would be best to screw ... like life")</f>
        <v>Blender acceptable acceptable for the price it has. What I do not like at all is the clip to release the Arm buttons are small and very hard it would be best to screw ... like life</v>
      </c>
    </row>
    <row r="13919">
      <c r="A13919" s="1">
        <v>5.0</v>
      </c>
      <c r="B13919" s="1" t="s">
        <v>13792</v>
      </c>
      <c r="C13919" t="str">
        <f>IFERROR(__xludf.DUMMYFUNCTION("GOOGLETRANSLATE(B13919, ""es"", ""en"")"),"Combined with all shoes very comfortable and combine with almost everything, chose the size 44.5 since in sports asics use that size and is somewhat loose but prevents you from not running for example, is not going to rush out shoes, but are not made for "&amp;"running . In a future for this style shoes Asics average number I will choose less and remain perfect, I'm sure")</f>
        <v>Combined with all shoes very comfortable and combine with almost everything, chose the size 44.5 since in sports asics use that size and is somewhat loose but prevents you from not running for example, is not going to rush out shoes, but are not made for running . In a future for this style shoes Asics average number I will choose less and remain perfect, I'm sure</v>
      </c>
    </row>
    <row r="13920">
      <c r="A13920" s="1">
        <v>5.0</v>
      </c>
      <c r="B13920" s="1" t="s">
        <v>13793</v>
      </c>
      <c r="C13920" t="str">
        <f>IFERROR(__xludf.DUMMYFUNCTION("GOOGLETRANSLATE(B13920, ""es"", ""en"")"),"Expected Very good")</f>
        <v>Expected Very good</v>
      </c>
    </row>
    <row r="13921">
      <c r="A13921" s="1">
        <v>5.0</v>
      </c>
      <c r="B13921" s="1" t="s">
        <v>13794</v>
      </c>
      <c r="C13921" t="str">
        <f>IFERROR(__xludf.DUMMYFUNCTION("GOOGLETRANSLATE(B13921, ""es"", ""en"")"),"Value correct. The truth is that these headphones do not disappoint me are very comfortable, considering that use several hours a day, with a music player hd fiio and an amplifier (when I play the electric bass). Good sound and quality construction, plast"&amp;"ics seem very good quality. Versatile thanks to the three cables that includes, use the 1.2 and 3 meters above.")</f>
        <v>Value correct. The truth is that these headphones do not disappoint me are very comfortable, considering that use several hours a day, with a music player hd fiio and an amplifier (when I play the electric bass). Good sound and quality construction, plastics seem very good quality. Versatile thanks to the three cables that includes, use the 1.2 and 3 meters above.</v>
      </c>
    </row>
    <row r="13922">
      <c r="A13922" s="1">
        <v>5.0</v>
      </c>
      <c r="B13922" s="1" t="s">
        <v>13795</v>
      </c>
      <c r="C13922" t="str">
        <f>IFERROR(__xludf.DUMMYFUNCTION("GOOGLETRANSLATE(B13922, ""es"", ""en"")"),"Perfect Very good, beautiful and quality")</f>
        <v>Perfect Very good, beautiful and quality</v>
      </c>
    </row>
    <row r="13923">
      <c r="A13923" s="1">
        <v>5.0</v>
      </c>
      <c r="B13923" s="1" t="s">
        <v>13796</v>
      </c>
      <c r="C13923" t="str">
        <f>IFERROR(__xludf.DUMMYFUNCTION("GOOGLETRANSLATE(B13923, ""es"", ""en"")"),"Good product good product, but I was wrong size")</f>
        <v>Good product good product, but I was wrong size</v>
      </c>
    </row>
    <row r="13924">
      <c r="A13924" s="1">
        <v>5.0</v>
      </c>
      <c r="B13924" s="1" t="s">
        <v>13797</v>
      </c>
      <c r="C13924" t="str">
        <f>IFERROR(__xludf.DUMMYFUNCTION("GOOGLETRANSLATE(B13924, ""es"", ""en"")"),"Okay only used for the beach but do not get in the water, it is very light and is nice")</f>
        <v>Okay only used for the beach but do not get in the water, it is very light and is nice</v>
      </c>
    </row>
    <row r="13925">
      <c r="A13925" s="1">
        <v>5.0</v>
      </c>
      <c r="B13925" s="1" t="s">
        <v>13798</v>
      </c>
      <c r="C13925" t="str">
        <f>IFERROR(__xludf.DUMMYFUNCTION("GOOGLETRANSLATE(B13925, ""es"", ""en"")"),"Perfect very good")</f>
        <v>Perfect very good</v>
      </c>
    </row>
    <row r="13926">
      <c r="A13926" s="1">
        <v>5.0</v>
      </c>
      <c r="B13926" s="1" t="s">
        <v>13799</v>
      </c>
      <c r="C13926" t="str">
        <f>IFERROR(__xludf.DUMMYFUNCTION("GOOGLETRANSLATE(B13926, ""es"", ""en"")"),"Well with nuances - first review - we assume that things are translations but nothing blender. grinder, mixer, picacpica, but blender. However for me this me well, you work away from home gives you an autonomy by size, comfort features, etc. It is comfort"&amp;"able I can upload it to the car. The first thing I had to do is sharpen some knives, were square and then, given the characteristics of the glass and power, do not put very large fruit. It would have been interesting to have a manualillo in Castilian and "&amp;"indications of where to get another glass.")</f>
        <v>Well with nuances - first review - we assume that things are translations but nothing blender. grinder, mixer, picacpica, but blender. However for me this me well, you work away from home gives you an autonomy by size, comfort features, etc. It is comfortable I can upload it to the car. The first thing I had to do is sharpen some knives, were square and then, given the characteristics of the glass and power, do not put very large fruit. It would have been interesting to have a manualillo in Castilian and indications of where to get another glass.</v>
      </c>
    </row>
    <row r="13927">
      <c r="A13927" s="1">
        <v>5.0</v>
      </c>
      <c r="B13927" s="1" t="s">
        <v>13800</v>
      </c>
      <c r="C13927" t="str">
        <f>IFERROR(__xludf.DUMMYFUNCTION("GOOGLETRANSLATE(B13927, ""es"", ""en"")"),"I recommend! It's the first time I use, and I must say they are great. They are three different, two of them are normal and the other vibrates if you activate the command. It comes with an instruction manual. If it is true that would have appreciated a sm"&amp;"all bag, but still are great. The battery lasts a lot and takes little time to load and this is going great. They are the first that I buy and go very well. They are easy to clean, and is therefore smooth. They seem very good quality, I recommend the trut"&amp;"h!")</f>
        <v>I recommend! It's the first time I use, and I must say they are great. They are three different, two of them are normal and the other vibrates if you activate the command. It comes with an instruction manual. If it is true that would have appreciated a small bag, but still are great. The battery lasts a lot and takes little time to load and this is going great. They are the first that I buy and go very well. They are easy to clean, and is therefore smooth. They seem very good quality, I recommend the truth!</v>
      </c>
    </row>
    <row r="13928">
      <c r="A13928" s="1">
        <v>5.0</v>
      </c>
      <c r="B13928" s="1" t="s">
        <v>13801</v>
      </c>
      <c r="C13928" t="str">
        <f>IFERROR(__xludf.DUMMYFUNCTION("GOOGLETRANSLATE(B13928, ""es"", ""en"")"),"The perfect gift It was hard to find this trinket, but it has been a success !!")</f>
        <v>The perfect gift It was hard to find this trinket, but it has been a success !!</v>
      </c>
    </row>
    <row r="13929">
      <c r="A13929" s="1">
        <v>5.0</v>
      </c>
      <c r="B13929" s="1" t="s">
        <v>13802</v>
      </c>
      <c r="C13929" t="str">
        <f>IFERROR(__xludf.DUMMYFUNCTION("GOOGLETRANSLATE(B13929, ""es"", ""en"")"),"Staples recommended standard time at a good price. Although remains to check how they respond to the passage of time in humid environments.")</f>
        <v>Staples recommended standard time at a good price. Although remains to check how they respond to the passage of time in humid environments.</v>
      </c>
    </row>
    <row r="13930">
      <c r="A13930" s="1">
        <v>5.0</v>
      </c>
      <c r="B13930" s="1" t="s">
        <v>13803</v>
      </c>
      <c r="C13930" t="str">
        <f>IFERROR(__xludf.DUMMYFUNCTION("GOOGLETRANSLATE(B13930, ""es"", ""en"")"),"It gives a good result. It is a good material. Q gives the result expected.")</f>
        <v>It gives a good result. It is a good material. Q gives the result expected.</v>
      </c>
    </row>
    <row r="13931">
      <c r="A13931" s="1">
        <v>5.0</v>
      </c>
      <c r="B13931" s="1" t="s">
        <v>13804</v>
      </c>
      <c r="C13931" t="str">
        <f>IFERROR(__xludf.DUMMYFUNCTION("GOOGLETRANSLATE(B13931, ""es"", ""en"")"),"Very nice. They are very small but very nice, discreet and elegant. Happy with purchase")</f>
        <v>Very nice. They are very small but very nice, discreet and elegant. Happy with purchase</v>
      </c>
    </row>
    <row r="13932">
      <c r="A13932" s="1">
        <v>5.0</v>
      </c>
      <c r="B13932" s="1" t="s">
        <v>13805</v>
      </c>
      <c r="C13932" t="str">
        <f>IFERROR(__xludf.DUMMYFUNCTION("GOOGLETRANSLATE(B13932, ""es"", ""en"")"),"It works well works well")</f>
        <v>It works well works well</v>
      </c>
    </row>
    <row r="13933">
      <c r="A13933" s="1">
        <v>5.0</v>
      </c>
      <c r="B13933" s="1" t="s">
        <v>13806</v>
      </c>
      <c r="C13933" t="str">
        <f>IFERROR(__xludf.DUMMYFUNCTION("GOOGLETRANSLATE(B13933, ""es"", ""en"")"),"Fast delivery and rich scent. Minty smell great. Very useful to fumigate naturally repel insects and little mice of ciudad👍")</f>
        <v>Fast delivery and rich scent. Minty smell great. Very useful to fumigate naturally repel insects and little mice of ciudad👍</v>
      </c>
    </row>
    <row r="13934">
      <c r="A13934" s="1">
        <v>5.0</v>
      </c>
      <c r="B13934" s="1" t="s">
        <v>13807</v>
      </c>
      <c r="C13934" t="str">
        <f>IFERROR(__xludf.DUMMYFUNCTION("GOOGLETRANSLATE(B13934, ""es"", ""en"")"),"Very good shipping pretty fast and arrived in perfect condition. Smells good, this red fruit did not know. Each bottle lasts several months so the price is pretty good.")</f>
        <v>Very good shipping pretty fast and arrived in perfect condition. Smells good, this red fruit did not know. Each bottle lasts several months so the price is pretty good.</v>
      </c>
    </row>
    <row r="13935">
      <c r="A13935" s="1">
        <v>5.0</v>
      </c>
      <c r="B13935" s="1" t="s">
        <v>13808</v>
      </c>
      <c r="C13935" t="str">
        <f>IFERROR(__xludf.DUMMYFUNCTION("GOOGLETRANSLATE(B13935, ""es"", ""en"")"),"Good Quality good quality / price ratio. Better than I expected. Has good fit, I dare say better than the original strap Fitbit. It includes apparatus to shorten the links of the strap and adapt it to your wrist.")</f>
        <v>Good Quality good quality / price ratio. Better than I expected. Has good fit, I dare say better than the original strap Fitbit. It includes apparatus to shorten the links of the strap and adapt it to your wrist.</v>
      </c>
    </row>
    <row r="13936">
      <c r="A13936" s="1">
        <v>5.0</v>
      </c>
      <c r="B13936" s="1" t="s">
        <v>13809</v>
      </c>
      <c r="C13936" t="str">
        <f>IFERROR(__xludf.DUMMYFUNCTION("GOOGLETRANSLATE(B13936, ""es"", ""en"")"),"Beautiful retro Casio watch full ochentero. I tried it in a store first to see its quality and as left post. I loved it and if it was not because there was 15 € more ...")</f>
        <v>Beautiful retro Casio watch full ochentero. I tried it in a store first to see its quality and as left post. I loved it and if it was not because there was 15 € more ...</v>
      </c>
    </row>
    <row r="13937">
      <c r="A13937" s="1">
        <v>2.0</v>
      </c>
      <c r="B13937" s="1" t="s">
        <v>13810</v>
      </c>
      <c r="C13937" t="str">
        <f>IFERROR(__xludf.DUMMYFUNCTION("GOOGLETRANSLATE(B13937, ""es"", ""en"")"),"Justito quality not strong enough, would look at other options")</f>
        <v>Justito quality not strong enough, would look at other options</v>
      </c>
    </row>
    <row r="13938">
      <c r="A13938" s="1">
        <v>3.0</v>
      </c>
      <c r="B13938" s="1" t="s">
        <v>13811</v>
      </c>
      <c r="C13938" t="str">
        <f>IFERROR(__xludf.DUMMYFUNCTION("GOOGLETRANSLATE(B13938, ""es"", ""en"")"),"Low quality. Give off a strong smell of plastic and give the impression copy of the original but of inferior quality.")</f>
        <v>Low quality. Give off a strong smell of plastic and give the impression copy of the original but of inferior quality.</v>
      </c>
    </row>
    <row r="13939">
      <c r="A13939" s="1">
        <v>3.0</v>
      </c>
      <c r="B13939" s="1" t="s">
        <v>13812</v>
      </c>
      <c r="C13939" t="str">
        <f>IFERROR(__xludf.DUMMYFUNCTION("GOOGLETRANSLATE(B13939, ""es"", ""en"")"),"Small is beautiful and comes in a lovely box but the size is smaller than I imagined from the photo.")</f>
        <v>Small is beautiful and comes in a lovely box but the size is smaller than I imagined from the photo.</v>
      </c>
    </row>
    <row r="13940">
      <c r="A13940" s="1">
        <v>1.0</v>
      </c>
      <c r="B13940" s="1" t="s">
        <v>13813</v>
      </c>
      <c r="C13940" t="str">
        <f>IFERROR(__xludf.DUMMYFUNCTION("GOOGLETRANSLATE(B13940, ""es"", ""en"")"),"Dunlop shoes anymore. After nearly a month of use I can say that are hot, but not too much. The sole is so hard that both wooden floors and tiled slips, and much, making it very uncomfortable to walk with them. And rivets heel, as shown in the attached im"&amp;"age, already is tearing. I would not buy, in fact, I had to buy different ones.")</f>
        <v>Dunlop shoes anymore. After nearly a month of use I can say that are hot, but not too much. The sole is so hard that both wooden floors and tiled slips, and much, making it very uncomfortable to walk with them. And rivets heel, as shown in the attached image, already is tearing. I would not buy, in fact, I had to buy different ones.</v>
      </c>
    </row>
    <row r="13941">
      <c r="A13941" s="1">
        <v>1.0</v>
      </c>
      <c r="B13941" s="1" t="s">
        <v>13814</v>
      </c>
      <c r="C13941" t="str">
        <f>IFERROR(__xludf.DUMMYFUNCTION("GOOGLETRANSLATE(B13941, ""es"", ""en"")"),"Lousy (caring for them) are very nice but to work are very weak, its components are like those of other sports so any snag .... broken. If you want good shoes, durable, lijeros and good design, a Sparco (I have lasted two years)")</f>
        <v>Lousy (caring for them) are very nice but to work are very weak, its components are like those of other sports so any snag .... broken. If you want good shoes, durable, lijeros and good design, a Sparco (I have lasted two years)</v>
      </c>
    </row>
    <row r="13942">
      <c r="A13942" s="1">
        <v>4.0</v>
      </c>
      <c r="B13942" s="1" t="s">
        <v>13815</v>
      </c>
      <c r="C13942" t="str">
        <f>IFERROR(__xludf.DUMMYFUNCTION("GOOGLETRANSLATE(B13942, ""es"", ""en"")"),"Good sound. Difficult to adapt to the ear canal. Good sound in relation to the price. Several measures on accessories that adapt to the ear. In my case I have not gotten not out of the ear canal.")</f>
        <v>Good sound. Difficult to adapt to the ear canal. Good sound in relation to the price. Several measures on accessories that adapt to the ear. In my case I have not gotten not out of the ear canal.</v>
      </c>
    </row>
    <row r="13943">
      <c r="A13943" s="1">
        <v>4.0</v>
      </c>
      <c r="B13943" s="1" t="s">
        <v>13816</v>
      </c>
      <c r="C13943" t="str">
        <f>IFERROR(__xludf.DUMMYFUNCTION("GOOGLETRANSLATE(B13943, ""es"", ""en"")"),"Tacón very comfortable average number more than usual it went well. I had q cut the strip because it was too long, easy fix")</f>
        <v>Tacón very comfortable average number more than usual it went well. I had q cut the strip because it was too long, easy fix</v>
      </c>
    </row>
    <row r="13944">
      <c r="A13944" s="1">
        <v>4.0</v>
      </c>
      <c r="B13944" s="1" t="s">
        <v>13817</v>
      </c>
      <c r="C13944" t="str">
        <f>IFERROR(__xludf.DUMMYFUNCTION("GOOGLETRANSLATE(B13944, ""es"", ""en"")"),"Current The choker is well finished, especially for its price. The only thing worth mentioning is that I bought for my daughter, 12, and the shells are great for her.")</f>
        <v>Current The choker is well finished, especially for its price. The only thing worth mentioning is that I bought for my daughter, 12, and the shells are great for her.</v>
      </c>
    </row>
    <row r="13945">
      <c r="A13945" s="1">
        <v>4.0</v>
      </c>
      <c r="B13945" s="1" t="s">
        <v>13818</v>
      </c>
      <c r="C13945" t="str">
        <f>IFERROR(__xludf.DUMMYFUNCTION("GOOGLETRANSLATE(B13945, ""es"", ""en"")"),"good quality. The cover does not highlight, it is hoped printing an album more like the movie. Inside it has many pages to place pictures, but the cover is printed, there is nothing that stands out. The quality is good also.")</f>
        <v>good quality. The cover does not highlight, it is hoped printing an album more like the movie. Inside it has many pages to place pictures, but the cover is printed, there is nothing that stands out. The quality is good also.</v>
      </c>
    </row>
    <row r="13946">
      <c r="A13946" s="1">
        <v>4.0</v>
      </c>
      <c r="B13946" s="1" t="s">
        <v>13819</v>
      </c>
      <c r="C13946" t="str">
        <f>IFERROR(__xludf.DUMMYFUNCTION("GOOGLETRANSLATE(B13946, ""es"", ""en"")"),"A home help settle Ideal for dust while you do other things. However, it makes many passes through the same place, so working time is lengthened unnecessarily.")</f>
        <v>A home help settle Ideal for dust while you do other things. However, it makes many passes through the same place, so working time is lengthened unnecessarily.</v>
      </c>
    </row>
    <row r="13947">
      <c r="A13947" s="1">
        <v>5.0</v>
      </c>
      <c r="B13947" s="1" t="s">
        <v>13820</v>
      </c>
      <c r="C13947" t="str">
        <f>IFERROR(__xludf.DUMMYFUNCTION("GOOGLETRANSLATE(B13947, ""es"", ""en"")"),"Very good are good for small heads. At the beginning tighten head slightly. The cable is too long and heavy for domestic and can not unhook use. The sound quality is amazing, detailed and textured, but not for people looking for that low rumble.")</f>
        <v>Very good are good for small heads. At the beginning tighten head slightly. The cable is too long and heavy for domestic and can not unhook use. The sound quality is amazing, detailed and textured, but not for people looking for that low rumble.</v>
      </c>
    </row>
    <row r="13948">
      <c r="A13948" s="1">
        <v>5.0</v>
      </c>
      <c r="B13948" s="1" t="s">
        <v>13821</v>
      </c>
      <c r="C13948" t="str">
        <f>IFERROR(__xludf.DUMMYFUNCTION("GOOGLETRANSLATE(B13948, ""es"", ""en"")"),"Great Mtng, I love shoes.")</f>
        <v>Great Mtng, I love shoes.</v>
      </c>
    </row>
    <row r="13949">
      <c r="A13949" s="1">
        <v>5.0</v>
      </c>
      <c r="B13949" s="1" t="s">
        <v>13822</v>
      </c>
      <c r="C13949" t="str">
        <f>IFERROR(__xludf.DUMMYFUNCTION("GOOGLETRANSLATE(B13949, ""es"", ""en"")"),"The best I've had. Yes, the price is not the lowest, but worth it. Surname comfort is not by chance, very comfortable, you can wear them for hours without any problems. The sound of high quality, nothing to envy to any other industry, obviously if you're "&amp;"looking for something for professionals will surely fall short. The battery is more than acceptable, it lasts me 20 hours without problem, it is also true that I do not usually use them to maximum power, and thanks to the noise canceling for me is not nec"&amp;"essary. Add that to have synchronized 2 devices simultaneously and 8 memorized it as if it were magic. Undoubtedly, although the price is a purchase I recommend 100%")</f>
        <v>The best I've had. Yes, the price is not the lowest, but worth it. Surname comfort is not by chance, very comfortable, you can wear them for hours without any problems. The sound of high quality, nothing to envy to any other industry, obviously if you're looking for something for professionals will surely fall short. The battery is more than acceptable, it lasts me 20 hours without problem, it is also true that I do not usually use them to maximum power, and thanks to the noise canceling for me is not necessary. Add that to have synchronized 2 devices simultaneously and 8 memorized it as if it were magic. Undoubtedly, although the price is a purchase I recommend 100%</v>
      </c>
    </row>
    <row r="13950">
      <c r="A13950" s="1">
        <v>5.0</v>
      </c>
      <c r="B13950" s="1" t="s">
        <v>13823</v>
      </c>
      <c r="C13950" t="str">
        <f>IFERROR(__xludf.DUMMYFUNCTION("GOOGLETRANSLATE(B13950, ""es"", ""en"")"),"Aesthetic and ergonomic The truth that meets and exceeds my expectations. For the price you have you can make presentations without the need to scroll through slides by hand. also it has a laser pointer, but I personally do not use it much. Design (so I b"&amp;"ought it in part), it is like the photo. I think for the price it is very good choice. We'll see what lasts. Right moment; D.")</f>
        <v>Aesthetic and ergonomic The truth that meets and exceeds my expectations. For the price you have you can make presentations without the need to scroll through slides by hand. also it has a laser pointer, but I personally do not use it much. Design (so I bought it in part), it is like the photo. I think for the price it is very good choice. We'll see what lasts. Right moment; D.</v>
      </c>
    </row>
    <row r="13951">
      <c r="A13951" s="1">
        <v>5.0</v>
      </c>
      <c r="B13951" s="1" t="s">
        <v>13824</v>
      </c>
      <c r="C13951" t="str">
        <f>IFERROR(__xludf.DUMMYFUNCTION("GOOGLETRANSLATE(B13951, ""es"", ""en"")"),"A mic stand high quality I've gained a couple of weeks and I've been giving a lot of use. The articulated arm moves very well, bring your own spider to shove almost any micro and you can move at your leisure. A having a screw head at its tip adapters can "&amp;"put them all sorts of things and use it as support for webcam, tablets or whatever comes to mind. Surprise your price / quality ratio. Highly recommended.")</f>
        <v>A mic stand high quality I've gained a couple of weeks and I've been giving a lot of use. The articulated arm moves very well, bring your own spider to shove almost any micro and you can move at your leisure. A having a screw head at its tip adapters can put them all sorts of things and use it as support for webcam, tablets or whatever comes to mind. Surprise your price / quality ratio. Highly recommended.</v>
      </c>
    </row>
    <row r="13952">
      <c r="A13952" s="1">
        <v>5.0</v>
      </c>
      <c r="B13952" s="1" t="s">
        <v>13825</v>
      </c>
      <c r="C13952" t="str">
        <f>IFERROR(__xludf.DUMMYFUNCTION("GOOGLETRANSLATE(B13952, ""es"", ""en"")"),"Quality sccis must not corro¡ vuelo¡¡¡¡!")</f>
        <v>Quality sccis must not corro¡ vuelo¡¡¡¡!</v>
      </c>
    </row>
    <row r="13953">
      <c r="A13953" s="1">
        <v>5.0</v>
      </c>
      <c r="B13953" s="1" t="s">
        <v>13826</v>
      </c>
      <c r="C13953" t="str">
        <f>IFERROR(__xludf.DUMMYFUNCTION("GOOGLETRANSLATE(B13953, ""es"", ""en"")"),"Is very beautiful and youthful charm My son only thing is that light inside of the watch is not LED is a yellow light that reveals only the analog clock at night not digital")</f>
        <v>Is very beautiful and youthful charm My son only thing is that light inside of the watch is not LED is a yellow light that reveals only the analog clock at night not digital</v>
      </c>
    </row>
    <row r="13954">
      <c r="A13954" s="1">
        <v>5.0</v>
      </c>
      <c r="B13954" s="1" t="s">
        <v>13827</v>
      </c>
      <c r="C13954" t="str">
        <f>IFERROR(__xludf.DUMMYFUNCTION("GOOGLETRANSLATE(B13954, ""es"", ""en"")"),"Works great when you want to heat less water, ... it works great when you want to heat less water, use it in the office. Personally it would be more practical with a slightly longer cable, but the interior is lined perfect base, very well packaged and rec"&amp;"eived quickly")</f>
        <v>Works great when you want to heat less water, ... it works great when you want to heat less water, use it in the office. Personally it would be more practical with a slightly longer cable, but the interior is lined perfect base, very well packaged and received quickly</v>
      </c>
    </row>
    <row r="13955">
      <c r="A13955" s="1">
        <v>5.0</v>
      </c>
      <c r="B13955" s="1" t="s">
        <v>13828</v>
      </c>
      <c r="C13955" t="str">
        <f>IFERROR(__xludf.DUMMYFUNCTION("GOOGLETRANSLATE(B13955, ""es"", ""en"")"),"It is very handy is very useful and easy to program, as an alarm clock has the snooze alarm function every 5 (SNZ) where it sounds' prevents you to stay asleep. I bought it because I had a similar and more than 20 years ago and I see that CASIO continues "&amp;"to make traditional products have such good results, the other still retain and works perfectly.")</f>
        <v>It is very handy is very useful and easy to program, as an alarm clock has the snooze alarm function every 5 (SNZ) where it sounds' prevents you to stay asleep. I bought it because I had a similar and more than 20 years ago and I see that CASIO continues to make traditional products have such good results, the other still retain and works perfectly.</v>
      </c>
    </row>
    <row r="13956">
      <c r="A13956" s="1">
        <v>5.0</v>
      </c>
      <c r="B13956" s="1" t="s">
        <v>13829</v>
      </c>
      <c r="C13956" t="str">
        <f>IFERROR(__xludf.DUMMYFUNCTION("GOOGLETRANSLATE(B13956, ""es"", ""en"")"),"comfortable Well")</f>
        <v>comfortable Well</v>
      </c>
    </row>
    <row r="13957">
      <c r="A13957" s="1">
        <v>5.0</v>
      </c>
      <c r="B13957" s="1" t="s">
        <v>13830</v>
      </c>
      <c r="C13957" t="str">
        <f>IFERROR(__xludf.DUMMYFUNCTION("GOOGLETRANSLATE(B13957, ""es"", ""en"")"),"Small, stylish, compact and fast This kettle, 1l capacity, has a very elegant design (also can choose different colors). It is the perfect size to keep at home (for families of up to four people), at the office or take on the road (if we go into an apartm"&amp;"ent, for example). It is an essential tool for those who love infusions of instant soups or any kind of food prepared simply by adding boiling water. And also it is great for cooking, boiling water to get quickly if we need to add some boiling water stew."&amp;" The body of the boiler is enameled stainless steel, with lid and spout stainless steel unglazed. The handle is of black plastic, resistant to heat and kettle has a weight of about 700 g (according to my kitchen scale). As its base swivels and the ASA is "&amp;"ergonomic and easy to grip whether you're diestr @ like Lefty @, it is very easy to handle it. The cable measures approximately 100 cm, I think it is long enough to plug the kettle comfortably and smoothly. Furthermore, its bottom base has a recogecables "&amp;"that goes very well if we want to keep the kettle or to keep the cable part we do not need when we plugged. As told the beginning, it has 1l capacity, but is also a ""boiling range QUICK"" with a red indicator inside the boiler which allows us to boil the"&amp;" amount of water corresponding to 1, 2 or 3 cups. Although signs say boiling a cup of water in 50 seconds, in my experience, the time it takes is between 50 and 60 seconds (the time depends on the initial temperature of the water, obviously). The time it "&amp;"takes to boil 1L of water is about 3-4 minutes. In addition to the indicator of 1, 2 and 3 cups, also has a viewer that allows us to see the OF WATER LEVEL the boiler, while the visor is placed in front of the handle and that, in my opinion, a bit difficu"&amp;"lt to see how much water we've taken in The kettle. The display has two indications of the amount of water, 0.75 l and 1 l respectively. FILTER has a practical ANTICAL, which is removable and washable. However, occasionally it is necessary to use a limesc"&amp;"ale to clean the inside of the kettle (and prolong its life). The filter is removed and put back very easily. It is set in RUN by a lever on the bottom of the kettle, under the handle. When it starts, it also lights a red LED. It automatically turns off w"&amp;"hen water begins to boil and has boiled dry protection, for if ever someone inadvertently gives the power button. When pouring water, it does very well, without spilling a single drop. And the lid remains firmly closed even put the kettle upside down. The"&amp;" operating instructions in several languages ​​including Castilian, contains all the information and recommendations so we can properly use the kettle and last us a long time. Has two year warranty and Russell Hobss gives us an extra year if checked the k"&amp;"ettle on its website. TO CONSIDER * is a kettle only for water. They can not be heated in other liquids because they spoil. * No temperature selector, heats the water to 100 ° (bp). If we want to take a green tea, for example, we have to wait a minute or "&amp;"two for the water to cool to about 80 °. * It has a function to keep hot water once it has boiled, the water cools slowly. * As expected, to the being of stainless steel, the outside of the kettle is very hot so when the water has boiled must be careful a"&amp;"nd catch the handle not to burn. * On the basis it indicated having a power between 2000 and 2400 W. It is normal since energy consumption increases as the water warms. &amp; Gt; &amp; gt; &amp; gt; CONCLUSION &amp; gt; &amp; gt; &amp; gt; It is a small kettle, compact and fast "&amp;"we can have in one place or carry travel. Does not drip when we serve the boiling and with the added advantage that water can be heated water for only one, two or three cups. And with a very good value.")</f>
        <v>Small, stylish, compact and fast This kettle, 1l capacity, has a very elegant design (also can choose different colors). It is the perfect size to keep at home (for families of up to four people), at the office or take on the road (if we go into an apartment, for example). It is an essential tool for those who love infusions of instant soups or any kind of food prepared simply by adding boiling water. And also it is great for cooking, boiling water to get quickly if we need to add some boiling water stew. The body of the boiler is enameled stainless steel, with lid and spout stainless steel unglazed. The handle is of black plastic, resistant to heat and kettle has a weight of about 700 g (according to my kitchen scale). As its base swivels and the ASA is ergonomic and easy to grip whether you're diestr @ like Lefty @, it is very easy to handle it. The cable measures approximately 100 cm, I think it is long enough to plug the kettle comfortably and smoothly. Furthermore, its bottom base has a recogecables that goes very well if we want to keep the kettle or to keep the cable part we do not need when we plugged. As told the beginning, it has 1l capacity, but is also a "boiling range QUICK" with a red indicator inside the boiler which allows us to boil the amount of water corresponding to 1, 2 or 3 cups. Although signs say boiling a cup of water in 50 seconds, in my experience, the time it takes is between 50 and 60 seconds (the time depends on the initial temperature of the water, obviously). The time it takes to boil 1L of water is about 3-4 minutes. In addition to the indicator of 1, 2 and 3 cups, also has a viewer that allows us to see the OF WATER LEVEL the boiler, while the visor is placed in front of the handle and that, in my opinion, a bit difficult to see how much water we've taken in The kettle. The display has two indications of the amount of water, 0.75 l and 1 l respectively. FILTER has a practical ANTICAL, which is removable and washable. However, occasionally it is necessary to use a limescale to clean the inside of the kettle (and prolong its life). The filter is removed and put back very easily. It is set in RUN by a lever on the bottom of the kettle, under the handle. When it starts, it also lights a red LED. It automatically turns off when water begins to boil and has boiled dry protection, for if ever someone inadvertently gives the power button. When pouring water, it does very well, without spilling a single drop. And the lid remains firmly closed even put the kettle upside down. The operating instructions in several languages ​​including Castilian, contains all the information and recommendations so we can properly use the kettle and last us a long time. Has two year warranty and Russell Hobss gives us an extra year if checked the kettle on its website. TO CONSIDER * is a kettle only for water. They can not be heated in other liquids because they spoil. * No temperature selector, heats the water to 100 ° (bp). If we want to take a green tea, for example, we have to wait a minute or two for the water to cool to about 80 °. * It has a function to keep hot water once it has boiled, the water cools slowly. * As expected, to the being of stainless steel, the outside of the kettle is very hot so when the water has boiled must be careful and catch the handle not to burn. * On the basis it indicated having a power between 2000 and 2400 W. It is normal since energy consumption increases as the water warms. &amp; Gt; &amp; gt; &amp; gt; CONCLUSION &amp; gt; &amp; gt; &amp; gt; It is a small kettle, compact and fast we can have in one place or carry travel. Does not drip when we serve the boiling and with the added advantage that water can be heated water for only one, two or three cups. And with a very good value.</v>
      </c>
    </row>
    <row r="13958">
      <c r="A13958" s="1">
        <v>5.0</v>
      </c>
      <c r="B13958" s="1" t="s">
        <v>13831</v>
      </c>
      <c r="C13958" t="str">
        <f>IFERROR(__xludf.DUMMYFUNCTION("GOOGLETRANSLATE(B13958, ""es"", ""en"")"),"Good product! Meets all expectations, it works perfectly, after using it several months has not given me any problems. I totally recommend.")</f>
        <v>Good product! Meets all expectations, it works perfectly, after using it several months has not given me any problems. I totally recommend.</v>
      </c>
    </row>
    <row r="13959">
      <c r="A13959" s="1">
        <v>5.0</v>
      </c>
      <c r="B13959" s="1" t="s">
        <v>13832</v>
      </c>
      <c r="C13959" t="str">
        <f>IFERROR(__xludf.DUMMYFUNCTION("GOOGLETRANSLATE(B13959, ""es"", ""en"")"),"Portable Neck Massager Neck Massager came in his day, was a gift for my grandmother, it hurts a little neck and back, and with this I hope device mejore.le mi 10.")</f>
        <v>Portable Neck Massager Neck Massager came in his day, was a gift for my grandmother, it hurts a little neck and back, and with this I hope device mejore.le mi 10.</v>
      </c>
    </row>
    <row r="13960">
      <c r="A13960" s="1">
        <v>5.0</v>
      </c>
      <c r="B13960" s="1" t="s">
        <v>13833</v>
      </c>
      <c r="C13960" t="str">
        <f>IFERROR(__xludf.DUMMYFUNCTION("GOOGLETRANSLATE(B13960, ""es"", ""en"")"),"Perfect solution for extension tube oxygen machines have not used for cables. Had a problem with the plastic tube leading from the machine oxygen to the ""glasses"" (device used for oxygen nose), because the very long be (about 5 m), it was doubling and r"&amp;"eached strangulated at several points and reduced the flow much. we have ""wrapped"" with this product, and given the strength enough to not strangle the move the tube from one room to another, as we have the machine in a place focused on housing and what"&amp;" move is the tube. Yes, it is very laborious to place")</f>
        <v>Perfect solution for extension tube oxygen machines have not used for cables. Had a problem with the plastic tube leading from the machine oxygen to the "glasses" (device used for oxygen nose), because the very long be (about 5 m), it was doubling and reached strangulated at several points and reduced the flow much. we have "wrapped" with this product, and given the strength enough to not strangle the move the tube from one room to another, as we have the machine in a place focused on housing and what move is the tube. Yes, it is very laborious to place</v>
      </c>
    </row>
    <row r="13961">
      <c r="A13961" s="1">
        <v>5.0</v>
      </c>
      <c r="B13961" s="1" t="s">
        <v>13834</v>
      </c>
      <c r="C13961" t="str">
        <f>IFERROR(__xludf.DUMMYFUNCTION("GOOGLETRANSLATE(B13961, ""es"", ""en"")"),"The speed of prime Very good product")</f>
        <v>The speed of prime Very good product</v>
      </c>
    </row>
    <row r="13962">
      <c r="A13962" s="1">
        <v>5.0</v>
      </c>
      <c r="B13962" s="1" t="s">
        <v>13835</v>
      </c>
      <c r="C13962" t="str">
        <f>IFERROR(__xludf.DUMMYFUNCTION("GOOGLETRANSLATE(B13962, ""es"", ""en"")"),"fantastica fantastica")</f>
        <v>fantastica fantastica</v>
      </c>
    </row>
    <row r="13963">
      <c r="A13963" s="1">
        <v>5.0</v>
      </c>
      <c r="B13963" s="1" t="s">
        <v>13836</v>
      </c>
      <c r="C13963" t="str">
        <f>IFERROR(__xludf.DUMMYFUNCTION("GOOGLETRANSLATE(B13963, ""es"", ""en"")"),"As a birthday gift I bought as a birthday gift to replace the typical cone of sweets and the truth is that very well, everyone loved the idea")</f>
        <v>As a birthday gift I bought as a birthday gift to replace the typical cone of sweets and the truth is that very well, everyone loved the idea</v>
      </c>
    </row>
    <row r="13964">
      <c r="A13964" s="1">
        <v>5.0</v>
      </c>
      <c r="B13964" s="1" t="s">
        <v>13837</v>
      </c>
      <c r="C13964" t="str">
        <f>IFERROR(__xludf.DUMMYFUNCTION("GOOGLETRANSLATE(B13964, ""es"", ""en"")"),"Comfort and good sound. Headphones adapt very well to the ear and perfectly isolate ambient noise. The battery lasts a day's work perfectly and also come with adapters for different ear sizes. They are built with good materials and Small enough to fit any"&amp;"where.")</f>
        <v>Comfort and good sound. Headphones adapt very well to the ear and perfectly isolate ambient noise. The battery lasts a day's work perfectly and also come with adapters for different ear sizes. They are built with good materials and Small enough to fit anywhere.</v>
      </c>
    </row>
    <row r="13965">
      <c r="A13965" s="1">
        <v>5.0</v>
      </c>
      <c r="B13965" s="1" t="s">
        <v>13838</v>
      </c>
      <c r="C13965" t="str">
        <f>IFERROR(__xludf.DUMMYFUNCTION("GOOGLETRANSLATE(B13965, ""es"", ""en"")"),"Appearance is pretty great though too small and as I had thrown the box could not make change :(")</f>
        <v>Appearance is pretty great though too small and as I had thrown the box could not make change :(</v>
      </c>
    </row>
    <row r="13966">
      <c r="A13966" s="1">
        <v>2.0</v>
      </c>
      <c r="B13966" s="1" t="s">
        <v>13839</v>
      </c>
      <c r="C13966" t="str">
        <f>IFERROR(__xludf.DUMMYFUNCTION("GOOGLETRANSLATE(B13966, ""es"", ""en"")"),"Very stiff are very nice, good quality but very stiff, I have them a few months but still my feet hurt. Not recommend")</f>
        <v>Very stiff are very nice, good quality but very stiff, I have them a few months but still my feet hurt. Not recommend</v>
      </c>
    </row>
    <row r="13967">
      <c r="A13967" s="1">
        <v>3.0</v>
      </c>
      <c r="B13967" s="1" t="s">
        <v>13840</v>
      </c>
      <c r="C13967" t="str">
        <f>IFERROR(__xludf.DUMMYFUNCTION("GOOGLETRANSLATE(B13967, ""es"", ""en"")"),"No transpires The fabric is quite flexible which in my case I have a little compared with other leggins I have. They are super comfortable and do not show through but I wish it were a tad stiffer, so the price you see it expensive")</f>
        <v>No transpires The fabric is quite flexible which in my case I have a little compared with other leggins I have. They are super comfortable and do not show through but I wish it were a tad stiffer, so the price you see it expensive</v>
      </c>
    </row>
    <row r="13968">
      <c r="A13968" s="1">
        <v>1.0</v>
      </c>
      <c r="B13968" s="1" t="s">
        <v>13841</v>
      </c>
      <c r="C13968" t="str">
        <f>IFERROR(__xludf.DUMMYFUNCTION("GOOGLETRANSLATE(B13968, ""es"", ""en"")"),"1 does not look like the photo. the quality is very poor, I would not buy it, do not recommend it. in the picture it seems to be something more than what is")</f>
        <v>1 does not look like the photo. the quality is very poor, I would not buy it, do not recommend it. in the picture it seems to be something more than what is</v>
      </c>
    </row>
    <row r="13969">
      <c r="A13969" s="1">
        <v>1.0</v>
      </c>
      <c r="B13969" s="1" t="s">
        <v>13842</v>
      </c>
      <c r="C13969" t="str">
        <f>IFERROR(__xludf.DUMMYFUNCTION("GOOGLETRANSLATE(B13969, ""es"", ""en"")"),"Packing embarrassing blows. Just open, I check that the protections of the product are minimal (a simple strip of polystyrene base). full slate blows, warped and cracked. I had read bad reviews about the poor state of reception. Still I took a chance and,"&amp;" of course, got a lousy product.")</f>
        <v>Packing embarrassing blows. Just open, I check that the protections of the product are minimal (a simple strip of polystyrene base). full slate blows, warped and cracked. I had read bad reviews about the poor state of reception. Still I took a chance and, of course, got a lousy product.</v>
      </c>
    </row>
    <row r="13970">
      <c r="A13970" s="1">
        <v>1.0</v>
      </c>
      <c r="B13970" s="1" t="s">
        <v>13843</v>
      </c>
      <c r="C13970" t="str">
        <f>IFERROR(__xludf.DUMMYFUNCTION("GOOGLETRANSLATE(B13970, ""es"", ""en"")"),"He stopped working with only 3 months of use I bought this product in March 2017 and one week (June) makes blender stopped working. no longer turn on. I am salivating Guarantee and find nothing. Besides I am pretty disappointed with the product. I would l"&amp;"ike to give me a satisfactory solution.")</f>
        <v>He stopped working with only 3 months of use I bought this product in March 2017 and one week (June) makes blender stopped working. no longer turn on. I am salivating Guarantee and find nothing. Besides I am pretty disappointed with the product. I would like to give me a satisfactory solution.</v>
      </c>
    </row>
    <row r="13971">
      <c r="A13971" s="1">
        <v>4.0</v>
      </c>
      <c r="B13971" s="1" t="s">
        <v>13844</v>
      </c>
      <c r="C13971" t="str">
        <f>IFERROR(__xludf.DUMMYFUNCTION("GOOGLETRANSLATE(B13971, ""es"", ""en"")"),"It fulfills its function that, for its price fully comply with its function. I was amazed that are smaller than I thought and loose hairs in the first few uses have to walk sweeping Moreover, good quality and grip, do not come off. Good product for its pr"&amp;"ice")</f>
        <v>It fulfills its function that, for its price fully comply with its function. I was amazed that are smaller than I thought and loose hairs in the first few uses have to walk sweeping Moreover, good quality and grip, do not come off. Good product for its price</v>
      </c>
    </row>
    <row r="13972">
      <c r="A13972" s="1">
        <v>4.0</v>
      </c>
      <c r="B13972" s="1" t="s">
        <v>13845</v>
      </c>
      <c r="C13972" t="str">
        <f>IFERROR(__xludf.DUMMYFUNCTION("GOOGLETRANSLATE(B13972, ""es"", ""en"")"),"Small and serves what is good flavor but small room")</f>
        <v>Small and serves what is good flavor but small room</v>
      </c>
    </row>
    <row r="13973">
      <c r="A13973" s="1">
        <v>4.0</v>
      </c>
      <c r="B13973" s="1" t="s">
        <v>13846</v>
      </c>
      <c r="C13973" t="str">
        <f>IFERROR(__xludf.DUMMYFUNCTION("GOOGLETRANSLATE(B13973, ""es"", ""en"")"),"Cool I like everything much")</f>
        <v>Cool I like everything much</v>
      </c>
    </row>
    <row r="13974">
      <c r="A13974" s="1">
        <v>4.0</v>
      </c>
      <c r="B13974" s="1" t="s">
        <v>13847</v>
      </c>
      <c r="C13974" t="str">
        <f>IFERROR(__xludf.DUMMYFUNCTION("GOOGLETRANSLATE(B13974, ""es"", ""en"")"),"Good quality and sound The product itself is of good quality, it is good that you can fold it makes them more portable and that is an especially advantage for the cable as it is more complicated is not nag that any exercise object pressure on him and bug,"&amp;" for example to the wear in a backpack or suitcase. The only thing I do not like and what does not get 5 stars is that as much cover outside sound and can hear conversation medium high voice even with fairly loud music. If they were other speakers more ex"&amp;"pensive it would have cost to have 3 stars, however, I am aware that quality / price are very good and one can not expect a headset 12 € you get the same results as one of 200 €. In my opinion, a good buy for home, where the noise is usually lower than in"&amp;" the street.")</f>
        <v>Good quality and sound The product itself is of good quality, it is good that you can fold it makes them more portable and that is an especially advantage for the cable as it is more complicated is not nag that any exercise object pressure on him and bug, for example to the wear in a backpack or suitcase. The only thing I do not like and what does not get 5 stars is that as much cover outside sound and can hear conversation medium high voice even with fairly loud music. If they were other speakers more expensive it would have cost to have 3 stars, however, I am aware that quality / price are very good and one can not expect a headset 12 € you get the same results as one of 200 €. In my opinion, a good buy for home, where the noise is usually lower than in the street.</v>
      </c>
    </row>
    <row r="13975">
      <c r="A13975" s="1">
        <v>5.0</v>
      </c>
      <c r="B13975" s="1" t="s">
        <v>13848</v>
      </c>
      <c r="C13975" t="str">
        <f>IFERROR(__xludf.DUMMYFUNCTION("GOOGLETRANSLATE(B13975, ""es"", ""en"")"),"Carve a little small use 43 and 44 would need a very comfortable, lightweight and are xulas")</f>
        <v>Carve a little small use 43 and 44 would need a very comfortable, lightweight and are xulas</v>
      </c>
    </row>
    <row r="13976">
      <c r="A13976" s="1">
        <v>5.0</v>
      </c>
      <c r="B13976" s="1" t="s">
        <v>13849</v>
      </c>
      <c r="C13976" t="str">
        <f>IFERROR(__xludf.DUMMYFUNCTION("GOOGLETRANSLATE(B13976, ""es"", ""en"")"),"Size is lovely elegant elegant quality is very good to been for a gift and the truth has set you happy color is dark garnet k Preciosa think a little more than the comodisima photo")</f>
        <v>Size is lovely elegant elegant quality is very good to been for a gift and the truth has set you happy color is dark garnet k Preciosa think a little more than the comodisima photo</v>
      </c>
    </row>
    <row r="13977">
      <c r="A13977" s="1">
        <v>5.0</v>
      </c>
      <c r="B13977" s="1" t="s">
        <v>13850</v>
      </c>
      <c r="C13977" t="str">
        <f>IFERROR(__xludf.DUMMYFUNCTION("GOOGLETRANSLATE(B13977, ""es"", ""en"")"),"Knowing perfect and secure grip size, made the request and can say it is a bra very durable and perfect not only for sports but when you want fastening")</f>
        <v>Knowing perfect and secure grip size, made the request and can say it is a bra very durable and perfect not only for sports but when you want fastening</v>
      </c>
    </row>
    <row r="13978">
      <c r="A13978" s="1">
        <v>5.0</v>
      </c>
      <c r="B13978" s="1" t="s">
        <v>13851</v>
      </c>
      <c r="C13978" t="str">
        <f>IFERROR(__xludf.DUMMYFUNCTION("GOOGLETRANSLATE(B13978, ""es"", ""en"")"),"Everything OK. It is expected.")</f>
        <v>Everything OK. It is expected.</v>
      </c>
    </row>
    <row r="13979">
      <c r="A13979" s="1">
        <v>5.0</v>
      </c>
      <c r="B13979" s="1" t="s">
        <v>13852</v>
      </c>
      <c r="C13979" t="str">
        <f>IFERROR(__xludf.DUMMYFUNCTION("GOOGLETRANSLATE(B13979, ""es"", ""en"")"),"Super Super nice")</f>
        <v>Super Super nice</v>
      </c>
    </row>
    <row r="13980">
      <c r="A13980" s="1">
        <v>5.0</v>
      </c>
      <c r="B13980" s="1" t="s">
        <v>13853</v>
      </c>
      <c r="C13980" t="str">
        <f>IFERROR(__xludf.DUMMYFUNCTION("GOOGLETRANSLATE(B13980, ""es"", ""en"")"),"Anuska is the second time that I buy. You hear very well both audio, as calls. System respond to calls very comfortable.")</f>
        <v>Anuska is the second time that I buy. You hear very well both audio, as calls. System respond to calls very comfortable.</v>
      </c>
    </row>
    <row r="13981">
      <c r="A13981" s="1">
        <v>5.0</v>
      </c>
      <c r="B13981" s="1" t="s">
        <v>13854</v>
      </c>
      <c r="C13981" t="str">
        <f>IFERROR(__xludf.DUMMYFUNCTION("GOOGLETRANSLATE(B13981, ""es"", ""en"")"),"Good design already know the Merrell brand, so I knew in advance I had to ask for a size too, although I have not given a lot of work to shoe, but my time wearing them at the beginning somewhat hard, but say they are already "" domesticated ""and comforta"&amp;"ble. The've bought at a very good price, € 65.44 with shipping included, had already seen this model at other times and had my attention the design, but down from € 100, so when I saw that price, do not hesitate. Purchase highly recommended, I hope to see"&amp;" as they go for the Camino de Santiago that is for what I bought.")</f>
        <v>Good design already know the Merrell brand, so I knew in advance I had to ask for a size too, although I have not given a lot of work to shoe, but my time wearing them at the beginning somewhat hard, but say they are already " domesticated "and comfortable. The've bought at a very good price, € 65.44 with shipping included, had already seen this model at other times and had my attention the design, but down from € 100, so when I saw that price, do not hesitate. Purchase highly recommended, I hope to see as they go for the Camino de Santiago that is for what I bought.</v>
      </c>
    </row>
    <row r="13982">
      <c r="A13982" s="1">
        <v>5.0</v>
      </c>
      <c r="B13982" s="1" t="s">
        <v>13855</v>
      </c>
      <c r="C13982" t="str">
        <f>IFERROR(__xludf.DUMMYFUNCTION("GOOGLETRANSLATE(B13982, ""es"", ""en"")"),"PENDING swaroskis The truth is that I returned because I found very little in the picture seen in the photo seemed much bigger, but I had no problems when returning")</f>
        <v>PENDING swaroskis The truth is that I returned because I found very little in the picture seen in the photo seemed much bigger, but I had no problems when returning</v>
      </c>
    </row>
    <row r="13983">
      <c r="A13983" s="1">
        <v>5.0</v>
      </c>
      <c r="B13983" s="1" t="s">
        <v>13856</v>
      </c>
      <c r="C13983" t="str">
        <f>IFERROR(__xludf.DUMMYFUNCTION("GOOGLETRANSLATE(B13983, ""es"", ""en"")"),"For beginners in Salomon trail running The brand is well known to all who like mountain race or trails. In this case we have a basic shoe, but with some leading features such as GORE-TEX outer fabric that prevents water from seeping inside. These shoes ar"&amp;"e made specifically for soft, tacos are deep enough to grip well. As for comfort and interior, they seemed to me they are very good. Although something I do not know if I finally convinced is that the length from the template to the top of the shoe is ver"&amp;"y small, and has given me the feeling that the shoe does not grab much near the ankle. Just I do something that I love is how light it is, may not be the lightest of the brand, but it is lighter than other brands. Anyway I think for the price (knowing the"&amp;" brand that is) and use that which is intended, is fine and is fully recommended. I hope that this analysis will be served. A greeting!")</f>
        <v>For beginners in Salomon trail running The brand is well known to all who like mountain race or trails. In this case we have a basic shoe, but with some leading features such as GORE-TEX outer fabric that prevents water from seeping inside. These shoes are made specifically for soft, tacos are deep enough to grip well. As for comfort and interior, they seemed to me they are very good. Although something I do not know if I finally convinced is that the length from the template to the top of the shoe is very small, and has given me the feeling that the shoe does not grab much near the ankle. Just I do something that I love is how light it is, may not be the lightest of the brand, but it is lighter than other brands. Anyway I think for the price (knowing the brand that is) and use that which is intended, is fine and is fully recommended. I hope that this analysis will be served. A greeting!</v>
      </c>
    </row>
    <row r="13984">
      <c r="A13984" s="1">
        <v>5.0</v>
      </c>
      <c r="B13984" s="1" t="s">
        <v>13857</v>
      </c>
      <c r="C13984" t="str">
        <f>IFERROR(__xludf.DUMMYFUNCTION("GOOGLETRANSLATE(B13984, ""es"", ""en"")"),"I love ugg boots, as they are seen in the pictures are beautiful. I arrived super fast")</f>
        <v>I love ugg boots, as they are seen in the pictures are beautiful. I arrived super fast</v>
      </c>
    </row>
    <row r="13985">
      <c r="A13985" s="1">
        <v>5.0</v>
      </c>
      <c r="B13985" s="1" t="s">
        <v>13858</v>
      </c>
      <c r="C13985" t="str">
        <f>IFERROR(__xludf.DUMMYFUNCTION("GOOGLETRANSLATE(B13985, ""es"", ""en"")"),"Good! Good!")</f>
        <v>Good! Good!</v>
      </c>
    </row>
    <row r="13986">
      <c r="A13986" s="1">
        <v>5.0</v>
      </c>
      <c r="B13986" s="1" t="s">
        <v>13859</v>
      </c>
      <c r="C13986" t="str">
        <f>IFERROR(__xludf.DUMMYFUNCTION("GOOGLETRANSLATE(B13986, ""es"", ""en"")"),"They are perfect is maybe the glass bottle hygiene and all are hard not easily broken")</f>
        <v>They are perfect is maybe the glass bottle hygiene and all are hard not easily broken</v>
      </c>
    </row>
    <row r="13987">
      <c r="A13987" s="1">
        <v>5.0</v>
      </c>
      <c r="B13987" s="1" t="s">
        <v>13860</v>
      </c>
      <c r="C13987" t="str">
        <f>IFERROR(__xludf.DUMMYFUNCTION("GOOGLETRANSLATE(B13987, ""es"", ""en"")"),"very good very cool material reinforced toe. Color I liked. nonslip soles. Very hot inside wearing fabric sheep. very cool")</f>
        <v>very good very cool material reinforced toe. Color I liked. nonslip soles. Very hot inside wearing fabric sheep. very cool</v>
      </c>
    </row>
    <row r="13988">
      <c r="A13988" s="1">
        <v>5.0</v>
      </c>
      <c r="B13988" s="1" t="s">
        <v>13861</v>
      </c>
      <c r="C13988" t="str">
        <f>IFERROR(__xludf.DUMMYFUNCTION("GOOGLETRANSLATE(B13988, ""es"", ""en"")"),"SLIPPERS very comfortable Delivery to date and very comfortable shoes.")</f>
        <v>SLIPPERS very comfortable Delivery to date and very comfortable shoes.</v>
      </c>
    </row>
    <row r="13989">
      <c r="A13989" s="1">
        <v>5.0</v>
      </c>
      <c r="B13989" s="1" t="s">
        <v>13862</v>
      </c>
      <c r="C13989" t="str">
        <f>IFERROR(__xludf.DUMMYFUNCTION("GOOGLETRANSLATE(B13989, ""es"", ""en"")"),"Looks stylish earrings. I liked because they are long and looks good for an evening gown.")</f>
        <v>Looks stylish earrings. I liked because they are long and looks good for an evening gown.</v>
      </c>
    </row>
    <row r="13990">
      <c r="A13990" s="1">
        <v>5.0</v>
      </c>
      <c r="B13990" s="1" t="s">
        <v>13863</v>
      </c>
      <c r="C13990" t="str">
        <f>IFERROR(__xludf.DUMMYFUNCTION("GOOGLETRANSLATE(B13990, ""es"", ""en"")"),"/ Value ... The truth is that for how small it is and how intuitive it was easy to connect two phones to the device. I wear comfortable ear and listen well (To those interested I recommend). You could also say that the charger besides carrying a magnet fo"&amp;"r placing the headset, USB port is very comfortable even for charging at home or car cigarette lighter. For me highly recommended.")</f>
        <v>/ Value ... The truth is that for how small it is and how intuitive it was easy to connect two phones to the device. I wear comfortable ear and listen well (To those interested I recommend). You could also say that the charger besides carrying a magnet for placing the headset, USB port is very comfortable even for charging at home or car cigarette lighter. For me highly recommended.</v>
      </c>
    </row>
    <row r="13991">
      <c r="A13991" s="1">
        <v>5.0</v>
      </c>
      <c r="B13991" s="1" t="s">
        <v>13864</v>
      </c>
      <c r="C13991" t="str">
        <f>IFERROR(__xludf.DUMMYFUNCTION("GOOGLETRANSLATE(B13991, ""es"", ""en"")"),"All good. What can you say about a dustpan? Well, that is good quality and size as usual in a house. The rubber edge is blandita by allowing picking up the last crumb. Good product.")</f>
        <v>All good. What can you say about a dustpan? Well, that is good quality and size as usual in a house. The rubber edge is blandita by allowing picking up the last crumb. Good product.</v>
      </c>
    </row>
    <row r="13992">
      <c r="A13992" s="1">
        <v>5.0</v>
      </c>
      <c r="B13992" s="1" t="s">
        <v>13865</v>
      </c>
      <c r="C13992" t="str">
        <f>IFERROR(__xludf.DUMMYFUNCTION("GOOGLETRANSLATE(B13992, ""es"", ""en"")"),"WELL BUENISIMO")</f>
        <v>WELL BUENISIMO</v>
      </c>
    </row>
    <row r="13993">
      <c r="A13993" s="1">
        <v>5.0</v>
      </c>
      <c r="B13993" s="1" t="s">
        <v>13866</v>
      </c>
      <c r="C13993" t="str">
        <f>IFERROR(__xludf.DUMMYFUNCTION("GOOGLETRANSLATE(B13993, ""es"", ""en"")"),"1L is very comfortable to wear")</f>
        <v>1L is very comfortable to wear</v>
      </c>
    </row>
    <row r="13994">
      <c r="A13994" s="1">
        <v>2.0</v>
      </c>
      <c r="B13994" s="1" t="s">
        <v>13867</v>
      </c>
      <c r="C13994" t="str">
        <f>IFERROR(__xludf.DUMMYFUNCTION("GOOGLETRANSLATE(B13994, ""es"", ""en"")"),"You can not dismantle to wash No removable for washing. It does not clean easily, since no power to remove the handle can not be washed Machine")</f>
        <v>You can not dismantle to wash No removable for washing. It does not clean easily, since no power to remove the handle can not be washed Machine</v>
      </c>
    </row>
    <row r="13995">
      <c r="A13995" s="1">
        <v>3.0</v>
      </c>
      <c r="B13995" s="1" t="s">
        <v>13868</v>
      </c>
      <c r="C13995" t="str">
        <f>IFERROR(__xludf.DUMMYFUNCTION("GOOGLETRANSLATE(B13995, ""es"", ""en"")"),"Quality, but quality too thick but have imagined thinner. It is for winter and do not think focusing on activities where you sweat and the material is not technical. To clothe and shelter great")</f>
        <v>Quality, but quality too thick but have imagined thinner. It is for winter and do not think focusing on activities where you sweat and the material is not technical. To clothe and shelter great</v>
      </c>
    </row>
    <row r="13996">
      <c r="A13996" s="1">
        <v>3.0</v>
      </c>
      <c r="B13996" s="1" t="s">
        <v>13869</v>
      </c>
      <c r="C13996" t="str">
        <f>IFERROR(__xludf.DUMMYFUNCTION("GOOGLETRANSLATE(B13996, ""es"", ""en"")"),"They are not wrong. The good q took the criticism has but maybe I like more the antocolic Chicco wide mouth. To the baby she likes more and get the same air q with these. The glass caught and often lose some milk in the enrroscado.")</f>
        <v>They are not wrong. The good q took the criticism has but maybe I like more the antocolic Chicco wide mouth. To the baby she likes more and get the same air q with these. The glass caught and often lose some milk in the enrroscado.</v>
      </c>
    </row>
    <row r="13997">
      <c r="A13997" s="1">
        <v>3.0</v>
      </c>
      <c r="B13997" s="1" t="s">
        <v>13870</v>
      </c>
      <c r="C13997" t="str">
        <f>IFERROR(__xludf.DUMMYFUNCTION("GOOGLETRANSLATE(B13997, ""es"", ""en"")"),"I'm not saying they are bad .... Perhaps the problem is in my ears, I understand that we are not all equal, my fall and I do not hear well")</f>
        <v>I'm not saying they are bad .... Perhaps the problem is in my ears, I understand that we are not all equal, my fall and I do not hear well</v>
      </c>
    </row>
    <row r="13998">
      <c r="A13998" s="1">
        <v>1.0</v>
      </c>
      <c r="B13998" s="1" t="s">
        <v>13871</v>
      </c>
      <c r="C13998" t="str">
        <f>IFERROR(__xludf.DUMMYFUNCTION("GOOGLETRANSLATE(B13998, ""es"", ""en"")"),"Refunded not original I have returned")</f>
        <v>Refunded not original I have returned</v>
      </c>
    </row>
    <row r="13999">
      <c r="A13999" s="1">
        <v>1.0</v>
      </c>
      <c r="B13999" s="1" t="s">
        <v>13872</v>
      </c>
      <c r="C13999" t="str">
        <f>IFERROR(__xludf.DUMMYFUNCTION("GOOGLETRANSLATE(B13999, ""es"", ""en"")"),"They serve not suitable for swimming pool")</f>
        <v>They serve not suitable for swimming pool</v>
      </c>
    </row>
    <row r="14000">
      <c r="A14000" s="1">
        <v>4.0</v>
      </c>
      <c r="B14000" s="1" t="s">
        <v>13873</v>
      </c>
      <c r="C14000" t="str">
        <f>IFERROR(__xludf.DUMMYFUNCTION("GOOGLETRANSLATE(B14000, ""es"", ""en"")"),"Good product The blender works perfectly. I do not give five stars for the late arrival.")</f>
        <v>Good product The blender works perfectly. I do not give five stars for the late arrival.</v>
      </c>
    </row>
    <row r="14001">
      <c r="A14001" s="1">
        <v>4.0</v>
      </c>
      <c r="B14001" s="1" t="s">
        <v>13874</v>
      </c>
      <c r="C14001" t="str">
        <f>IFERROR(__xludf.DUMMYFUNCTION("GOOGLETRANSLATE(B14001, ""es"", ""en"")"),"Bright color. It is very nice very nice sunset")</f>
        <v>Bright color. It is very nice very nice sunset</v>
      </c>
    </row>
    <row r="14002">
      <c r="A14002" s="1">
        <v>4.0</v>
      </c>
      <c r="B14002" s="1" t="s">
        <v>13875</v>
      </c>
      <c r="C14002" t="str">
        <f>IFERROR(__xludf.DUMMYFUNCTION("GOOGLETRANSLATE(B14002, ""es"", ""en"")"),"Good product is not bad, has various levels of heat, and muscle ailments is great for ALIVAR pain.")</f>
        <v>Good product is not bad, has various levels of heat, and muscle ailments is great for ALIVAR pain.</v>
      </c>
    </row>
    <row r="14003">
      <c r="A14003" s="1">
        <v>4.0</v>
      </c>
      <c r="B14003" s="1" t="s">
        <v>13876</v>
      </c>
      <c r="C14003" t="str">
        <f>IFERROR(__xludf.DUMMYFUNCTION("GOOGLETRANSLATE(B14003, ""es"", ""en"")"),"Well good price / quality ratio")</f>
        <v>Well good price / quality ratio</v>
      </c>
    </row>
    <row r="14004">
      <c r="A14004" s="1">
        <v>4.0</v>
      </c>
      <c r="B14004" s="1" t="s">
        <v>13877</v>
      </c>
      <c r="C14004" t="str">
        <f>IFERROR(__xludf.DUMMYFUNCTION("GOOGLETRANSLATE(B14004, ""es"", ""en"")"),"Nice work well. For the price did not expect anything better")</f>
        <v>Nice work well. For the price did not expect anything better</v>
      </c>
    </row>
    <row r="14005">
      <c r="A14005" s="1">
        <v>5.0</v>
      </c>
      <c r="B14005" s="1" t="s">
        <v>13878</v>
      </c>
      <c r="C14005" t="str">
        <f>IFERROR(__xludf.DUMMYFUNCTION("GOOGLETRANSLATE(B14005, ""es"", ""en"")"),"Paste quality fine, can not comment on if it's good or bad estanquedad because I myself have not dared to do the test, but I'd say that if you check carefully and well the least there is impossible to pass water or dust")</f>
        <v>Paste quality fine, can not comment on if it's good or bad estanquedad because I myself have not dared to do the test, but I'd say that if you check carefully and well the least there is impossible to pass water or dust</v>
      </c>
    </row>
    <row r="14006">
      <c r="A14006" s="1">
        <v>5.0</v>
      </c>
      <c r="B14006" s="1" t="s">
        <v>13879</v>
      </c>
      <c r="C14006" t="str">
        <f>IFERROR(__xludf.DUMMYFUNCTION("GOOGLETRANSLATE(B14006, ""es"", ""en"")"),"Kit must wean and I just bought me the set cleaning house. The Cube is great and drained wonderful. Microfiber Mop saw advertised on TV and as clean as any I've been using microfibers home many years. I recommend it without hesitation.")</f>
        <v>Kit must wean and I just bought me the set cleaning house. The Cube is great and drained wonderful. Microfiber Mop saw advertised on TV and as clean as any I've been using microfibers home many years. I recommend it without hesitation.</v>
      </c>
    </row>
    <row r="14007">
      <c r="A14007" s="1">
        <v>5.0</v>
      </c>
      <c r="B14007" s="1" t="s">
        <v>13880</v>
      </c>
      <c r="C14007" t="str">
        <f>IFERROR(__xludf.DUMMYFUNCTION("GOOGLETRANSLATE(B14007, ""es"", ""en"")"),"Value great Excellent, water resistant.")</f>
        <v>Value great Excellent, water resistant.</v>
      </c>
    </row>
    <row r="14008">
      <c r="A14008" s="1">
        <v>5.0</v>
      </c>
      <c r="B14008" s="1" t="s">
        <v>13881</v>
      </c>
      <c r="C14008" t="str">
        <f>IFERROR(__xludf.DUMMYFUNCTION("GOOGLETRANSLATE(B14008, ""es"", ""en"")"),"Design and sound quality I bought these headphones because I'm tired of that I wrap the cord of the headphones are not wireless. Is very comfortable carry, adapt well to the ear and as I said, the fact that no wires is great. They hear quite well. To load"&amp;" you just have to put them on the platform that brings wireless and loaded too, which is even better. The design is very nice and are discreet to wear. Overall I am happy with everything so totally I recommend it for the price they are worth.")</f>
        <v>Design and sound quality I bought these headphones because I'm tired of that I wrap the cord of the headphones are not wireless. Is very comfortable carry, adapt well to the ear and as I said, the fact that no wires is great. They hear quite well. To load you just have to put them on the platform that brings wireless and loaded too, which is even better. The design is very nice and are discreet to wear. Overall I am happy with everything so totally I recommend it for the price they are worth.</v>
      </c>
    </row>
    <row r="14009">
      <c r="A14009" s="1">
        <v>5.0</v>
      </c>
      <c r="B14009" s="1" t="s">
        <v>13882</v>
      </c>
      <c r="C14009" t="str">
        <f>IFERROR(__xludf.DUMMYFUNCTION("GOOGLETRANSLATE(B14009, ""es"", ""en"")"),"Nice Perfect 👌🏻")</f>
        <v>Nice Perfect 👌🏻</v>
      </c>
    </row>
    <row r="14010">
      <c r="A14010" s="1">
        <v>5.0</v>
      </c>
      <c r="B14010" s="1" t="s">
        <v>13883</v>
      </c>
      <c r="C14010" t="str">
        <f>IFERROR(__xludf.DUMMYFUNCTION("GOOGLETRANSLATE(B14010, ""es"", ""en"")"),"How well is cleaned and mounted I like everything is very practical")</f>
        <v>How well is cleaned and mounted I like everything is very practical</v>
      </c>
    </row>
    <row r="14011">
      <c r="A14011" s="1">
        <v>5.0</v>
      </c>
      <c r="B14011" s="1" t="s">
        <v>13884</v>
      </c>
      <c r="C14011" t="str">
        <f>IFERROR(__xludf.DUMMYFUNCTION("GOOGLETRANSLATE(B14011, ""es"", ""en"")"),"They have a sports shoe very breathable, good quality adactan my very well to foot such as light weight, flesible, the seller very friendly exquisite, I am happy with the product and especially with the seller. Thank you")</f>
        <v>They have a sports shoe very breathable, good quality adactan my very well to foot such as light weight, flesible, the seller very friendly exquisite, I am happy with the product and especially with the seller. Thank you</v>
      </c>
    </row>
    <row r="14012">
      <c r="A14012" s="1">
        <v>5.0</v>
      </c>
      <c r="B14012" s="1" t="s">
        <v>13885</v>
      </c>
      <c r="C14012" t="str">
        <f>IFERROR(__xludf.DUMMYFUNCTION("GOOGLETRANSLATE(B14012, ""es"", ""en"")"),"Nor trace of allergy Bonitos, easy to engage with any outstanding !! I was afraid because I was looking to be silver, because I have a brutal allergy, but I've been wearing them more than 1 week followed and no sign of allergy. Also the price they have is"&amp;" what can cost a single pair, and come in May.")</f>
        <v>Nor trace of allergy Bonitos, easy to engage with any outstanding !! I was afraid because I was looking to be silver, because I have a brutal allergy, but I've been wearing them more than 1 week followed and no sign of allergy. Also the price they have is what can cost a single pair, and come in May.</v>
      </c>
    </row>
    <row r="14013">
      <c r="A14013" s="1">
        <v>5.0</v>
      </c>
      <c r="B14013" s="1" t="s">
        <v>13886</v>
      </c>
      <c r="C14013" t="str">
        <f>IFERROR(__xludf.DUMMYFUNCTION("GOOGLETRANSLATE(B14013, ""es"", ""en"")"),"As in Perfectas photo you loved my husband very comfortable")</f>
        <v>As in Perfectas photo you loved my husband very comfortable</v>
      </c>
    </row>
    <row r="14014">
      <c r="A14014" s="1">
        <v>5.0</v>
      </c>
      <c r="B14014" s="1" t="s">
        <v>13887</v>
      </c>
      <c r="C14014" t="str">
        <f>IFERROR(__xludf.DUMMYFUNCTION("GOOGLETRANSLATE(B14014, ""es"", ""en"")"),"Cool perfect !!!! I use a 39, and I ordered a 39 1/3 and I are perfect. Sneaker say ?? Fall in love with her on sight !!! Slipper 100% original and perfect for women or men. Recommend purchase as well as dealing with the seller (very fast shipping)")</f>
        <v>Cool perfect !!!! I use a 39, and I ordered a 39 1/3 and I are perfect. Sneaker say ?? Fall in love with her on sight !!! Slipper 100% original and perfect for women or men. Recommend purchase as well as dealing with the seller (very fast shipping)</v>
      </c>
    </row>
    <row r="14015">
      <c r="A14015" s="1">
        <v>5.0</v>
      </c>
      <c r="B14015" s="1" t="s">
        <v>13888</v>
      </c>
      <c r="C14015" t="str">
        <f>IFERROR(__xludf.DUMMYFUNCTION("GOOGLETRANSLATE(B14015, ""es"", ""en"")"),"Amplitude A Gift")</f>
        <v>Amplitude A Gift</v>
      </c>
    </row>
    <row r="14016">
      <c r="A14016" s="1">
        <v>5.0</v>
      </c>
      <c r="B14016" s="1" t="s">
        <v>13889</v>
      </c>
      <c r="C14016" t="str">
        <f>IFERROR(__xludf.DUMMYFUNCTION("GOOGLETRANSLATE(B14016, ""es"", ""en"")"),"They are very comfortable. What I expected, very well the ""cushion"" effect of the heel, so sought slippers.")</f>
        <v>They are very comfortable. What I expected, very well the "cushion" effect of the heel, so sought slippers.</v>
      </c>
    </row>
    <row r="14017">
      <c r="A14017" s="1">
        <v>5.0</v>
      </c>
      <c r="B14017" s="1" t="s">
        <v>13890</v>
      </c>
      <c r="C14017" t="str">
        <f>IFERROR(__xludf.DUMMYFUNCTION("GOOGLETRANSLATE(B14017, ""es"", ""en"")"),"Great - great are amazing. Light, beautiful, easy to use, with touch pad instead of buttons, LEDs and voice instructions that indicate what state are, good sound quality, good sound insulation ... Fielded in Xiaomi A2 (android) and an old Nokia Lumia (Win"&amp;"dows) without problems. I recommend it. They're awsome. Light, nice, easy to use, touch surface INSTEAD OF buttoms, leds and voice instructions Indicates That the status, good sound quality and acustic aisolation ... Test it on xiaomi a2 (android) and old"&amp;" nokia lumia (Windows) With no problem . I recommend them")</f>
        <v>Great - great are amazing. Light, beautiful, easy to use, with touch pad instead of buttons, LEDs and voice instructions that indicate what state are, good sound quality, good sound insulation ... Fielded in Xiaomi A2 (android) and an old Nokia Lumia (Windows) without problems. I recommend it. They're awsome. Light, nice, easy to use, touch surface INSTEAD OF buttoms, leds and voice instructions Indicates That the status, good sound quality and acustic aisolation ... Test it on xiaomi a2 (android) and old nokia lumia (Windows) With no problem . I recommend them</v>
      </c>
    </row>
    <row r="14018">
      <c r="A14018" s="1">
        <v>5.0</v>
      </c>
      <c r="B14018" s="1" t="s">
        <v>13891</v>
      </c>
      <c r="C14018" t="str">
        <f>IFERROR(__xludf.DUMMYFUNCTION("GOOGLETRANSLATE(B14018, ""es"", ""en"")"),"They are what I was looking was looking for a wireless headset for a walk and I think I successful. I chose these for their good opinions and Apparate as Amazon choise. I was afraid that its size was big and bulky but are small and unobtrusive. In my case"&amp;", I used to go for a walk every day between 1: 30-2h have not given me any problems and the battery lasts me the whole route. It takes several ear adapters to find the perfect fit you, I'm using the mounted leading by default and I are securely fastened. "&amp;"The only but is that it costs a little catch him point to touch commands and the first day I thought that did not work well, but it is only a matter of get the hang and practice four or five times and work category. A good buy!")</f>
        <v>They are what I was looking was looking for a wireless headset for a walk and I think I successful. I chose these for their good opinions and Apparate as Amazon choise. I was afraid that its size was big and bulky but are small and unobtrusive. In my case, I used to go for a walk every day between 1: 30-2h have not given me any problems and the battery lasts me the whole route. It takes several ear adapters to find the perfect fit you, I'm using the mounted leading by default and I are securely fastened. The only but is that it costs a little catch him point to touch commands and the first day I thought that did not work well, but it is only a matter of get the hang and practice four or five times and work category. A good buy!</v>
      </c>
    </row>
    <row r="14019">
      <c r="A14019" s="1">
        <v>5.0</v>
      </c>
      <c r="B14019" s="1" t="s">
        <v>13892</v>
      </c>
      <c r="C14019" t="str">
        <f>IFERROR(__xludf.DUMMYFUNCTION("GOOGLETRANSLATE(B14019, ""es"", ""en"")"),"SanDisk wanted a memory card with average ability and above all speed, buy it for camera, needed especially quickly in writing, the moment is perfect and both writing and no delays perfect read anything to the camera, the test 1080 video recording in very"&amp;" good right now to try as advocated in 4K, highly recommended card")</f>
        <v>SanDisk wanted a memory card with average ability and above all speed, buy it for camera, needed especially quickly in writing, the moment is perfect and both writing and no delays perfect read anything to the camera, the test 1080 video recording in very good right now to try as advocated in 4K, highly recommended card</v>
      </c>
    </row>
    <row r="14020">
      <c r="A14020" s="1">
        <v>5.0</v>
      </c>
      <c r="B14020" s="1" t="s">
        <v>13893</v>
      </c>
      <c r="C14020" t="str">
        <f>IFERROR(__xludf.DUMMYFUNCTION("GOOGLETRANSLATE(B14020, ""es"", ""en"")"),"Take the pencil well. If utility to get good pencil.")</f>
        <v>Take the pencil well. If utility to get good pencil.</v>
      </c>
    </row>
    <row r="14021">
      <c r="A14021" s="1">
        <v>5.0</v>
      </c>
      <c r="B14021" s="1" t="s">
        <v>13894</v>
      </c>
      <c r="C14021" t="str">
        <f>IFERROR(__xludf.DUMMYFUNCTION("GOOGLETRANSLATE(B14021, ""es"", ""en"")"),"Aroma oils with pleasant aroma pleasant, fresh, non-strong odor that end are heavy to smell after wearing a while, I like to be with fruity aroma. Very nice presentation in its ideal box for a gift or to store them and not have containers going around.")</f>
        <v>Aroma oils with pleasant aroma pleasant, fresh, non-strong odor that end are heavy to smell after wearing a while, I like to be with fruity aroma. Very nice presentation in its ideal box for a gift or to store them and not have containers going around.</v>
      </c>
    </row>
    <row r="14022">
      <c r="A14022" s="1">
        <v>5.0</v>
      </c>
      <c r="B14022" s="1" t="s">
        <v>13895</v>
      </c>
      <c r="C14022" t="str">
        <f>IFERROR(__xludf.DUMMYFUNCTION("GOOGLETRANSLATE(B14022, ""es"", ""en"")"),"Original &lt;div id = ""video-block-R2PTO4F861KTOA"" class = ""a-section a-spacing-small a-spacing-top mini video-block""&gt; &lt;div tabindex = ""0"" class = ""airy airy-svg vmin -unsupported airy-skin-beacon ""style ="" background-color: rgb (0, 0, 0) position: "&amp;"relative; width: 100%; height: 100%; font-size: 0px; overflow: hidden; outline: none; ""&gt; &lt;div class ="" airy-renderer-container ""style ="" position: relative; height: 100%; width: 100%; ""&gt; &lt;video id ="" 7 ""preload ="" auto ""src ="" https : //images-e"&amp;"u.ssl-images-amazon.com/images/I/A1-1bWlYRmS.mp4 ""style ="" position: absolute; left: 0px; top: 0px; overflow: hidden; height: 1px; width: 1px; ""&gt; &lt;/ video&gt; &lt;/ div&gt; &lt;div id ="" airy-slate-preload ""style ="" background-color: rgb (0, 0, 0); background-i"&amp;"mage: url (&amp; quot; https: / /images-eu.ssl-images-amazon.com/images/I/8136xqAdZHS.png&amp;quot;); background-size: Contain; background-position: center center; background-repeat: no-repeat; position: absolute; top: 0px; left: 0px; visibility: visible; width: "&amp;"100%; height: 100%; ""&gt; &lt;/ div&gt; &lt;iframe scrolling ="" no ""f rameborder = ""0"" src = ""about: blank"" style = ""display: none;""&gt; &lt;/ iframe&gt; &lt;div tabindex = ""- 1"" class = ""airy-controls-container"" style = ""opacity: 0; visibility: hidden; ""&gt; &lt;div ta"&amp;"bindex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airy-"&amp;"on ""&gt; &lt;/ div&gt; &lt;div tabindex ="" - 1 ""class ="" airy-audio-container ""style = ""opacity: 0; visibility: hidden; ""&gt; &lt;div tabindex ="" - 1 ""class ="" airy-audio-track-bar ""style ="" height: 80%; ""&gt; &lt;div tabindex ="" - 1 ""class ="" airy-audio- Scrubbe"&amp;"r-bar ""style ="" height: 85%; ""&gt; &lt;/ div&gt; &lt;div tabindex ="" - 1 ""class ="" airy-audio-scrubber ""style ="" height: 12px; bottom: 85% ""&gt; &lt;/ div&gt; &lt;/ div&gt; &lt;/ div&gt; &lt;/ div&gt; &lt;div tabindex ="" - 1 ""class ="" airy-duration-label ""style ="" float: right; widt"&amp;"h: 26px; margin-right: 4px; text-align: center; ""&gt; 0:00 &lt;/ div&gt; &lt;div tabindex ="" - 1 ""class ="" airy-track-bar-spacer-right ""style ="" float: right; width: 11px; ""&gt; &lt;/ div&gt; &lt;div tabindex ="" - 1 ""class ="" airy-track-bar-container ""style ="" margin"&amp;"-left: 35px; margin-right: 75px; ""&gt; &lt;div tabindex ="" - 1 ""class ="" airy-airy-track-bar vertically-centering-table ""&gt; &lt;div tabindex ="" - 1 ""class ="" airy-Vertical-centering- table-cell ""&gt; &lt;div tabindex ="" - 1 ""class ="" airy-track-bar-elements "&amp;"""&gt; &lt;div tabindex ="" - 1 ""class ="" airy-progress-bar ""&gt; &lt;/ div&gt; &lt;div tabindex = ""- 1"" class = ""airy-scrubber-bar""&gt; &lt;/ div&gt; &lt;div tabindex = ""- 1"" class = ""airy-scrubber""&gt; &lt;div tabindex = ""- 1"" class = ""airy-scrubber- icon ""&gt; &lt;/ div&gt; &lt;div ta"&amp;"bindex ="" - 1 ""class ="" airy-adjusted-AUI-tooltip ""style ="" opacity: 0; visibility: hidden; ""&gt; &lt;div tabindex ="" - 1 ""class ="" airy-adjusted-aui-tooltip-inner ""&gt; &lt;div tabindex ="" - 1 ""class ="" airy-current-time-label ""&gt; 0: 00 &lt;/ div&gt; &lt;/ div&gt; "&amp;"&lt;div tabindex = ""- 1"" class = ""airy-adjusted-AUI-arrow-border""&gt; &lt;div tabindex = ""- 1"" class = ""airy-adjusted-AUI-arrow"" &gt; &lt;/ div&gt; &lt;/ div&gt; &lt;/ div&gt; &lt;/ div&gt; &lt;/ div&gt; &lt;/ div&gt; &lt;/ div&gt; &lt;/ div&gt; &lt;/ div&gt; &lt;/ div&gt; &lt;div tabindex = ""- 1"" class = ""airy-age-ga"&amp;"te airy-stage airy-Vertical-centering-table airy-dialog"" style = ""opacity: 0; visibility: hidden; ""&gt; &lt;div tabindex ="" - 1 ""class ="" airy-age-gate-Vertical-centering-table-cell airy-Vertical-centering-table-cell ""&gt; &lt;div tabindex ="" - 1 ""class = """&amp;"airy-Vertical-centering-wrapper airy-age-gate-elements-wrapper""&gt; &lt;div tabindex = ""- 1"" class = ""airy-age-gate-elements airy-dialog-elements""&gt; &lt;div tabindex = "" -1 ""class ="" airy-age-gate-prompt ""&gt; This video is not Intended for all audiences What"&amp;" date were you born &lt;/ div&gt; &lt;div tabindex =.?"" - 1 ""class ="" airy-age-gate -inputs airy-dialog-inner-elements ""&gt; &lt;select tabindex ="" - 1 ""class ="" airy-age-gate-month ""&gt; &lt;option value ="" 1 ""&gt; January &lt;/ option&gt; &lt;option value ="" 2 ""&gt; February &lt;"&amp;"/ option&gt; &lt;option value ="" 3 ""&gt; March &lt;/ option&gt; &lt;option value ="" 4 ""&gt; April &lt;/ option&gt; &lt;option value ="" 5 ""&gt; May &lt;/ option&gt; &lt;option value = ""6""&gt; June &lt;/ option&gt; &lt;option value = ""7""&gt; July &lt;/ option&gt; &lt;option value = ""8""&gt; August &lt;/ option&gt; &lt;opti"&amp;"on value = ""9""&gt; September &lt;/ option&gt; &lt;option value = ""10""&gt; October &lt;/ option&gt; &lt;option value = ""11""&gt; November &lt;/ option&gt; &lt;option value = ""12""&gt; December &lt;/ option&gt; &lt;/ select&gt; &lt;select tabindex = ""- 1"" class = ""airy-age-gate-day""&gt; &lt;opti on value ="&amp;" ""1""&gt; 1 &lt;/ option&gt; &lt;option value = ""2""&gt; 2 &lt;/ option&gt; &lt;option value = ""3""&gt; 3 &lt;/ option&gt; &lt;option value = ""4""&gt; 4 &lt;/ option &gt; &lt;option value = ""5""&gt; 5 &lt;/ option&gt; &lt;option value = ""6""&gt; 6 &lt;/ option&gt; &lt;option value = ""7""&gt; 7 &lt;/ option&gt; &lt;option value = "&amp;"""8""&gt; 8 &lt; / option&gt; &lt;option value = ""9""&gt; 9 &lt;/ option&gt; &lt;option value = ""10""&gt; 10 &lt;/ option&gt; &lt;option value = ""11""&gt; 11 &lt;/ option&gt; &lt;option value = ""12""&gt; 12 &lt;/ option&gt; &lt;option value = ""13""&gt; 13 &lt;/ option&gt; &lt;option value = ""14""&gt; 14 &lt;/ option&gt; &lt;option "&amp;"value = ""15""&gt; 15 &lt;/ option&gt; &lt;option value = ""16 ""&gt; 16 &lt;/ option&gt; &lt;option value ="" 17 ""&gt; 17 &lt;/ option&gt; &lt;option value ="" 18 ""&gt; 18 &lt;/ option&gt; &lt;option value ="" 19 ""&gt; 19 &lt;/ option&gt; &lt;option value = ""20""&gt; 20 &lt;/ option&gt; &lt;option value = ""21""&gt; 21 &lt;/ o"&amp;"ption&gt; &lt;option value = ""22""&gt; 22 &lt;/ option&gt; &lt;option value = ""23""&gt; 23 &lt;/ option&gt; &lt;option value = ""24""&gt; 24 &lt;/ option&gt; &lt;option value = ""25""&gt; 25 &lt;/ option&gt; &lt;option value = ""26""&gt; 26 &lt;/ option&gt; &lt;option value = ""27""&gt; 27 &lt;/ option&gt; &lt;option value = ""28"&amp;"""&gt; 28 &lt;/ option&gt; &lt;option value = ""29""&gt; 29 &lt;/ option&gt; &lt;option value = ""30""&gt; 30 &lt;/ option&gt; &lt;option value = ""31""&gt; 31 &lt;/ option&gt; &lt;/ select&gt; &lt;select tabindex = ""- 1"" class = ""airy-age-gate-year""&gt; &lt;option value = ""2019""&gt; 2019 &lt;/ option&gt; &lt; option va"&amp;"lue = ""2018""&gt; 2018 &lt;/ option&gt; &lt;option value = ""2017""&gt; 2017 &lt;/ option&gt; &lt;option value = ""2016""&gt; ​​2016 &lt;/ option&gt; &lt;option value = ""2015""&gt; 2015 &lt;/ option &gt; &lt;option value = ""2014""&gt; 2014 &lt;/ option&gt; &lt;option value = ""2013""&gt; 2013 &lt;/ option&gt; &lt;option va"&amp;"lue = ""2012""&gt; 2012 &lt;/ option&gt; &lt;option value = ""2011""&gt; 2011 &lt; / option&gt; &lt;option value = ""2010""&gt; 2010 &lt;/ option&gt; &lt;option value = ""2009""&gt; 2009 &lt;/ option&gt; &lt;option value = ""2008""&gt; 2008 &lt;/ option&gt; &lt;option value = ""2007""&gt; 2007 &lt;/ option&gt; &lt;option valu"&amp;"e = ""2006""&gt; 2006 &lt;/ option&gt; &lt;option value = ""2005""&gt; 2005 &lt;/ option&gt; &lt;option value = ""2004""&gt; 2004 &lt;/ option&gt; &lt;option value = ""2003 ""&gt; 2003 &lt;/ option&gt; &lt;option value ="" 2002 ""&gt; 2002 &lt;/ option&gt; &lt;option value ="" 2001 ""&gt; 2001 &lt;/ option&gt; &lt;option valu"&amp;"e ="" 2000 ""&gt; 2000 &lt;/ option&gt; &lt;option value = ""1999""&gt; 1999 &lt;/ option&gt; &lt;option value = ""1998""&gt; 1998 &lt;/ option&gt; &lt;option value = ""1997""&gt; 1997 &lt;/ option&gt; &lt;option value = ""1996""&gt; 1996 &lt;/ option&gt; &lt;option value = ""1995""&gt; 1995 &lt;/ option&gt; &lt;option value "&amp;"= ""1994""&gt;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="&amp;" ""1982""&gt;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&lt;value option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&lt;value option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visib"&amp;"ility: hidden; ""&gt; &lt;div tabindex ="" - 1 ""class ="" airy-install-flash-Vertical-centering-table-cell airy-Vertical-centering-table-cell ""&gt; &lt;div tabindex ="" - 1 ""class = ""airy-Vertical-centering-wrapper airy-install-flash-elements-wrapper""&gt; &lt;div tabi"&amp;"ndex = ""- 1"" class = ""airy-install-flash-elements airy-dialog-elements""&gt; &lt;div tabindex = "" -1 ""class ="" airy-install-flash-prompt ""&gt; Adobe Flash Player is required to watch this video &lt;/ div&gt; &lt;div tabindex =."" - 1 ""class ="" airy-install-flash-b"&amp;"utton-wrapper airy -dialog-inner-elements ""&gt; &lt;div tabindex ="" - 1 ""class ="" airy-install-flash-button airy-button ""&gt; install Flash Player &lt;/ div&gt; &lt;/ div&gt; &lt;/ div&gt; &lt;/ div&gt; &lt;/ div&gt; &lt;/ div&gt; &lt;div tabindex = ""- 1"" class = ""airy-video-unsupported-dialog "&amp;"airy-stage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A1-1bWlYRmS.mp4 ""Class ="" video-url ""&gt; &lt;input type ="" hidden ""name ="" ""value ="" https://images-eu.ssl-images-amazon.com/images/I/8136xqAdZHS.png ""class ="" video-slate-img-url ""&gt; &amp; nbsp; Order fast the product is spectacular"&amp;" as it is in the very happy description")</f>
        <v>Original &lt;div id = "video-block-R2PTO4F861KTOA" class = "a-section a-spacing-small a-spacing-top mini video-block"&gt; &lt;div tabindex = "0" class = "airy airy-svg vmin -unsupported airy-skin-beacon "style =" background-color: rgb (0, 0, 0) position: relative; width: 100%; height: 100%; font-size: 0px; overflow: hidden; outline: none; "&gt; &lt;div class =" airy-renderer-container "style =" position: relative; height: 100%; width: 100%; "&gt; &lt;video id =" 7 "preload =" auto "src =" https : //images-eu.ssl-images-amazon.com/images/I/A1-1bWlYRmS.mp4 "style =" position: absolute; left: 0px; top: 0px; overflow: hidden; height: 1px; width: 1px; "&gt; &lt;/ video&gt; &lt;/ div&gt; &lt;div id =" airy-slate-preload "style =" background-color: rgb (0, 0, 0); background-image: url (&amp; quot; https: / /images-eu.ssl-images-amazon.com/images/I/8136xqAdZHS.png&amp;quot;); background-size: Contain; background-position: center center; background-repeat: no-repeat; position: absolute; top: 0px; left: 0px; visibility: visible; width: 100%; height: 100%; "&gt; &lt;/ div&gt; &lt;iframe scrolling =" no "f 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A1-1bWlYRmS.mp4 "Class =" video-url "&gt; &lt;input type =" hidden "name =" "value =" https://images-eu.ssl-images-amazon.com/images/I/8136xqAdZHS.png "class =" video-slate-img-url "&gt; &amp; nbsp; Order fast the product is spectacular as it is in the very happy description</v>
      </c>
    </row>
    <row r="14023">
      <c r="A14023" s="1">
        <v>5.0</v>
      </c>
      <c r="B14023" s="1" t="s">
        <v>13896</v>
      </c>
      <c r="C14023" t="str">
        <f>IFERROR(__xludf.DUMMYFUNCTION("GOOGLETRANSLATE(B14023, ""es"", ""en"")"),"We bought both these spectacular as red. And we are happy, comfortable, beautiful. Yes, red is less red than the picture. Blue, perfect.")</f>
        <v>We bought both these spectacular as red. And we are happy, comfortable, beautiful. Yes, red is less red than the picture. Blue, perfect.</v>
      </c>
    </row>
    <row r="14024">
      <c r="A14024" s="1">
        <v>2.0</v>
      </c>
      <c r="B14024" s="1" t="s">
        <v>2059</v>
      </c>
      <c r="C14024" t="str">
        <f>IFERROR(__xludf.DUMMYFUNCTION("GOOGLETRANSLATE(B14024, ""es"", ""en"")"),"well well")</f>
        <v>well well</v>
      </c>
    </row>
    <row r="14025">
      <c r="A14025" s="1">
        <v>3.0</v>
      </c>
      <c r="B14025" s="1" t="s">
        <v>13897</v>
      </c>
      <c r="C14025" t="str">
        <f>IFERROR(__xludf.DUMMYFUNCTION("GOOGLETRANSLATE(B14025, ""es"", ""en"")"),"More noise than an airplane !! very nice and easy to use design, but it makes more noise than a plane taking off !!!! It makes a lot of noise!")</f>
        <v>More noise than an airplane !! very nice and easy to use design, but it makes more noise than a plane taking off !!!! It makes a lot of noise!</v>
      </c>
    </row>
    <row r="14026">
      <c r="A14026" s="1">
        <v>1.0</v>
      </c>
      <c r="B14026" s="1" t="s">
        <v>13898</v>
      </c>
      <c r="C14026" t="str">
        <f>IFERROR(__xludf.DUMMYFUNCTION("GOOGLETRANSLATE(B14026, ""es"", ""en"")"),"Not doing very well regulate suction power. Only 1000 Pascals. Scouring Scrub bad as all robots scrubbing. And little dirt capacity if you have animals. Strikes many furniture and some do not see them. For the price and function. There are much better tha"&amp;"n this.")</f>
        <v>Not doing very well regulate suction power. Only 1000 Pascals. Scouring Scrub bad as all robots scrubbing. And little dirt capacity if you have animals. Strikes many furniture and some do not see them. For the price and function. There are much better than this.</v>
      </c>
    </row>
    <row r="14027">
      <c r="A14027" s="1">
        <v>1.0</v>
      </c>
      <c r="B14027" s="1" t="s">
        <v>13899</v>
      </c>
      <c r="C14027" t="str">
        <f>IFERROR(__xludf.DUMMYFUNCTION("GOOGLETRANSLATE(B14027, ""es"", ""en"")"),"Excessively thin and of poor quality. The tape is extremely thin, very poor quality, it is easily broken, do not recommend it to anyone, there are other tapes muca better quality, thicker, longer so they last longer, I will not buy this tape very cheap it"&amp;" usually happens, cheap is very expensive, now I have to buy another tape tougher, it is not worth me to pack the products I sell.")</f>
        <v>Excessively thin and of poor quality. The tape is extremely thin, very poor quality, it is easily broken, do not recommend it to anyone, there are other tapes muca better quality, thicker, longer so they last longer, I will not buy this tape very cheap it usually happens, cheap is very expensive, now I have to buy another tape tougher, it is not worth me to pack the products I sell.</v>
      </c>
    </row>
    <row r="14028">
      <c r="A14028" s="1">
        <v>4.0</v>
      </c>
      <c r="B14028" s="1" t="s">
        <v>13900</v>
      </c>
      <c r="C14028" t="str">
        <f>IFERROR(__xludf.DUMMYFUNCTION("GOOGLETRANSLATE(B14028, ""es"", ""en"")"),"Recommended design and perfect operation")</f>
        <v>Recommended design and perfect operation</v>
      </c>
    </row>
    <row r="14029">
      <c r="A14029" s="1">
        <v>4.0</v>
      </c>
      <c r="B14029" s="1" t="s">
        <v>13901</v>
      </c>
      <c r="C14029" t="str">
        <f>IFERROR(__xludf.DUMMYFUNCTION("GOOGLETRANSLATE(B14029, ""es"", ""en"")"),"👌 👌 they well")</f>
        <v>👌 👌 they well</v>
      </c>
    </row>
    <row r="14030">
      <c r="A14030" s="1">
        <v>4.0</v>
      </c>
      <c r="B14030" s="1" t="s">
        <v>13902</v>
      </c>
      <c r="C14030" t="str">
        <f>IFERROR(__xludf.DUMMYFUNCTION("GOOGLETRANSLATE(B14030, ""es"", ""en"")"),"Comfortable Daily Use")</f>
        <v>Comfortable Daily Use</v>
      </c>
    </row>
    <row r="14031">
      <c r="A14031" s="1">
        <v>4.0</v>
      </c>
      <c r="B14031" s="1" t="s">
        <v>13903</v>
      </c>
      <c r="C14031" t="str">
        <f>IFERROR(__xludf.DUMMYFUNCTION("GOOGLETRANSLATE(B14031, ""es"", ""en"")"),"an original F91W F91W An original undoubtedly well finish as he usually does Cassius, the only downside is that the buckle comes in black color instead of pink.")</f>
        <v>an original F91W F91W An original undoubtedly well finish as he usually does Cassius, the only downside is that the buckle comes in black color instead of pink.</v>
      </c>
    </row>
    <row r="14032">
      <c r="A14032" s="1">
        <v>4.0</v>
      </c>
      <c r="B14032" s="1" t="s">
        <v>13904</v>
      </c>
      <c r="C14032" t="str">
        <f>IFERROR(__xludf.DUMMYFUNCTION("GOOGLETRANSLATE(B14032, ""es"", ""en"")"),"Very comfortable I love shoes, I bought 38 and stays perfect foot makes it a little wide. Are super comfortable, I use at work and wonder stand 8am, which is what did not slip on the wet kitchen floor. That's the only but I put, otherwise very good.")</f>
        <v>Very comfortable I love shoes, I bought 38 and stays perfect foot makes it a little wide. Are super comfortable, I use at work and wonder stand 8am, which is what did not slip on the wet kitchen floor. That's the only but I put, otherwise very good.</v>
      </c>
    </row>
    <row r="14033">
      <c r="A14033" s="1">
        <v>5.0</v>
      </c>
      <c r="B14033" s="1" t="s">
        <v>13905</v>
      </c>
      <c r="C14033" t="str">
        <f>IFERROR(__xludf.DUMMYFUNCTION("GOOGLETRANSLATE(B14033, ""es"", ""en"")"),"Good ergonomics The battery life is pretty good, I take them about 5 or 6 hours of use at maximum volume, to run not fall and endure the sweat, the bass is not the best I've seen but they are pretty well made .")</f>
        <v>Good ergonomics The battery life is pretty good, I take them about 5 or 6 hours of use at maximum volume, to run not fall and endure the sweat, the bass is not the best I've seen but they are pretty well made .</v>
      </c>
    </row>
    <row r="14034">
      <c r="A14034" s="1">
        <v>5.0</v>
      </c>
      <c r="B14034" s="1" t="s">
        <v>13906</v>
      </c>
      <c r="C14034" t="str">
        <f>IFERROR(__xludf.DUMMYFUNCTION("GOOGLETRANSLATE(B14034, ""es"", ""en"")"),"Value This card makes the difference for the price. Which is accompanied by the usbs adapter for me is a hoot and much more comfortable than conctarlo via card. Thinking pillar 3 more for other phones from the house.")</f>
        <v>Value This card makes the difference for the price. Which is accompanied by the usbs adapter for me is a hoot and much more comfortable than conctarlo via card. Thinking pillar 3 more for other phones from the house.</v>
      </c>
    </row>
    <row r="14035">
      <c r="A14035" s="1">
        <v>5.0</v>
      </c>
      <c r="B14035" s="1" t="s">
        <v>13907</v>
      </c>
      <c r="C14035" t="str">
        <f>IFERROR(__xludf.DUMMYFUNCTION("GOOGLETRANSLATE(B14035, ""es"", ""en"")"),"Very comfortable very comfortable, the material is very good quality. Great value for the price.")</f>
        <v>Very comfortable very comfortable, the material is very good quality. Great value for the price.</v>
      </c>
    </row>
    <row r="14036">
      <c r="A14036" s="1">
        <v>5.0</v>
      </c>
      <c r="B14036" s="1" t="s">
        <v>13908</v>
      </c>
      <c r="C14036" t="str">
        <f>IFERROR(__xludf.DUMMYFUNCTION("GOOGLETRANSLATE(B14036, ""es"", ""en"")"),"The style functionality I also liked its color")</f>
        <v>The style functionality I also liked its color</v>
      </c>
    </row>
    <row r="14037">
      <c r="A14037" s="1">
        <v>5.0</v>
      </c>
      <c r="B14037" s="1" t="s">
        <v>13909</v>
      </c>
      <c r="C14037" t="str">
        <f>IFERROR(__xludf.DUMMYFUNCTION("GOOGLETRANSLATE(B14037, ""es"", ""en"")"),"Perfecta.Muy easy to use easy to handle")</f>
        <v>Perfecta.Muy easy to use easy to handle</v>
      </c>
    </row>
    <row r="14038">
      <c r="A14038" s="1">
        <v>5.0</v>
      </c>
      <c r="B14038" s="1" t="s">
        <v>13910</v>
      </c>
      <c r="C14038" t="str">
        <f>IFERROR(__xludf.DUMMYFUNCTION("GOOGLETRANSLATE(B14038, ""es"", ""en"")"),"XS is the T12 girl toddler years. Encantado my son !! The XS perfect for child size 12. My son is very skinny and has 12-year high in the middle. Carving child could not find this girl and he is great !! Buy more colors !!")</f>
        <v>XS is the T12 girl toddler years. Encantado my son !! The XS perfect for child size 12. My son is very skinny and has 12-year high in the middle. Carving child could not find this girl and he is great !! Buy more colors !!</v>
      </c>
    </row>
    <row r="14039">
      <c r="A14039" s="1">
        <v>5.0</v>
      </c>
      <c r="B14039" s="1" t="s">
        <v>13911</v>
      </c>
      <c r="C14039" t="str">
        <f>IFERROR(__xludf.DUMMYFUNCTION("GOOGLETRANSLATE(B14039, ""es"", ""en"")"),"Very good buy Headphones recommended, especially for its low price (hovering around three euros) and you hear pretty well. I've been giving them a month with cane and so far I have not had any problems.")</f>
        <v>Very good buy Headphones recommended, especially for its low price (hovering around three euros) and you hear pretty well. I've been giving them a month with cane and so far I have not had any problems.</v>
      </c>
    </row>
    <row r="14040">
      <c r="A14040" s="1">
        <v>5.0</v>
      </c>
      <c r="B14040" s="1" t="s">
        <v>13912</v>
      </c>
      <c r="C14040" t="str">
        <f>IFERROR(__xludf.DUMMYFUNCTION("GOOGLETRANSLATE(B14040, ""es"", ""en"")"),"For a good start. To begin in the gameplays is not bad. Affordable and complete package.")</f>
        <v>For a good start. To begin in the gameplays is not bad. Affordable and complete package.</v>
      </c>
    </row>
    <row r="14041">
      <c r="A14041" s="1">
        <v>5.0</v>
      </c>
      <c r="B14041" s="1" t="s">
        <v>13913</v>
      </c>
      <c r="C14041" t="str">
        <f>IFERROR(__xludf.DUMMYFUNCTION("GOOGLETRANSLATE(B14041, ""es"", ""en"")"),"22mm stainless steel strap. It looks good on my Casio Marlín. solid links with very good value for money. I recommend purchase.")</f>
        <v>22mm stainless steel strap. It looks good on my Casio Marlín. solid links with very good value for money. I recommend purchase.</v>
      </c>
    </row>
    <row r="14042">
      <c r="A14042" s="1">
        <v>5.0</v>
      </c>
      <c r="B14042" s="1" t="s">
        <v>13914</v>
      </c>
      <c r="C14042" t="str">
        <f>IFERROR(__xludf.DUMMYFUNCTION("GOOGLETRANSLATE(B14042, ""es"", ""en"")"),"Perfect are perfect. Beautiful and Comodisimos")</f>
        <v>Perfect are perfect. Beautiful and Comodisimos</v>
      </c>
    </row>
    <row r="14043">
      <c r="A14043" s="1">
        <v>5.0</v>
      </c>
      <c r="B14043" s="1" t="s">
        <v>13915</v>
      </c>
      <c r="C14043" t="str">
        <f>IFERROR(__xludf.DUMMYFUNCTION("GOOGLETRANSLATE(B14043, ""es"", ""en"")"),"https://www.amazon.es/dp/B00191PJBY/ref=cm_cr_ryp_prd_ttl_sol_2 I love better than I expected. Black leather outside and inside very resistant plastic. ok great")</f>
        <v>https://www.amazon.es/dp/B00191PJBY/ref=cm_cr_ryp_prd_ttl_sol_2 I love better than I expected. Black leather outside and inside very resistant plastic. ok great</v>
      </c>
    </row>
    <row r="14044">
      <c r="A14044" s="1">
        <v>5.0</v>
      </c>
      <c r="B14044" s="1" t="s">
        <v>13916</v>
      </c>
      <c r="C14044" t="str">
        <f>IFERROR(__xludf.DUMMYFUNCTION("GOOGLETRANSLATE(B14044, ""es"", ""en"")"),"Its very nice value for money.")</f>
        <v>Its very nice value for money.</v>
      </c>
    </row>
    <row r="14045">
      <c r="A14045" s="1">
        <v>5.0</v>
      </c>
      <c r="B14045" s="1" t="s">
        <v>13917</v>
      </c>
      <c r="C14045" t="str">
        <f>IFERROR(__xludf.DUMMYFUNCTION("GOOGLETRANSLATE(B14045, ""es"", ""en"")"),"Cut perfect to scrap any angle thanks to the adaptable cutting guide and the removable flap. Also supports cardstock, there is only to sink the knife to the paper and pass it through short fine")</f>
        <v>Cut perfect to scrap any angle thanks to the adaptable cutting guide and the removable flap. Also supports cardstock, there is only to sink the knife to the paper and pass it through short fine</v>
      </c>
    </row>
    <row r="14046">
      <c r="A14046" s="1">
        <v>5.0</v>
      </c>
      <c r="B14046" s="1" t="s">
        <v>13918</v>
      </c>
      <c r="C14046" t="str">
        <f>IFERROR(__xludf.DUMMYFUNCTION("GOOGLETRANSLATE(B14046, ""es"", ""en"")"),"original gift for a child. We bought this microphone to give to my nephew and since then not to use. It is very easy to use; or stand back from the advance micro own songs or you increase or you decrease the volume. It also has the option of incorporating"&amp;" eco or remove vocals from songs stored. Comment that has a powerful, clean sound. In addition, the micro carries little weight for use by a child. The internal battery lasts approximately 7 hours, between charges. Finally comment that incorporates a micr"&amp;"oSD port for storing songs, which is how we use it, but can also be operated by blueetooth. It has been a success to give it. 100% recommendable.")</f>
        <v>original gift for a child. We bought this microphone to give to my nephew and since then not to use. It is very easy to use; or stand back from the advance micro own songs or you increase or you decrease the volume. It also has the option of incorporating eco or remove vocals from songs stored. Comment that has a powerful, clean sound. In addition, the micro carries little weight for use by a child. The internal battery lasts approximately 7 hours, between charges. Finally comment that incorporates a microSD port for storing songs, which is how we use it, but can also be operated by blueetooth. It has been a success to give it. 100% recommendable.</v>
      </c>
    </row>
    <row r="14047">
      <c r="A14047" s="1">
        <v>5.0</v>
      </c>
      <c r="B14047" s="1" t="s">
        <v>13919</v>
      </c>
      <c r="C14047" t="str">
        <f>IFERROR(__xludf.DUMMYFUNCTION("GOOGLETRANSLATE(B14047, ""es"", ""en"")"),"Perfect for what may be asked heats up fast and is well maintained. It seems quality, touch is decent (although not made to sleep directly on it). Gums clip for the corners of the mattress are a plus others have not. The only but is that if you sleep too "&amp;"high or too low, the feet are cold. But lets keep the room at a lower temperature than usual, as the bed still warm.")</f>
        <v>Perfect for what may be asked heats up fast and is well maintained. It seems quality, touch is decent (although not made to sleep directly on it). Gums clip for the corners of the mattress are a plus others have not. The only but is that if you sleep too high or too low, the feet are cold. But lets keep the room at a lower temperature than usual, as the bed still warm.</v>
      </c>
    </row>
    <row r="14048">
      <c r="A14048" s="1">
        <v>5.0</v>
      </c>
      <c r="B14048" s="1" t="s">
        <v>13920</v>
      </c>
      <c r="C14048" t="str">
        <f>IFERROR(__xludf.DUMMYFUNCTION("GOOGLETRANSLATE(B14048, ""es"", ""en"")"),"Such shoe and very good they are, weigh a little ...")</f>
        <v>Such shoe and very good they are, weigh a little ...</v>
      </c>
    </row>
    <row r="14049">
      <c r="A14049" s="1">
        <v>5.0</v>
      </c>
      <c r="B14049" s="1" t="s">
        <v>13921</v>
      </c>
      <c r="C14049" t="str">
        <f>IFERROR(__xludf.DUMMYFUNCTION("GOOGLETRANSLATE(B14049, ""es"", ""en"")"),"Well I hear really liked this article, I was surprised because it is of very good quality. Bring a hard case to keep and not spoil also carries a protective rubber output connecting the mobile. They are comfortable and do not fall, you hear very well. My "&amp;"daughter says they have the shape of iPhone headphones.")</f>
        <v>Well I hear really liked this article, I was surprised because it is of very good quality. Bring a hard case to keep and not spoil also carries a protective rubber output connecting the mobile. They are comfortable and do not fall, you hear very well. My daughter says they have the shape of iPhone headphones.</v>
      </c>
    </row>
    <row r="14050">
      <c r="A14050" s="1">
        <v>5.0</v>
      </c>
      <c r="B14050" s="1" t="s">
        <v>13922</v>
      </c>
      <c r="C14050" t="str">
        <f>IFERROR(__xludf.DUMMYFUNCTION("GOOGLETRANSLATE(B14050, ""es"", ""en"")"),"100% recommendable. Perfectly fulfills its mission, the magnets are not as thin as I thought, and hold better sticker on one side you can paste any material and the other magnet. Perfect.")</f>
        <v>100% recommendable. Perfectly fulfills its mission, the magnets are not as thin as I thought, and hold better sticker on one side you can paste any material and the other magnet. Perfect.</v>
      </c>
    </row>
    <row r="14051">
      <c r="A14051" s="1">
        <v>2.0</v>
      </c>
      <c r="B14051" s="1" t="s">
        <v>13923</v>
      </c>
      <c r="C14051" t="str">
        <f>IFERROR(__xludf.DUMMYFUNCTION("GOOGLETRANSLATE(B14051, ""es"", ""en"")"),"Sound quality for home Very good sound quality ... .. but at home they do not isolate demasiado..Muy comfortable and longish cable more ... good quality and finish ..")</f>
        <v>Sound quality for home Very good sound quality ... .. but at home they do not isolate demasiado..Muy comfortable and longish cable more ... good quality and finish ..</v>
      </c>
    </row>
    <row r="14052">
      <c r="A14052" s="1">
        <v>3.0</v>
      </c>
      <c r="B14052" s="1" t="s">
        <v>13924</v>
      </c>
      <c r="C14052" t="str">
        <f>IFERROR(__xludf.DUMMYFUNCTION("GOOGLETRANSLATE(B14052, ""es"", ""en"")"),"Comfortable q is the first time I buy shoes this style for me and I felt quite comfortable, although at the beginning I did not fully like.")</f>
        <v>Comfortable q is the first time I buy shoes this style for me and I felt quite comfortable, although at the beginning I did not fully like.</v>
      </c>
    </row>
    <row r="14053">
      <c r="A14053" s="1">
        <v>3.0</v>
      </c>
      <c r="B14053" s="1" t="s">
        <v>13925</v>
      </c>
      <c r="C14053" t="str">
        <f>IFERROR(__xludf.DUMMYFUNCTION("GOOGLETRANSLATE(B14053, ""es"", ""en"")"),"I thought it would be faster writing is very slow 14mg / s. After buying and check the specifications to see why he was so slow the manufacturer and brand writing to 14mg / s so buy what puts .. USB is small and can fit anywhere. is not a usb to continual"&amp;"ly writing big data as it is a bit slow")</f>
        <v>I thought it would be faster writing is very slow 14mg / s. After buying and check the specifications to see why he was so slow the manufacturer and brand writing to 14mg / s so buy what puts .. USB is small and can fit anywhere. is not a usb to continually writing big data as it is a bit slow</v>
      </c>
    </row>
    <row r="14054">
      <c r="A14054" s="1">
        <v>1.0</v>
      </c>
      <c r="B14054" s="1" t="s">
        <v>13926</v>
      </c>
      <c r="C14054" t="str">
        <f>IFERROR(__xludf.DUMMYFUNCTION("GOOGLETRANSLATE(B14054, ""es"", ""en"")"),"There has been no deception so that it engages well. Take a lot of gas and I think that is the shape of the tetins.")</f>
        <v>There has been no deception so that it engages well. Take a lot of gas and I think that is the shape of the tetins.</v>
      </c>
    </row>
    <row r="14055">
      <c r="A14055" s="1">
        <v>1.0</v>
      </c>
      <c r="B14055" s="1" t="s">
        <v>13927</v>
      </c>
      <c r="C14055" t="str">
        <f>IFERROR(__xludf.DUMMYFUNCTION("GOOGLETRANSLATE(B14055, ""es"", ""en"")"),"NO DISAPPOINTMENT erean I expected to run too hard and are uncomfortable ... I was disappointed enough.")</f>
        <v>NO DISAPPOINTMENT erean I expected to run too hard and are uncomfortable ... I was disappointed enough.</v>
      </c>
    </row>
    <row r="14056">
      <c r="A14056" s="1">
        <v>4.0</v>
      </c>
      <c r="B14056" s="1" t="s">
        <v>13928</v>
      </c>
      <c r="C14056" t="str">
        <f>IFERROR(__xludf.DUMMYFUNCTION("GOOGLETRANSLATE(B14056, ""es"", ""en"")"),"Well come two pairs of each size slope, great in his box and in individual bags, still not me have put so do not know if they'll give me some kind of allergy, the slope does not put anything in the enganchito if bear the stamp of silver, the 3 models are "&amp;"small as I like, are not big balls not even the larger")</f>
        <v>Well come two pairs of each size slope, great in his box and in individual bags, still not me have put so do not know if they'll give me some kind of allergy, the slope does not put anything in the enganchito if bear the stamp of silver, the 3 models are small as I like, are not big balls not even the larger</v>
      </c>
    </row>
    <row r="14057">
      <c r="A14057" s="1">
        <v>4.0</v>
      </c>
      <c r="B14057" s="1" t="s">
        <v>13929</v>
      </c>
      <c r="C14057" t="str">
        <f>IFERROR(__xludf.DUMMYFUNCTION("GOOGLETRANSLATE(B14057, ""es"", ""en"")"),"Well meet")</f>
        <v>Well meet</v>
      </c>
    </row>
    <row r="14058">
      <c r="A14058" s="1">
        <v>4.0</v>
      </c>
      <c r="B14058" s="1" t="s">
        <v>13930</v>
      </c>
      <c r="C14058" t="str">
        <f>IFERROR(__xludf.DUMMYFUNCTION("GOOGLETRANSLATE(B14058, ""es"", ""en"")"),"Good product. I tried these, and 35. QC say they are good at both. Sony I find a more comfortable Pelin, the QC35 think they sound better Pelin (more than better a little more powerful) but nothing significant, perhaps some equalization. Noise cancellatio"&amp;"n very good at both. There are really no significant differences in either 2 is good buy. Mobile charger voucher for QC35, for Sony put a different cable, next is very short, a foot, literally. From my point of view ""tables"" between Sony and Bose.")</f>
        <v>Good product. I tried these, and 35. QC say they are good at both. Sony I find a more comfortable Pelin, the QC35 think they sound better Pelin (more than better a little more powerful) but nothing significant, perhaps some equalization. Noise cancellation very good at both. There are really no significant differences in either 2 is good buy. Mobile charger voucher for QC35, for Sony put a different cable, next is very short, a foot, literally. From my point of view "tables" between Sony and Bose.</v>
      </c>
    </row>
    <row r="14059">
      <c r="A14059" s="1">
        <v>4.0</v>
      </c>
      <c r="B14059" s="1" t="s">
        <v>13931</v>
      </c>
      <c r="C14059" t="str">
        <f>IFERROR(__xludf.DUMMYFUNCTION("GOOGLETRANSLATE(B14059, ""es"", ""en"")"),"Guaranteed basic cleaning cleans very well what everything is. It gets a little crazy at the pass several times through the same area, and obviously does not reach the complicated sites, but to remove the fat goes.")</f>
        <v>Guaranteed basic cleaning cleans very well what everything is. It gets a little crazy at the pass several times through the same area, and obviously does not reach the complicated sites, but to remove the fat goes.</v>
      </c>
    </row>
    <row r="14060">
      <c r="A14060" s="1">
        <v>4.0</v>
      </c>
      <c r="B14060" s="1" t="s">
        <v>13932</v>
      </c>
      <c r="C14060" t="str">
        <f>IFERROR(__xludf.DUMMYFUNCTION("GOOGLETRANSLATE(B14060, ""es"", ""en"")"),"It looks great. It looks great. I love cotton like tissue.")</f>
        <v>It looks great. It looks great. I love cotton like tissue.</v>
      </c>
    </row>
    <row r="14061">
      <c r="A14061" s="1">
        <v>5.0</v>
      </c>
      <c r="B14061" s="1" t="s">
        <v>13933</v>
      </c>
      <c r="C14061" t="str">
        <f>IFERROR(__xludf.DUMMYFUNCTION("GOOGLETRANSLATE(B14061, ""es"", ""en"")"),"BACKPACK essential to bring well protected camera or what you need. INSIDE is configurable SIZE AND VERY EASY. Now I'M SURE TO ANY SITE WITH MY CAMERA AND OBJECTIVES.")</f>
        <v>BACKPACK essential to bring well protected camera or what you need. INSIDE is configurable SIZE AND VERY EASY. Now I'M SURE TO ANY SITE WITH MY CAMERA AND OBJECTIVES.</v>
      </c>
    </row>
    <row r="14062">
      <c r="A14062" s="1">
        <v>5.0</v>
      </c>
      <c r="B14062" s="1" t="s">
        <v>13934</v>
      </c>
      <c r="C14062" t="str">
        <f>IFERROR(__xludf.DUMMYFUNCTION("GOOGLETRANSLATE(B14062, ""es"", ""en"")"),"Wireless microphone karaoke We bought it as a gift for our 2 year old son and is delighted with him. It connects well with the bluetooth mobile to send songs, you hear great. You can adjust the volume of music sent by Bluetooth but we have not known or ca"&amp;"n not, adjust the volume of voice (our son would stick to the mouth, perhaps the trick is that it is spread when you want less volume and longer). It has fallen once and still works (to see how many of these survives ...). As only ""downside"" is that wei"&amp;"ghs a little for him, but considering that it is not toy for a small child is normal. What we have not tried is to record songs. And in the instructions mentioned PPP but we could not find anything about the name or app.")</f>
        <v>Wireless microphone karaoke We bought it as a gift for our 2 year old son and is delighted with him. It connects well with the bluetooth mobile to send songs, you hear great. You can adjust the volume of music sent by Bluetooth but we have not known or can not, adjust the volume of voice (our son would stick to the mouth, perhaps the trick is that it is spread when you want less volume and longer). It has fallen once and still works (to see how many of these survives ...). As only "downside" is that weighs a little for him, but considering that it is not toy for a small child is normal. What we have not tried is to record songs. And in the instructions mentioned PPP but we could not find anything about the name or app.</v>
      </c>
    </row>
    <row r="14063">
      <c r="A14063" s="1">
        <v>5.0</v>
      </c>
      <c r="B14063" s="1" t="s">
        <v>13935</v>
      </c>
      <c r="C14063" t="str">
        <f>IFERROR(__xludf.DUMMYFUNCTION("GOOGLETRANSLATE(B14063, ""es"", ""en"")"),"Good quality is perfect. It is quality, has many compartments. I took with him several months and going great.")</f>
        <v>Good quality is perfect. It is quality, has many compartments. I took with him several months and going great.</v>
      </c>
    </row>
    <row r="14064">
      <c r="A14064" s="1">
        <v>5.0</v>
      </c>
      <c r="B14064" s="1" t="s">
        <v>13936</v>
      </c>
      <c r="C14064" t="str">
        <f>IFERROR(__xludf.DUMMYFUNCTION("GOOGLETRANSLATE(B14064, ""es"", ""en"")"),"phenomenal are very comfortable not go, do not weigh anything, the sound is very good, the charger box is very useful, reports the percentage of battery when connecting to the mobile, I am very happy with them.")</f>
        <v>phenomenal are very comfortable not go, do not weigh anything, the sound is very good, the charger box is very useful, reports the percentage of battery when connecting to the mobile, I am very happy with them.</v>
      </c>
    </row>
    <row r="14065">
      <c r="A14065" s="1">
        <v>5.0</v>
      </c>
      <c r="B14065" s="1" t="s">
        <v>13937</v>
      </c>
      <c r="C14065" t="str">
        <f>IFERROR(__xludf.DUMMYFUNCTION("GOOGLETRANSLATE(B14065, ""es"", ""en"")"),"Practices originality to identify gifts")</f>
        <v>Practices originality to identify gifts</v>
      </c>
    </row>
    <row r="14066">
      <c r="A14066" s="1">
        <v>5.0</v>
      </c>
      <c r="B14066" s="1" t="s">
        <v>13938</v>
      </c>
      <c r="C14066" t="str">
        <f>IFERROR(__xludf.DUMMYFUNCTION("GOOGLETRANSLATE(B14066, ""es"", ""en"")"),"I recommend. As described, good size, immediate delivery.")</f>
        <v>I recommend. As described, good size, immediate delivery.</v>
      </c>
    </row>
    <row r="14067">
      <c r="A14067" s="1">
        <v>5.0</v>
      </c>
      <c r="B14067" s="1" t="s">
        <v>13939</v>
      </c>
      <c r="C14067" t="str">
        <f>IFERROR(__xludf.DUMMYFUNCTION("GOOGLETRANSLATE(B14067, ""es"", ""en"")"),"M'encanta a bandolier VERY COMPLETE")</f>
        <v>M'encanta a bandolier VERY COMPLETE</v>
      </c>
    </row>
    <row r="14068">
      <c r="A14068" s="1">
        <v>5.0</v>
      </c>
      <c r="B14068" s="1" t="s">
        <v>13940</v>
      </c>
      <c r="C14068" t="str">
        <f>IFERROR(__xludf.DUMMYFUNCTION("GOOGLETRANSLATE(B14068, ""es"", ""en"")"),"Product good product as described. actual ability to install and easy")</f>
        <v>Product good product as described. actual ability to install and easy</v>
      </c>
    </row>
    <row r="14069">
      <c r="A14069" s="1">
        <v>5.0</v>
      </c>
      <c r="B14069" s="1" t="s">
        <v>13941</v>
      </c>
      <c r="C14069" t="str">
        <f>IFERROR(__xludf.DUMMYFUNCTION("GOOGLETRANSLATE(B14069, ""es"", ""en"")"),"Good quality acquired the 128-G and take two months with her, buy it for mobile, Huawei 9 lite, works perfectly and I bought a promotion. I recommend it because when I use the PC is very fast in data transfer. And in the mobile also it works very well.")</f>
        <v>Good quality acquired the 128-G and take two months with her, buy it for mobile, Huawei 9 lite, works perfectly and I bought a promotion. I recommend it because when I use the PC is very fast in data transfer. And in the mobile also it works very well.</v>
      </c>
    </row>
    <row r="14070">
      <c r="A14070" s="1">
        <v>5.0</v>
      </c>
      <c r="B14070" s="1" t="s">
        <v>13942</v>
      </c>
      <c r="C14070" t="str">
        <f>IFERROR(__xludf.DUMMYFUNCTION("GOOGLETRANSLATE(B14070, ""es"", ""en"")"),"I got money unbeatable for 3 years and is like new, I've juices made during the 3 winters almost every day. It is not too noisy, takes up little and the body is aluminum. I love the lid having that put the spin off most amount of juice. by putting a snag,"&amp;" I would say that sometimes gets a little pulp, but nothing with a knife, and push it out. On the other hand, say that although we are doing juice for a long time ... not heated")</f>
        <v>I got money unbeatable for 3 years and is like new, I've juices made during the 3 winters almost every day. It is not too noisy, takes up little and the body is aluminum. I love the lid having that put the spin off most amount of juice. by putting a snag, I would say that sometimes gets a little pulp, but nothing with a knife, and push it out. On the other hand, say that although we are doing juice for a long time ... not heated</v>
      </c>
    </row>
    <row r="14071">
      <c r="A14071" s="1">
        <v>5.0</v>
      </c>
      <c r="B14071" s="1" t="s">
        <v>13943</v>
      </c>
      <c r="C14071" t="str">
        <f>IFERROR(__xludf.DUMMYFUNCTION("GOOGLETRANSLATE(B14071, ""es"", ""en"")"),"The useful Great very delicate .for my granddaughter k you will encantar.gracias")</f>
        <v>The useful Great very delicate .for my granddaughter k you will encantar.gracias</v>
      </c>
    </row>
    <row r="14072">
      <c r="A14072" s="1">
        <v>5.0</v>
      </c>
      <c r="B14072" s="1" t="s">
        <v>13944</v>
      </c>
      <c r="C14072" t="str">
        <f>IFERROR(__xludf.DUMMYFUNCTION("GOOGLETRANSLATE(B14072, ""es"", ""en"")"),"Fast I bought this card because I needed one for various devices I have. I've tried several of them together with the adapter brings and I have not had any problems. Devices recognize perfectly. The capacity is somewhat less than what brand but this is a "&amp;"normal thing on all cards that have most recognized brands. It has a rapid rate of data transmission. There is a good quality price relation.")</f>
        <v>Fast I bought this card because I needed one for various devices I have. I've tried several of them together with the adapter brings and I have not had any problems. Devices recognize perfectly. The capacity is somewhat less than what brand but this is a normal thing on all cards that have most recognized brands. It has a rapid rate of data transmission. There is a good quality price relation.</v>
      </c>
    </row>
    <row r="14073">
      <c r="A14073" s="1">
        <v>5.0</v>
      </c>
      <c r="B14073" s="1" t="s">
        <v>13945</v>
      </c>
      <c r="C14073" t="str">
        <f>IFERROR(__xludf.DUMMYFUNCTION("GOOGLETRANSLATE(B14073, ""es"", ""en"")"),"Good quality So far it has worked very well. I hope it is not damaged before 10 years of probable life. It's fast. He arrived promptly.")</f>
        <v>Good quality So far it has worked very well. I hope it is not damaged before 10 years of probable life. It's fast. He arrived promptly.</v>
      </c>
    </row>
    <row r="14074">
      <c r="A14074" s="1">
        <v>5.0</v>
      </c>
      <c r="B14074" s="1" t="s">
        <v>13946</v>
      </c>
      <c r="C14074" t="str">
        <f>IFERROR(__xludf.DUMMYFUNCTION("GOOGLETRANSLATE(B14074, ""es"", ""en"")"),"I presenter for powerpoint light and long-range Hi! I was looking for a presenter for use in final projects of the faculty, a colleague told me of this model well and prepared to try it. PROS: - Lightweight, weighs nothing very little. - Hold to put it in"&amp;" a shirt pocket, on the cover of a book ... like a pen. - Laser powerful, it is red and looks great in presentations with a projector (on television, hardly noticed the laser). - Long distance, I tried it at a distance of more than 4 meters and to run smo"&amp;"othly (we'll see what happens when the battery is running low). - Intuitive use of the buttons. - Comes with a battery. - Hitch USB is magnetic (and also very strong), for what eu although we presenter in the backpack, is extremely difficult for us to mis"&amp;"s the USB. CONS: - The buttons are perhaps together, I happened to pass the slide and wrong direction.")</f>
        <v>I presenter for powerpoint light and long-range Hi! I was looking for a presenter for use in final projects of the faculty, a colleague told me of this model well and prepared to try it. PROS: - Lightweight, weighs nothing very little. - Hold to put it in a shirt pocket, on the cover of a book ... like a pen. - Laser powerful, it is red and looks great in presentations with a projector (on television, hardly noticed the laser). - Long distance, I tried it at a distance of more than 4 meters and to run smoothly (we'll see what happens when the battery is running low). - Intuitive use of the buttons. - Comes with a battery. - Hitch USB is magnetic (and also very strong), for what eu although we presenter in the backpack, is extremely difficult for us to miss the USB. CONS: - The buttons are perhaps together, I happened to pass the slide and wrong direction.</v>
      </c>
    </row>
    <row r="14075">
      <c r="A14075" s="1">
        <v>5.0</v>
      </c>
      <c r="B14075" s="1" t="s">
        <v>13947</v>
      </c>
      <c r="C14075" t="str">
        <f>IFERROR(__xludf.DUMMYFUNCTION("GOOGLETRANSLATE(B14075, ""es"", ""en"")"),"very good product and great time")</f>
        <v>very good product and great time</v>
      </c>
    </row>
    <row r="14076">
      <c r="A14076" s="1">
        <v>5.0</v>
      </c>
      <c r="B14076" s="1" t="s">
        <v>13948</v>
      </c>
      <c r="C14076" t="str">
        <f>IFERROR(__xludf.DUMMYFUNCTION("GOOGLETRANSLATE(B14076, ""es"", ""en"")"),"Valuations are everything Micro sd adapter of the brand SanDisk 32GB. The purchase by rating just saw it was the best-selling and feel more. The price helped a lot since the evo Samsung is a tad more expensive.")</f>
        <v>Valuations are everything Micro sd adapter of the brand SanDisk 32GB. The purchase by rating just saw it was the best-selling and feel more. The price helped a lot since the evo Samsung is a tad more expensive.</v>
      </c>
    </row>
    <row r="14077">
      <c r="A14077" s="1">
        <v>5.0</v>
      </c>
      <c r="B14077" s="1" t="s">
        <v>13949</v>
      </c>
      <c r="C14077" t="str">
        <f>IFERROR(__xludf.DUMMYFUNCTION("GOOGLETRANSLATE(B14077, ""es"", ""en"")"),"Good product The product came fast but the packaging is a simple plastic sleeve, little protection for the transfer, moreover, works well and is a good product.")</f>
        <v>Good product The product came fast but the packaging is a simple plastic sleeve, little protection for the transfer, moreover, works well and is a good product.</v>
      </c>
    </row>
    <row r="14078">
      <c r="A14078" s="1">
        <v>5.0</v>
      </c>
      <c r="B14078" s="1" t="s">
        <v>13950</v>
      </c>
      <c r="C14078" t="str">
        <f>IFERROR(__xludf.DUMMYFUNCTION("GOOGLETRANSLATE(B14078, ""es"", ""en"")"),"Refreshing and relaxing addition comes with a bag and a diadem gift so you can have fun without problem. Bring instructions also.")</f>
        <v>Refreshing and relaxing addition comes with a bag and a diadem gift so you can have fun without problem. Bring instructions also.</v>
      </c>
    </row>
    <row r="14079">
      <c r="A14079" s="1">
        <v>5.0</v>
      </c>
      <c r="B14079" s="1" t="s">
        <v>13951</v>
      </c>
      <c r="C14079" t="str">
        <f>IFERROR(__xludf.DUMMYFUNCTION("GOOGLETRANSLATE(B14079, ""es"", ""en"")"),"Good draft normal and current, has reached me in red. It's handy that hold magnetised to the board, is also always recojido")</f>
        <v>Good draft normal and current, has reached me in red. It's handy that hold magnetised to the board, is also always recojido</v>
      </c>
    </row>
    <row r="14080">
      <c r="A14080" s="1">
        <v>2.0</v>
      </c>
      <c r="B14080" s="1" t="s">
        <v>13952</v>
      </c>
      <c r="C14080" t="str">
        <f>IFERROR(__xludf.DUMMYFUNCTION("GOOGLETRANSLATE(B14080, ""es"", ""en"")"),"Small tight and poorly finished Las ordered a number more in fear of me quedasen small, yet they are small. the glue binding the soles note and plastic looks bad. Too tight in the pawn. I not recommend.")</f>
        <v>Small tight and poorly finished Las ordered a number more in fear of me quedasen small, yet they are small. the glue binding the soles note and plastic looks bad. Too tight in the pawn. I not recommend.</v>
      </c>
    </row>
    <row r="14081">
      <c r="A14081" s="1">
        <v>3.0</v>
      </c>
      <c r="B14081" s="1" t="s">
        <v>13953</v>
      </c>
      <c r="C14081" t="str">
        <f>IFERROR(__xludf.DUMMYFUNCTION("GOOGLETRANSLATE(B14081, ""es"", ""en"")"),"Not what you purchase. Some fragrances are not pleasant, lost the scent at two hours of use, presentation and delivery time was good, but the product does not convince me.")</f>
        <v>Not what you purchase. Some fragrances are not pleasant, lost the scent at two hours of use, presentation and delivery time was good, but the product does not convince me.</v>
      </c>
    </row>
    <row r="14082">
      <c r="A14082" s="1">
        <v>3.0</v>
      </c>
      <c r="B14082" s="1" t="s">
        <v>13954</v>
      </c>
      <c r="C14082" t="str">
        <f>IFERROR(__xludf.DUMMYFUNCTION("GOOGLETRANSLATE(B14082, ""es"", ""en"")"),"DOUBT MANY PROBLEMS DA PENDING THE INFORMATION AND CHARGING very slowly")</f>
        <v>DOUBT MANY PROBLEMS DA PENDING THE INFORMATION AND CHARGING very slowly</v>
      </c>
    </row>
    <row r="14083">
      <c r="A14083" s="1">
        <v>1.0</v>
      </c>
      <c r="B14083" s="1" t="s">
        <v>13955</v>
      </c>
      <c r="C14083" t="str">
        <f>IFERROR(__xludf.DUMMYFUNCTION("GOOGLETRANSLATE(B14083, ""es"", ""en"")"),"Plastiquito PURO Feos and are worthless. Of plastic. Actually, for what they're worth I did not expect anything better. I stay me to give them to someone who hate hehehehe")</f>
        <v>Plastiquito PURO Feos and are worthless. Of plastic. Actually, for what they're worth I did not expect anything better. I stay me to give them to someone who hate hehehehe</v>
      </c>
    </row>
    <row r="14084">
      <c r="A14084" s="1">
        <v>1.0</v>
      </c>
      <c r="B14084" s="1" t="s">
        <v>13956</v>
      </c>
      <c r="C14084" t="str">
        <f>IFERROR(__xludf.DUMMYFUNCTION("GOOGLETRANSLATE(B14084, ""es"", ""en"")"),"the engine burned the fourth day of use I can give a good opinion of this product, since the fourth day of having it burned when the engine was making a fruit smoothie getting cut into small pieces. So for this reason I can not recommend this product beca"&amp;"use it has been quite a disappointment. Return.")</f>
        <v>the engine burned the fourth day of use I can give a good opinion of this product, since the fourth day of having it burned when the engine was making a fruit smoothie getting cut into small pieces. So for this reason I can not recommend this product because it has been quite a disappointment. Return.</v>
      </c>
    </row>
    <row r="14085">
      <c r="A14085" s="1">
        <v>1.0</v>
      </c>
      <c r="B14085" s="1" t="s">
        <v>13957</v>
      </c>
      <c r="C14085" t="str">
        <f>IFERROR(__xludf.DUMMYFUNCTION("GOOGLETRANSLATE(B14085, ""es"", ""en"")"),"Malisimo Worst appliance I bought in my life. I got the order 10 minutes ago. First test with a peach into pieces, raisins and oat milk. Do not go, adjusting nut shaft is past and turn the engine false. A fiasco, to return and continue with my old blender"&amp;".")</f>
        <v>Malisimo Worst appliance I bought in my life. I got the order 10 minutes ago. First test with a peach into pieces, raisins and oat milk. Do not go, adjusting nut shaft is past and turn the engine false. A fiasco, to return and continue with my old blender.</v>
      </c>
    </row>
    <row r="14086">
      <c r="A14086" s="1">
        <v>4.0</v>
      </c>
      <c r="B14086" s="1" t="s">
        <v>13958</v>
      </c>
      <c r="C14086" t="str">
        <f>IFERROR(__xludf.DUMMYFUNCTION("GOOGLETRANSLATE(B14086, ""es"", ""en"")"),"Well good product for the price it has. The cover photo is very small but leaves many photos fit inside depending on the size. Good product, nice, perfect color and good quality")</f>
        <v>Well good product for the price it has. The cover photo is very small but leaves many photos fit inside depending on the size. Good product, nice, perfect color and good quality</v>
      </c>
    </row>
    <row r="14087">
      <c r="A14087" s="1">
        <v>4.0</v>
      </c>
      <c r="B14087" s="1" t="s">
        <v>13959</v>
      </c>
      <c r="C14087" t="str">
        <f>IFERROR(__xludf.DUMMYFUNCTION("GOOGLETRANSLATE(B14087, ""es"", ""en"")"),"Good quality, very large hole for babies 6, 7 Months Teats The are of the same quality q all natural avent. I would not recommend for a 6, 7 months, at least mine is not able to swallow without choking all.")</f>
        <v>Good quality, very large hole for babies 6, 7 Months Teats The are of the same quality q all natural avent. I would not recommend for a 6, 7 months, at least mine is not able to swallow without choking all.</v>
      </c>
    </row>
    <row r="14088">
      <c r="A14088" s="1">
        <v>4.0</v>
      </c>
      <c r="B14088" s="1" t="s">
        <v>13960</v>
      </c>
      <c r="C14088" t="str">
        <f>IFERROR(__xludf.DUMMYFUNCTION("GOOGLETRANSLATE(B14088, ""es"", ""en"")"),"I recommend very good buy. relationship - remarkable quality. I do not get it 5 stars because the first day I have left and have lost two anchor screws. Interestingly both of the right side, one shoe, the tightened enough but the apparently not enough. ho"&amp;"wever they are practical and comfortable")</f>
        <v>I recommend very good buy. relationship - remarkable quality. I do not get it 5 stars because the first day I have left and have lost two anchor screws. Interestingly both of the right side, one shoe, the tightened enough but the apparently not enough. however they are practical and comfortable</v>
      </c>
    </row>
    <row r="14089">
      <c r="A14089" s="1">
        <v>4.0</v>
      </c>
      <c r="B14089" s="1" t="s">
        <v>13961</v>
      </c>
      <c r="C14089" t="str">
        <f>IFERROR(__xludf.DUMMYFUNCTION("GOOGLETRANSLATE(B14089, ""es"", ""en"")"),"Okay if you use little and easy things to grind several months of use I can make an opinion and well built. The bottom line is that if you do things with maximum 1/2 minutes to go shred, any type shake carrying some liquid, it goes well. If you start to m"&amp;"ake hummus for example, that it takes a tad more ... it begins to smoke and smell of burning out and gives miedito. If you want a multipurpose machine that you want for all, spend a tad more and you will. This not give a very long life.")</f>
        <v>Okay if you use little and easy things to grind several months of use I can make an opinion and well built. The bottom line is that if you do things with maximum 1/2 minutes to go shred, any type shake carrying some liquid, it goes well. If you start to make hummus for example, that it takes a tad more ... it begins to smoke and smell of burning out and gives miedito. If you want a multipurpose machine that you want for all, spend a tad more and you will. This not give a very long life.</v>
      </c>
    </row>
    <row r="14090">
      <c r="A14090" s="1">
        <v>5.0</v>
      </c>
      <c r="B14090" s="1" t="s">
        <v>13962</v>
      </c>
      <c r="C14090" t="str">
        <f>IFERROR(__xludf.DUMMYFUNCTION("GOOGLETRANSLATE(B14090, ""es"", ""en"")"),"Comfortable shoes are comfortable you can put daily.")</f>
        <v>Comfortable shoes are comfortable you can put daily.</v>
      </c>
    </row>
    <row r="14091">
      <c r="A14091" s="1">
        <v>5.0</v>
      </c>
      <c r="B14091" s="1" t="s">
        <v>13963</v>
      </c>
      <c r="C14091" t="str">
        <f>IFERROR(__xludf.DUMMYFUNCTION("GOOGLETRANSLATE(B14091, ""es"", ""en"")"),"Very good very easy to use and clean. Easy assembly. No hits after months of use.")</f>
        <v>Very good very easy to use and clean. Easy assembly. No hits after months of use.</v>
      </c>
    </row>
    <row r="14092">
      <c r="A14092" s="1">
        <v>5.0</v>
      </c>
      <c r="B14092" s="1" t="s">
        <v>13964</v>
      </c>
      <c r="C14092" t="str">
        <f>IFERROR(__xludf.DUMMYFUNCTION("GOOGLETRANSLATE(B14092, ""es"", ""en"")"),"Talla money very well and good warm")</f>
        <v>Talla money very well and good warm</v>
      </c>
    </row>
    <row r="14093">
      <c r="A14093" s="1">
        <v>5.0</v>
      </c>
      <c r="B14093" s="1" t="s">
        <v>13965</v>
      </c>
      <c r="C14093" t="str">
        <f>IFERROR(__xludf.DUMMYFUNCTION("GOOGLETRANSLATE(B14093, ""es"", ""en"")"),"Fernando Gomez Excellent!")</f>
        <v>Fernando Gomez Excellent!</v>
      </c>
    </row>
    <row r="14094">
      <c r="A14094" s="1">
        <v>5.0</v>
      </c>
      <c r="B14094" s="1" t="s">
        <v>13966</v>
      </c>
      <c r="C14094" t="str">
        <f>IFERROR(__xludf.DUMMYFUNCTION("GOOGLETRANSLATE(B14094, ""es"", ""en"")"),"Great great everything")</f>
        <v>Great great everything</v>
      </c>
    </row>
    <row r="14095">
      <c r="A14095" s="1">
        <v>5.0</v>
      </c>
      <c r="B14095" s="1" t="s">
        <v>13967</v>
      </c>
      <c r="C14095" t="str">
        <f>IFERROR(__xludf.DUMMYFUNCTION("GOOGLETRANSLATE(B14095, ""es"", ""en"")"),"Just what I wanted I needed a bag to take away things from his pockets and found this is just what I wanted, waterproof and large capacity for my needs. Creamalleras good quality and very comfortable strap")</f>
        <v>Just what I wanted I needed a bag to take away things from his pockets and found this is just what I wanted, waterproof and large capacity for my needs. Creamalleras good quality and very comfortable strap</v>
      </c>
    </row>
    <row r="14096">
      <c r="A14096" s="1">
        <v>5.0</v>
      </c>
      <c r="B14096" s="1" t="s">
        <v>13968</v>
      </c>
      <c r="C14096" t="str">
        <f>IFERROR(__xludf.DUMMYFUNCTION("GOOGLETRANSLATE(B14096, ""es"", ""en"")"),"Very nice and convenient. We liked a lot. Well finished, nice design and good size. It is comfortable and practical. Recommendable.")</f>
        <v>Very nice and convenient. We liked a lot. Well finished, nice design and good size. It is comfortable and practical. Recommendable.</v>
      </c>
    </row>
    <row r="14097">
      <c r="A14097" s="1">
        <v>5.0</v>
      </c>
      <c r="B14097" s="1" t="s">
        <v>13969</v>
      </c>
      <c r="C14097" t="str">
        <f>IFERROR(__xludf.DUMMYFUNCTION("GOOGLETRANSLATE(B14097, ""es"", ""en"")"),"A very good quality knife Victorinox quality and very sharp as I expected, a product 5 stars")</f>
        <v>A very good quality knife Victorinox quality and very sharp as I expected, a product 5 stars</v>
      </c>
    </row>
    <row r="14098">
      <c r="A14098" s="1">
        <v>5.0</v>
      </c>
      <c r="B14098" s="1" t="s">
        <v>13970</v>
      </c>
      <c r="C14098" t="str">
        <f>IFERROR(__xludf.DUMMYFUNCTION("GOOGLETRANSLATE(B14098, ""es"", ""en"")"),"Good album! I love the performance that this SSD. It goes fast and get rates 500 MB / s real. Not to be confused with the disc of the same brand but it takes on the label instead of SSD, Solid State Disk, and that's not 500GB, 480GB and but is somewhat sl"&amp;"ower.")</f>
        <v>Good album! I love the performance that this SSD. It goes fast and get rates 500 MB / s real. Not to be confused with the disc of the same brand but it takes on the label instead of SSD, Solid State Disk, and that's not 500GB, 480GB and but is somewhat slower.</v>
      </c>
    </row>
    <row r="14099">
      <c r="A14099" s="1">
        <v>5.0</v>
      </c>
      <c r="B14099" s="1" t="s">
        <v>13971</v>
      </c>
      <c r="C14099" t="str">
        <f>IFERROR(__xludf.DUMMYFUNCTION("GOOGLETRANSLATE(B14099, ""es"", ""en"")"),"Like chain en.las photos perfect as a gift, I came fast and well presented.")</f>
        <v>Like chain en.las photos perfect as a gift, I came fast and well presented.</v>
      </c>
    </row>
    <row r="14100">
      <c r="A14100" s="1">
        <v>5.0</v>
      </c>
      <c r="B14100" s="1" t="s">
        <v>13972</v>
      </c>
      <c r="C14100" t="str">
        <f>IFERROR(__xludf.DUMMYFUNCTION("GOOGLETRANSLATE(B14100, ""es"", ""en"")"),"I use this great brand with my daughter since she was born. Now two years old and only used bottles and pacifiers Mam. Now that you've come this larger format I am doubly delighted !!! It came to me in lilac, I'm very happy.")</f>
        <v>I use this great brand with my daughter since she was born. Now two years old and only used bottles and pacifiers Mam. Now that you've come this larger format I am doubly delighted !!! It came to me in lilac, I'm very happy.</v>
      </c>
    </row>
    <row r="14101">
      <c r="A14101" s="1">
        <v>5.0</v>
      </c>
      <c r="B14101" s="1" t="s">
        <v>13973</v>
      </c>
      <c r="C14101" t="str">
        <f>IFERROR(__xludf.DUMMYFUNCTION("GOOGLETRANSLATE(B14101, ""es"", ""en"")"),"The time is looks good looks good time, sometimes the buttons are pressed unintentionally")</f>
        <v>The time is looks good looks good time, sometimes the buttons are pressed unintentionally</v>
      </c>
    </row>
    <row r="14102">
      <c r="A14102" s="1">
        <v>5.0</v>
      </c>
      <c r="B14102" s="1" t="s">
        <v>13974</v>
      </c>
      <c r="C14102" t="str">
        <f>IFERROR(__xludf.DUMMYFUNCTION("GOOGLETRANSLATE(B14102, ""es"", ""en"")"),"Ismael Caros. After seeing these strands in Chinese much cheaper. K is assumed these will be better, but for the price k nothing")</f>
        <v>Ismael Caros. After seeing these strands in Chinese much cheaper. K is assumed these will be better, but for the price k nothing</v>
      </c>
    </row>
    <row r="14103">
      <c r="A14103" s="1">
        <v>5.0</v>
      </c>
      <c r="B14103" s="1" t="s">
        <v>13975</v>
      </c>
      <c r="C14103" t="str">
        <f>IFERROR(__xludf.DUMMYFUNCTION("GOOGLETRANSLATE(B14103, ""es"", ""en"")"),"Quality good service good price")</f>
        <v>Quality good service good price</v>
      </c>
    </row>
    <row r="14104">
      <c r="A14104" s="1">
        <v>5.0</v>
      </c>
      <c r="B14104" s="1" t="s">
        <v>13976</v>
      </c>
      <c r="C14104" t="str">
        <f>IFERROR(__xludf.DUMMYFUNCTION("GOOGLETRANSLATE(B14104, ""es"", ""en"")"),"Very good shoe good shoe for work, comfortable and manufacturing quality. Its price is not your forte but compensates with its qualities. Calza something right with the number you usually use my lady, the days will go settling.")</f>
        <v>Very good shoe good shoe for work, comfortable and manufacturing quality. Its price is not your forte but compensates with its qualities. Calza something right with the number you usually use my lady, the days will go settling.</v>
      </c>
    </row>
    <row r="14105">
      <c r="A14105" s="1">
        <v>5.0</v>
      </c>
      <c r="B14105" s="1" t="s">
        <v>13977</v>
      </c>
      <c r="C14105" t="str">
        <f>IFERROR(__xludf.DUMMYFUNCTION("GOOGLETRANSLATE(B14105, ""es"", ""en"")"),"Very useful from 6 months old just bought for my baby 6 months q almost feel alone and it's great. Q is great and I think I can use it for bsstante time. It also folds and unfolds easily and has good material")</f>
        <v>Very useful from 6 months old just bought for my baby 6 months q almost feel alone and it's great. Q is great and I think I can use it for bsstante time. It also folds and unfolds easily and has good material</v>
      </c>
    </row>
    <row r="14106">
      <c r="A14106" s="1">
        <v>5.0</v>
      </c>
      <c r="B14106" s="1" t="s">
        <v>13978</v>
      </c>
      <c r="C14106" t="str">
        <f>IFERROR(__xludf.DUMMYFUNCTION("GOOGLETRANSLATE(B14106, ""es"", ""en"")"),"As he expected. I trot them daily and are very comfortable. The perfect size. Great quality.")</f>
        <v>As he expected. I trot them daily and are very comfortable. The perfect size. Great quality.</v>
      </c>
    </row>
    <row r="14107">
      <c r="A14107" s="1">
        <v>5.0</v>
      </c>
      <c r="B14107" s="1" t="s">
        <v>13979</v>
      </c>
      <c r="C14107" t="str">
        <f>IFERROR(__xludf.DUMMYFUNCTION("GOOGLETRANSLATE(B14107, ""es"", ""en"")"),"Comfortable good grip, holds well for impact activity such as horseback riding, at the least with a small crown as b. I usually use Shock Absorber, but bite into shoulders and contour, with this fastener does not pass and costs half.")</f>
        <v>Comfortable good grip, holds well for impact activity such as horseback riding, at the least with a small crown as b. I usually use Shock Absorber, but bite into shoulders and contour, with this fastener does not pass and costs half.</v>
      </c>
    </row>
    <row r="14108">
      <c r="A14108" s="1">
        <v>5.0</v>
      </c>
      <c r="B14108" s="1" t="s">
        <v>13980</v>
      </c>
      <c r="C14108" t="str">
        <f>IFERROR(__xludf.DUMMYFUNCTION("GOOGLETRANSLATE(B14108, ""es"", ""en"")"),"Calming my pain Meets all expectations I expected")</f>
        <v>Calming my pain Meets all expectations I expected</v>
      </c>
    </row>
    <row r="14109">
      <c r="A14109" s="1">
        <v>2.0</v>
      </c>
      <c r="B14109" s="1" t="s">
        <v>13981</v>
      </c>
      <c r="C14109" t="str">
        <f>IFERROR(__xludf.DUMMYFUNCTION("GOOGLETRANSLATE(B14109, ""es"", ""en"")"),"It is not what is expected underpowered")</f>
        <v>It is not what is expected underpowered</v>
      </c>
    </row>
    <row r="14110">
      <c r="A14110" s="1">
        <v>3.0</v>
      </c>
      <c r="B14110" s="1" t="s">
        <v>13982</v>
      </c>
      <c r="C14110" t="str">
        <f>IFERROR(__xludf.DUMMYFUNCTION("GOOGLETRANSLATE(B14110, ""es"", ""en"")"),"Very small are very nice. Something finer than I expected, wearing the sock looks through the holes. The last I have found extremely small, on brands like Nike I wear a 36, ​​for the comments I saw ordered a 37 and still have had to change the average num"&amp;"ber by more than suffice me hope. very fast shipping and I arrived perfect. They are original.")</f>
        <v>Very small are very nice. Something finer than I expected, wearing the sock looks through the holes. The last I have found extremely small, on brands like Nike I wear a 36, ​​for the comments I saw ordered a 37 and still have had to change the average number by more than suffice me hope. very fast shipping and I arrived perfect. They are original.</v>
      </c>
    </row>
    <row r="14111">
      <c r="A14111" s="1">
        <v>3.0</v>
      </c>
      <c r="B14111" s="1" t="s">
        <v>13983</v>
      </c>
      <c r="C14111" t="str">
        <f>IFERROR(__xludf.DUMMYFUNCTION("GOOGLETRANSLATE(B14111, ""es"", ""en"")"),"Enrique Bahi The pants fits me as has the jacket is quite fair, the fabric is quite thin but overall is fine,")</f>
        <v>Enrique Bahi The pants fits me as has the jacket is quite fair, the fabric is quite thin but overall is fine,</v>
      </c>
    </row>
    <row r="14112">
      <c r="A14112" s="1">
        <v>1.0</v>
      </c>
      <c r="B14112" s="1" t="s">
        <v>13984</v>
      </c>
      <c r="C14112" t="str">
        <f>IFERROR(__xludf.DUMMYFUNCTION("GOOGLETRANSLATE(B14112, ""es"", ""en"")"),"Returned are too small because they are too small in the picture appear larger")</f>
        <v>Returned are too small because they are too small in the picture appear larger</v>
      </c>
    </row>
    <row r="14113">
      <c r="A14113" s="1">
        <v>1.0</v>
      </c>
      <c r="B14113" s="1" t="s">
        <v>13985</v>
      </c>
      <c r="C14113" t="str">
        <f>IFERROR(__xludf.DUMMYFUNCTION("GOOGLETRANSLATE(B14113, ""es"", ""en"")"),"It's a rip-off are false")</f>
        <v>It's a rip-off are false</v>
      </c>
    </row>
    <row r="14114">
      <c r="A14114" s="1">
        <v>4.0</v>
      </c>
      <c r="B14114" s="1" t="s">
        <v>13986</v>
      </c>
      <c r="C14114" t="str">
        <f>IFERROR(__xludf.DUMMYFUNCTION("GOOGLETRANSLATE(B14114, ""es"", ""en"")"),"Good for the price is right. its role ago and is lasting, which is not enough to put him rattle.")</f>
        <v>Good for the price is right. its role ago and is lasting, which is not enough to put him rattle.</v>
      </c>
    </row>
    <row r="14115">
      <c r="A14115" s="1">
        <v>4.0</v>
      </c>
      <c r="B14115" s="1" t="s">
        <v>13987</v>
      </c>
      <c r="C14115" t="str">
        <f>IFERROR(__xludf.DUMMYFUNCTION("GOOGLETRANSLATE(B14115, ""es"", ""en"")"),"Convenient and comfortable the moment I'm delighted. The only thing I have not tried is crushing ice or frozen fruit (why not give it 5 stars). Super easy to clean at the time and does not stain anything.")</f>
        <v>Convenient and comfortable the moment I'm delighted. The only thing I have not tried is crushing ice or frozen fruit (why not give it 5 stars). Super easy to clean at the time and does not stain anything.</v>
      </c>
    </row>
    <row r="14116">
      <c r="A14116" s="1">
        <v>4.0</v>
      </c>
      <c r="B14116" s="1" t="s">
        <v>13988</v>
      </c>
      <c r="C14116" t="str">
        <f>IFERROR(__xludf.DUMMYFUNCTION("GOOGLETRANSLATE(B14116, ""es"", ""en"")"),"Good buy for gifts. It is a gift and looks good, is nice and not very big. It is such that the photos. All the chain is quite thin. I buy flash deal and I felt good price.")</f>
        <v>Good buy for gifts. It is a gift and looks good, is nice and not very big. It is such that the photos. All the chain is quite thin. I buy flash deal and I felt good price.</v>
      </c>
    </row>
    <row r="14117">
      <c r="A14117" s="1">
        <v>4.0</v>
      </c>
      <c r="B14117" s="1" t="s">
        <v>13989</v>
      </c>
      <c r="C14117" t="str">
        <f>IFERROR(__xludf.DUMMYFUNCTION("GOOGLETRANSLATE(B14117, ""es"", ""en"")"),"Good very good, fast, good quality / price")</f>
        <v>Good very good, fast, good quality / price</v>
      </c>
    </row>
    <row r="14118">
      <c r="A14118" s="1">
        <v>4.0</v>
      </c>
      <c r="B14118" s="1" t="s">
        <v>13990</v>
      </c>
      <c r="C14118" t="str">
        <f>IFERROR(__xludf.DUMMYFUNCTION("GOOGLETRANSLATE(B14118, ""es"", ""en"")"),"I ordered a very good justito 41 and comes justito, otherwise perfect everything.")</f>
        <v>I ordered a very good justito 41 and comes justito, otherwise perfect everything.</v>
      </c>
    </row>
    <row r="14119">
      <c r="A14119" s="1">
        <v>5.0</v>
      </c>
      <c r="B14119" s="1" t="s">
        <v>13991</v>
      </c>
      <c r="C14119" t="str">
        <f>IFERROR(__xludf.DUMMYFUNCTION("GOOGLETRANSLATE(B14119, ""es"", ""en"")"),"perfect great value for money, it looks very weak, but fine records, even camouflaged clothes, perfect, I recommend it.")</f>
        <v>perfect great value for money, it looks very weak, but fine records, even camouflaged clothes, perfect, I recommend it.</v>
      </c>
    </row>
    <row r="14120">
      <c r="A14120" s="1">
        <v>5.0</v>
      </c>
      <c r="B14120" s="1" t="s">
        <v>13992</v>
      </c>
      <c r="C14120" t="str">
        <f>IFERROR(__xludf.DUMMYFUNCTION("GOOGLETRANSLATE(B14120, ""es"", ""en"")"),"Dampen very comfortable tread very, very light")</f>
        <v>Dampen very comfortable tread very, very light</v>
      </c>
    </row>
    <row r="14121">
      <c r="A14121" s="1">
        <v>5.0</v>
      </c>
      <c r="B14121" s="1" t="s">
        <v>13993</v>
      </c>
      <c r="C14121" t="str">
        <f>IFERROR(__xludf.DUMMYFUNCTION("GOOGLETRANSLATE(B14121, ""es"", ""en"")"),"Very good contrauida solid slate and accessories. The seller, 10.")</f>
        <v>Very good contrauida solid slate and accessories. The seller, 10.</v>
      </c>
    </row>
    <row r="14122">
      <c r="A14122" s="1">
        <v>5.0</v>
      </c>
      <c r="B14122" s="1" t="s">
        <v>13994</v>
      </c>
      <c r="C14122" t="str">
        <f>IFERROR(__xludf.DUMMYFUNCTION("GOOGLETRANSLATE(B14122, ""es"", ""en"")"),"ok fast delivery and excellent product value")</f>
        <v>ok fast delivery and excellent product value</v>
      </c>
    </row>
    <row r="14123">
      <c r="A14123" s="1">
        <v>5.0</v>
      </c>
      <c r="B14123" s="1" t="s">
        <v>13995</v>
      </c>
      <c r="C14123" t="str">
        <f>IFERROR(__xludf.DUMMYFUNCTION("GOOGLETRANSLATE(B14123, ""es"", ""en"")"),"As expected PRODUCT PRODUCT came fast, PACKAGING PROPERLY WITH ORIGINAL PACKED SUUNTO. BELT AND BRINGS COMPLETE SET OF SPARE screws and washers to change the belt. A MAJOR FIXER FOR BRINGING A GLUE NOT LEAVE THE BOLTS once installed. DESTORNILLADOR BRINGS"&amp;" NO.")</f>
        <v>As expected PRODUCT PRODUCT came fast, PACKAGING PROPERLY WITH ORIGINAL PACKED SUUNTO. BELT AND BRINGS COMPLETE SET OF SPARE screws and washers to change the belt. A MAJOR FIXER FOR BRINGING A GLUE NOT LEAVE THE BOLTS once installed. DESTORNILLADOR BRINGS NO.</v>
      </c>
    </row>
    <row r="14124">
      <c r="A14124" s="1">
        <v>5.0</v>
      </c>
      <c r="B14124" s="1" t="s">
        <v>13996</v>
      </c>
      <c r="C14124" t="str">
        <f>IFERROR(__xludf.DUMMYFUNCTION("GOOGLETRANSLATE(B14124, ""es"", ""en"")"),"I love Very good. :)")</f>
        <v>I love Very good. :)</v>
      </c>
    </row>
    <row r="14125">
      <c r="A14125" s="1">
        <v>5.0</v>
      </c>
      <c r="B14125" s="1" t="s">
        <v>13997</v>
      </c>
      <c r="C14125" t="str">
        <f>IFERROR(__xludf.DUMMYFUNCTION("GOOGLETRANSLATE(B14125, ""es"", ""en"")"),"Fulfills its function. Perfect, although I have found in specific surface it tend to arch in the distal portions to the squab.")</f>
        <v>Fulfills its function. Perfect, although I have found in specific surface it tend to arch in the distal portions to the squab.</v>
      </c>
    </row>
    <row r="14126">
      <c r="A14126" s="1">
        <v>5.0</v>
      </c>
      <c r="B14126" s="1" t="s">
        <v>13998</v>
      </c>
      <c r="C14126" t="str">
        <f>IFERROR(__xludf.DUMMYFUNCTION("GOOGLETRANSLATE(B14126, ""es"", ""en"")"),"I really like are as expected, but has also liked the variety in its colors. Better than expected.")</f>
        <v>I really like are as expected, but has also liked the variety in its colors. Better than expected.</v>
      </c>
    </row>
    <row r="14127">
      <c r="A14127" s="1">
        <v>5.0</v>
      </c>
      <c r="B14127" s="1" t="s">
        <v>13999</v>
      </c>
      <c r="C14127" t="str">
        <f>IFERROR(__xludf.DUMMYFUNCTION("GOOGLETRANSLATE(B14127, ""es"", ""en"")"),"Perfect, they are second now! Okay, they are the second I ask prque I asked about my boy and not oaraba of quitarsrlas, so these are for me! They are super comfortable and very resistant, are not untypical to which comes off the strip. They are foam and h"&amp;"ave the reliefs on the ground and that makes them super comfortable. The design is very basic but they are flip-flops, I recommend super!")</f>
        <v>Perfect, they are second now! Okay, they are the second I ask prque I asked about my boy and not oaraba of quitarsrlas, so these are for me! They are super comfortable and very resistant, are not untypical to which comes off the strip. They are foam and have the reliefs on the ground and that makes them super comfortable. The design is very basic but they are flip-flops, I recommend super!</v>
      </c>
    </row>
    <row r="14128">
      <c r="A14128" s="1">
        <v>5.0</v>
      </c>
      <c r="B14128" s="1" t="s">
        <v>14000</v>
      </c>
      <c r="C14128" t="str">
        <f>IFERROR(__xludf.DUMMYFUNCTION("GOOGLETRANSLATE(B14128, ""es"", ""en"")"),"Very Practice 10")</f>
        <v>Very Practice 10</v>
      </c>
    </row>
    <row r="14129">
      <c r="A14129" s="1">
        <v>5.0</v>
      </c>
      <c r="B14129" s="1" t="s">
        <v>14001</v>
      </c>
      <c r="C14129" t="str">
        <f>IFERROR(__xludf.DUMMYFUNCTION("GOOGLETRANSLATE(B14129, ""es"", ""en"")"),"I am delighted with this perfect mincer .... leaves chopped vegetables well without actually turning them into puree")</f>
        <v>I am delighted with this perfect mincer .... leaves chopped vegetables well without actually turning them into puree</v>
      </c>
    </row>
    <row r="14130">
      <c r="A14130" s="1">
        <v>5.0</v>
      </c>
      <c r="B14130" s="1" t="s">
        <v>14002</v>
      </c>
      <c r="C14130" t="str">
        <f>IFERROR(__xludf.DUMMYFUNCTION("GOOGLETRANSLATE(B14130, ""es"", ""en"")"),"Attractive and good quality a great watch, wear my 8 year old son is delighted with his temporadizador, regressive account, 5 alarms, and Phonebook up to 30 numbers. A great success, do not remove or to the beach or to the pool.")</f>
        <v>Attractive and good quality a great watch, wear my 8 year old son is delighted with his temporadizador, regressive account, 5 alarms, and Phonebook up to 30 numbers. A great success, do not remove or to the beach or to the pool.</v>
      </c>
    </row>
    <row r="14131">
      <c r="A14131" s="1">
        <v>5.0</v>
      </c>
      <c r="B14131" s="1" t="s">
        <v>14003</v>
      </c>
      <c r="C14131" t="str">
        <f>IFERROR(__xludf.DUMMYFUNCTION("GOOGLETRANSLATE(B14131, ""es"", ""en"")"),"It was a great gift")</f>
        <v>It was a great gift</v>
      </c>
    </row>
    <row r="14132">
      <c r="A14132" s="1">
        <v>5.0</v>
      </c>
      <c r="B14132" s="1" t="s">
        <v>14004</v>
      </c>
      <c r="C14132" t="str">
        <f>IFERROR(__xludf.DUMMYFUNCTION("GOOGLETRANSLATE(B14132, ""es"", ""en"")"),"Terrific comfortable. I bought for gifts, arrived ahead of schedule, with respect to the sizes I ignored the comments and asked for a larger size, and are perfect. red very nice. Very comfortable")</f>
        <v>Terrific comfortable. I bought for gifts, arrived ahead of schedule, with respect to the sizes I ignored the comments and asked for a larger size, and are perfect. red very nice. Very comfortable</v>
      </c>
    </row>
    <row r="14133">
      <c r="A14133" s="1">
        <v>5.0</v>
      </c>
      <c r="B14133" s="1" t="s">
        <v>14005</v>
      </c>
      <c r="C14133" t="str">
        <f>IFERROR(__xludf.DUMMYFUNCTION("GOOGLETRANSLATE(B14133, ""es"", ""en"")"),"Essential Oils good This is very good economy and affordable, the other day I bought a humidifier, with this Essential Oils perfect. For a few minutes the whole living room was fragrant.")</f>
        <v>Essential Oils good This is very good economy and affordable, the other day I bought a humidifier, with this Essential Oils perfect. For a few minutes the whole living room was fragrant.</v>
      </c>
    </row>
    <row r="14134">
      <c r="A14134" s="1">
        <v>5.0</v>
      </c>
      <c r="B14134" s="1" t="s">
        <v>14006</v>
      </c>
      <c r="C14134" t="str">
        <f>IFERROR(__xludf.DUMMYFUNCTION("GOOGLETRANSLATE(B14134, ""es"", ""en"")"),"good product is the second and bought the first changing the battery at the end of 3 or 4 years I enter water ...... perhaps putting Vaseline on the board ..... and I paid 26 euros")</f>
        <v>good product is the second and bought the first changing the battery at the end of 3 or 4 years I enter water ...... perhaps putting Vaseline on the board ..... and I paid 26 euros</v>
      </c>
    </row>
    <row r="14135">
      <c r="A14135" s="1">
        <v>5.0</v>
      </c>
      <c r="B14135" s="1" t="s">
        <v>14007</v>
      </c>
      <c r="C14135" t="str">
        <f>IFERROR(__xludf.DUMMYFUNCTION("GOOGLETRANSLATE(B14135, ""es"", ""en"")"),"Ideal for gift &lt;div id = ""video-block-R2A9V596CVCXAQ"" class = ""section a-a-a-spacing-small spacing-top-video mini-block""&gt; &lt;div tabindex = ""0"" class = ""airy airy- svg vmin-supported airy-skin-beacon ""style ="" background-color: rgb (0, 0, 0) positi"&amp;"on: relative; width: 100%; height: 100%; font-size: 0px; overflow: hidden; outline: none; ""&gt; &lt;div class ="" airy-renderer-container ""style ="" position: relative; height: 100%; width: 100%; ""&gt; &lt;video id ="" 15 ""preload ="" auto ""src = ""https://image"&amp;"s-eu.ssl-images-amazon.com/images/I/C1YyiY3Lv3S.mp4"" style = ""position: absolute; left: 0px; top: 0px; overflow: hidden; height: 1px; width: 1px; ""&gt; &lt;/ video&gt; &lt;/ div&gt; &lt;div id ="" airy-slate-preload ""style ="" background-color: rgb (0, 0, 0); backgroun"&amp;"d-image: url (&amp; quot; https: / /images-eu.ssl-images-amazon.com/images/I/819sziGJamS.png&amp;quot;); background-size: Contain; background-position: center center; background-repeat: no-repeat; position: absolute; top: 0px; left: 0px; visibility: visible; widt"&amp;"h: 100%; height: 100%; ""&gt; &lt;/ div&gt; &lt;iframe scrollin g = ""no"" frameborder = ""0"" src = ""about: blank"" style = ""display: none;""&gt; &lt;/ iframe&gt; &lt;div tabindex = ""- 1"" class = ""airy-controls-container"" style = "" opacity: 0; visibility: hidden; ""&gt; &lt;di"&amp;"v tabindex ="" - 1 ""class ="" airy-screen-size-toggle airy-fullscreen ""&gt; &lt;/ div&gt; &lt;div tabindex ="" - 1 ""class ="" airy-container-bottom "" &gt; &lt;div tabindex = ""- 1"" class = ""airy-track-bar-spacer-left"" style = ""width: 11px;""&gt; &lt;/ div&gt; &lt;div tabindex "&amp;"= ""- 1"" class = ""airy-play- airy toggle-play ""style ="" width: 12px; margin-right: 12px; ""&gt; &lt;/ div&gt; &lt;div tabindex ="" - 1 ""class ="" airy-audio-elements ""style ="" float: right; width: 34px; ""&gt; &lt;div tabindex ="" - 1 ""class ="" airy-audio-toggle a"&amp;"iry-on ""&gt; &lt;/ div&gt; &lt;div tabindex ="" - 1 ""class ="" airy-audio-container ""style = ""opacity: 0; visibility: hidden; ""&gt; &lt;div tabindex ="" - 1 ""class ="" airy-audio-track-bar ""style ="" height: 80%; ""&gt; &lt;div tabindex ="" - 1 ""class ="" airy-audio- Scr"&amp;"ubber-bar ""style ="" height: 85%; ""&gt; &lt;/ div&gt; &lt;div tabindex ="" - 1 ""class ="" airy-audio-scrubber ""style ="" height: 12px; bottom: 85% ""&gt; &lt;/ div&gt; &lt;/ div&gt; &lt;/ div&gt; &lt;/ div&gt; &lt;div tabindex ="" - 1 ""class ="" airy-duration-label ""style ="" float: right; "&amp;"width: 26px; margin-right: 4px; text-align: center; ""&gt; 0:00 &lt;/ div&gt; &lt;div tabindex ="" - 1 ""class ="" airy-track-bar-spacer-right ""style ="" float: right; width: 11px; ""&gt; &lt;/ div&gt; &lt;div tabindex ="" - 1 ""class ="" airy-track-bar-container ""style ="" ma"&amp;"rgin-left: 35px; margin-right: 75px; ""&gt; &lt;div tabindex ="" - 1 ""class ="" airy-airy-track-bar vertically-centering-table ""&gt; &lt;div tabindex ="" - 1 ""class ="" airy-Vertical-centering- table-cell ""&gt; &lt;div tabindex ="" - 1 ""class ="" airy-track-bar-elemen"&amp;"ts ""&gt; &lt;div tabindex ="" - 1 ""class ="" airy-progress-bar ""&gt; &lt;/ div&gt; &lt;div tabindex = ""- 1"" class = ""airy-scrubber-bar""&gt; &lt;/ div&gt; &lt;div tabindex = ""- 1"" class = ""airy-scrubber""&gt; &lt;div tabindex = ""- 1"" class = ""airy-scrubber- icon ""&gt; &lt;/ div&gt; &lt;div"&amp;" tabindex ="" - 1 ""class ="" airy-adjusted-AUI-tooltip ""style ="" opacity: 0; visibility: hidden; ""&gt; &lt;div tabindex ="" - 1 ""class ="" airy-adjusted-aui-tooltip-inner ""&gt; &lt;div tabindex ="" - 1 ""class ="" airy-current-time-label ""&gt; 0: 00 &lt;/ div&gt; &lt;/ di"&amp;"v&gt; &lt;div tabindex = ""- 1"" class = ""airy-adjusted-AUI-arrow-border""&gt; &lt;div tabindex = ""- 1"" class = ""airy-adjusted-AUI-arrow"" &gt; &lt;/ div&gt; &lt;/ div&gt; &lt;/ div&gt; &lt;/ div&gt; &lt;/ div&gt; &lt;/ div&gt; &lt;/ div&gt; &lt;/ div&gt; &lt;/ div&gt; &lt;/ div&gt; &lt;div tabindex = ""- 1"" class = ""airy-age"&amp;"-gate airy-stage airy-Vertical-centering-table airy-dialog"" style = ""opacity: 0; visibility: hidden; ""&gt; &lt;div tabindex ="" - 1 ""class ="" airy-age-gate-Vertical-centering-table-cell airy-Vertical-centering-table-cell ""&gt; &lt;div tabindex ="" - 1 ""class ="&amp;" ""airy-Vertical-centering-wrapper airy-age-gate-elements-wrapper""&gt; &lt;div tabindex = ""- 1"" class = ""airy-age-gate-elements airy-dialog-elements""&gt; &lt;div tabindex = "" -1 ""class ="" airy-age-gate-prompt ""&gt; This video is not Intended for all audiences W"&amp;"hat date were you born &lt;/ div&gt; &lt;div tabindex =.?"" - 1 ""class ="" airy-age-gate -inputs airy-dialog-inner-elements ""&gt; &lt;select tabindex ="" - 1 ""class ="" airy-age-gate-month ""&gt; &lt;option value ="" 1 ""&gt; January &lt;/ option&gt; &lt;option value ="" 2 ""&gt; Februar"&amp;"y &lt;/ option&gt; &lt;option value ="" 3 ""&gt; March &lt;/ option&gt; &lt;option value ="" 4 ""&gt; April &lt;/ option&gt; &lt;option value ="" 5 ""&gt; May &lt;/ option&gt; &lt;option value = ""6""&gt; June &lt;/ option&gt; &lt;option value = ""7""&gt; July &lt;/ option&gt; &lt;option value = ""8""&gt; August &lt;/ option&gt; &lt;o"&amp;"ption value = ""9""&gt; September &lt;/ option&gt; &lt;option value = ""10""&gt; October &lt;/ option&gt; &lt;option value = ""11""&gt; November &lt;/ option&gt; &lt;option value = ""12""&gt; December &lt;/ option&gt; &lt;/ select&gt; &lt;select tabindex = ""- 1"" class = ""airy-age-gate-day""&gt; &lt;opti on valu"&amp;"e = ""1""&gt; 1 &lt;/ option&gt; &lt;option value = ""2""&gt; 2 &lt;/ option&gt; &lt;option value = ""3""&gt; 3 &lt;/ option&gt; &lt;option value = ""4""&gt; 4 &lt;/ option &gt; &lt;option value = ""5""&gt; 5 &lt;/ option&gt; &lt;option value = ""6""&gt; 6 &lt;/ option&gt; &lt;option value = ""7""&gt; 7 &lt;/ option&gt; &lt;option value "&amp;"= ""8""&gt; 8 &lt; / option&gt; &lt;option value = ""9""&gt; 9 &lt;/ option&gt; &lt;option value = ""10""&gt; 10 &lt;/ option&gt; &lt;option value = ""11""&gt; 11 &lt;/ option&gt; &lt;option value = ""12""&gt; 12 &lt;/ option&gt; &lt;option value = ""13""&gt; 13 &lt;/ option&gt; &lt;option value = ""14""&gt; 14 &lt;/ option&gt; &lt;optio"&amp;"n value = ""15""&gt; 15 &lt;/ option&gt; &lt;option value = ""16 ""&gt; 16 &lt;/ option&gt; &lt;option value ="" 17 ""&gt; 17 &lt;/ option&gt; &lt;option value ="" 18 ""&gt; 18 &lt;/ option&gt; &lt;option value ="" 19 ""&gt; 19 &lt;/ option&gt; &lt;option value = ""20""&gt; 20 &lt;/ option&gt; &lt;option value = ""21""&gt; 21 &lt;/"&amp;"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option "&amp;"value = ""2018""&gt; 2018 &lt;/ option&gt; &lt;option value = ""2017""&gt; 2017 &lt;/ option&gt; &lt;option value = ""2016""&gt; ​​2016 &lt;/ option&gt; &lt;option value = ""2015""&gt; 2015 &lt;/ option &gt; &lt;option value = ""2014""&gt; 2014 &lt;/ option&gt; &lt;option value = ""2013""&gt; 2013 &lt;/ option&gt; &lt;option "&amp;"value = ""2012""&gt; 2012 &lt;/ option&gt; &lt;option value = ""2011""&gt; 2011 &lt; / option&gt; &lt;option value = ""2010""&gt; 2010 &lt;/ option&gt; &lt;option value = ""2009""&gt; 2009 &lt;/ option&gt; &lt;option value = ""2008""&gt; 2008 &lt;/ option&gt; &lt;option value = ""2007""&gt; 2007 &lt;/ option&gt; &lt;option va"&amp;"lue = ""2006""&gt; 2006 &lt;/ option&gt; &lt;option value = ""2005""&gt; 2005 &lt;/ option&gt; &lt;option value = ""2004""&gt; 2004 &lt;/ option&gt; &lt;option value = ""2003 ""&gt; 2003 &lt;/ option&gt; &lt;option value ="" 2002 ""&gt; 2002 &lt;/ option&gt; &lt;option value ="" 2001 ""&gt; 2001 &lt;/ option&gt; &lt;option va"&amp;"lue ="" 2000 ""&gt; 2000 &lt;/ option&gt; &lt;option value = ""1999""&gt; 1999 &lt;/ option&gt; &lt;option value = ""1998""&gt; 1998 &lt;/ option&gt; &lt;option value = ""1997""&gt; 1997 &lt;/ option&gt; &lt;option value = ""1996""&gt; 1996 &lt;/ option&gt; &lt;option value = ""1995""&gt; 1995 &lt;/ option&gt; &lt;option valu"&amp;"e = ""1994""&gt; 1994 &lt;/ option&gt; &lt;option value = ""1993""&gt; 1993 &lt;/ option&gt; &lt;option value = ""1992""&gt; 1992 &lt;/ option&gt; &lt;option value = ""1991""&gt; 1991 &lt;/ option&gt; &lt;option value = ""1990""&gt; 1990 &lt;/ option&gt; &lt;option value = "" 1989 ""&gt; 1989 &lt;/ option&gt; &lt;option value"&amp;" ="" 1988 ""&gt; 1988 &lt;/ option&gt; &lt;option value ="" 1987 ""&gt; 1987 &lt;/ option&gt; &lt;option value ="" 1986 ""&gt; 1986 &lt;/ option&gt; &lt;value option = ""1985""&gt; 1985 &lt;/ option&gt; &lt;option value = ""1984""&gt; 1984 &lt;/ option&gt; &lt;option value = ""1983""&gt; 1983 &lt;/ option&gt; &lt;option value"&amp;" = ""1982""&gt; 1982 &lt;/ option&gt; &lt; option value = ""1981""&gt; 1981 &lt;/ option&gt; &lt;option value = ""1980""&gt; 1980 &lt;/ option&gt; &lt;option value = ""1979""&gt; 1979 &lt;/ option&gt; &lt;option value = ""1978""&gt; 1978 &lt;/ option &gt; &lt;option value = ""1977""&gt; 1977 &lt;/ option&gt; &lt;option value "&amp;"= ""1976""&gt;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 "&amp;"""1958""&gt; 1958 &lt;/ option&gt; &lt;option value = ""1957""&gt; 1957 &lt;/ option&gt; &lt;option value = ""1956""&gt; 1956 &lt;/ option&gt; &lt;option value = ""1955""&gt; 1955 &lt;/ option&gt; &lt;option value = ""1954""&gt; 1954 &lt;/ option&gt; &lt;option value = ""1953""&gt; 1953 &lt;/ option&gt; &lt;option value = ""1"&amp;"952"" &gt; 1952 &lt;/ option&gt; &lt;option value = ""1951""&gt; 1951 &lt;/ option&gt; &lt;option value = ""1950""&gt; 1950 &lt;/ option&gt; &lt;option value = ""1949""&gt; 1949 &lt;/ option&gt; &lt;option value = "" 1948 ""&gt; 1948 &lt;/ option&gt; &lt;option value ="" 1947 ""&gt; 1947 &lt;/ option&gt; &lt;option value ="" "&amp;"1946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""19"&amp;"34""&gt; 1934 &lt;/ option&gt; &lt;option value = ""1933""&gt; 1933 &lt; / option&gt; &lt;option value = ""1932""&gt; 1932 &lt;/ option&gt; &lt;option value = ""1931""&gt; 1931 &lt;/ option&gt; &lt;option v alue = ""1930""&gt; 1930 &lt;/ option&gt; &lt;option value = ""1929""&gt; 1929 &lt;/ option&gt; &lt;option value = ""192"&amp;"8""&gt;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 1"&amp;"916 &lt;/ option&gt; &lt;option value = ""1915"" &gt; 1915 &lt;/ option&gt; &lt;option value = ""1914""&gt; 1914 &lt;/ option&gt; &lt;option value = ""1913""&gt; 1913 &lt;/ option&gt; &lt;option value = ""1912""&gt; 1912 &lt;/ option&gt; &lt;option value = "" 1911 ""&gt; 1911 &lt;/ option&gt; &lt;option value ="" 1910 ""&gt; "&amp;"1910 &lt;/ option&gt; &lt;option value ="" 1909 ""&gt; 1909 &lt;/ option&gt; &lt;option value ="" 1908 ""&gt; 1908 &lt;/ option&gt; &lt;value option = ""1907""&gt; 1907 &lt;/ option&gt; &lt;option value = ""1906""&gt; 1906 &lt;/ option&gt; &lt;option value = ""1905""&gt; 1905 &lt;/ option&gt; &lt;option value = ""1904""&gt; 1"&amp;"904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tabindex =."" - 1 ""class ="" airy-install-flash-"&amp;"button-wrapper airy -dialog-inner-elements ""&gt; &lt;div tabindex ="" - 1 ""class ="" airy-install-flash-button airy-button ""&gt; install Flash Player &lt;/ div&gt; &lt;/ div&gt; &lt;/ div&gt; &lt;/ div&gt; &lt;/ div&gt; &lt;/ div&gt; &lt;div tabindex = ""- 1"" class = ""airy-video-unsupported-dialog"&amp;" 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C1YyiY3Lv3S.mp4 ""Class ="" video-url ""&gt; &lt;input type ="" hidden ""name ="" ""value ="" https://images-eu.ssl-images-amazon.com/images/I/819sziGJamS.png ""class ="" video-slate-img-url ""&gt; &amp; nbsp; silver pendant with chain quite elega"&amp;"nt, ideal gift for a loved one with fine and delicate looks classy design and distinción.Llega well packaged in a padded box with foam, for proper protection.")</f>
        <v>Ideal for gift &lt;div id = "video-block-R2A9V596CVCXAQ" class = "section a-a-a-spacing-small spacing-top-video mini-block"&gt; &lt;div tabindex = "0" class = "airy airy- svg vmin-supported airy-skin-beacon "style =" background-color: rgb (0, 0, 0) position: relative; width: 100%; height: 100%; font-size: 0px; overflow: hidden; outline: none; "&gt; &lt;div class =" airy-renderer-container "style =" position: relative; height: 100%; width: 100%; "&gt; &lt;video id =" 15 "preload =" auto "src = "https://images-eu.ssl-images-amazon.com/images/I/C1YyiY3Lv3S.mp4" style = "position: absolute; left: 0px; top: 0px; overflow: hidden; height: 1px; width: 1px; "&gt; &lt;/ video&gt; &lt;/ div&gt; &lt;div id =" airy-slate-preload "style =" background-color: rgb (0, 0, 0); background-image: url (&amp; quot; https: / /images-eu.ssl-images-amazon.com/images/I/819sziGJamS.png&amp;quot;); background-size: Contain; background-position: center center; background-repeat: no-repeat; position: absolute; top: 0px; left: 0px; visibility: visible; width: 100%; height: 100%; "&gt; &lt;/ div&gt; &lt;iframe scrollin 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C1YyiY3Lv3S.mp4 "Class =" video-url "&gt; &lt;input type =" hidden "name =" "value =" https://images-eu.ssl-images-amazon.com/images/I/819sziGJamS.png "class =" video-slate-img-url "&gt; &amp; nbsp; silver pendant with chain quite elegant, ideal gift for a loved one with fine and delicate looks classy design and distinción.Llega well packaged in a padded box with foam, for proper protection.</v>
      </c>
    </row>
    <row r="14136">
      <c r="A14136" s="1">
        <v>5.0</v>
      </c>
      <c r="B14136" s="1" t="s">
        <v>14008</v>
      </c>
      <c r="C14136" t="str">
        <f>IFERROR(__xludf.DUMMYFUNCTION("GOOGLETRANSLATE(B14136, ""es"", ""en"")"),"Perfect, perfect, I love perfect, right Product what is expected of him, good fit and comfort, I asked my size and I are like a glove, the only downside I would for some would be that if you have the walk a bit wide maybe they tighten a little, but for me"&amp;" it is no problem. I love")</f>
        <v>Perfect, perfect, I love perfect, right Product what is expected of him, good fit and comfort, I asked my size and I are like a glove, the only downside I would for some would be that if you have the walk a bit wide maybe they tighten a little, but for me it is no problem. I love</v>
      </c>
    </row>
    <row r="14137">
      <c r="A14137" s="1">
        <v>2.0</v>
      </c>
      <c r="B14137" s="1" t="s">
        <v>14009</v>
      </c>
      <c r="C14137" t="str">
        <f>IFERROR(__xludf.DUMMYFUNCTION("GOOGLETRANSLATE(B14137, ""es"", ""en"")"),"Need another description The shoes are loneta of verano.Se should be specified in the description. The sizing is great.")</f>
        <v>Need another description The shoes are loneta of verano.Se should be specified in the description. The sizing is great.</v>
      </c>
    </row>
    <row r="14138">
      <c r="A14138" s="1">
        <v>3.0</v>
      </c>
      <c r="B14138" s="1" t="s">
        <v>14010</v>
      </c>
      <c r="C14138" t="str">
        <f>IFERROR(__xludf.DUMMYFUNCTION("GOOGLETRANSLATE(B14138, ""es"", ""en"")"),"It works well is pretty good, good buy in terms of quality / price.")</f>
        <v>It works well is pretty good, good buy in terms of quality / price.</v>
      </c>
    </row>
    <row r="14139">
      <c r="A14139" s="1">
        <v>3.0</v>
      </c>
      <c r="B14139" s="1" t="s">
        <v>14011</v>
      </c>
      <c r="C14139" t="str">
        <f>IFERROR(__xludf.DUMMYFUNCTION("GOOGLETRANSLATE(B14139, ""es"", ""en"")"),"Rrlacion money ok By hb photos looks bigger. It is depending on how you like")</f>
        <v>Rrlacion money ok By hb photos looks bigger. It is depending on how you like</v>
      </c>
    </row>
    <row r="14140">
      <c r="A14140" s="1">
        <v>1.0</v>
      </c>
      <c r="B14140" s="1" t="s">
        <v>14012</v>
      </c>
      <c r="C14140" t="str">
        <f>IFERROR(__xludf.DUMMYFUNCTION("GOOGLETRANSLATE(B14140, ""es"", ""en"")"),"Disaster not recommend anyone, legs and a little crap that despite the micro can not bear the weight and the risk of damaging the product corrw. The lower price does not justify his lousy quality")</f>
        <v>Disaster not recommend anyone, legs and a little crap that despite the micro can not bear the weight and the risk of damaging the product corrw. The lower price does not justify his lousy quality</v>
      </c>
    </row>
    <row r="14141">
      <c r="A14141" s="1">
        <v>1.0</v>
      </c>
      <c r="B14141" s="1" t="s">
        <v>14013</v>
      </c>
      <c r="C14141" t="str">
        <f>IFERROR(__xludf.DUMMYFUNCTION("GOOGLETRANSLATE(B14141, ""es"", ""en"")"),"Unlike photo The product does not look like the photo. It is soft but much thinner than it seems. Photo fabric is another.")</f>
        <v>Unlike photo The product does not look like the photo. It is soft but much thinner than it seems. Photo fabric is another.</v>
      </c>
    </row>
    <row r="14142">
      <c r="A14142" s="1">
        <v>4.0</v>
      </c>
      <c r="B14142" s="1" t="s">
        <v>14014</v>
      </c>
      <c r="C14142" t="str">
        <f>IFERROR(__xludf.DUMMYFUNCTION("GOOGLETRANSLATE(B14142, ""es"", ""en"")"),"Are larger with the image looks like the slope is bigger, but they are very small, perfect if you want something discreet and formal. They are beautiful")</f>
        <v>Are larger with the image looks like the slope is bigger, but they are very small, perfect if you want something discreet and formal. They are beautiful</v>
      </c>
    </row>
    <row r="14143">
      <c r="A14143" s="1">
        <v>4.0</v>
      </c>
      <c r="B14143" s="1" t="s">
        <v>14015</v>
      </c>
      <c r="C14143" t="str">
        <f>IFERROR(__xludf.DUMMYFUNCTION("GOOGLETRANSLATE(B14143, ""es"", ""en"")"),"A typical sports shoes breathable lifetime, breathable, comfortable and flexible. Fit perfectly to the foot, I overwhelm him and the sizing is correct. The template indicate that SoftFoam, which causes mold to tread, to touch is spongy and quite smooth. T"&amp;"he design is traditional, as a lifelong Puma, without frills or weird stuff, as it should be :) I have given my husband to try and he has spent many years already using Zero Drop shoe and virtually sole (such as 5 toes, barefoot, etc ...). In his opinion "&amp;"said to have been too with so much padding, which detracts ""life"" and ""feel"" to the foot, too sole and too damping everywhere ... I guess if you are looking for all these features in a shoe, this is yours: D But for someone used to the minimum protect"&amp;"ion or want to be making the change because they are not highly recommended. The price / quality ratio I see very well balanced, the product is quality, well finished, well sewn and is very comfortable for 55 € I think it's an excellent option.")</f>
        <v>A typical sports shoes breathable lifetime, breathable, comfortable and flexible. Fit perfectly to the foot, I overwhelm him and the sizing is correct. The template indicate that SoftFoam, which causes mold to tread, to touch is spongy and quite smooth. The design is traditional, as a lifelong Puma, without frills or weird stuff, as it should be :) I have given my husband to try and he has spent many years already using Zero Drop shoe and virtually sole (such as 5 toes, barefoot, etc ...). In his opinion said to have been too with so much padding, which detracts "life" and "feel" to the foot, too sole and too damping everywhere ... I guess if you are looking for all these features in a shoe, this is yours: D But for someone used to the minimum protection or want to be making the change because they are not highly recommended. The price / quality ratio I see very well balanced, the product is quality, well finished, well sewn and is very comfortable for 55 € I think it's an excellent option.</v>
      </c>
    </row>
    <row r="14144">
      <c r="A14144" s="1">
        <v>4.0</v>
      </c>
      <c r="B14144" s="1" t="s">
        <v>14016</v>
      </c>
      <c r="C14144" t="str">
        <f>IFERROR(__xludf.DUMMYFUNCTION("GOOGLETRANSLATE(B14144, ""es"", ""en"")"),"Perfect highly recommended, as I was waiting")</f>
        <v>Perfect highly recommended, as I was waiting</v>
      </c>
    </row>
    <row r="14145">
      <c r="A14145" s="1">
        <v>4.0</v>
      </c>
      <c r="B14145" s="1" t="s">
        <v>14017</v>
      </c>
      <c r="C14145" t="str">
        <f>IFERROR(__xludf.DUMMYFUNCTION("GOOGLETRANSLATE(B14145, ""es"", ""en"")"),"Warm is warm, soft, acceptable quality.")</f>
        <v>Warm is warm, soft, acceptable quality.</v>
      </c>
    </row>
    <row r="14146">
      <c r="A14146" s="1">
        <v>4.0</v>
      </c>
      <c r="B14146" s="1" t="s">
        <v>14018</v>
      </c>
      <c r="C14146" t="str">
        <f>IFERROR(__xludf.DUMMYFUNCTION("GOOGLETRANSLATE(B14146, ""es"", ""en"")"),"A nice touch for the price it is not bad. It has enough details that makes it original. It's something big for my taste but it is nice and hanging is not very long nor short, is up to about chest. See if you do not put ugly and I can wear it for a long ti"&amp;"me. I'll try to see if I turn back to the past and change some things in my current self, lol.")</f>
        <v>A nice touch for the price it is not bad. It has enough details that makes it original. It's something big for my taste but it is nice and hanging is not very long nor short, is up to about chest. See if you do not put ugly and I can wear it for a long time. I'll try to see if I turn back to the past and change some things in my current self, lol.</v>
      </c>
    </row>
    <row r="14147">
      <c r="A14147" s="1">
        <v>5.0</v>
      </c>
      <c r="B14147" s="1" t="s">
        <v>14019</v>
      </c>
      <c r="C14147" t="str">
        <f>IFERROR(__xludf.DUMMYFUNCTION("GOOGLETRANSLATE(B14147, ""es"", ""en"")"),"I ticked all my expectations great")</f>
        <v>I ticked all my expectations great</v>
      </c>
    </row>
    <row r="14148">
      <c r="A14148" s="1">
        <v>5.0</v>
      </c>
      <c r="B14148" s="1" t="s">
        <v>14020</v>
      </c>
      <c r="C14148" t="str">
        <f>IFERROR(__xludf.DUMMYFUNCTION("GOOGLETRANSLATE(B14148, ""es"", ""en"")"),"Quality / price undisputed Very happy with the product moment ... fully advise your purchase ...")</f>
        <v>Quality / price undisputed Very happy with the product moment ... fully advise your purchase ...</v>
      </c>
    </row>
    <row r="14149">
      <c r="A14149" s="1">
        <v>5.0</v>
      </c>
      <c r="B14149" s="1" t="s">
        <v>14021</v>
      </c>
      <c r="C14149" t="str">
        <f>IFERROR(__xludf.DUMMYFUNCTION("GOOGLETRANSLATE(B14149, ""es"", ""en"")"),"Good money I have received a few days ago and I have not given much use. I have tried on various types of paper and cardboard and cut it perfect, no jams or to do a lot of strength. I like it")</f>
        <v>Good money I have received a few days ago and I have not given much use. I have tried on various types of paper and cardboard and cut it perfect, no jams or to do a lot of strength. I like it</v>
      </c>
    </row>
    <row r="14150">
      <c r="A14150" s="1">
        <v>5.0</v>
      </c>
      <c r="B14150" s="1" t="s">
        <v>14022</v>
      </c>
      <c r="C14150" t="str">
        <f>IFERROR(__xludf.DUMMYFUNCTION("GOOGLETRANSLATE(B14150, ""es"", ""en"")"),"32gb pendrive design pendrive very nice. Pendrive ideal for what I wanted. My children ask me increasingly more YouTube videos and movies and want to be brought on TV or laptop. A being so light and occupy as little space is ideal to connect in very small"&amp;" spaces such as my TV. Capacity 32 Gb for what I needed more than enough and very good price. My kids very happy with such a nice pen.")</f>
        <v>32gb pendrive design pendrive very nice. Pendrive ideal for what I wanted. My children ask me increasingly more YouTube videos and movies and want to be brought on TV or laptop. A being so light and occupy as little space is ideal to connect in very small spaces such as my TV. Capacity 32 Gb for what I needed more than enough and very good price. My kids very happy with such a nice pen.</v>
      </c>
    </row>
    <row r="14151">
      <c r="A14151" s="1">
        <v>5.0</v>
      </c>
      <c r="B14151" s="1" t="s">
        <v>14023</v>
      </c>
      <c r="C14151" t="str">
        <f>IFERROR(__xludf.DUMMYFUNCTION("GOOGLETRANSLATE(B14151, ""es"", ""en"")"),"A very good product that I gave my allergy some silver and gold earrings, these are 100% perfect and very good quality. I still do not believe the price.")</f>
        <v>A very good product that I gave my allergy some silver and gold earrings, these are 100% perfect and very good quality. I still do not believe the price.</v>
      </c>
    </row>
    <row r="14152">
      <c r="A14152" s="1">
        <v>5.0</v>
      </c>
      <c r="B14152" s="1" t="s">
        <v>14024</v>
      </c>
      <c r="C14152" t="str">
        <f>IFERROR(__xludf.DUMMYFUNCTION("GOOGLETRANSLATE(B14152, ""es"", ""en"")"),"The expected. Exactly what is shown in the description. It's very good. The fabric and zippers are of good quality and properly sized pockets.")</f>
        <v>The expected. Exactly what is shown in the description. It's very good. The fabric and zippers are of good quality and properly sized pockets.</v>
      </c>
    </row>
    <row r="14153">
      <c r="A14153" s="1">
        <v>5.0</v>
      </c>
      <c r="B14153" s="1" t="s">
        <v>14025</v>
      </c>
      <c r="C14153" t="str">
        <f>IFERROR(__xludf.DUMMYFUNCTION("GOOGLETRANSLATE(B14153, ""es"", ""en"")"),"Great product is the best and is quite noticeable are expensive but their work is appreciated and speed")</f>
        <v>Great product is the best and is quite noticeable are expensive but their work is appreciated and speed</v>
      </c>
    </row>
    <row r="14154">
      <c r="A14154" s="1">
        <v>5.0</v>
      </c>
      <c r="B14154" s="1" t="s">
        <v>14026</v>
      </c>
      <c r="C14154" t="str">
        <f>IFERROR(__xludf.DUMMYFUNCTION("GOOGLETRANSLATE(B14154, ""es"", ""en"")"),"I love how comfortable it is great little leather bag, good finishes at a good price")</f>
        <v>I love how comfortable it is great little leather bag, good finishes at a good price</v>
      </c>
    </row>
    <row r="14155">
      <c r="A14155" s="1">
        <v>5.0</v>
      </c>
      <c r="B14155" s="1" t="s">
        <v>14027</v>
      </c>
      <c r="C14155" t="str">
        <f>IFERROR(__xludf.DUMMYFUNCTION("GOOGLETRANSLATE(B14155, ""es"", ""en"")"),"Leave purees as I like &lt;div id = ""video-block-RCG0EU5FAE260"" class = ""a-section a-spacing-small a-spacing-top mini video-block""&gt; &lt;div tabindex = ""0"" class = "" airy airy-svg vmin-supported ""style ="" background-color: rgb (0, 0, 0) position: relati"&amp;"ve; width: 100%; height: 100%; font-size: 0px; overflow: hidden; outline: none; ""&gt; &lt;div class ="" airy-renderer-container ""style ="" position: relative; height: 100%; width: 100%; ""&gt; &lt;/ div&gt; &lt;div id ="" airy Inslate-preload ""style = ""background-color"&amp;": rgb (0, 0, 0); background-image: url (&amp; quot; https: //images-eu.ssl-images-amazon.com/images/I/B1XnmELFmOS.png&amp;quot;); background -size: Contain; background-position: center center; background-repeat: no-repeat; position: absolute; top: 0px; left: 0px;"&amp;" visibility: visible; width: 100%; height: 100%; ""&gt; &lt;/ div&gt; &lt;iframe scrolling = ""no"" frameborder = ""0"" src = ""about: blank"" style = ""display: none;""&gt; &lt;/ iframe&gt; &lt;/ div&gt; &lt;/ div&gt; &lt;input type = ""hidden"" name = """" value = ""https://images-eu.ssl-"&amp;"images-amazon.com/images/I/A1X-2GUBAhS.mp4"" class = ""video-url""&gt; &lt;i Nput type = ""hidden"" name = """" value = ""https://images-eu.ssl-images-amazon.com/images/I/B1XnmELFmOS.png"" class = ""video-slate-img-url""&gt; &amp; nbsp ; it is a leaving blender, fine "&amp;"and smooth purees without after passing them through a sieve. It has five speeds in which you can choose the texture and turbo function that comes in handy for making milkshakes. It seems resistant glass and blades cut and work perfectly. The filter is wh"&amp;"at most already liked me to make different fruits juices leaves you only seedless juice or lumps. The assembly of the glass to fit it into the base has flanges to be rotated to fit, seem fragile, I hope they last. It has a nice design and a fairly large p"&amp;"itcher with what you can do pretty much. a greeting")</f>
        <v>Leave purees as I like &lt;div id = "video-block-RCG0EU5FAE260" class = "a-section a-spacing-small a-spacing-top mini video-block"&gt; &lt;div tabindex = "0" class = " airy airy-svg vmin-supported "style =" background-color: rgb (0, 0, 0) position: relative; width: 100%; height: 100%; font-size: 0px; overflow: hidden; outline: none; "&gt; &lt;div class =" airy-renderer-container "style =" position: relative; height: 100%; width: 100%; "&gt; &lt;/ div&gt; &lt;div id =" airy Inslate-preload "style = "background-color: rgb (0, 0, 0); background-image: url (&amp; quot; https: //images-eu.ssl-images-amazon.com/images/I/B1XnmELFmOS.png&amp;quot;); background -size: Contain; background-position: center center; background-repeat: no-repeat; position: absolute; top: 0px; left: 0px; visibility: visible; width: 100%; height: 100%; "&gt; &lt;/ div&gt; &lt;iframe scrolling = "no" frameborder = "0" src = "about: blank" style = "display: none;"&gt; &lt;/ iframe&gt; &lt;/ div&gt; &lt;/ div&gt; &lt;input type = "hidden" name = "" value = "https://images-eu.ssl-images-amazon.com/images/I/A1X-2GUBAhS.mp4" class = "video-url"&gt; &lt;i Nput type = "hidden" name = "" value = "https://images-eu.ssl-images-amazon.com/images/I/B1XnmELFmOS.png" class = "video-slate-img-url"&gt; &amp; nbsp ; it is a leaving blender, fine and smooth purees without after passing them through a sieve. It has five speeds in which you can choose the texture and turbo function that comes in handy for making milkshakes. It seems resistant glass and blades cut and work perfectly. The filter is what most already liked me to make different fruits juices leaves you only seedless juice or lumps. The assembly of the glass to fit it into the base has flanges to be rotated to fit, seem fragile, I hope they last. It has a nice design and a fairly large pitcher with what you can do pretty much. a greeting</v>
      </c>
    </row>
    <row r="14156">
      <c r="A14156" s="1">
        <v>5.0</v>
      </c>
      <c r="B14156" s="1" t="s">
        <v>14028</v>
      </c>
      <c r="C14156" t="str">
        <f>IFERROR(__xludf.DUMMYFUNCTION("GOOGLETRANSLATE(B14156, ""es"", ""en"")"),"I love! The design has pleased me is very striking, fun and colorful, my kids love it so much they do not go to bed without turning on the light at night, you can program 2 alarms and I think up to 5 different types of bells, sound of the sea, sound of se"&amp;"a gulls and various types of melodies. The only downside I get to say something, is the battery life.")</f>
        <v>I love! The design has pleased me is very striking, fun and colorful, my kids love it so much they do not go to bed without turning on the light at night, you can program 2 alarms and I think up to 5 different types of bells, sound of the sea, sound of sea gulls and various types of melodies. The only downside I get to say something, is the battery life.</v>
      </c>
    </row>
    <row r="14157">
      <c r="A14157" s="1">
        <v>5.0</v>
      </c>
      <c r="B14157" s="1" t="s">
        <v>14029</v>
      </c>
      <c r="C14157" t="str">
        <f>IFERROR(__xludf.DUMMYFUNCTION("GOOGLETRANSLATE(B14157, ""es"", ""en"")"),"Perfect Shoes are very comfortable, as seen in pictures and carve well.")</f>
        <v>Perfect Shoes are very comfortable, as seen in pictures and carve well.</v>
      </c>
    </row>
    <row r="14158">
      <c r="A14158" s="1">
        <v>5.0</v>
      </c>
      <c r="B14158" s="1" t="s">
        <v>14030</v>
      </c>
      <c r="C14158" t="str">
        <f>IFERROR(__xludf.DUMMYFUNCTION("GOOGLETRANSLATE(B14158, ""es"", ""en"")"),"Perfect good buy for the ballerina. The replacement after many years using this product is not on the market came all perfect")</f>
        <v>Perfect good buy for the ballerina. The replacement after many years using this product is not on the market came all perfect</v>
      </c>
    </row>
    <row r="14159">
      <c r="A14159" s="1">
        <v>5.0</v>
      </c>
      <c r="B14159" s="1" t="s">
        <v>14031</v>
      </c>
      <c r="C14159" t="str">
        <f>IFERROR(__xludf.DUMMYFUNCTION("GOOGLETRANSLATE(B14159, ""es"", ""en"")"),"Mincer good money was a gift for my mother and is super happy with this mincer of the brand Bosch. For now no hits.")</f>
        <v>Mincer good money was a gift for my mother and is super happy with this mincer of the brand Bosch. For now no hits.</v>
      </c>
    </row>
    <row r="14160">
      <c r="A14160" s="1">
        <v>5.0</v>
      </c>
      <c r="B14160" s="1" t="s">
        <v>14032</v>
      </c>
      <c r="C14160" t="str">
        <f>IFERROR(__xludf.DUMMYFUNCTION("GOOGLETRANSLATE(B14160, ""es"", ""en"")"),"Soft tissue soft tissue, looks good because I put it with Maya,")</f>
        <v>Soft tissue soft tissue, looks good because I put it with Maya,</v>
      </c>
    </row>
    <row r="14161">
      <c r="A14161" s="1">
        <v>5.0</v>
      </c>
      <c r="B14161" s="1" t="s">
        <v>14033</v>
      </c>
      <c r="C14161" t="str">
        <f>IFERROR(__xludf.DUMMYFUNCTION("GOOGLETRANSLATE(B14161, ""es"", ""en"")"),"Perfect for making protein shakes is perfect. Mix in a minute perfectly cold or hot. Fruit and the like have not tried. I recommend it.")</f>
        <v>Perfect for making protein shakes is perfect. Mix in a minute perfectly cold or hot. Fruit and the like have not tried. I recommend it.</v>
      </c>
    </row>
    <row r="14162">
      <c r="A14162" s="1">
        <v>5.0</v>
      </c>
      <c r="B14162" s="1" t="s">
        <v>14034</v>
      </c>
      <c r="C14162" t="str">
        <f>IFERROR(__xludf.DUMMYFUNCTION("GOOGLETRANSLATE(B14162, ""es"", ""en"")"),"Very Good Value")</f>
        <v>Very Good Value</v>
      </c>
    </row>
    <row r="14163">
      <c r="A14163" s="1">
        <v>5.0</v>
      </c>
      <c r="B14163" s="1" t="s">
        <v>14035</v>
      </c>
      <c r="C14163" t="str">
        <f>IFERROR(__xludf.DUMMYFUNCTION("GOOGLETRANSLATE(B14163, ""es"", ""en"")"),"Great description. Everything perfect and in perfect condition. Many graciaszapatillas comfortable, with good design, they serve both for every day and for a good walk through the rooms, the good. RapidoEl shipping product is what I expected")</f>
        <v>Great description. Everything perfect and in perfect condition. Many graciaszapatillas comfortable, with good design, they serve both for every day and for a good walk through the rooms, the good. RapidoEl shipping product is what I expected</v>
      </c>
    </row>
    <row r="14164">
      <c r="A14164" s="1">
        <v>5.0</v>
      </c>
      <c r="B14164" s="1" t="s">
        <v>14036</v>
      </c>
      <c r="C14164" t="str">
        <f>IFERROR(__xludf.DUMMYFUNCTION("GOOGLETRANSLATE(B14164, ""es"", ""en"")"),"Perfect Shooter Beer was a Christmas present for my kid and say he is delighted. It is very stylish and looks nice home anywhere. It costs a little catch him when the hang of throwing the beer foam not to leave too, but with a little practice is perfect. "&amp;"The only ""but"" is the price of beer Torp is a bit high, but much also enjoy taking your beer cold at home, which we are delighted.")</f>
        <v>Perfect Shooter Beer was a Christmas present for my kid and say he is delighted. It is very stylish and looks nice home anywhere. It costs a little catch him when the hang of throwing the beer foam not to leave too, but with a little practice is perfect. The only "but" is the price of beer Torp is a bit high, but much also enjoy taking your beer cold at home, which we are delighted.</v>
      </c>
    </row>
    <row r="14165">
      <c r="A14165" s="1">
        <v>5.0</v>
      </c>
      <c r="B14165" s="1" t="s">
        <v>14037</v>
      </c>
      <c r="C14165" t="str">
        <f>IFERROR(__xludf.DUMMYFUNCTION("GOOGLETRANSLATE(B14165, ""es"", ""en"")"),"Pleased with purchase what I expected. Good quality and very well finished.")</f>
        <v>Pleased with purchase what I expected. Good quality and very well finished.</v>
      </c>
    </row>
    <row r="14166">
      <c r="A14166" s="1">
        <v>2.0</v>
      </c>
      <c r="B14166" s="1" t="s">
        <v>14038</v>
      </c>
      <c r="C14166" t="str">
        <f>IFERROR(__xludf.DUMMYFUNCTION("GOOGLETRANSLATE(B14166, ""es"", ""en"")"),"Mixed feelings &lt;div id = ""video-block-R22G37GQOHZL5Z"" class = ""a-section a-spacing-small a-spacing-top mini video-block""&gt; &lt;/ div&gt; &lt;input type = ""hidden"" name = "" ""value ="" https://images-eu.ssl-images-amazon.com/images/I/A1U2JZUNaJS.mp4 ""class ="&amp;""" video-url ""&gt; &lt;input type ="" hidden ""name ="" ""value ="" https://images-eu.ssl-images-amazon.com/images/I/A1cg0nv5g6S.png ""class ="" video-slate-img-url ""&gt; &amp; nbsp; mixed feelings, come two but in my case, one works perfectly (the photo) but the ot"&amp;"her does not work for 5 hours mode or the light (the video)")</f>
        <v>Mixed feelings &lt;div id = "video-block-R22G37GQOHZL5Z" class = "a-section a-spacing-small a-spacing-top mini video-block"&gt; &lt;/ div&gt; &lt;input type = "hidden" name = " "value =" https://images-eu.ssl-images-amazon.com/images/I/A1U2JZUNaJS.mp4 "class =" video-url "&gt; &lt;input type =" hidden "name =" "value =" https://images-eu.ssl-images-amazon.com/images/I/A1cg0nv5g6S.png "class =" video-slate-img-url "&gt; &amp; nbsp; mixed feelings, come two but in my case, one works perfectly (the photo) but the other does not work for 5 hours mode or the light (the video)</v>
      </c>
    </row>
    <row r="14167">
      <c r="A14167" s="1">
        <v>3.0</v>
      </c>
      <c r="B14167" s="1" t="s">
        <v>14039</v>
      </c>
      <c r="C14167" t="str">
        <f>IFERROR(__xludf.DUMMYFUNCTION("GOOGLETRANSLATE(B14167, ""es"", ""en"")"),"ME TO SEE THE RESULTS THAT LIKED is lightweight and LIGERAY FOR AGAINST ME MORE tubiese wished FORCE WHEN PICKING Dirt")</f>
        <v>ME TO SEE THE RESULTS THAT LIKED is lightweight and LIGERAY FOR AGAINST ME MORE tubiese wished FORCE WHEN PICKING Dirt</v>
      </c>
    </row>
    <row r="14168">
      <c r="A14168" s="1">
        <v>1.0</v>
      </c>
      <c r="B14168" s="1" t="s">
        <v>14040</v>
      </c>
      <c r="C14168" t="str">
        <f>IFERROR(__xludf.DUMMYFUNCTION("GOOGLETRANSLATE(B14168, ""es"", ""en"")"),"Jesica Buy the card but is damaged every now tells me that the card is damaged and I lost a lot of that had her information I request you to give me an answer that you can do or you send me a new and not worth 5 and me cost 13-odd")</f>
        <v>Jesica Buy the card but is damaged every now tells me that the card is damaged and I lost a lot of that had her information I request you to give me an answer that you can do or you send me a new and not worth 5 and me cost 13-odd</v>
      </c>
    </row>
    <row r="14169">
      <c r="A14169" s="1">
        <v>1.0</v>
      </c>
      <c r="B14169" s="1" t="s">
        <v>14041</v>
      </c>
      <c r="C14169" t="str">
        <f>IFERROR(__xludf.DUMMYFUNCTION("GOOGLETRANSLATE(B14169, ""es"", ""en"")"),"Horrible Do not hit anything.")</f>
        <v>Horrible Do not hit anything.</v>
      </c>
    </row>
    <row r="14170">
      <c r="A14170" s="1">
        <v>4.0</v>
      </c>
      <c r="B14170" s="1" t="s">
        <v>14042</v>
      </c>
      <c r="C14170" t="str">
        <f>IFERROR(__xludf.DUMMYFUNCTION("GOOGLETRANSLATE(B14170, ""es"", ""en"")"),"A presentation very neat and pretty I bought it for a gift and the person is delighted with the aromas.")</f>
        <v>A presentation very neat and pretty I bought it for a gift and the person is delighted with the aromas.</v>
      </c>
    </row>
    <row r="14171">
      <c r="A14171" s="1">
        <v>4.0</v>
      </c>
      <c r="B14171" s="1" t="s">
        <v>14043</v>
      </c>
      <c r="C14171" t="str">
        <f>IFERROR(__xludf.DUMMYFUNCTION("GOOGLETRANSLATE(B14171, ""es"", ""en"")"),"Sound spectacular for the price I did not have many expectations put on these headphones and I bought them for when you leave the only street to hear some music but every day I spend with them'm using them more for how well they hear and what they are eas"&amp;"y to carry anywhere for their small size. As I said the sound quality is very good, both acute and suprisingly low and noise cancellation is remarkable. As for the design although there is not much to look at such small note headphones are built in good m"&amp;"aterials. Very happy for the price they have.")</f>
        <v>Sound spectacular for the price I did not have many expectations put on these headphones and I bought them for when you leave the only street to hear some music but every day I spend with them'm using them more for how well they hear and what they are easy to carry anywhere for their small size. As I said the sound quality is very good, both acute and suprisingly low and noise cancellation is remarkable. As for the design although there is not much to look at such small note headphones are built in good materials. Very happy for the price they have.</v>
      </c>
    </row>
    <row r="14172">
      <c r="A14172" s="1">
        <v>4.0</v>
      </c>
      <c r="B14172" s="1" t="s">
        <v>14044</v>
      </c>
      <c r="C14172" t="str">
        <f>IFERROR(__xludf.DUMMYFUNCTION("GOOGLETRANSLATE(B14172, ""es"", ""en"")"),"Branded shoes for everyday use between time I bought the shoes with some uncertainty about the size. The carvings are far from clear, if you have a 42 and standing about 27 cm have to buy 42 only, otherwise although other models use 27.5, equivalent to 42"&amp;" 1/2 here is a mistake, are anchotes and the annoying ride feel loose until you get used. Moreover, a shoe for mid-season, are not sneakers for summer, the loneta be going with calenticos feet, maybe in winter with good socks and a not very serious climat"&amp;"e can be a good choice. Are white sneakers, we know that shit prone to catch, but cleaned very well and easily. Please note that after an average use begin to appear on the instep of the lines a use that will augur where the shoes are lost. Another thing "&amp;"that struck me is the disparity in prices 42 1/2 35 €, 42 we go to 50 €. Well I stayed with those who were a little large, they are not bad. Are comfortable slippers, if you like that type of sole and are nothing ugly, good shoes, if you have in mind the "&amp;"cheap price of 35 €, and ease in cleaning. 50 € I do not buy it.")</f>
        <v>Branded shoes for everyday use between time I bought the shoes with some uncertainty about the size. The carvings are far from clear, if you have a 42 and standing about 27 cm have to buy 42 only, otherwise although other models use 27.5, equivalent to 42 1/2 here is a mistake, are anchotes and the annoying ride feel loose until you get used. Moreover, a shoe for mid-season, are not sneakers for summer, the loneta be going with calenticos feet, maybe in winter with good socks and a not very serious climate can be a good choice. Are white sneakers, we know that shit prone to catch, but cleaned very well and easily. Please note that after an average use begin to appear on the instep of the lines a use that will augur where the shoes are lost. Another thing that struck me is the disparity in prices 42 1/2 35 €, 42 we go to 50 €. Well I stayed with those who were a little large, they are not bad. Are comfortable slippers, if you like that type of sole and are nothing ugly, good shoes, if you have in mind the cheap price of 35 €, and ease in cleaning. 50 € I do not buy it.</v>
      </c>
    </row>
    <row r="14173">
      <c r="A14173" s="1">
        <v>4.0</v>
      </c>
      <c r="B14173" s="1" t="s">
        <v>14045</v>
      </c>
      <c r="C14173" t="str">
        <f>IFERROR(__xludf.DUMMYFUNCTION("GOOGLETRANSLATE(B14173, ""es"", ""en"")"),"The best in class are the most comfortable. The only thing you can perhaps reproach is that the front hitch comes out very easily, but better that than to break with minimal pisotón they give you.")</f>
        <v>The best in class are the most comfortable. The only thing you can perhaps reproach is that the front hitch comes out very easily, but better that than to break with minimal pisotón they give you.</v>
      </c>
    </row>
    <row r="14174">
      <c r="A14174" s="1">
        <v>5.0</v>
      </c>
      <c r="B14174" s="1" t="s">
        <v>14046</v>
      </c>
      <c r="C14174" t="str">
        <f>IFERROR(__xludf.DUMMYFUNCTION("GOOGLETRANSLATE(B14174, ""es"", ""en"")"),"Comfort was sick of going with headphones with cable connected mobile when he went out to play sports, the cable was a hindrance. Finally I decided to buy a wireless, but truth is I thought they were going to be falling ears all the time. However, they ar"&amp;"e great, they adapt very well and hear perfect. Are easy to use, the battery lasts quite ... Super happy with my purchase and if I keep this up probably buy some more to give away.")</f>
        <v>Comfort was sick of going with headphones with cable connected mobile when he went out to play sports, the cable was a hindrance. Finally I decided to buy a wireless, but truth is I thought they were going to be falling ears all the time. However, they are great, they adapt very well and hear perfect. Are easy to use, the battery lasts quite ... Super happy with my purchase and if I keep this up probably buy some more to give away.</v>
      </c>
    </row>
    <row r="14175">
      <c r="A14175" s="1">
        <v>5.0</v>
      </c>
      <c r="B14175" s="1" t="s">
        <v>14047</v>
      </c>
      <c r="C14175" t="str">
        <f>IFERROR(__xludf.DUMMYFUNCTION("GOOGLETRANSLATE(B14175, ""es"", ""en"")"),"Three months of use with excellent resutado. I bought it along with an ""Intel BOXNUC7I3BNH - processor Kit"" to replace an old computer with a huge ATX box with two HD and running Windows 10. The result of both elements has been spectacular. Boot speed i"&amp;"ncreased from about 4 minutes to 30 SECONDS !!! Increíble.Increíble not only boot speed but smooth, quiet, stable and fast throughout the entire session, which can often last several hours behavior. Excellent buy.")</f>
        <v>Three months of use with excellent resutado. I bought it along with an "Intel BOXNUC7I3BNH - processor Kit" to replace an old computer with a huge ATX box with two HD and running Windows 10. The result of both elements has been spectacular. Boot speed increased from about 4 minutes to 30 SECONDS !!! Increíble.Increíble not only boot speed but smooth, quiet, stable and fast throughout the entire session, which can often last several hours behavior. Excellent buy.</v>
      </c>
    </row>
    <row r="14176">
      <c r="A14176" s="1">
        <v>5.0</v>
      </c>
      <c r="B14176" s="1" t="s">
        <v>14048</v>
      </c>
      <c r="C14176" t="str">
        <f>IFERROR(__xludf.DUMMYFUNCTION("GOOGLETRANSLATE(B14176, ""es"", ""en"")"),"Good ability quality looks pretty good. It is quite spacious. It is used to bring the vapeador snuff glasses and liquids, and is hollow portfolio")</f>
        <v>Good ability quality looks pretty good. It is quite spacious. It is used to bring the vapeador snuff glasses and liquids, and is hollow portfolio</v>
      </c>
    </row>
    <row r="14177">
      <c r="A14177" s="1">
        <v>5.0</v>
      </c>
      <c r="B14177" s="1" t="s">
        <v>14049</v>
      </c>
      <c r="C14177" t="str">
        <f>IFERROR(__xludf.DUMMYFUNCTION("GOOGLETRANSLATE(B14177, ""es"", ""en"")"),"Perfect dress, perfect Beautiful smock, came dressed as serves as the pictures on the ad, and also as smock. It is the expected size and not to request a use different from that forever. The detail of the pockets is very nice. The fabric is very thin and "&amp;"soft so it adapts to the body with a very nice fall. Seams and finials are very well done. Certainly a success for me or give away now coming dates for it.")</f>
        <v>Perfect dress, perfect Beautiful smock, came dressed as serves as the pictures on the ad, and also as smock. It is the expected size and not to request a use different from that forever. The detail of the pockets is very nice. The fabric is very thin and soft so it adapts to the body with a very nice fall. Seams and finials are very well done. Certainly a success for me or give away now coming dates for it.</v>
      </c>
    </row>
    <row r="14178">
      <c r="A14178" s="1">
        <v>5.0</v>
      </c>
      <c r="B14178" s="1" t="s">
        <v>14050</v>
      </c>
      <c r="C14178" t="str">
        <f>IFERROR(__xludf.DUMMYFUNCTION("GOOGLETRANSLATE(B14178, ""es"", ""en"")"),"Good reception excellent sound and best sound without interference")</f>
        <v>Good reception excellent sound and best sound without interference</v>
      </c>
    </row>
    <row r="14179">
      <c r="A14179" s="1">
        <v>5.0</v>
      </c>
      <c r="B14179" s="1" t="s">
        <v>14051</v>
      </c>
      <c r="C14179" t="str">
        <f>IFERROR(__xludf.DUMMYFUNCTION("GOOGLETRANSLATE(B14179, ""es"", ""en"")"),"They are pretty nice time and not have me put black")</f>
        <v>They are pretty nice time and not have me put black</v>
      </c>
    </row>
    <row r="14180">
      <c r="A14180" s="1">
        <v>5.0</v>
      </c>
      <c r="B14180" s="1" t="s">
        <v>14052</v>
      </c>
      <c r="C14180" t="str">
        <f>IFERROR(__xludf.DUMMYFUNCTION("GOOGLETRANSLATE(B14180, ""es"", ""en"")"),"Quality and price Buenos bottles and my niece newborn caught him well without problems. The quality of the product is very good for its price. Comodos at hand")</f>
        <v>Quality and price Buenos bottles and my niece newborn caught him well without problems. The quality of the product is very good for its price. Comodos at hand</v>
      </c>
    </row>
    <row r="14181">
      <c r="A14181" s="1">
        <v>5.0</v>
      </c>
      <c r="B14181" s="1" t="s">
        <v>14053</v>
      </c>
      <c r="C14181" t="str">
        <f>IFERROR(__xludf.DUMMYFUNCTION("GOOGLETRANSLATE(B14181, ""es"", ""en"")"),"cunple its mission liked everything but the card is not so that is")</f>
        <v>cunple its mission liked everything but the card is not so that is</v>
      </c>
    </row>
    <row r="14182">
      <c r="A14182" s="1">
        <v>5.0</v>
      </c>
      <c r="B14182" s="1" t="s">
        <v>14054</v>
      </c>
      <c r="C14182" t="str">
        <f>IFERROR(__xludf.DUMMYFUNCTION("GOOGLETRANSLATE(B14182, ""es"", ""en"")"),"SSD speed on a tiny !!! The truth very good speed indeed the best of my stores but ,,,, not imagine manufacturer marking the influences that run the OS at the same time on it because of the other hardware is more than enough .... a greeting! !!!!")</f>
        <v>SSD speed on a tiny !!! The truth very good speed indeed the best of my stores but ,,,, not imagine manufacturer marking the influences that run the OS at the same time on it because of the other hardware is more than enough .... a greeting! !!!!</v>
      </c>
    </row>
    <row r="14183">
      <c r="A14183" s="1">
        <v>5.0</v>
      </c>
      <c r="B14183" s="1" t="s">
        <v>14055</v>
      </c>
      <c r="C14183" t="str">
        <f>IFERROR(__xludf.DUMMYFUNCTION("GOOGLETRANSLATE(B14183, ""es"", ""en"")"),"Russell Hobbs Fast shakes I use it almost every day, makes a great comfortable and convenient smoothies :). I could just a couple of downsides is that you have to buy a long brush to wash those glasses because the hand does not get to the bottom and do no"&amp;"t come out clean from the dishwasher and you have to be very careful to the place because if not well positioned gum top of the glass ooze, and strain on the machine and a burnt smell, as happened to me twice. Despite that I'm happy with it and would reco"&amp;"mmend it to make smoothies and juices quickly.")</f>
        <v>Russell Hobbs Fast shakes I use it almost every day, makes a great comfortable and convenient smoothies :). I could just a couple of downsides is that you have to buy a long brush to wash those glasses because the hand does not get to the bottom and do not come out clean from the dishwasher and you have to be very careful to the place because if not well positioned gum top of the glass ooze, and strain on the machine and a burnt smell, as happened to me twice. Despite that I'm happy with it and would recommend it to make smoothies and juices quickly.</v>
      </c>
    </row>
    <row r="14184">
      <c r="A14184" s="1">
        <v>5.0</v>
      </c>
      <c r="B14184" s="1" t="s">
        <v>14056</v>
      </c>
      <c r="C14184" t="str">
        <f>IFERROR(__xludf.DUMMYFUNCTION("GOOGLETRANSLATE(B14184, ""es"", ""en"")"),"100% RECOMENDABLE Maybe something just for my Raspberry Pi 3 but works perfectly functional level, and with the guarantee and tranquility that offers SanDisk, the truth that I give cane and works perfectly 100% recommended!")</f>
        <v>100% RECOMENDABLE Maybe something just for my Raspberry Pi 3 but works perfectly functional level, and with the guarantee and tranquility that offers SanDisk, the truth that I give cane and works perfectly 100% recommended!</v>
      </c>
    </row>
    <row r="14185">
      <c r="A14185" s="1">
        <v>5.0</v>
      </c>
      <c r="B14185" s="1" t="s">
        <v>14057</v>
      </c>
      <c r="C14185" t="str">
        <f>IFERROR(__xludf.DUMMYFUNCTION("GOOGLETRANSLATE(B14185, ""es"", ""en"")"),"Nice watch weighs very little, is great.")</f>
        <v>Nice watch weighs very little, is great.</v>
      </c>
    </row>
    <row r="14186">
      <c r="A14186" s="1">
        <v>5.0</v>
      </c>
      <c r="B14186" s="1" t="s">
        <v>14058</v>
      </c>
      <c r="C14186" t="str">
        <f>IFERROR(__xludf.DUMMYFUNCTION("GOOGLETRANSLATE(B14186, ""es"", ""en"")"),"Nike sneakers loved what I was expecting, transport and the date of receipt great. Definitely recommend")</f>
        <v>Nike sneakers loved what I was expecting, transport and the date of receipt great. Definitely recommend</v>
      </c>
    </row>
    <row r="14187">
      <c r="A14187" s="1">
        <v>5.0</v>
      </c>
      <c r="B14187" s="1" t="s">
        <v>14059</v>
      </c>
      <c r="C14187" t="str">
        <f>IFERROR(__xludf.DUMMYFUNCTION("GOOGLETRANSLATE(B14187, ""es"", ""en"")"),"Perfect One of the best models of shoes that I've bought. Besides resistant. Very happy with the purchase")</f>
        <v>Perfect One of the best models of shoes that I've bought. Besides resistant. Very happy with the purchase</v>
      </c>
    </row>
    <row r="14188">
      <c r="A14188" s="1">
        <v>5.0</v>
      </c>
      <c r="B14188" s="1" t="s">
        <v>14060</v>
      </c>
      <c r="C14188" t="str">
        <f>IFERROR(__xludf.DUMMYFUNCTION("GOOGLETRANSLATE(B14188, ""es"", ""en"")"),"Me perfect luxury van. They hear perfectly, and Bluetooth are connected immediately, and the design is very cool. I can not find any but the truth. I have several purchased for my each of my family and these are the ones I better go and I like")</f>
        <v>Me perfect luxury van. They hear perfectly, and Bluetooth are connected immediately, and the design is very cool. I can not find any but the truth. I have several purchased for my each of my family and these are the ones I better go and I like</v>
      </c>
    </row>
    <row r="14189">
      <c r="A14189" s="1">
        <v>5.0</v>
      </c>
      <c r="B14189" s="1" t="s">
        <v>14061</v>
      </c>
      <c r="C14189" t="str">
        <f>IFERROR(__xludf.DUMMYFUNCTION("GOOGLETRANSLATE(B14189, ""es"", ""en"")"),"At the beginning it turned out perfect me a little big, and felt very loose foot, but of course, previously used a closed sabot. Now I feel that I have left perfectly and are very comfortable. I spend many hours standing and feet do not hurt me at all. Th"&amp;"ey are very light, so to carry them in your backpack are perfect. They are easily cleaned. They bring a template that is very comfortable and can be changed to another with ease. Color is also very nice")</f>
        <v>At the beginning it turned out perfect me a little big, and felt very loose foot, but of course, previously used a closed sabot. Now I feel that I have left perfectly and are very comfortable. I spend many hours standing and feet do not hurt me at all. They are very light, so to carry them in your backpack are perfect. They are easily cleaned. They bring a template that is very comfortable and can be changed to another with ease. Color is also very nice</v>
      </c>
    </row>
    <row r="14190">
      <c r="A14190" s="1">
        <v>5.0</v>
      </c>
      <c r="B14190" s="1" t="s">
        <v>14062</v>
      </c>
      <c r="C14190" t="str">
        <f>IFERROR(__xludf.DUMMYFUNCTION("GOOGLETRANSLATE(B14190, ""es"", ""en"")"),"Nice quality and nice quality")</f>
        <v>Nice quality and nice quality</v>
      </c>
    </row>
    <row r="14191">
      <c r="A14191" s="1">
        <v>5.0</v>
      </c>
      <c r="B14191" s="1" t="s">
        <v>14063</v>
      </c>
      <c r="C14191" t="str">
        <f>IFERROR(__xludf.DUMMYFUNCTION("GOOGLETRANSLATE(B14191, ""es"", ""en"")"),"For home use I will only give domestic use. Never soldier with such precision and comfort as with this set of welding.")</f>
        <v>For home use I will only give domestic use. Never soldier with such precision and comfort as with this set of welding.</v>
      </c>
    </row>
    <row r="14192">
      <c r="A14192" s="1">
        <v>5.0</v>
      </c>
      <c r="B14192" s="1" t="s">
        <v>14064</v>
      </c>
      <c r="C14192" t="str">
        <f>IFERROR(__xludf.DUMMYFUNCTION("GOOGLETRANSLATE(B14192, ""es"", ""en"")"),"/ Value insuperable Some headphones hear well and include microphone to talk on the phone, and volume / pause if you're listening to music.")</f>
        <v>/ Value insuperable Some headphones hear well and include microphone to talk on the phone, and volume / pause if you're listening to music.</v>
      </c>
    </row>
    <row r="14193">
      <c r="A14193" s="1">
        <v>2.0</v>
      </c>
      <c r="B14193" s="1" t="s">
        <v>14065</v>
      </c>
      <c r="C14193" t="str">
        <f>IFERROR(__xludf.DUMMYFUNCTION("GOOGLETRANSLATE(B14193, ""es"", ""en"")"),"Missing details The USB is cheap and looks good speed. To me it did not like me that does not have some sort of cover.")</f>
        <v>Missing details The USB is cheap and looks good speed. To me it did not like me that does not have some sort of cover.</v>
      </c>
    </row>
    <row r="14194">
      <c r="A14194" s="1">
        <v>3.0</v>
      </c>
      <c r="B14194" s="1" t="s">
        <v>14066</v>
      </c>
      <c r="C14194" t="str">
        <f>IFERROR(__xludf.DUMMYFUNCTION("GOOGLETRANSLATE(B14194, ""es"", ""en"")"),"Good team. To improve the wheels. Good laptop. Sounds good and strong outdoors. The rollers are perhaps a point to improve, since the so small being rigid and regret team at the slightest blip sways all at risk of Bolcar. Despite this, very good team.")</f>
        <v>Good team. To improve the wheels. Good laptop. Sounds good and strong outdoors. The rollers are perhaps a point to improve, since the so small being rigid and regret team at the slightest blip sways all at risk of Bolcar. Despite this, very good team.</v>
      </c>
    </row>
    <row r="14195">
      <c r="A14195" s="1">
        <v>3.0</v>
      </c>
      <c r="B14195" s="1" t="s">
        <v>14067</v>
      </c>
      <c r="C14195" t="str">
        <f>IFERROR(__xludf.DUMMYFUNCTION("GOOGLETRANSLATE(B14195, ""es"", ""en"")"),"Nice and comfortable are very good, very comfortable, but the first wash at 30 ° the sole is slightly deformed. Not to stop using them, but it shows. Be it to wash by hand.")</f>
        <v>Nice and comfortable are very good, very comfortable, but the first wash at 30 ° the sole is slightly deformed. Not to stop using them, but it shows. Be it to wash by hand.</v>
      </c>
    </row>
    <row r="14196">
      <c r="A14196" s="1">
        <v>1.0</v>
      </c>
      <c r="B14196" s="1" t="s">
        <v>14068</v>
      </c>
      <c r="C14196" t="str">
        <f>IFERROR(__xludf.DUMMYFUNCTION("GOOGLETRANSLATE(B14196, ""es"", ""en"")"),"the painfully slow 64 gb The worst I've ever had, very slow, very slow !!! 16gb had one that was very fast and reliable, buy 64GB for that. bored use, slow writing, reading passable. choose any other the 64GB no")</f>
        <v>the painfully slow 64 gb The worst I've ever had, very slow, very slow !!! 16gb had one that was very fast and reliable, buy 64GB for that. bored use, slow writing, reading passable. choose any other the 64GB no</v>
      </c>
    </row>
    <row r="14197">
      <c r="A14197" s="1">
        <v>1.0</v>
      </c>
      <c r="B14197" s="1" t="s">
        <v>14069</v>
      </c>
      <c r="C14197" t="str">
        <f>IFERROR(__xludf.DUMMYFUNCTION("GOOGLETRANSLATE(B14197, ""es"", ""en"")"),"The battery is not good in just 1 month of use, the battery autonomy degenerated to such an extent that already spend more time charging in use. Not if my case was isolated or generally with this model.")</f>
        <v>The battery is not good in just 1 month of use, the battery autonomy degenerated to such an extent that already spend more time charging in use. Not if my case was isolated or generally with this model.</v>
      </c>
    </row>
    <row r="14198">
      <c r="A14198" s="1">
        <v>4.0</v>
      </c>
      <c r="B14198" s="1" t="s">
        <v>14070</v>
      </c>
      <c r="C14198" t="str">
        <f>IFERROR(__xludf.DUMMYFUNCTION("GOOGLETRANSLATE(B14198, ""es"", ""en"")"),"I like are a bit fair, mediros good foot. But they are comfortable and light.")</f>
        <v>I like are a bit fair, mediros good foot. But they are comfortable and light.</v>
      </c>
    </row>
    <row r="14199">
      <c r="A14199" s="1">
        <v>4.0</v>
      </c>
      <c r="B14199" s="1" t="s">
        <v>14071</v>
      </c>
      <c r="C14199" t="str">
        <f>IFERROR(__xludf.DUMMYFUNCTION("GOOGLETRANSLATE(B14199, ""es"", ""en"")"),"n resists water better for me verbatim")</f>
        <v>n resists water better for me verbatim</v>
      </c>
    </row>
    <row r="14200">
      <c r="A14200" s="1">
        <v>4.0</v>
      </c>
      <c r="B14200" s="1" t="s">
        <v>14072</v>
      </c>
      <c r="C14200" t="str">
        <f>IFERROR(__xludf.DUMMYFUNCTION("GOOGLETRANSLATE(B14200, ""es"", ""en"")"),"How a little cramped if, though a bit narrow")</f>
        <v>How a little cramped if, though a bit narrow</v>
      </c>
    </row>
    <row r="14201">
      <c r="A14201" s="1">
        <v>4.0</v>
      </c>
      <c r="B14201" s="1" t="s">
        <v>14073</v>
      </c>
      <c r="C14201" t="str">
        <f>IFERROR(__xludf.DUMMYFUNCTION("GOOGLETRANSLATE(B14201, ""es"", ""en"")"),"They are fairly well Velcro ajustartela They bring to the ankle and comfortable grip quite well to the ground.")</f>
        <v>They are fairly well Velcro ajustartela They bring to the ankle and comfortable grip quite well to the ground.</v>
      </c>
    </row>
    <row r="14202">
      <c r="A14202" s="1">
        <v>4.0</v>
      </c>
      <c r="B14202" s="1" t="s">
        <v>14074</v>
      </c>
      <c r="C14202" t="str">
        <f>IFERROR(__xludf.DUMMYFUNCTION("GOOGLETRANSLATE(B14202, ""es"", ""en"")"),"Quality I love it, now I hope q not rust over time")</f>
        <v>Quality I love it, now I hope q not rust over time</v>
      </c>
    </row>
    <row r="14203">
      <c r="A14203" s="1">
        <v>5.0</v>
      </c>
      <c r="B14203" s="1" t="s">
        <v>14075</v>
      </c>
      <c r="C14203" t="str">
        <f>IFERROR(__xludf.DUMMYFUNCTION("GOOGLETRANSLATE(B14203, ""es"", ""en"")"),"Compact, comfortable and curious By looking a but, the cable is quite short if the outlet is somewhat removed from the countertop or surface where it is placed")</f>
        <v>Compact, comfortable and curious By looking a but, the cable is quite short if the outlet is somewhat removed from the countertop or surface where it is placed</v>
      </c>
    </row>
    <row r="14204">
      <c r="A14204" s="1">
        <v>5.0</v>
      </c>
      <c r="B14204" s="1" t="s">
        <v>14076</v>
      </c>
      <c r="C14204" t="str">
        <f>IFERROR(__xludf.DUMMYFUNCTION("GOOGLETRANSLATE(B14204, ""es"", ""en"")"),"Use perfect number 44 Adidas and me are perfect in that number. They are nice and very comfortable. Expensive but I imagine it is because they are branded, and that always pays. Worth.")</f>
        <v>Use perfect number 44 Adidas and me are perfect in that number. They are nice and very comfortable. Expensive but I imagine it is because they are branded, and that always pays. Worth.</v>
      </c>
    </row>
    <row r="14205">
      <c r="A14205" s="1">
        <v>5.0</v>
      </c>
      <c r="B14205" s="1" t="s">
        <v>14077</v>
      </c>
      <c r="C14205" t="str">
        <f>IFERROR(__xludf.DUMMYFUNCTION("GOOGLETRANSLATE(B14205, ""es"", ""en"")"),"Recommended Easy to use and comfortable")</f>
        <v>Recommended Easy to use and comfortable</v>
      </c>
    </row>
    <row r="14206">
      <c r="A14206" s="1">
        <v>5.0</v>
      </c>
      <c r="B14206" s="1" t="s">
        <v>14078</v>
      </c>
      <c r="C14206" t="str">
        <f>IFERROR(__xludf.DUMMYFUNCTION("GOOGLETRANSLATE(B14206, ""es"", ""en"")"),"Good comfortable shoe. Comodo and every day. It does not give too hot for summer. With everything and comfortable.")</f>
        <v>Good comfortable shoe. Comodo and every day. It does not give too hot for summer. With everything and comfortable.</v>
      </c>
    </row>
    <row r="14207">
      <c r="A14207" s="1">
        <v>5.0</v>
      </c>
      <c r="B14207" s="1" t="s">
        <v>14079</v>
      </c>
      <c r="C14207" t="str">
        <f>IFERROR(__xludf.DUMMYFUNCTION("GOOGLETRANSLATE(B14207, ""es"", ""en"")"),"GOOD PRODUCT Feel free to choose this brand because I have used and sold, so I had not any doubt when making the choice. Although it has Sidoun gift I have done to my sister, I told me that life is delighted with BT. Connect great and sounds even better. "&amp;"We can not live without it. The hands free system distribution can not hear as well as small this device with all its added benefits. About the battery life is pretty good for what he has told me. So far the durability is good, but do not know how many da"&amp;"ys the hold.")</f>
        <v>GOOD PRODUCT Feel free to choose this brand because I have used and sold, so I had not any doubt when making the choice. Although it has Sidoun gift I have done to my sister, I told me that life is delighted with BT. Connect great and sounds even better. We can not live without it. The hands free system distribution can not hear as well as small this device with all its added benefits. About the battery life is pretty good for what he has told me. So far the durability is good, but do not know how many days the hold.</v>
      </c>
    </row>
    <row r="14208">
      <c r="A14208" s="1">
        <v>5.0</v>
      </c>
      <c r="B14208" s="1" t="s">
        <v>14080</v>
      </c>
      <c r="C14208" t="str">
        <f>IFERROR(__xludf.DUMMYFUNCTION("GOOGLETRANSLATE(B14208, ""es"", ""en"")"),"The best microphone to the moment I buy because I had recommended and not fail. It is perfect")</f>
        <v>The best microphone to the moment I buy because I had recommended and not fail. It is perfect</v>
      </c>
    </row>
    <row r="14209">
      <c r="A14209" s="1">
        <v>5.0</v>
      </c>
      <c r="B14209" s="1" t="s">
        <v>14081</v>
      </c>
      <c r="C14209" t="str">
        <f>IFERROR(__xludf.DUMMYFUNCTION("GOOGLETRANSLATE(B14209, ""es"", ""en"")"),"So comfortable Like almost everything wonderful Skechers. I recommend them to 200 by 100.")</f>
        <v>So comfortable Like almost everything wonderful Skechers. I recommend them to 200 by 100.</v>
      </c>
    </row>
    <row r="14210">
      <c r="A14210" s="1">
        <v>5.0</v>
      </c>
      <c r="B14210" s="1" t="s">
        <v>14082</v>
      </c>
      <c r="C14210" t="str">
        <f>IFERROR(__xludf.DUMMYFUNCTION("GOOGLETRANSLATE(B14210, ""es"", ""en"")"),"Good pretty and cheap. Casio think it is all said.")</f>
        <v>Good pretty and cheap. Casio think it is all said.</v>
      </c>
    </row>
    <row r="14211">
      <c r="A14211" s="1">
        <v>5.0</v>
      </c>
      <c r="B14211" s="1" t="s">
        <v>14083</v>
      </c>
      <c r="C14211" t="str">
        <f>IFERROR(__xludf.DUMMYFUNCTION("GOOGLETRANSLATE(B14211, ""es"", ""en"")"),"100% recommended The rings are beautiful and are very bright, excellent article for the price, I recommend it 100%")</f>
        <v>100% recommended The rings are beautiful and are very bright, excellent article for the price, I recommend it 100%</v>
      </c>
    </row>
    <row r="14212">
      <c r="A14212" s="1">
        <v>5.0</v>
      </c>
      <c r="B14212" s="1" t="s">
        <v>14084</v>
      </c>
      <c r="C14212" t="str">
        <f>IFERROR(__xludf.DUMMYFUNCTION("GOOGLETRANSLATE(B14212, ""es"", ""en"")"),"Very comfortable. Were for my father who has tender feet, and this really happy, not put something else. All he took over the numbers he uses, and less evil. I advise taking one more than the number of foot that is normally used. Sending to the next day a"&amp;"lso, very fast.")</f>
        <v>Very comfortable. Were for my father who has tender feet, and this really happy, not put something else. All he took over the numbers he uses, and less evil. I advise taking one more than the number of foot that is normally used. Sending to the next day also, very fast.</v>
      </c>
    </row>
    <row r="14213">
      <c r="A14213" s="1">
        <v>5.0</v>
      </c>
      <c r="B14213" s="1" t="s">
        <v>14085</v>
      </c>
      <c r="C14213" t="str">
        <f>IFERROR(__xludf.DUMMYFUNCTION("GOOGLETRANSLATE(B14213, ""es"", ""en"")"),"Good product good product, quality looks. A little tougher than I expected all.")</f>
        <v>Good product good product, quality looks. A little tougher than I expected all.</v>
      </c>
    </row>
    <row r="14214">
      <c r="A14214" s="1">
        <v>5.0</v>
      </c>
      <c r="B14214" s="1" t="s">
        <v>14086</v>
      </c>
      <c r="C14214" t="str">
        <f>IFERROR(__xludf.DUMMYFUNCTION("GOOGLETRANSLATE(B14214, ""es"", ""en"")"),"Carve like the nimbus 17 are perfectly. I've spent years using this model. I come from the Nimbus 17 and carving alike. No problem. Good price.")</f>
        <v>Carve like the nimbus 17 are perfectly. I've spent years using this model. I come from the Nimbus 17 and carving alike. No problem. Good price.</v>
      </c>
    </row>
    <row r="14215">
      <c r="A14215" s="1">
        <v>5.0</v>
      </c>
      <c r="B14215" s="1" t="s">
        <v>14087</v>
      </c>
      <c r="C14215" t="str">
        <f>IFERROR(__xludf.DUMMYFUNCTION("GOOGLETRANSLATE(B14215, ""es"", ""en"")"),"Ideal for relieving neck and shoulder going great for neck and shoulder contractures, I recommend it, has been of great help. This Christmas I'll take some more to give, I think superpráctico.")</f>
        <v>Ideal for relieving neck and shoulder going great for neck and shoulder contractures, I recommend it, has been of great help. This Christmas I'll take some more to give, I think superpráctico.</v>
      </c>
    </row>
    <row r="14216">
      <c r="A14216" s="1">
        <v>5.0</v>
      </c>
      <c r="B14216" s="1" t="s">
        <v>14088</v>
      </c>
      <c r="C14216" t="str">
        <f>IFERROR(__xludf.DUMMYFUNCTION("GOOGLETRANSLATE(B14216, ""es"", ""en"")"),"Resistant Good quality / price ratio.")</f>
        <v>Resistant Good quality / price ratio.</v>
      </c>
    </row>
    <row r="14217">
      <c r="A14217" s="1">
        <v>5.0</v>
      </c>
      <c r="B14217" s="1" t="s">
        <v>14089</v>
      </c>
      <c r="C14217" t="str">
        <f>IFERROR(__xludf.DUMMYFUNCTION("GOOGLETRANSLATE(B14217, ""es"", ""en"")"),"Encantada delighted with the product, just like the description")</f>
        <v>Encantada delighted with the product, just like the description</v>
      </c>
    </row>
    <row r="14218">
      <c r="A14218" s="1">
        <v>5.0</v>
      </c>
      <c r="B14218" s="1" t="s">
        <v>14090</v>
      </c>
      <c r="C14218" t="str">
        <f>IFERROR(__xludf.DUMMYFUNCTION("GOOGLETRANSLATE(B14218, ""es"", ""en"")"),"Very good quality My husband is thrilled! Very good quality, perfect closing zippers are no aground. We have removed the ropes because we like without them. Has now been 5 months with her and still like the first day. The size is ideal to carry the portfo"&amp;"lio, clinex and others. Definitely recommend")</f>
        <v>Very good quality My husband is thrilled! Very good quality, perfect closing zippers are no aground. We have removed the ropes because we like without them. Has now been 5 months with her and still like the first day. The size is ideal to carry the portfolio, clinex and others. Definitely recommend</v>
      </c>
    </row>
    <row r="14219">
      <c r="A14219" s="1">
        <v>5.0</v>
      </c>
      <c r="B14219" s="1" t="s">
        <v>14091</v>
      </c>
      <c r="C14219" t="str">
        <f>IFERROR(__xludf.DUMMYFUNCTION("GOOGLETRANSLATE(B14219, ""es"", ""en"")"),"Very comfortable very good")</f>
        <v>Very comfortable very good</v>
      </c>
    </row>
    <row r="14220">
      <c r="A14220" s="1">
        <v>5.0</v>
      </c>
      <c r="B14220" s="1" t="s">
        <v>14092</v>
      </c>
      <c r="C14220" t="str">
        <f>IFERROR(__xludf.DUMMYFUNCTION("GOOGLETRANSLATE(B14220, ""es"", ""en"")"),"Jessica Definitely would buy, leaves perfect crystals. It is very smooth when using it. I recommend it.")</f>
        <v>Jessica Definitely would buy, leaves perfect crystals. It is very smooth when using it. I recommend it.</v>
      </c>
    </row>
    <row r="14221">
      <c r="A14221" s="1">
        <v>2.0</v>
      </c>
      <c r="B14221" s="1" t="s">
        <v>14093</v>
      </c>
      <c r="C14221" t="str">
        <f>IFERROR(__xludf.DUMMYFUNCTION("GOOGLETRANSLATE(B14221, ""es"", ""en"")"),"The foot is not subject my foot measures 274mm and ordered a 43 (9UK) but it is great. The template is very soft and when step on the heel sinks inside the shoe causing discomfort and chafing heel. I do not think that last long Goterex lining (or my foot)"&amp;" with both touch.")</f>
        <v>The foot is not subject my foot measures 274mm and ordered a 43 (9UK) but it is great. The template is very soft and when step on the heel sinks inside the shoe causing discomfort and chafing heel. I do not think that last long Goterex lining (or my foot) with both touch.</v>
      </c>
    </row>
    <row r="14222">
      <c r="A14222" s="1">
        <v>3.0</v>
      </c>
      <c r="B14222" s="1" t="s">
        <v>14094</v>
      </c>
      <c r="C14222" t="str">
        <f>IFERROR(__xludf.DUMMYFUNCTION("GOOGLETRANSLATE(B14222, ""es"", ""en"")"),"SNEAKERS OK, PULL BOX The shoes good, very poor packaging, the box is to pull strokes taken. Nobody would say it's a new product. A little disappointed with that, but what matters are the shoes.")</f>
        <v>SNEAKERS OK, PULL BOX The shoes good, very poor packaging, the box is to pull strokes taken. Nobody would say it's a new product. A little disappointed with that, but what matters are the shoes.</v>
      </c>
    </row>
    <row r="14223">
      <c r="A14223" s="1">
        <v>1.0</v>
      </c>
      <c r="B14223" s="1" t="s">
        <v>14095</v>
      </c>
      <c r="C14223" t="str">
        <f>IFERROR(__xludf.DUMMYFUNCTION("GOOGLETRANSLATE(B14223, ""es"", ""en"")"),"Price Quality 2 TB. There is nothing better. 6 months without giving much tralla and just use. It has failed and not even know if I can handle warranty ..")</f>
        <v>Price Quality 2 TB. There is nothing better. 6 months without giving much tralla and just use. It has failed and not even know if I can handle warranty ..</v>
      </c>
    </row>
    <row r="14224">
      <c r="A14224" s="1">
        <v>1.0</v>
      </c>
      <c r="B14224" s="1" t="s">
        <v>14096</v>
      </c>
      <c r="C14224" t="str">
        <f>IFERROR(__xludf.DUMMYFUNCTION("GOOGLETRANSLATE(B14224, ""es"", ""en"")"),"magnets do not stick and I found a bit disastrous my order only thing q me liked was the oegatinas the boli painted me too dark the small blackboard not the troquelador came erased without punching the bookmarks or stuck to the essence of Iman and not me "&amp;"He liked with all my respect for the world forgive me")</f>
        <v>magnets do not stick and I found a bit disastrous my order only thing q me liked was the oegatinas the boli painted me too dark the small blackboard not the troquelador came erased without punching the bookmarks or stuck to the essence of Iman and not me He liked with all my respect for the world forgive me</v>
      </c>
    </row>
    <row r="14225">
      <c r="A14225" s="1">
        <v>1.0</v>
      </c>
      <c r="B14225" s="1" t="s">
        <v>14097</v>
      </c>
      <c r="C14225" t="str">
        <f>IFERROR(__xludf.DUMMYFUNCTION("GOOGLETRANSLATE(B14225, ""es"", ""en"")"),"Or 3 months duration is comfortable and looks good at first glance and quality, the surprise is when the does not even 3 months, evillas to collect the broken belt ...")</f>
        <v>Or 3 months duration is comfortable and looks good at first glance and quality, the surprise is when the does not even 3 months, evillas to collect the broken belt ...</v>
      </c>
    </row>
    <row r="14226">
      <c r="A14226" s="1">
        <v>4.0</v>
      </c>
      <c r="B14226" s="1" t="s">
        <v>14098</v>
      </c>
      <c r="C14226" t="str">
        <f>IFERROR(__xludf.DUMMYFUNCTION("GOOGLETRANSLATE(B14226, ""es"", ""en"")"),"Good and original Purchased on offer are of good quality but a tad fair")</f>
        <v>Good and original Purchased on offer are of good quality but a tad fair</v>
      </c>
    </row>
    <row r="14227">
      <c r="A14227" s="1">
        <v>4.0</v>
      </c>
      <c r="B14227" s="1" t="s">
        <v>14099</v>
      </c>
      <c r="C14227" t="str">
        <f>IFERROR(__xludf.DUMMYFUNCTION("GOOGLETRANSLATE(B14227, ""es"", ""en"")"),"Multifuncional !! I enjoyed it very useful shows me all notifications without having to use the phone only bad thing is not being able to hold a conversation voice entering the call")</f>
        <v>Multifuncional !! I enjoyed it very useful shows me all notifications without having to use the phone only bad thing is not being able to hold a conversation voice entering the call</v>
      </c>
    </row>
    <row r="14228">
      <c r="A14228" s="1">
        <v>4.0</v>
      </c>
      <c r="B14228" s="1" t="s">
        <v>14100</v>
      </c>
      <c r="C14228" t="str">
        <f>IFERROR(__xludf.DUMMYFUNCTION("GOOGLETRANSLATE(B14228, ""es"", ""en"")"),"It tells time, which is what I ask Simple, cheap and Casio.")</f>
        <v>It tells time, which is what I ask Simple, cheap and Casio.</v>
      </c>
    </row>
    <row r="14229">
      <c r="A14229" s="1">
        <v>4.0</v>
      </c>
      <c r="B14229" s="1" t="s">
        <v>14101</v>
      </c>
      <c r="C14229" t="str">
        <f>IFERROR(__xludf.DUMMYFUNCTION("GOOGLETRANSLATE(B14229, ""es"", ""en"")"),"Pretty good good")</f>
        <v>Pretty good good</v>
      </c>
    </row>
    <row r="14230">
      <c r="A14230" s="1">
        <v>4.0</v>
      </c>
      <c r="B14230" s="1" t="s">
        <v>14102</v>
      </c>
      <c r="C14230" t="str">
        <f>IFERROR(__xludf.DUMMYFUNCTION("GOOGLETRANSLATE(B14230, ""es"", ""en"")"),"Fast and powerful moment well, not much use espra and easily used and clean, needs some pra liquids do their job well, it is all very fine smooth.")</f>
        <v>Fast and powerful moment well, not much use espra and easily used and clean, needs some pra liquids do their job well, it is all very fine smooth.</v>
      </c>
    </row>
    <row r="14231">
      <c r="A14231" s="1">
        <v>5.0</v>
      </c>
      <c r="B14231" s="1" t="s">
        <v>14103</v>
      </c>
      <c r="C14231" t="str">
        <f>IFERROR(__xludf.DUMMYFUNCTION("GOOGLETRANSLATE(B14231, ""es"", ""en"")"),"The comfortable and beautiful shoes are very nice and as comfortable as I have all this brand. They are lightweight and easy to wash and dry. Size as always, I always ask one size smaller which usually spending and perfect! Would buy again")</f>
        <v>The comfortable and beautiful shoes are very nice and as comfortable as I have all this brand. They are lightweight and easy to wash and dry. Size as always, I always ask one size smaller which usually spending and perfect! Would buy again</v>
      </c>
    </row>
    <row r="14232">
      <c r="A14232" s="1">
        <v>5.0</v>
      </c>
      <c r="B14232" s="1" t="s">
        <v>14104</v>
      </c>
      <c r="C14232" t="str">
        <f>IFERROR(__xludf.DUMMYFUNCTION("GOOGLETRANSLATE(B14232, ""es"", ""en"")"),"Super comfortable and manageable. It is a great product !!! very comfortable. A having corners, it is great for corners. also bends upward, ie left side. There is not a corner that does not arrive. It's phenomenal. !! I recommend it !")</f>
        <v>Super comfortable and manageable. It is a great product !!! very comfortable. A having corners, it is great for corners. also bends upward, ie left side. There is not a corner that does not arrive. It's phenomenal. !! I recommend it !</v>
      </c>
    </row>
    <row r="14233">
      <c r="A14233" s="1">
        <v>5.0</v>
      </c>
      <c r="B14233" s="1" t="s">
        <v>14105</v>
      </c>
      <c r="C14233" t="str">
        <f>IFERROR(__xludf.DUMMYFUNCTION("GOOGLETRANSLATE(B14233, ""es"", ""en"")"),"Very good gift-box anniversary or Valentine")</f>
        <v>Very good gift-box anniversary or Valentine</v>
      </c>
    </row>
    <row r="14234">
      <c r="A14234" s="1">
        <v>5.0</v>
      </c>
      <c r="B14234" s="1" t="s">
        <v>14106</v>
      </c>
      <c r="C14234" t="str">
        <f>IFERROR(__xludf.DUMMYFUNCTION("GOOGLETRANSLATE(B14234, ""es"", ""en"")"),"Just like right in the perfect fotos.Talla")</f>
        <v>Just like right in the perfect fotos.Talla</v>
      </c>
    </row>
    <row r="14235">
      <c r="A14235" s="1">
        <v>5.0</v>
      </c>
      <c r="B14235" s="1" t="s">
        <v>14107</v>
      </c>
      <c r="C14235" t="str">
        <f>IFERROR(__xludf.DUMMYFUNCTION("GOOGLETRANSLATE(B14235, ""es"", ""en"")"),"What quality sought, the mark does not fail")</f>
        <v>What quality sought, the mark does not fail</v>
      </c>
    </row>
    <row r="14236">
      <c r="A14236" s="1">
        <v>5.0</v>
      </c>
      <c r="B14236" s="1" t="s">
        <v>14108</v>
      </c>
      <c r="C14236" t="str">
        <f>IFERROR(__xludf.DUMMYFUNCTION("GOOGLETRANSLATE(B14236, ""es"", ""en"")"),"Still waiting are what I extrenado not only me have tried to ensure that they were good to me. They are very nice and look good materials, according to the brand.")</f>
        <v>Still waiting are what I extrenado not only me have tried to ensure that they were good to me. They are very nice and look good materials, according to the brand.</v>
      </c>
    </row>
    <row r="14237">
      <c r="A14237" s="1">
        <v>5.0</v>
      </c>
      <c r="B14237" s="1" t="s">
        <v>14109</v>
      </c>
      <c r="C14237" t="str">
        <f>IFERROR(__xludf.DUMMYFUNCTION("GOOGLETRANSLATE(B14237, ""es"", ""en"")"),"I wanted a perfect versatile footwear rather let me go to the mountain and use on specific days. Finally, the choice has been fantastic as they are very comfortable, maintain, fully waterproof, very good grip, in short hot foot to spare meet with what I e"&amp;"xpected. In addition the dis'ño is not very ""mountaineer"", so they are perfectly useful for the day. So far I can not find incovenientes, and already carry some good kilometers back. Fortunately I read the reviews and chose to spend my size (44.5 and ch"&amp;"ock ordered a 46), a number more so there is less to ask.")</f>
        <v>I wanted a perfect versatile footwear rather let me go to the mountain and use on specific days. Finally, the choice has been fantastic as they are very comfortable, maintain, fully waterproof, very good grip, in short hot foot to spare meet with what I expected. In addition the dis'ño is not very "mountaineer", so they are perfectly useful for the day. So far I can not find incovenientes, and already carry some good kilometers back. Fortunately I read the reviews and chose to spend my size (44.5 and chock ordered a 46), a number more so there is less to ask.</v>
      </c>
    </row>
    <row r="14238">
      <c r="A14238" s="1">
        <v>5.0</v>
      </c>
      <c r="B14238" s="1" t="s">
        <v>14110</v>
      </c>
      <c r="C14238" t="str">
        <f>IFERROR(__xludf.DUMMYFUNCTION("GOOGLETRANSLATE(B14238, ""es"", ""en"")"),"I love these great smelling essential oils. I had read in some reviews that some of the essences chemical smell too and I must say I have not noticed this. I've been going to Reiki several years and these aromas remind me of those who used the woman who t"&amp;"reated me, me also remind the scents used in aromatherapy so I do not think I smell a chemical but the essences have a stronger odor which we may have in mind. The've bought for use in a humidifier and 5 drops and after 2 minutes the smell and the good at"&amp;"mosphere generated has spread throughout the house. I was about to buy another box of essences but it will take, I think quietly can last a year")</f>
        <v>I love these great smelling essential oils. I had read in some reviews that some of the essences chemical smell too and I must say I have not noticed this. I've been going to Reiki several years and these aromas remind me of those who used the woman who treated me, me also remind the scents used in aromatherapy so I do not think I smell a chemical but the essences have a stronger odor which we may have in mind. The've bought for use in a humidifier and 5 drops and after 2 minutes the smell and the good atmosphere generated has spread throughout the house. I was about to buy another box of essences but it will take, I think quietly can last a year</v>
      </c>
    </row>
    <row r="14239">
      <c r="A14239" s="1">
        <v>5.0</v>
      </c>
      <c r="B14239" s="1" t="s">
        <v>14111</v>
      </c>
      <c r="C14239" t="str">
        <f>IFERROR(__xludf.DUMMYFUNCTION("GOOGLETRANSLATE(B14239, ""es"", ""en"")"),"Compact are quite comfortable, I was surprised how well the voice is heard when used in hands-free: D qe have built-in battery me is great for trips :) so I do not have to carry two things, the functions are easy and connect automatically with mobile, oth"&amp;"ers that I have to match them every time I wear them, which is quite inconvenient sound is very good, not only for discussions but to music too: D the only downside I see is him that box is bigger than the others that I have, but it is also much smaller t"&amp;"han my powerbank, thus saving end to space travel: D I'm glad I made the purchase :)")</f>
        <v>Compact are quite comfortable, I was surprised how well the voice is heard when used in hands-free: D qe have built-in battery me is great for trips :) so I do not have to carry two things, the functions are easy and connect automatically with mobile, others that I have to match them every time I wear them, which is quite inconvenient sound is very good, not only for discussions but to music too: D the only downside I see is him that box is bigger than the others that I have, but it is also much smaller than my powerbank, thus saving end to space travel: D I'm glad I made the purchase :)</v>
      </c>
    </row>
    <row r="14240">
      <c r="A14240" s="1">
        <v>5.0</v>
      </c>
      <c r="B14240" s="1" t="s">
        <v>14112</v>
      </c>
      <c r="C14240" t="str">
        <f>IFERROR(__xludf.DUMMYFUNCTION("GOOGLETRANSLATE(B14240, ""es"", ""en"")"),"Very good feeling happy")</f>
        <v>Very good feeling happy</v>
      </c>
    </row>
    <row r="14241">
      <c r="A14241" s="1">
        <v>5.0</v>
      </c>
      <c r="B14241" s="1" t="s">
        <v>14113</v>
      </c>
      <c r="C14241" t="str">
        <f>IFERROR(__xludf.DUMMYFUNCTION("GOOGLETRANSLATE(B14241, ""es"", ""en"")"),"Very good microphone'm very happy with this micro, the truth that I found very good voice in the distance I meet (70, 80 cm that just measured with xDD meter) looks good quality, has a nice aesthetic and the version with tripod comes with a briefcase whic"&amp;"h is great to keep the micro or use it for other things ..... connects to the PC and recognizes the time, easy and simple, no drivers or anything downloaded from the web manufacturer. I would like piyarme arm later, but hey ...... all in good time, I reco"&amp;"mmend it.")</f>
        <v>Very good microphone'm very happy with this micro, the truth that I found very good voice in the distance I meet (70, 80 cm that just measured with xDD meter) looks good quality, has a nice aesthetic and the version with tripod comes with a briefcase which is great to keep the micro or use it for other things ..... connects to the PC and recognizes the time, easy and simple, no drivers or anything downloaded from the web manufacturer. I would like piyarme arm later, but hey ...... all in good time, I recommend it.</v>
      </c>
    </row>
    <row r="14242">
      <c r="A14242" s="1">
        <v>5.0</v>
      </c>
      <c r="B14242" s="1" t="s">
        <v>14114</v>
      </c>
      <c r="C14242" t="str">
        <f>IFERROR(__xludf.DUMMYFUNCTION("GOOGLETRANSLATE(B14242, ""es"", ""en"")"),"Excellent! Small, small footprint and very functional.")</f>
        <v>Excellent! Small, small footprint and very functional.</v>
      </c>
    </row>
    <row r="14243">
      <c r="A14243" s="1">
        <v>5.0</v>
      </c>
      <c r="B14243" s="1" t="s">
        <v>14115</v>
      </c>
      <c r="C14243" t="str">
        <f>IFERROR(__xludf.DUMMYFUNCTION("GOOGLETRANSLATE(B14243, ""es"", ""en"")"),"Simply excellent Perfectly they match each ear")</f>
        <v>Simply excellent Perfectly they match each ear</v>
      </c>
    </row>
    <row r="14244">
      <c r="A14244" s="1">
        <v>5.0</v>
      </c>
      <c r="B14244" s="1" t="s">
        <v>14116</v>
      </c>
      <c r="C14244" t="str">
        <f>IFERROR(__xludf.DUMMYFUNCTION("GOOGLETRANSLATE(B14244, ""es"", ""en"")"),"a wonder I love it, it does the job perfectly. I relieves contractures and using a heat effect cream is a great combination")</f>
        <v>a wonder I love it, it does the job perfectly. I relieves contractures and using a heat effect cream is a great combination</v>
      </c>
    </row>
    <row r="14245">
      <c r="A14245" s="1">
        <v>5.0</v>
      </c>
      <c r="B14245" s="1" t="s">
        <v>14117</v>
      </c>
      <c r="C14245" t="str">
        <f>IFERROR(__xludf.DUMMYFUNCTION("GOOGLETRANSLATE(B14245, ""es"", ""en"")"),"Good quality / price GoPro Hero card used for 7 black edition. No problem, sufficient capacity and fast transfer. Good Value")</f>
        <v>Good quality / price GoPro Hero card used for 7 black edition. No problem, sufficient capacity and fast transfer. Good Value</v>
      </c>
    </row>
    <row r="14246">
      <c r="A14246" s="1">
        <v>5.0</v>
      </c>
      <c r="B14246" s="1" t="s">
        <v>14118</v>
      </c>
      <c r="C14246" t="str">
        <f>IFERROR(__xludf.DUMMYFUNCTION("GOOGLETRANSLATE(B14246, ""es"", ""en"")"),"Good shoes, but comfort 2/5 good shoes, nothing comfortable (my opinion) but are phenomenal")</f>
        <v>Good shoes, but comfort 2/5 good shoes, nothing comfortable (my opinion) but are phenomenal</v>
      </c>
    </row>
    <row r="14247">
      <c r="A14247" s="1">
        <v>5.0</v>
      </c>
      <c r="B14247" s="1" t="s">
        <v>14119</v>
      </c>
      <c r="C14247" t="str">
        <f>IFERROR(__xludf.DUMMYFUNCTION("GOOGLETRANSLATE(B14247, ""es"", ""en"")"),"Nice looking to create a scrapbook !!! It was for a gift and they loved it.")</f>
        <v>Nice looking to create a scrapbook !!! It was for a gift and they loved it.</v>
      </c>
    </row>
    <row r="14248">
      <c r="A14248" s="1">
        <v>5.0</v>
      </c>
      <c r="B14248" s="1" t="s">
        <v>14120</v>
      </c>
      <c r="C14248" t="str">
        <f>IFERROR(__xludf.DUMMYFUNCTION("GOOGLETRANSLATE(B14248, ""es"", ""en"")"),"Good functionality volume")</f>
        <v>Good functionality volume</v>
      </c>
    </row>
    <row r="14249">
      <c r="A14249" s="1">
        <v>5.0</v>
      </c>
      <c r="B14249" s="1" t="s">
        <v>14121</v>
      </c>
      <c r="C14249" t="str">
        <f>IFERROR(__xludf.DUMMYFUNCTION("GOOGLETRANSLATE(B14249, ""es"", ""en"")"),"Always correct time. Apart from the typical design of Casio, that I love, what I like about this model is that by receiving radio signals, the time is automatically adjusted to the time zone that is scheduled. so no longer get behind nor ahead. In additio"&amp;"n to automatically change schedules winter and summer. And this is great for my work.")</f>
        <v>Always correct time. Apart from the typical design of Casio, that I love, what I like about this model is that by receiving radio signals, the time is automatically adjusted to the time zone that is scheduled. so no longer get behind nor ahead. In addition to automatically change schedules winter and summer. And this is great for my work.</v>
      </c>
    </row>
    <row r="14250">
      <c r="A14250" s="1">
        <v>2.0</v>
      </c>
      <c r="B14250" s="1" t="s">
        <v>14122</v>
      </c>
      <c r="C14250" t="str">
        <f>IFERROR(__xludf.DUMMYFUNCTION("GOOGLETRANSLATE(B14250, ""es"", ""en"")"),"Nothing useful. It's no use. Poor quality. It is too large and the sound is distorted a little.")</f>
        <v>Nothing useful. It's no use. Poor quality. It is too large and the sound is distorted a little.</v>
      </c>
    </row>
    <row r="14251">
      <c r="A14251" s="1">
        <v>3.0</v>
      </c>
      <c r="B14251" s="1" t="s">
        <v>14123</v>
      </c>
      <c r="C14251" t="str">
        <f>IFERROR(__xludf.DUMMYFUNCTION("GOOGLETRANSLATE(B14251, ""es"", ""en"")"),"Does not reach the specified speed card 16Gb Sony misses indicating the speed (90Mb / s). For the use in a mobile as internal memory warns that the speed of read / write is slow and it's impact on the speed of access to applications.")</f>
        <v>Does not reach the specified speed card 16Gb Sony misses indicating the speed (90Mb / s). For the use in a mobile as internal memory warns that the speed of read / write is slow and it's impact on the speed of access to applications.</v>
      </c>
    </row>
    <row r="14252">
      <c r="A14252" s="1">
        <v>3.0</v>
      </c>
      <c r="B14252" s="1" t="s">
        <v>14124</v>
      </c>
      <c r="C14252" t="str">
        <f>IFERROR(__xludf.DUMMYFUNCTION("GOOGLETRANSLATE(B14252, ""es"", ""en"")"),"Heat Aceprable very slow and does not cut plain water to boil when")</f>
        <v>Heat Aceprable very slow and does not cut plain water to boil when</v>
      </c>
    </row>
    <row r="14253">
      <c r="A14253" s="1">
        <v>3.0</v>
      </c>
      <c r="B14253" s="1" t="s">
        <v>14125</v>
      </c>
      <c r="C14253" t="str">
        <f>IFERROR(__xludf.DUMMYFUNCTION("GOOGLETRANSLATE(B14253, ""es"", ""en"")"),"Both shoes have different colors I give it 3 stars by the narco it is very good. Asín I still have not met quedao for the following reasons. -First shoes are black but darker than the other that you can see in the picture The second negative point is that"&amp;" I always wear size 43 and 43 here I have very small like 42.")</f>
        <v>Both shoes have different colors I give it 3 stars by the narco it is very good. Asín I still have not met quedao for the following reasons. -First shoes are black but darker than the other that you can see in the picture The second negative point is that I always wear size 43 and 43 here I have very small like 42.</v>
      </c>
    </row>
    <row r="14254">
      <c r="A14254" s="1">
        <v>1.0</v>
      </c>
      <c r="B14254" s="1" t="s">
        <v>14126</v>
      </c>
      <c r="C14254" t="str">
        <f>IFERROR(__xludf.DUMMYFUNCTION("GOOGLETRANSLATE(B14254, ""es"", ""en"")"),"Worst Worst Skechers I bought and I have several. Very uncomfortable, not noticeable at all the memory foam, very hard. The sole has as fine grooves where all the little pebbles they get, every few days I have to get them out of there, a disaster of slipp"&amp;"ers.")</f>
        <v>Worst Worst Skechers I bought and I have several. Very uncomfortable, not noticeable at all the memory foam, very hard. The sole has as fine grooves where all the little pebbles they get, every few days I have to get them out of there, a disaster of slippers.</v>
      </c>
    </row>
    <row r="14255">
      <c r="A14255" s="1">
        <v>1.0</v>
      </c>
      <c r="B14255" s="1" t="s">
        <v>14127</v>
      </c>
      <c r="C14255" t="str">
        <f>IFERROR(__xludf.DUMMYFUNCTION("GOOGLETRANSLATE(B14255, ""es"", ""en"")"),"Weakling weakling, cheap materials can not take anything")</f>
        <v>Weakling weakling, cheap materials can not take anything</v>
      </c>
    </row>
    <row r="14256">
      <c r="A14256" s="1">
        <v>4.0</v>
      </c>
      <c r="B14256" s="1" t="s">
        <v>14128</v>
      </c>
      <c r="C14256" t="str">
        <f>IFERROR(__xludf.DUMMYFUNCTION("GOOGLETRANSLATE(B14256, ""es"", ""en"")"),"Good product but something just size that is more just than I expected")</f>
        <v>Good product but something just size that is more just than I expected</v>
      </c>
    </row>
    <row r="14257">
      <c r="A14257" s="1">
        <v>4.0</v>
      </c>
      <c r="B14257" s="1" t="s">
        <v>14129</v>
      </c>
      <c r="C14257" t="str">
        <f>IFERROR(__xludf.DUMMYFUNCTION("GOOGLETRANSLATE(B14257, ""es"", ""en"")"),"It does the job Of great time. I bought it because my Acer Aspire 8930 is already 11 years old and it was time to add another disk. He took a star because Samsung will not let me download the Magician program. If someone else has my computer it is very ea"&amp;"sy to install, you only have to remove the first cap under the computer and enter the card into the slot to incorporate additional card without having to buy SATA cable. A speed level can be seen in the ignition, as it is loaded quickly and programs obser"&amp;"ved a slight change of speed. Then another thing to note is that it is quiet. It will not reach the highest levels of speed on this computer due to Sata communication supported by this If you want a quick installation os descargais the Data migration from"&amp;" Samsung which copy you from the operating system to program your new hard drive. Then you go to the system BIOS (F2 or F10 to the system start), and boot are going to lay it first hard drive Samsung to use this as OS (operating system)")</f>
        <v>It does the job Of great time. I bought it because my Acer Aspire 8930 is already 11 years old and it was time to add another disk. He took a star because Samsung will not let me download the Magician program. If someone else has my computer it is very easy to install, you only have to remove the first cap under the computer and enter the card into the slot to incorporate additional card without having to buy SATA cable. A speed level can be seen in the ignition, as it is loaded quickly and programs observed a slight change of speed. Then another thing to note is that it is quiet. It will not reach the highest levels of speed on this computer due to Sata communication supported by this If you want a quick installation os descargais the Data migration from Samsung which copy you from the operating system to program your new hard drive. Then you go to the system BIOS (F2 or F10 to the system start), and boot are going to lay it first hard drive Samsung to use this as OS (operating system)</v>
      </c>
    </row>
    <row r="14258">
      <c r="A14258" s="1">
        <v>4.0</v>
      </c>
      <c r="B14258" s="1" t="s">
        <v>14130</v>
      </c>
      <c r="C14258" t="str">
        <f>IFERROR(__xludf.DUMMYFUNCTION("GOOGLETRANSLATE(B14258, ""es"", ""en"")"),"Very cool it is easy to understand, apply and is great. He bought my son and is delighted. I recommend it")</f>
        <v>Very cool it is easy to understand, apply and is great. He bought my son and is delighted. I recommend it</v>
      </c>
    </row>
    <row r="14259">
      <c r="A14259" s="1">
        <v>4.0</v>
      </c>
      <c r="B14259" s="1" t="s">
        <v>14131</v>
      </c>
      <c r="C14259" t="str">
        <f>IFERROR(__xludf.DUMMYFUNCTION("GOOGLETRANSLATE(B14259, ""es"", ""en"")"),"Meet the expectations I find the typical comfortable and useful shoes both for sport and for one day you do not feel much grooming as paste would them are narrow so fit enough on the sides but over time they have been given a little and now sit great, for"&amp;" the price they are ideal")</f>
        <v>Meet the expectations I find the typical comfortable and useful shoes both for sport and for one day you do not feel much grooming as paste would them are narrow so fit enough on the sides but over time they have been given a little and now sit great, for the price they are ideal</v>
      </c>
    </row>
    <row r="14260">
      <c r="A14260" s="1">
        <v>4.0</v>
      </c>
      <c r="B14260" s="1" t="s">
        <v>14132</v>
      </c>
      <c r="C14260" t="str">
        <f>IFERROR(__xludf.DUMMYFUNCTION("GOOGLETRANSLATE(B14260, ""es"", ""en"")"),"Good price are nice and have good price. I recommend to give away. They are not very expensive and are very good. In addition, I could buy a pendant that will play.")</f>
        <v>Good price are nice and have good price. I recommend to give away. They are not very expensive and are very good. In addition, I could buy a pendant that will play.</v>
      </c>
    </row>
    <row r="14261">
      <c r="A14261" s="1">
        <v>5.0</v>
      </c>
      <c r="B14261" s="1" t="s">
        <v>14133</v>
      </c>
      <c r="C14261" t="str">
        <f>IFERROR(__xludf.DUMMYFUNCTION("GOOGLETRANSLATE(B14261, ""es"", ""en"")"),"Comodisimos good grip. Are technical fabric in the behind, punched and super fresh. He wears soft liner in the chest and wide straps do not bother anything. Size as one street and holds perfectly. I repeat safe")</f>
        <v>Comodisimos good grip. Are technical fabric in the behind, punched and super fresh. He wears soft liner in the chest and wide straps do not bother anything. Size as one street and holds perfectly. I repeat safe</v>
      </c>
    </row>
    <row r="14262">
      <c r="A14262" s="1">
        <v>5.0</v>
      </c>
      <c r="B14262" s="1" t="s">
        <v>14134</v>
      </c>
      <c r="C14262" t="str">
        <f>IFERROR(__xludf.DUMMYFUNCTION("GOOGLETRANSLATE(B14262, ""es"", ""en"")"),"Good quality is a quality product. Well finished and very comfortable.")</f>
        <v>Good quality is a quality product. Well finished and very comfortable.</v>
      </c>
    </row>
    <row r="14263">
      <c r="A14263" s="1">
        <v>5.0</v>
      </c>
      <c r="B14263" s="1" t="s">
        <v>11888</v>
      </c>
      <c r="C14263" t="str">
        <f>IFERROR(__xludf.DUMMYFUNCTION("GOOGLETRANSLATE(B14263, ""es"", ""en"")"),"Perfect Good Quality")</f>
        <v>Perfect Good Quality</v>
      </c>
    </row>
    <row r="14264">
      <c r="A14264" s="1">
        <v>5.0</v>
      </c>
      <c r="B14264" s="1" t="s">
        <v>14135</v>
      </c>
      <c r="C14264" t="str">
        <f>IFERROR(__xludf.DUMMYFUNCTION("GOOGLETRANSLATE(B14264, ""es"", ""en"")"),"They are pretty cool, I love the color shape and size.")</f>
        <v>They are pretty cool, I love the color shape and size.</v>
      </c>
    </row>
    <row r="14265">
      <c r="A14265" s="1">
        <v>5.0</v>
      </c>
      <c r="B14265" s="1" t="s">
        <v>14136</v>
      </c>
      <c r="C14265" t="str">
        <f>IFERROR(__xludf.DUMMYFUNCTION("GOOGLETRANSLATE(B14265, ""es"", ""en"")"),"Very comfortable position Step 6 hour day in front of a pc and suffering from pain in forearms, has substantially improved asiq happy.")</f>
        <v>Very comfortable position Step 6 hour day in front of a pc and suffering from pain in forearms, has substantially improved asiq happy.</v>
      </c>
    </row>
    <row r="14266">
      <c r="A14266" s="1">
        <v>5.0</v>
      </c>
      <c r="B14266" s="1" t="s">
        <v>14137</v>
      </c>
      <c r="C14266" t="str">
        <f>IFERROR(__xludf.DUMMYFUNCTION("GOOGLETRANSLATE(B14266, ""es"", ""en"")"),"Good quality headphones very comfortable and with good sound quality. Packaging, for the price they have, is very careful. They come with a bag so that you keep, rubber bands of different sizes to fit well and a clamp to hold them. Helmets are of sufficie"&amp;"nt quality. Hear quite well, they are comfortable and the plug also seems to quality. Do not give feeling weak. They have microphone and hear no evil.")</f>
        <v>Good quality headphones very comfortable and with good sound quality. Packaging, for the price they have, is very careful. They come with a bag so that you keep, rubber bands of different sizes to fit well and a clamp to hold them. Helmets are of sufficient quality. Hear quite well, they are comfortable and the plug also seems to quality. Do not give feeling weak. They have microphone and hear no evil.</v>
      </c>
    </row>
    <row r="14267">
      <c r="A14267" s="1">
        <v>5.0</v>
      </c>
      <c r="B14267" s="1" t="s">
        <v>14138</v>
      </c>
      <c r="C14267" t="str">
        <f>IFERROR(__xludf.DUMMYFUNCTION("GOOGLETRANSLATE(B14267, ""es"", ""en"")"),"It gives comfort and freedom of movement. Versatile, comfortable and good space.")</f>
        <v>It gives comfort and freedom of movement. Versatile, comfortable and good space.</v>
      </c>
    </row>
    <row r="14268">
      <c r="A14268" s="1">
        <v>5.0</v>
      </c>
      <c r="B14268" s="1" t="s">
        <v>14139</v>
      </c>
      <c r="C14268" t="str">
        <f>IFERROR(__xludf.DUMMYFUNCTION("GOOGLETRANSLATE(B14268, ""es"", ""en"")"),"Balance kisses are super comfortable")</f>
        <v>Balance kisses are super comfortable</v>
      </c>
    </row>
    <row r="14269">
      <c r="A14269" s="1">
        <v>5.0</v>
      </c>
      <c r="B14269" s="1" t="s">
        <v>14140</v>
      </c>
      <c r="C14269" t="str">
        <f>IFERROR(__xludf.DUMMYFUNCTION("GOOGLETRANSLATE(B14269, ""es"", ""en"")"),"The size you are looking for is just the size I was looking for small localized heat to give back or stomach. Certain pains that have always been eased typical hot water bag, now with these electric pillows is very comfortable. I like especially because t"&amp;"emperature has 6 power, this is the most important in order to graduate accurately the amount of heat you want. Good shopping, and now winter is great to have one of these.")</f>
        <v>The size you are looking for is just the size I was looking for small localized heat to give back or stomach. Certain pains that have always been eased typical hot water bag, now with these electric pillows is very comfortable. I like especially because temperature has 6 power, this is the most important in order to graduate accurately the amount of heat you want. Good shopping, and now winter is great to have one of these.</v>
      </c>
    </row>
    <row r="14270">
      <c r="A14270" s="1">
        <v>5.0</v>
      </c>
      <c r="B14270" s="1" t="s">
        <v>14141</v>
      </c>
      <c r="C14270" t="str">
        <f>IFERROR(__xludf.DUMMYFUNCTION("GOOGLETRANSLATE(B14270, ""es"", ""en"")"),"Excellent had them before !! And they are super comfortable!")</f>
        <v>Excellent had them before !! And they are super comfortable!</v>
      </c>
    </row>
    <row r="14271">
      <c r="A14271" s="1">
        <v>5.0</v>
      </c>
      <c r="B14271" s="1" t="s">
        <v>14142</v>
      </c>
      <c r="C14271" t="str">
        <f>IFERROR(__xludf.DUMMYFUNCTION("GOOGLETRANSLATE(B14271, ""es"", ""en"")"),"very nice No best digital, simple and lifelong watches. This in black color is very chulin")</f>
        <v>very nice No best digital, simple and lifelong watches. This in black color is very chulin</v>
      </c>
    </row>
    <row r="14272">
      <c r="A14272" s="1">
        <v>5.0</v>
      </c>
      <c r="B14272" s="1" t="s">
        <v>14143</v>
      </c>
      <c r="C14272" t="str">
        <f>IFERROR(__xludf.DUMMYFUNCTION("GOOGLETRANSLATE(B14272, ""es"", ""en"")"),"Practical The size of the diffuser is ideal for a small house. Weighs, and it is convenient to transport from room to room. It takes about 3 hours water. You can change the color of light and is very nice to decorate. The cable is long, to plug without pr"&amp;"oblem. Also it brings a small bowl to fill water easily. Good price for its function.")</f>
        <v>Practical The size of the diffuser is ideal for a small house. Weighs, and it is convenient to transport from room to room. It takes about 3 hours water. You can change the color of light and is very nice to decorate. The cable is long, to plug without problem. Also it brings a small bowl to fill water easily. Good price for its function.</v>
      </c>
    </row>
    <row r="14273">
      <c r="A14273" s="1">
        <v>5.0</v>
      </c>
      <c r="B14273" s="1" t="s">
        <v>14144</v>
      </c>
      <c r="C14273" t="str">
        <f>IFERROR(__xludf.DUMMYFUNCTION("GOOGLETRANSLATE(B14273, ""es"", ""en"")"),"Ok Pefectos")</f>
        <v>Ok Pefectos</v>
      </c>
    </row>
    <row r="14274">
      <c r="A14274" s="1">
        <v>5.0</v>
      </c>
      <c r="B14274" s="1" t="s">
        <v>14145</v>
      </c>
      <c r="C14274" t="str">
        <f>IFERROR(__xludf.DUMMYFUNCTION("GOOGLETRANSLATE(B14274, ""es"", ""en"")"),"Nice and very adaptable The sock is nice and just what I wanted. It does not lose color and continue as the first day")</f>
        <v>Nice and very adaptable The sock is nice and just what I wanted. It does not lose color and continue as the first day</v>
      </c>
    </row>
    <row r="14275">
      <c r="A14275" s="1">
        <v>5.0</v>
      </c>
      <c r="B14275" s="1" t="s">
        <v>14146</v>
      </c>
      <c r="C14275" t="str">
        <f>IFERROR(__xludf.DUMMYFUNCTION("GOOGLETRANSLATE(B14275, ""es"", ""en"")"),"I like good fabric and carving perfect, sure buy ever more")</f>
        <v>I like good fabric and carving perfect, sure buy ever more</v>
      </c>
    </row>
    <row r="14276">
      <c r="A14276" s="1">
        <v>5.0</v>
      </c>
      <c r="B14276" s="1" t="s">
        <v>14147</v>
      </c>
      <c r="C14276" t="str">
        <f>IFERROR(__xludf.DUMMYFUNCTION("GOOGLETRANSLATE(B14276, ""es"", ""en"")"),"1.35 min Heat 0.4 liters, which is the minimum, in 1 min and 35 sgs. It has a switch on / off jumping off when boiled.")</f>
        <v>1.35 min Heat 0.4 liters, which is the minimum, in 1 min and 35 sgs. It has a switch on / off jumping off when boiled.</v>
      </c>
    </row>
    <row r="14277">
      <c r="A14277" s="1">
        <v>5.0</v>
      </c>
      <c r="B14277" s="1" t="s">
        <v>14148</v>
      </c>
      <c r="C14277" t="str">
        <f>IFERROR(__xludf.DUMMYFUNCTION("GOOGLETRANSLATE(B14277, ""es"", ""en"")"),"essential oils essential oils really good perfect for use in humidifier and create a good atmosphere. Very good smell all.")</f>
        <v>essential oils essential oils really good perfect for use in humidifier and create a good atmosphere. Very good smell all.</v>
      </c>
    </row>
    <row r="14278">
      <c r="A14278" s="1">
        <v>5.0</v>
      </c>
      <c r="B14278" s="1" t="s">
        <v>14149</v>
      </c>
      <c r="C14278" t="str">
        <f>IFERROR(__xludf.DUMMYFUNCTION("GOOGLETRANSLATE(B14278, ""es"", ""en"")"),"Comfort and good audio headphones are wonderful, are small, powerful autonomy and good water resistant. Headphones, they come in a box, which work as a drummer for them. The box is small and perfect discreet to carry in your backpack or purse and do not t"&amp;"ake up much space. They are small, but supercomodos. I went out running and never have noticed that I would fall like that has happened with other models I've purchased. Also a positive point to note is that the wind comes out you can not hear virtually n"&amp;"othing, either you enter water, are superestancos and works superbien")</f>
        <v>Comfort and good audio headphones are wonderful, are small, powerful autonomy and good water resistant. Headphones, they come in a box, which work as a drummer for them. The box is small and perfect discreet to carry in your backpack or purse and do not take up much space. They are small, but supercomodos. I went out running and never have noticed that I would fall like that has happened with other models I've purchased. Also a positive point to note is that the wind comes out you can not hear virtually nothing, either you enter water, are superestancos and works superbien</v>
      </c>
    </row>
    <row r="14279">
      <c r="A14279" s="1">
        <v>5.0</v>
      </c>
      <c r="B14279" s="1" t="s">
        <v>14150</v>
      </c>
      <c r="C14279" t="str">
        <f>IFERROR(__xludf.DUMMYFUNCTION("GOOGLETRANSLATE(B14279, ""es"", ""en"")"),"MCarmen is very nice and like so many precious stones is combined with all colors you")</f>
        <v>MCarmen is very nice and like so many precious stones is combined with all colors you</v>
      </c>
    </row>
    <row r="14280">
      <c r="A14280" s="1">
        <v>2.0</v>
      </c>
      <c r="B14280" s="1" t="s">
        <v>14151</v>
      </c>
      <c r="C14280" t="str">
        <f>IFERROR(__xludf.DUMMYFUNCTION("GOOGLETRANSLATE(B14280, ""es"", ""en"")"),"unstuck are comfortable slippers but in 5 months that I used was taken off me the sole (and why not me have put a lot) .There's would buy, for poor quality.")</f>
        <v>unstuck are comfortable slippers but in 5 months that I used was taken off me the sole (and why not me have put a lot) .There's would buy, for poor quality.</v>
      </c>
    </row>
    <row r="14281">
      <c r="A14281" s="1">
        <v>3.0</v>
      </c>
      <c r="B14281" s="1" t="s">
        <v>14152</v>
      </c>
      <c r="C14281" t="str">
        <f>IFERROR(__xludf.DUMMYFUNCTION("GOOGLETRANSLATE(B14281, ""es"", ""en"")"),"Overhanging, layer brittle paint &lt;div id = ""video-block-R47STZ61EJ0TP"" class = ""a-section a-spacing-small to-spacing-top mini-video block""&gt; &lt;/ div&gt; &lt;input type = ""hidden ""name ="" ""value ="" https://images-eu.ssl-images-amazon.com/images/I/91RUWwQB"&amp;"pyS.mp4 ""class ="" video-url ""&gt; &lt;input type ="" hidden ""name ="" ""value ="" https://images-eu.ssl-images-amazon.com/images/I/91HZ-XDU8HS.png ""class ="" video-slate-img-url ""&gt; &amp; nbsp; I liked the product without But I give it three stars because it s"&amp;"trikes me that a product of its price as soon deteriorate. The product has everything perfect in their functioning, the problem is that only one month of use and the paint began to fall as seen in the photo why I give three stars perfect rest, at the end "&amp;"I I'll stay.")</f>
        <v>Overhanging, layer brittle paint &lt;div id = "video-block-R47STZ61EJ0TP" class = "a-section a-spacing-small to-spacing-top mini-video block"&gt; &lt;/ div&gt; &lt;input type = "hidden "name =" "value =" https://images-eu.ssl-images-amazon.com/images/I/91RUWwQBpyS.mp4 "class =" video-url "&gt; &lt;input type =" hidden "name =" "value =" https://images-eu.ssl-images-amazon.com/images/I/91HZ-XDU8HS.png "class =" video-slate-img-url "&gt; &amp; nbsp; I liked the product without But I give it three stars because it strikes me that a product of its price as soon deteriorate. The product has everything perfect in their functioning, the problem is that only one month of use and the paint began to fall as seen in the photo why I give three stars perfect rest, at the end I I'll stay.</v>
      </c>
    </row>
    <row r="14282">
      <c r="A14282" s="1">
        <v>3.0</v>
      </c>
      <c r="B14282" s="1" t="s">
        <v>14153</v>
      </c>
      <c r="C14282" t="str">
        <f>IFERROR(__xludf.DUMMYFUNCTION("GOOGLETRANSLATE(B14282, ""es"", ""en"")"),"I tried acceptable best brands.")</f>
        <v>I tried acceptable best brands.</v>
      </c>
    </row>
    <row r="14283">
      <c r="A14283" s="1">
        <v>1.0</v>
      </c>
      <c r="B14283" s="1" t="s">
        <v>14154</v>
      </c>
      <c r="C14283" t="str">
        <f>IFERROR(__xludf.DUMMYFUNCTION("GOOGLETRANSLATE(B14283, ""es"", ""en"")"),"Speed?? This takes no more than 16 hours to save 27 GB when that usually takes about half an hour penalties. Disastrous")</f>
        <v>Speed?? This takes no more than 16 hours to save 27 GB when that usually takes about half an hour penalties. Disastrous</v>
      </c>
    </row>
    <row r="14284">
      <c r="A14284" s="1">
        <v>1.0</v>
      </c>
      <c r="B14284" s="1" t="s">
        <v>14155</v>
      </c>
      <c r="C14284" t="str">
        <f>IFERROR(__xludf.DUMMYFUNCTION("GOOGLETRANSLATE(B14284, ""es"", ""en"")"),"While you charge a battery I liked the sound, but do not charge the battery well, I was disappointed because I liked a lot.")</f>
        <v>While you charge a battery I liked the sound, but do not charge the battery well, I was disappointed because I liked a lot.</v>
      </c>
    </row>
    <row r="14285">
      <c r="A14285" s="1">
        <v>4.0</v>
      </c>
      <c r="B14285" s="1" t="s">
        <v>14156</v>
      </c>
      <c r="C14285" t="str">
        <f>IFERROR(__xludf.DUMMYFUNCTION("GOOGLETRANSLATE(B14285, ""es"", ""en"")"),"It works very well. Worth. It meets all the above, it works perfectly.")</f>
        <v>It works very well. Worth. It meets all the above, it works perfectly.</v>
      </c>
    </row>
    <row r="14286">
      <c r="A14286" s="1">
        <v>4.0</v>
      </c>
      <c r="B14286" s="1" t="s">
        <v>14157</v>
      </c>
      <c r="C14286" t="str">
        <f>IFERROR(__xludf.DUMMYFUNCTION("GOOGLETRANSLATE(B14286, ""es"", ""en"")"),"Normal price are a headset that is easy parearlos with bluetooth and hear quite well. I give it four stars because for me they are quite uncomfortable and the battery does not last as much as you want, but for this price are pretty good. A recommended pur"&amp;"chase as the box it comes is quite comfortable and work perfectly.")</f>
        <v>Normal price are a headset that is easy parearlos with bluetooth and hear quite well. I give it four stars because for me they are quite uncomfortable and the battery does not last as much as you want, but for this price are pretty good. A recommended purchase as the box it comes is quite comfortable and work perfectly.</v>
      </c>
    </row>
    <row r="14287">
      <c r="A14287" s="1">
        <v>4.0</v>
      </c>
      <c r="B14287" s="1" t="s">
        <v>14158</v>
      </c>
      <c r="C14287" t="str">
        <f>IFERROR(__xludf.DUMMYFUNCTION("GOOGLETRANSLATE(B14287, ""es"", ""en"")"),"Quite correct. It was a gift for Mother's Day. It is quite good, although the rear finish leaves a little to be desired. Otherwise, all good.")</f>
        <v>Quite correct. It was a gift for Mother's Day. It is quite good, although the rear finish leaves a little to be desired. Otherwise, all good.</v>
      </c>
    </row>
    <row r="14288">
      <c r="A14288" s="1">
        <v>4.0</v>
      </c>
      <c r="B14288" s="1" t="s">
        <v>14159</v>
      </c>
      <c r="C14288" t="str">
        <f>IFERROR(__xludf.DUMMYFUNCTION("GOOGLETRANSLATE(B14288, ""es"", ""en"")"),"Presentation command is a command good presentation, very quick to connect to the computer with the USB receiver that comes within the command and then it works without having to install anything. The main features are that you can go to the next or previ"&amp;"ous diapozitiva and at the tip laser pointer to point up the presentation. everything OK")</f>
        <v>Presentation command is a command good presentation, very quick to connect to the computer with the USB receiver that comes within the command and then it works without having to install anything. The main features are that you can go to the next or previous diapozitiva and at the tip laser pointer to point up the presentation. everything OK</v>
      </c>
    </row>
    <row r="14289">
      <c r="A14289" s="1">
        <v>5.0</v>
      </c>
      <c r="B14289" s="1" t="s">
        <v>14160</v>
      </c>
      <c r="C14289" t="str">
        <f>IFERROR(__xludf.DUMMYFUNCTION("GOOGLETRANSLATE(B14289, ""es"", ""en"")"),"How well it leaves the screen. The blade is of very good quality and perfectly fulfills its function. As for the subject is not a problem if placed on a baldo of lifelong.")</f>
        <v>How well it leaves the screen. The blade is of very good quality and perfectly fulfills its function. As for the subject is not a problem if placed on a baldo of lifelong.</v>
      </c>
    </row>
    <row r="14290">
      <c r="A14290" s="1">
        <v>5.0</v>
      </c>
      <c r="B14290" s="1" t="s">
        <v>14161</v>
      </c>
      <c r="C14290" t="str">
        <f>IFERROR(__xludf.DUMMYFUNCTION("GOOGLETRANSLATE(B14290, ""es"", ""en"")"),"Fulfills its function. My son loved Tal cual")</f>
        <v>Fulfills its function. My son loved Tal cual</v>
      </c>
    </row>
    <row r="14291">
      <c r="A14291" s="1">
        <v>5.0</v>
      </c>
      <c r="B14291" s="1" t="s">
        <v>14162</v>
      </c>
      <c r="C14291" t="str">
        <f>IFERROR(__xludf.DUMMYFUNCTION("GOOGLETRANSLATE(B14291, ""es"", ""en"")"),"Meets my expectations in my case the product came in perfect condition and with all components. The assembly is very simple; I read a comment that ""limping"" to make that happen not to level it simply. I would buy it.")</f>
        <v>Meets my expectations in my case the product came in perfect condition and with all components. The assembly is very simple; I read a comment that "limping" to make that happen not to level it simply. I would buy it.</v>
      </c>
    </row>
    <row r="14292">
      <c r="A14292" s="1">
        <v>5.0</v>
      </c>
      <c r="B14292" s="1" t="s">
        <v>14163</v>
      </c>
      <c r="C14292" t="str">
        <f>IFERROR(__xludf.DUMMYFUNCTION("GOOGLETRANSLATE(B14292, ""es"", ""en"")"),"A very good card the price I bought it, worth it. The actual writing speed is about 18 MB / S, so more than meets the class 10. The read speed is around 35, far from the 80 announced, but within the normal range for this type of card.")</f>
        <v>A very good card the price I bought it, worth it. The actual writing speed is about 18 MB / S, so more than meets the class 10. The read speed is around 35, far from the 80 announced, but within the normal range for this type of card.</v>
      </c>
    </row>
    <row r="14293">
      <c r="A14293" s="1">
        <v>5.0</v>
      </c>
      <c r="B14293" s="1" t="s">
        <v>14164</v>
      </c>
      <c r="C14293" t="str">
        <f>IFERROR(__xludf.DUMMYFUNCTION("GOOGLETRANSLATE(B14293, ""es"", ""en"")"),"Mouse mat carpet maxi super big. Not very thick but gets the job. With its large size you can put the keyboard and mouse and still have enough space on it.")</f>
        <v>Mouse mat carpet maxi super big. Not very thick but gets the job. With its large size you can put the keyboard and mouse and still have enough space on it.</v>
      </c>
    </row>
    <row r="14294">
      <c r="A14294" s="1">
        <v>5.0</v>
      </c>
      <c r="B14294" s="1" t="s">
        <v>14165</v>
      </c>
      <c r="C14294" t="str">
        <f>IFERROR(__xludf.DUMMYFUNCTION("GOOGLETRANSLATE(B14294, ""es"", ""en"")"),"They are pimps very fair. Article is nice, but asks for a number, I ordered 38 and I are very fair.")</f>
        <v>They are pimps very fair. Article is nice, but asks for a number, I ordered 38 and I are very fair.</v>
      </c>
    </row>
    <row r="14295">
      <c r="A14295" s="1">
        <v>5.0</v>
      </c>
      <c r="B14295" s="1" t="s">
        <v>14166</v>
      </c>
      <c r="C14295" t="str">
        <f>IFERROR(__xludf.DUMMYFUNCTION("GOOGLETRANSLATE(B14295, ""es"", ""en"")"),"the smell is great intensoi Pogas despite putting drops in the spray, quickly flooded his room or rooms and is very nice, if you spend drops is doughy and tide")</f>
        <v>the smell is great intensoi Pogas despite putting drops in the spray, quickly flooded his room or rooms and is very nice, if you spend drops is doughy and tide</v>
      </c>
    </row>
    <row r="14296">
      <c r="A14296" s="1">
        <v>5.0</v>
      </c>
      <c r="B14296" s="1" t="s">
        <v>14167</v>
      </c>
      <c r="C14296" t="str">
        <f>IFERROR(__xludf.DUMMYFUNCTION("GOOGLETRANSLATE(B14296, ""es"", ""en"")"),"Nice gift I needed to make a gift to a good friend and this necklace was the perfect gift, you encantado.Es very nice, with Swarovski crystals color, perfect presentation with a case nice and very good value precio.En all a very good choice to make a nice"&amp;" gift.")</f>
        <v>Nice gift I needed to make a gift to a good friend and this necklace was the perfect gift, you encantado.Es very nice, with Swarovski crystals color, perfect presentation with a case nice and very good value precio.En all a very good choice to make a nice gift.</v>
      </c>
    </row>
    <row r="14297">
      <c r="A14297" s="1">
        <v>5.0</v>
      </c>
      <c r="B14297" s="1" t="s">
        <v>14168</v>
      </c>
      <c r="C14297" t="str">
        <f>IFERROR(__xludf.DUMMYFUNCTION("GOOGLETRANSLATE(B14297, ""es"", ""en"")"),"Very good price perfect quality for this price, the quality is fine, I really like this design so I do not lose.")</f>
        <v>Very good price perfect quality for this price, the quality is fine, I really like this design so I do not lose.</v>
      </c>
    </row>
    <row r="14298">
      <c r="A14298" s="1">
        <v>5.0</v>
      </c>
      <c r="B14298" s="1" t="s">
        <v>14169</v>
      </c>
      <c r="C14298" t="str">
        <f>IFERROR(__xludf.DUMMYFUNCTION("GOOGLETRANSLATE(B14298, ""es"", ""en"")"),"Exceeds all expectations! &lt;Div id = ""video-block-R36GK6GV8PGC2Q"" class = ""section a-a-a-spacing-small spacing-top-video mini-block""&gt; &lt;div tabindex = ""0"" class = ""airy airy-svg vmin- supported airy-skin-beacon ""style ="" background-color: rgb (0, 0"&amp;", 0) position: relative; width: 100%; height: 100%; font-size: 0px; overflow: hidden; outline: none ; ""&gt; &lt;div class ="" airy-renderer-container ""style ="" position: relative; height: 100%; width: 100%; ""&gt; &lt;video id ="" 35 ""preload ="" auto ""src ="" h"&amp;"ttps: //images-eu.ssl-images-amazon.com/images/I/A12CXGs5niS.mp4 ""style ="" position: absolute; left: 0px; top: 0px; overflow: hidden; height: 1px; width: 1px; "" &gt; &lt;/ video&gt; &lt;/ div&gt; &lt;div id = ""airy-slate-preload"" style = ""background-color: rgb (0, 0,"&amp;" 0); background-image: url (&amp; quot; https: // images- eu.ssl-images-amazon.com/images/I/81ryAq1znIS.png&amp;quot;); background-size: Contain; background-position: center center; background-repeat: no-repeat; position: absolute; top: 0px; left : 0px; visibilit"&amp;"y: visible; width: 100%; height: 100%; ""&gt; &lt;/ div&gt; &lt;iframe scrolling ="" no ""frameborder = ""0"" src = ""about: blank"" style = ""display: none;""&gt; &lt;/ iframe&gt; &lt;div tabindex = ""- 1"" class = ""airy-controls-container"" style = ""opacity: 0; visibility: h"&amp;"idden; ""&gt; &lt;div tabindex ="" - 1 ""class ="" airy-screen-size-toggle airy-fullscreen ""&gt; &lt;/ div&gt; &lt;div tabindex ="" - 1 ""class ="" airy-container-bottom "" &gt; &lt;div tabindex = ""- 1"" class = ""airy-track-bar-spacer-left"" style = ""width: 11px;""&gt; &lt;/ div&gt; "&amp;"&lt;div tabindex = ""- 1"" class = ""airy-play- airy toggle-play ""style ="" width: 12px; margin-right: 12px; ""&gt; &lt;/ div&gt; &lt;div tabindex ="" - 1 ""class ="" airy-audio-elements ""style ="" float: right; width: 34px; ""&gt; &lt;div tabindex ="" - 1 ""class ="" airy-"&amp;"audio-toggle airy-on ""&gt; &lt;/ div&gt; &lt;div tabindex ="" - 1 ""class ="" airy-audio-container ""style = ""opacity: 0; visibility: hidden; ""&gt; &lt;div tabindex ="" - 1 ""class ="" airy-audio-track-bar ""style ="" height: 80%; ""&gt; &lt;div tabindex ="" - 1 ""class ="" a"&amp;"iry-audio- Scrubber-bar ""style ="" height: 85%; ""&gt; &lt;/ div&gt; &lt;div tabindex ="" - 1 ""class ="" airy-audio-scrubber ""style ="" height: 12px; bottom: 85% ""&gt; &lt;/ div&gt; &lt;/ div&gt; &lt;/ div&gt; &lt;/ div&gt; &lt;div tabindex ="" - 1 ""class ="" airy-duration-label ""style ="" "&amp;"float: right; width: 26px; margin-right: 4px; text-align: center; ""&gt; 0:00 &lt;/ div&gt; &lt;div tabindex ="" - 1 ""class ="" airy-track-bar-spacer-right ""style ="" float: right; width: 11px; ""&gt; &lt;/ div&gt; &lt;div tabindex ="" - 1 ""class ="" airy-track-bar-container "&amp;"""style ="" margin-left: 35px; margin-right: 75px; ""&gt; &lt;div tabindex ="" - 1 ""class ="" airy-airy-track-bar vertically-centering-table ""&gt; &lt;div tabindex ="" - 1 ""class ="" airy-Vertical-centering- table-cell ""&gt; &lt;div tabindex ="" - 1 ""class ="" airy-tr"&amp;"ack-bar-elements ""&gt; &lt;div tabindex ="" - 1 ""class ="" airy-progress-bar ""&gt; &lt;/ div&gt; &lt;div tabindex = ""- 1"" class = ""airy-scrubber-bar""&gt; &lt;/ div&gt; &lt;div tabindex = ""- 1"" class = ""airy-scrubber""&gt; &lt;div tabindex = ""- 1"" class = ""airy-scrubber- icon """&amp;"&gt; &lt;/ div&gt; &lt;div tabindex ="" - 1 ""class ="" airy-adjusted-AUI-tooltip ""style ="" opacity: 0; visibility: hidden; ""&gt; &lt;div tabindex ="" - 1 ""class ="" airy-adjusted-aui-tooltip-inner ""&gt; &lt;div tabindex ="" - 1 ""class ="" airy-current-time-label ""&gt; 0: 00"&amp;" &lt;/ div&gt; &lt;/ div&gt; &lt;div tabindex = ""- 1"" class = ""airy-adjusted-AUI-arrow-border""&gt; &lt;div tabindex = ""- 1"" class = ""airy-adjusted-AUI-arrow"" &gt; &lt;/ div&gt; &lt;/ div&gt; &lt;/ div&gt; &lt;/ div&gt; &lt;/ div&gt; &lt;/ div&gt; &lt;/ div&gt; &lt;/ div&gt; &lt;/ div&gt; &lt;/ div&gt; &lt;div tabindex = ""- 1"" clas"&amp;"s = ""airy-age-gate airy-stage airy-Vertical-centering-table airy-dialog"" style = ""opacity: 0; visibility: hidden; ""&gt; &lt;div tabindex ="" - 1 ""class ="" airy-age-gate-Vertical-centering-table-cell airy-Vertical-centering-table-cell ""&gt; &lt;div tabindex ="""&amp;" - 1 ""class = ""airy-Vertical-centering-wrapper airy-age-gate-elements-wrapper""&gt; &lt;div tabindex = ""- 1"" class = ""airy-age-gate-elements airy-dialog-elements""&gt; &lt;div tabindex = "" -1 ""class ="" airy-age-gate-prompt ""&gt; This video is not Intended for a"&amp;"ll audiences What date were you born &lt;/ div&gt; &lt;div tabindex =.?"" - 1 ""class ="" airy-age-gate -inputs airy-dialog-inner-elements ""&gt; &lt;select tabindex ="" - 1 ""class ="" airy-age-gate-month ""&gt; &lt;option value ="" 1 ""&gt; January &lt;/ option&gt; &lt;option value ="""&amp;" 2 ""&gt; February &lt;/ option&gt; &lt;option value ="" 3 ""&gt; March &lt;/ option&gt; &lt;option value ="" 4 ""&gt; April &lt;/ option&gt; &lt;option value ="" 5 ""&gt; May &lt;/ option&gt; &lt;option value = ""6""&gt; June &lt;/ option&gt; &lt;option value = ""7""&gt; July &lt;/ option&gt; &lt;option value = ""8""&gt; August"&amp;" &lt;/ option&gt; &lt;option value = ""9""&gt; September &lt;/ option&gt; &lt;option value = ""10""&gt; October &lt;/ option&gt; &lt;option value = ""11""&gt; November &lt;/ option&gt; &lt;option value = ""12""&gt; December &lt;/ option&gt; &lt;/ select&gt; &lt;select tabindex = ""- 1"" class = ""airy-age-gate-day""&gt;"&amp;" &lt;opti on value = ""1""&gt; 1 &lt;/ option&gt; &lt;option value = ""2""&gt; 2 &lt;/ option&gt; &lt;option value = ""3""&gt; 3 &lt;/ option&gt; &lt;option value = ""4""&gt; 4 &lt;/ option &gt; &lt;option value = ""5""&gt; 5 &lt;/ option&gt; &lt;option value = ""6""&gt; 6 &lt;/ option&gt; &lt;option value = ""7""&gt; 7 &lt;/ option&gt; "&amp;"&lt;option value = ""8""&gt; 8 &lt; / option&gt; &lt;option value = ""9""&gt; 9 &lt;/ option&gt; &lt;option value = ""10""&gt; 10 &lt;/ option&gt; &lt;option value = ""11""&gt; 11 &lt;/ option&gt; &lt;option value = ""12""&gt; 12 &lt;/ option&gt; &lt;option value = ""13""&gt; 13 &lt;/ option&gt; &lt;option value = ""14""&gt; 14 &lt;/ "&amp;"option&gt; &lt;option value = ""15""&gt; 15 &lt;/ option&gt; &lt;option value = ""16 ""&gt; 16 &lt;/ option&gt; &lt;option value ="" 17 ""&gt; 17 &lt;/ option&gt; &lt;option value ="" 18 ""&gt; 18 &lt;/ option&gt; &lt;option value ="" 19 ""&gt; 19 &lt;/ option&gt; &lt;option value = ""20""&gt; 20 &lt;/ option&gt; &lt;option value ="&amp;" ""21""&gt; 21 &lt;/ option&gt; &lt;option value = ""22""&gt; 22 &lt;/ option&gt; &lt;option value = ""23""&gt; 23 &lt;/ option&gt; &lt;option value = ""24""&gt; 24 &lt;/ option&gt; &lt;option value = ""25""&gt; 25 &lt;/ option&gt; &lt;option value = ""26""&gt; 26 &lt;/ option&gt; &lt;option value = ""27""&gt; 27 &lt;/ option&gt; &lt;opt"&amp;"ion value = ""28""&gt; 28 &lt;/ option&gt; &lt;option value = ""29""&gt; 29 &lt;/ option&gt; &lt;option value = ""30""&gt; 30 &lt;/ option&gt; &lt;option value = ""31""&gt; 31 &lt;/ option&gt; &lt;/ select&gt; &lt;select tabindex = ""- 1"" class = ""airy-age-gate-year""&gt; &lt;option value = ""2019""&gt; 2019 &lt;/ opt"&amp;"ion&gt; &lt; option value = ""2018""&gt; 2018 &lt;/ option&gt; &lt;option value = ""2017""&gt; 2017 &lt;/ option&gt; &lt;option value = ""2016""&gt; ​​2016 &lt;/ option&gt; &lt;option value = ""2015""&gt; 2015 &lt;/ option &gt; &lt;option value = ""2014""&gt; 2014 &lt;/ option&gt; &lt;option value = ""2013""&gt; 2013 &lt;/ op"&amp;"tion&gt; &lt;option value = ""2012""&gt; 2012 &lt;/ option&gt; &lt;option value = ""2011""&gt; 2011 &lt; / option&gt; &lt;option value = ""2010""&gt; 2010 &lt;/ option&gt; &lt;option value = ""2009""&gt; 2009 &lt;/ option&gt; &lt;option value = ""2008""&gt; 2008 &lt;/ option&gt; &lt;option value = ""2007""&gt; 2007 &lt;/ opti"&amp;"on&gt; &lt;option value = ""2006""&gt; 2006 &lt;/ option&gt; &lt;option value = ""2005""&gt; 2005 &lt;/ option&gt; &lt;option value = ""2004""&gt; 2004 &lt;/ option&gt; &lt;option value = ""2003 ""&gt; 2003 &lt;/ option&gt; &lt;option value ="" 2002 ""&gt; 2002 &lt;/ option&gt; &lt;option value ="" 2001 ""&gt; 2001 &lt;/ opti"&amp;"on&gt; &lt;option value ="" 2000 ""&gt; 2000 &lt;/ option&gt; &lt;option value = ""1999""&gt; 1999 &lt;/ option&gt; &lt;option value = ""1998""&gt; 1998 &lt;/ option&gt; &lt;option value = ""1997""&gt; 1997 &lt;/ option&gt; &lt;option value = ""1996""&gt; 1996 &lt;/ option&gt; &lt;option value = ""1995""&gt; 1995 &lt;/ option"&amp;"&gt; &lt;option value = ""1994""&gt; 1994 &lt;/ option&gt; &lt;option value = ""1993""&gt; 1993 &lt;/ option&gt; &lt;option value = ""1992""&gt; 1992 &lt;/ option&gt; &lt;option value = ""1991""&gt; 1991 &lt;/ option&gt; &lt;option value = ""1990""&gt; 1990 &lt;/ option&gt; &lt;option value = "" 1989 ""&gt; 1989 &lt;/ option&gt;"&amp;" &lt;option value ="" 1988 ""&gt; 1988 &lt;/ option&gt; &lt;option value ="" 1987 ""&gt; 1987 &lt;/ option&gt; &lt;option value ="" 1986 ""&gt; 1986 &lt;/ option&gt; &lt;value option = ""1985""&gt; 1985 &lt;/ option&gt; &lt;option value = ""1984""&gt; 1984 &lt;/ option&gt; &lt;option value = ""1983""&gt; 1983 &lt;/ option&gt;"&amp;" &lt;option value = ""1982""&gt; 1982 &lt;/ option&gt; &lt; option value = ""1981""&gt; 1981 &lt;/ option&gt; &lt;option value = ""1980""&gt; 1980 &lt;/ option&gt; &lt;option value = ""1979""&gt; 1979 &lt;/ option&gt; &lt;option value = ""1978""&gt; 1978 &lt;/ option &gt; &lt;option value = ""1977""&gt; 1977 &lt;/ option&gt; "&amp;"&lt;option value = ""1976""&gt; 1976 &lt;/ option&gt; &lt;option value = ""1975""&gt; 1975 &lt;/ option&gt; &lt;option value = ""1974""&gt; 1974 &lt; / option&gt; &lt;option value = ""1973""&gt; 1973 &lt;/ option&gt; &lt;option value = ""1972""&gt; 1972 &lt;/ option&gt; &lt;option value = ""1971""&gt; 1971 &lt;/ option&gt; &lt;o"&amp;"ption value = ""1970""&gt; 1970 &lt;/ option&gt; &lt;option value = ""1969""&gt; 1969 &lt;/ option&gt; &lt;option value = ""1968""&gt; 1968 &lt;/ option&gt; &lt;option value = ""1967""&gt; 1967 &lt;/ option&gt; &lt;option value = ""1966 ""&gt; 1966 &lt;/ option&gt; &lt;option value ="" 1965 ""&gt; 1965 &lt;/ option&gt; &lt;op"&amp;"tion value ="" 1964 ""&gt; 1964 &lt;/ option&gt; &lt;option value ="" 1963 ""&gt; 1963 &lt;/ option&gt; &lt;option value = ""1962""&gt; 1962 &lt;/ option&gt; &lt;option value = ""1961""&gt; 1961 &lt;/ option&gt; &lt;option value = ""1960""&gt; 1960 &lt;/ op tion&gt; &lt;option value = ""1959""&gt; 1959 &lt;/ option&gt; &lt;op"&amp;"tion value = ""1958""&gt; 1958 &lt;/ option&gt; &lt;option value = ""1957""&gt; 1957 &lt;/ option&gt; &lt;option value = ""1956""&gt; 1956 &lt;/ option&gt; &lt;option value = ""1955""&gt; 1955 &lt;/ option&gt; &lt;option value = ""1954""&gt; 1954 &lt;/ option&gt; &lt;option value = ""1953""&gt; 1953 &lt;/ option&gt; &lt;optio"&amp;"n value = ""1952"" &gt; 1952 &lt;/ option&gt; &lt;option value = ""1951""&gt; 1951 &lt;/ option&gt; &lt;option value = ""1950""&gt; 1950 &lt;/ option&gt; &lt;option value = ""1949""&gt; 1949 &lt;/ option&gt; &lt;option value = "" 1948 ""&gt; 1948 &lt;/ option&gt; &lt;option value ="" 1947 ""&gt; 1947 &lt;/ option&gt; &lt;opti"&amp;"on value ="" 1946 ""&gt; 1946 &lt;/ option&gt; &lt;option value ="" 1945 ""&gt; 1945 &lt;/ option&gt; &lt;value option = ""1944""&gt; 1944 &lt;/ option&gt; &lt;option value = ""1943""&gt; 1943 &lt;/ option&gt; &lt;option value = ""1942""&gt; 1942 &lt;/ option&gt; &lt;option value = ""1941""&gt; 1941 &lt;/ option&gt; &lt; opti"&amp;"on value = ""1940""&gt; 1940 &lt;/ option&gt; &lt;option value = ""1939""&gt; 1939 &lt;/ option&gt; &lt;option value = ""1938""&gt; 1938 &lt;/ option&gt; &lt;option value = ""1937""&gt; 1937 &lt;/ option &gt; &lt;option value = ""1936""&gt; 1936 &lt;/ option&gt; &lt;option value = ""1935""&gt; 1935 &lt;/ option&gt; &lt;option"&amp;" value = ""1934""&gt; 1934 &lt;/ option&gt; &lt;option value = ""1933""&gt; 1933 &lt; / option&gt; &lt;option value = ""1932""&gt; 1932 &lt;/ option&gt; &lt;option value = ""1931""&gt; 1931 &lt;/ option&gt; &lt;option v alue = ""1930""&gt; 1930 &lt;/ option&gt; &lt;option value = ""1929""&gt; 1929 &lt;/ option&gt; &lt;option "&amp;"value = ""1928""&gt; 1928 &lt;/ option&gt; &lt;option value = ""1927""&gt; 1927 &lt;/ option&gt; &lt;option value = ""1926""&gt; 1926 &lt;/ option&gt; &lt;option value = ""1925""&gt; 1925 &lt;/ option&gt; &lt;option value = ""1924""&gt; 1924 &lt;/ option&gt; &lt;option value = ""1923""&gt; 1923 &lt;/ option&gt; &lt;option val"&amp;"ue = ""1922""&gt; 1922 &lt;/ option&gt; &lt;option value = ""1921""&gt; 1921 &lt;/ option&gt; &lt;option value = ""1920""&gt; 1920 &lt;/ option&gt; &lt;option value = ""1919""&gt; 1919 &lt;/ option&gt; &lt;option value = ""1918""&gt; 1918 &lt;/ option&gt; &lt;option value = ""1917""&gt; 1917 &lt;/ option&gt; &lt;option value "&amp;"= ""1916""&gt; 1916 &lt;/ option&gt; &lt;option value = ""1915"" &gt; 1915 &lt;/ option&gt; &lt;option value = ""1914""&gt; 1914 &lt;/ option&gt; &lt;option value = ""1913""&gt; 1913 &lt;/ option&gt; &lt;option value = ""1912""&gt; 1912 &lt;/ option&gt; &lt;option value = "" 1911 ""&gt; 1911 &lt;/ option&gt; &lt;option value "&amp;"="" 1910 ""&gt; 1910 &lt;/ option&gt; &lt;option value ="" 1909 ""&gt; 1909 &lt;/ option&gt; &lt;option value ="" 1908 ""&gt; 1908 &lt;/ option&gt; &lt;value option = ""1907""&gt; 1907 &lt;/ option&gt; &lt;option value = ""1906""&gt; 1906 &lt;/ option&gt; &lt;option value = ""1905""&gt; 1905 &lt;/ option&gt; &lt;option value "&amp;"= ""1904""&gt; 1904 &lt;/ option&gt; &lt; option value = ""1903""&gt; 1903 &lt;/ option&gt; &lt;option value = ""1902""&gt; 1902 &lt;/ option&gt; &lt;option value = ""1901""&gt; 19 01 &lt;/ option&gt; &lt;option value = ""1900""&gt; 1900 &lt;/ option&gt; &lt;/ select&gt; &lt;div tabindex = ""- 1"" class = ""airy-age-gat"&amp;"e-submit airy-submit-button airy airy-submit- disabled ""&gt; Submit &lt;/ div&gt; &lt;/ div&gt; &lt;/ div&gt; &lt;/ div&gt; &lt;/ div&gt; &lt;/ div&gt; &lt;div tabindex ="" - 1 ""class ="" airy-install-flash-dialog airy-stage airy -vertical-centering-table-dialog airy airy-denied ""style ="" opa"&amp;"city: 0; visibility: hidden; ""&gt; &lt;div tabindex ="" - 1 ""class ="" airy-install-flash-Vertical-centering-table-cell airy-Vertical-centering-table-cell ""&gt; &lt;div tabindex ="" - 1 ""class = ""airy-Vertical-centering-wrapper airy-install-flash-elements-wrappe"&amp;"r""&gt; &lt;div tabindex = ""- 1"" class = ""airy-install-flash-elements airy-dialog-elements""&gt; &lt;div tabindex = "" -1 ""class ="" airy-install-flash-prompt ""&gt; Adobe Flash Player is required to watch this video &lt;/ div&gt; &lt;div tabindex =."" - 1 ""class ="" airy-i"&amp;"nstall-flash-button-wrapper airy -dialog-inner-elements ""&gt; &lt;div tabindex ="" - 1 ""class ="" airy-install-flash-button airy-button ""&gt; install Flash Player &lt;/ div&gt; &lt;/ div&gt; &lt;/ div&gt; &lt;/ div&gt; &lt;/ div&gt; &lt;/ div&gt; &lt;div tabindex = ""- 1"" class = ""airy-video-unsup"&amp;"ported-dialog airy-stage airy-Vertical-centering-table airy-dialog airy-denied"" style = ""opacity: 0; visibility: hidden; ""&gt; &lt;div tabindex ="" - 1 ""class ="" airy-video-unsupported-Vertical-centering-table-cell airy-Vertical-centering-table-cell ""&gt; &lt;d"&amp;"iv tabindex ="" - 1 ""class = ""airy-Vertical-centering-wrapper airy-video-unsupported-elements-wrapper""&gt; &lt;div tabindex = ""- 1"" class = ""airy-video-unsupported-elements airy-dialog-elements""&gt; &lt;div tabindex = "" -1 ""class ="" airy-video-unsupported-p"&amp;"rompt ""&gt; &lt;/ div&gt; &lt;/ div&gt; &lt;/ div&gt; &lt;/ div&gt; &lt;/ div&gt; &lt;div tabindex ="" - 1 ""class ="" airy-loading- spinner-stage airy-stage ""&gt; &lt;div tabindex ="" - 1 ""class ="" airy-loading-spinner-Vertical-centering-table-cell airy-Vertical-centering-table-cell ""&gt; &lt;div"&amp;" tabindex ="" - 1 ""class ="" airy-loading-spinner-container airy-scalable-hint-container ""&gt; &lt;div tabindex ="" - 1 ""class ="" airy-loading-spinner-dummy airy-scalable-dummy ""&gt; &lt;/ div&gt; &lt; div tabindex = ""- 1"" class = ""airy-loading-spinner airy-hint"" "&amp;"style = ""visibility: hidden;""&gt; &lt;/ div&gt; &lt;/ div&gt; &lt;/ div&gt; &lt;/ div&gt; &lt;div tabindex = ""- 1 ""class ="" airy-ads-screen-size-toggle airy-screen-size-toggle-fullscreen airy ""style ="" visibility: hidden; ""&gt; &lt;/ div&gt; &lt;div tabindex = ""-1"" class = ""airy-ad-pro"&amp;"mpt-container"" style = ""visibility: hidden;""&gt; &lt;div tabindex = ""- 1"" class = ""airy-ad-prompt-Vertical-centering-table-vertically airy centering-table ""&gt; &lt;div tabindex ="" - 1 ""class ="" airy-ad-prompt-Vertical-centering-table-cell airy-Vertical-cen"&amp;"tering-table-cell ""&gt; &lt;div tabindex ="" - 1 ""class = ""airy-ad-prompt-label""&gt; &lt;/ div&gt; &lt;/ div&gt; &lt;/ div&gt; &lt;/ div&gt; &lt;div tabindex = ""- 1"" class = ""airy-ads-controls-container"" style = ""visibility: hidden; ""&gt; &lt;div tabindex ="" - 1 ""class ="" airy-ads-au"&amp;"dio-toggle airy-audio-toggle airy-on ""style ="" visibility: hidden; ""&gt; &lt;/ div&gt; &lt;div tabindex ="" - 1 ""class ="" airy-time-remaining-label-container ""&gt; &lt;div tabindex ="" - 1 ""class ="" airy-time-remaining-Vertical-centering-table airy-Vertical-centeri"&amp;"ng-table ""&gt; &lt;div tabindex = ""- 1"" class = ""airy-time-remaining-Vertical-centering-table-cell airy-Vertical-centering-table-cell""&gt; &lt;div tabindex = ""- 1"" class = ""airy-Vertical-centering-wrapper airy-time-remaining-label-wrapper ""&gt; &lt;div tabindex ="&amp;""" - 1 ""class ="" airy-time-remaining-label ""style ="" visibility: hidden; ""&gt; &lt;/ div&gt; &lt;div tabi ndex = ""- 1"" class = ""airy-ad-skip"" style = ""visibility: hidden;""&gt; &lt;/ div&gt; &lt;div tabindex = ""- 1"" class = ""airy-ad-end"" style = ""visibility: hidde"&amp;"n ""&gt; &lt;/ div&gt; &lt;/ div&gt; &lt;/ div&gt; &lt;/ div&gt; &lt;/ div&gt; &lt;div tabindex ="" - 1 ""class ="" airy-learn-more ""style ="" visibility: hidden; ""&gt; &lt;/ div&gt; &lt;/ div&gt; &lt;div tabindex = ""- 1"" class = ""airy-play-toggle-hint-stage airy-stage airy-cursor""&gt; &lt;div tabindex = ""-"&amp;" 1"" class = ""airy-play -toggle-hint-Vertical-centering-table-cell airy-Vertical-centering-table-cell airy-cursor ""&gt; &lt;div tabindex ="" - 1 ""class ="" airy-play-toggle-hint-container airy-scalable- Hint-container ""&gt; &lt;div tabindex ="" - 1 ""class ="" ai"&amp;"ry-play-toggle-hint-dummy airy-scalable-dummy ""&gt; &lt;/ div&gt; &lt;div tabindex ="" - 1 ""class ="" airy-play -toggle-hint hint airy-airy-play-hint ""style ="" opacity: 1; visibility: visible; ""&gt; &lt;/ div&gt; &lt;/ div&gt; &lt;/ div&gt; &lt;/ div&gt; &lt;div tabindex ="" - 1 ""class ="" "&amp;"airy-replay-hint-stage airy-stage ""style ="" visibility: hidden ; ""&gt; &lt;div tabindex ="" - 1 ""class ="" airy-replay-hint-Vertical-centering-table-cell airy-Vertical-centering-table-cell airy-cursor ""&gt; &lt;div tabindex ="" - 1 ""class = ""airy-replay-hint-c"&amp;"ontainer airy-scalable-hint-container""&gt; &lt;div tabindex = ""- 1"" class = ""airy-replay-hint-dummy airy-scalable-dummy""&gt; &lt;/ div&gt; &lt;div tabindex = ""- 1"" class = ""airy-replay-hint airy-hint""&gt; &lt;/ div&gt; &lt;/ div&gt; &lt;/ div&gt; &lt;/ div&gt; &lt;div tabindex = ""- 1"" class "&amp;"= ""airy-autoplay-hint -stage airy-stage ""style ="" visibility: hidden; ""&gt; &lt;div tabindex ="" - 1 ""class ="" airy-autoplay-hint-Vertical-centering-table-cell airy-Vertical-centering-table-cell airy- cursor ""&gt; &lt;div tabindex ="" - 1 ""class ="" autoplay "&amp;"airy-airy-hint-container-scalable-hint-container ""&gt; &lt;div tabindex ="" - 1 ""class ="" airy-autoplay-hint-dummy airy- scalable-dummy ""&gt; &lt;/ div&gt; &lt;/ div&gt; &lt;/ div&gt; &lt;/ div&gt; &lt;/ div&gt; &lt;/ div&gt; &lt;input type ="" hidden ""name ="" ""value ="" https: // images-eu .ssl"&amp;"-images-amazon.com / images / I / A12CXGs5niS.mp4 ""Class ="" video-url ""&gt; &lt;input type ="" hidden ""name ="" ""value ="" https://images-eu.ssl-images-amazon.com/images/I/81ryAq1znIS.png ""class ="" video-slate-img-url ""&gt; &amp; nbsp; I bought it because my g"&amp;"irlfriend has taken to make smoothies every day and the mini pimer is not the same. After much searching I decided on this Blender for its functionality and having a glass of 2 liters! At the receiving it took me pleasantly surprised that the quality is m"&amp;"uch higher than expected, the materials are of excellent quality, buttons that looks solid and the vessel is to note that hard work. It has an LED display lets you control how long have you been beating, so you can always leave the same consistency, which"&amp;" I found useful and supremente had not seen anywhere else! Another thing that I found very useful is the mixer coming because you can get him calmly and can push when it runs down the sides, for example when you make pancakes flour goes for the sides. The"&amp;" glass is very easy to put on, does not make you go missing looking for the right position, also it has a security system that does not turn on until you put the glass properly. For over a week and we are truly delighted using it! Recommended to purchase "&amp;"100%, it has a price more than reasonable for the quality and features it has!")</f>
        <v>Exceeds all expectations! &lt;Div id = "video-block-R36GK6GV8PGC2Q" class = "section a-a-a-spacing-small spacing-top-video mini-block"&gt; &lt;div tabindex = "0" class = "airy airy-svg vmin- supported airy-skin-beacon "style =" background-color: rgb (0, 0, 0) position: relative; width: 100%; height: 100%; font-size: 0px; overflow: hidden; outline: none ; "&gt; &lt;div class =" airy-renderer-container "style =" position: relative; height: 100%; width: 100%; "&gt; &lt;video id =" 35 "preload =" auto "src =" https: //images-eu.ssl-images-amazon.com/images/I/A12CXGs5niS.mp4 "style =" position: absolute; left: 0px; top: 0px; overflow: hidden; height: 1px; width: 1px; " &gt; &lt;/ video&gt; &lt;/ div&gt; &lt;div id = "airy-slate-preload" style = "background-color: rgb (0, 0, 0); background-image: url (&amp; quot; https: // images- eu.ssl-images-amazon.com/images/I/81ryAq1znIS.png&amp;quot;); background-size: Contain; background-position: center center; background-repeat: no-repeat; position: absolute; top: 0px; left :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A12CXGs5niS.mp4 "Class =" video-url "&gt; &lt;input type =" hidden "name =" "value =" https://images-eu.ssl-images-amazon.com/images/I/81ryAq1znIS.png "class =" video-slate-img-url "&gt; &amp; nbsp; I bought it because my girlfriend has taken to make smoothies every day and the mini pimer is not the same. After much searching I decided on this Blender for its functionality and having a glass of 2 liters! At the receiving it took me pleasantly surprised that the quality is much higher than expected, the materials are of excellent quality, buttons that looks solid and the vessel is to note that hard work. It has an LED display lets you control how long have you been beating, so you can always leave the same consistency, which I found useful and supremente had not seen anywhere else! Another thing that I found very useful is the mixer coming because you can get him calmly and can push when it runs down the sides, for example when you make pancakes flour goes for the sides. The glass is very easy to put on, does not make you go missing looking for the right position, also it has a security system that does not turn on until you put the glass properly. For over a week and we are truly delighted using it! Recommended to purchase 100%, it has a price more than reasonable for the quality and features it has!</v>
      </c>
    </row>
    <row r="14299">
      <c r="A14299" s="1">
        <v>5.0</v>
      </c>
      <c r="B14299" s="1" t="s">
        <v>14170</v>
      </c>
      <c r="C14299" t="str">
        <f>IFERROR(__xludf.DUMMYFUNCTION("GOOGLETRANSLATE(B14299, ""es"", ""en"")"),"Very good buy Me a been very useful and fulfills all expectations")</f>
        <v>Very good buy Me a been very useful and fulfills all expectations</v>
      </c>
    </row>
    <row r="14300">
      <c r="A14300" s="1">
        <v>5.0</v>
      </c>
      <c r="B14300" s="1" t="s">
        <v>14171</v>
      </c>
      <c r="C14300" t="str">
        <f>IFERROR(__xludf.DUMMYFUNCTION("GOOGLETRANSLATE(B14300, ""es"", ""en"")"),"Gooood is very good, but be aware that squeezes the beginning a lot ... well, squeezes, was about to return, I had 15 days at home and then started to put it ... great ... it is true that I prefer to run crossed that puts you back better, but I already us"&amp;"e it for everything, the outline goes a fair bit.")</f>
        <v>Gooood is very good, but be aware that squeezes the beginning a lot ... well, squeezes, was about to return, I had 15 days at home and then started to put it ... great ... it is true that I prefer to run crossed that puts you back better, but I already use it for everything, the outline goes a fair bit.</v>
      </c>
    </row>
    <row r="14301">
      <c r="A14301" s="1">
        <v>5.0</v>
      </c>
      <c r="B14301" s="1" t="s">
        <v>14172</v>
      </c>
      <c r="C14301" t="str">
        <f>IFERROR(__xludf.DUMMYFUNCTION("GOOGLETRANSLATE(B14301, ""es"", ""en"")"),"Comodo Very Good, relaxes you a lot")</f>
        <v>Comodo Very Good, relaxes you a lot</v>
      </c>
    </row>
    <row r="14302">
      <c r="A14302" s="1">
        <v>5.0</v>
      </c>
      <c r="B14302" s="1" t="s">
        <v>14173</v>
      </c>
      <c r="C14302" t="str">
        <f>IFERROR(__xludf.DUMMYFUNCTION("GOOGLETRANSLATE(B14302, ""es"", ""en"")"),"Excellent Very good buy. It heats up quickly and takes up little space. Very practical to avoid using the microwave or just use the kitchen for coffee or tea")</f>
        <v>Excellent Very good buy. It heats up quickly and takes up little space. Very practical to avoid using the microwave or just use the kitchen for coffee or tea</v>
      </c>
    </row>
    <row r="14303">
      <c r="A14303" s="1">
        <v>5.0</v>
      </c>
      <c r="B14303" s="1" t="s">
        <v>14174</v>
      </c>
      <c r="C14303" t="str">
        <f>IFERROR(__xludf.DUMMYFUNCTION("GOOGLETRANSLATE(B14303, ""es"", ""en"")"),"Good product color, material and perfect finish, worth the price can not ask for more, but worth buying, I have 44 and I go perfect.")</f>
        <v>Good product color, material and perfect finish, worth the price can not ask for more, but worth buying, I have 44 and I go perfect.</v>
      </c>
    </row>
    <row r="14304">
      <c r="A14304" s="1">
        <v>5.0</v>
      </c>
      <c r="B14304" s="1" t="s">
        <v>14175</v>
      </c>
      <c r="C14304" t="str">
        <f>IFERROR(__xludf.DUMMYFUNCTION("GOOGLETRANSLATE(B14304, ""es"", ""en"")"),"Perfect perfect, such as I expected. I usually use 38 and ordered a 37 and a half, I was going well. Comfortable.")</f>
        <v>Perfect perfect, such as I expected. I usually use 38 and ordered a 37 and a half, I was going well. Comfortable.</v>
      </c>
    </row>
    <row r="14305">
      <c r="A14305" s="1">
        <v>5.0</v>
      </c>
      <c r="B14305" s="1" t="s">
        <v>14176</v>
      </c>
      <c r="C14305" t="str">
        <f>IFERROR(__xludf.DUMMYFUNCTION("GOOGLETRANSLATE(B14305, ""es"", ""en"")"),"They are very good buy bottles that perfectly meets the needs of the baby. Very durable and comfortable to clean. Very happy with the purchase. Perfect service and fast shipping packaging.")</f>
        <v>They are very good buy bottles that perfectly meets the needs of the baby. Very durable and comfortable to clean. Very happy with the purchase. Perfect service and fast shipping packaging.</v>
      </c>
    </row>
    <row r="14306">
      <c r="A14306" s="1">
        <v>5.0</v>
      </c>
      <c r="B14306" s="1" t="s">
        <v>14177</v>
      </c>
      <c r="C14306" t="str">
        <f>IFERROR(__xludf.DUMMYFUNCTION("GOOGLETRANSLATE(B14306, ""es"", ""en"")"),"Audio quality at a great price a blast! I'm delighted I've been using them for 5 days and I'm delighted. After several hours of daily use I have not had to charge the headset. The sound is very good, especially the treble and bass. They connect very quick"&amp;"ly on my Samsung galaxy s7. Very practical for sports, I had miedk that leave me as he ran, but they adapt very well to the ear. Besides music calls are heard very sharp. It is also the case that brings is very convenient and practical. Recommended to all"&amp;" those who seek an affordable product price without losing audio quality.")</f>
        <v>Audio quality at a great price a blast! I'm delighted I've been using them for 5 days and I'm delighted. After several hours of daily use I have not had to charge the headset. The sound is very good, especially the treble and bass. They connect very quickly on my Samsung galaxy s7. Very practical for sports, I had miedk that leave me as he ran, but they adapt very well to the ear. Besides music calls are heard very sharp. It is also the case that brings is very convenient and practical. Recommended to all those who seek an affordable product price without losing audio quality.</v>
      </c>
    </row>
    <row r="14307">
      <c r="A14307" s="1">
        <v>2.0</v>
      </c>
      <c r="B14307" s="1" t="s">
        <v>14178</v>
      </c>
      <c r="C14307" t="str">
        <f>IFERROR(__xludf.DUMMYFUNCTION("GOOGLETRANSLATE(B14307, ""es"", ""en"")"),"Twice in the same Flawed stone. Second album buy on this platform. First buy a seagate that vibrated so much that apart from the noise made vibrate entire computer tower. Buy this disc and it makes a noise (wheel type mouse movement), constant. I have fou"&amp;"r PCs in the office and I have already changed several albums. I've never had these problems. The album came as the first, wrapped in a bubble bag inside a cardboard envelope. And according to the experience I've had, I came to two conclusions. 1. The typ"&amp;"e of packaging is not suitable for an electronic component with mechanical parts to which it is subjected to a mixed transport all exposed to shake and vibration. In the package does not put fragile or anything. The first album came to me with a warm temp"&amp;"erature, do not know where was put in January. 2. That the records sold in this way have not passed quality testing by the manufacturer. Orders much chance that two disks, two defective discs.")</f>
        <v>Twice in the same Flawed stone. Second album buy on this platform. First buy a seagate that vibrated so much that apart from the noise made vibrate entire computer tower. Buy this disc and it makes a noise (wheel type mouse movement), constant. I have four PCs in the office and I have already changed several albums. I've never had these problems. The album came as the first, wrapped in a bubble bag inside a cardboard envelope. And according to the experience I've had, I came to two conclusions. 1. The type of packaging is not suitable for an electronic component with mechanical parts to which it is subjected to a mixed transport all exposed to shake and vibration. In the package does not put fragile or anything. The first album came to me with a warm temperature, do not know where was put in January. 2. That the records sold in this way have not passed quality testing by the manufacturer. Orders much chance that two disks, two defective discs.</v>
      </c>
    </row>
    <row r="14308">
      <c r="A14308" s="1">
        <v>3.0</v>
      </c>
      <c r="B14308" s="1" t="s">
        <v>14179</v>
      </c>
      <c r="C14308" t="str">
        <f>IFERROR(__xludf.DUMMYFUNCTION("GOOGLETRANSLATE(B14308, ""es"", ""en"")"),"Passable No frills, but if you like to wear the miband without plastic bracelet gives you the trick. It costs a little enter MiBand but I expected that to the being of metal.")</f>
        <v>Passable No frills, but if you like to wear the miband without plastic bracelet gives you the trick. It costs a little enter MiBand but I expected that to the being of metal.</v>
      </c>
    </row>
    <row r="14309">
      <c r="A14309" s="1">
        <v>1.0</v>
      </c>
      <c r="B14309" s="1" t="s">
        <v>14180</v>
      </c>
      <c r="C14309" t="str">
        <f>IFERROR(__xludf.DUMMYFUNCTION("GOOGLETRANSLATE(B14309, ""es"", ""en"")"),"The use shoddy a week on a trip for a tablet and now I will use again and I get that card is not formatted and do not work on any device or not ... let me format it and not fatal ... I can contact Amazon to say anything ....")</f>
        <v>The use shoddy a week on a trip for a tablet and now I will use again and I get that card is not formatted and do not work on any device or not ... let me format it and not fatal ... I can contact Amazon to say anything ....</v>
      </c>
    </row>
    <row r="14310">
      <c r="A14310" s="1">
        <v>1.0</v>
      </c>
      <c r="B14310" s="1" t="s">
        <v>14181</v>
      </c>
      <c r="C14310" t="str">
        <f>IFERROR(__xludf.DUMMYFUNCTION("GOOGLETRANSLATE(B14310, ""es"", ""en"")"),"weeklong weeklong broken into broken into")</f>
        <v>weeklong weeklong broken into broken into</v>
      </c>
    </row>
    <row r="14311">
      <c r="A14311" s="1">
        <v>4.0</v>
      </c>
      <c r="B14311" s="1" t="s">
        <v>14182</v>
      </c>
      <c r="C14311" t="str">
        <f>IFERROR(__xludf.DUMMYFUNCTION("GOOGLETRANSLATE(B14311, ""es"", ""en"")"),"They are not wonderful but do their job have a good grip on the sole, perhaps see a fair bit of size but for pilates, better justitos large")</f>
        <v>They are not wonderful but do their job have a good grip on the sole, perhaps see a fair bit of size but for pilates, better justitos large</v>
      </c>
    </row>
    <row r="14312">
      <c r="A14312" s="1">
        <v>4.0</v>
      </c>
      <c r="B14312" s="1" t="s">
        <v>14183</v>
      </c>
      <c r="C14312" t="str">
        <f>IFERROR(__xludf.DUMMYFUNCTION("GOOGLETRANSLATE(B14312, ""es"", ""en"")"),"What is needed is what I expected")</f>
        <v>What is needed is what I expected</v>
      </c>
    </row>
    <row r="14313">
      <c r="A14313" s="1">
        <v>4.0</v>
      </c>
      <c r="B14313" s="1" t="s">
        <v>14184</v>
      </c>
      <c r="C14313" t="str">
        <f>IFERROR(__xludf.DUMMYFUNCTION("GOOGLETRANSLATE(B14313, ""es"", ""en"")"),"Use your facli moment I've used little, but I think it suits my claims")</f>
        <v>Use your facli moment I've used little, but I think it suits my claims</v>
      </c>
    </row>
    <row r="14314">
      <c r="A14314" s="1">
        <v>4.0</v>
      </c>
      <c r="B14314" s="1" t="s">
        <v>14185</v>
      </c>
      <c r="C14314" t="str">
        <f>IFERROR(__xludf.DUMMYFUNCTION("GOOGLETRANSLATE(B14314, ""es"", ""en"")"),"It goes well for a full day time neither forward nor backward I liked the model and does not need battery")</f>
        <v>It goes well for a full day time neither forward nor backward I liked the model and does not need battery</v>
      </c>
    </row>
    <row r="14315">
      <c r="A14315" s="1">
        <v>4.0</v>
      </c>
      <c r="B14315" s="1" t="s">
        <v>14186</v>
      </c>
      <c r="C14315" t="str">
        <f>IFERROR(__xludf.DUMMYFUNCTION("GOOGLETRANSLATE(B14315, ""es"", ""en"")"),"ok Good product.")</f>
        <v>ok Good product.</v>
      </c>
    </row>
    <row r="14316">
      <c r="A14316" s="1">
        <v>5.0</v>
      </c>
      <c r="B14316" s="1" t="s">
        <v>14187</v>
      </c>
      <c r="C14316" t="str">
        <f>IFERROR(__xludf.DUMMYFUNCTION("GOOGLETRANSLATE(B14316, ""es"", ""en"")"),"Good watch swimming watch ideal for swimming, large numbers, lightweight. It has the plus of measuring the temperature of the water. I am fully satisfied.")</f>
        <v>Good watch swimming watch ideal for swimming, large numbers, lightweight. It has the plus of measuring the temperature of the water. I am fully satisfied.</v>
      </c>
    </row>
    <row r="14317">
      <c r="A14317" s="1">
        <v>5.0</v>
      </c>
      <c r="B14317" s="1" t="s">
        <v>14188</v>
      </c>
      <c r="C14317" t="str">
        <f>IFERROR(__xludf.DUMMYFUNCTION("GOOGLETRANSLATE(B14317, ""es"", ""en"")"),"Comfortable and light Terrific, product and shipping")</f>
        <v>Comfortable and light Terrific, product and shipping</v>
      </c>
    </row>
    <row r="14318">
      <c r="A14318" s="1">
        <v>5.0</v>
      </c>
      <c r="B14318" s="1" t="s">
        <v>14189</v>
      </c>
      <c r="C14318" t="str">
        <f>IFERROR(__xludf.DUMMYFUNCTION("GOOGLETRANSLATE(B14318, ""es"", ""en"")"),"And practice good product Pequeñita")</f>
        <v>And practice good product Pequeñita</v>
      </c>
    </row>
    <row r="14319">
      <c r="A14319" s="1">
        <v>5.0</v>
      </c>
      <c r="B14319" s="1" t="s">
        <v>14190</v>
      </c>
      <c r="C14319" t="str">
        <f>IFERROR(__xludf.DUMMYFUNCTION("GOOGLETRANSLATE(B14319, ""es"", ""en"")"),"I bought it thinking Fantastic see what it was, but I'm surprised. It's fantastic, you can ""control"" several cables at once and is sufficient amount to 5 or 6 times what I need. Very good buy. I recommend it")</f>
        <v>I bought it thinking Fantastic see what it was, but I'm surprised. It's fantastic, you can "control" several cables at once and is sufficient amount to 5 or 6 times what I need. Very good buy. I recommend it</v>
      </c>
    </row>
    <row r="14320">
      <c r="A14320" s="1">
        <v>5.0</v>
      </c>
      <c r="B14320" s="1" t="s">
        <v>14191</v>
      </c>
      <c r="C14320" t="str">
        <f>IFERROR(__xludf.DUMMYFUNCTION("GOOGLETRANSLATE(B14320, ""es"", ""en"")"),"The would buy Very nice, cozy and comfortable.")</f>
        <v>The would buy Very nice, cozy and comfortable.</v>
      </c>
    </row>
    <row r="14321">
      <c r="A14321" s="1">
        <v>5.0</v>
      </c>
      <c r="B14321" s="1" t="s">
        <v>14192</v>
      </c>
      <c r="C14321" t="str">
        <f>IFERROR(__xludf.DUMMYFUNCTION("GOOGLETRANSLATE(B14321, ""es"", ""en"")"),"Very good product I is fully engaged. The size fits indicated. Very good tissue and good grip")</f>
        <v>Very good product I is fully engaged. The size fits indicated. Very good tissue and good grip</v>
      </c>
    </row>
    <row r="14322">
      <c r="A14322" s="1">
        <v>5.0</v>
      </c>
      <c r="B14322" s="1" t="s">
        <v>14193</v>
      </c>
      <c r="C14322" t="str">
        <f>IFERROR(__xludf.DUMMYFUNCTION("GOOGLETRANSLATE(B14322, ""es"", ""en"")"),"Comfortable for day to day very comfortable for daily life. They are perfect for mid-season or winter.")</f>
        <v>Comfortable for day to day very comfortable for daily life. They are perfect for mid-season or winter.</v>
      </c>
    </row>
    <row r="14323">
      <c r="A14323" s="1">
        <v>5.0</v>
      </c>
      <c r="B14323" s="1" t="s">
        <v>2842</v>
      </c>
      <c r="C14323" t="str">
        <f>IFERROR(__xludf.DUMMYFUNCTION("GOOGLETRANSLATE(B14323, ""es"", ""en"")"),"good good")</f>
        <v>good good</v>
      </c>
    </row>
    <row r="14324">
      <c r="A14324" s="1">
        <v>5.0</v>
      </c>
      <c r="B14324" s="1" t="s">
        <v>14194</v>
      </c>
      <c r="C14324" t="str">
        <f>IFERROR(__xludf.DUMMYFUNCTION("GOOGLETRANSLATE(B14324, ""es"", ""en"")"),"Good product The shirt is perfect very comfortable almost do not notice that bring recommend taking one size bigger since it is pretty tight.")</f>
        <v>Good product The shirt is perfect very comfortable almost do not notice that bring recommend taking one size bigger since it is pretty tight.</v>
      </c>
    </row>
    <row r="14325">
      <c r="A14325" s="1">
        <v>5.0</v>
      </c>
      <c r="B14325" s="1" t="s">
        <v>14195</v>
      </c>
      <c r="C14325" t="str">
        <f>IFERROR(__xludf.DUMMYFUNCTION("GOOGLETRANSLATE(B14325, ""es"", ""en"")"),"Good plastic product but does well the function for which it is ... today I'm still using it")</f>
        <v>Good plastic product but does well the function for which it is ... today I'm still using it</v>
      </c>
    </row>
    <row r="14326">
      <c r="A14326" s="1">
        <v>5.0</v>
      </c>
      <c r="B14326" s="1" t="s">
        <v>14196</v>
      </c>
      <c r="C14326" t="str">
        <f>IFERROR(__xludf.DUMMYFUNCTION("GOOGLETRANSLATE(B14326, ""es"", ""en"")"),"I chose stylized red background and detail give the vertical stripes of various colors lines. The design slims enough. The polyester fabric wearing spandex is somewhat elastic and adapts to the figure and is long, something I like even more.")</f>
        <v>I chose stylized red background and detail give the vertical stripes of various colors lines. The design slims enough. The polyester fabric wearing spandex is somewhat elastic and adapts to the figure and is long, something I like even more.</v>
      </c>
    </row>
    <row r="14327">
      <c r="A14327" s="1">
        <v>5.0</v>
      </c>
      <c r="B14327" s="1" t="s">
        <v>14197</v>
      </c>
      <c r="C14327" t="str">
        <f>IFERROR(__xludf.DUMMYFUNCTION("GOOGLETRANSLATE(B14327, ""es"", ""en"")"),"Fantastic. I recommend it. It's great, quality L'Oreal. I have oily skin and leaves my skin super clean and above all very bright, is a beauty bath for my skin easily, cheaply and without makeup, lets you perfect skin. I used this and coal, and much recom"&amp;"mend this, I love how my skin leaves, is amazing.")</f>
        <v>Fantastic. I recommend it. It's great, quality L'Oreal. I have oily skin and leaves my skin super clean and above all very bright, is a beauty bath for my skin easily, cheaply and without makeup, lets you perfect skin. I used this and coal, and much recommend this, I love how my skin leaves, is amazing.</v>
      </c>
    </row>
    <row r="14328">
      <c r="A14328" s="1">
        <v>5.0</v>
      </c>
      <c r="B14328" s="1" t="s">
        <v>14198</v>
      </c>
      <c r="C14328" t="str">
        <f>IFERROR(__xludf.DUMMYFUNCTION("GOOGLETRANSLATE(B14328, ""es"", ""en"")"),"Perfect Fast and perfect boots,")</f>
        <v>Perfect Fast and perfect boots,</v>
      </c>
    </row>
    <row r="14329">
      <c r="A14329" s="1">
        <v>5.0</v>
      </c>
      <c r="B14329" s="1" t="s">
        <v>2925</v>
      </c>
      <c r="C14329" t="str">
        <f>IFERROR(__xludf.DUMMYFUNCTION("GOOGLETRANSLATE(B14329, ""es"", ""en"")"),"perfect perfect")</f>
        <v>perfect perfect</v>
      </c>
    </row>
    <row r="14330">
      <c r="A14330" s="1">
        <v>5.0</v>
      </c>
      <c r="B14330" s="1" t="s">
        <v>14199</v>
      </c>
      <c r="C14330" t="str">
        <f>IFERROR(__xludf.DUMMYFUNCTION("GOOGLETRANSLATE(B14330, ""es"", ""en"")"),"Very useful and safe and discreet I am very satisfied with this purchase, because I have collected things being safe, I have them very discreetly hand.")</f>
        <v>Very useful and safe and discreet I am very satisfied with this purchase, because I have collected things being safe, I have them very discreetly hand.</v>
      </c>
    </row>
    <row r="14331">
      <c r="A14331" s="1">
        <v>5.0</v>
      </c>
      <c r="B14331" s="1" t="s">
        <v>14200</v>
      </c>
      <c r="C14331" t="str">
        <f>IFERROR(__xludf.DUMMYFUNCTION("GOOGLETRANSLATE(B14331, ""es"", ""en"")"),"rugged look. Weighs just. And I always liked me. The likes of Reebok is always something less than Nike.")</f>
        <v>rugged look. Weighs just. And I always liked me. The likes of Reebok is always something less than Nike.</v>
      </c>
    </row>
    <row r="14332">
      <c r="A14332" s="1">
        <v>5.0</v>
      </c>
      <c r="B14332" s="1" t="s">
        <v>14201</v>
      </c>
      <c r="C14332" t="str">
        <f>IFERROR(__xludf.DUMMYFUNCTION("GOOGLETRANSLATE(B14332, ""es"", ""en"")"),"Very good! I loved! Moisturizes lot. And scent is super nice. I put or evening before bedtime or in the morning. If you put it in the morning you also removes dark circles. Very happy with the purchase, I recommend it!")</f>
        <v>Very good! I loved! Moisturizes lot. And scent is super nice. I put or evening before bedtime or in the morning. If you put it in the morning you also removes dark circles. Very happy with the purchase, I recommend it!</v>
      </c>
    </row>
    <row r="14333">
      <c r="A14333" s="1">
        <v>5.0</v>
      </c>
      <c r="B14333" s="1" t="s">
        <v>14202</v>
      </c>
      <c r="C14333" t="str">
        <f>IFERROR(__xludf.DUMMYFUNCTION("GOOGLETRANSLATE(B14333, ""es"", ""en"")"),"Just fine soft rags")</f>
        <v>Just fine soft rags</v>
      </c>
    </row>
    <row r="14334">
      <c r="A14334" s="1">
        <v>5.0</v>
      </c>
      <c r="B14334" s="1" t="s">
        <v>14203</v>
      </c>
      <c r="C14334" t="str">
        <f>IFERROR(__xludf.DUMMYFUNCTION("GOOGLETRANSLATE(B14334, ""es"", ""en"")"),"Luisa is super good camouflage color elegi and everything is perfect thanks for all Happy New Year 2018")</f>
        <v>Luisa is super good camouflage color elegi and everything is perfect thanks for all Happy New Year 2018</v>
      </c>
    </row>
    <row r="14335">
      <c r="A14335" s="1">
        <v>2.0</v>
      </c>
      <c r="B14335" s="1" t="s">
        <v>14204</v>
      </c>
      <c r="C14335" t="str">
        <f>IFERROR(__xludf.DUMMYFUNCTION("GOOGLETRANSLATE(B14335, ""es"", ""en"")"),"Improve bad enough belt system has lasted me 1 week pretty hard but you get what you pay")</f>
        <v>Improve bad enough belt system has lasted me 1 week pretty hard but you get what you pay</v>
      </c>
    </row>
    <row r="14336">
      <c r="A14336" s="1">
        <v>3.0</v>
      </c>
      <c r="B14336" s="1" t="s">
        <v>14205</v>
      </c>
      <c r="C14336" t="str">
        <f>IFERROR(__xludf.DUMMYFUNCTION("GOOGLETRANSLATE(B14336, ""es"", ""en"")"),"espectativas¡¡¡ not meet expected more from the brand. The sizing is a little big compared to other brands, the fabric is a little rough me. no me gusto mucho")</f>
        <v>espectativas¡¡¡ not meet expected more from the brand. The sizing is a little big compared to other brands, the fabric is a little rough me. no me gusto mucho</v>
      </c>
    </row>
    <row r="14337">
      <c r="A14337" s="1">
        <v>3.0</v>
      </c>
      <c r="B14337" s="1" t="s">
        <v>14206</v>
      </c>
      <c r="C14337" t="str">
        <f>IFERROR(__xludf.DUMMYFUNCTION("GOOGLETRANSLATE(B14337, ""es"", ""en"")"),"Very little is a little thin, it seems Lady, I was about to return it because it was a gift for my husband but at the end I think it was more wasted time returning to keep him, the works clock well and is nice, looks good only quality I did not expect it "&amp;"to be so small.")</f>
        <v>Very little is a little thin, it seems Lady, I was about to return it because it was a gift for my husband but at the end I think it was more wasted time returning to keep him, the works clock well and is nice, looks good only quality I did not expect it to be so small.</v>
      </c>
    </row>
    <row r="14338">
      <c r="A14338" s="1">
        <v>1.0</v>
      </c>
      <c r="B14338" s="1" t="s">
        <v>14207</v>
      </c>
      <c r="C14338" t="str">
        <f>IFERROR(__xludf.DUMMYFUNCTION("GOOGLETRANSLATE(B14338, ""es"", ""en"")"),"Very bad buy rust. Oxide appears to the month of use. To throw. Usuasrios see others have complained about the same. Sorry I have not seen before.")</f>
        <v>Very bad buy rust. Oxide appears to the month of use. To throw. Usuasrios see others have complained about the same. Sorry I have not seen before.</v>
      </c>
    </row>
    <row r="14339">
      <c r="A14339" s="1">
        <v>1.0</v>
      </c>
      <c r="B14339" s="1" t="s">
        <v>14208</v>
      </c>
      <c r="C14339" t="str">
        <f>IFERROR(__xludf.DUMMYFUNCTION("GOOGLETRANSLATE(B14339, ""es"", ""en"")"),"Fatal bad quality, I am a person who takes care of her things and two months all edges unglued. The tip detached. From inside the shoes and the whole area of ​​the black interior. And returned them have returned the money.")</f>
        <v>Fatal bad quality, I am a person who takes care of her things and two months all edges unglued. The tip detached. From inside the shoes and the whole area of ​​the black interior. And returned them have returned the money.</v>
      </c>
    </row>
    <row r="14340">
      <c r="A14340" s="1">
        <v>1.0</v>
      </c>
      <c r="B14340" s="1" t="s">
        <v>14209</v>
      </c>
      <c r="C14340" t="str">
        <f>IFERROR(__xludf.DUMMYFUNCTION("GOOGLETRANSLATE(B14340, ""es"", ""en"")"),"Alexis Dominguez Failing to change the date display by the time gives a feeling very strange ""bad"" seems Chinese")</f>
        <v>Alexis Dominguez Failing to change the date display by the time gives a feeling very strange "bad" seems Chinese</v>
      </c>
    </row>
    <row r="14341">
      <c r="A14341" s="1">
        <v>4.0</v>
      </c>
      <c r="B14341" s="1" t="s">
        <v>14210</v>
      </c>
      <c r="C14341" t="str">
        <f>IFERROR(__xludf.DUMMYFUNCTION("GOOGLETRANSLATE(B14341, ""es"", ""en"")"),"Jaime pei I do not like the section of the cable. Not 4mm. I already knew ... even in the street shops which puts on the label is real, it is best to peel touch and see. But if you have good quality")</f>
        <v>Jaime pei I do not like the section of the cable. Not 4mm. I already knew ... even in the street shops which puts on the label is real, it is best to peel touch and see. But if you have good quality</v>
      </c>
    </row>
    <row r="14342">
      <c r="A14342" s="1">
        <v>4.0</v>
      </c>
      <c r="B14342" s="1" t="s">
        <v>14211</v>
      </c>
      <c r="C14342" t="str">
        <f>IFERROR(__xludf.DUMMYFUNCTION("GOOGLETRANSLATE(B14342, ""es"", ""en"")"),"There are very great and are very comfortable, the only thing the wash them lose some color ... But for that price worth")</f>
        <v>There are very great and are very comfortable, the only thing the wash them lose some color ... But for that price worth</v>
      </c>
    </row>
    <row r="14343">
      <c r="A14343" s="1">
        <v>4.0</v>
      </c>
      <c r="B14343" s="1" t="s">
        <v>14212</v>
      </c>
      <c r="C14343" t="str">
        <f>IFERROR(__xludf.DUMMYFUNCTION("GOOGLETRANSLATE(B14343, ""es"", ""en"")"),"Comfortable pants is a very convenient and comfortable, with two side pockets. Tracksuit pants type Size M makes a size 38-40.")</f>
        <v>Comfortable pants is a very convenient and comfortable, with two side pockets. Tracksuit pants type Size M makes a size 38-40.</v>
      </c>
    </row>
    <row r="14344">
      <c r="A14344" s="1">
        <v>4.0</v>
      </c>
      <c r="B14344" s="1" t="s">
        <v>14213</v>
      </c>
      <c r="C14344" t="str">
        <f>IFERROR(__xludf.DUMMYFUNCTION("GOOGLETRANSLATE(B14344, ""es"", ""en"")"),"Although good shows through what you wear underneath, the peak is nice and smooth. Size is correct.")</f>
        <v>Although good shows through what you wear underneath, the peak is nice and smooth. Size is correct.</v>
      </c>
    </row>
    <row r="14345">
      <c r="A14345" s="1">
        <v>4.0</v>
      </c>
      <c r="B14345" s="1" t="s">
        <v>14214</v>
      </c>
      <c r="C14345" t="str">
        <f>IFERROR(__xludf.DUMMYFUNCTION("GOOGLETRANSLATE(B14345, ""es"", ""en"")"),"It's like if you were not wearing shoes My shoe size in general is 42, but this number I remained very far, and I changed it to 43. I going great, but not being able to adjust to the instep, seems to go a little loose, but it's just a feeling.")</f>
        <v>It's like if you were not wearing shoes My shoe size in general is 42, but this number I remained very far, and I changed it to 43. I going great, but not being able to adjust to the instep, seems to go a little loose, but it's just a feeling.</v>
      </c>
    </row>
    <row r="14346">
      <c r="A14346" s="1">
        <v>5.0</v>
      </c>
      <c r="B14346" s="1" t="s">
        <v>14215</v>
      </c>
      <c r="C14346" t="str">
        <f>IFERROR(__xludf.DUMMYFUNCTION("GOOGLETRANSLATE(B14346, ""es"", ""en"")"),"HEADPHONES BEST QUALITY / PRICE No doubt this is the best headset I've had, it fits perfectly in the ear and exercise do not fall. sweat does not put you in danger either. The battery lasts long enough to be working all morning wearing them. I use one, wh"&amp;"en you put it spends battery charging and grab the other. The sound quality is great. If you are looking for some cheap quality helmets that offer these are the ones I recommend.")</f>
        <v>HEADPHONES BEST QUALITY / PRICE No doubt this is the best headset I've had, it fits perfectly in the ear and exercise do not fall. sweat does not put you in danger either. The battery lasts long enough to be working all morning wearing them. I use one, when you put it spends battery charging and grab the other. The sound quality is great. If you are looking for some cheap quality helmets that offer these are the ones I recommend.</v>
      </c>
    </row>
    <row r="14347">
      <c r="A14347" s="1">
        <v>5.0</v>
      </c>
      <c r="B14347" s="1" t="s">
        <v>14216</v>
      </c>
      <c r="C14347" t="str">
        <f>IFERROR(__xludf.DUMMYFUNCTION("GOOGLETRANSLATE(B14347, ""es"", ""en"")"),"Very nice perfect car and perfect presentation. Monkeys are very much shine and closing is going well. Certified brand")</f>
        <v>Very nice perfect car and perfect presentation. Monkeys are very much shine and closing is going well. Certified brand</v>
      </c>
    </row>
    <row r="14348">
      <c r="A14348" s="1">
        <v>5.0</v>
      </c>
      <c r="B14348" s="1" t="s">
        <v>14217</v>
      </c>
      <c r="C14348" t="str">
        <f>IFERROR(__xludf.DUMMYFUNCTION("GOOGLETRANSLATE(B14348, ""es"", ""en"")"),"absolutely recommended in all senses served on Article date, perfectly packed and comfortably meets its description and performance. You can ask for more? Perfectente works and is very well done.")</f>
        <v>absolutely recommended in all senses served on Article date, perfectly packed and comfortably meets its description and performance. You can ask for more? Perfectente works and is very well done.</v>
      </c>
    </row>
    <row r="14349">
      <c r="A14349" s="1">
        <v>5.0</v>
      </c>
      <c r="B14349" s="1" t="s">
        <v>14218</v>
      </c>
      <c r="C14349" t="str">
        <f>IFERROR(__xludf.DUMMYFUNCTION("GOOGLETRANSLATE(B14349, ""es"", ""en"")"),"Excellent!!! As they like in the picture")</f>
        <v>Excellent!!! As they like in the picture</v>
      </c>
    </row>
    <row r="14350">
      <c r="A14350" s="1">
        <v>5.0</v>
      </c>
      <c r="B14350" s="1" t="s">
        <v>14219</v>
      </c>
      <c r="C14350" t="str">
        <f>IFERROR(__xludf.DUMMYFUNCTION("GOOGLETRANSLATE(B14350, ""es"", ""en"")"),"I chose this assessment because I loved the microphone, I'm a fan of karaoke and I like having fun with my friends singing for anyone who likes a laugh singing. I chose this assessment because I loved the microphone, I'm a fan of karaoke and I like having"&amp;" fun with my friends singing, so I'm collecting micros karaoke and this I liked it because it has a different shape than others is as square, best of these micros is that I can take anywhere because it occupies little space, what I miss is a housing for s"&amp;"toring and transporting the micro. Otherwise fine, micro perfect for young and old, for anyone who likes a laugh singing.")</f>
        <v>I chose this assessment because I loved the microphone, I'm a fan of karaoke and I like having fun with my friends singing for anyone who likes a laugh singing. I chose this assessment because I loved the microphone, I'm a fan of karaoke and I like having fun with my friends singing, so I'm collecting micros karaoke and this I liked it because it has a different shape than others is as square, best of these micros is that I can take anywhere because it occupies little space, what I miss is a housing for storing and transporting the micro. Otherwise fine, micro perfect for young and old, for anyone who likes a laugh singing.</v>
      </c>
    </row>
    <row r="14351">
      <c r="A14351" s="1">
        <v>5.0</v>
      </c>
      <c r="B14351" s="1" t="s">
        <v>14220</v>
      </c>
      <c r="C14351" t="str">
        <f>IFERROR(__xludf.DUMMYFUNCTION("GOOGLETRANSLATE(B14351, ""es"", ""en"")"),"Stapler Stapler good good very good price, sturdy and solid, not like those plastic aprece to be breaking the grapar")</f>
        <v>Stapler Stapler good good very good price, sturdy and solid, not like those plastic aprece to be breaking the grapar</v>
      </c>
    </row>
    <row r="14352">
      <c r="A14352" s="1">
        <v>5.0</v>
      </c>
      <c r="B14352" s="1" t="s">
        <v>14221</v>
      </c>
      <c r="C14352" t="str">
        <f>IFERROR(__xludf.DUMMYFUNCTION("GOOGLETRANSLATE(B14352, ""es"", ""en"")"),"Very good product .. very good product, very good finish, excellent value for money, envimommuy well, I had to return it because it is a small number and everything went perfectly, sending the largest number comes quickly ..")</f>
        <v>Very good product .. very good product, very good finish, excellent value for money, envimommuy well, I had to return it because it is a small number and everything went perfectly, sending the largest number comes quickly ..</v>
      </c>
    </row>
    <row r="14353">
      <c r="A14353" s="1">
        <v>5.0</v>
      </c>
      <c r="B14353" s="1" t="s">
        <v>14222</v>
      </c>
      <c r="C14353" t="str">
        <f>IFERROR(__xludf.DUMMYFUNCTION("GOOGLETRANSLATE(B14353, ""es"", ""en"")"),"They feel very well in the piez are very well")</f>
        <v>They feel very well in the piez are very well</v>
      </c>
    </row>
    <row r="14354">
      <c r="A14354" s="1">
        <v>5.0</v>
      </c>
      <c r="B14354" s="1" t="s">
        <v>14223</v>
      </c>
      <c r="C14354" t="str">
        <f>IFERROR(__xludf.DUMMYFUNCTION("GOOGLETRANSLATE(B14354, ""es"", ""en"")"),"I love I bought my band to bring 3 to a wedding and did not seem seedy with rubber bracelet and I'm really happy very comfortable. no and off ever.")</f>
        <v>I love I bought my band to bring 3 to a wedding and did not seem seedy with rubber bracelet and I'm really happy very comfortable. no and off ever.</v>
      </c>
    </row>
    <row r="14355">
      <c r="A14355" s="1">
        <v>5.0</v>
      </c>
      <c r="B14355" s="1" t="s">
        <v>14224</v>
      </c>
      <c r="C14355" t="str">
        <f>IFERROR(__xludf.DUMMYFUNCTION("GOOGLETRANSLATE(B14355, ""es"", ""en"")"),"Very good buy very good quality. Very happy with the purchase. From the comments I read about a number I took more than usually I wear and I is perfect.")</f>
        <v>Very good buy very good quality. Very happy with the purchase. From the comments I read about a number I took more than usually I wear and I is perfect.</v>
      </c>
    </row>
    <row r="14356">
      <c r="A14356" s="1">
        <v>5.0</v>
      </c>
      <c r="B14356" s="1" t="s">
        <v>14225</v>
      </c>
      <c r="C14356" t="str">
        <f>IFERROR(__xludf.DUMMYFUNCTION("GOOGLETRANSLATE(B14356, ""es"", ""en"")"),"Excellent product!!! As I was waiting, they are very comfortable")</f>
        <v>Excellent product!!! As I was waiting, they are very comfortable</v>
      </c>
    </row>
    <row r="14357">
      <c r="A14357" s="1">
        <v>5.0</v>
      </c>
      <c r="B14357" s="1" t="s">
        <v>14226</v>
      </c>
      <c r="C14357" t="str">
        <f>IFERROR(__xludf.DUMMYFUNCTION("GOOGLETRANSLATE(B14357, ""es"", ""en"")"),"Comfortable and very cute shoes Pillé one size smaller for the comments and was hit full")</f>
        <v>Comfortable and very cute shoes Pillé one size smaller for the comments and was hit full</v>
      </c>
    </row>
    <row r="14358">
      <c r="A14358" s="1">
        <v>5.0</v>
      </c>
      <c r="B14358" s="1" t="s">
        <v>14227</v>
      </c>
      <c r="C14358" t="str">
        <f>IFERROR(__xludf.DUMMYFUNCTION("GOOGLETRANSLATE(B14358, ""es"", ""en"")"),"Very good buy comfortable and soft, washed without any problems and perspires quite well and colorfast nothing. I have worn and washed for two months and the lining of the chest is still perfect.")</f>
        <v>Very good buy comfortable and soft, washed without any problems and perspires quite well and colorfast nothing. I have worn and washed for two months and the lining of the chest is still perfect.</v>
      </c>
    </row>
    <row r="14359">
      <c r="A14359" s="1">
        <v>5.0</v>
      </c>
      <c r="B14359" s="1" t="s">
        <v>14228</v>
      </c>
      <c r="C14359" t="str">
        <f>IFERROR(__xludf.DUMMYFUNCTION("GOOGLETRANSLATE(B14359, ""es"", ""en"")"),"Super comfortable I had read that it was difficult to ride but nothing. long and hard ink when sealed and ready again cleared. For me it was the solution to mark all clothing store. Eye!! Falls drawer, but not selléis garments ""hairy"" or wool, will be a"&amp;" blur. It looks great especially labels and cottons.")</f>
        <v>Super comfortable I had read that it was difficult to ride but nothing. long and hard ink when sealed and ready again cleared. For me it was the solution to mark all clothing store. Eye!! Falls drawer, but not selléis garments "hairy" or wool, will be a blur. It looks great especially labels and cottons.</v>
      </c>
    </row>
    <row r="14360">
      <c r="A14360" s="1">
        <v>5.0</v>
      </c>
      <c r="B14360" s="1" t="s">
        <v>14229</v>
      </c>
      <c r="C14360" t="str">
        <f>IFERROR(__xludf.DUMMYFUNCTION("GOOGLETRANSLATE(B14360, ""es"", ""en"")"),"Fast memory card. I bought this micro SD card for use in a camcorder that I bought, so I needed to go to the least class 10, as is this one. It comes with an adapter for use as SD memory. Once the camcorder, say it works perfectly and is very fast data tr"&amp;"ansfer. Its capacity of 32 GB and its price seemed very good, so it's a good choice if you want a card from them.")</f>
        <v>Fast memory card. I bought this micro SD card for use in a camcorder that I bought, so I needed to go to the least class 10, as is this one. It comes with an adapter for use as SD memory. Once the camcorder, say it works perfectly and is very fast data transfer. Its capacity of 32 GB and its price seemed very good, so it's a good choice if you want a card from them.</v>
      </c>
    </row>
    <row r="14361">
      <c r="A14361" s="1">
        <v>5.0</v>
      </c>
      <c r="B14361" s="1" t="s">
        <v>14230</v>
      </c>
      <c r="C14361" t="str">
        <f>IFERROR(__xludf.DUMMYFUNCTION("GOOGLETRANSLATE(B14361, ""es"", ""en"")"),"Very good. ¿100 strips for less than 2 eurs? What more could you want. Just add 2 more. Realdiad 98 strips came in, but I think the margin of error is more than admisible.Y second, for those who complain that they loose a lot of black fuzz, that's lógigo "&amp;"strips are cut with a die, so lógigo have very loose, like fuzz that when you go to the hairdresser and you are many pieces of hair. Stop complaining about that, and if not in the next shower you llevais the tub with you.")</f>
        <v>Very good. ¿100 strips for less than 2 eurs? What more could you want. Just add 2 more. Realdiad 98 strips came in, but I think the margin of error is more than admisible.Y second, for those who complain that they loose a lot of black fuzz, that's lógigo strips are cut with a die, so lógigo have very loose, like fuzz that when you go to the hairdresser and you are many pieces of hair. Stop complaining about that, and if not in the next shower you llevais the tub with you.</v>
      </c>
    </row>
    <row r="14362">
      <c r="A14362" s="1">
        <v>5.0</v>
      </c>
      <c r="B14362" s="1" t="s">
        <v>14231</v>
      </c>
      <c r="C14362" t="str">
        <f>IFERROR(__xludf.DUMMYFUNCTION("GOOGLETRANSLATE(B14362, ""es"", ""en"")"),"Speed ​​writing and reading Meets correct speed reading and writing specified. Great value for the price.")</f>
        <v>Speed ​​writing and reading Meets correct speed reading and writing specified. Great value for the price.</v>
      </c>
    </row>
    <row r="14363">
      <c r="A14363" s="1">
        <v>5.0</v>
      </c>
      <c r="B14363" s="1" t="s">
        <v>14232</v>
      </c>
      <c r="C14363" t="str">
        <f>IFERROR(__xludf.DUMMYFUNCTION("GOOGLETRANSLATE(B14363, ""es"", ""en"")"),"seems to be what it says for now there have been no problems, I tested only the glass of the smoothiesy for now, you try the chopped lack of coffee and jug")</f>
        <v>seems to be what it says for now there have been no problems, I tested only the glass of the smoothiesy for now, you try the chopped lack of coffee and jug</v>
      </c>
    </row>
    <row r="14364">
      <c r="A14364" s="1">
        <v>5.0</v>
      </c>
      <c r="B14364" s="1" t="s">
        <v>14233</v>
      </c>
      <c r="C14364" t="str">
        <f>IFERROR(__xludf.DUMMYFUNCTION("GOOGLETRANSLATE(B14364, ""es"", ""en"")"),"Service, price and girl trouble Everything was perfect. My enchanted daughter. Fast and in perfect condition.")</f>
        <v>Service, price and girl trouble Everything was perfect. My enchanted daughter. Fast and in perfect condition.</v>
      </c>
    </row>
    <row r="14365">
      <c r="A14365" s="1">
        <v>2.0</v>
      </c>
      <c r="B14365" s="1" t="s">
        <v>14234</v>
      </c>
      <c r="C14365" t="str">
        <f>IFERROR(__xludf.DUMMYFUNCTION("GOOGLETRANSLATE(B14365, ""es"", ""en"")"),"Works but not be burned .. The blanket works correctly but does not convince me as to the maximum level (3) do not notice that a lot of heat, so I asked to serve the first two levels if 3 You should burn in the sense that makes you want down a level .. bu"&amp;"t it is not the case")</f>
        <v>Works but not be burned .. The blanket works correctly but does not convince me as to the maximum level (3) do not notice that a lot of heat, so I asked to serve the first two levels if 3 You should burn in the sense that makes you want down a level .. but it is not the case</v>
      </c>
    </row>
    <row r="14366">
      <c r="A14366" s="1">
        <v>3.0</v>
      </c>
      <c r="B14366" s="1" t="s">
        <v>14235</v>
      </c>
      <c r="C14366" t="str">
        <f>IFERROR(__xludf.DUMMYFUNCTION("GOOGLETRANSLATE(B14366, ""es"", ""en"")"),"not comfortable about the size is correct according to the measurements shown in the table. The material is a bit rough and a bit uncomfortable because the foot tends to be inclined highest for the outside.")</f>
        <v>not comfortable about the size is correct according to the measurements shown in the table. The material is a bit rough and a bit uncomfortable because the foot tends to be inclined highest for the outside.</v>
      </c>
    </row>
    <row r="14367">
      <c r="A14367" s="1">
        <v>3.0</v>
      </c>
      <c r="B14367" s="1" t="s">
        <v>14236</v>
      </c>
      <c r="C14367" t="str">
        <f>IFERROR(__xludf.DUMMYFUNCTION("GOOGLETRANSLATE(B14367, ""es"", ""en"")"),"Too short I had read reviews that it was short, but did not think it was both. I use it with Irig, and this does not really matter who is so short, but would have appreciated a centimeter. I guess I'll buy a longer one.")</f>
        <v>Too short I had read reviews that it was short, but did not think it was both. I use it with Irig, and this does not really matter who is so short, but would have appreciated a centimeter. I guess I'll buy a longer one.</v>
      </c>
    </row>
    <row r="14368">
      <c r="A14368" s="1">
        <v>1.0</v>
      </c>
      <c r="B14368" s="1" t="s">
        <v>14237</v>
      </c>
      <c r="C14368" t="str">
        <f>IFERROR(__xludf.DUMMYFUNCTION("GOOGLETRANSLATE(B14368, ""es"", ""en"")"),"Pacifiers Mickey no Minnie Good quality and arrived earlier than expected, but do not understand why in the photo pacifiers are Minnie and you send them Mickey, was a gift for a child and is no longer whether or not to give them away, so stay unhappy with"&amp;" this product is not as it puts photo")</f>
        <v>Pacifiers Mickey no Minnie Good quality and arrived earlier than expected, but do not understand why in the photo pacifiers are Minnie and you send them Mickey, was a gift for a child and is no longer whether or not to give them away, so stay unhappy with this product is not as it puts photo</v>
      </c>
    </row>
    <row r="14369">
      <c r="A14369" s="1">
        <v>1.0</v>
      </c>
      <c r="B14369" s="1" t="s">
        <v>14238</v>
      </c>
      <c r="C14369" t="str">
        <f>IFERROR(__xludf.DUMMYFUNCTION("GOOGLETRANSLATE(B14369, ""es"", ""en"")"),"I would not recommend Pesima calidad.Al little use abria.Un not cover disaster and Verda surprised me a lot because I have all my appliances Bosch brand and have never had problems truth. I requested a devolucion.Y people of the Amazon truly a 10, very fa"&amp;"st and professional")</f>
        <v>I would not recommend Pesima calidad.Al little use abria.Un not cover disaster and Verda surprised me a lot because I have all my appliances Bosch brand and have never had problems truth. I requested a devolucion.Y people of the Amazon truly a 10, very fast and professional</v>
      </c>
    </row>
    <row r="14370">
      <c r="A14370" s="1">
        <v>4.0</v>
      </c>
      <c r="B14370" s="1" t="s">
        <v>14239</v>
      </c>
      <c r="C14370" t="str">
        <f>IFERROR(__xludf.DUMMYFUNCTION("GOOGLETRANSLATE(B14370, ""es"", ""en"")"),"Antonio Martin The product arrived within the deadline set by them. Bien.No work really have no complaints for movies and music recording.")</f>
        <v>Antonio Martin The product arrived within the deadline set by them. Bien.No work really have no complaints for movies and music recording.</v>
      </c>
    </row>
    <row r="14371">
      <c r="A14371" s="1">
        <v>4.0</v>
      </c>
      <c r="B14371" s="1" t="s">
        <v>14240</v>
      </c>
      <c r="C14371" t="str">
        <f>IFERROR(__xludf.DUMMYFUNCTION("GOOGLETRANSLATE(B14371, ""es"", ""en"")"),"Soft and comfortable with the measure sought Good product, the fabric is soft and comfortable, with respect to the measure size 1.75 and 82 kg, I ordered size L and I is adjusted, but I like so, ask at least one size bigger than usual")</f>
        <v>Soft and comfortable with the measure sought Good product, the fabric is soft and comfortable, with respect to the measure size 1.75 and 82 kg, I ordered size L and I is adjusted, but I like so, ask at least one size bigger than usual</v>
      </c>
    </row>
    <row r="14372">
      <c r="A14372" s="1">
        <v>4.0</v>
      </c>
      <c r="B14372" s="1" t="s">
        <v>14241</v>
      </c>
      <c r="C14372" t="str">
        <f>IFERROR(__xludf.DUMMYFUNCTION("GOOGLETRANSLATE(B14372, ""es"", ""en"")"),"Good shoes slim fit The shoes have a sensational design. Very good combination of colors. Perfect finishes. But, despite having asked for a number more than necessary, they will make me narrow and hard. The length is correct but put the foot is a martyr a"&amp;"nd I think it will not get ever tame them. I asked for the return but having to pay postage back to England (which cost me more than 30% of the purchase amount), me and try to resell stay. I try not to buy products not henceforth Premium or coming from ab"&amp;"road.")</f>
        <v>Good shoes slim fit The shoes have a sensational design. Very good combination of colors. Perfect finishes. But, despite having asked for a number more than necessary, they will make me narrow and hard. The length is correct but put the foot is a martyr and I think it will not get ever tame them. I asked for the return but having to pay postage back to England (which cost me more than 30% of the purchase amount), me and try to resell stay. I try not to buy products not henceforth Premium or coming from abroad.</v>
      </c>
    </row>
    <row r="14373">
      <c r="A14373" s="1">
        <v>4.0</v>
      </c>
      <c r="B14373" s="1" t="s">
        <v>14242</v>
      </c>
      <c r="C14373" t="str">
        <f>IFERROR(__xludf.DUMMYFUNCTION("GOOGLETRANSLATE(B14373, ""es"", ""en"")"),"Good value good value for money")</f>
        <v>Good value good value for money</v>
      </c>
    </row>
    <row r="14374">
      <c r="A14374" s="1">
        <v>4.0</v>
      </c>
      <c r="B14374" s="1" t="s">
        <v>14243</v>
      </c>
      <c r="C14374" t="str">
        <f>IFERROR(__xludf.DUMMYFUNCTION("GOOGLETRANSLATE(B14374, ""es"", ""en"")"),"Ruben .no Good product will get 5Porque is a bit narrow and limited a little but l l quality skin looks good .to see what hard")</f>
        <v>Ruben .no Good product will get 5Porque is a bit narrow and limited a little but l l quality skin looks good .to see what hard</v>
      </c>
    </row>
    <row r="14375">
      <c r="A14375" s="1">
        <v>5.0</v>
      </c>
      <c r="B14375" s="1" t="s">
        <v>14244</v>
      </c>
      <c r="C14375" t="str">
        <f>IFERROR(__xludf.DUMMYFUNCTION("GOOGLETRANSLATE(B14375, ""es"", ""en"")"),"The best choice for production and DJ affordable price. This is one of the most recommended products in terms of low-end audio. Overall Audio Technica brand, has entered the market with products for all budgets that leave nothing to be desired. Earphones "&amp;"in the package, jack adapter 3.5 ""to 6.5"" and a black leather bag under the trade name of brand pressed included. The adapter is completely gold plated, as the jack 3.5 "", it fits properly and is screwed further adjustment. This product constitutes acc"&amp;"eptable material, is comfortable, adjustable design. The padded headband is very comfortable and firm. the pads are very comfortable and resistant. the cable is very long, more than enough but not too much if you want to use for professional use. with res"&amp;"pective to the audio is a headset quality professional studio at a very affordable price. levels achieved in these headphones make any level stand out above another, which in mean time any remaining low level or hidden by another. This allows us sharpness"&amp;" audio quality. for those reasons are sufficiently accurate for a pre-listening or cabin audio production.")</f>
        <v>The best choice for production and DJ affordable price. This is one of the most recommended products in terms of low-end audio. Overall Audio Technica brand, has entered the market with products for all budgets that leave nothing to be desired. Earphones in the package, jack adapter 3.5 "to 6.5" and a black leather bag under the trade name of brand pressed included. The adapter is completely gold plated, as the jack 3.5 ", it fits properly and is screwed further adjustment. This product constitutes acceptable material, is comfortable, adjustable design. The padded headband is very comfortable and firm. the pads are very comfortable and resistant. the cable is very long, more than enough but not too much if you want to use for professional use. with respective to the audio is a headset quality professional studio at a very affordable price. levels achieved in these headphones make any level stand out above another, which in mean time any remaining low level or hidden by another. This allows us sharpness audio quality. for those reasons are sufficiently accurate for a pre-listening or cabin audio production.</v>
      </c>
    </row>
    <row r="14376">
      <c r="A14376" s="1">
        <v>5.0</v>
      </c>
      <c r="B14376" s="1" t="s">
        <v>14245</v>
      </c>
      <c r="C14376" t="str">
        <f>IFERROR(__xludf.DUMMYFUNCTION("GOOGLETRANSLATE(B14376, ""es"", ""en"")"),"Very good brand known and recommended in the aspect of functionality and comfort. Fulfills its function. Add a little more respect. Normal size.")</f>
        <v>Very good brand known and recommended in the aspect of functionality and comfort. Fulfills its function. Add a little more respect. Normal size.</v>
      </c>
    </row>
    <row r="14377">
      <c r="A14377" s="1">
        <v>5.0</v>
      </c>
      <c r="B14377" s="1" t="s">
        <v>14246</v>
      </c>
      <c r="C14377" t="str">
        <f>IFERROR(__xludf.DUMMYFUNCTION("GOOGLETRANSLATE(B14377, ""es"", ""en"")"),"Everything ok Everything arrived well all perfect material sole and good line very comfortable and easy to clean'll buy")</f>
        <v>Everything ok Everything arrived well all perfect material sole and good line very comfortable and easy to clean'll buy</v>
      </c>
    </row>
    <row r="14378">
      <c r="A14378" s="1">
        <v>5.0</v>
      </c>
      <c r="B14378" s="1" t="s">
        <v>14247</v>
      </c>
      <c r="C14378" t="str">
        <f>IFERROR(__xludf.DUMMYFUNCTION("GOOGLETRANSLATE(B14378, ""es"", ""en"")"),"Are lovely and comfortable arrived at the specified time, the size is perfect, you must measure your foot as you indicate. They are very comfortable, the detail of zipper opening is great, so no touching q q laces, in my case, if there are a nuisance to w"&amp;"ear them tie and untie. The material is synthetic but no odor, the cloth is canvas and the sole of a species of very flexible rubber cushions much walking and not weighed. That said, are lovely and extra comfortable, I recommend it 200% !!! Ah detail ... "&amp;"do not come boxed, come in a sealed plastic q for me is no problem.")</f>
        <v>Are lovely and comfortable arrived at the specified time, the size is perfect, you must measure your foot as you indicate. They are very comfortable, the detail of zipper opening is great, so no touching q q laces, in my case, if there are a nuisance to wear them tie and untie. The material is synthetic but no odor, the cloth is canvas and the sole of a species of very flexible rubber cushions much walking and not weighed. That said, are lovely and extra comfortable, I recommend it 200% !!! Ah detail ... do not come boxed, come in a sealed plastic q for me is no problem.</v>
      </c>
    </row>
    <row r="14379">
      <c r="A14379" s="1">
        <v>5.0</v>
      </c>
      <c r="B14379" s="1" t="s">
        <v>14248</v>
      </c>
      <c r="C14379" t="str">
        <f>IFERROR(__xludf.DUMMYFUNCTION("GOOGLETRANSLATE(B14379, ""es"", ""en"")"),"They are perfect ariculares perfect for isolated and do not disturb, very comfortable. It was just what we wanted to listen to music while others see the tv")</f>
        <v>They are perfect ariculares perfect for isolated and do not disturb, very comfortable. It was just what we wanted to listen to music while others see the tv</v>
      </c>
    </row>
    <row r="14380">
      <c r="A14380" s="1">
        <v>5.0</v>
      </c>
      <c r="B14380" s="1" t="s">
        <v>14249</v>
      </c>
      <c r="C14380" t="str">
        <f>IFERROR(__xludf.DUMMYFUNCTION("GOOGLETRANSLATE(B14380, ""es"", ""en"")"),"Good album. It is the new series Seagate 1TB had the previous series, and was very pleased, for their performance and reliability. So repeated and Seagate, and I hope not mistaken. Time on the disc fine, low noise and good performance.")</f>
        <v>Good album. It is the new series Seagate 1TB had the previous series, and was very pleased, for their performance and reliability. So repeated and Seagate, and I hope not mistaken. Time on the disc fine, low noise and good performance.</v>
      </c>
    </row>
    <row r="14381">
      <c r="A14381" s="1">
        <v>5.0</v>
      </c>
      <c r="B14381" s="1" t="s">
        <v>14250</v>
      </c>
      <c r="C14381" t="str">
        <f>IFERROR(__xludf.DUMMYFUNCTION("GOOGLETRANSLATE(B14381, ""es"", ""en"")"),"To get quickly shakes I've given my partner and is delighted. He spends the day making smoothies and every perfect moment. It is very easy to use and clean.")</f>
        <v>To get quickly shakes I've given my partner and is delighted. He spends the day making smoothies and every perfect moment. It is very easy to use and clean.</v>
      </c>
    </row>
    <row r="14382">
      <c r="A14382" s="1">
        <v>5.0</v>
      </c>
      <c r="B14382" s="1" t="s">
        <v>14251</v>
      </c>
      <c r="C14382" t="str">
        <f>IFERROR(__xludf.DUMMYFUNCTION("GOOGLETRANSLATE(B14382, ""es"", ""en"")"),"excellent excellent perfect love perfect love")</f>
        <v>excellent excellent perfect love perfect love</v>
      </c>
    </row>
    <row r="14383">
      <c r="A14383" s="1">
        <v>5.0</v>
      </c>
      <c r="B14383" s="1" t="s">
        <v>14252</v>
      </c>
      <c r="C14383" t="str">
        <f>IFERROR(__xludf.DUMMYFUNCTION("GOOGLETRANSLATE(B14383, ""es"", ""en"")"),"Well then all good. It's a biggie Stapler, all so remarkable.")</f>
        <v>Well then all good. It's a biggie Stapler, all so remarkable.</v>
      </c>
    </row>
    <row r="14384">
      <c r="A14384" s="1">
        <v>5.0</v>
      </c>
      <c r="B14384" s="1" t="s">
        <v>14253</v>
      </c>
      <c r="C14384" t="str">
        <f>IFERROR(__xludf.DUMMYFUNCTION("GOOGLETRANSLATE(B14384, ""es"", ""en"")"),"Good materials and softness is securely attached to the desktop without slip him anything and very gently both touch and when moving the mouse")</f>
        <v>Good materials and softness is securely attached to the desktop without slip him anything and very gently both touch and when moving the mouse</v>
      </c>
    </row>
    <row r="14385">
      <c r="A14385" s="1">
        <v>5.0</v>
      </c>
      <c r="B14385" s="1" t="s">
        <v>14254</v>
      </c>
      <c r="C14385" t="str">
        <f>IFERROR(__xludf.DUMMYFUNCTION("GOOGLETRANSLATE(B14385, ""es"", ""en"")"),"High Fidelity for everyone Professional quality at a very reasonable price. I'm rediscovering details in music that I have heard for years. Top.")</f>
        <v>High Fidelity for everyone Professional quality at a very reasonable price. I'm rediscovering details in music that I have heard for years. Top.</v>
      </c>
    </row>
    <row r="14386">
      <c r="A14386" s="1">
        <v>5.0</v>
      </c>
      <c r="B14386" s="1" t="s">
        <v>14255</v>
      </c>
      <c r="C14386" t="str">
        <f>IFERROR(__xludf.DUMMYFUNCTION("GOOGLETRANSLATE(B14386, ""es"", ""en"")"),"Good shoes recommended")</f>
        <v>Good shoes recommended</v>
      </c>
    </row>
    <row r="14387">
      <c r="A14387" s="1">
        <v>5.0</v>
      </c>
      <c r="B14387" s="1" t="s">
        <v>14256</v>
      </c>
      <c r="C14387" t="str">
        <f>IFERROR(__xludf.DUMMYFUNCTION("GOOGLETRANSLATE(B14387, ""es"", ""en"")"),"Sports man is the second pair I buy. They are fantastic, they are very comfortable and a good price. Very good buy and value for money. It is the first time that buy under 50 euros.")</f>
        <v>Sports man is the second pair I buy. They are fantastic, they are very comfortable and a good price. Very good buy and value for money. It is the first time that buy under 50 euros.</v>
      </c>
    </row>
    <row r="14388">
      <c r="A14388" s="1">
        <v>5.0</v>
      </c>
      <c r="B14388" s="1" t="s">
        <v>14257</v>
      </c>
      <c r="C14388" t="str">
        <f>IFERROR(__xludf.DUMMYFUNCTION("GOOGLETRANSLATE(B14388, ""es"", ""en"")"),"GENIAL product that meets all my expectations and more, many functions.")</f>
        <v>GENIAL product that meets all my expectations and more, many functions.</v>
      </c>
    </row>
    <row r="14389">
      <c r="A14389" s="1">
        <v>5.0</v>
      </c>
      <c r="B14389" s="1" t="s">
        <v>14258</v>
      </c>
      <c r="C14389" t="str">
        <f>IFERROR(__xludf.DUMMYFUNCTION("GOOGLETRANSLATE(B14389, ""es"", ""en"")"),"Organizers bag for bags with Short Handled Divisions Close Color Garnet Encantada with the product meets promised, I use it every day and when I have to change bag change it once and not have to worry about anything, everything it is in place. good qualit"&amp;"y for a similar price.")</f>
        <v>Organizers bag for bags with Short Handled Divisions Close Color Garnet Encantada with the product meets promised, I use it every day and when I have to change bag change it once and not have to worry about anything, everything it is in place. good quality for a similar price.</v>
      </c>
    </row>
    <row r="14390">
      <c r="A14390" s="1">
        <v>5.0</v>
      </c>
      <c r="B14390" s="1" t="s">
        <v>14259</v>
      </c>
      <c r="C14390" t="str">
        <f>IFERROR(__xludf.DUMMYFUNCTION("GOOGLETRANSLATE(B14390, ""es"", ""en"")"),"Comfort and high quality sound. I have never dared to take ""airpods"". Until now. All had turned me uncomfortable, but the fact is they neither fall nor do I bother me. I have to travel every day to my workplace and battery life is quite important to me,"&amp;" and this win-win leftovers. Fantabulosa value.")</f>
        <v>Comfort and high quality sound. I have never dared to take "airpods". Until now. All had turned me uncomfortable, but the fact is they neither fall nor do I bother me. I have to travel every day to my workplace and battery life is quite important to me, and this win-win leftovers. Fantabulosa value.</v>
      </c>
    </row>
    <row r="14391">
      <c r="A14391" s="1">
        <v>5.0</v>
      </c>
      <c r="B14391" s="1" t="s">
        <v>14260</v>
      </c>
      <c r="C14391" t="str">
        <f>IFERROR(__xludf.DUMMYFUNCTION("GOOGLETRANSLATE(B14391, ""es"", ""en"")"),"Money I bought one for me and I liked it so much I bought two more for the family. I use it more as a kettle, because I rather use only. It also goes well to do more than 0.7l tea")</f>
        <v>Money I bought one for me and I liked it so much I bought two more for the family. I use it more as a kettle, because I rather use only. It also goes well to do more than 0.7l tea</v>
      </c>
    </row>
    <row r="14392">
      <c r="A14392" s="1">
        <v>5.0</v>
      </c>
      <c r="B14392" s="1" t="s">
        <v>14261</v>
      </c>
      <c r="C14392" t="str">
        <f>IFERROR(__xludf.DUMMYFUNCTION("GOOGLETRANSLATE(B14392, ""es"", ""en"")"),"Recommended without doubt Even I have not used because my œthat is not born but I love the mechanism that has, I think it gives an assurance that the baths typical not give the issue of being able to adjust the depth and inclination I love, is very robust"&amp;" and I like it like that folds gomanlo. I have seen others that were more plasticosas and paste gives me more confidence. To say that is great and that the child will use for quite some time. Olaya also for the look good, not because it weighs nothing, fo"&amp;"lds and has the drain plug. Better to go with a bouncy you need to fill it out and you can just click")</f>
        <v>Recommended without doubt Even I have not used because my œthat is not born but I love the mechanism that has, I think it gives an assurance that the baths typical not give the issue of being able to adjust the depth and inclination I love, is very robust and I like it like that folds gomanlo. I have seen others that were more plasticosas and paste gives me more confidence. To say that is great and that the child will use for quite some time. Olaya also for the look good, not because it weighs nothing, folds and has the drain plug. Better to go with a bouncy you need to fill it out and you can just click</v>
      </c>
    </row>
    <row r="14393">
      <c r="A14393" s="1">
        <v>2.0</v>
      </c>
      <c r="B14393" s="1" t="s">
        <v>14262</v>
      </c>
      <c r="C14393" t="str">
        <f>IFERROR(__xludf.DUMMYFUNCTION("GOOGLETRANSLATE(B14393, ""es"", ""en"")"),"Mat are stuck too and can spend many times for the same site and no other, is underpowered and sometimes falls below sofas")</f>
        <v>Mat are stuck too and can spend many times for the same site and no other, is underpowered and sometimes falls below sofas</v>
      </c>
    </row>
    <row r="14394">
      <c r="A14394" s="1">
        <v>3.0</v>
      </c>
      <c r="B14394" s="1" t="s">
        <v>14263</v>
      </c>
      <c r="C14394" t="str">
        <f>IFERROR(__xludf.DUMMYFUNCTION("GOOGLETRANSLATE(B14394, ""es"", ""en"")"),"Very normalitos! For the price they can not ask for more. They are very normalitos. The stone looks very malilla, but they are very cheap! They are also not very comfortable to wear because the chain that is inserted through the ear hole moves much down. "&amp;"I have solved putting a nut behind those gumdrop. Once positions are monkeys! Value for money is not bad!")</f>
        <v>Very normalitos! For the price they can not ask for more. They are very normalitos. The stone looks very malilla, but they are very cheap! They are also not very comfortable to wear because the chain that is inserted through the ear hole moves much down. I have solved putting a nut behind those gumdrop. Once positions are monkeys! Value for money is not bad!</v>
      </c>
    </row>
    <row r="14395">
      <c r="A14395" s="1">
        <v>3.0</v>
      </c>
      <c r="B14395" s="1" t="s">
        <v>14264</v>
      </c>
      <c r="C14395" t="str">
        <f>IFERROR(__xludf.DUMMYFUNCTION("GOOGLETRANSLATE(B14395, ""es"", ""en"")"),"How is pictured in the photo how")</f>
        <v>How is pictured in the photo how</v>
      </c>
    </row>
    <row r="14396">
      <c r="A14396" s="1">
        <v>1.0</v>
      </c>
      <c r="B14396" s="1" t="s">
        <v>14265</v>
      </c>
      <c r="C14396" t="str">
        <f>IFERROR(__xludf.DUMMYFUNCTION("GOOGLETRANSLATE(B14396, ""es"", ""en"")"),"Maria Pujol I make 40 feet, buy a 41 for sure, I arrived in time, yes, but ..... I go small! It's like a 38! And mark 41 ..... seem imitation and no new original balance ....")</f>
        <v>Maria Pujol I make 40 feet, buy a 41 for sure, I arrived in time, yes, but ..... I go small! It's like a 38! And mark 41 ..... seem imitation and no new original balance ....</v>
      </c>
    </row>
    <row r="14397">
      <c r="A14397" s="1">
        <v>1.0</v>
      </c>
      <c r="B14397" s="1" t="s">
        <v>14266</v>
      </c>
      <c r="C14397" t="str">
        <f>IFERROR(__xludf.DUMMYFUNCTION("GOOGLETRANSLATE(B14397, ""es"", ""en"")"),"A rigid sole very short time the sole cracked and ended up in the trash")</f>
        <v>A rigid sole very short time the sole cracked and ended up in the trash</v>
      </c>
    </row>
    <row r="14398">
      <c r="A14398" s="1">
        <v>4.0</v>
      </c>
      <c r="B14398" s="1" t="s">
        <v>14267</v>
      </c>
      <c r="C14398" t="str">
        <f>IFERROR(__xludf.DUMMYFUNCTION("GOOGLETRANSLATE(B14398, ""es"", ""en"")"),"Sizes small outline is a good product. Good gender and breathable pity that the sizes do not match. I use a 100D and I have taken the 100F and I still is small boundary.")</f>
        <v>Sizes small outline is a good product. Good gender and breathable pity that the sizes do not match. I use a 100D and I have taken the 100F and I still is small boundary.</v>
      </c>
    </row>
    <row r="14399">
      <c r="A14399" s="1">
        <v>4.0</v>
      </c>
      <c r="B14399" s="1" t="s">
        <v>14268</v>
      </c>
      <c r="C14399" t="str">
        <f>IFERROR(__xludf.DUMMYFUNCTION("GOOGLETRANSLATE(B14399, ""es"", ""en"")"),"After it's worth searching and reading reviews I decided on the and I do not regret it works very well and with clear sound, volume is acceptable and that lasted me longer running load. For those who do not know I say that this model is identical to the M"&amp;"90 ​​.... only variation is that the latter model has a cable to charge both the phone and the Bluetooth (said by plantronics) and has only Spanish, French and Italian the M70 200739-26. By putting a snag, it is true that when you take a while you notice "&amp;"a sore iodine (I understand that is because it is subject to force)")</f>
        <v>After it's worth searching and reading reviews I decided on the and I do not regret it works very well and with clear sound, volume is acceptable and that lasted me longer running load. For those who do not know I say that this model is identical to the M90 ​​.... only variation is that the latter model has a cable to charge both the phone and the Bluetooth (said by plantronics) and has only Spanish, French and Italian the M70 200739-26. By putting a snag, it is true that when you take a while you notice a sore iodine (I understand that is because it is subject to force)</v>
      </c>
    </row>
    <row r="14400">
      <c r="A14400" s="1">
        <v>4.0</v>
      </c>
      <c r="B14400" s="1" t="s">
        <v>14269</v>
      </c>
      <c r="C14400" t="str">
        <f>IFERROR(__xludf.DUMMYFUNCTION("GOOGLETRANSLATE(B14400, ""es"", ""en"")"),"Aesthetically very nice, sound good, average comfort. Pros: Helmets are very nice, very comfortable long cable. Sound control integrated into the cable, useful as well. The audio quality is good. Cons: If the volume of helmets is high, and you are in conv"&amp;"ersation the person of the other side hears echoes. Using software echo canceller has to have to avoid it. Diadem hurts, maybe I have very big head but after an hour's beginning to annoy me, the pad that brings insufficient.")</f>
        <v>Aesthetically very nice, sound good, average comfort. Pros: Helmets are very nice, very comfortable long cable. Sound control integrated into the cable, useful as well. The audio quality is good. Cons: If the volume of helmets is high, and you are in conversation the person of the other side hears echoes. Using software echo canceller has to have to avoid it. Diadem hurts, maybe I have very big head but after an hour's beginning to annoy me, the pad that brings insufficient.</v>
      </c>
    </row>
    <row r="14401">
      <c r="A14401" s="1">
        <v>4.0</v>
      </c>
      <c r="B14401" s="1" t="s">
        <v>14270</v>
      </c>
      <c r="C14401" t="str">
        <f>IFERROR(__xludf.DUMMYFUNCTION("GOOGLETRANSLATE(B14401, ""es"", ""en"")"),"A correct cable cable gets the job done at a good price.")</f>
        <v>A correct cable cable gets the job done at a good price.</v>
      </c>
    </row>
    <row r="14402">
      <c r="A14402" s="1">
        <v>5.0</v>
      </c>
      <c r="B14402" s="1" t="s">
        <v>14271</v>
      </c>
      <c r="C14402" t="str">
        <f>IFERROR(__xludf.DUMMYFUNCTION("GOOGLETRANSLATE(B14402, ""es"", ""en"")"),"A good gift for my father was a gift for my father and is very happy with his watch.")</f>
        <v>A good gift for my father was a gift for my father and is very happy with his watch.</v>
      </c>
    </row>
    <row r="14403">
      <c r="A14403" s="1">
        <v>5.0</v>
      </c>
      <c r="B14403" s="1" t="s">
        <v>14272</v>
      </c>
      <c r="C14403" t="str">
        <f>IFERROR(__xludf.DUMMYFUNCTION("GOOGLETRANSLATE(B14403, ""es"", ""en"")"),"I've heard great time and several days with these headphones and they are great, the battery lasts a lot, heard a blast and are touch for handling. Nothing to envy to other well-known brands and infinitely more expensive. They come in a box that also serv"&amp;"es for charging. I have a Samsung and match easily and super fast.")</f>
        <v>I've heard great time and several days with these headphones and they are great, the battery lasts a lot, heard a blast and are touch for handling. Nothing to envy to other well-known brands and infinitely more expensive. They come in a box that also serves for charging. I have a Samsung and match easily and super fast.</v>
      </c>
    </row>
    <row r="14404">
      <c r="A14404" s="1">
        <v>5.0</v>
      </c>
      <c r="B14404" s="1" t="s">
        <v>14273</v>
      </c>
      <c r="C14404" t="str">
        <f>IFERROR(__xludf.DUMMYFUNCTION("GOOGLETRANSLATE(B14404, ""es"", ""en"")"),"Effective delivery Love!")</f>
        <v>Effective delivery Love!</v>
      </c>
    </row>
    <row r="14405">
      <c r="A14405" s="1">
        <v>5.0</v>
      </c>
      <c r="B14405" s="1" t="s">
        <v>14274</v>
      </c>
      <c r="C14405" t="str">
        <f>IFERROR(__xludf.DUMMYFUNCTION("GOOGLETRANSLATE(B14405, ""es"", ""en"")"),"Very good is the second time I buy this model, very comfortable; the price may be a bit high, but definitely worth it, used it for the past 7 years and still are in good condition except for the sole logical wear.")</f>
        <v>Very good is the second time I buy this model, very comfortable; the price may be a bit high, but definitely worth it, used it for the past 7 years and still are in good condition except for the sole logical wear.</v>
      </c>
    </row>
    <row r="14406">
      <c r="A14406" s="1">
        <v>5.0</v>
      </c>
      <c r="B14406" s="1" t="s">
        <v>14275</v>
      </c>
      <c r="C14406" t="str">
        <f>IFERROR(__xludf.DUMMYFUNCTION("GOOGLETRANSLATE(B14406, ""es"", ""en"")"),"Replacement Suunto Suunto Original product may seem somewhat duller than the original but I think with equal wear. It comes with screws, glue and instructions. I just replaced the damaged part, in my case of GPS, I guess it will be breaking more frequentl"&amp;"y so because the price of the pack, it should be possible to also be purchased separately. Otherwise, good quality, very fast delivery and receive comfort of home. Suunto on page costs 10 € more.")</f>
        <v>Replacement Suunto Suunto Original product may seem somewhat duller than the original but I think with equal wear. It comes with screws, glue and instructions. I just replaced the damaged part, in my case of GPS, I guess it will be breaking more frequently so because the price of the pack, it should be possible to also be purchased separately. Otherwise, good quality, very fast delivery and receive comfort of home. Suunto on page costs 10 € more.</v>
      </c>
    </row>
    <row r="14407">
      <c r="A14407" s="1">
        <v>5.0</v>
      </c>
      <c r="B14407" s="1" t="s">
        <v>14276</v>
      </c>
      <c r="C14407" t="str">
        <f>IFERROR(__xludf.DUMMYFUNCTION("GOOGLETRANSLATE(B14407, ""es"", ""en"")"),"Perfect is precious, it seems that costs a lot more than it actually costs. Is ideal, it is very cute.")</f>
        <v>Perfect is precious, it seems that costs a lot more than it actually costs. Is ideal, it is very cute.</v>
      </c>
    </row>
    <row r="14408">
      <c r="A14408" s="1">
        <v>5.0</v>
      </c>
      <c r="B14408" s="1" t="s">
        <v>14277</v>
      </c>
      <c r="C14408" t="str">
        <f>IFERROR(__xludf.DUMMYFUNCTION("GOOGLETRANSLATE(B14408, ""es"", ""en"")"),"Excellent quality / price Well, that, that are not the best headphones in the world but for 11 euros not think there is none that is better. Sound acceptably well, are comfortable (once you put the pads best suited to your ear canal), come with various si"&amp;"zes of pads and brings an accessory that serves to keep pickup cable length that you think you is not necessary. At the end is the sort of recogecables and adjust it to the length that you want very useful.")</f>
        <v>Excellent quality / price Well, that, that are not the best headphones in the world but for 11 euros not think there is none that is better. Sound acceptably well, are comfortable (once you put the pads best suited to your ear canal), come with various sizes of pads and brings an accessory that serves to keep pickup cable length that you think you is not necessary. At the end is the sort of recogecables and adjust it to the length that you want very useful.</v>
      </c>
    </row>
    <row r="14409">
      <c r="A14409" s="1">
        <v>5.0</v>
      </c>
      <c r="B14409" s="1" t="s">
        <v>14278</v>
      </c>
      <c r="C14409" t="str">
        <f>IFERROR(__xludf.DUMMYFUNCTION("GOOGLETRANSLATE(B14409, ""es"", ""en"")"),"Ideal for photography Well lately I've decided to get started in the world of photography, and needed a memory card at an affordable price but it was fast, and I found this product to the exact candidate. Reaches speeds up to 80Mb reading / s, and file tr"&amp;"ansfer speed up to 250Mb / s, an authentic beauty. On the other hand I think its storage capacity is more than perfect, and I personally do not recommend the SD for more capacity for a simple reason: If for some reason the SD format fails and we have to, "&amp;"we lose all content. But if instead of a high-capacity SD have 2 SD less capacity, the amount of the loss will be less. And believe me, I speak from experience. Ultimately, a product with a highly recommended optimum value.")</f>
        <v>Ideal for photography Well lately I've decided to get started in the world of photography, and needed a memory card at an affordable price but it was fast, and I found this product to the exact candidate. Reaches speeds up to 80Mb reading / s, and file transfer speed up to 250Mb / s, an authentic beauty. On the other hand I think its storage capacity is more than perfect, and I personally do not recommend the SD for more capacity for a simple reason: If for some reason the SD format fails and we have to, we lose all content. But if instead of a high-capacity SD have 2 SD less capacity, the amount of the loss will be less. And believe me, I speak from experience. Ultimately, a product with a highly recommended optimum value.</v>
      </c>
    </row>
    <row r="14410">
      <c r="A14410" s="1">
        <v>5.0</v>
      </c>
      <c r="B14410" s="1" t="s">
        <v>14279</v>
      </c>
      <c r="C14410" t="str">
        <f>IFERROR(__xludf.DUMMYFUNCTION("GOOGLETRANSLATE(B14410, ""es"", ""en"")"),"I like good product for the price I paid for a greeting")</f>
        <v>I like good product for the price I paid for a greeting</v>
      </c>
    </row>
    <row r="14411">
      <c r="A14411" s="1">
        <v>5.0</v>
      </c>
      <c r="B14411" s="1" t="s">
        <v>14280</v>
      </c>
      <c r="C14411" t="str">
        <f>IFERROR(__xludf.DUMMYFUNCTION("GOOGLETRANSLATE(B14411, ""es"", ""en"")"),"Practice Practical and functional, perfect for boiling water, convenient to clean and easy to use, it is nice and very modern and looks great in any kitchen.")</f>
        <v>Practice Practical and functional, perfect for boiling water, convenient to clean and easy to use, it is nice and very modern and looks great in any kitchen.</v>
      </c>
    </row>
    <row r="14412">
      <c r="A14412" s="1">
        <v>5.0</v>
      </c>
      <c r="B14412" s="1" t="s">
        <v>14281</v>
      </c>
      <c r="C14412" t="str">
        <f>IFERROR(__xludf.DUMMYFUNCTION("GOOGLETRANSLATE(B14412, ""es"", ""en"")"),"Prices very good quality work perfectly. Hear well, are connected to the first each time connect the bluetooth. Very ergonomic. Ideal for sports.")</f>
        <v>Prices very good quality work perfectly. Hear well, are connected to the first each time connect the bluetooth. Very ergonomic. Ideal for sports.</v>
      </c>
    </row>
    <row r="14413">
      <c r="A14413" s="1">
        <v>5.0</v>
      </c>
      <c r="B14413" s="1" t="s">
        <v>14282</v>
      </c>
      <c r="C14413" t="str">
        <f>IFERROR(__xludf.DUMMYFUNCTION("GOOGLETRANSLATE(B14413, ""es"", ""en"")"),"Yuri Diaz Beautiful and very comfortable, better than I expected, since I tried these shoes do not want others. The size is a little big, in fact I ordered a number less.")</f>
        <v>Yuri Diaz Beautiful and very comfortable, better than I expected, since I tried these shoes do not want others. The size is a little big, in fact I ordered a number less.</v>
      </c>
    </row>
    <row r="14414">
      <c r="A14414" s="1">
        <v>5.0</v>
      </c>
      <c r="B14414" s="1" t="s">
        <v>14283</v>
      </c>
      <c r="C14414" t="str">
        <f>IFERROR(__xludf.DUMMYFUNCTION("GOOGLETRANSLATE(B14414, ""es"", ""en"")"),"I'm perfect regular runner. Participated in mountain races and half marathons road, this cream I have used when I have discomfort after tendinitis and contractures. I give it a 10. With little to give you warm mogollon, and hold heat about 2 hours. Recomm"&amp;"endable.")</f>
        <v>I'm perfect regular runner. Participated in mountain races and half marathons road, this cream I have used when I have discomfort after tendinitis and contractures. I give it a 10. With little to give you warm mogollon, and hold heat about 2 hours. Recommendable.</v>
      </c>
    </row>
    <row r="14415">
      <c r="A14415" s="1">
        <v>5.0</v>
      </c>
      <c r="B14415" s="1" t="s">
        <v>14284</v>
      </c>
      <c r="C14415" t="str">
        <f>IFERROR(__xludf.DUMMYFUNCTION("GOOGLETRANSLATE(B14415, ""es"", ""en"")"),"Good service, timely, all right Very good watch, good value. Timely delivery, very helpful seller.")</f>
        <v>Good service, timely, all right Very good watch, good value. Timely delivery, very helpful seller.</v>
      </c>
    </row>
    <row r="14416">
      <c r="A14416" s="1">
        <v>5.0</v>
      </c>
      <c r="B14416" s="1" t="s">
        <v>14285</v>
      </c>
      <c r="C14416" t="str">
        <f>IFERROR(__xludf.DUMMYFUNCTION("GOOGLETRANSLATE(B14416, ""es"", ""en"")"),"I really like this Glue Nothing to do with other brands, even with the brand itself but not professional. Hard a lot and the price is somewhat cheaper than traditional supermarkets")</f>
        <v>I really like this Glue Nothing to do with other brands, even with the brand itself but not professional. Hard a lot and the price is somewhat cheaper than traditional supermarkets</v>
      </c>
    </row>
    <row r="14417">
      <c r="A14417" s="1">
        <v>5.0</v>
      </c>
      <c r="B14417" s="1" t="s">
        <v>14286</v>
      </c>
      <c r="C14417" t="str">
        <f>IFERROR(__xludf.DUMMYFUNCTION("GOOGLETRANSLATE(B14417, ""es"", ""en"")"),"Converse shoes Good quality product. The size fits what pedi .Perfecto.")</f>
        <v>Converse shoes Good quality product. The size fits what pedi .Perfecto.</v>
      </c>
    </row>
    <row r="14418">
      <c r="A14418" s="1">
        <v>5.0</v>
      </c>
      <c r="B14418" s="1" t="s">
        <v>14287</v>
      </c>
      <c r="C14418" t="str">
        <f>IFERROR(__xludf.DUMMYFUNCTION("GOOGLETRANSLATE(B14418, ""es"", ""en"")"),"Nice for the price it is very good")</f>
        <v>Nice for the price it is very good</v>
      </c>
    </row>
    <row r="14419">
      <c r="A14419" s="1">
        <v>5.0</v>
      </c>
      <c r="B14419" s="1" t="s">
        <v>14288</v>
      </c>
      <c r="C14419" t="str">
        <f>IFERROR(__xludf.DUMMYFUNCTION("GOOGLETRANSLATE(B14419, ""es"", ""en"")"),"Very good Everything ok")</f>
        <v>Very good Everything ok</v>
      </c>
    </row>
    <row r="14420">
      <c r="A14420" s="1">
        <v>5.0</v>
      </c>
      <c r="B14420" s="1" t="s">
        <v>14289</v>
      </c>
      <c r="C14420" t="str">
        <f>IFERROR(__xludf.DUMMYFUNCTION("GOOGLETRANSLATE(B14420, ""es"", ""en"")"),"Safety metal tip shoe good shoes, lightweight, and put nothing noticeable, now wait 12h have")</f>
        <v>Safety metal tip shoe good shoes, lightweight, and put nothing noticeable, now wait 12h have</v>
      </c>
    </row>
    <row r="14421">
      <c r="A14421" s="1">
        <v>2.0</v>
      </c>
      <c r="B14421" s="1" t="s">
        <v>14290</v>
      </c>
      <c r="C14421" t="str">
        <f>IFERROR(__xludf.DUMMYFUNCTION("GOOGLETRANSLATE(B14421, ""es"", ""en"")"),"Have a higher percentage of manufacturing Swarovski my balls, with 1% does not bring certificate authentication, or anything like that, is that even they recognize that it is authentic, it did not cost made them a false certificate they, too, since then c"&amp;"omes back, more false than a ticket of 15 €, me I played because it was Prime, and you can claim quite easy and free, yes, to the next day you have at home, that's perfect, because the sooner come before the can return, their ""original price was 99,99 €"&amp;""" the poor man of who bought it at that price, it should be happening cabezasos the walls .. Swarovski crystals must be because you have broken the windows of the BMW and crystals they have the bracelets, because of carved by the company .. as not xddd, "&amp;"at the least, I've caught another 2 Scoundrels office and we are descojonando with the end result, one of them I want to take it to a jeweler, but now I tell you there as well as a colleague between you and me. I give it 2 stars for free descojone caused."&amp;" Falsisimo")</f>
        <v>Have a higher percentage of manufacturing Swarovski my balls, with 1% does not bring certificate authentication, or anything like that, is that even they recognize that it is authentic, it did not cost made them a false certificate they, too, since then comes back, more false than a ticket of 15 €, me I played because it was Prime, and you can claim quite easy and free, yes, to the next day you have at home, that's perfect, because the sooner come before the can return, their "original price was 99,99 €" the poor man of who bought it at that price, it should be happening cabezasos the walls .. Swarovski crystals must be because you have broken the windows of the BMW and crystals they have the bracelets, because of carved by the company .. as not xddd, at the least, I've caught another 2 Scoundrels office and we are descojonando with the end result, one of them I want to take it to a jeweler, but now I tell you there as well as a colleague between you and me. I give it 2 stars for free descojone caused. Falsisimo</v>
      </c>
    </row>
    <row r="14422">
      <c r="A14422" s="1">
        <v>3.0</v>
      </c>
      <c r="B14422" s="1" t="s">
        <v>14291</v>
      </c>
      <c r="C14422" t="str">
        <f>IFERROR(__xludf.DUMMYFUNCTION("GOOGLETRANSLATE(B14422, ""es"", ""en"")"),"defective after 2 months is sad for me to write, because Sony has been my favorite brand since I was a child. The headphones after only 2 months have a distorted and crackly sound with certain tones. My colleague bought your headphones when I did not crea"&amp;"k and yours in the same song when I tried it with my phone. I tried the same songs and my headphones are the only ones with the problem. I hope Sony can replace my headphones easily since I live in Iceland.")</f>
        <v>defective after 2 months is sad for me to write, because Sony has been my favorite brand since I was a child. The headphones after only 2 months have a distorted and crackly sound with certain tones. My colleague bought your headphones when I did not creak and yours in the same song when I tried it with my phone. I tried the same songs and my headphones are the only ones with the problem. I hope Sony can replace my headphones easily since I live in Iceland.</v>
      </c>
    </row>
    <row r="14423">
      <c r="A14423" s="1">
        <v>1.0</v>
      </c>
      <c r="B14423" s="1" t="s">
        <v>14292</v>
      </c>
      <c r="C14423" t="str">
        <f>IFERROR(__xludf.DUMMYFUNCTION("GOOGLETRANSLATE(B14423, ""es"", ""en"")"),"Poor quality has been taken off the sole in a few months and has faded very quickly")</f>
        <v>Poor quality has been taken off the sole in a few months and has faded very quickly</v>
      </c>
    </row>
    <row r="14424">
      <c r="A14424" s="1">
        <v>1.0</v>
      </c>
      <c r="B14424" s="1" t="s">
        <v>14293</v>
      </c>
      <c r="C14424" t="str">
        <f>IFERROR(__xludf.DUMMYFUNCTION("GOOGLETRANSLATE(B14424, ""es"", ""en"")"),"At nine months it stopped working The album initially started perfect, but at nine months began to fail in read / write disk and finally stopped working. Not a good choice and it does not let me do the disk back to the manufacturer.")</f>
        <v>At nine months it stopped working The album initially started perfect, but at nine months began to fail in read / write disk and finally stopped working. Not a good choice and it does not let me do the disk back to the manufacturer.</v>
      </c>
    </row>
    <row r="14425">
      <c r="A14425" s="1">
        <v>4.0</v>
      </c>
      <c r="B14425" s="1" t="s">
        <v>14294</v>
      </c>
      <c r="C14425" t="str">
        <f>IFERROR(__xludf.DUMMYFUNCTION("GOOGLETRANSLATE(B14425, ""es"", ""en"")"),"Jug-kettle works very well as an electric kettle for tea. It heats up very quickly.")</f>
        <v>Jug-kettle works very well as an electric kettle for tea. It heats up very quickly.</v>
      </c>
    </row>
    <row r="14426">
      <c r="A14426" s="1">
        <v>4.0</v>
      </c>
      <c r="B14426" s="1" t="s">
        <v>14295</v>
      </c>
      <c r="C14426" t="str">
        <f>IFERROR(__xludf.DUMMYFUNCTION("GOOGLETRANSLATE(B14426, ""es"", ""en"")"),"Small, decorative, fulfills its function is a simple device that steam if essences dissolve freshens the area where this post. the essences you buy it separately. The vessel is adjusted to size and you can not give as much time runs out / evaporates and m"&amp;"ust be re-filled. At the moment I'm seeing how it works because there is the manual in Spanish. As I can see lights, you are shown the light you want and hours, maximum 4 hours, then completely off. In the first test the water is not enough for 4 hours so"&amp;" now put it in 1 hour intervals during the day, 4 times. Although very quiet at night, ie night in the room could not be, at the least for me.")</f>
        <v>Small, decorative, fulfills its function is a simple device that steam if essences dissolve freshens the area where this post. the essences you buy it separately. The vessel is adjusted to size and you can not give as much time runs out / evaporates and must be re-filled. At the moment I'm seeing how it works because there is the manual in Spanish. As I can see lights, you are shown the light you want and hours, maximum 4 hours, then completely off. In the first test the water is not enough for 4 hours so now put it in 1 hour intervals during the day, 4 times. Although very quiet at night, ie night in the room could not be, at the least for me.</v>
      </c>
    </row>
    <row r="14427">
      <c r="A14427" s="1">
        <v>4.0</v>
      </c>
      <c r="B14427" s="1" t="s">
        <v>14296</v>
      </c>
      <c r="C14427" t="str">
        <f>IFERROR(__xludf.DUMMYFUNCTION("GOOGLETRANSLATE(B14427, ""es"", ""en"")"),"Buenes sandals for the pool and wanted to go very well, som very comfortable and not sweat a lot. Good quality. The slightly large number but are also good for the type flip-flop that is, if you would again ask a number less than that normally use")</f>
        <v>Buenes sandals for the pool and wanted to go very well, som very comfortable and not sweat a lot. Good quality. The slightly large number but are also good for the type flip-flop that is, if you would again ask a number less than that normally use</v>
      </c>
    </row>
    <row r="14428">
      <c r="A14428" s="1">
        <v>4.0</v>
      </c>
      <c r="B14428" s="1" t="s">
        <v>14297</v>
      </c>
      <c r="C14428" t="str">
        <f>IFERROR(__xludf.DUMMYFUNCTION("GOOGLETRANSLATE(B14428, ""es"", ""en"")"),"Allison All very well, properly packaged, the only downside is that it comes very right side, I've put on my iPhone 6S and let me half a millimeter unprotected screen, something minimal, but better fit perfect and to protect it all. Plus you comes with sc"&amp;"reen cleaning wipes your phone before putting the protector and stickers help serve you.")</f>
        <v>Allison All very well, properly packaged, the only downside is that it comes very right side, I've put on my iPhone 6S and let me half a millimeter unprotected screen, something minimal, but better fit perfect and to protect it all. Plus you comes with screen cleaning wipes your phone before putting the protector and stickers help serve you.</v>
      </c>
    </row>
    <row r="14429">
      <c r="A14429" s="1">
        <v>4.0</v>
      </c>
      <c r="B14429" s="1" t="s">
        <v>14298</v>
      </c>
      <c r="C14429" t="str">
        <f>IFERROR(__xludf.DUMMYFUNCTION("GOOGLETRANSLATE(B14429, ""es"", ""en"")"),"CORRECT CORRECT")</f>
        <v>CORRECT CORRECT</v>
      </c>
    </row>
    <row r="14430">
      <c r="A14430" s="1">
        <v>5.0</v>
      </c>
      <c r="B14430" s="1" t="s">
        <v>14299</v>
      </c>
      <c r="C14430" t="str">
        <f>IFERROR(__xludf.DUMMYFUNCTION("GOOGLETRANSLATE(B14430, ""es"", ""en"")"),"Like a glove! The shoe accommodates the perfect pie! excellent cushioning. Weight 90kg. I use size 28 and this brand is a 44EU, for almost better fat sock 28.5. I am very satisfied with the purchase. 85 € great price, I have not found anything to match th"&amp;"at price. Strongly recommended! At the end of the month the figure shoe giving a phenomenal response. He has lost a bit of cushioning but I understand that is normal. They conform to the fantastic pie!")</f>
        <v>Like a glove! The shoe accommodates the perfect pie! excellent cushioning. Weight 90kg. I use size 28 and this brand is a 44EU, for almost better fat sock 28.5. I am very satisfied with the purchase. 85 € great price, I have not found anything to match that price. Strongly recommended! At the end of the month the figure shoe giving a phenomenal response. He has lost a bit of cushioning but I understand that is normal. They conform to the fantastic pie!</v>
      </c>
    </row>
    <row r="14431">
      <c r="A14431" s="1">
        <v>5.0</v>
      </c>
      <c r="B14431" s="1" t="s">
        <v>14300</v>
      </c>
      <c r="C14431" t="str">
        <f>IFERROR(__xludf.DUMMYFUNCTION("GOOGLETRANSLATE(B14431, ""es"", ""en"")"),"All sound equipment Cables as expected. I've used a drum machine to connect to a stereo. The sound is now perfect.")</f>
        <v>All sound equipment Cables as expected. I've used a drum machine to connect to a stereo. The sound is now perfect.</v>
      </c>
    </row>
    <row r="14432">
      <c r="A14432" s="1">
        <v>5.0</v>
      </c>
      <c r="B14432" s="1" t="s">
        <v>14301</v>
      </c>
      <c r="C14432" t="str">
        <f>IFERROR(__xludf.DUMMYFUNCTION("GOOGLETRANSLATE(B14432, ""es"", ""en"")"),"The best bottles I love these bottles, the quality is excellent. The glass is very strong. I have not had problems drip at all - you have to read the slip of tips that came in the box and avoid certain things, such as microwave heating bottle with valve a"&amp;"nd teat on etc.")</f>
        <v>The best bottles I love these bottles, the quality is excellent. The glass is very strong. I have not had problems drip at all - you have to read the slip of tips that came in the box and avoid certain things, such as microwave heating bottle with valve and teat on etc.</v>
      </c>
    </row>
    <row r="14433">
      <c r="A14433" s="1">
        <v>5.0</v>
      </c>
      <c r="B14433" s="1" t="s">
        <v>14302</v>
      </c>
      <c r="C14433" t="str">
        <f>IFERROR(__xludf.DUMMYFUNCTION("GOOGLETRANSLATE(B14433, ""es"", ""en"")"),"Better than expected not to what extent is ""compression"" to the least in the way that you are taking this word, ie, which improves muscle performance, whether it is a stuck-shirt, as if it were a second skin of the finite which is and is not that entert"&amp;"ains as a feather, it is clear, but the temperature keeps well, in fact I am to get another, for this price I did not see any better and looked and looked ... definitely a great buy!")</f>
        <v>Better than expected not to what extent is "compression" to the least in the way that you are taking this word, ie, which improves muscle performance, whether it is a stuck-shirt, as if it were a second skin of the finite which is and is not that entertains as a feather, it is clear, but the temperature keeps well, in fact I am to get another, for this price I did not see any better and looked and looked ... definitely a great buy!</v>
      </c>
    </row>
    <row r="14434">
      <c r="A14434" s="1">
        <v>5.0</v>
      </c>
      <c r="B14434" s="1" t="s">
        <v>14303</v>
      </c>
      <c r="C14434" t="str">
        <f>IFERROR(__xludf.DUMMYFUNCTION("GOOGLETRANSLATE(B14434, ""es"", ""en"")"),"Good quality / price mainly I use the blender to make smoothies with fruits and vegetables. It works perfectly and has enough power and the material is good quality, because usually add ice to smoothies, and crushed without any problems. Is very comfortab"&amp;"le utensil to chop, tasks that are often made with the knife in 10 - 15 min crusher does so with a click. Fully recommended, very good quality for this price.")</f>
        <v>Good quality / price mainly I use the blender to make smoothies with fruits and vegetables. It works perfectly and has enough power and the material is good quality, because usually add ice to smoothies, and crushed without any problems. Is very comfortable utensil to chop, tasks that are often made with the knife in 10 - 15 min crusher does so with a click. Fully recommended, very good quality for this price.</v>
      </c>
    </row>
    <row r="14435">
      <c r="A14435" s="1">
        <v>5.0</v>
      </c>
      <c r="B14435" s="1" t="s">
        <v>14304</v>
      </c>
      <c r="C14435" t="str">
        <f>IFERROR(__xludf.DUMMYFUNCTION("GOOGLETRANSLATE(B14435, ""es"", ""en"")"),"Good quality good quality perfect fit")</f>
        <v>Good quality good quality perfect fit</v>
      </c>
    </row>
    <row r="14436">
      <c r="A14436" s="1">
        <v>5.0</v>
      </c>
      <c r="B14436" s="1" t="s">
        <v>14305</v>
      </c>
      <c r="C14436" t="str">
        <f>IFERROR(__xludf.DUMMYFUNCTION("GOOGLETRANSLATE(B14436, ""es"", ""en"")"),"It's a polished steel kettle with a very good price and also has stainless steel finishes I was looking to decorate my kitchen, and I have appliances in sight and I like everyone to be like. It heats up quickly and has plenty of water capacity. LED light "&amp;"gives a very modern touch.")</f>
        <v>It's a polished steel kettle with a very good price and also has stainless steel finishes I was looking to decorate my kitchen, and I have appliances in sight and I like everyone to be like. It heats up quickly and has plenty of water capacity. LED light gives a very modern touch.</v>
      </c>
    </row>
    <row r="14437">
      <c r="A14437" s="1">
        <v>5.0</v>
      </c>
      <c r="B14437" s="1" t="s">
        <v>14306</v>
      </c>
      <c r="C14437" t="str">
        <f>IFERROR(__xludf.DUMMYFUNCTION("GOOGLETRANSLATE(B14437, ""es"", ""en"")"),"My good choice for 16Gb DDR3 @ 1600Mhz perfect choice for those who want to purchase a 16Gb memory at 1600MHz kit. Too bad that a couple of years ago were not at this price ...")</f>
        <v>My good choice for 16Gb DDR3 @ 1600Mhz perfect choice for those who want to purchase a 16Gb memory at 1600MHz kit. Too bad that a couple of years ago were not at this price ...</v>
      </c>
    </row>
    <row r="14438">
      <c r="A14438" s="1">
        <v>5.0</v>
      </c>
      <c r="B14438" s="1" t="s">
        <v>14307</v>
      </c>
      <c r="C14438" t="str">
        <f>IFERROR(__xludf.DUMMYFUNCTION("GOOGLETRANSLATE(B14438, ""es"", ""en"")"),"They sound great and are nice in my opinion they sound very good, in my opinion are very aesthetic and elegant touch function headphones is great not having to take the phone, and go past the song you need to answer a call, I had several headphones and th"&amp;"ese I particularly liked a lot. The burden of these also makes battery for mobile. The battery lasts a long time, and being always connected can be with them several days without charger because they are already charging.")</f>
        <v>They sound great and are nice in my opinion they sound very good, in my opinion are very aesthetic and elegant touch function headphones is great not having to take the phone, and go past the song you need to answer a call, I had several headphones and these I particularly liked a lot. The burden of these also makes battery for mobile. The battery lasts a long time, and being always connected can be with them several days without charger because they are already charging.</v>
      </c>
    </row>
    <row r="14439">
      <c r="A14439" s="1">
        <v>5.0</v>
      </c>
      <c r="B14439" s="1" t="s">
        <v>14308</v>
      </c>
      <c r="C14439" t="str">
        <f>IFERROR(__xludf.DUMMYFUNCTION("GOOGLETRANSLATE(B14439, ""es"", ""en"")"),"I expected what I recommend is great.")</f>
        <v>I expected what I recommend is great.</v>
      </c>
    </row>
    <row r="14440">
      <c r="A14440" s="1">
        <v>5.0</v>
      </c>
      <c r="B14440" s="1" t="s">
        <v>14309</v>
      </c>
      <c r="C14440" t="str">
        <f>IFERROR(__xludf.DUMMYFUNCTION("GOOGLETRANSLATE(B14440, ""es"", ""en"")"),"Ofertón !! 7 rolls wide zeal for 3 euros is a bargain hard to refuse. They are also the Scotch brand, bone, a proven quality. Excellent buy!")</f>
        <v>Ofertón !! 7 rolls wide zeal for 3 euros is a bargain hard to refuse. They are also the Scotch brand, bone, a proven quality. Excellent buy!</v>
      </c>
    </row>
    <row r="14441">
      <c r="A14441" s="1">
        <v>5.0</v>
      </c>
      <c r="B14441" s="1" t="s">
        <v>14310</v>
      </c>
      <c r="C14441" t="str">
        <f>IFERROR(__xludf.DUMMYFUNCTION("GOOGLETRANSLATE(B14441, ""es"", ""en"")"),"I love the moment are very comfortable (ear fits whole) and easy to use. Easily matching not weigh penalties and battery ... the battery to be seen, because currently we have not gotten much cane. The maximum volume is okay to not stay deaf, although any "&amp;"man may seem a fair bit (in my spare me). You can fold and store in a bag they bring. This is written in July 2018 .... if you are reading from the future is that everything went well and I advise you to buy them;)")</f>
        <v>I love the moment are very comfortable (ear fits whole) and easy to use. Easily matching not weigh penalties and battery ... the battery to be seen, because currently we have not gotten much cane. The maximum volume is okay to not stay deaf, although any man may seem a fair bit (in my spare me). You can fold and store in a bag they bring. This is written in July 2018 .... if you are reading from the future is that everything went well and I advise you to buy them;)</v>
      </c>
    </row>
    <row r="14442">
      <c r="A14442" s="1">
        <v>5.0</v>
      </c>
      <c r="B14442" s="1" t="s">
        <v>14311</v>
      </c>
      <c r="C14442" t="str">
        <f>IFERROR(__xludf.DUMMYFUNCTION("GOOGLETRANSLATE(B14442, ""es"", ""en"")"),"Perfect Perfect Baby Bottle I had with the other baby and we love this brand and so have been repeated")</f>
        <v>Perfect Perfect Baby Bottle I had with the other baby and we love this brand and so have been repeated</v>
      </c>
    </row>
    <row r="14443">
      <c r="A14443" s="1">
        <v>5.0</v>
      </c>
      <c r="B14443" s="1" t="s">
        <v>14312</v>
      </c>
      <c r="C14443" t="str">
        <f>IFERROR(__xludf.DUMMYFUNCTION("GOOGLETRANSLATE(B14443, ""es"", ""en"")"),"Good value Very good quality-precio.porque have in my headphones much house cost me more money, and does not take much quality, charging hard enough for what I want, to exercise is very easy.")</f>
        <v>Good value Very good quality-precio.porque have in my headphones much house cost me more money, and does not take much quality, charging hard enough for what I want, to exercise is very easy.</v>
      </c>
    </row>
    <row r="14444">
      <c r="A14444" s="1">
        <v>5.0</v>
      </c>
      <c r="B14444" s="1" t="s">
        <v>14313</v>
      </c>
      <c r="C14444" t="str">
        <f>IFERROR(__xludf.DUMMYFUNCTION("GOOGLETRANSLATE(B14444, ""es"", ""en"")"),"As he expected. And such rapid delivery and as expected. Price good too.")</f>
        <v>As he expected. And such rapid delivery and as expected. Price good too.</v>
      </c>
    </row>
    <row r="14445">
      <c r="A14445" s="1">
        <v>5.0</v>
      </c>
      <c r="B14445" s="1" t="s">
        <v>14314</v>
      </c>
      <c r="C14445" t="str">
        <f>IFERROR(__xludf.DUMMYFUNCTION("GOOGLETRANSLATE(B14445, ""es"", ""en"")"),"I recommend is super comfortable and I am delighted")</f>
        <v>I recommend is super comfortable and I am delighted</v>
      </c>
    </row>
    <row r="14446">
      <c r="A14446" s="1">
        <v>5.0</v>
      </c>
      <c r="B14446" s="1" t="s">
        <v>14315</v>
      </c>
      <c r="C14446" t="str">
        <f>IFERROR(__xludf.DUMMYFUNCTION("GOOGLETRANSLATE(B14446, ""es"", ""en"")"),"May I use a 38-40, I ordered the size M. look great, they are percentamente adapt to the body, comfortable, and color as it appears in the photo")</f>
        <v>May I use a 38-40, I ordered the size M. look great, they are percentamente adapt to the body, comfortable, and color as it appears in the photo</v>
      </c>
    </row>
    <row r="14447">
      <c r="A14447" s="1">
        <v>5.0</v>
      </c>
      <c r="B14447" s="1" t="s">
        <v>14316</v>
      </c>
      <c r="C14447" t="str">
        <f>IFERROR(__xludf.DUMMYFUNCTION("GOOGLETRANSLATE(B14447, ""es"", ""en"")"),"Has an impressive quality sound and many features have many great features, it is very good quality, perfect, m daughter is crazy singing. It has great sound quality")</f>
        <v>Has an impressive quality sound and many features have many great features, it is very good quality, perfect, m daughter is crazy singing. It has great sound quality</v>
      </c>
    </row>
    <row r="14448">
      <c r="A14448" s="1">
        <v>5.0</v>
      </c>
      <c r="B14448" s="1" t="s">
        <v>14317</v>
      </c>
      <c r="C14448" t="str">
        <f>IFERROR(__xludf.DUMMYFUNCTION("GOOGLETRANSLATE(B14448, ""es"", ""en"")"),"It works perfectly perfect, low weight which is what I wanted. Practical and manageable for normal household use. I am delighted with it the truth.")</f>
        <v>It works perfectly perfect, low weight which is what I wanted. Practical and manageable for normal household use. I am delighted with it the truth.</v>
      </c>
    </row>
    <row r="14449">
      <c r="A14449" s="1">
        <v>2.0</v>
      </c>
      <c r="B14449" s="1" t="s">
        <v>14318</v>
      </c>
      <c r="C14449" t="str">
        <f>IFERROR(__xludf.DUMMYFUNCTION("GOOGLETRANSLATE(B14449, ""es"", ""en"")"),"Pretty fair average quality for the price tiene.Es very strong rubber smell the first days.The has wet me and has tinted gum azul.Ha arrived earlier than expected.")</f>
        <v>Pretty fair average quality for the price tiene.Es very strong rubber smell the first days.The has wet me and has tinted gum azul.Ha arrived earlier than expected.</v>
      </c>
    </row>
    <row r="14450">
      <c r="A14450" s="1">
        <v>3.0</v>
      </c>
      <c r="B14450" s="1" t="s">
        <v>14319</v>
      </c>
      <c r="C14450" t="str">
        <f>IFERROR(__xludf.DUMMYFUNCTION("GOOGLETRANSLATE(B14450, ""es"", ""en"")"),"Performs its functions I've put 3 stars because it is not breathable Nike is a running average but for mans shirt.")</f>
        <v>Performs its functions I've put 3 stars because it is not breathable Nike is a running average but for mans shirt.</v>
      </c>
    </row>
    <row r="14451">
      <c r="A14451" s="1">
        <v>3.0</v>
      </c>
      <c r="B14451" s="1" t="s">
        <v>14320</v>
      </c>
      <c r="C14451" t="str">
        <f>IFERROR(__xludf.DUMMYFUNCTION("GOOGLETRANSLATE(B14451, ""es"", ""en"")"),"Barata good for the price but powerful. mincing attachment broke but it was my fault, I forced myself too. The glass does not work, it is very small pair the power of the mixer, do not use it if you do not want to paint the ceiling")</f>
        <v>Barata good for the price but powerful. mincing attachment broke but it was my fault, I forced myself too. The glass does not work, it is very small pair the power of the mixer, do not use it if you do not want to paint the ceiling</v>
      </c>
    </row>
    <row r="14452">
      <c r="A14452" s="1">
        <v>1.0</v>
      </c>
      <c r="B14452" s="1" t="s">
        <v>14321</v>
      </c>
      <c r="C14452" t="str">
        <f>IFERROR(__xludf.DUMMYFUNCTION("GOOGLETRANSLATE(B14452, ""es"", ""en"")"),"Nothing durable. 4 uses. 4 uses and heard only on one side. Money thrown away.")</f>
        <v>Nothing durable. 4 uses. 4 uses and heard only on one side. Money thrown away.</v>
      </c>
    </row>
    <row r="14453">
      <c r="A14453" s="1">
        <v>1.0</v>
      </c>
      <c r="B14453" s="1" t="s">
        <v>14322</v>
      </c>
      <c r="C14453" t="str">
        <f>IFERROR(__xludf.DUMMYFUNCTION("GOOGLETRANSLATE(B14453, ""es"", ""en"")"),"Another embarrassing crap to throw away")</f>
        <v>Another embarrassing crap to throw away</v>
      </c>
    </row>
    <row r="14454">
      <c r="A14454" s="1">
        <v>1.0</v>
      </c>
      <c r="B14454" s="1" t="s">
        <v>14323</v>
      </c>
      <c r="C14454" t="str">
        <f>IFERROR(__xludf.DUMMYFUNCTION("GOOGLETRANSLATE(B14454, ""es"", ""en"")"),"Diffuser disappointing, which is how I use it, has almost no aroma. Of which I've tried, certainly the weakest")</f>
        <v>Diffuser disappointing, which is how I use it, has almost no aroma. Of which I've tried, certainly the weakest</v>
      </c>
    </row>
    <row r="14455">
      <c r="A14455" s="1">
        <v>4.0</v>
      </c>
      <c r="B14455" s="1" t="s">
        <v>14324</v>
      </c>
      <c r="C14455" t="str">
        <f>IFERROR(__xludf.DUMMYFUNCTION("GOOGLETRANSLATE(B14455, ""es"", ""en"")"),"Practical and compact I give it 4 stars because the first thing that came to me came charging failure and had to be replaced. The second unit itself goes well, battery 45 min. approx, does not take long to load, it takes up little space and fulfills its m"&amp;"ission.")</f>
        <v>Practical and compact I give it 4 stars because the first thing that came to me came charging failure and had to be replaced. The second unit itself goes well, battery 45 min. approx, does not take long to load, it takes up little space and fulfills its mission.</v>
      </c>
    </row>
    <row r="14456">
      <c r="A14456" s="1">
        <v>4.0</v>
      </c>
      <c r="B14456" s="1" t="s">
        <v>14325</v>
      </c>
      <c r="C14456" t="str">
        <f>IFERROR(__xludf.DUMMYFUNCTION("GOOGLETRANSLATE(B14456, ""es"", ""en"")"),"I love Very nice")</f>
        <v>I love Very nice</v>
      </c>
    </row>
    <row r="14457">
      <c r="A14457" s="1">
        <v>4.0</v>
      </c>
      <c r="B14457" s="1" t="s">
        <v>14326</v>
      </c>
      <c r="C14457" t="str">
        <f>IFERROR(__xludf.DUMMYFUNCTION("GOOGLETRANSLATE(B14457, ""es"", ""en"")"),"Reliable and good price works perfectly, does the job without any problem and the price was good. To give five stars only ask that had included labels to identify each memory card and plastic cases to protect and preserve the case include certain that the"&amp;" final price would rise somewhat but the stickers could have included them as standard.")</f>
        <v>Reliable and good price works perfectly, does the job without any problem and the price was good. To give five stars only ask that had included labels to identify each memory card and plastic cases to protect and preserve the case include certain that the final price would rise somewhat but the stickers could have included them as standard.</v>
      </c>
    </row>
    <row r="14458">
      <c r="A14458" s="1">
        <v>4.0</v>
      </c>
      <c r="B14458" s="1" t="s">
        <v>14327</v>
      </c>
      <c r="C14458" t="str">
        <f>IFERROR(__xludf.DUMMYFUNCTION("GOOGLETRANSLATE(B14458, ""es"", ""en"")"),"Perfect boxed product to perfection! Great.")</f>
        <v>Perfect boxed product to perfection! Great.</v>
      </c>
    </row>
    <row r="14459">
      <c r="A14459" s="1">
        <v>4.0</v>
      </c>
      <c r="B14459" s="1" t="s">
        <v>14328</v>
      </c>
      <c r="C14459" t="str">
        <f>IFERROR(__xludf.DUMMYFUNCTION("GOOGLETRANSLATE(B14459, ""es"", ""en"")"),"various colors but are 98 clips instead of the 100 of the description are clips typical marker in pretty colors assorted 12 hot pink, 13 red, 12 turquoises, 9 yellow, 6 light pink 10 purple, 6 celestial 11 oranges, 12 green fluorescent yellow and 7. A tot"&amp;"al of 98 clips is not bad, but they are not putting on 100 description.")</f>
        <v>various colors but are 98 clips instead of the 100 of the description are clips typical marker in pretty colors assorted 12 hot pink, 13 red, 12 turquoises, 9 yellow, 6 light pink 10 purple, 6 celestial 11 oranges, 12 green fluorescent yellow and 7. A total of 98 clips is not bad, but they are not putting on 100 description.</v>
      </c>
    </row>
    <row r="14460">
      <c r="A14460" s="1">
        <v>5.0</v>
      </c>
      <c r="B14460" s="1" t="s">
        <v>14329</v>
      </c>
      <c r="C14460" t="str">
        <f>IFERROR(__xludf.DUMMYFUNCTION("GOOGLETRANSLATE(B14460, ""es"", ""en"")"),"With built-in light Ideal for troubles of view ... has a magnifying glass 3x small diameter and 45. It is light, with a very comfortable and pleasant handle. But what I liked most, was to have built-in light. With one-button lights and magnifying glass it"&amp;" helps to visualize even better any reason. A good buy")</f>
        <v>With built-in light Ideal for troubles of view ... has a magnifying glass 3x small diameter and 45. It is light, with a very comfortable and pleasant handle. But what I liked most, was to have built-in light. With one-button lights and magnifying glass it helps to visualize even better any reason. A good buy</v>
      </c>
    </row>
    <row r="14461">
      <c r="A14461" s="1">
        <v>5.0</v>
      </c>
      <c r="B14461" s="1" t="s">
        <v>14330</v>
      </c>
      <c r="C14461" t="str">
        <f>IFERROR(__xludf.DUMMYFUNCTION("GOOGLETRANSLATE(B14461, ""es"", ""en"")"),"The recommended product is very easy to use and clean. It is a joy to squeeze a whole orange and also the hurries well.")</f>
        <v>The recommended product is very easy to use and clean. It is a joy to squeeze a whole orange and also the hurries well.</v>
      </c>
    </row>
    <row r="14462">
      <c r="A14462" s="1">
        <v>5.0</v>
      </c>
      <c r="B14462" s="1" t="s">
        <v>14331</v>
      </c>
      <c r="C14462" t="str">
        <f>IFERROR(__xludf.DUMMYFUNCTION("GOOGLETRANSLATE(B14462, ""es"", ""en"")"),"Fast delivery received soon, very useful to clean the rails of the windows, quality and great price")</f>
        <v>Fast delivery received soon, very useful to clean the rails of the windows, quality and great price</v>
      </c>
    </row>
    <row r="14463">
      <c r="A14463" s="1">
        <v>5.0</v>
      </c>
      <c r="B14463" s="1" t="s">
        <v>14332</v>
      </c>
      <c r="C14463" t="str">
        <f>IFERROR(__xludf.DUMMYFUNCTION("GOOGLETRANSLATE(B14463, ""es"", ""en"")"),"Very good very good and very happy. They seem much more expensive they are and are super comfortable")</f>
        <v>Very good very good and very happy. They seem much more expensive they are and are super comfortable</v>
      </c>
    </row>
    <row r="14464">
      <c r="A14464" s="1">
        <v>5.0</v>
      </c>
      <c r="B14464" s="1" t="s">
        <v>14333</v>
      </c>
      <c r="C14464" t="str">
        <f>IFERROR(__xludf.DUMMYFUNCTION("GOOGLETRANSLATE(B14464, ""es"", ""en"")"),"A good watch for the day to day is a good choice for everyday, versatile and with an incredible price / quality (I bought it for 25 + 10 €). It's as seen in the photo, although pleasantly surprised a little bigger than I imagined. Among the things I like "&amp;"to watch highlight being recharged solar, with good resistance to water (for the price you have), and the customization possibilities are interesting (possibility to mute buttons, change the language or duration of the light). What I dislike about these w"&amp;"atches with plastic sphere it is that they have an incredible capacity of attraction for all kinds of objects, thus hitting and just rallándose. Time will tell if the sphere is more or less resistant to scratches. In any case, it must be said that the are"&amp;"a is sufficiently protected by the plastic edge projecting covering the entire sphere.")</f>
        <v>A good watch for the day to day is a good choice for everyday, versatile and with an incredible price / quality (I bought it for 25 + 10 €). It's as seen in the photo, although pleasantly surprised a little bigger than I imagined. Among the things I like to watch highlight being recharged solar, with good resistance to water (for the price you have), and the customization possibilities are interesting (possibility to mute buttons, change the language or duration of the light). What I dislike about these watches with plastic sphere it is that they have an incredible capacity of attraction for all kinds of objects, thus hitting and just rallándose. Time will tell if the sphere is more or less resistant to scratches. In any case, it must be said that the area is sufficiently protected by the plastic edge projecting covering the entire sphere.</v>
      </c>
    </row>
    <row r="14465">
      <c r="A14465" s="1">
        <v>5.0</v>
      </c>
      <c r="B14465" s="1" t="s">
        <v>14334</v>
      </c>
      <c r="C14465" t="str">
        <f>IFERROR(__xludf.DUMMYFUNCTION("GOOGLETRANSLATE(B14465, ""es"", ""en"")"),"I am delighted with them carve well, they are very comfortable. I use them almost every day to work and I'm delighted.")</f>
        <v>I am delighted with them carve well, they are very comfortable. I use them almost every day to work and I'm delighted.</v>
      </c>
    </row>
    <row r="14466">
      <c r="A14466" s="1">
        <v>5.0</v>
      </c>
      <c r="B14466" s="1" t="s">
        <v>14335</v>
      </c>
      <c r="C14466" t="str">
        <f>IFERROR(__xludf.DUMMYFUNCTION("GOOGLETRANSLATE(B14466, ""es"", ""en"")"),"Very good shoes Transportation has quickly arrived at the scheduled time. Very good quality shoe ... Very happy")</f>
        <v>Very good shoes Transportation has quickly arrived at the scheduled time. Very good quality shoe ... Very happy</v>
      </c>
    </row>
    <row r="14467">
      <c r="A14467" s="1">
        <v>5.0</v>
      </c>
      <c r="B14467" s="1" t="s">
        <v>14336</v>
      </c>
      <c r="C14467" t="str">
        <f>IFERROR(__xludf.DUMMYFUNCTION("GOOGLETRANSLATE(B14467, ""es"", ""en"")"),"Good and fast Product correct and received soon")</f>
        <v>Good and fast Product correct and received soon</v>
      </c>
    </row>
    <row r="14468">
      <c r="A14468" s="1">
        <v>5.0</v>
      </c>
      <c r="B14468" s="1" t="s">
        <v>14337</v>
      </c>
      <c r="C14468" t="str">
        <f>IFERROR(__xludf.DUMMYFUNCTION("GOOGLETRANSLATE(B14468, ""es"", ""en"")"),"Good good pendrive pendrive at a better price. Little can be said of a USB drive, SanDisk uses memories of very good quality, a pioneering brand that has long been in the market due to its quality. This unit is relatively small, but very manageable, and w"&amp;"orks fine on USB 2.0 and 3.0 ports, although, of course, writing ability is significantly lower when connected to a 2.0.")</f>
        <v>Good good pendrive pendrive at a better price. Little can be said of a USB drive, SanDisk uses memories of very good quality, a pioneering brand that has long been in the market due to its quality. This unit is relatively small, but very manageable, and works fine on USB 2.0 and 3.0 ports, although, of course, writing ability is significantly lower when connected to a 2.0.</v>
      </c>
    </row>
    <row r="14469">
      <c r="A14469" s="1">
        <v>5.0</v>
      </c>
      <c r="B14469" s="1" t="s">
        <v>14338</v>
      </c>
      <c r="C14469" t="str">
        <f>IFERROR(__xludf.DUMMYFUNCTION("GOOGLETRANSLATE(B14469, ""es"", ""en"")"),"I was surprised highly recommended wine quality and on time. He is bringing tools to mount great.")</f>
        <v>I was surprised highly recommended wine quality and on time. He is bringing tools to mount great.</v>
      </c>
    </row>
    <row r="14470">
      <c r="A14470" s="1">
        <v>5.0</v>
      </c>
      <c r="B14470" s="1" t="s">
        <v>14339</v>
      </c>
      <c r="C14470" t="str">
        <f>IFERROR(__xludf.DUMMYFUNCTION("GOOGLETRANSLATE(B14470, ""es"", ""en"")"),"To me that you can fasten well. This chain is very beautiful. .La l.levo p'recisamente now, and has not cost me anything abrochármela.Voy to see if I find a similar pair. Thank you for making the hook a little wider. You are about artists. Thank you very "&amp;"much. Floreta7")</f>
        <v>To me that you can fasten well. This chain is very beautiful. .La l.levo p'recisamente now, and has not cost me anything abrochármela.Voy to see if I find a similar pair. Thank you for making the hook a little wider. You are about artists. Thank you very much. Floreta7</v>
      </c>
    </row>
    <row r="14471">
      <c r="A14471" s="1">
        <v>5.0</v>
      </c>
      <c r="B14471" s="1" t="s">
        <v>238</v>
      </c>
      <c r="C14471" t="str">
        <f>IFERROR(__xludf.DUMMYFUNCTION("GOOGLETRANSLATE(B14471, ""es"", ""en"")"),"perfect perfect")</f>
        <v>perfect perfect</v>
      </c>
    </row>
    <row r="14472">
      <c r="A14472" s="1">
        <v>5.0</v>
      </c>
      <c r="B14472" s="1" t="s">
        <v>14340</v>
      </c>
      <c r="C14472" t="str">
        <f>IFERROR(__xludf.DUMMYFUNCTION("GOOGLETRANSLATE(B14472, ""es"", ""en"")"),"Perfect is the second time we buy the same model. Buenisima value for money.")</f>
        <v>Perfect is the second time we buy the same model. Buenisima value for money.</v>
      </c>
    </row>
    <row r="14473">
      <c r="A14473" s="1">
        <v>5.0</v>
      </c>
      <c r="B14473" s="1" t="s">
        <v>14341</v>
      </c>
      <c r="C14473" t="str">
        <f>IFERROR(__xludf.DUMMYFUNCTION("GOOGLETRANSLATE(B14473, ""es"", ""en"")"),"Fantastic Fantastic! The water is heated quickly, it automatically turns off when it reaches the appropriate temperature and only needs to have the soluble coffee or infusions for warmth in a jiffy without noise microwave.")</f>
        <v>Fantastic Fantastic! The water is heated quickly, it automatically turns off when it reaches the appropriate temperature and only needs to have the soluble coffee or infusions for warmth in a jiffy without noise microwave.</v>
      </c>
    </row>
    <row r="14474">
      <c r="A14474" s="1">
        <v>5.0</v>
      </c>
      <c r="B14474" s="1" t="s">
        <v>14342</v>
      </c>
      <c r="C14474" t="str">
        <f>IFERROR(__xludf.DUMMYFUNCTION("GOOGLETRANSLATE(B14474, ""es"", ""en"")"),"Verbatim have always relied on this brand and has never let me down. Quality and speed recording. I use it to deliver jobs to customers weddings, communions and events. Recommended hundred percent. In addition, a very good price")</f>
        <v>Verbatim have always relied on this brand and has never let me down. Quality and speed recording. I use it to deliver jobs to customers weddings, communions and events. Recommended hundred percent. In addition, a very good price</v>
      </c>
    </row>
    <row r="14475">
      <c r="A14475" s="1">
        <v>5.0</v>
      </c>
      <c r="B14475" s="1" t="s">
        <v>14343</v>
      </c>
      <c r="C14475" t="str">
        <f>IFERROR(__xludf.DUMMYFUNCTION("GOOGLETRANSLATE(B14475, ""es"", ""en"")"),"The size are totally satisfied perfect and look good ah quality ratio quality / price highly recommendable")</f>
        <v>The size are totally satisfied perfect and look good ah quality ratio quality / price highly recommendable</v>
      </c>
    </row>
    <row r="14476">
      <c r="A14476" s="1">
        <v>5.0</v>
      </c>
      <c r="B14476" s="1" t="s">
        <v>14344</v>
      </c>
      <c r="C14476" t="str">
        <f>IFERROR(__xludf.DUMMYFUNCTION("GOOGLETRANSLATE(B14476, ""es"", ""en"")"),"""Retro"" style but very versatile and technology ""tip"" &lt;div id = ""video-block-R3QTNT21HU7SW0"" class = ""a-section a-spacing-small a-spacing-top mini video-block""&gt; &lt;/ div &gt; &lt;input type = ""hidden"" name = """" value = ""https://images-eu.ssl-images-a"&amp;"mazon.com/images/I/B1Dj+JG0wYS.mp4"" class = ""video-url""&gt; &lt; input type = ""hidden"" name = """" value = ""https://images-eu.ssl-images-amazon.com/images/I/A1j1qU8k7AS.png"" class = ""video-slate-img-url""&gt; &amp; nbsp ; a kettle is indispensable in my kitche"&amp;"n because at home we are fond of tea and other teas. It serves also to have boiling water handy when the culinary situation requires. For example, if the rice or vegetables that are cooked are about to run out of water, add boiling water does not stop coo"&amp;"king. And in this case, the speed with which the kettle boils water makes it more practical to have boiling water in a saucepan just in case. This kettle has a ""retro"" style but features cutting-edge technology because it is very fast. And besides, the "&amp;"design and color (white) looks great in any kitchen. The kettle has a temperature gauge so that we can stop boiling when the indicator reaches the temperature suitable for what we want to prepare (for example, and indicative way 80º suggested for a green "&amp;"tea, 90 for black leaf tea small, 95º for some types of pu erh, etc.). Of course, as the temperature manually choose us, we must consider the INERTIA THERMAL of the kettle. That is, turn it off just before it reaches the desired temperature. It is a matte"&amp;"r of trial and error because the thermal inertia depends on the amount of water we have placed. Both the body of the kettle and lid are stainless steel. The body of the kettle is enameled in white. The ASA is plastic, rubber lined, both heat resistant mat"&amp;"erials. It has a weight of about 950 g. As its base is rotatable and ergonomic handle is easy to grip and whether diestr as if you're @ @ Lefty, the kettle is very easy to handle. As the cover is removed completely, we must be careful not to fall to the g"&amp;"round because it could dent. Accommodates 1.7L, but has a ""FAST BOILING ZONE"" with a red indicator for 1, 2 or 3 cups. Although signs say boiling a cup of water in 55 seconds, in my experience, the time it takes is about 60-70 seconds. But this variatio"&amp;"n depends on the temperature at which water we put previously. We have a pitcher that filters the water, and is ""room temperature"". Thanks to 2400 W of power, the 1.7 L boiling water in about 5 minutes and a half. In addition to the indicator of 1, 2 an"&amp;"d 3 cups, also it has a viewer that allows us to see the OF WATER LEVEL the boiler, while the visor is placed in front of the handle and that, in my opinion, a bit difficult to see the level of the water. The display has some indications of the amount of "&amp;"water which are in liters. FILTER has a practical ANTICAL, which is removable and washable. However, occasionally it is necessary to use a limescale to clean the inside of the kettle (so life is extended). The filter is removed with relative ease, but it "&amp;"costs a bit putting it back into place. It does proficiently requires some practice. It starts by a lever on the bottom of the kettle. When it starts, it also lights a red LED. If you do not turn off before because it has reached the desired temperature, "&amp;"the boiler automatically shuts off when the water starts to boil and has boiled dry protection, for if ever someone inadvertently gives the power button. When pouring water, it does well, without spilling a single drop. And the lid remains firmly closed e"&amp;"ven put the kettle upside down. The cable can be picked up at your base, which is very handy when storing. The only thing to consider is that only measures 60 cm. It seems to me a little short so that it can pick up well in the recogecables, but hey, that"&amp;"'s a problem for me. It is important to note that this is a kettle only for water. They can not be heated in other liquids because they spoil. Does not have a function to keep hot water once it has boiled, the water cools slowly. As expected, to the being"&amp;" of stainless steel, the outside of the kettle becomes hot so when the water has boiled must be careful and catch the handle not to burn. &amp; Gt; &amp; gt; &amp; gt; CONCLUSION &amp; gt; &amp; gt; &amp; gt; This is a kettle with a stylish retro design and practical recogecable"&amp;"s at its base. Boil water faster than other boilers with the same capacity and has two advantages over other similar kettles: You can heat water for only one, two or three cups and you can select the temperature at which you want the water, which makes th"&amp;"is kettle Very versatile. The price / quality ratio is very good considering that besides quality, you pay for the design.")</f>
        <v>"Retro" style but very versatile and technology "tip" &lt;div id = "video-block-R3QTNT21HU7SW0" class = "a-section a-spacing-small a-spacing-top mini video-block"&gt; &lt;/ div &gt; &lt;input type = "hidden" name = "" value = "https://images-eu.ssl-images-amazon.com/images/I/B1Dj+JG0wYS.mp4" class = "video-url"&gt; &lt; input type = "hidden" name = "" value = "https://images-eu.ssl-images-amazon.com/images/I/A1j1qU8k7AS.png" class = "video-slate-img-url"&gt; &amp; nbsp ; a kettle is indispensable in my kitchen because at home we are fond of tea and other teas. It serves also to have boiling water handy when the culinary situation requires. For example, if the rice or vegetables that are cooked are about to run out of water, add boiling water does not stop cooking. And in this case, the speed with which the kettle boils water makes it more practical to have boiling water in a saucepan just in case. This kettle has a "retro" style but features cutting-edge technology because it is very fast. And besides, the design and color (white) looks great in any kitchen. The kettle has a temperature gauge so that we can stop boiling when the indicator reaches the temperature suitable for what we want to prepare (for example, and indicative way 80º suggested for a green tea, 90 for black leaf tea small, 95º for some types of pu erh, etc.). Of course, as the temperature manually choose us, we must consider the INERTIA THERMAL of the kettle. That is, turn it off just before it reaches the desired temperature. It is a matter of trial and error because the thermal inertia depends on the amount of water we have placed. Both the body of the kettle and lid are stainless steel. The body of the kettle is enameled in white. The ASA is plastic, rubber lined, both heat resistant materials. It has a weight of about 950 g. As its base is rotatable and ergonomic handle is easy to grip and whether diestr as if you're @ @ Lefty, the kettle is very easy to handle. As the cover is removed completely, we must be careful not to fall to the ground because it could dent. Accommodates 1.7L, but has a "FAST BOILING ZONE" with a red indicator for 1, 2 or 3 cups. Although signs say boiling a cup of water in 55 seconds, in my experience, the time it takes is about 60-70 seconds. But this variation depends on the temperature at which water we put previously. We have a pitcher that filters the water, and is "room temperature". Thanks to 2400 W of power, the 1.7 L boiling water in about 5 minutes and a half. In addition to the indicator of 1, 2 and 3 cups, also it has a viewer that allows us to see the OF WATER LEVEL the boiler, while the visor is placed in front of the handle and that, in my opinion, a bit difficult to see the level of the water. The display has some indications of the amount of water which are in liters. FILTER has a practical ANTICAL, which is removable and washable. However, occasionally it is necessary to use a limescale to clean the inside of the kettle (so life is extended). The filter is removed with relative ease, but it costs a bit putting it back into place. It does proficiently requires some practice. It starts by a lever on the bottom of the kettle. When it starts, it also lights a red LED. If you do not turn off before because it has reached the desired temperature, the boiler automatically shuts off when the water starts to boil and has boiled dry protection, for if ever someone inadvertently gives the power button. When pouring water, it does well, without spilling a single drop. And the lid remains firmly closed even put the kettle upside down. The cable can be picked up at your base, which is very handy when storing. The only thing to consider is that only measures 60 cm. It seems to me a little short so that it can pick up well in the recogecables, but hey, that's a problem for me. It is important to note that this is a kettle only for water. They can not be heated in other liquids because they spoil. Does not have a function to keep hot water once it has boiled, the water cools slowly. As expected, to the being of stainless steel, the outside of the kettle becomes hot so when the water has boiled must be careful and catch the handle not to burn. &amp; Gt; &amp; gt; &amp; gt; CONCLUSION &amp; gt; &amp; gt; &amp; gt; This is a kettle with a stylish retro design and practical recogecables at its base. Boil water faster than other boilers with the same capacity and has two advantages over other similar kettles: You can heat water for only one, two or three cups and you can select the temperature at which you want the water, which makes this kettle Very versatile. The price / quality ratio is very good considering that besides quality, you pay for the design.</v>
      </c>
    </row>
    <row r="14477">
      <c r="A14477" s="1">
        <v>5.0</v>
      </c>
      <c r="B14477" s="1" t="s">
        <v>14345</v>
      </c>
      <c r="C14477" t="str">
        <f>IFERROR(__xludf.DUMMYFUNCTION("GOOGLETRANSLATE(B14477, ""es"", ""en"")"),"Piece clock. Very handsome watch is a little big but nothing takes away a couple of links and up. I recommend it.")</f>
        <v>Piece clock. Very handsome watch is a little big but nothing takes away a couple of links and up. I recommend it.</v>
      </c>
    </row>
    <row r="14478">
      <c r="A14478" s="1">
        <v>2.0</v>
      </c>
      <c r="B14478" s="1" t="s">
        <v>14346</v>
      </c>
      <c r="C14478" t="str">
        <f>IFERROR(__xludf.DUMMYFUNCTION("GOOGLETRANSLATE(B14478, ""es"", ""en"")"),"..... I like that heats and maintains the temperature, I do not like that every time you set aside the rockrose base is not memorized and you have to reprogram")</f>
        <v>..... I like that heats and maintains the temperature, I do not like that every time you set aside the rockrose base is not memorized and you have to reprogram</v>
      </c>
    </row>
    <row r="14479">
      <c r="A14479" s="1">
        <v>3.0</v>
      </c>
      <c r="B14479" s="1" t="s">
        <v>14347</v>
      </c>
      <c r="C14479" t="str">
        <f>IFERROR(__xludf.DUMMYFUNCTION("GOOGLETRANSLATE(B14479, ""es"", ""en"")"),"It's not as fast as it says in the details does not have the speed it says in the description but it has much less. which it is still good but do not be fooled. image attached speeds but is an approach that does not always give the same speed (I did not b"&amp;"e doing any other activity computer)")</f>
        <v>It's not as fast as it says in the details does not have the speed it says in the description but it has much less. which it is still good but do not be fooled. image attached speeds but is an approach that does not always give the same speed (I did not be doing any other activity computer)</v>
      </c>
    </row>
    <row r="14480">
      <c r="A14480" s="1">
        <v>3.0</v>
      </c>
      <c r="B14480" s="1" t="s">
        <v>14348</v>
      </c>
      <c r="C14480" t="str">
        <f>IFERROR(__xludf.DUMMYFUNCTION("GOOGLETRANSLATE(B14480, ""es"", ""en"")"),"Gift Size a little big, I ordered a size 38 for someone who uses that size would stay a little big.")</f>
        <v>Gift Size a little big, I ordered a size 38 for someone who uses that size would stay a little big.</v>
      </c>
    </row>
    <row r="14481">
      <c r="A14481" s="1">
        <v>3.0</v>
      </c>
      <c r="B14481" s="1" t="s">
        <v>14349</v>
      </c>
      <c r="C14481" t="str">
        <f>IFERROR(__xludf.DUMMYFUNCTION("GOOGLETRANSLATE(B14481, ""es"", ""en"")"),"USB 3.1 and metal, but writing a little slow ... ☆☆☆☆☆ ☆☆☆☆☆ Metal USB 3.1 ☆☆☆☆ 300MB / s read ☆ Only 50MB / s write (very clever those SAMSUNG not put it in the especificicaciones)")</f>
        <v>USB 3.1 and metal, but writing a little slow ... ☆☆☆☆☆ ☆☆☆☆☆ Metal USB 3.1 ☆☆☆☆ 300MB / s read ☆ Only 50MB / s write (very clever those SAMSUNG not put it in the especificicaciones)</v>
      </c>
    </row>
    <row r="14482">
      <c r="A14482" s="1">
        <v>1.0</v>
      </c>
      <c r="B14482" s="1" t="s">
        <v>14350</v>
      </c>
      <c r="C14482" t="str">
        <f>IFERROR(__xludf.DUMMYFUNCTION("GOOGLETRANSLATE(B14482, ""es"", ""en"")"),"In this article, I do not feel swindled noticed the smell or anything.")</f>
        <v>In this article, I do not feel swindled noticed the smell or anything.</v>
      </c>
    </row>
    <row r="14483">
      <c r="A14483" s="1">
        <v>1.0</v>
      </c>
      <c r="B14483" s="1" t="s">
        <v>14351</v>
      </c>
      <c r="C14483" t="str">
        <f>IFERROR(__xludf.DUMMYFUNCTION("GOOGLETRANSLATE(B14483, ""es"", ""en"")"),"Sounds bad sound can not have good quality and gaves")</f>
        <v>Sounds bad sound can not have good quality and gaves</v>
      </c>
    </row>
    <row r="14484">
      <c r="A14484" s="1">
        <v>4.0</v>
      </c>
      <c r="B14484" s="1" t="s">
        <v>14352</v>
      </c>
      <c r="C14484" t="str">
        <f>IFERROR(__xludf.DUMMYFUNCTION("GOOGLETRANSLATE(B14484, ""es"", ""en"")"),"To protect you from the cold, snow, wind and water. Perfect for jogging mountain with snow and water. The sole gives you stability in areas with snow or mud. Warm and comfortable.")</f>
        <v>To protect you from the cold, snow, wind and water. Perfect for jogging mountain with snow and water. The sole gives you stability in areas with snow or mud. Warm and comfortable.</v>
      </c>
    </row>
    <row r="14485">
      <c r="A14485" s="1">
        <v>4.0</v>
      </c>
      <c r="B14485" s="1" t="s">
        <v>14353</v>
      </c>
      <c r="C14485" t="str">
        <f>IFERROR(__xludf.DUMMYFUNCTION("GOOGLETRANSLATE(B14485, ""es"", ""en"")"),"It seems perfect everyday use, a good price and quality acceptable, he used it daily.")</f>
        <v>It seems perfect everyday use, a good price and quality acceptable, he used it daily.</v>
      </c>
    </row>
    <row r="14486">
      <c r="A14486" s="1">
        <v>4.0</v>
      </c>
      <c r="B14486" s="1" t="s">
        <v>14354</v>
      </c>
      <c r="C14486" t="str">
        <f>IFERROR(__xludf.DUMMYFUNCTION("GOOGLETRANSLATE(B14486, ""es"", ""en"")"),"Good headphones serve their purpose, sound good. comfortable to the ear, for the price are right. Buy two and I do not regret")</f>
        <v>Good headphones serve their purpose, sound good. comfortable to the ear, for the price are right. Buy two and I do not regret</v>
      </c>
    </row>
    <row r="14487">
      <c r="A14487" s="1">
        <v>4.0</v>
      </c>
      <c r="B14487" s="1" t="s">
        <v>14355</v>
      </c>
      <c r="C14487" t="str">
        <f>IFERROR(__xludf.DUMMYFUNCTION("GOOGLETRANSLATE(B14487, ""es"", ""en"")"),"Contenta is fine for what it is, to make smoothies, ground seeds, nuts, shred vegetables and chop raw meat is not as you bite into butchers but it's okay to make amburgesas I chopped pork and beef into pieces no very big and doing it slowly so it stays co"&amp;"ol much the machine")</f>
        <v>Contenta is fine for what it is, to make smoothies, ground seeds, nuts, shred vegetables and chop raw meat is not as you bite into butchers but it's okay to make amburgesas I chopped pork and beef into pieces no very big and doing it slowly so it stays cool much the machine</v>
      </c>
    </row>
    <row r="14488">
      <c r="A14488" s="1">
        <v>5.0</v>
      </c>
      <c r="B14488" s="1" t="s">
        <v>14356</v>
      </c>
      <c r="C14488" t="str">
        <f>IFERROR(__xludf.DUMMYFUNCTION("GOOGLETRANSLATE(B14488, ""es"", ""en"")"),"Good good quality and usefulness")</f>
        <v>Good good quality and usefulness</v>
      </c>
    </row>
    <row r="14489">
      <c r="A14489" s="1">
        <v>5.0</v>
      </c>
      <c r="B14489" s="1" t="s">
        <v>14357</v>
      </c>
      <c r="C14489" t="str">
        <f>IFERROR(__xludf.DUMMYFUNCTION("GOOGLETRANSLATE(B14489, ""es"", ""en"")"),"Best value brand at a great price. I use it every wash, knowing that my washing machine will thank you. from here I use the detergent like soft water.")</f>
        <v>Best value brand at a great price. I use it every wash, knowing that my washing machine will thank you. from here I use the detergent like soft water.</v>
      </c>
    </row>
    <row r="14490">
      <c r="A14490" s="1">
        <v>5.0</v>
      </c>
      <c r="B14490" s="1" t="s">
        <v>14358</v>
      </c>
      <c r="C14490" t="str">
        <f>IFERROR(__xludf.DUMMYFUNCTION("GOOGLETRANSLATE(B14490, ""es"", ""en"")"),"As great quality photo ... great price !! Easy, fast and sencilla..muy good results with each of its vessels.")</f>
        <v>As great quality photo ... great price !! Easy, fast and sencilla..muy good results with each of its vessels.</v>
      </c>
    </row>
    <row r="14491">
      <c r="A14491" s="1">
        <v>5.0</v>
      </c>
      <c r="B14491" s="1" t="s">
        <v>14359</v>
      </c>
      <c r="C14491" t="str">
        <f>IFERROR(__xludf.DUMMYFUNCTION("GOOGLETRANSLATE(B14491, ""es"", ""en"")"),"Very elegant I bought for special occasions where I'm smarter, I really liked the steel strap in black color and the clock in gold I saw very elegant belt is quite strong, and it is precious, comes in a box with his security, cleaning cloth, strap and scr"&amp;"ewdriver, very complete and ideal gift, I will buy other models")</f>
        <v>Very elegant I bought for special occasions where I'm smarter, I really liked the steel strap in black color and the clock in gold I saw very elegant belt is quite strong, and it is precious, comes in a box with his security, cleaning cloth, strap and screwdriver, very complete and ideal gift, I will buy other models</v>
      </c>
    </row>
    <row r="14492">
      <c r="A14492" s="1">
        <v>5.0</v>
      </c>
      <c r="B14492" s="1" t="s">
        <v>14360</v>
      </c>
      <c r="C14492" t="str">
        <f>IFERROR(__xludf.DUMMYFUNCTION("GOOGLETRANSLATE(B14492, ""es"", ""en"")"),"Recommended Good manufacturing quality. Good performance. Good presentation. You can not ask for more for that price. I do not know the long-term quality but today would definitely recommend it.")</f>
        <v>Recommended Good manufacturing quality. Good performance. Good presentation. You can not ask for more for that price. I do not know the long-term quality but today would definitely recommend it.</v>
      </c>
    </row>
    <row r="14493">
      <c r="A14493" s="1">
        <v>5.0</v>
      </c>
      <c r="B14493" s="1" t="s">
        <v>14361</v>
      </c>
      <c r="C14493" t="str">
        <f>IFERROR(__xludf.DUMMYFUNCTION("GOOGLETRANSLATE(B14493, ""es"", ""en"")"),"Elegant. Good product. Too quiet. It works perfect. If you want a aroma diffuser, this works perfect. I like that integrates well with the furniture in my living room.")</f>
        <v>Elegant. Good product. Too quiet. It works perfect. If you want a aroma diffuser, this works perfect. I like that integrates well with the furniture in my living room.</v>
      </c>
    </row>
    <row r="14494">
      <c r="A14494" s="1">
        <v>5.0</v>
      </c>
      <c r="B14494" s="1" t="s">
        <v>14362</v>
      </c>
      <c r="C14494" t="str">
        <f>IFERROR(__xludf.DUMMYFUNCTION("GOOGLETRANSLATE(B14494, ""es"", ""en"")"),"All very comfortable right")</f>
        <v>All very comfortable right</v>
      </c>
    </row>
    <row r="14495">
      <c r="A14495" s="1">
        <v>5.0</v>
      </c>
      <c r="B14495" s="1" t="s">
        <v>14363</v>
      </c>
      <c r="C14495" t="str">
        <f>IFERROR(__xludf.DUMMYFUNCTION("GOOGLETRANSLATE(B14495, ""es"", ""en"")"),"Nothing to envy Headsets known brands that stand out for their good sound, ease of use, and quite reasonably priced for this type of headphones. The presentation is excellent in the white box with the case where two handsets are loaded, a cable for chargi"&amp;"ng said box, a silicone cases to put the headphones if desired (can be used with FUNDIT or not, which fits most comfortably in order to prevent them from falling). They pair up very easily. Similar headphones are much more complicated to match your stereo"&amp;" form, but do not give these problems, and the sound is pretty good. also brings a manual version in Spanish, which is perhaps the worst it brings, because the translation is improved, but the use of headphones is not complicated. I have also tried to tal"&amp;"k on the phone and both the reception and the emission is fantastic. I recommend it fully.")</f>
        <v>Nothing to envy Headsets known brands that stand out for their good sound, ease of use, and quite reasonably priced for this type of headphones. The presentation is excellent in the white box with the case where two handsets are loaded, a cable for charging said box, a silicone cases to put the headphones if desired (can be used with FUNDIT or not, which fits most comfortably in order to prevent them from falling). They pair up very easily. Similar headphones are much more complicated to match your stereo form, but do not give these problems, and the sound is pretty good. also brings a manual version in Spanish, which is perhaps the worst it brings, because the translation is improved, but the use of headphones is not complicated. I have also tried to talk on the phone and both the reception and the emission is fantastic. I recommend it fully.</v>
      </c>
    </row>
    <row r="14496">
      <c r="A14496" s="1">
        <v>5.0</v>
      </c>
      <c r="B14496" s="1" t="s">
        <v>14364</v>
      </c>
      <c r="C14496" t="str">
        <f>IFERROR(__xludf.DUMMYFUNCTION("GOOGLETRANSLATE(B14496, ""es"", ""en"")"),"CHARLY I have some of the 2006 War and continue to change no slippers. And if you want to use in winter with socks Genial👍🏼 100% Recommended")</f>
        <v>CHARLY I have some of the 2006 War and continue to change no slippers. And if you want to use in winter with socks Genial👍🏼 100% Recommended</v>
      </c>
    </row>
    <row r="14497">
      <c r="A14497" s="1">
        <v>5.0</v>
      </c>
      <c r="B14497" s="1" t="s">
        <v>14365</v>
      </c>
      <c r="C14497" t="str">
        <f>IFERROR(__xludf.DUMMYFUNCTION("GOOGLETRANSLATE(B14497, ""es"", ""en"")"),"Very good sound quality From the moment that I loved them and I tried not stopped using them. After one to two months of constant use and continued, still like the first day, and I can not conclude more than are the best headphones I've ever had. Are fair"&amp;"ly protected, first with a bag so that not the case, then the same case that protects them from damage. Apart from the headphones themselves are various accessories to anchor the area of ​​the micro to the neck and to bring the case subject anywhere with "&amp;"your down payment (you can see in the picture, do not know how you call that holddown). As I said, nothing more try I loved the sound quality with a ""simple"" headphones, because their quality is even higher than many headphones headset I've tried. They "&amp;"are perfect for listening to music and enjoy the sounds, because you can hear very well the tones in the headset typical bazaars are heard completely flat. Helmets material is very nice, very soft plastic, and still is not a material which is adhering dus"&amp;"t and dirt. I love that comes with a protective plug, although it is easy to lose if you do not remember where you left off, as happens to me, because it is tiny and transparent. Plastic headphones note itself is not shoddy; It is quite nice on the ear an"&amp;"d does no harm. For me they are perfect. And then there's the part of the micro, although it is something that does not use too much, always nice to have if I record anything on the computer or a phone call. also it has a volume control that helps a lot i"&amp;"f you do not have too much to hand the device you use. Also noteworthy is that between the end of the jack and where the wire begins visibly, has a kind of transparent holddown to protect the cable, which is helpful for those who often break the helmets o"&amp;"ut there. I said I love and adore, constantly use and hopefully I last long because it was a great buy.")</f>
        <v>Very good sound quality From the moment that I loved them and I tried not stopped using them. After one to two months of constant use and continued, still like the first day, and I can not conclude more than are the best headphones I've ever had. Are fairly protected, first with a bag so that not the case, then the same case that protects them from damage. Apart from the headphones themselves are various accessories to anchor the area of ​​the micro to the neck and to bring the case subject anywhere with your down payment (you can see in the picture, do not know how you call that holddown). As I said, nothing more try I loved the sound quality with a "simple" headphones, because their quality is even higher than many headphones headset I've tried. They are perfect for listening to music and enjoy the sounds, because you can hear very well the tones in the headset typical bazaars are heard completely flat. Helmets material is very nice, very soft plastic, and still is not a material which is adhering dust and dirt. I love that comes with a protective plug, although it is easy to lose if you do not remember where you left off, as happens to me, because it is tiny and transparent. Plastic headphones note itself is not shoddy; It is quite nice on the ear and does no harm. For me they are perfect. And then there's the part of the micro, although it is something that does not use too much, always nice to have if I record anything on the computer or a phone call. also it has a volume control that helps a lot if you do not have too much to hand the device you use. Also noteworthy is that between the end of the jack and where the wire begins visibly, has a kind of transparent holddown to protect the cable, which is helpful for those who often break the helmets out there. I said I love and adore, constantly use and hopefully I last long because it was a great buy.</v>
      </c>
    </row>
    <row r="14498">
      <c r="A14498" s="1">
        <v>5.0</v>
      </c>
      <c r="B14498" s="1" t="s">
        <v>14366</v>
      </c>
      <c r="C14498" t="str">
        <f>IFERROR(__xludf.DUMMYFUNCTION("GOOGLETRANSLATE(B14498, ""es"", ""en"")"),"DYMO tape cartridges made me lack of dymo and saw that they were good price yaproveché to order them, have now found that although compatible are good")</f>
        <v>DYMO tape cartridges made me lack of dymo and saw that they were good price yaproveché to order them, have now found that although compatible are good</v>
      </c>
    </row>
    <row r="14499">
      <c r="A14499" s="1">
        <v>5.0</v>
      </c>
      <c r="B14499" s="1" t="s">
        <v>14367</v>
      </c>
      <c r="C14499" t="str">
        <f>IFERROR(__xludf.DUMMYFUNCTION("GOOGLETRANSLATE(B14499, ""es"", ""en"")"),"Tranquility with the product is very fast and compatible with my car (all I had were not compatible)")</f>
        <v>Tranquility with the product is very fast and compatible with my car (all I had were not compatible)</v>
      </c>
    </row>
    <row r="14500">
      <c r="A14500" s="1">
        <v>5.0</v>
      </c>
      <c r="B14500" s="1" t="s">
        <v>14368</v>
      </c>
      <c r="C14500" t="str">
        <f>IFERROR(__xludf.DUMMYFUNCTION("GOOGLETRANSLATE(B14500, ""es"", ""en"")"),"Great Very nice design with mirror effect with the usual quality of Casio")</f>
        <v>Great Very nice design with mirror effect with the usual quality of Casio</v>
      </c>
    </row>
    <row r="14501">
      <c r="A14501" s="1">
        <v>5.0</v>
      </c>
      <c r="B14501" s="1" t="s">
        <v>14369</v>
      </c>
      <c r="C14501" t="str">
        <f>IFERROR(__xludf.DUMMYFUNCTION("GOOGLETRANSLATE(B14501, ""es"", ""en"")"),"Few Boots are very good how are you, I've bought because the lasting many years wearing them enough. I recommend them.")</f>
        <v>Few Boots are very good how are you, I've bought because the lasting many years wearing them enough. I recommend them.</v>
      </c>
    </row>
    <row r="14502">
      <c r="A14502" s="1">
        <v>5.0</v>
      </c>
      <c r="B14502" s="1" t="s">
        <v>14370</v>
      </c>
      <c r="C14502" t="str">
        <f>IFERROR(__xludf.DUMMYFUNCTION("GOOGLETRANSLATE(B14502, ""es"", ""en"")"),"Lycra quality. M size is quite complete. As size 38/40 approx. The colors are beautiful, as in the photo. I feel very good buy. Lycra quality.")</f>
        <v>Lycra quality. M size is quite complete. As size 38/40 approx. The colors are beautiful, as in the photo. I feel very good buy. Lycra quality.</v>
      </c>
    </row>
    <row r="14503">
      <c r="A14503" s="1">
        <v>5.0</v>
      </c>
      <c r="B14503" s="1" t="s">
        <v>14371</v>
      </c>
      <c r="C14503" t="str">
        <f>IFERROR(__xludf.DUMMYFUNCTION("GOOGLETRANSLATE(B14503, ""es"", ""en"")"),"Comfortable and stylish shoes do not weigh very comfortable design I liked. A black being all are very elegant")</f>
        <v>Comfortable and stylish shoes do not weigh very comfortable design I liked. A black being all are very elegant</v>
      </c>
    </row>
    <row r="14504">
      <c r="A14504" s="1">
        <v>5.0</v>
      </c>
      <c r="B14504" s="1" t="s">
        <v>14372</v>
      </c>
      <c r="C14504" t="str">
        <f>IFERROR(__xludf.DUMMYFUNCTION("GOOGLETRANSLATE(B14504, ""es"", ""en"")"),"SUPER !!!! We were very pleasantly surprised, good sound quality and very comfortable. A purchase I am very satisfied")</f>
        <v>SUPER !!!! We were very pleasantly surprised, good sound quality and very comfortable. A purchase I am very satisfied</v>
      </c>
    </row>
    <row r="14505">
      <c r="A14505" s="1">
        <v>5.0</v>
      </c>
      <c r="B14505" s="1" t="s">
        <v>14373</v>
      </c>
      <c r="C14505" t="str">
        <f>IFERROR(__xludf.DUMMYFUNCTION("GOOGLETRANSLATE(B14505, ""es"", ""en"")"),"Its usefulness and quality of sounds, plus its good price. First q anything good logistics to highlight the Amazon, fast and alternate delivery if you're not at home. Regarding Article I liked pq is not bulky and is disc-shaped. I started to operationaliz"&amp;"e the q options you have. FM put the scan station and within two minutes I memorize 46 stations. The theme of sounds to wake a total of 7 over the radio, very good, soothing sounds and sound quality for the size of the speaker. 2 types of piano, murmur of"&amp;" the sea, a creek, birds, etc. It has two alarms to put one weekday and one for weekend. Light can be programmed to achieve intensity want q q so if you want an intermediate intensity, there happens not gradually turning up to the light you have preset q."&amp;" The sound level of sounds tb could be adjusted, for q have a fine ear of q so do not mind who you have on the side apart from q 7 sounds are all very nice and I repeat q quality is very good for speaker size. More things ... Ah, sleep mode, has adjustabl"&amp;"e q times for light or music will decrease until disappearing, can produce an effect of sleep helps relax q. The color of the light progresses from red to white and vice versa, could choose a color prefijado.No if I leave something. But he has deserved th"&amp;"e 5 star for quality, functionality, ease of use, especially if good price. It is a very good option to give to others, for their good utility.")</f>
        <v>Its usefulness and quality of sounds, plus its good price. First q anything good logistics to highlight the Amazon, fast and alternate delivery if you're not at home. Regarding Article I liked pq is not bulky and is disc-shaped. I started to operationalize the q options you have. FM put the scan station and within two minutes I memorize 46 stations. The theme of sounds to wake a total of 7 over the radio, very good, soothing sounds and sound quality for the size of the speaker. 2 types of piano, murmur of the sea, a creek, birds, etc. It has two alarms to put one weekday and one for weekend. Light can be programmed to achieve intensity want q q so if you want an intermediate intensity, there happens not gradually turning up to the light you have preset q. The sound level of sounds tb could be adjusted, for q have a fine ear of q so do not mind who you have on the side apart from q 7 sounds are all very nice and I repeat q quality is very good for speaker size. More things ... Ah, sleep mode, has adjustable q times for light or music will decrease until disappearing, can produce an effect of sleep helps relax q. The color of the light progresses from red to white and vice versa, could choose a color prefijado.No if I leave something. But he has deserved the 5 star for quality, functionality, ease of use, especially if good price. It is a very good option to give to others, for their good utility.</v>
      </c>
    </row>
    <row r="14506">
      <c r="A14506" s="1">
        <v>5.0</v>
      </c>
      <c r="B14506" s="1" t="s">
        <v>14374</v>
      </c>
      <c r="C14506" t="str">
        <f>IFERROR(__xludf.DUMMYFUNCTION("GOOGLETRANSLATE(B14506, ""es"", ""en"")"),"GOOD Good product")</f>
        <v>GOOD Good product</v>
      </c>
    </row>
    <row r="14507">
      <c r="A14507" s="1">
        <v>2.0</v>
      </c>
      <c r="B14507" s="1" t="s">
        <v>14375</v>
      </c>
      <c r="C14507" t="str">
        <f>IFERROR(__xludf.DUMMYFUNCTION("GOOGLETRANSLATE(B14507, ""es"", ""en"")"),"little speed as e been connected to a USB 2.0 port and the maximum speed reached is no more than 20 to 30 mg per second but it did and had connected to a USB 3.0 and why it believed it faster not what I see very slow, I want to take me to see a technician"&amp;" to see if it is original or not I see very little speed no longer will comment")</f>
        <v>little speed as e been connected to a USB 2.0 port and the maximum speed reached is no more than 20 to 30 mg per second but it did and had connected to a USB 3.0 and why it believed it faster not what I see very slow, I want to take me to see a technician to see if it is original or not I see very little speed no longer will comment</v>
      </c>
    </row>
    <row r="14508">
      <c r="A14508" s="1">
        <v>3.0</v>
      </c>
      <c r="B14508" s="1" t="s">
        <v>14376</v>
      </c>
      <c r="C14508" t="str">
        <f>IFERROR(__xludf.DUMMYFUNCTION("GOOGLETRANSLATE(B14508, ""es"", ""en"")"),"Regular Diameter well but got splattered")</f>
        <v>Regular Diameter well but got splattered</v>
      </c>
    </row>
    <row r="14509">
      <c r="A14509" s="1">
        <v>1.0</v>
      </c>
      <c r="B14509" s="1" t="s">
        <v>14377</v>
      </c>
      <c r="C14509" t="str">
        <f>IFERROR(__xludf.DUMMYFUNCTION("GOOGLETRANSLATE(B14509, ""es"", ""en"")"),"In two months the sole unstuck! After two months of use has taken off the sole starting with the toe ... The boots themselves are nice and comfortable but the finishes are of poor quality")</f>
        <v>In two months the sole unstuck! After two months of use has taken off the sole starting with the toe ... The boots themselves are nice and comfortable but the finishes are of poor quality</v>
      </c>
    </row>
    <row r="14510">
      <c r="A14510" s="1">
        <v>1.0</v>
      </c>
      <c r="B14510" s="1" t="s">
        <v>14378</v>
      </c>
      <c r="C14510" t="str">
        <f>IFERROR(__xludf.DUMMYFUNCTION("GOOGLETRANSLATE(B14510, ""es"", ""en"")"),"Without original box The shoes themselves are not bad but coming in a white box without a distinctive ensure that the product is original. A priori the only thing guaranteed to be original is the price (similar or identical to the one offered in other spo"&amp;"rts shops if you ensure that they are original).")</f>
        <v>Without original box The shoes themselves are not bad but coming in a white box without a distinctive ensure that the product is original. A priori the only thing guaranteed to be original is the price (similar or identical to the one offered in other sports shops if you ensure that they are original).</v>
      </c>
    </row>
    <row r="14511">
      <c r="A14511" s="1">
        <v>4.0</v>
      </c>
      <c r="B14511" s="1" t="s">
        <v>14379</v>
      </c>
      <c r="C14511" t="str">
        <f>IFERROR(__xludf.DUMMYFUNCTION("GOOGLETRANSLATE(B14511, ""es"", ""en"")"),"Very good Good quality at a reduced price.")</f>
        <v>Very good Good quality at a reduced price.</v>
      </c>
    </row>
    <row r="14512">
      <c r="A14512" s="1">
        <v>4.0</v>
      </c>
      <c r="B14512" s="1" t="s">
        <v>14380</v>
      </c>
      <c r="C14512" t="str">
        <f>IFERROR(__xludf.DUMMYFUNCTION("GOOGLETRANSLATE(B14512, ""es"", ""en"")"),"but it comes too perfect quality Quality is very good, but when I tried echo OCPS cereals and being too liquid, chokes La Niña since leaving too")</f>
        <v>but it comes too perfect quality Quality is very good, but when I tried echo OCPS cereals and being too liquid, chokes La Niña since leaving too</v>
      </c>
    </row>
    <row r="14513">
      <c r="A14513" s="1">
        <v>4.0</v>
      </c>
      <c r="B14513" s="1" t="s">
        <v>14381</v>
      </c>
      <c r="C14513" t="str">
        <f>IFERROR(__xludf.DUMMYFUNCTION("GOOGLETRANSLATE(B14513, ""es"", ""en"")"),"Contenta adequate for what we wanted")</f>
        <v>Contenta adequate for what we wanted</v>
      </c>
    </row>
    <row r="14514">
      <c r="A14514" s="1">
        <v>4.0</v>
      </c>
      <c r="B14514" s="1" t="s">
        <v>14382</v>
      </c>
      <c r="C14514" t="str">
        <f>IFERROR(__xludf.DUMMYFUNCTION("GOOGLETRANSLATE(B14514, ""es"", ""en"")"),"Battle Watch casio watch as the article describes, you may be required not so much because of its price, is what I expected, recommended.")</f>
        <v>Battle Watch casio watch as the article describes, you may be required not so much because of its price, is what I expected, recommended.</v>
      </c>
    </row>
    <row r="14515">
      <c r="A14515" s="1">
        <v>4.0</v>
      </c>
      <c r="B14515" s="1" t="s">
        <v>14383</v>
      </c>
      <c r="C14515" t="str">
        <f>IFERROR(__xludf.DUMMYFUNCTION("GOOGLETRANSLATE(B14515, ""es"", ""en"")"),"I like drawers, qbque will have to try again, good looks and beautiful, as in the picture")</f>
        <v>I like drawers, qbque will have to try again, good looks and beautiful, as in the picture</v>
      </c>
    </row>
    <row r="14516">
      <c r="A14516" s="1">
        <v>5.0</v>
      </c>
      <c r="B14516" s="1" t="s">
        <v>14384</v>
      </c>
      <c r="C14516" t="str">
        <f>IFERROR(__xludf.DUMMYFUNCTION("GOOGLETRANSLATE(B14516, ""es"", ""en"")"),"José Luis Rodríguez is nicer to natural that seen in the images. Comfortable and very light. The sapphire crystal is cleaned very well.")</f>
        <v>José Luis Rodríguez is nicer to natural that seen in the images. Comfortable and very light. The sapphire crystal is cleaned very well.</v>
      </c>
    </row>
    <row r="14517">
      <c r="A14517" s="1">
        <v>5.0</v>
      </c>
      <c r="B14517" s="1" t="s">
        <v>14385</v>
      </c>
      <c r="C14517" t="str">
        <f>IFERROR(__xludf.DUMMYFUNCTION("GOOGLETRANSLATE(B14517, ""es"", ""en"")"),"Meets perfectly perfect function at a very good price, it seems to have good construction and surely fulfill its function. I recommend it.")</f>
        <v>Meets perfectly perfect function at a very good price, it seems to have good construction and surely fulfill its function. I recommend it.</v>
      </c>
    </row>
    <row r="14518">
      <c r="A14518" s="1">
        <v>5.0</v>
      </c>
      <c r="B14518" s="1" t="s">
        <v>14386</v>
      </c>
      <c r="C14518" t="str">
        <f>IFERROR(__xludf.DUMMYFUNCTION("GOOGLETRANSLATE(B14518, ""es"", ""en"")"),"Warms quickly the truth is tired of heat or boil water in the microwave, the kettle is wonderful. Warms super fast, does not make any noise and lighting makes it very flirtatious")</f>
        <v>Warms quickly the truth is tired of heat or boil water in the microwave, the kettle is wonderful. Warms super fast, does not make any noise and lighting makes it very flirtatious</v>
      </c>
    </row>
    <row r="14519">
      <c r="A14519" s="1">
        <v>5.0</v>
      </c>
      <c r="B14519" s="1" t="s">
        <v>14387</v>
      </c>
      <c r="C14519" t="str">
        <f>IFERROR(__xludf.DUMMYFUNCTION("GOOGLETRANSLATE(B14519, ""es"", ""en"")"),"simplicity and durability The watch is very light, comfortable and discreet. Not very big, but it's enough. I had no problem with it. Setting and management hours of digital part is very easy to use.")</f>
        <v>simplicity and durability The watch is very light, comfortable and discreet. Not very big, but it's enough. I had no problem with it. Setting and management hours of digital part is very easy to use.</v>
      </c>
    </row>
    <row r="14520">
      <c r="A14520" s="1">
        <v>5.0</v>
      </c>
      <c r="B14520" s="1" t="s">
        <v>14388</v>
      </c>
      <c r="C14520" t="str">
        <f>IFERROR(__xludf.DUMMYFUNCTION("GOOGLETRANSLATE(B14520, ""es"", ""en"")"),"100% recommended I would totally recommend. They are better than I expected 👌")</f>
        <v>100% recommended I would totally recommend. They are better than I expected 👌</v>
      </c>
    </row>
    <row r="14521">
      <c r="A14521" s="1">
        <v>5.0</v>
      </c>
      <c r="B14521" s="1" t="s">
        <v>14389</v>
      </c>
      <c r="C14521" t="str">
        <f>IFERROR(__xludf.DUMMYFUNCTION("GOOGLETRANSLATE(B14521, ""es"", ""en"")"),"nice heater water heater water does its job perfectly, I chose it for its exterior, perfect appearance, the only drawback is that raising the cap is the heater tube prevents clean you good inside, but it was something I already knew because I had read ano"&amp;"ther comment.")</f>
        <v>nice heater water heater water does its job perfectly, I chose it for its exterior, perfect appearance, the only drawback is that raising the cap is the heater tube prevents clean you good inside, but it was something I already knew because I had read another comment.</v>
      </c>
    </row>
    <row r="14522">
      <c r="A14522" s="1">
        <v>5.0</v>
      </c>
      <c r="B14522" s="1" t="s">
        <v>14390</v>
      </c>
      <c r="C14522" t="str">
        <f>IFERROR(__xludf.DUMMYFUNCTION("GOOGLETRANSLATE(B14522, ""es"", ""en"")"),"What you are looking at a great price Just what I was looking for, a humidifier (which was not looking for it) and a disperser essence very good though was what I quería.Genial where hubicado, about 20 m², not yet freshens know how to level 2, the first l"&amp;"evel is sufficient, the happy truth and the finish is very nice plástico.Respecto does not seem to me lighting is indifferent or sometimes or almost always turn it on, but it looks good who likes it is very thin and is not tiresome, really I have surprise"&amp;"d me very positively recommend the experience I have with so far to be more or less than a month ...")</f>
        <v>What you are looking at a great price Just what I was looking for, a humidifier (which was not looking for it) and a disperser essence very good though was what I quería.Genial where hubicado, about 20 m², not yet freshens know how to level 2, the first level is sufficient, the happy truth and the finish is very nice plástico.Respecto does not seem to me lighting is indifferent or sometimes or almost always turn it on, but it looks good who likes it is very thin and is not tiresome, really I have surprised me very positively recommend the experience I have with so far to be more or less than a month ...</v>
      </c>
    </row>
    <row r="14523">
      <c r="A14523" s="1">
        <v>5.0</v>
      </c>
      <c r="B14523" s="1" t="s">
        <v>14391</v>
      </c>
      <c r="C14523" t="str">
        <f>IFERROR(__xludf.DUMMYFUNCTION("GOOGLETRANSLATE(B14523, ""es"", ""en"")"),"I freaked me Hayo I had asked my a mother sponges thinking I talking about something else xD and told me it was like a draft: Well actually erase and remove stains anything like fat walls, stains of shoes and easy. What I liked only to water and an ice cu"&amp;"be and the escurres. Not that will be made but work, work. Thank you")</f>
        <v>I freaked me Hayo I had asked my a mother sponges thinking I talking about something else xD and told me it was like a draft: Well actually erase and remove stains anything like fat walls, stains of shoes and easy. What I liked only to water and an ice cube and the escurres. Not that will be made but work, work. Thank you</v>
      </c>
    </row>
    <row r="14524">
      <c r="A14524" s="1">
        <v>5.0</v>
      </c>
      <c r="B14524" s="1" t="s">
        <v>14392</v>
      </c>
      <c r="C14524" t="str">
        <f>IFERROR(__xludf.DUMMYFUNCTION("GOOGLETRANSLATE(B14524, ""es"", ""en"")"),"All ok M are as expected, and pressed q 37 m and 38 left over me Pelin")</f>
        <v>All ok M are as expected, and pressed q 37 m and 38 left over me Pelin</v>
      </c>
    </row>
    <row r="14525">
      <c r="A14525" s="1">
        <v>5.0</v>
      </c>
      <c r="B14525" s="1" t="s">
        <v>14393</v>
      </c>
      <c r="C14525" t="str">
        <f>IFERROR(__xludf.DUMMYFUNCTION("GOOGLETRANSLATE(B14525, ""es"", ""en"")"),"Super comfortable These shoes are super comfortable and beautiful, and I, you are the second pair, bought them for their good price and for its speed on arrival")</f>
        <v>Super comfortable These shoes are super comfortable and beautiful, and I, you are the second pair, bought them for their good price and for its speed on arrival</v>
      </c>
    </row>
    <row r="14526">
      <c r="A14526" s="1">
        <v>5.0</v>
      </c>
      <c r="B14526" s="1" t="s">
        <v>14394</v>
      </c>
      <c r="C14526" t="str">
        <f>IFERROR(__xludf.DUMMYFUNCTION("GOOGLETRANSLATE(B14526, ""es"", ""en"")"),"If you like beautiful model, go ahead. Comfortable, and being so fashionable are perfect to draw from the bag off work and walk to your home. Quality is Adidas, of course.")</f>
        <v>If you like beautiful model, go ahead. Comfortable, and being so fashionable are perfect to draw from the bag off work and walk to your home. Quality is Adidas, of course.</v>
      </c>
    </row>
    <row r="14527">
      <c r="A14527" s="1">
        <v>5.0</v>
      </c>
      <c r="B14527" s="1" t="s">
        <v>14395</v>
      </c>
      <c r="C14527" t="str">
        <f>IFERROR(__xludf.DUMMYFUNCTION("GOOGLETRANSLATE(B14527, ""es"", ""en"")"),"Very nice and feel pretty good")</f>
        <v>Very nice and feel pretty good</v>
      </c>
    </row>
    <row r="14528">
      <c r="A14528" s="1">
        <v>5.0</v>
      </c>
      <c r="B14528" s="1" t="s">
        <v>14396</v>
      </c>
      <c r="C14528" t="str">
        <f>IFERROR(__xludf.DUMMYFUNCTION("GOOGLETRANSLATE(B14528, ""es"", ""en"")"),"Everything perfect everything perfect both delivery and Article")</f>
        <v>Everything perfect everything perfect both delivery and Article</v>
      </c>
    </row>
    <row r="14529">
      <c r="A14529" s="1">
        <v>5.0</v>
      </c>
      <c r="B14529" s="1" t="s">
        <v>14397</v>
      </c>
      <c r="C14529" t="str">
        <f>IFERROR(__xludf.DUMMYFUNCTION("GOOGLETRANSLATE(B14529, ""es"", ""en"")"),"Using these perfect DVD Verbatim years. They have never given me problems. The offer on Amazon think it's very good and would definitely recommend. The keep buying, unless the shoot in price ...")</f>
        <v>Using these perfect DVD Verbatim years. They have never given me problems. The offer on Amazon think it's very good and would definitely recommend. The keep buying, unless the shoot in price ...</v>
      </c>
    </row>
    <row r="14530">
      <c r="A14530" s="1">
        <v>5.0</v>
      </c>
      <c r="B14530" s="1" t="s">
        <v>14398</v>
      </c>
      <c r="C14530" t="str">
        <f>IFERROR(__xludf.DUMMYFUNCTION("GOOGLETRANSLATE(B14530, ""es"", ""en"")"),"perfect headphones for gym'm super happy with these headphones. Similar seconds are bought and really do work wonders. Earmuff makes my stay in their room while I exercise at the gym and the sound quality is very acceptable. Bring spare pads of various si"&amp;"zes is a plus if you want to use my wife. The battery lasts more than five days because since the received have not had to reload and have used every day. A lot of call quality. They hear perfectly and I too listen very well. I can hang from the headphone"&amp;"s and tb hook. I can also go to another track playback, both forward and backward, and up and down the volume. Definitely another fantastic purchase.")</f>
        <v>perfect headphones for gym'm super happy with these headphones. Similar seconds are bought and really do work wonders. Earmuff makes my stay in their room while I exercise at the gym and the sound quality is very acceptable. Bring spare pads of various sizes is a plus if you want to use my wife. The battery lasts more than five days because since the received have not had to reload and have used every day. A lot of call quality. They hear perfectly and I too listen very well. I can hang from the headphones and tb hook. I can also go to another track playback, both forward and backward, and up and down the volume. Definitely another fantastic purchase.</v>
      </c>
    </row>
    <row r="14531">
      <c r="A14531" s="1">
        <v>5.0</v>
      </c>
      <c r="B14531" s="1" t="s">
        <v>14399</v>
      </c>
      <c r="C14531" t="str">
        <f>IFERROR(__xludf.DUMMYFUNCTION("GOOGLETRANSLATE(B14531, ""es"", ""en"")"),"Very nice teapot is lovely, works perfectly and whistle sounds very high, the quality is very good. I'm happy with the purchase.")</f>
        <v>Very nice teapot is lovely, works perfectly and whistle sounds very high, the quality is very good. I'm happy with the purchase.</v>
      </c>
    </row>
    <row r="14532">
      <c r="A14532" s="1">
        <v>5.0</v>
      </c>
      <c r="B14532" s="1" t="s">
        <v>14400</v>
      </c>
      <c r="C14532" t="str">
        <f>IFERROR(__xludf.DUMMYFUNCTION("GOOGLETRANSLATE(B14532, ""es"", ""en"")"),"Very good quality good quality and comfortable shoes for walking")</f>
        <v>Very good quality good quality and comfortable shoes for walking</v>
      </c>
    </row>
    <row r="14533">
      <c r="A14533" s="1">
        <v>5.0</v>
      </c>
      <c r="B14533" s="1" t="s">
        <v>14401</v>
      </c>
      <c r="C14533" t="str">
        <f>IFERROR(__xludf.DUMMYFUNCTION("GOOGLETRANSLATE(B14533, ""es"", ""en"")"),"Perfect is what I wanted")</f>
        <v>Perfect is what I wanted</v>
      </c>
    </row>
    <row r="14534">
      <c r="A14534" s="1">
        <v>5.0</v>
      </c>
      <c r="B14534" s="1" t="s">
        <v>14402</v>
      </c>
      <c r="C14534" t="str">
        <f>IFERROR(__xludf.DUMMYFUNCTION("GOOGLETRANSLATE(B14534, ""es"", ""en"")"),"I love Terrific, size, termination, also along with the ability to adjust the height. I love the touch of the 4 stars it apart, I do not remove me at all")</f>
        <v>I love Terrific, size, termination, also along with the ability to adjust the height. I love the touch of the 4 stars it apart, I do not remove me at all</v>
      </c>
    </row>
    <row r="14535">
      <c r="A14535" s="1">
        <v>2.0</v>
      </c>
      <c r="B14535" s="1" t="s">
        <v>14403</v>
      </c>
      <c r="C14535" t="str">
        <f>IFERROR(__xludf.DUMMYFUNCTION("GOOGLETRANSLATE(B14535, ""es"", ""en"")"),"defective product after 5 days, which has worked well for 5 days. Until I've had to charge the battery. I use the original cable and other non-original. Basically no charge, leaving all night. So I'm sure that the product is defective. In addition, the ke"&amp;"ys do not feel quality, since because of the use I have given, the paint is disappearing I'd like my money back to the original payment method.")</f>
        <v>defective product after 5 days, which has worked well for 5 days. Until I've had to charge the battery. I use the original cable and other non-original. Basically no charge, leaving all night. So I'm sure that the product is defective. In addition, the keys do not feel quality, since because of the use I have given, the paint is disappearing I'd like my money back to the original payment method.</v>
      </c>
    </row>
    <row r="14536">
      <c r="A14536" s="1">
        <v>3.0</v>
      </c>
      <c r="B14536" s="1" t="s">
        <v>14404</v>
      </c>
      <c r="C14536" t="str">
        <f>IFERROR(__xludf.DUMMYFUNCTION("GOOGLETRANSLATE(B14536, ""es"", ""en"")"),"I find it surprising very small")</f>
        <v>I find it surprising very small</v>
      </c>
    </row>
    <row r="14537">
      <c r="A14537" s="1">
        <v>3.0</v>
      </c>
      <c r="B14537" s="1" t="s">
        <v>14405</v>
      </c>
      <c r="C14537" t="str">
        <f>IFERROR(__xludf.DUMMYFUNCTION("GOOGLETRANSLATE(B14537, ""es"", ""en"")"),"Tread warmth and comfort. Dan warm and comfortable. If you are a little fair size, with hot feet, the liner leaves at the feet out.")</f>
        <v>Tread warmth and comfort. Dan warm and comfortable. If you are a little fair size, with hot feet, the liner leaves at the feet out.</v>
      </c>
    </row>
    <row r="14538">
      <c r="A14538" s="1">
        <v>1.0</v>
      </c>
      <c r="B14538" s="1" t="s">
        <v>14406</v>
      </c>
      <c r="C14538" t="str">
        <f>IFERROR(__xludf.DUMMYFUNCTION("GOOGLETRANSLATE(B14538, ""es"", ""en"")"),"A little disillusioned ordered two with two months apart, the first well and ahead of time, but the second came broken and without closure, although I had no problems with the return of the second")</f>
        <v>A little disillusioned ordered two with two months apart, the first well and ahead of time, but the second came broken and without closure, although I had no problems with the return of the second</v>
      </c>
    </row>
    <row r="14539">
      <c r="A14539" s="1">
        <v>1.0</v>
      </c>
      <c r="B14539" s="1" t="s">
        <v>14407</v>
      </c>
      <c r="C14539" t="str">
        <f>IFERROR(__xludf.DUMMYFUNCTION("GOOGLETRANSLATE(B14539, ""es"", ""en"")"),"It's not worth worth spending a little better. It is of very poor quality, you have to control a lot so you do not splash. I understand it's a way to sell more beaters but it is a shame product.")</f>
        <v>It's not worth worth spending a little better. It is of very poor quality, you have to control a lot so you do not splash. I understand it's a way to sell more beaters but it is a shame product.</v>
      </c>
    </row>
    <row r="14540">
      <c r="A14540" s="1">
        <v>4.0</v>
      </c>
      <c r="B14540" s="1" t="s">
        <v>14408</v>
      </c>
      <c r="C14540" t="str">
        <f>IFERROR(__xludf.DUMMYFUNCTION("GOOGLETRANSLATE(B14540, ""es"", ""en"")"),"Excellent so good")</f>
        <v>Excellent so good</v>
      </c>
    </row>
    <row r="14541">
      <c r="A14541" s="1">
        <v>4.0</v>
      </c>
      <c r="B14541" s="1" t="s">
        <v>14409</v>
      </c>
      <c r="C14541" t="str">
        <f>IFERROR(__xludf.DUMMYFUNCTION("GOOGLETRANSLATE(B14541, ""es"", ""en"")"),"Best-in format ... These WD network drives are ready for NAS, make it tremble a little to the NAS causing it to vibrate the same, but performance will not win anyone or durability, have another NAS with 4 years and these discs and have not taken a problem"&amp;" ... the 10 sent as always, Amazon always fulfilling what they promise ... 5 stars ... so both the product as a service.")</f>
        <v>Best-in format ... These WD network drives are ready for NAS, make it tremble a little to the NAS causing it to vibrate the same, but performance will not win anyone or durability, have another NAS with 4 years and these discs and have not taken a problem ... the 10 sent as always, Amazon always fulfilling what they promise ... 5 stars ... so both the product as a service.</v>
      </c>
    </row>
    <row r="14542">
      <c r="A14542" s="1">
        <v>4.0</v>
      </c>
      <c r="B14542" s="1" t="s">
        <v>14410</v>
      </c>
      <c r="C14542" t="str">
        <f>IFERROR(__xludf.DUMMYFUNCTION("GOOGLETRANSLATE(B14542, ""es"", ""en"")"),"Good price, quality noticed when I took the first sticker noticed right away that the impression was not the same, I did some more if it was a matter of the first but not the role, it is as if he had less quality black colored at the time printing, but th"&amp;"e relationship with the price, I think it is fine, if you do not need to stuff like that officers have to go perfect all very well to spare.")</f>
        <v>Good price, quality noticed when I took the first sticker noticed right away that the impression was not the same, I did some more if it was a matter of the first but not the role, it is as if he had less quality black colored at the time printing, but the relationship with the price, I think it is fine, if you do not need to stuff like that officers have to go perfect all very well to spare.</v>
      </c>
    </row>
    <row r="14543">
      <c r="A14543" s="1">
        <v>4.0</v>
      </c>
      <c r="B14543" s="1" t="s">
        <v>14411</v>
      </c>
      <c r="C14543" t="str">
        <f>IFERROR(__xludf.DUMMYFUNCTION("GOOGLETRANSLATE(B14543, ""es"", ""en"")"),"colored turbans crossed very faithful to the image of the product and very faithful colors tambien.me liked everyone. Thanks greetings. M n")</f>
        <v>colored turbans crossed very faithful to the image of the product and very faithful colors tambien.me liked everyone. Thanks greetings. M n</v>
      </c>
    </row>
    <row r="14544">
      <c r="A14544" s="1">
        <v>4.0</v>
      </c>
      <c r="B14544" s="1" t="s">
        <v>14412</v>
      </c>
      <c r="C14544" t="str">
        <f>IFERROR(__xludf.DUMMYFUNCTION("GOOGLETRANSLATE(B14544, ""es"", ""en"")"),"The clock optimal function smoothly: good presentation and quality appropriate to the purchase b: is the chain without the crimper to the clock (carelessness or bad aportacion)")</f>
        <v>The clock optimal function smoothly: good presentation and quality appropriate to the purchase b: is the chain without the crimper to the clock (carelessness or bad aportacion)</v>
      </c>
    </row>
    <row r="14545">
      <c r="A14545" s="1">
        <v>5.0</v>
      </c>
      <c r="B14545" s="1" t="s">
        <v>14413</v>
      </c>
      <c r="C14545" t="str">
        <f>IFERROR(__xludf.DUMMYFUNCTION("GOOGLETRANSLATE(B14545, ""es"", ""en"")"),"More distance in meters of the Bluetooth coverage to munch I liked what I've noticed it does not work very well when removed from the area of ​​the Bluetooth receiver is within walking distance of meters")</f>
        <v>More distance in meters of the Bluetooth coverage to munch I liked what I've noticed it does not work very well when removed from the area of ​​the Bluetooth receiver is within walking distance of meters</v>
      </c>
    </row>
    <row r="14546">
      <c r="A14546" s="1">
        <v>5.0</v>
      </c>
      <c r="B14546" s="1" t="s">
        <v>14414</v>
      </c>
      <c r="C14546" t="str">
        <f>IFERROR(__xludf.DUMMYFUNCTION("GOOGLETRANSLATE(B14546, ""es"", ""en"")"),"I love those slippers comfortable I love the brand and I are perfectly. Comfortable as I expected use size 43 42 43 and have asked me are perfect.")</f>
        <v>I love those slippers comfortable I love the brand and I are perfectly. Comfortable as I expected use size 43 42 43 and have asked me are perfect.</v>
      </c>
    </row>
    <row r="14547">
      <c r="A14547" s="1">
        <v>5.0</v>
      </c>
      <c r="B14547" s="1" t="s">
        <v>14415</v>
      </c>
      <c r="C14547" t="str">
        <f>IFERROR(__xludf.DUMMYFUNCTION("GOOGLETRANSLATE(B14547, ""es"", ""en"")"),"Good value fits perfectly and feel great. COJI it for my daughter and is delighted")</f>
        <v>Good value fits perfectly and feel great. COJI it for my daughter and is delighted</v>
      </c>
    </row>
    <row r="14548">
      <c r="A14548" s="1">
        <v>5.0</v>
      </c>
      <c r="B14548" s="1" t="s">
        <v>14416</v>
      </c>
      <c r="C14548" t="str">
        <f>IFERROR(__xludf.DUMMYFUNCTION("GOOGLETRANSLATE(B14548, ""es"", ""en"")"),"I would buy delighted with the purchase. I am a carrier and have a sprained ankle. Thanks to these shoes have been able to return to resume my hobby of running more safely. Damping great feeling. A recommended purchase")</f>
        <v>I would buy delighted with the purchase. I am a carrier and have a sprained ankle. Thanks to these shoes have been able to return to resume my hobby of running more safely. Damping great feeling. A recommended purchase</v>
      </c>
    </row>
    <row r="14549">
      <c r="A14549" s="1">
        <v>5.0</v>
      </c>
      <c r="B14549" s="1" t="s">
        <v>14417</v>
      </c>
      <c r="C14549" t="str">
        <f>IFERROR(__xludf.DUMMYFUNCTION("GOOGLETRANSLATE(B14549, ""es"", ""en"")"),"Perfect These magnets are indispensable for scrapbooking. They are very strong and a very small size, which does not interfere with work.")</f>
        <v>Perfect These magnets are indispensable for scrapbooking. They are very strong and a very small size, which does not interfere with work.</v>
      </c>
    </row>
    <row r="14550">
      <c r="A14550" s="1">
        <v>5.0</v>
      </c>
      <c r="B14550" s="1" t="s">
        <v>14418</v>
      </c>
      <c r="C14550" t="str">
        <f>IFERROR(__xludf.DUMMYFUNCTION("GOOGLETRANSLATE(B14550, ""es"", ""en"")"),"fantasticos Biberones I am delighted with bottles. AutoestiriliAn in el.microondas always be as they are new microwave, as there are some that do not fall high.")</f>
        <v>fantasticos Biberones I am delighted with bottles. AutoestiriliAn in el.microondas always be as they are new microwave, as there are some that do not fall high.</v>
      </c>
    </row>
    <row r="14551">
      <c r="A14551" s="1">
        <v>5.0</v>
      </c>
      <c r="B14551" s="1" t="s">
        <v>14419</v>
      </c>
      <c r="C14551" t="str">
        <f>IFERROR(__xludf.DUMMYFUNCTION("GOOGLETRANSLATE(B14551, ""es"", ""en"")"),"Powerful vibration is quite intense, remote control is easy to use and very pleasant. This miss both very soft silicone vibrator as the end to remove it, which makes it also very easy to clean. That if whoever wants to play in public places should know th"&amp;"at even inserted hear something, so it would be very recomedable in very quiet places. Yes, the 10 modes of vibration and the power it has to compensate the pequelo my handicap.")</f>
        <v>Powerful vibration is quite intense, remote control is easy to use and very pleasant. This miss both very soft silicone vibrator as the end to remove it, which makes it also very easy to clean. That if whoever wants to play in public places should know that even inserted hear something, so it would be very recomedable in very quiet places. Yes, the 10 modes of vibration and the power it has to compensate the pequelo my handicap.</v>
      </c>
    </row>
    <row r="14552">
      <c r="A14552" s="1">
        <v>5.0</v>
      </c>
      <c r="B14552" s="1" t="s">
        <v>14420</v>
      </c>
      <c r="C14552" t="str">
        <f>IFERROR(__xludf.DUMMYFUNCTION("GOOGLETRANSLATE(B14552, ""es"", ""en"")"),"Easy to use Great travel size")</f>
        <v>Easy to use Great travel size</v>
      </c>
    </row>
    <row r="14553">
      <c r="A14553" s="1">
        <v>5.0</v>
      </c>
      <c r="B14553" s="1" t="s">
        <v>14421</v>
      </c>
      <c r="C14553" t="str">
        <f>IFERROR(__xludf.DUMMYFUNCTION("GOOGLETRANSLATE(B14553, ""es"", ""en"")"),"Bluetooth Headset MPOW all well bought late meno amazon prime 24 hours to receive it amazing all ecepto well as the 10 meter range gets choppy just 3 meters otherwise perfect.")</f>
        <v>Bluetooth Headset MPOW all well bought late meno amazon prime 24 hours to receive it amazing all ecepto well as the 10 meter range gets choppy just 3 meters otherwise perfect.</v>
      </c>
    </row>
    <row r="14554">
      <c r="A14554" s="1">
        <v>5.0</v>
      </c>
      <c r="B14554" s="1" t="s">
        <v>14422</v>
      </c>
      <c r="C14554" t="str">
        <f>IFERROR(__xludf.DUMMYFUNCTION("GOOGLETRANSLATE(B14554, ""es"", ""en"")"),"Good sound quality I've been with with headphones over 9 months and still function as the first day, they are of very good quality, give them daily use and have not given me problems to one of the headphones have stopped working or the Cable breaks from u"&amp;"se, the cable has a rubbery coating, which makes them more resistant, pillows are very comfortable making can be time consuming as unmolested. If you want headphones that are not expensive, quality and lasting until bored ... you do not think more! fully "&amp;"recommended")</f>
        <v>Good sound quality I've been with with headphones over 9 months and still function as the first day, they are of very good quality, give them daily use and have not given me problems to one of the headphones have stopped working or the Cable breaks from use, the cable has a rubbery coating, which makes them more resistant, pillows are very comfortable making can be time consuming as unmolested. If you want headphones that are not expensive, quality and lasting until bored ... you do not think more! fully recommended</v>
      </c>
    </row>
    <row r="14555">
      <c r="A14555" s="1">
        <v>5.0</v>
      </c>
      <c r="B14555" s="1" t="s">
        <v>14423</v>
      </c>
      <c r="C14555" t="str">
        <f>IFERROR(__xludf.DUMMYFUNCTION("GOOGLETRANSLATE(B14555, ""es"", ""en"")"),"Very good Folders are perfect for archiving documents. In my opinion it has quality and the colors are very striking. I like very much.")</f>
        <v>Very good Folders are perfect for archiving documents. In my opinion it has quality and the colors are very striking. I like very much.</v>
      </c>
    </row>
    <row r="14556">
      <c r="A14556" s="1">
        <v>5.0</v>
      </c>
      <c r="B14556" s="1" t="s">
        <v>14424</v>
      </c>
      <c r="C14556" t="str">
        <f>IFERROR(__xludf.DUMMYFUNCTION("GOOGLETRANSLATE(B14556, ""es"", ""en"")"),"Comfortable to wear very practical, sound is good, the box that serves as a battery they get to go as headphones and charging external battery for charging mobile. With different touches in each of the headset see you can go to the next song, return to th"&amp;"e previous, raise and lower the volume, pause ... Very good.")</f>
        <v>Comfortable to wear very practical, sound is good, the box that serves as a battery they get to go as headphones and charging external battery for charging mobile. With different touches in each of the headset see you can go to the next song, return to the previous, raise and lower the volume, pause ... Very good.</v>
      </c>
    </row>
    <row r="14557">
      <c r="A14557" s="1">
        <v>5.0</v>
      </c>
      <c r="B14557" s="1" t="s">
        <v>14425</v>
      </c>
      <c r="C14557" t="str">
        <f>IFERROR(__xludf.DUMMYFUNCTION("GOOGLETRANSLATE(B14557, ""es"", ""en"")"),"Softness I liked how comfortable it is to cut, gentle for use")</f>
        <v>Softness I liked how comfortable it is to cut, gentle for use</v>
      </c>
    </row>
    <row r="14558">
      <c r="A14558" s="1">
        <v>5.0</v>
      </c>
      <c r="B14558" s="1" t="s">
        <v>14426</v>
      </c>
      <c r="C14558" t="str">
        <f>IFERROR(__xludf.DUMMYFUNCTION("GOOGLETRANSLATE(B14558, ""es"", ""en"")"),"Comfortable They are made of good material, they are thick and elastic so you can move without problem. I ordered the size S which is what I usually use and is perfect. Very happy with the order")</f>
        <v>Comfortable They are made of good material, they are thick and elastic so you can move without problem. I ordered the size S which is what I usually use and is perfect. Very happy with the order</v>
      </c>
    </row>
    <row r="14559">
      <c r="A14559" s="1">
        <v>5.0</v>
      </c>
      <c r="B14559" s="1" t="s">
        <v>14427</v>
      </c>
      <c r="C14559" t="str">
        <f>IFERROR(__xludf.DUMMYFUNCTION("GOOGLETRANSLATE(B14559, ""es"", ""en"")"),"Fulfills its role in plexiglas is a product that does the job 100%, I removed all the scratches, but eye single crystals of plexiglas like Casio watches, etc. swacht The only downside is that it is tiny but with enough product for several clocks.")</f>
        <v>Fulfills its role in plexiglas is a product that does the job 100%, I removed all the scratches, but eye single crystals of plexiglas like Casio watches, etc. swacht The only downside is that it is tiny but with enough product for several clocks.</v>
      </c>
    </row>
    <row r="14560">
      <c r="A14560" s="1">
        <v>5.0</v>
      </c>
      <c r="B14560" s="1" t="s">
        <v>14428</v>
      </c>
      <c r="C14560" t="str">
        <f>IFERROR(__xludf.DUMMYFUNCTION("GOOGLETRANSLATE(B14560, ""es"", ""en"")"),"10/10 Quality brutal price, I love it, it's all very well done and look very durable materials.")</f>
        <v>10/10 Quality brutal price, I love it, it's all very well done and look very durable materials.</v>
      </c>
    </row>
    <row r="14561">
      <c r="A14561" s="1">
        <v>5.0</v>
      </c>
      <c r="B14561" s="1" t="s">
        <v>14429</v>
      </c>
      <c r="C14561" t="str">
        <f>IFERROR(__xludf.DUMMYFUNCTION("GOOGLETRANSLATE(B14561, ""es"", ""en"")"),"The relos this very cool very cool, you step mode km or connects to the phone fast. The design is more sporty is quite large, it is good for a large doll.")</f>
        <v>The relos this very cool very cool, you step mode km or connects to the phone fast. The design is more sporty is quite large, it is good for a large doll.</v>
      </c>
    </row>
    <row r="14562">
      <c r="A14562" s="1">
        <v>5.0</v>
      </c>
      <c r="B14562" s="1" t="s">
        <v>14430</v>
      </c>
      <c r="C14562" t="str">
        <f>IFERROR(__xludf.DUMMYFUNCTION("GOOGLETRANSLATE(B14562, ""es"", ""en"")"),"Cool Cool. Very nice design and comfortable")</f>
        <v>Cool Cool. Very nice design and comfortable</v>
      </c>
    </row>
    <row r="14563">
      <c r="A14563" s="1">
        <v>2.0</v>
      </c>
      <c r="B14563" s="1" t="s">
        <v>14431</v>
      </c>
      <c r="C14563" t="str">
        <f>IFERROR(__xludf.DUMMYFUNCTION("GOOGLETRANSLATE(B14563, ""es"", ""en"")"),"Decepcion Buy these headphones based on the good reviews it had. I took time trying to find good headphones for music listening but no way, I bought several and the best critics (including this one) and none to scratch. Seeking a headset where serious, on"&amp;"ce and for all in sound condition, not as if they were inside an empty can. Seeking a replacement for Samsung headphones from my old Samsung Galaxy that still work and have found nothing that can compare with them. These headphones sound great and now you"&amp;" can spend 80 € that none will reach the tip of the shoe.")</f>
        <v>Decepcion Buy these headphones based on the good reviews it had. I took time trying to find good headphones for music listening but no way, I bought several and the best critics (including this one) and none to scratch. Seeking a headset where serious, once and for all in sound condition, not as if they were inside an empty can. Seeking a replacement for Samsung headphones from my old Samsung Galaxy that still work and have found nothing that can compare with them. These headphones sound great and now you can spend 80 € that none will reach the tip of the shoe.</v>
      </c>
    </row>
    <row r="14564">
      <c r="A14564" s="1">
        <v>3.0</v>
      </c>
      <c r="B14564" s="1" t="s">
        <v>14432</v>
      </c>
      <c r="C14564" t="str">
        <f>IFERROR(__xludf.DUMMYFUNCTION("GOOGLETRANSLATE(B14564, ""es"", ""en"")"),"Not look at the european size! First of all my fault for not noticing fine. Running shoes have enough and all 42.5 or 43, corresponding to 9.5 using 27.5 or Japan. Well in merrell I did not notice they have a correspondence he had never seen. And my size "&amp;"is equivalent to 43.5 eur. Therefore, do not watch out for the european size! For the rest I can not comment until we have my size")</f>
        <v>Not look at the european size! First of all my fault for not noticing fine. Running shoes have enough and all 42.5 or 43, corresponding to 9.5 using 27.5 or Japan. Well in merrell I did not notice they have a correspondence he had never seen. And my size is equivalent to 43.5 eur. Therefore, do not watch out for the european size! For the rest I can not comment until we have my size</v>
      </c>
    </row>
    <row r="14565">
      <c r="A14565" s="1">
        <v>1.0</v>
      </c>
      <c r="B14565" s="1" t="s">
        <v>14433</v>
      </c>
      <c r="C14565" t="str">
        <f>IFERROR(__xludf.DUMMYFUNCTION("GOOGLETRANSLATE(B14565, ""es"", ""en"")"),"Terrible sound artifacts walking Headphones are comfortable, the battery lasts a lot and noise cancellation is very effective. That's all true, and would the strengths of these headphones if were to use only while we are still on a plane. The problem come"&amp;"s when you put them to walk down the street, or go by bus and the vehicle gets a bump. With head movement or vibration, or you will know what the noise cancellation devices produce sound rather unpleasant. With flat EQ all they do is give serious (and not"&amp;" serious sharp: dirty and cunning bass), and you have to put the right side of the equalizer almost butt to get something halfway decent. It is clear that BT headset can not be asked HiFi quality, but comes standard and tuned to deliver (bad) serious. In "&amp;"short: if you're a lover of serious and are not much to walk with helmets down the street, go ahead. For the rest of people I not recommend them at all.")</f>
        <v>Terrible sound artifacts walking Headphones are comfortable, the battery lasts a lot and noise cancellation is very effective. That's all true, and would the strengths of these headphones if were to use only while we are still on a plane. The problem comes when you put them to walk down the street, or go by bus and the vehicle gets a bump. With head movement or vibration, or you will know what the noise cancellation devices produce sound rather unpleasant. With flat EQ all they do is give serious (and not serious sharp: dirty and cunning bass), and you have to put the right side of the equalizer almost butt to get something halfway decent. It is clear that BT headset can not be asked HiFi quality, but comes standard and tuned to deliver (bad) serious. In short: if you're a lover of serious and are not much to walk with helmets down the street, go ahead. For the rest of people I not recommend them at all.</v>
      </c>
    </row>
    <row r="14566">
      <c r="A14566" s="1">
        <v>1.0</v>
      </c>
      <c r="B14566" s="1" t="s">
        <v>14434</v>
      </c>
      <c r="C14566" t="str">
        <f>IFERROR(__xludf.DUMMYFUNCTION("GOOGLETRANSLATE(B14566, ""es"", ""en"")"),"Fatal really bad, slow she has 1 month to arrive and does not work")</f>
        <v>Fatal really bad, slow she has 1 month to arrive and does not work</v>
      </c>
    </row>
    <row r="14567">
      <c r="A14567" s="1">
        <v>4.0</v>
      </c>
      <c r="B14567" s="1" t="s">
        <v>14435</v>
      </c>
      <c r="C14567" t="str">
        <f>IFERROR(__xludf.DUMMYFUNCTION("GOOGLETRANSLATE(B14567, ""es"", ""en"")"),"the data transfer rate is quite large is fine, although I have not tried yet, the data transfer rate is quite large.")</f>
        <v>the data transfer rate is quite large is fine, although I have not tried yet, the data transfer rate is quite large.</v>
      </c>
    </row>
    <row r="14568">
      <c r="A14568" s="1">
        <v>4.0</v>
      </c>
      <c r="B14568" s="1" t="s">
        <v>14436</v>
      </c>
      <c r="C14568" t="str">
        <f>IFERROR(__xludf.DUMMYFUNCTION("GOOGLETRANSLATE(B14568, ""es"", ""en"")"),"Value very good. If you like to have enough pocket watches and do not spend a lot of money on them these watches are yours. Removing the glass is plastic watch is fine. I am delighted with.")</f>
        <v>Value very good. If you like to have enough pocket watches and do not spend a lot of money on them these watches are yours. Removing the glass is plastic watch is fine. I am delighted with.</v>
      </c>
    </row>
    <row r="14569">
      <c r="A14569" s="1">
        <v>4.0</v>
      </c>
      <c r="B14569" s="1" t="s">
        <v>14437</v>
      </c>
      <c r="C14569" t="str">
        <f>IFERROR(__xludf.DUMMYFUNCTION("GOOGLETRANSLATE(B14569, ""es"", ""en"")"),"Very nice. They are very nice, a natural earn much money fine, I'll ask least one number, they arrived earlier. Use the 38 and were me great long and wide.")</f>
        <v>Very nice. They are very nice, a natural earn much money fine, I'll ask least one number, they arrived earlier. Use the 38 and were me great long and wide.</v>
      </c>
    </row>
    <row r="14570">
      <c r="A14570" s="1">
        <v>4.0</v>
      </c>
      <c r="B14570" s="1" t="s">
        <v>14438</v>
      </c>
      <c r="C14570" t="str">
        <f>IFERROR(__xludf.DUMMYFUNCTION("GOOGLETRANSLATE(B14570, ""es"", ""en"")"),"As in the picture Very nice")</f>
        <v>As in the picture Very nice</v>
      </c>
    </row>
    <row r="14571">
      <c r="A14571" s="1">
        <v>5.0</v>
      </c>
      <c r="B14571" s="1" t="s">
        <v>14439</v>
      </c>
      <c r="C14571" t="str">
        <f>IFERROR(__xludf.DUMMYFUNCTION("GOOGLETRANSLATE(B14571, ""es"", ""en"")"),"Very elegant. A simple and very attractive clock is very elegant since no frills but being all black and with red details on the needles, give a very cool and wearable touch. At the moment I can not say whether fast or slow, I've put in time and I'll give"&amp;" you a few days, if no update is that it is perfect: D The presentation, to be a clock of 21 € is excellent, as good , well protected, with sponge inside surface and a washcloth for cleaning the area ... the value is excellent resistant box can not ask fo"&amp;"r more (such sees the number of days but if you choose this model is that nO you need it;)) * Updated to day Sept. 5, 2019: The clock is delayed or advance one bit, so we can say that is perfect;)")</f>
        <v>Very elegant. A simple and very attractive clock is very elegant since no frills but being all black and with red details on the needles, give a very cool and wearable touch. At the moment I can not say whether fast or slow, I've put in time and I'll give you a few days, if no update is that it is perfect: D The presentation, to be a clock of 21 € is excellent, as good , well protected, with sponge inside surface and a washcloth for cleaning the area ... the value is excellent resistant box can not ask for more (such sees the number of days but if you choose this model is that nO you need it;)) * Updated to day Sept. 5, 2019: The clock is delayed or advance one bit, so we can say that is perfect;)</v>
      </c>
    </row>
    <row r="14572">
      <c r="A14572" s="1">
        <v>5.0</v>
      </c>
      <c r="B14572" s="1" t="s">
        <v>14440</v>
      </c>
      <c r="C14572" t="str">
        <f>IFERROR(__xludf.DUMMYFUNCTION("GOOGLETRANSLATE(B14572, ""es"", ""en"")"),"Good if you work well well and fit the ear perfectly thanks to its armoadillas.")</f>
        <v>Good if you work well well and fit the ear perfectly thanks to its armoadillas.</v>
      </c>
    </row>
    <row r="14573">
      <c r="A14573" s="1">
        <v>5.0</v>
      </c>
      <c r="B14573" s="1" t="s">
        <v>14441</v>
      </c>
      <c r="C14573" t="str">
        <f>IFERROR(__xludf.DUMMYFUNCTION("GOOGLETRANSLATE(B14573, ""es"", ""en"")"),"I love I love, I've bought for my two year old and loves. Nothing else has caught recharge and started talking with him and singing. Super funny. I recommend it fun to spend time with little ones.")</f>
        <v>I love I love, I've bought for my two year old and loves. Nothing else has caught recharge and started talking with him and singing. Super funny. I recommend it fun to spend time with little ones.</v>
      </c>
    </row>
    <row r="14574">
      <c r="A14574" s="1">
        <v>5.0</v>
      </c>
      <c r="B14574" s="1" t="s">
        <v>14442</v>
      </c>
      <c r="C14574" t="str">
        <f>IFERROR(__xludf.DUMMYFUNCTION("GOOGLETRANSLATE(B14574, ""es"", ""en"")"),"Recommended! Very good product. Small, hard and password. I would buy. Evaluate the long term is because I have little to him.")</f>
        <v>Recommended! Very good product. Small, hard and password. I would buy. Evaluate the long term is because I have little to him.</v>
      </c>
    </row>
    <row r="14575">
      <c r="A14575" s="1">
        <v>5.0</v>
      </c>
      <c r="B14575" s="1" t="s">
        <v>14443</v>
      </c>
      <c r="C14575" t="str">
        <f>IFERROR(__xludf.DUMMYFUNCTION("GOOGLETRANSLATE(B14575, ""es"", ""en"")"),"Perfect are the best. have not given me any fault and after years of use does not give problems, such as Maxell that, over time, lose information")</f>
        <v>Perfect are the best. have not given me any fault and after years of use does not give problems, such as Maxell that, over time, lose information</v>
      </c>
    </row>
    <row r="14576">
      <c r="A14576" s="1">
        <v>5.0</v>
      </c>
      <c r="B14576" s="1" t="s">
        <v>14444</v>
      </c>
      <c r="C14576" t="str">
        <f>IFERROR(__xludf.DUMMYFUNCTION("GOOGLETRANSLATE(B14576, ""es"", ""en"")"),"Good quality I Loved")</f>
        <v>Good quality I Loved</v>
      </c>
    </row>
    <row r="14577">
      <c r="A14577" s="1">
        <v>5.0</v>
      </c>
      <c r="B14577" s="1" t="s">
        <v>14445</v>
      </c>
      <c r="C14577" t="str">
        <f>IFERROR(__xludf.DUMMYFUNCTION("GOOGLETRANSLATE(B14577, ""es"", ""en"")"),"Very comfortable and light I went back to a buy Vans after many years without a use and have not been disappointed. They are very comfortable and light for the type of shoe they are. They are slightly larger size and so I had to ask average number less bu"&amp;"t with Amazon customer service that's no problem.")</f>
        <v>Very comfortable and light I went back to a buy Vans after many years without a use and have not been disappointed. They are very comfortable and light for the type of shoe they are. They are slightly larger size and so I had to ask average number less but with Amazon customer service that's no problem.</v>
      </c>
    </row>
    <row r="14578">
      <c r="A14578" s="1">
        <v>5.0</v>
      </c>
      <c r="B14578" s="1" t="s">
        <v>14446</v>
      </c>
      <c r="C14578" t="str">
        <f>IFERROR(__xludf.DUMMYFUNCTION("GOOGLETRANSLATE(B14578, ""es"", ""en"")"),"Basic and useful product")</f>
        <v>Basic and useful product</v>
      </c>
    </row>
    <row r="14579">
      <c r="A14579" s="1">
        <v>5.0</v>
      </c>
      <c r="B14579" s="1" t="s">
        <v>14447</v>
      </c>
      <c r="C14579" t="str">
        <f>IFERROR(__xludf.DUMMYFUNCTION("GOOGLETRANSLATE(B14579, ""es"", ""en"")"),"Excellent quality")</f>
        <v>Excellent quality</v>
      </c>
    </row>
    <row r="14580">
      <c r="A14580" s="1">
        <v>5.0</v>
      </c>
      <c r="B14580" s="1" t="s">
        <v>14448</v>
      </c>
      <c r="C14580" t="str">
        <f>IFERROR(__xludf.DUMMYFUNCTION("GOOGLETRANSLATE(B14580, ""es"", ""en"")"),"Good time I bought for my son and very happy for the price it is a good measure. As always a brand highly recommended.")</f>
        <v>Good time I bought for my son and very happy for the price it is a good measure. As always a brand highly recommended.</v>
      </c>
    </row>
    <row r="14581">
      <c r="A14581" s="1">
        <v>5.0</v>
      </c>
      <c r="B14581" s="1" t="s">
        <v>14449</v>
      </c>
      <c r="C14581" t="str">
        <f>IFERROR(__xludf.DUMMYFUNCTION("GOOGLETRANSLATE(B14581, ""es"", ""en"")"),"Good size and excellent quality product")</f>
        <v>Good size and excellent quality product</v>
      </c>
    </row>
    <row r="14582">
      <c r="A14582" s="1">
        <v>5.0</v>
      </c>
      <c r="B14582" s="1" t="s">
        <v>14450</v>
      </c>
      <c r="C14582" t="str">
        <f>IFERROR(__xludf.DUMMYFUNCTION("GOOGLETRANSLATE(B14582, ""es"", ""en"")"),"Economic and resultona Blender good quality and excellent finish with glass jar and brushed steel casing. It is ideal for chopping ice, making smoothies, gazpacho, smoothies or just to crush purees. It reaches 1000W and has electronic speed control indica"&amp;"ted in the own roulette with LED lights. Vessel has a capacity of up to 1.5 liters. It has a control with which we can regulate the speed of the blades and 3 buttons at the bottom with programmed actions (press / pulse, crush ice / crushing ice, smoothies"&amp;" / shakes-sauces-cocktails). The blades have a sharp and high quality steel and have a special design that makes the mixture is very homogeneous and finely chopped. It is very easy to clean, and we can do it just with a few drops of water and soap and rin"&amp;"se, removing the blades for deeper cleaning or putting the pieces in the dishwasher (everything except the base where goes with the motor).")</f>
        <v>Economic and resultona Blender good quality and excellent finish with glass jar and brushed steel casing. It is ideal for chopping ice, making smoothies, gazpacho, smoothies or just to crush purees. It reaches 1000W and has electronic speed control indicated in the own roulette with LED lights. Vessel has a capacity of up to 1.5 liters. It has a control with which we can regulate the speed of the blades and 3 buttons at the bottom with programmed actions (press / pulse, crush ice / crushing ice, smoothies / shakes-sauces-cocktails). The blades have a sharp and high quality steel and have a special design that makes the mixture is very homogeneous and finely chopped. It is very easy to clean, and we can do it just with a few drops of water and soap and rinse, removing the blades for deeper cleaning or putting the pieces in the dishwasher (everything except the base where goes with the motor).</v>
      </c>
    </row>
    <row r="14583">
      <c r="A14583" s="1">
        <v>5.0</v>
      </c>
      <c r="B14583" s="1" t="s">
        <v>14451</v>
      </c>
      <c r="C14583" t="str">
        <f>IFERROR(__xludf.DUMMYFUNCTION("GOOGLETRANSLATE(B14583, ""es"", ""en"")"),"Large hard drive in every aspect. Great size, large capacity and high speed! With a speed of around 200MB / s and 6TB it has become the perfect drive for backups and storage of films. You need constant supply connected to the socket in addition to the USB"&amp;" connection to your computer. It works seamlessly with MacOS.")</f>
        <v>Large hard drive in every aspect. Great size, large capacity and high speed! With a speed of around 200MB / s and 6TB it has become the perfect drive for backups and storage of films. You need constant supply connected to the socket in addition to the USB connection to your computer. It works seamlessly with MacOS.</v>
      </c>
    </row>
    <row r="14584">
      <c r="A14584" s="1">
        <v>5.0</v>
      </c>
      <c r="B14584" s="1" t="s">
        <v>14452</v>
      </c>
      <c r="C14584" t="str">
        <f>IFERROR(__xludf.DUMMYFUNCTION("GOOGLETRANSLATE(B14584, ""es"", ""en"")"),"fantastic carvings are somewhat small and I had to make changes but overall surplus meets my expectations. Worth")</f>
        <v>fantastic carvings are somewhat small and I had to make changes but overall surplus meets my expectations. Worth</v>
      </c>
    </row>
    <row r="14585">
      <c r="A14585" s="1">
        <v>5.0</v>
      </c>
      <c r="B14585" s="1" t="s">
        <v>14453</v>
      </c>
      <c r="C14585" t="str">
        <f>IFERROR(__xludf.DUMMYFUNCTION("GOOGLETRANSLATE(B14585, ""es"", ""en"")"),"Comfortable to use in any very handy and portable Licuadora site as it is loaded with usb mobile and do not need to have it plugged in to use it. For hot days, nothing feels better than a cool drink, combining any fruit with crushed ice.")</f>
        <v>Comfortable to use in any very handy and portable Licuadora site as it is loaded with usb mobile and do not need to have it plugged in to use it. For hot days, nothing feels better than a cool drink, combining any fruit with crushed ice.</v>
      </c>
    </row>
    <row r="14586">
      <c r="A14586" s="1">
        <v>5.0</v>
      </c>
      <c r="B14586" s="1" t="s">
        <v>14454</v>
      </c>
      <c r="C14586" t="str">
        <f>IFERROR(__xludf.DUMMYFUNCTION("GOOGLETRANSLATE(B14586, ""es"", ""en"")"),"Ok COMODAS")</f>
        <v>Ok COMODAS</v>
      </c>
    </row>
    <row r="14587">
      <c r="A14587" s="1">
        <v>5.0</v>
      </c>
      <c r="B14587" s="1" t="s">
        <v>14455</v>
      </c>
      <c r="C14587" t="str">
        <f>IFERROR(__xludf.DUMMYFUNCTION("GOOGLETRANSLATE(B14587, ""es"", ""en"")"),"Buy good quality product and meet the expectations generated")</f>
        <v>Buy good quality product and meet the expectations generated</v>
      </c>
    </row>
    <row r="14588">
      <c r="A14588" s="1">
        <v>5.0</v>
      </c>
      <c r="B14588" s="1" t="s">
        <v>14456</v>
      </c>
      <c r="C14588" t="str">
        <f>IFERROR(__xludf.DUMMYFUNCTION("GOOGLETRANSLATE(B14588, ""es"", ""en"")"),"Give this elegant smartwatch my MADDRE, and is delighted with as they have a variety of functions and great autonomy. In addition, the design is very elegant, and can lead to lso dresses.")</f>
        <v>Give this elegant smartwatch my MADDRE, and is delighted with as they have a variety of functions and great autonomy. In addition, the design is very elegant, and can lead to lso dresses.</v>
      </c>
    </row>
    <row r="14589">
      <c r="A14589" s="1">
        <v>5.0</v>
      </c>
      <c r="B14589" s="1" t="s">
        <v>14457</v>
      </c>
      <c r="C14589" t="str">
        <f>IFERROR(__xludf.DUMMYFUNCTION("GOOGLETRANSLATE(B14589, ""es"", ""en"")"),"Precious clock watch very large and aparentón. Casio is synonymous with quality and this model is quite elegant. Overall I would recommend this product.")</f>
        <v>Precious clock watch very large and aparentón. Casio is synonymous with quality and this model is quite elegant. Overall I would recommend this product.</v>
      </c>
    </row>
    <row r="14590">
      <c r="A14590" s="1">
        <v>2.0</v>
      </c>
      <c r="B14590" s="1" t="s">
        <v>14458</v>
      </c>
      <c r="C14590" t="str">
        <f>IFERROR(__xludf.DUMMYFUNCTION("GOOGLETRANSLATE(B14590, ""es"", ""en"")"),"Material of dubious quality I really like the design, capacity and versatility. But I do not like the material, not beyond skin (first disappointment because I read seemed so) it is too thin material that I fear will not last long. I think the value for m"&amp;"oney is bad")</f>
        <v>Material of dubious quality I really like the design, capacity and versatility. But I do not like the material, not beyond skin (first disappointment because I read seemed so) it is too thin material that I fear will not last long. I think the value for money is bad</v>
      </c>
    </row>
    <row r="14591">
      <c r="A14591" s="1">
        <v>3.0</v>
      </c>
      <c r="B14591" s="1" t="s">
        <v>14459</v>
      </c>
      <c r="C14591" t="str">
        <f>IFERROR(__xludf.DUMMYFUNCTION("GOOGLETRANSLATE(B14591, ""es"", ""en"")"),"1 € for 1 minute. I bought 17 months ago and used it 4 or 5 minutes, it gave me a better quality. Now I wanted to use but the minute of them charging the blue light, put it off to work and at 3 minutes or give me message of low battery and after repeating"&amp;" it a few times over a period of 2 minutes turns off. I load it again and the same applies. Not bad, it has turned out a euro per minute of use. I hope solution from the vendor. EDITED: Amazon supports the return and refund me despite the time elapsed it "&amp;"changed my rating to 3 stars for 1 although the service is 5, the article was disappointed.")</f>
        <v>1 € for 1 minute. I bought 17 months ago and used it 4 or 5 minutes, it gave me a better quality. Now I wanted to use but the minute of them charging the blue light, put it off to work and at 3 minutes or give me message of low battery and after repeating it a few times over a period of 2 minutes turns off. I load it again and the same applies. Not bad, it has turned out a euro per minute of use. I hope solution from the vendor. EDITED: Amazon supports the return and refund me despite the time elapsed it changed my rating to 3 stars for 1 although the service is 5, the article was disappointed.</v>
      </c>
    </row>
    <row r="14592">
      <c r="A14592" s="1">
        <v>3.0</v>
      </c>
      <c r="B14592" s="1" t="s">
        <v>14460</v>
      </c>
      <c r="C14592" t="str">
        <f>IFERROR(__xludf.DUMMYFUNCTION("GOOGLETRANSLATE(B14592, ""es"", ""en"")"),"Good choice if you're not very demanding've used in a diffuser and there are aromas that are more noticeable than others. The box in which to keep them coming okay but I expected more. I guess that is also related to the price they have. They do their job"&amp;" but looking very much of some aromas.")</f>
        <v>Good choice if you're not very demanding've used in a diffuser and there are aromas that are more noticeable than others. The box in which to keep them coming okay but I expected more. I guess that is also related to the price they have. They do their job but looking very much of some aromas.</v>
      </c>
    </row>
    <row r="14593">
      <c r="A14593" s="1">
        <v>1.0</v>
      </c>
      <c r="B14593" s="1" t="s">
        <v>14461</v>
      </c>
      <c r="C14593" t="str">
        <f>IFERROR(__xludf.DUMMYFUNCTION("GOOGLETRANSLATE(B14593, ""es"", ""en"")"),"For horrible little rag is not like anything the photo and oongo in a fatal arm")</f>
        <v>For horrible little rag is not like anything the photo and oongo in a fatal arm</v>
      </c>
    </row>
    <row r="14594">
      <c r="A14594" s="1">
        <v>1.0</v>
      </c>
      <c r="B14594" s="1" t="s">
        <v>14462</v>
      </c>
      <c r="C14594" t="str">
        <f>IFERROR(__xludf.DUMMYFUNCTION("GOOGLETRANSLATE(B14594, ""es"", ""en"")"),"I have exposure My child did not get it costs much less to suckle at her.")</f>
        <v>I have exposure My child did not get it costs much less to suckle at her.</v>
      </c>
    </row>
    <row r="14595">
      <c r="A14595" s="1">
        <v>4.0</v>
      </c>
      <c r="B14595" s="1" t="s">
        <v>14463</v>
      </c>
      <c r="C14595" t="str">
        <f>IFERROR(__xludf.DUMMYFUNCTION("GOOGLETRANSLATE(B14595, ""es"", ""en"")"),"Good value for money pants, and had one like it and decided to buy another for the good result had given me. Much better price than Amazon's website Izas")</f>
        <v>Good value for money pants, and had one like it and decided to buy another for the good result had given me. Much better price than Amazon's website Izas</v>
      </c>
    </row>
    <row r="14596">
      <c r="A14596" s="1">
        <v>4.0</v>
      </c>
      <c r="B14596" s="1" t="s">
        <v>14464</v>
      </c>
      <c r="C14596" t="str">
        <f>IFERROR(__xludf.DUMMYFUNCTION("GOOGLETRANSLATE(B14596, ""es"", ""en"")"),"It's what I expected and Buescaba an original gift this is. Perfectamete fulfills its function and has a claw-shaped design very original bear.")</f>
        <v>It's what I expected and Buescaba an original gift this is. Perfectamete fulfills its function and has a claw-shaped design very original bear.</v>
      </c>
    </row>
    <row r="14597">
      <c r="A14597" s="1">
        <v>4.0</v>
      </c>
      <c r="B14597" s="1" t="s">
        <v>14465</v>
      </c>
      <c r="C14597" t="str">
        <f>IFERROR(__xludf.DUMMYFUNCTION("GOOGLETRANSLATE(B14597, ""es"", ""en"")"),"Quality, small something. The measurement chart provided by the supplier fulfills perfectly, but because of the model to me are a little annoying, for it surely change for medium size when I have more choice. In terms of quality and impeccable finish.")</f>
        <v>Quality, small something. The measurement chart provided by the supplier fulfills perfectly, but because of the model to me are a little annoying, for it surely change for medium size when I have more choice. In terms of quality and impeccable finish.</v>
      </c>
    </row>
    <row r="14598">
      <c r="A14598" s="1">
        <v>4.0</v>
      </c>
      <c r="B14598" s="1" t="s">
        <v>14466</v>
      </c>
      <c r="C14598" t="str">
        <f>IFERROR(__xludf.DUMMYFUNCTION("GOOGLETRANSLATE(B14598, ""es"", ""en"")"),"Relaxing is what it promises. It's a bit difficult to keep pace with the light. Enough. Or stop thinking or can not follow. The problem is that sometimes wins eyestrain and stop looking when you're still thinking. In any case, it helps.")</f>
        <v>Relaxing is what it promises. It's a bit difficult to keep pace with the light. Enough. Or stop thinking or can not follow. The problem is that sometimes wins eyestrain and stop looking when you're still thinking. In any case, it helps.</v>
      </c>
    </row>
    <row r="14599">
      <c r="A14599" s="1">
        <v>4.0</v>
      </c>
      <c r="B14599" s="1" t="s">
        <v>14467</v>
      </c>
      <c r="C14599" t="str">
        <f>IFERROR(__xludf.DUMMYFUNCTION("GOOGLETRANSLATE(B14599, ""es"", ""en"")"),"Nice and good value for money Cable quality, good finishes and the box comes with spikes. I do not know because I understood that it was only the box which came gift. I just hope it lasts me more than a year which is what usually last me.")</f>
        <v>Nice and good value for money Cable quality, good finishes and the box comes with spikes. I do not know because I understood that it was only the box which came gift. I just hope it lasts me more than a year which is what usually last me.</v>
      </c>
    </row>
    <row r="14600">
      <c r="A14600" s="1">
        <v>5.0</v>
      </c>
      <c r="B14600" s="1" t="s">
        <v>14468</v>
      </c>
      <c r="C14600" t="str">
        <f>IFERROR(__xludf.DUMMYFUNCTION("GOOGLETRANSLATE(B14600, ""es"", ""en"")"),"Good quality, as expected and as specified in the description of the product quality, as expected and as specified in the description of the product. He arrived on the date indicated and in perfect condition.")</f>
        <v>Good quality, as expected and as specified in the description of the product quality, as expected and as specified in the description of the product. He arrived on the date indicated and in perfect condition.</v>
      </c>
    </row>
    <row r="14601">
      <c r="A14601" s="1">
        <v>5.0</v>
      </c>
      <c r="B14601" s="1" t="s">
        <v>14469</v>
      </c>
      <c r="C14601" t="str">
        <f>IFERROR(__xludf.DUMMYFUNCTION("GOOGLETRANSLATE(B14601, ""es"", ""en"")"),"Just perfect already had a similar headphones and have been back q buy some because, like I said, I can not be more delighted with the first. The connection to the mobile device can not be beat, and they do very fast and automatically once they are paired"&amp;" for the first time. In addition, you can connect two headphones at once, only one, or both but different devices. Offers, as can be appreciated, numerous variations that make them market leaders for its value for money. They have also with microphone bot"&amp;"h headphones that let you call quality and, what is most important to me is that they have their own cover / cargo box that allows you to charge the battery up to 4 times without needing to plug into a wall. Ultimately, it will not be the last time I boug"&amp;"ht this product and I'm still impressed with all the features it offers and its great performance")</f>
        <v>Just perfect already had a similar headphones and have been back q buy some because, like I said, I can not be more delighted with the first. The connection to the mobile device can not be beat, and they do very fast and automatically once they are paired for the first time. In addition, you can connect two headphones at once, only one, or both but different devices. Offers, as can be appreciated, numerous variations that make them market leaders for its value for money. They have also with microphone both headphones that let you call quality and, what is most important to me is that they have their own cover / cargo box that allows you to charge the battery up to 4 times without needing to plug into a wall. Ultimately, it will not be the last time I bought this product and I'm still impressed with all the features it offers and its great performance</v>
      </c>
    </row>
    <row r="14602">
      <c r="A14602" s="1">
        <v>5.0</v>
      </c>
      <c r="B14602" s="1" t="s">
        <v>14470</v>
      </c>
      <c r="C14602" t="str">
        <f>IFERROR(__xludf.DUMMYFUNCTION("GOOGLETRANSLATE(B14602, ""es"", ""en"")"),"It is very nice, brings a rubber band to close to 4 rings.")</f>
        <v>It is very nice, brings a rubber band to close to 4 rings.</v>
      </c>
    </row>
    <row r="14603">
      <c r="A14603" s="1">
        <v>5.0</v>
      </c>
      <c r="B14603" s="1" t="s">
        <v>14471</v>
      </c>
      <c r="C14603" t="str">
        <f>IFERROR(__xludf.DUMMYFUNCTION("GOOGLETRANSLATE(B14603, ""es"", ""en"")"),"These outstanding lightness and comfort, besides being very beautiful, are the perfect size to encourage face, and are so light that you forget you're wearing, purchase really good.")</f>
        <v>These outstanding lightness and comfort, besides being very beautiful, are the perfect size to encourage face, and are so light that you forget you're wearing, purchase really good.</v>
      </c>
    </row>
    <row r="14604">
      <c r="A14604" s="1">
        <v>5.0</v>
      </c>
      <c r="B14604" s="1" t="s">
        <v>14472</v>
      </c>
      <c r="C14604" t="str">
        <f>IFERROR(__xludf.DUMMYFUNCTION("GOOGLETRANSLATE(B14604, ""es"", ""en"")"),". My little girl loved him")</f>
        <v>. My little girl loved him</v>
      </c>
    </row>
    <row r="14605">
      <c r="A14605" s="1">
        <v>5.0</v>
      </c>
      <c r="B14605" s="1" t="s">
        <v>14473</v>
      </c>
      <c r="C14605" t="str">
        <f>IFERROR(__xludf.DUMMYFUNCTION("GOOGLETRANSLATE(B14605, ""es"", ""en"")"),"Good, pretty, cheap. Recommended. I was looking for an alarm clock for my son. I found on Amazon. It comes well packaged and packed with the date indicated by the seller. The box contains a clock, plug a USB cable and instructions in Spanish. The size of "&amp;"the alarm clock is pretty big and looked good materials. It is a very complete alarm: clock, alarm clock, lamp, radio ..... all in one. You have multiple modes of natural sound, radio and various shades of light also can program 4 different alarms, and th"&amp;"e alarm can do many things, both melodies and repetitions. It works with Alexa. Very easy and convenient to operate with the App. You can use it as a radio, or a simple light to illuminate some habitación.Tiene good power, and you can change color. The al"&amp;"arm clock can be used both with mini USB power adapter, or batteries. Very good alarm clock sounds perfectly, have multiple melodies and great sound. I've been testing a few days and say that the product is quite good and very striking. Very good buy. Rec"&amp;"ommended.")</f>
        <v>Good, pretty, cheap. Recommended. I was looking for an alarm clock for my son. I found on Amazon. It comes well packaged and packed with the date indicated by the seller. The box contains a clock, plug a USB cable and instructions in Spanish. The size of the alarm clock is pretty big and looked good materials. It is a very complete alarm: clock, alarm clock, lamp, radio ..... all in one. You have multiple modes of natural sound, radio and various shades of light also can program 4 different alarms, and the alarm can do many things, both melodies and repetitions. It works with Alexa. Very easy and convenient to operate with the App. You can use it as a radio, or a simple light to illuminate some habitación.Tiene good power, and you can change color. The alarm clock can be used both with mini USB power adapter, or batteries. Very good alarm clock sounds perfectly, have multiple melodies and great sound. I've been testing a few days and say that the product is quite good and very striking. Very good buy. Recommended.</v>
      </c>
    </row>
    <row r="14606">
      <c r="A14606" s="1">
        <v>5.0</v>
      </c>
      <c r="B14606" s="1" t="s">
        <v>14474</v>
      </c>
      <c r="C14606" t="str">
        <f>IFERROR(__xludf.DUMMYFUNCTION("GOOGLETRANSLATE(B14606, ""es"", ""en"")"),"Everything. Ien Meets expectations")</f>
        <v>Everything. Ien Meets expectations</v>
      </c>
    </row>
    <row r="14607">
      <c r="A14607" s="1">
        <v>5.0</v>
      </c>
      <c r="B14607" s="1" t="s">
        <v>14475</v>
      </c>
      <c r="C14607" t="str">
        <f>IFERROR(__xludf.DUMMYFUNCTION("GOOGLETRANSLATE(B14607, ""es"", ""en"")"),"This very well preserved in better than expected for such an old game, it works perfectly and both the disk and the box and manual are in very good condition.")</f>
        <v>This very well preserved in better than expected for such an old game, it works perfectly and both the disk and the box and manual are in very good condition.</v>
      </c>
    </row>
    <row r="14608">
      <c r="A14608" s="1">
        <v>5.0</v>
      </c>
      <c r="B14608" s="1" t="s">
        <v>14476</v>
      </c>
      <c r="C14608" t="str">
        <f>IFERROR(__xludf.DUMMYFUNCTION("GOOGLETRANSLATE(B14608, ""es"", ""en"")"),"Good shoes better and more comfortable than 75 brands of 0100 euros. We'll see how last to buy more in prox. occasions")</f>
        <v>Good shoes better and more comfortable than 75 brands of 0100 euros. We'll see how last to buy more in prox. occasions</v>
      </c>
    </row>
    <row r="14609">
      <c r="A14609" s="1">
        <v>5.0</v>
      </c>
      <c r="B14609" s="1" t="s">
        <v>14477</v>
      </c>
      <c r="C14609" t="str">
        <f>IFERROR(__xludf.DUMMYFUNCTION("GOOGLETRANSLATE(B14609, ""es"", ""en"")"),"Perfect, as observed. Perfect size as expected. Good quality and very comfortable. Moment very happy with the purchase. The color corresponds to the image. always very fast shipping with prime.")</f>
        <v>Perfect, as observed. Perfect size as expected. Good quality and very comfortable. Moment very happy with the purchase. The color corresponds to the image. always very fast shipping with prime.</v>
      </c>
    </row>
    <row r="14610">
      <c r="A14610" s="1">
        <v>5.0</v>
      </c>
      <c r="B14610" s="1" t="s">
        <v>14478</v>
      </c>
      <c r="C14610" t="str">
        <f>IFERROR(__xludf.DUMMYFUNCTION("GOOGLETRANSLATE(B14610, ""es"", ""en"")"),"Great quality good buy, large, good finish and durable interior lining. Hand-washable with a simple sponge. exterior and interior quality superior to many other bags.")</f>
        <v>Great quality good buy, large, good finish and durable interior lining. Hand-washable with a simple sponge. exterior and interior quality superior to many other bags.</v>
      </c>
    </row>
    <row r="14611">
      <c r="A14611" s="1">
        <v>5.0</v>
      </c>
      <c r="B14611" s="1" t="s">
        <v>14479</v>
      </c>
      <c r="C14611" t="str">
        <f>IFERROR(__xludf.DUMMYFUNCTION("GOOGLETRANSLATE(B14611, ""es"", ""en"")"),"I liked Very cool microphone. A gift for my children and as delighted. It has radio, mobile connection and SD input. The speaker sounds very well and the sound reverberates")</f>
        <v>I liked Very cool microphone. A gift for my children and as delighted. It has radio, mobile connection and SD input. The speaker sounds very well and the sound reverberates</v>
      </c>
    </row>
    <row r="14612">
      <c r="A14612" s="1">
        <v>5.0</v>
      </c>
      <c r="B14612" s="1" t="s">
        <v>14480</v>
      </c>
      <c r="C14612" t="str">
        <f>IFERROR(__xludf.DUMMYFUNCTION("GOOGLETRANSLATE(B14612, ""es"", ""en"")"),"I wear jeans right color for years using sketchers. In my opinion, if you do not have shoelaces average number, if the number has 1 more, I look perfect.")</f>
        <v>I wear jeans right color for years using sketchers. In my opinion, if you do not have shoelaces average number, if the number has 1 more, I look perfect.</v>
      </c>
    </row>
    <row r="14613">
      <c r="A14613" s="1">
        <v>5.0</v>
      </c>
      <c r="B14613" s="1" t="s">
        <v>14481</v>
      </c>
      <c r="C14613" t="str">
        <f>IFERROR(__xludf.DUMMYFUNCTION("GOOGLETRANSLATE(B14613, ""es"", ""en"")"),"Incredible A condenser microphone of high quality for the price it is necessary phantom power supply or a good sound card if you do not want to talk to the microphone stuck in his mouth. I would buy it without hesitation.")</f>
        <v>Incredible A condenser microphone of high quality for the price it is necessary phantom power supply or a good sound card if you do not want to talk to the microphone stuck in his mouth. I would buy it without hesitation.</v>
      </c>
    </row>
    <row r="14614">
      <c r="A14614" s="1">
        <v>5.0</v>
      </c>
      <c r="B14614" s="1" t="s">
        <v>14482</v>
      </c>
      <c r="C14614" t="str">
        <f>IFERROR(__xludf.DUMMYFUNCTION("GOOGLETRANSLATE(B14614, ""es"", ""en"")"),"It is as it is shown in the picture is very beautiful and blends perfectly. Piedomponerle not fault this product is perfect. I recommend it.")</f>
        <v>It is as it is shown in the picture is very beautiful and blends perfectly. Piedomponerle not fault this product is perfect. I recommend it.</v>
      </c>
    </row>
    <row r="14615">
      <c r="A14615" s="1">
        <v>5.0</v>
      </c>
      <c r="B14615" s="1" t="s">
        <v>14483</v>
      </c>
      <c r="C14615" t="str">
        <f>IFERROR(__xludf.DUMMYFUNCTION("GOOGLETRANSLATE(B14615, ""es"", ""en"")"),"Good Great Awesome works without any problem can be immersed in water without problem and even swimming at the beach without problem. Very happy")</f>
        <v>Good Great Awesome works without any problem can be immersed in water without problem and even swimming at the beach without problem. Very happy</v>
      </c>
    </row>
    <row r="14616">
      <c r="A14616" s="1">
        <v>5.0</v>
      </c>
      <c r="B14616" s="1" t="s">
        <v>14484</v>
      </c>
      <c r="C14616" t="str">
        <f>IFERROR(__xludf.DUMMYFUNCTION("GOOGLETRANSLATE(B14616, ""es"", ""en"")"),"Everything perfect already knew my size of this brand, so I remain perfect. They arrived as planned, without any defect and are very comfortable. The only thing I miss is the second pair of laces of another color that always included in the Skechers I buy"&amp;" in physical stores, but I gather that this practice depends on the model.")</f>
        <v>Everything perfect already knew my size of this brand, so I remain perfect. They arrived as planned, without any defect and are very comfortable. The only thing I miss is the second pair of laces of another color that always included in the Skechers I buy in physical stores, but I gather that this practice depends on the model.</v>
      </c>
    </row>
    <row r="14617">
      <c r="A14617" s="1">
        <v>5.0</v>
      </c>
      <c r="B14617" s="1" t="s">
        <v>14485</v>
      </c>
      <c r="C14617" t="str">
        <f>IFERROR(__xludf.DUMMYFUNCTION("GOOGLETRANSLATE(B14617, ""es"", ""en"")"),"Small and easy to use, although it is hotter than expected after several also uses heat up more than expected to stopped working and says not readable after formatting and try again to connect continues not readable, someone can tell me that or which may "&amp;"be the problem, thank you, by the way this happens in the car on the computer if it works")</f>
        <v>Small and easy to use, although it is hotter than expected after several also uses heat up more than expected to stopped working and says not readable after formatting and try again to connect continues not readable, someone can tell me that or which may be the problem, thank you, by the way this happens in the car on the computer if it works</v>
      </c>
    </row>
    <row r="14618">
      <c r="A14618" s="1">
        <v>5.0</v>
      </c>
      <c r="B14618" s="1" t="s">
        <v>14486</v>
      </c>
      <c r="C14618" t="str">
        <f>IFERROR(__xludf.DUMMYFUNCTION("GOOGLETRANSLATE(B14618, ""es"", ""en"")"),"Good buy good quality sound. Good quality.")</f>
        <v>Good buy good quality sound. Good quality.</v>
      </c>
    </row>
    <row r="14619">
      <c r="A14619" s="1">
        <v>2.0</v>
      </c>
      <c r="B14619" s="1" t="s">
        <v>14487</v>
      </c>
      <c r="C14619" t="str">
        <f>IFERROR(__xludf.DUMMYFUNCTION("GOOGLETRANSLATE(B14619, ""es"", ""en"")"),"I agree with the views of users decepcionades Slow, slow, but very slow in writing. I bought to carry my music collection in the car because it was the cheapest in the capacity of a recognized brand and because I have other SanDisk with which I am general"&amp;"ly happy, although not my favorite. I made the copy and does not pass the 12mb / s (peak and that is because between 5Mb / s and 12mb / s above) .In addition, as noted another user, the housing is a sort of skeleton methacrylate which gives the impression"&amp;" that carelessness can easily break. Makes me want to return. I hope that when reading really is as fast as advertised, because once you stop copying the mp3, do not think I will use it to write, but if the reading is also slower than the other memories 1"&amp;"28GB I have, going safe return.")</f>
        <v>I agree with the views of users decepcionades Slow, slow, but very slow in writing. I bought to carry my music collection in the car because it was the cheapest in the capacity of a recognized brand and because I have other SanDisk with which I am generally happy, although not my favorite. I made the copy and does not pass the 12mb / s (peak and that is because between 5Mb / s and 12mb / s above) .In addition, as noted another user, the housing is a sort of skeleton methacrylate which gives the impression that carelessness can easily break. Makes me want to return. I hope that when reading really is as fast as advertised, because once you stop copying the mp3, do not think I will use it to write, but if the reading is also slower than the other memories 128GB I have, going safe return.</v>
      </c>
    </row>
    <row r="14620">
      <c r="A14620" s="1">
        <v>3.0</v>
      </c>
      <c r="B14620" s="1" t="s">
        <v>14488</v>
      </c>
      <c r="C14620" t="str">
        <f>IFERROR(__xludf.DUMMYFUNCTION("GOOGLETRANSLATE(B14620, ""es"", ""en"")"),"Practicos comfortable and breathable")</f>
        <v>Practicos comfortable and breathable</v>
      </c>
    </row>
    <row r="14621">
      <c r="A14621" s="1">
        <v>3.0</v>
      </c>
      <c r="B14621" s="1" t="s">
        <v>14489</v>
      </c>
      <c r="C14621" t="str">
        <f>IFERROR(__xludf.DUMMYFUNCTION("GOOGLETRANSLATE(B14621, ""es"", ""en"")"),"Comfortable but expensive I take care my sister these shoes because I was going to London on vacation and had other models before but had lasted very little time the truth is that asked me to buy these for her but she is a little big she says I'll already"&amp;" comfortable saying such")</f>
        <v>Comfortable but expensive I take care my sister these shoes because I was going to London on vacation and had other models before but had lasted very little time the truth is that asked me to buy these for her but she is a little big she says I'll already comfortable saying such</v>
      </c>
    </row>
    <row r="14622">
      <c r="A14622" s="1">
        <v>1.0</v>
      </c>
      <c r="B14622" s="1" t="s">
        <v>14490</v>
      </c>
      <c r="C14622" t="str">
        <f>IFERROR(__xludf.DUMMYFUNCTION("GOOGLETRANSLATE(B14622, ""es"", ""en"")"),"Not stone arrived at the scheduled time, good packaging and in a box, even came with a cloth to limpiarlos.Por against, no stamp silver or stone anywhere, plus it does not seem stone, and that does not have the typical characteristic reflection of this st"&amp;"one it is that as a transparent resin have stuck on a surface shine.")</f>
        <v>Not stone arrived at the scheduled time, good packaging and in a box, even came with a cloth to limpiarlos.Por against, no stamp silver or stone anywhere, plus it does not seem stone, and that does not have the typical characteristic reflection of this stone it is that as a transparent resin have stuck on a surface shine.</v>
      </c>
    </row>
    <row r="14623">
      <c r="A14623" s="1">
        <v>1.0</v>
      </c>
      <c r="B14623" s="1" t="s">
        <v>14491</v>
      </c>
      <c r="C14623" t="str">
        <f>IFERROR(__xludf.DUMMYFUNCTION("GOOGLETRANSLATE(B14623, ""es"", ""en"")"),"Sleazy Unfortunately this model has poor quality! I took 9 years using this brand and they do not measure I had to buy back other older model")</f>
        <v>Sleazy Unfortunately this model has poor quality! I took 9 years using this brand and they do not measure I had to buy back other older model</v>
      </c>
    </row>
    <row r="14624">
      <c r="A14624" s="1">
        <v>1.0</v>
      </c>
      <c r="B14624" s="1" t="s">
        <v>14492</v>
      </c>
      <c r="C14624" t="str">
        <f>IFERROR(__xludf.DUMMYFUNCTION("GOOGLETRANSLATE(B14624, ""es"", ""en"")"),"Malo I bought the July 22 ..dejó working on 26 August without having used more than about 6 times ... money thrown away ... no longer can claim.")</f>
        <v>Malo I bought the July 22 ..dejó working on 26 August without having used more than about 6 times ... money thrown away ... no longer can claim.</v>
      </c>
    </row>
    <row r="14625">
      <c r="A14625" s="1">
        <v>4.0</v>
      </c>
      <c r="B14625" s="1" t="s">
        <v>14493</v>
      </c>
      <c r="C14625" t="str">
        <f>IFERROR(__xludf.DUMMYFUNCTION("GOOGLETRANSLATE(B14625, ""es"", ""en"")"),"Good for the price is not bad, however I think there are better blenders for slightly higher prices.")</f>
        <v>Good for the price is not bad, however I think there are better blenders for slightly higher prices.</v>
      </c>
    </row>
    <row r="14626">
      <c r="A14626" s="1">
        <v>4.0</v>
      </c>
      <c r="B14626" s="1" t="s">
        <v>14494</v>
      </c>
      <c r="C14626" t="str">
        <f>IFERROR(__xludf.DUMMYFUNCTION("GOOGLETRANSLATE(B14626, ""es"", ""en"")"),"Correct Order: Adjusted for the period, on the exact day. Product: Right, fast, lightweight and easy to install anything. To back up PC is great. I can not comment on other uses (game consoles, televisions, etc). The downside is that the cable is very sho"&amp;"rt (35 or 40 cm). Tip: If you are going to use on a desktop computer, as you can not move while copying, make sure there where support near the USB port or purchasing a longer cable.")</f>
        <v>Correct Order: Adjusted for the period, on the exact day. Product: Right, fast, lightweight and easy to install anything. To back up PC is great. I can not comment on other uses (game consoles, televisions, etc). The downside is that the cable is very short (35 or 40 cm). Tip: If you are going to use on a desktop computer, as you can not move while copying, make sure there where support near the USB port or purchasing a longer cable.</v>
      </c>
    </row>
    <row r="14627">
      <c r="A14627" s="1">
        <v>4.0</v>
      </c>
      <c r="B14627" s="1" t="s">
        <v>14495</v>
      </c>
      <c r="C14627" t="str">
        <f>IFERROR(__xludf.DUMMYFUNCTION("GOOGLETRANSLATE(B14627, ""es"", ""en"")"),"Horma not given option to choose last of the shoe, so it is too large (wine Wide, Narrow no). Until now they behave well in the rain, and the sole is very good and looks tough, and saves you from slipping.")</f>
        <v>Horma not given option to choose last of the shoe, so it is too large (wine Wide, Narrow no). Until now they behave well in the rain, and the sole is very good and looks tough, and saves you from slipping.</v>
      </c>
    </row>
    <row r="14628">
      <c r="A14628" s="1">
        <v>4.0</v>
      </c>
      <c r="B14628" s="1" t="s">
        <v>14496</v>
      </c>
      <c r="C14628" t="str">
        <f>IFERROR(__xludf.DUMMYFUNCTION("GOOGLETRANSLATE(B14628, ""es"", ""en"")"),"Okay! It is good quality and also reversible. The only thing is that color is not as vivid as it looks in the picture. It is a red duller.")</f>
        <v>Okay! It is good quality and also reversible. The only thing is that color is not as vivid as it looks in the picture. It is a red duller.</v>
      </c>
    </row>
    <row r="14629">
      <c r="A14629" s="1">
        <v>4.0</v>
      </c>
      <c r="B14629" s="1" t="s">
        <v>14497</v>
      </c>
      <c r="C14629" t="str">
        <f>IFERROR(__xludf.DUMMYFUNCTION("GOOGLETRANSLATE(B14629, ""es"", ""en"")"),"You have to take proper average size and more than the usual number is otherwise a defect estupenda.Por put the velcro strip a little short.")</f>
        <v>You have to take proper average size and more than the usual number is otherwise a defect estupenda.Por put the velcro strip a little short.</v>
      </c>
    </row>
    <row r="14630">
      <c r="A14630" s="1">
        <v>5.0</v>
      </c>
      <c r="B14630" s="1" t="s">
        <v>14498</v>
      </c>
      <c r="C14630" t="str">
        <f>IFERROR(__xludf.DUMMYFUNCTION("GOOGLETRANSLATE(B14630, ""es"", ""en"")"),"Comfortable and good quality took a few months with them, despite being high are very comfortable. The zero problems have washed and lose color and others. Good buy!")</f>
        <v>Comfortable and good quality took a few months with them, despite being high are very comfortable. The zero problems have washed and lose color and others. Good buy!</v>
      </c>
    </row>
    <row r="14631">
      <c r="A14631" s="1">
        <v>5.0</v>
      </c>
      <c r="B14631" s="1" t="s">
        <v>14499</v>
      </c>
      <c r="C14631" t="str">
        <f>IFERROR(__xludf.DUMMYFUNCTION("GOOGLETRANSLATE(B14631, ""es"", ""en"")"),"Something small compared to other carvings I use in most shoes 45, but these have to use the 46, but I've used before and knew what to ask.")</f>
        <v>Something small compared to other carvings I use in most shoes 45, but these have to use the 46, but I've used before and knew what to ask.</v>
      </c>
    </row>
    <row r="14632">
      <c r="A14632" s="1">
        <v>5.0</v>
      </c>
      <c r="B14632" s="1" t="s">
        <v>14500</v>
      </c>
      <c r="C14632" t="str">
        <f>IFERROR(__xludf.DUMMYFUNCTION("GOOGLETRANSLATE(B14632, ""es"", ""en"")"),"Good value for money is the first time I buy a cosmetic of this type and q really surprised me, refreshes and softens you enough. I give it 5 stars for the quality q price I found very good")</f>
        <v>Good value for money is the first time I buy a cosmetic of this type and q really surprised me, refreshes and softens you enough. I give it 5 stars for the quality q price I found very good</v>
      </c>
    </row>
    <row r="14633">
      <c r="A14633" s="1">
        <v>5.0</v>
      </c>
      <c r="B14633" s="1" t="s">
        <v>14501</v>
      </c>
      <c r="C14633" t="str">
        <f>IFERROR(__xludf.DUMMYFUNCTION("GOOGLETRANSLATE(B14633, ""es"", ""en"")"),"May I use it for podcasting, and is the perfect support, having had to return several, what I like least is that it is something plasticoso")</f>
        <v>May I use it for podcasting, and is the perfect support, having had to return several, what I like least is that it is something plasticoso</v>
      </c>
    </row>
    <row r="14634">
      <c r="A14634" s="1">
        <v>5.0</v>
      </c>
      <c r="B14634" s="1" t="s">
        <v>14502</v>
      </c>
      <c r="C14634" t="str">
        <f>IFERROR(__xludf.DUMMYFUNCTION("GOOGLETRANSLATE(B14634, ""es"", ""en"")"),"Such impressive as in the photo, well packed.")</f>
        <v>Such impressive as in the photo, well packed.</v>
      </c>
    </row>
    <row r="14635">
      <c r="A14635" s="1">
        <v>5.0</v>
      </c>
      <c r="B14635" s="1" t="s">
        <v>14503</v>
      </c>
      <c r="C14635" t="str">
        <f>IFERROR(__xludf.DUMMYFUNCTION("GOOGLETRANSLATE(B14635, ""es"", ""en"")"),"Perfect arrived very punctual. I think a blender of lifelong but modern. So far it is going well and I loved it. It looks so good.")</f>
        <v>Perfect arrived very punctual. I think a blender of lifelong but modern. So far it is going well and I loved it. It looks so good.</v>
      </c>
    </row>
    <row r="14636">
      <c r="A14636" s="1">
        <v>5.0</v>
      </c>
      <c r="B14636" s="1" t="s">
        <v>14504</v>
      </c>
      <c r="C14636" t="str">
        <f>IFERROR(__xludf.DUMMYFUNCTION("GOOGLETRANSLATE(B14636, ""es"", ""en"")"),"Content with great product")</f>
        <v>Content with great product</v>
      </c>
    </row>
    <row r="14637">
      <c r="A14637" s="1">
        <v>5.0</v>
      </c>
      <c r="B14637" s="1" t="s">
        <v>14505</v>
      </c>
      <c r="C14637" t="str">
        <f>IFERROR(__xludf.DUMMYFUNCTION("GOOGLETRANSLATE(B14637, ""es"", ""en"")"),"Terrific perfect")</f>
        <v>Terrific perfect</v>
      </c>
    </row>
    <row r="14638">
      <c r="A14638" s="1">
        <v>5.0</v>
      </c>
      <c r="B14638" s="1" t="s">
        <v>14506</v>
      </c>
      <c r="C14638" t="str">
        <f>IFERROR(__xludf.DUMMYFUNCTION("GOOGLETRANSLATE(B14638, ""es"", ""en"")"),"Bright and very beautiful is very bright and my mother loved. Thank seller")</f>
        <v>Bright and very beautiful is very bright and my mother loved. Thank seller</v>
      </c>
    </row>
    <row r="14639">
      <c r="A14639" s="1">
        <v>5.0</v>
      </c>
      <c r="B14639" s="1" t="s">
        <v>14507</v>
      </c>
      <c r="C14639" t="str">
        <f>IFERROR(__xludf.DUMMYFUNCTION("GOOGLETRANSLATE(B14639, ""es"", ""en"")"),"My wife no longer have the Great cold feet my wife no longer have cold, good and neither do I. feet. Works properly and heat it gives is fair, that if you always put it at full power.")</f>
        <v>My wife no longer have the Great cold feet my wife no longer have cold, good and neither do I. feet. Works properly and heat it gives is fair, that if you always put it at full power.</v>
      </c>
    </row>
    <row r="14640">
      <c r="A14640" s="1">
        <v>5.0</v>
      </c>
      <c r="B14640" s="1" t="s">
        <v>14508</v>
      </c>
      <c r="C14640" t="str">
        <f>IFERROR(__xludf.DUMMYFUNCTION("GOOGLETRANSLATE(B14640, ""es"", ""en"")"),"A bigger success is what I expected, very easy to assemble and fold. My baby is 1 year old and doing great, the GE material is tough enough. The truth very happy for my alo responds selling.")</f>
        <v>A bigger success is what I expected, very easy to assemble and fold. My baby is 1 year old and doing great, the GE material is tough enough. The truth very happy for my alo responds selling.</v>
      </c>
    </row>
    <row r="14641">
      <c r="A14641" s="1">
        <v>5.0</v>
      </c>
      <c r="B14641" s="1" t="s">
        <v>14509</v>
      </c>
      <c r="C14641" t="str">
        <f>IFERROR(__xludf.DUMMYFUNCTION("GOOGLETRANSLATE(B14641, ""es"", ""en"")"),"Perfect and highly recommended Stunning, takes to dry so be patient it's worth, if you change your mobile screen with this glue you can return the seal.")</f>
        <v>Perfect and highly recommended Stunning, takes to dry so be patient it's worth, if you change your mobile screen with this glue you can return the seal.</v>
      </c>
    </row>
    <row r="14642">
      <c r="A14642" s="1">
        <v>5.0</v>
      </c>
      <c r="B14642" s="1" t="s">
        <v>14510</v>
      </c>
      <c r="C14642" t="str">
        <f>IFERROR(__xludf.DUMMYFUNCTION("GOOGLETRANSLATE(B14642, ""es"", ""en"")"),"A success is great not having to sweat dripping mop. Durable and comfortable.")</f>
        <v>A success is great not having to sweat dripping mop. Durable and comfortable.</v>
      </c>
    </row>
    <row r="14643">
      <c r="A14643" s="1">
        <v>5.0</v>
      </c>
      <c r="B14643" s="1" t="s">
        <v>14511</v>
      </c>
      <c r="C14643" t="str">
        <f>IFERROR(__xludf.DUMMYFUNCTION("GOOGLETRANSLATE(B14643, ""es"", ""en"")"),"Delighted with the gift and the watch itself. I gave it to my father Reyes and was delighted. Quality is very good for the price you pay for and in addition to the naked eye, it looks like the typical Rolex lifetime. If you want to make a gift of this kin"&amp;"d for a person of middle age or older, acertarás. You saw a lot and do not think that this value is better.")</f>
        <v>Delighted with the gift and the watch itself. I gave it to my father Reyes and was delighted. Quality is very good for the price you pay for and in addition to the naked eye, it looks like the typical Rolex lifetime. If you want to make a gift of this kind for a person of middle age or older, acertarás. You saw a lot and do not think that this value is better.</v>
      </c>
    </row>
    <row r="14644">
      <c r="A14644" s="1">
        <v>5.0</v>
      </c>
      <c r="B14644" s="1" t="s">
        <v>14512</v>
      </c>
      <c r="C14644" t="str">
        <f>IFERROR(__xludf.DUMMYFUNCTION("GOOGLETRANSLATE(B14644, ""es"", ""en"")"),"Quality black sweatshirt, perfect price, perfect fits my son, I cojimos an M 1,76 but the measure is very happy with the purchase delgado.muy, repeat insurance")</f>
        <v>Quality black sweatshirt, perfect price, perfect fits my son, I cojimos an M 1,76 but the measure is very happy with the purchase delgado.muy, repeat insurance</v>
      </c>
    </row>
    <row r="14645">
      <c r="A14645" s="1">
        <v>5.0</v>
      </c>
      <c r="B14645" s="1" t="s">
        <v>14513</v>
      </c>
      <c r="C14645" t="str">
        <f>IFERROR(__xludf.DUMMYFUNCTION("GOOGLETRANSLATE(B14645, ""es"", ""en"")"),"Excellent. Another essential video on my computer. As a second wireless microphone has already saved me several times. Or because someone asks for a micro at the last minute or because suddenly the client tells you that there are two interviewed at a time"&amp;". Excellent quality for yourself. And if you add a micro tie goes well. But it does not accept much distance 10 meters interview works well. I've tried with MK40 and built micro behaves almost the same. So excellent.")</f>
        <v>Excellent. Another essential video on my computer. As a second wireless microphone has already saved me several times. Or because someone asks for a micro at the last minute or because suddenly the client tells you that there are two interviewed at a time. Excellent quality for yourself. And if you add a micro tie goes well. But it does not accept much distance 10 meters interview works well. I've tried with MK40 and built micro behaves almost the same. So excellent.</v>
      </c>
    </row>
    <row r="14646">
      <c r="A14646" s="1">
        <v>5.0</v>
      </c>
      <c r="B14646" s="1" t="s">
        <v>14514</v>
      </c>
      <c r="C14646" t="str">
        <f>IFERROR(__xludf.DUMMYFUNCTION("GOOGLETRANSLATE(B14646, ""es"", ""en"")"),"Amazing value !!! Precious gift &lt;div id = ""video-block-R2MWH5JA9E1WW2"" class = ""section a-a-a-spacing-small spacing-top-video mini-block""&gt; &lt;div tabindex = ""0"" class = ""airy airy- svg vmin-supported airy-skin-beacon ""style ="" background-color: rgb"&amp;" (0, 0, 0) position: relative; width: 100%; height: 100%; font-size: 0px; overflow: hidden; outline: none; ""&gt; &lt;div class ="" airy-renderer-container ""style ="" position: relative; height: 100%; width: 100%; ""&gt; &lt;video id ="" 7 ""preload ="" auto ""src ="&amp;" ""https://images-eu.ssl-images-amazon.com/images/I/91shtH61aYS.mp4"" style = ""position: absolute; left: 0px; top: 0px; overflow: hidden; height: 1px; width: 1px; ""&gt; &lt;/ video&gt; &lt;/ div&gt; &lt;div id ="" airy-slate-preload ""style ="" background-color: rgb (0, "&amp;"0, 0); background-image: url (&amp; quot; https: / /images-eu.ssl-images-amazon.com/images/I/81PciiPDpRS.png&amp;quot;); background-size: Contain; background-position: center center; background-repeat: no-repeat; position: absolute; top: 0px; left: 0px; visibilit"&amp;"y: visible; width: 100%; height: 100%; ""&gt; &lt;/ div&gt; &lt;iframe scrol ling = ""no"" frameborder = ""0"" src = ""about: blank"" style = ""display: none;""&gt; &lt;/ iframe&gt; &lt;div tabindex = ""- 1"" class = ""airy-controls-container"" style = "" opacity: 0; visibility:"&amp;" hidden; ""&gt; &lt;div tabindex ="" - 1 ""class ="" airy-screen-size-toggle airy-fullscreen ""&gt; &lt;/ div&gt; &lt;div tabindex ="" - 1 ""class ="" airy-container-bottom "" &gt; &lt;div tabindex = ""- 1"" class = ""airy-track-bar-spacer-left"" style = ""width: 11px;""&gt; &lt;/ div"&amp;"&gt; &lt;div tabindex = ""- 1"" class = ""airy-play- airy toggle-play ""style ="" width: 12px; margin-right: 12px; ""&gt; &lt;/ div&gt; &lt;div tabindex ="" - 1 ""class ="" airy-audio-elements ""style ="" float: right; width: 34px; ""&gt; &lt;div tabindex ="" - 1 ""class ="" air"&amp;"y-audio-toggle airy-on ""&gt; &lt;/ div&gt; &lt;div tabindex ="" - 1 ""class ="" airy-audio-container ""style = ""opacity: 0; visibility: hidden; ""&gt; &lt;div tabindex ="" - 1 ""class ="" airy-audio-track-bar ""style ="" height: 80%; ""&gt; &lt;div tabindex ="" - 1 ""class ="""&amp;" airy-audio- Scrubber-bar ""style ="" height: 85%; ""&gt; &lt;/ div&gt; &lt;div tabindex ="" - 1 ""class ="" airy-audio-scrubber ""style ="" height: 12px; bottom: 85% ""&gt; &lt;/ div&gt; &lt;/ div&gt; &lt;/ div&gt; &lt;/ div&gt; &lt;div tabindex ="" - 1 ""class ="" airy-duration-label ""style ="&amp;""" float: right; width: 26px; margin-right: 4px; text-align: center; ""&gt; 0:00 &lt;/ div&gt; &lt;div tabindex ="" - 1 ""class ="" airy-track-bar-spacer-right ""style ="" float: right; width: 11px; ""&gt; &lt;/ div&gt; &lt;div tabindex ="" - 1 ""class ="" airy-track-bar-contain"&amp;"er ""style ="" margin-left: 35px; margin-right: 75px; ""&gt; &lt;div tabindex ="" - 1 ""class ="" airy-airy-track-bar vertically-centering-table ""&gt; &lt;div tabindex ="" - 1 ""class ="" airy-Vertical-centering- table-cell ""&gt; &lt;div tabindex ="" - 1 ""class ="" airy"&amp;"-track-bar-elements ""&gt; &lt;div tabindex ="" - 1 ""class ="" airy-progress-bar ""&gt; &lt;/ div&gt; &lt;div tabindex = ""- 1"" class = ""airy-scrubber-bar""&gt; &lt;/ div&gt; &lt;div tabindex = ""- 1"" class = ""airy-scrubber""&gt; &lt;div tabindex = ""- 1"" class = ""airy-scrubber- icon"&amp;" ""&gt; &lt;/ div&gt; &lt;div tabindex ="" - 1 ""class ="" airy-adjusted-AUI-tooltip ""style ="" opacity: 0; visibility: hidden; ""&gt; &lt;div tabindex ="" - 1 ""class ="" airy-adjusted-aui-tooltip-inner ""&gt; &lt;div tabindex ="" - 1 ""class ="" airy-current-time-label ""&gt; 0:"&amp;" 00 &lt;/ div&gt; &lt;/ div&gt; &lt;div tabindex = ""- 1"" class = ""airy-adjusted-AUI-arrow-border""&gt; &lt;div tabindex = ""- 1"" class = ""airy-adjusted-AUI-arrow"" &gt; &lt;/ div&gt; &lt;/ div&gt; &lt;/ div&gt; &lt;/ div&gt; &lt;/ div&gt; &lt;/ div&gt; &lt;/ div&gt; &lt;/ div&gt; &lt;/ div&gt; &lt;/ div&gt; &lt;div tabindex = ""- 1"" c"&amp;"lass = ""airy-age-gate airy-stage airy-Vertical-centering-table airy-dialog"" style = ""opacity: 0; visibility: hidden; ""&gt; &lt;div tabindex ="" - 1 ""class ="" airy-age-gate-Vertical-centering-table-cell airy-Vertical-centering-table-cell ""&gt; &lt;div tabindex "&amp;"="" - 1 ""class = ""airy-Vertical-centering-wrapper airy-age-gate-elements-wrapper""&gt; &lt;div tabindex = ""- 1"" class = ""airy-age-gate-elements airy-dialog-elements""&gt; &lt;div tabindex = "" -1 ""class ="" airy-age-gate-prompt ""&gt; This video is not Intended fo"&amp;"r all audiences What date were you born &lt;/ div&gt; &lt;div tabindex =.?"" - 1 ""class ="" airy-age-gate -inputs airy-dialog-inner-elements ""&gt; &lt;select tabindex ="" - 1 ""class ="" airy-age-gate-month ""&gt; &lt;option value ="" 1 ""&gt; January &lt;/ option&gt; &lt;option value "&amp;"="" 2 ""&gt; February &lt;/ option&gt; &lt;option value ="" 3 ""&gt; March &lt;/ option&gt; &lt;option value ="" 4 ""&gt; April &lt;/ option&gt; &lt;option value ="" 5 ""&gt; May &lt;/ option&gt; &lt;option value = ""6""&gt; June &lt;/ option&gt; &lt;option value = ""7""&gt; July &lt;/ option&gt; &lt;option value = ""8""&gt; Aug"&amp;"ust &lt;/ option&gt; &lt;option value = ""9""&gt; September &lt;/ option&gt; &lt;option value = ""10""&gt; October &lt;/ option&gt; &lt;option value = ""11""&gt; November &lt;/ option&gt; &lt;option value = ""12""&gt; December &lt;/ option&gt; &lt;/ select&gt; &lt;select tabindex = ""- 1"" class = ""airy-age-gate-day"&amp;"""&gt; &lt;opti on value = ""1""&gt; 1 &lt;/ option&gt; &lt;option value = ""2""&gt; 2 &lt;/ option&gt; &lt;option value = ""3""&gt; 3 &lt;/ option&gt; &lt;option value = ""4""&gt; 4 &lt;/ option &gt; &lt;option value = ""5""&gt; 5 &lt;/ option&gt; &lt;option value = ""6""&gt; 6 &lt;/ option&gt; &lt;option value = ""7""&gt; 7 &lt;/ optio"&amp;"n&gt; &lt;option value = ""8""&gt; 8 &lt; / option&gt; &lt;option value = ""9""&gt; 9 &lt;/ option&gt; &lt;option value = ""10""&gt; 10 &lt;/ option&gt; &lt;option value = ""11""&gt; 11 &lt;/ option&gt; &lt;option value = ""12""&gt; 12 &lt;/ option&gt; &lt;option value = ""13""&gt; 13 &lt;/ option&gt; &lt;option value = ""14""&gt; 14 "&amp;"&lt;/ option&gt; &lt;option value = ""15""&gt; 15 &lt;/ option&gt; &lt;option value = ""16 ""&gt; 16 &lt;/ option&gt; &lt;option value ="" 17 ""&gt; 17 &lt;/ option&gt; &lt;option value ="" 18 ""&gt; 18 &lt;/ option&gt; &lt;option value ="" 19 ""&gt; 19 &lt;/ option&gt; &lt;option value = ""20""&gt; 20 &lt;/ option&gt; &lt;option valu"&amp;"e = ""21""&gt; 21 &lt;/ option&gt; &lt;option value = ""22""&gt; 22 &lt;/ option&gt; &lt;option value = ""23""&gt; 23 &lt;/ option&gt; &lt;option value = ""24""&gt; 24 &lt;/ option&gt; &lt;option value = ""25""&gt; 25 &lt;/ option&gt; &lt;option value = ""26""&gt; 26 &lt;/ option&gt; &lt;option value = ""27""&gt; 27 &lt;/ option&gt; &lt;"&amp;"option value = ""28""&gt; 28 &lt;/ option&gt; &lt;option value = ""29""&gt; 29 &lt;/ option&gt; &lt;option value = ""30""&gt; 30 &lt;/ option&gt; &lt;option value = ""31""&gt; 31 &lt;/ option&gt; &lt;/ select&gt; &lt;select tabindex = ""- 1"" class = ""airy-age-gate-year""&gt; &lt;option value = ""2019""&gt; 2019 &lt;/ "&amp;"option&gt; &lt; option value = ""2018""&gt; 2018 &lt;/ option&gt; &lt;option value = ""2017""&gt; 2017 &lt;/ option&gt; &lt;option value = ""2016""&gt; ​​2016 &lt;/ option&gt; &lt;option value = ""2015""&gt; 2015 &lt;/ option &gt; &lt;option value = ""2014""&gt; 2014 &lt;/ option&gt; &lt;option value = ""2013""&gt; 2013 &lt;/"&amp;" option&gt; &lt;option value = ""2012""&gt; 2012 &lt;/ option&gt; &lt;option value = ""2011""&gt; 2011 &lt; / option&gt; &lt;option value = ""2010""&gt; 2010 &lt;/ option&gt; &lt;option value = ""2009""&gt; 2009 &lt;/ option&gt; &lt;option value = ""2008""&gt; 2008 &lt;/ option&gt; &lt;option value = ""2007""&gt; 2007 &lt;/ o"&amp;"ption&gt; &lt;option value = ""2006""&gt; 2006 &lt;/ option&gt; &lt;option value = ""2005""&gt; 2005 &lt;/ option&gt; &lt;option value = ""2004""&gt; 2004 &lt;/ option&gt; &lt;option value = ""2003 ""&gt; 2003 &lt;/ option&gt; &lt;option value ="" 2002 ""&gt; 2002 &lt;/ option&gt; &lt;option value ="" 2001 ""&gt; 2001 &lt;/ o"&amp;"ption&gt; &lt;option value ="" 2000 ""&gt; 2000 &lt;/ option&gt; &lt;option value = ""1999""&gt; 1999 &lt;/ option&gt; &lt;option value = ""1998""&gt; 1998 &lt;/ option&gt; &lt;option value = ""1997""&gt; 1997 &lt;/ option&gt; &lt;option value = ""1996""&gt; 1996 &lt;/ option&gt; &lt;option value = ""1995""&gt; 1995 &lt;/ opt"&amp;"ion&gt; &lt;option value = ""1994""&gt; 1994 &lt;/ option&gt; &lt;option value = ""1993""&gt; 1993 &lt;/ option&gt; &lt;option value = ""1992""&gt; 1992 &lt;/ option&gt; &lt;option value = ""1991""&gt; 1991 &lt;/ option&gt; &lt;option value = ""1990""&gt; 1990 &lt;/ option&gt; &lt;option value = "" 1989 ""&gt; 1989 &lt;/ opti"&amp;"on&gt; &lt;option value ="" 1988 ""&gt; 1988 &lt;/ option&gt; &lt;option value ="" 1987 ""&gt; 1987 &lt;/ option&gt; &lt;option value ="" 1986 ""&gt; 1986 &lt;/ option&gt; &lt;value option = ""1985""&gt; 1985 &lt;/ option&gt; &lt;option value = ""1984""&gt; 1984 &lt;/ option&gt; &lt;option value = ""1983""&gt; 1983 &lt;/ opti"&amp;"on&gt; &lt;option value = ""1982""&gt; 1982 &lt;/ option&gt; &lt; option value = ""1981""&gt; 1981 &lt;/ option&gt; &lt;option value = ""1980""&gt; 1980 &lt;/ option&gt; &lt;option value = ""1979""&gt; 1979 &lt;/ option&gt; &lt;option value = ""1978""&gt; 1978 &lt;/ option &gt; &lt;option value = ""1977""&gt; 1977 &lt;/ optio"&amp;"n&gt; &lt;option value = ""1976""&gt; 1976 &lt;/ option&gt; &lt;option value = ""1975""&gt; 1975 &lt;/ option&gt; &lt;option value = ""1974""&gt; 1974 &lt; / option&gt; &lt;option value = ""1973""&gt; 1973 &lt;/ option&gt; &lt;option value = ""1972""&gt; 1972 &lt;/ option&gt; &lt;option value = ""1971""&gt; 1971 &lt;/ option&gt;"&amp;" &lt;option value = ""1970""&gt; 1970 &lt;/ option&gt; &lt;option value = ""1969""&gt; 1969 &lt;/ option&gt; &lt;option value = ""1968""&gt; 1968 &lt;/ option&gt; &lt;option value = ""1967""&gt; 1967 &lt;/ option&gt; &lt;option value = ""1966 ""&gt; 1966 &lt;/ option&gt; &lt;option value ="" 1965 ""&gt; 1965 &lt;/ option&gt; "&amp;"&lt;option value ="" 1964 ""&gt; 1964 &lt;/ option&gt; &lt;option value ="" 1963 ""&gt; 1963 &lt;/ option&gt; &lt;option value = ""1962""&gt; 1962 &lt;/ option&gt; &lt;option value = ""1961""&gt; 1961 &lt;/ option&gt; &lt;option value = ""1960""&gt; 1960 &lt;/ op tion&gt; &lt;option value = ""1959""&gt; 1959 &lt;/ option&gt; "&amp;"&lt;option value = ""1958""&gt; 1958 &lt;/ option&gt; &lt;option value = ""1957""&gt; 1957 &lt;/ option&gt; &lt;option value = ""1956""&gt; 1956 &lt;/ option&gt; &lt;option value = ""1955""&gt; 1955 &lt;/ option&gt; &lt;option value = ""1954""&gt; 1954 &lt;/ option&gt; &lt;option value = ""1953""&gt; 1953 &lt;/ option&gt; &lt;op"&amp;"tion value = ""1952"" &gt; 1952 &lt;/ option&gt; &lt;option value = ""1951""&gt; 1951 &lt;/ option&gt; &lt;option value = ""1950""&gt; 1950 &lt;/ option&gt; &lt;option value = ""1949""&gt; 1949 &lt;/ option&gt; &lt;option value = "" 1948 ""&gt; 1948 &lt;/ option&gt; &lt;option value ="" 1947 ""&gt; 1947 &lt;/ option&gt; &lt;o"&amp;"ption value ="" 1946 ""&gt; 1946 &lt;/ option&gt; &lt;option value ="" 1945 ""&gt; 1945 &lt;/ option&gt; &lt;value option = ""1944""&gt; 1944 &lt;/ option&gt; &lt;option value = ""1943""&gt; 1943 &lt;/ option&gt; &lt;option value = ""1942""&gt; 1942 &lt;/ option&gt; &lt;option value = ""1941""&gt; 1941 &lt;/ option&gt; &lt; o"&amp;"ption value = ""1940""&gt; 1940 &lt;/ option&gt; &lt;option value = ""1939""&gt; 1939 &lt;/ option&gt; &lt;option value = ""1938""&gt; 1938 &lt;/ option&gt; &lt;option value = ""1937""&gt; 1937 &lt;/ option &gt; &lt;option value = ""1936""&gt; 1936 &lt;/ option&gt; &lt;option value = ""1935""&gt; 1935 &lt;/ option&gt; &lt;opt"&amp;"ion value = ""1934""&gt; 1934 &lt;/ option&gt; &lt;option value = ""1933""&gt; 1933 &lt; / option&gt; &lt;option value = ""1932""&gt; 1932 &lt;/ option&gt; &lt;option value = ""1931""&gt; 1931 &lt;/ option&gt; &lt;option v alue = ""1930""&gt; 1930 &lt;/ option&gt; &lt;option value = ""1929""&gt; 1929 &lt;/ option&gt; &lt;opti"&amp;"on value = ""1928""&gt; 1928 &lt;/ option&gt; &lt;option value = ""1927""&gt; 1927 &lt;/ option&gt; &lt;option value = ""1926""&gt; 1926 &lt;/ option&gt; &lt;option value = ""1925""&gt; 1925 &lt;/ option&gt; &lt;option value = ""1924""&gt; 1924 &lt;/ option&gt; &lt;option value = ""1923""&gt; 1923 &lt;/ option&gt; &lt;option "&amp;"value = ""1922""&gt; 1922 &lt;/ option&gt; &lt;option value = ""1921""&gt; 1921 &lt;/ option&gt; &lt;option value = ""1920""&gt; 1920 &lt;/ option&gt; &lt;option value = ""1919""&gt; 1919 &lt;/ option&gt; &lt;option value = ""1918""&gt; 1918 &lt;/ option&gt; &lt;option value = ""1917""&gt; 1917 &lt;/ option&gt; &lt;option val"&amp;"ue = ""1916""&gt; 1916 &lt;/ option&gt; &lt;option value = ""1915"" &gt; 1915 &lt;/ option&gt; &lt;option value = ""1914""&gt; 1914 &lt;/ option&gt; &lt;option value = ""1913""&gt; 1913 &lt;/ option&gt; &lt;option value = ""1912""&gt; 1912 &lt;/ option&gt; &lt;option value = "" 1911 ""&gt; 1911 &lt;/ option&gt; &lt;option val"&amp;"ue ="" 1910 ""&gt; 1910 &lt;/ option&gt; &lt;option value ="" 1909 ""&gt; 1909 &lt;/ option&gt; &lt;option value ="" 1908 ""&gt; 1908 &lt;/ option&gt; &lt;value option = ""1907""&gt; 1907 &lt;/ option&gt; &lt;option value = ""1906""&gt; 1906 &lt;/ option&gt; &lt;option value = ""1905""&gt; 1905 &lt;/ option&gt; &lt;option val"&amp;"ue = ""1904""&gt; 1904 &lt;/ option&gt; &lt; option value = ""1903""&gt; 1903 &lt;/ option&gt; &lt;option value = ""1902""&gt; 1902 &lt;/ option&gt; &lt;option value = ""1901""&gt; 19 01 &lt;/ option&gt; &lt;option value = ""1900""&gt; 1900 &lt;/ option&gt; &lt;/ select&gt; &lt;div tabindex = ""- 1"" class = ""airy-age-"&amp;"gate-submit airy-submit-button airy airy-submit- disabled ""&gt; Submit &lt;/ div&gt; &lt;/ div&gt; &lt;/ div&gt; &lt;/ div&gt; &lt;/ div&gt; &lt;/ div&gt; &lt;div tabindex ="" - 1 ""class ="" airy-install-flash-dialog airy-stage airy -vertical-centering-table-dialog airy airy-denied ""style ="" "&amp;"opacity: 0; visibility: hidden; ""&gt; &lt;div tabindex ="" - 1 ""class ="" airy-install-flash-Vertical-centering-table-cell airy-Vertical-centering-table-cell ""&gt; &lt;div tabindex ="" - 1 ""class = ""airy-Vertical-centering-wrapper airy-install-flash-elements-wra"&amp;"pper""&gt; &lt;div tabindex = ""- 1"" class = ""airy-install-flash-elements airy-dialog-elements""&gt; &lt;div tabindex = "" -1 ""class ="" airy-install-flash-prompt ""&gt; Adobe Flash Player is required to watch this video &lt;/ div&gt; &lt;div tabindex =."" - 1 ""class ="" air"&amp;"y-install-flash-button-wrapper airy -dialog-inner-elements ""&gt; &lt;div tabindex ="" - 1 ""class ="" airy-install-flash-button airy-button ""&gt; install Flash Player &lt;/ div&gt; &lt;/ div&gt; &lt;/ div&gt; &lt;/ div&gt; &lt;/ div&gt; &lt;/ div&gt; &lt;div tabindex = ""- 1"" class = ""airy-video-un"&amp;"supported-dialog airy-stage airy-Vertical-centering-table airy-dialog airy-denied"" style = ""opacity: 0; visibility: hidden; ""&gt; &lt;div tabindex ="" - 1 ""class ="" airy-video-unsupported-Vertical-centering-table-cell airy-Vertical-centering-table-cell ""&gt;"&amp;" &lt;div tabindex ="" - 1 ""class = ""airy-Vertical-centering-wrapper airy-video-unsupported-elements-wrapper""&gt; &lt;div tabindex = ""- 1"" class = ""airy-video-unsupported-elements airy-dialog-elements""&gt; &lt;div tabindex = "" -1 ""class ="" airy-video-unsupporte"&amp;"d-prompt ""&gt; &lt;/ div&gt; &lt;/ div&gt; &lt;/ div&gt; &lt;/ div&gt; &lt;/ div&gt; &lt;div tabindex ="" - 1 ""class ="" airy-loading- spinner-stage airy-stage ""&gt; &lt;div tabindex ="" - 1 ""class ="" airy-loading-spinner-Vertical-centering-table-cell airy-Vertical-centering-table-cell ""&gt; &lt;"&amp;"div tabindex ="" - 1 ""class ="" airy-loading-spinner-container airy-scalable-hint-container ""&gt; &lt;div tabindex ="" - 1 ""class ="" airy-loading-spinner-dummy airy-scalable-dummy ""&gt; &lt;/ div&gt; &lt; div tabindex = ""- 1"" class = ""airy-loading-spinner airy-hint"&amp;""" style = ""visibility: hidden;""&gt; &lt;/ div&gt; &lt;/ div&gt; &lt;/ div&gt; &lt;/ div&gt; &lt;div tabindex = ""- 1 ""class ="" airy-ads-screen-size-toggle airy-screen-size-toggle-fullscreen airy ""style ="" visibility: hidden; ""&gt; &lt;/ div&gt; &lt;div tabindex = ""-1"" class = ""airy-ad-"&amp;"prompt-container"" style = ""visibility: hidden;""&gt; &lt;div tabindex = ""- 1"" class = ""airy-ad-prompt-Vertical-centering-table-vertically airy centering-table ""&gt; &lt;div tabindex ="" - 1 ""class ="" airy-ad-prompt-Vertical-centering-table-cell airy-Vertical-"&amp;"centering-table-cell ""&gt; &lt;div tabindex ="" - 1 ""class = ""airy-ad-prompt-label""&gt; &lt;/ div&gt; &lt;/ div&gt; &lt;/ div&gt; &lt;/ div&gt; &lt;div tabindex = ""- 1"" class = ""airy-ads-controls-container"" style = ""visibility: hidden; ""&gt; &lt;div tabindex ="" - 1 ""class ="" airy-ads"&amp;"-audio-toggle airy-audio-toggle airy-on ""style ="" visibility: hidden; ""&gt; &lt;/ div&gt; &lt;div tabindex ="" - 1 ""class ="" airy-time-remaining-label-container ""&gt; &lt;div tabindex ="" - 1 ""class ="" airy-time-remaining-Vertical-centering-table airy-Vertical-cent"&amp;"ering-table ""&gt; &lt;div tabindex = ""- 1"" class = ""airy-time-remaining-Vertical-centering-table-cell airy-Vertical-centering-table-cell""&gt; &lt;div tabindex = ""- 1"" class = ""airy-Vertical-centering-wrapper airy-time-remaining-label-wrapper ""&gt; &lt;div tabindex"&amp;" ="" - 1 ""class ="" airy-time-remaining-label ""style ="" visibility: hidden; ""&gt; &lt;/ div&gt; &lt;div tabi ndex = ""- 1"" class = ""airy-ad-skip"" style = ""visibility: hidden;""&gt; &lt;/ div&gt; &lt;div tabindex = ""- 1"" class = ""airy-ad-end"" style = ""visibility: hid"&amp;"den ""&gt; &lt;/ div&gt; &lt;/ div&gt; &lt;/ div&gt; &lt;/ div&gt; &lt;/ div&gt; &lt;div tabindex ="" - 1 ""class ="" airy-learn-more ""style ="" visibility: hidden; ""&gt; &lt;/ div&gt; &lt;/ div&gt; &lt;div tabindex = ""- 1"" class = ""airy-play-toggle-hint-stage airy-stage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-toggle-hint hint airy-airy-play-hint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images-eu ."&amp;"ssl-images-amazon.com / images / I / 91shtH61aYS.mp4 ""Class ="" video-url ""&gt; &lt;input type ="" hidden ""name ="" ""value ="" https://images-eu.ssl-images-amazon.com/images/I/81PciiPDpRS.png ""class ="" video-slate-img-url ""&gt; &amp; nbsp; It comes in a nice bo"&amp;"x. Their quality is exceptional. It fits great on the wrist. It is sterling silver because I'm allergic to other materials and is I feel great !! It is very thin and elegant. Glisten bright incredible !!! It is ideal gift for both your partner, friend or "&amp;"relative. I am delighted with it. I recommend it 100%")</f>
        <v>Amazing value !!! Precious gift &lt;div id = "video-block-R2MWH5JA9E1WW2" class = "section a-a-a-spacing-small spacing-top-video mini-block"&gt; &lt;div tabindex = "0" class = "airy airy- svg vmin-supported airy-skin-beacon "style =" background-color: rgb (0, 0, 0) position: relative; width: 100%; height: 100%; font-size: 0px; overflow: hidden; outline: none; "&gt; &lt;div class =" airy-renderer-container "style =" position: relative; height: 100%; width: 100%; "&gt; &lt;video id =" 7 "preload =" auto "src = "https://images-eu.ssl-images-amazon.com/images/I/91shtH61aYS.mp4" style = "position: absolute; left: 0px; top: 0px; overflow: hidden; height: 1px; width: 1px; "&gt; &lt;/ video&gt; &lt;/ div&gt; &lt;div id =" airy-slate-preload "style =" background-color: rgb (0, 0, 0); background-image: url (&amp; quot; https: / /images-eu.ssl-images-amazon.com/images/I/81PciiPDpRS.png&amp;quot;); background-size: Contain; background-position: center center; background-repeat: no-repeat; position: absolute; top: 0px; left: 0px; visibility: visible; width: 100%; height: 100%; "&gt; &lt;/ div&gt; &lt;iframe scrol 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91shtH61aYS.mp4 "Class =" video-url "&gt; &lt;input type =" hidden "name =" "value =" https://images-eu.ssl-images-amazon.com/images/I/81PciiPDpRS.png "class =" video-slate-img-url "&gt; &amp; nbsp; It comes in a nice box. Their quality is exceptional. It fits great on the wrist. It is sterling silver because I'm allergic to other materials and is I feel great !! It is very thin and elegant. Glisten bright incredible !!! It is ideal gift for both your partner, friend or relative. I am delighted with it. I recommend it 100%</v>
      </c>
    </row>
    <row r="14647">
      <c r="A14647" s="1">
        <v>5.0</v>
      </c>
      <c r="B14647" s="1" t="s">
        <v>14515</v>
      </c>
      <c r="C14647" t="str">
        <f>IFERROR(__xludf.DUMMYFUNCTION("GOOGLETRANSLATE(B14647, ""es"", ""en"")"),"A very practical assortment of correíllas with velcro. They come in a package of 16 units in eight different colors and facilitate the classification of wire colors for construction projects and networks, to order the tools, cords, wires, cables etc. adju"&amp;"stable, durable and reusable are able to unite them to get one higher dimension. Are easy collation, fit each correílla is 30 cm x 2cm. I recommend is a great system management is just leaving untidy cables 100% effective")</f>
        <v>A very practical assortment of correíllas with velcro. They come in a package of 16 units in eight different colors and facilitate the classification of wire colors for construction projects and networks, to order the tools, cords, wires, cables etc. adjustable, durable and reusable are able to unite them to get one higher dimension. Are easy collation, fit each correílla is 30 cm x 2cm. I recommend is a great system management is just leaving untidy cables 100% effective</v>
      </c>
    </row>
    <row r="14648">
      <c r="A14648" s="1">
        <v>2.0</v>
      </c>
      <c r="B14648" s="1" t="s">
        <v>14516</v>
      </c>
      <c r="C14648" t="str">
        <f>IFERROR(__xludf.DUMMYFUNCTION("GOOGLETRANSLATE(B14648, ""es"", ""en"")"),"Maybe the good cushioning for paths, hard surfaces and slopes not too loose. Cushioning but little stability at the front and on wet ground, with stones and downs are bad. They are not expected.")</f>
        <v>Maybe the good cushioning for paths, hard surfaces and slopes not too loose. Cushioning but little stability at the front and on wet ground, with stones and downs are bad. They are not expected.</v>
      </c>
    </row>
    <row r="14649">
      <c r="A14649" s="1">
        <v>3.0</v>
      </c>
      <c r="B14649" s="1" t="s">
        <v>14517</v>
      </c>
      <c r="C14649" t="str">
        <f>IFERROR(__xludf.DUMMYFUNCTION("GOOGLETRANSLATE(B14649, ""es"", ""en"")"),"Less than expected The shoes are nice, I still expected and arrived on time. That if the transport agency seemed a bit disorganized. I was offered the chance to pick them up for their facilities and when I had them in distribution and box arrived broken. "&amp;"As for the shoe despite its characteristics said to be breathable, it seems to me that transpire little or nothing, certainly by its fully synthetic composition.")</f>
        <v>Less than expected The shoes are nice, I still expected and arrived on time. That if the transport agency seemed a bit disorganized. I was offered the chance to pick them up for their facilities and when I had them in distribution and box arrived broken. As for the shoe despite its characteristics said to be breathable, it seems to me that transpire little or nothing, certainly by its fully synthetic composition.</v>
      </c>
    </row>
    <row r="14650">
      <c r="A14650" s="1">
        <v>3.0</v>
      </c>
      <c r="B14650" s="1" t="s">
        <v>14518</v>
      </c>
      <c r="C14650" t="str">
        <f>IFERROR(__xludf.DUMMYFUNCTION("GOOGLETRANSLATE(B14650, ""es"", ""en"")"),"good quality and excellent low for lovers very predominant low low excellent, perfect for those who love the bass, which is not my case, I had before about CX150 and I personally like much more because they had a sound much clearer and cleaner, these are "&amp;"very low powered and personally I do not like anything, try to solve it with an equalizer. Regarding the quality of the product no objections")</f>
        <v>good quality and excellent low for lovers very predominant low low excellent, perfect for those who love the bass, which is not my case, I had before about CX150 and I personally like much more because they had a sound much clearer and cleaner, these are very low powered and personally I do not like anything, try to solve it with an equalizer. Regarding the quality of the product no objections</v>
      </c>
    </row>
    <row r="14651">
      <c r="A14651" s="1">
        <v>1.0</v>
      </c>
      <c r="B14651" s="1" t="s">
        <v>14519</v>
      </c>
      <c r="C14651" t="str">
        <f>IFERROR(__xludf.DUMMYFUNCTION("GOOGLETRANSLATE(B14651, ""es"", ""en"")"),"I doubt very poor presentation that are original. They come in a box. No way. You come in a plastic bag. Without any documentation or protection")</f>
        <v>I doubt very poor presentation that are original. They come in a box. No way. You come in a plastic bag. Without any documentation or protection</v>
      </c>
    </row>
    <row r="14652">
      <c r="A14652" s="1">
        <v>1.0</v>
      </c>
      <c r="B14652" s="1" t="s">
        <v>14520</v>
      </c>
      <c r="C14652" t="str">
        <f>IFERROR(__xludf.DUMMYFUNCTION("GOOGLETRANSLATE(B14652, ""es"", ""en"")"),"Bonus of 5 euros that belongs to me. This product will not be returned by my size, but had a bonus of 5 euros, from a previous purchase, which I coupled to the product, as has been returned, asked me to give bonus on purchases cited posteriores.Gracias.")</f>
        <v>Bonus of 5 euros that belongs to me. This product will not be returned by my size, but had a bonus of 5 euros, from a previous purchase, which I coupled to the product, as has been returned, asked me to give bonus on purchases cited posteriores.Gracias.</v>
      </c>
    </row>
    <row r="14653">
      <c r="A14653" s="1">
        <v>4.0</v>
      </c>
      <c r="B14653" s="1" t="s">
        <v>14521</v>
      </c>
      <c r="C14653" t="str">
        <f>IFERROR(__xludf.DUMMYFUNCTION("GOOGLETRANSLATE(B14653, ""es"", ""en"")"),"Quality Comfort and Quality")</f>
        <v>Quality Comfort and Quality</v>
      </c>
    </row>
    <row r="14654">
      <c r="A14654" s="1">
        <v>4.0</v>
      </c>
      <c r="B14654" s="1" t="s">
        <v>14522</v>
      </c>
      <c r="C14654" t="str">
        <f>IFERROR(__xludf.DUMMYFUNCTION("GOOGLETRANSLATE(B14654, ""es"", ""en"")"),"Well that harbored")</f>
        <v>Well that harbored</v>
      </c>
    </row>
    <row r="14655">
      <c r="A14655" s="1">
        <v>4.0</v>
      </c>
      <c r="B14655" s="1" t="s">
        <v>14523</v>
      </c>
      <c r="C14655" t="str">
        <f>IFERROR(__xludf.DUMMYFUNCTION("GOOGLETRANSLATE(B14655, ""es"", ""en"")"),"Biba Good ,, but I'm not so thick as to the winter rather for autumn days ,, good quality for the price and carve well")</f>
        <v>Biba Good ,, but I'm not so thick as to the winter rather for autumn days ,, good quality for the price and carve well</v>
      </c>
    </row>
    <row r="14656">
      <c r="A14656" s="1">
        <v>4.0</v>
      </c>
      <c r="B14656" s="1" t="s">
        <v>14524</v>
      </c>
      <c r="C14656" t="str">
        <f>IFERROR(__xludf.DUMMYFUNCTION("GOOGLETRANSLATE(B14656, ""es"", ""en"")"),"All right I come phenomenal,")</f>
        <v>All right I come phenomenal,</v>
      </c>
    </row>
    <row r="14657">
      <c r="A14657" s="1">
        <v>5.0</v>
      </c>
      <c r="B14657" s="1" t="s">
        <v>14525</v>
      </c>
      <c r="C14657" t="str">
        <f>IFERROR(__xludf.DUMMYFUNCTION("GOOGLETRANSLATE(B14657, ""es"", ""en"")"),"Nice watch good watch, all k object has little light")</f>
        <v>Nice watch good watch, all k object has little light</v>
      </c>
    </row>
    <row r="14658">
      <c r="A14658" s="1">
        <v>5.0</v>
      </c>
      <c r="B14658" s="1" t="s">
        <v>14526</v>
      </c>
      <c r="C14658" t="str">
        <f>IFERROR(__xludf.DUMMYFUNCTION("GOOGLETRANSLATE(B14658, ""es"", ""en"")"),"Replacement Mop favil trickles BJM is very good and lasting at least seven months using daily recommend very good quality the price is expensive replacement could make offer if you buy three or more parts")</f>
        <v>Replacement Mop favil trickles BJM is very good and lasting at least seven months using daily recommend very good quality the price is expensive replacement could make offer if you buy three or more parts</v>
      </c>
    </row>
    <row r="14659">
      <c r="A14659" s="1">
        <v>5.0</v>
      </c>
      <c r="B14659" s="1" t="s">
        <v>14527</v>
      </c>
      <c r="C14659" t="str">
        <f>IFERROR(__xludf.DUMMYFUNCTION("GOOGLETRANSLATE(B14659, ""es"", ""en"")"),"Perfect. Like that of ""old"" ... I've spent years with him and is like the first day. 100% recommended. 5 star would buy it without hesitation.")</f>
        <v>Perfect. Like that of "old" ... I've spent years with him and is like the first day. 100% recommended. 5 star would buy it without hesitation.</v>
      </c>
    </row>
    <row r="14660">
      <c r="A14660" s="1">
        <v>5.0</v>
      </c>
      <c r="B14660" s="1" t="s">
        <v>14528</v>
      </c>
      <c r="C14660" t="str">
        <f>IFERROR(__xludf.DUMMYFUNCTION("GOOGLETRANSLATE(B14660, ""es"", ""en"")"),"Large numbers and good battery I like big numbers and big watches. Four buttons and notifies you when you receive calls as Whatsapp. It has light and can shut down your not used. It also comes with a spare battery.")</f>
        <v>Large numbers and good battery I like big numbers and big watches. Four buttons and notifies you when you receive calls as Whatsapp. It has light and can shut down your not used. It also comes with a spare battery.</v>
      </c>
    </row>
    <row r="14661">
      <c r="A14661" s="1">
        <v>5.0</v>
      </c>
      <c r="B14661" s="1" t="s">
        <v>14529</v>
      </c>
      <c r="C14661" t="str">
        <f>IFERROR(__xludf.DUMMYFUNCTION("GOOGLETRANSLATE(B14661, ""es"", ""en"")"),"Excellent seller Very good product. Excellent seller. I will buy from this seller without a doubt.")</f>
        <v>Excellent seller Very good product. Excellent seller. I will buy from this seller without a doubt.</v>
      </c>
    </row>
    <row r="14662">
      <c r="A14662" s="1">
        <v>5.0</v>
      </c>
      <c r="B14662" s="1" t="s">
        <v>14530</v>
      </c>
      <c r="C14662" t="str">
        <f>IFERROR(__xludf.DUMMYFUNCTION("GOOGLETRANSLATE(B14662, ""es"", ""en"")"),"Great gift The person I gave it told me that she is very happy with him. To take one but in the description had made up my mind that what covered the small leather flap was another pocket. Still, it seems perfect")</f>
        <v>Great gift The person I gave it told me that she is very happy with him. To take one but in the description had made up my mind that what covered the small leather flap was another pocket. Still, it seems perfect</v>
      </c>
    </row>
    <row r="14663">
      <c r="A14663" s="1">
        <v>5.0</v>
      </c>
      <c r="B14663" s="1" t="s">
        <v>14531</v>
      </c>
      <c r="C14663" t="str">
        <f>IFERROR(__xludf.DUMMYFUNCTION("GOOGLETRANSLATE(B14663, ""es"", ""en"")"),"I LOVE BEAUTIFUL PRODUCTS, AS IS IN PHOTO, it sounds great.")</f>
        <v>I LOVE BEAUTIFUL PRODUCTS, AS IS IN PHOTO, it sounds great.</v>
      </c>
    </row>
    <row r="14664">
      <c r="A14664" s="1">
        <v>5.0</v>
      </c>
      <c r="B14664" s="1" t="s">
        <v>14532</v>
      </c>
      <c r="C14664" t="str">
        <f>IFERROR(__xludf.DUMMYFUNCTION("GOOGLETRANSLATE(B14664, ""es"", ""en"")"),"SIMPLY PERFECT Purchased on Monday, received on Tuesday and Wednesday already set. Just perfect. Beautiful and very comfortable. He had never had a Converse of this model and certainly are infinitely more comfortable than normal. Regarding the issue of si"&amp;"ze, I have to say that I chock 42, bought a 42 and 42 me is perfect. Very, very happy.")</f>
        <v>SIMPLY PERFECT Purchased on Monday, received on Tuesday and Wednesday already set. Just perfect. Beautiful and very comfortable. He had never had a Converse of this model and certainly are infinitely more comfortable than normal. Regarding the issue of size, I have to say that I chock 42, bought a 42 and 42 me is perfect. Very, very happy.</v>
      </c>
    </row>
    <row r="14665">
      <c r="A14665" s="1">
        <v>5.0</v>
      </c>
      <c r="B14665" s="1" t="s">
        <v>14533</v>
      </c>
      <c r="C14665" t="str">
        <f>IFERROR(__xludf.DUMMYFUNCTION("GOOGLETRANSLATE(B14665, ""es"", ""en"")"),"Very good helmets although the fold seem weak. I bought these helmets two months ago (no micro) and I can say that are really good. The best thing about it is its sound heard really good for what they cost me (about 16 euros). I tried to put songs with """&amp;"bass Boosted"" and responds very well. On materials, they are pretty, blue gives a touch premium pretty and so far has not been ""stripped"" anything or metallic paint or pads. These pads on not perfectly cover the ear, they are small and do not give heat"&amp;". On the strength of the product, it does not seem to me the good especially since they can be folded to transport easier but it seems to go to break ... but if the quality of materials is quite good.")</f>
        <v>Very good helmets although the fold seem weak. I bought these helmets two months ago (no micro) and I can say that are really good. The best thing about it is its sound heard really good for what they cost me (about 16 euros). I tried to put songs with "bass Boosted" and responds very well. On materials, they are pretty, blue gives a touch premium pretty and so far has not been "stripped" anything or metallic paint or pads. These pads on not perfectly cover the ear, they are small and do not give heat. On the strength of the product, it does not seem to me the good especially since they can be folded to transport easier but it seems to go to break ... but if the quality of materials is quite good.</v>
      </c>
    </row>
    <row r="14666">
      <c r="A14666" s="1">
        <v>5.0</v>
      </c>
      <c r="B14666" s="1" t="s">
        <v>14534</v>
      </c>
      <c r="C14666" t="str">
        <f>IFERROR(__xludf.DUMMYFUNCTION("GOOGLETRANSLATE(B14666, ""es"", ""en"")"),"Heating bed Because the weather is getting cold and sleeps very cold at night, I picked up the electric blanket on the bed, I'll open before going to bed, I can sleep when I heat the bed.")</f>
        <v>Heating bed Because the weather is getting cold and sleeps very cold at night, I picked up the electric blanket on the bed, I'll open before going to bed, I can sleep when I heat the bed.</v>
      </c>
    </row>
    <row r="14667">
      <c r="A14667" s="1">
        <v>5.0</v>
      </c>
      <c r="B14667" s="1" t="s">
        <v>14535</v>
      </c>
      <c r="C14667" t="str">
        <f>IFERROR(__xludf.DUMMYFUNCTION("GOOGLETRANSLATE(B14667, ""es"", ""en"")"),"An excellent product that justifies its price Very happy with the sound quality, sound cancellation, functionality and finishing the product. The only downside I would put it is that sometimes changing the bluetooth connection between my iPad and my iPhon"&amp;"e, sometimes it does so nimbly, although I do not know if it is more related to the bluetooth interfaces helmets or Apple devices. Very happy with the purchase.")</f>
        <v>An excellent product that justifies its price Very happy with the sound quality, sound cancellation, functionality and finishing the product. The only downside I would put it is that sometimes changing the bluetooth connection between my iPad and my iPhone, sometimes it does so nimbly, although I do not know if it is more related to the bluetooth interfaces helmets or Apple devices. Very happy with the purchase.</v>
      </c>
    </row>
    <row r="14668">
      <c r="A14668" s="1">
        <v>5.0</v>
      </c>
      <c r="B14668" s="1" t="s">
        <v>14536</v>
      </c>
      <c r="C14668" t="str">
        <f>IFERROR(__xludf.DUMMYFUNCTION("GOOGLETRANSLATE(B14668, ""es"", ""en"")"),"Bracelet they are very thin but well")</f>
        <v>Bracelet they are very thin but well</v>
      </c>
    </row>
    <row r="14669">
      <c r="A14669" s="1">
        <v>5.0</v>
      </c>
      <c r="B14669" s="1" t="s">
        <v>14537</v>
      </c>
      <c r="C14669" t="str">
        <f>IFERROR(__xludf.DUMMYFUNCTION("GOOGLETRANSLATE(B14669, ""es"", ""en"")"),"practice good buy for the price you have. proper functioning. It is well placed")</f>
        <v>practice good buy for the price you have. proper functioning. It is well placed</v>
      </c>
    </row>
    <row r="14670">
      <c r="A14670" s="1">
        <v>5.0</v>
      </c>
      <c r="B14670" s="1" t="s">
        <v>14538</v>
      </c>
      <c r="C14670" t="str">
        <f>IFERROR(__xludf.DUMMYFUNCTION("GOOGLETRANSLATE(B14670, ""es"", ""en"")"),"I LOVE never write a product while spending time wise test this expremidor I love is super simple, it works very bien¡ny is cleaned very easily, which is a very important detail, since every time you do juice'll have to clean up.")</f>
        <v>I LOVE never write a product while spending time wise test this expremidor I love is super simple, it works very bien¡ny is cleaned very easily, which is a very important detail, since every time you do juice'll have to clean up.</v>
      </c>
    </row>
    <row r="14671">
      <c r="A14671" s="1">
        <v>5.0</v>
      </c>
      <c r="B14671" s="1" t="s">
        <v>14539</v>
      </c>
      <c r="C14671" t="str">
        <f>IFERROR(__xludf.DUMMYFUNCTION("GOOGLETRANSLATE(B14671, ""es"", ""en"")"),"Cool and Great! The truth is that it is better than I expected. It is very light and comfortable ... I bought it on a whim and now I can remove me XD.")</f>
        <v>Cool and Great! The truth is that it is better than I expected. It is very light and comfortable ... I bought it on a whim and now I can remove me XD.</v>
      </c>
    </row>
    <row r="14672">
      <c r="A14672" s="1">
        <v>5.0</v>
      </c>
      <c r="B14672" s="1" t="s">
        <v>14540</v>
      </c>
      <c r="C14672" t="str">
        <f>IFERROR(__xludf.DUMMYFUNCTION("GOOGLETRANSLATE(B14672, ""es"", ""en"")"),"Cool they are great. The baby does take very quiet because of the teats has, and truth is he has not had any cramps.")</f>
        <v>Cool they are great. The baby does take very quiet because of the teats has, and truth is he has not had any cramps.</v>
      </c>
    </row>
    <row r="14673">
      <c r="A14673" s="1">
        <v>5.0</v>
      </c>
      <c r="B14673" s="1" t="s">
        <v>14541</v>
      </c>
      <c r="C14673" t="str">
        <f>IFERROR(__xludf.DUMMYFUNCTION("GOOGLETRANSLATE(B14673, ""es"", ""en"")"),"Sarisfecho very excellent quality.")</f>
        <v>Sarisfecho very excellent quality.</v>
      </c>
    </row>
    <row r="14674">
      <c r="A14674" s="1">
        <v>5.0</v>
      </c>
      <c r="B14674" s="1" t="s">
        <v>14542</v>
      </c>
      <c r="C14674" t="str">
        <f>IFERROR(__xludf.DUMMYFUNCTION("GOOGLETRANSLATE(B14674, ""es"", ""en"")"),"A monada For me one of the most striking aspects is its color, simply divine, a golden very very very nice and different. It looks very premium. More than decent sound, crisp and clear. Very acceptable autonomy and excellent load phase. The shape is very "&amp;"comfortable and great fit to the ear and not fall running, sport can do perfectly. That are wireless it is most comfortable to the world. Outstanding value for money. Highly recommended.")</f>
        <v>A monada For me one of the most striking aspects is its color, simply divine, a golden very very very nice and different. It looks very premium. More than decent sound, crisp and clear. Very acceptable autonomy and excellent load phase. The shape is very comfortable and great fit to the ear and not fall running, sport can do perfectly. That are wireless it is most comfortable to the world. Outstanding value for money. Highly recommended.</v>
      </c>
    </row>
    <row r="14675">
      <c r="A14675" s="1">
        <v>5.0</v>
      </c>
      <c r="B14675" s="1" t="s">
        <v>14543</v>
      </c>
      <c r="C14675" t="str">
        <f>IFERROR(__xludf.DUMMYFUNCTION("GOOGLETRANSLATE(B14675, ""es"", ""en"")"),"Gel and small format The always efficient glue Loctite Super Glue, but now with a gel composition that makes it easier to apply on vertical surfaces or more porous materials, the gel to be much easier to use. The little boat is small in size, has only 3 g"&amp;"rams of content, what I personally think it's great for small arrangements, because with a larger format at the end I just drying up if you do not use (which is standard) however much closing the cap well.")</f>
        <v>Gel and small format The always efficient glue Loctite Super Glue, but now with a gel composition that makes it easier to apply on vertical surfaces or more porous materials, the gel to be much easier to use. The little boat is small in size, has only 3 grams of content, what I personally think it's great for small arrangements, because with a larger format at the end I just drying up if you do not use (which is standard) however much closing the cap well.</v>
      </c>
    </row>
    <row r="14676">
      <c r="A14676" s="1">
        <v>2.0</v>
      </c>
      <c r="B14676" s="1" t="s">
        <v>14544</v>
      </c>
      <c r="C14676" t="str">
        <f>IFERROR(__xludf.DUMMYFUNCTION("GOOGLETRANSLATE(B14676, ""es"", ""en"")"),"For me unconvinced bought and returned ... I come from a HDP DJ-Adv G501, I've broken a diadem support, and heard much better than these akg. In fact gourds sound like a little hand speaker and listen through the gap, something canning and artificial. Iso"&amp;"lated isolate sufficient, although much less than Hercules. They have not convinced me honestly.")</f>
        <v>For me unconvinced bought and returned ... I come from a HDP DJ-Adv G501, I've broken a diadem support, and heard much better than these akg. In fact gourds sound like a little hand speaker and listen through the gap, something canning and artificial. Isolated isolate sufficient, although much less than Hercules. They have not convinced me honestly.</v>
      </c>
    </row>
    <row r="14677">
      <c r="A14677" s="1">
        <v>3.0</v>
      </c>
      <c r="B14677" s="1" t="s">
        <v>14545</v>
      </c>
      <c r="C14677" t="str">
        <f>IFERROR(__xludf.DUMMYFUNCTION("GOOGLETRANSLATE(B14677, ""es"", ""en"")"),"Problems with my Lenovo Y700've had problems install the Lenovo Y700 my a couple of years ago. A principle application the Samsung, the Magician, the SSD write to and read peak 3 and 4 (attached image). After checking connections and settings (I have come"&amp;" to remove the laptop more than 10 times) I will now read about 530 and 100 writing. And I have not touched because that me and doing well, but I just do not understand how writing has such low values ​​...")</f>
        <v>Problems with my Lenovo Y700've had problems install the Lenovo Y700 my a couple of years ago. A principle application the Samsung, the Magician, the SSD write to and read peak 3 and 4 (attached image). After checking connections and settings (I have come to remove the laptop more than 10 times) I will now read about 530 and 100 writing. And I have not touched because that me and doing well, but I just do not understand how writing has such low values ​​...</v>
      </c>
    </row>
    <row r="14678">
      <c r="A14678" s="1">
        <v>3.0</v>
      </c>
      <c r="B14678" s="1" t="s">
        <v>14546</v>
      </c>
      <c r="C14678" t="str">
        <f>IFERROR(__xludf.DUMMYFUNCTION("GOOGLETRANSLATE(B14678, ""es"", ""en"")"),"Not bad The idea of ​​the product is very good, but has a big but: not hot enough but the highest level sets. It is essential to remove the protective velvet to make hot acceptably. So does help to warm the feet.")</f>
        <v>Not bad The idea of ​​the product is very good, but has a big but: not hot enough but the highest level sets. It is essential to remove the protective velvet to make hot acceptably. So does help to warm the feet.</v>
      </c>
    </row>
    <row r="14679">
      <c r="A14679" s="1">
        <v>1.0</v>
      </c>
      <c r="B14679" s="1" t="s">
        <v>14547</v>
      </c>
      <c r="C14679" t="str">
        <f>IFERROR(__xludf.DUMMYFUNCTION("GOOGLETRANSLATE(B14679, ""es"", ""en"")"),"THAT GETS UGLY MATERIAL FAST Just two days on, the strap has a black color and has lost silver. All it added to a delivery delay.")</f>
        <v>THAT GETS UGLY MATERIAL FAST Just two days on, the strap has a black color and has lost silver. All it added to a delivery delay.</v>
      </c>
    </row>
    <row r="14680">
      <c r="A14680" s="1">
        <v>1.0</v>
      </c>
      <c r="B14680" s="1" t="s">
        <v>14548</v>
      </c>
      <c r="C14680" t="str">
        <f>IFERROR(__xludf.DUMMYFUNCTION("GOOGLETRANSLATE(B14680, ""es"", ""en"")"),"Trash turns black and you fall stones")</f>
        <v>Trash turns black and you fall stones</v>
      </c>
    </row>
    <row r="14681">
      <c r="A14681" s="1">
        <v>4.0</v>
      </c>
      <c r="B14681" s="1" t="s">
        <v>14549</v>
      </c>
      <c r="C14681" t="str">
        <f>IFERROR(__xludf.DUMMYFUNCTION("GOOGLETRANSLATE(B14681, ""es"", ""en"")"),"Good juicer is somewhat cumbersome but the design is cool; Maybe I should be more stable, it moves a little vibration occurs squeezing. Power is good, is pretty fast.")</f>
        <v>Good juicer is somewhat cumbersome but the design is cool; Maybe I should be more stable, it moves a little vibration occurs squeezing. Power is good, is pretty fast.</v>
      </c>
    </row>
    <row r="14682">
      <c r="A14682" s="1">
        <v>4.0</v>
      </c>
      <c r="B14682" s="1" t="s">
        <v>14550</v>
      </c>
      <c r="C14682" t="str">
        <f>IFERROR(__xludf.DUMMYFUNCTION("GOOGLETRANSLATE(B14682, ""es"", ""en"")"),"It's a great gift for my niece 13 years. Perfect for her size. They are of good quality and not bother you or give you allergy.")</f>
        <v>It's a great gift for my niece 13 years. Perfect for her size. They are of good quality and not bother you or give you allergy.</v>
      </c>
    </row>
    <row r="14683">
      <c r="A14683" s="1">
        <v>4.0</v>
      </c>
      <c r="B14683" s="1" t="s">
        <v>14551</v>
      </c>
      <c r="C14683" t="str">
        <f>IFERROR(__xludf.DUMMYFUNCTION("GOOGLETRANSLATE(B14683, ""es"", ""en"")"),"Flipflops SUV. To wash the car and then go out for some beers. Dan carving a tad fair. Light without holes in the bottom to prevent dust at his feet. Ask for another number. They take up a lot in a backpack so they are suitable to be home and surroundings"&amp;" but not for travel.")</f>
        <v>Flipflops SUV. To wash the car and then go out for some beers. Dan carving a tad fair. Light without holes in the bottom to prevent dust at his feet. Ask for another number. They take up a lot in a backpack so they are suitable to be home and surroundings but not for travel.</v>
      </c>
    </row>
    <row r="14684">
      <c r="A14684" s="1">
        <v>4.0</v>
      </c>
      <c r="B14684" s="1" t="s">
        <v>14552</v>
      </c>
      <c r="C14684" t="str">
        <f>IFERROR(__xludf.DUMMYFUNCTION("GOOGLETRANSLATE(B14684, ""es"", ""en"")"),"Give on time. Product quality product is very practical and sounds good even from another room in the house. I bought it for an elderly person and does the job. I do not put it 5 stars because it becomes difficult to properly leave it in the charging base"&amp;".")</f>
        <v>Give on time. Product quality product is very practical and sounds good even from another room in the house. I bought it for an elderly person and does the job. I do not put it 5 stars because it becomes difficult to properly leave it in the charging base.</v>
      </c>
    </row>
    <row r="14685">
      <c r="A14685" s="1">
        <v>4.0</v>
      </c>
      <c r="B14685" s="1" t="s">
        <v>14553</v>
      </c>
      <c r="C14685" t="str">
        <f>IFERROR(__xludf.DUMMYFUNCTION("GOOGLETRANSLATE(B14685, ""es"", ""en"")"),"Good product -Recommended Let's see, are 28 to 29 €, and some want to compare products from more than 250 €. What has sound quality? Well, very good. Does the same as a Sennheiser 900 €? Well obviously not, if not, something is wrong in this life. But one"&amp;" thing I ask, how many of you are sound technicians or professional level editor to judge audio quality? If the most recent reference are helmets have the train. The differences are substantial from € 250-300. What is below you are paying the brand, speci"&amp;"al features, finishes and materials. The end.")</f>
        <v>Good product -Recommended Let's see, are 28 to 29 €, and some want to compare products from more than 250 €. What has sound quality? Well, very good. Does the same as a Sennheiser 900 €? Well obviously not, if not, something is wrong in this life. But one thing I ask, how many of you are sound technicians or professional level editor to judge audio quality? If the most recent reference are helmets have the train. The differences are substantial from € 250-300. What is below you are paying the brand, special features, finishes and materials. The end.</v>
      </c>
    </row>
    <row r="14686">
      <c r="A14686" s="1">
        <v>5.0</v>
      </c>
      <c r="B14686" s="1" t="s">
        <v>14554</v>
      </c>
      <c r="C14686" t="str">
        <f>IFERROR(__xludf.DUMMYFUNCTION("GOOGLETRANSLATE(B14686, ""es"", ""en"")"),"Good shoes are the regale my girl and is happy, good stuff besides having a very nice design")</f>
        <v>Good shoes are the regale my girl and is happy, good stuff besides having a very nice design</v>
      </c>
    </row>
    <row r="14687">
      <c r="A14687" s="1">
        <v>5.0</v>
      </c>
      <c r="B14687" s="1" t="s">
        <v>14555</v>
      </c>
      <c r="C14687" t="str">
        <f>IFERROR(__xludf.DUMMYFUNCTION("GOOGLETRANSLATE(B14687, ""es"", ""en"")"),"good quality Good quality for the price they have, it works perfectly and captures very good sound ... I recommend it 100%. . .")</f>
        <v>good quality Good quality for the price they have, it works perfectly and captures very good sound ... I recommend it 100%. . .</v>
      </c>
    </row>
    <row r="14688">
      <c r="A14688" s="1">
        <v>5.0</v>
      </c>
      <c r="B14688" s="1" t="s">
        <v>14556</v>
      </c>
      <c r="C14688" t="str">
        <f>IFERROR(__xludf.DUMMYFUNCTION("GOOGLETRANSLATE(B14688, ""es"", ""en"")"),"They come drill several brushes brushes are tiny, so when cleaning is easier to use, and reaches all the little corners. The polishing are 10 cm, prefect to fix small scratches. All in all I'm happy with the purchase.")</f>
        <v>They come drill several brushes brushes are tiny, so when cleaning is easier to use, and reaches all the little corners. The polishing are 10 cm, prefect to fix small scratches. All in all I'm happy with the purchase.</v>
      </c>
    </row>
    <row r="14689">
      <c r="A14689" s="1">
        <v>5.0</v>
      </c>
      <c r="B14689" s="1" t="s">
        <v>14557</v>
      </c>
      <c r="C14689" t="str">
        <f>IFERROR(__xludf.DUMMYFUNCTION("GOOGLETRANSLATE(B14689, ""es"", ""en"")"),"As detailed in to the advertising, very happy. I recommend it. Good product at an unbeatable price. - - As detailed in to the advertising, very happy. I recommend it. Good product at an unbeatable price. - -")</f>
        <v>As detailed in to the advertising, very happy. I recommend it. Good product at an unbeatable price. - - As detailed in to the advertising, very happy. I recommend it. Good product at an unbeatable price. - -</v>
      </c>
    </row>
    <row r="14690">
      <c r="A14690" s="1">
        <v>5.0</v>
      </c>
      <c r="B14690" s="1" t="s">
        <v>14558</v>
      </c>
      <c r="C14690" t="str">
        <f>IFERROR(__xludf.DUMMYFUNCTION("GOOGLETRANSLATE(B14690, ""es"", ""en"")"),"My daughter likes Value is fine. The handle is broken, but the performance is good")</f>
        <v>My daughter likes Value is fine. The handle is broken, but the performance is good</v>
      </c>
    </row>
    <row r="14691">
      <c r="A14691" s="1">
        <v>5.0</v>
      </c>
      <c r="B14691" s="1" t="s">
        <v>14559</v>
      </c>
      <c r="C14691" t="str">
        <f>IFERROR(__xludf.DUMMYFUNCTION("GOOGLETRANSLATE(B14691, ""es"", ""en"")"),"Very practical very good product. Simple to use and easy to clean. You can not be faulted. I totally recommend it")</f>
        <v>Very practical very good product. Simple to use and easy to clean. You can not be faulted. I totally recommend it</v>
      </c>
    </row>
    <row r="14692">
      <c r="A14692" s="1">
        <v>5.0</v>
      </c>
      <c r="B14692" s="1" t="s">
        <v>14560</v>
      </c>
      <c r="C14692" t="str">
        <f>IFERROR(__xludf.DUMMYFUNCTION("GOOGLETRANSLATE(B14692, ""es"", ""en"")"),"My girlfriend left me jacket is basic and this is the very cool buy my girlfriend for Christmas but I left before I give it to him so there is dust in the closet pillaging. Otherwise all right 🙃")</f>
        <v>My girlfriend left me jacket is basic and this is the very cool buy my girlfriend for Christmas but I left before I give it to him so there is dust in the closet pillaging. Otherwise all right 🙃</v>
      </c>
    </row>
    <row r="14693">
      <c r="A14693" s="1">
        <v>5.0</v>
      </c>
      <c r="B14693" s="1" t="s">
        <v>14561</v>
      </c>
      <c r="C14693" t="str">
        <f>IFERROR(__xludf.DUMMYFUNCTION("GOOGLETRANSLATE(B14693, ""es"", ""en"")"),"Comfortable and stylish I love these helmets come in a handy box store serves well as power load bank. They are attached magnetically and loaded once introduced into its socket. Do not have to pause or play music, but have a touch area that allows using d"&amp;"ifferent combinations, pause, play, volume up, lower extinguish ... Everything is well explained in the instruction book. It also comes with a charging cable. They are very comfortable to wear and do not fall in any sport allowing them time without worryi"&amp;"ng about sweat as they are IPX5.")</f>
        <v>Comfortable and stylish I love these helmets come in a handy box store serves well as power load bank. They are attached magnetically and loaded once introduced into its socket. Do not have to pause or play music, but have a touch area that allows using different combinations, pause, play, volume up, lower extinguish ... Everything is well explained in the instruction book. It also comes with a charging cable. They are very comfortable to wear and do not fall in any sport allowing them time without worrying about sweat as they are IPX5.</v>
      </c>
    </row>
    <row r="14694">
      <c r="A14694" s="1">
        <v>5.0</v>
      </c>
      <c r="B14694" s="1" t="s">
        <v>14562</v>
      </c>
      <c r="C14694" t="str">
        <f>IFERROR(__xludf.DUMMYFUNCTION("GOOGLETRANSLATE(B14694, ""es"", ""en"")"),"I am very happy At work I usually do a lot of presentations to customers and colleagues and therefore needed a laser pointer for presentations outside this quality and was pleasantly surprised. In addition to the same if you have linked to your computer y"&amp;"ou can turn the pages of presentation etc .. Highly Recommended")</f>
        <v>I am very happy At work I usually do a lot of presentations to customers and colleagues and therefore needed a laser pointer for presentations outside this quality and was pleasantly surprised. In addition to the same if you have linked to your computer you can turn the pages of presentation etc .. Highly Recommended</v>
      </c>
    </row>
    <row r="14695">
      <c r="A14695" s="1">
        <v>5.0</v>
      </c>
      <c r="B14695" s="1" t="s">
        <v>14563</v>
      </c>
      <c r="C14695" t="str">
        <f>IFERROR(__xludf.DUMMYFUNCTION("GOOGLETRANSLATE(B14695, ""es"", ""en"")"),"Well pleased with purchase and fast")</f>
        <v>Well pleased with purchase and fast</v>
      </c>
    </row>
    <row r="14696">
      <c r="A14696" s="1">
        <v>5.0</v>
      </c>
      <c r="B14696" s="1" t="s">
        <v>14564</v>
      </c>
      <c r="C14696" t="str">
        <f>IFERROR(__xludf.DUMMYFUNCTION("GOOGLETRANSLATE(B14696, ""es"", ""en"")"),"Good buy is a good regular hard drive, it has nothing special, but all I've had this model I have done very well in terms of quality. When you need more space I'll just buy one without a doubt")</f>
        <v>Good buy is a good regular hard drive, it has nothing special, but all I've had this model I have done very well in terms of quality. When you need more space I'll just buy one without a doubt</v>
      </c>
    </row>
    <row r="14697">
      <c r="A14697" s="1">
        <v>5.0</v>
      </c>
      <c r="B14697" s="1" t="s">
        <v>14565</v>
      </c>
      <c r="C14697" t="str">
        <f>IFERROR(__xludf.DUMMYFUNCTION("GOOGLETRANSLATE(B14697, ""es"", ""en"")"),"Resistant comfortable and my son loves. Comfortable and already have three months, for a record, so they are resistant.")</f>
        <v>Resistant comfortable and my son loves. Comfortable and already have three months, for a record, so they are resistant.</v>
      </c>
    </row>
    <row r="14698">
      <c r="A14698" s="1">
        <v>5.0</v>
      </c>
      <c r="B14698" s="1" t="s">
        <v>14566</v>
      </c>
      <c r="C14698" t="str">
        <f>IFERROR(__xludf.DUMMYFUNCTION("GOOGLETRANSLATE(B14698, ""es"", ""en"")"),"Burglars so good burglars hear me smart TV PS4 tablet mobile music ect .. prefect without problems")</f>
        <v>Burglars so good burglars hear me smart TV PS4 tablet mobile music ect .. prefect without problems</v>
      </c>
    </row>
    <row r="14699">
      <c r="A14699" s="1">
        <v>5.0</v>
      </c>
      <c r="B14699" s="1" t="s">
        <v>14567</v>
      </c>
      <c r="C14699" t="str">
        <f>IFERROR(__xludf.DUMMYFUNCTION("GOOGLETRANSLATE(B14699, ""es"", ""en"")"),"Unsurpassed value product perfect for the price you have arrived well packaged and smooth, very satisfied with the product")</f>
        <v>Unsurpassed value product perfect for the price you have arrived well packaged and smooth, very satisfied with the product</v>
      </c>
    </row>
    <row r="14700">
      <c r="A14700" s="1">
        <v>5.0</v>
      </c>
      <c r="B14700" s="1" t="s">
        <v>14568</v>
      </c>
      <c r="C14700" t="str">
        <f>IFERROR(__xludf.DUMMYFUNCTION("GOOGLETRANSLATE(B14700, ""es"", ""en"")"),"They are very nice for my daughter and she is delighted with them. He says they are very comfortable, pretty well ... and are super trendy top, so very happy with the purchase. In addition, the shipment has been very fast.")</f>
        <v>They are very nice for my daughter and she is delighted with them. He says they are very comfortable, pretty well ... and are super trendy top, so very happy with the purchase. In addition, the shipment has been very fast.</v>
      </c>
    </row>
    <row r="14701">
      <c r="A14701" s="1">
        <v>5.0</v>
      </c>
      <c r="B14701" s="1" t="s">
        <v>14569</v>
      </c>
      <c r="C14701" t="str">
        <f>IFERROR(__xludf.DUMMYFUNCTION("GOOGLETRANSLATE(B14701, ""es"", ""en"")"),"Practical I bought in my office to prepare my protein powder shakes. add some chopped fruit into small pieces and protein ... I take in very handy ... same glass a few pots to wash ... Excellent choice")</f>
        <v>Practical I bought in my office to prepare my protein powder shakes. add some chopped fruit into small pieces and protein ... I take in very handy ... same glass a few pots to wash ... Excellent choice</v>
      </c>
    </row>
    <row r="14702">
      <c r="A14702" s="1">
        <v>5.0</v>
      </c>
      <c r="B14702" s="1" t="s">
        <v>14570</v>
      </c>
      <c r="C14702" t="str">
        <f>IFERROR(__xludf.DUMMYFUNCTION("GOOGLETRANSLATE(B14702, ""es"", ""en"")"),"GGH are great and economic")</f>
        <v>GGH are great and economic</v>
      </c>
    </row>
    <row r="14703">
      <c r="A14703" s="1">
        <v>5.0</v>
      </c>
      <c r="B14703" s="1" t="s">
        <v>14571</v>
      </c>
      <c r="C14703" t="str">
        <f>IFERROR(__xludf.DUMMYFUNCTION("GOOGLETRANSLATE(B14703, ""es"", ""en"")"),"I will love arrived on time and well packaged Excellent! bright charming. Easy to load and different combinations of colors and flashes are geniales.Me love these shoes!")</f>
        <v>I will love arrived on time and well packaged Excellent! bright charming. Easy to load and different combinations of colors and flashes are geniales.Me love these shoes!</v>
      </c>
    </row>
    <row r="14704">
      <c r="A14704" s="1">
        <v>5.0</v>
      </c>
      <c r="B14704" s="1" t="s">
        <v>14572</v>
      </c>
      <c r="C14704" t="str">
        <f>IFERROR(__xludf.DUMMYFUNCTION("GOOGLETRANSLATE(B14704, ""es"", ""en"")"),"👍 😍 very comfortable")</f>
        <v>👍 😍 very comfortable</v>
      </c>
    </row>
    <row r="14705">
      <c r="A14705" s="1">
        <v>2.0</v>
      </c>
      <c r="B14705" s="1" t="s">
        <v>14573</v>
      </c>
      <c r="C14705" t="str">
        <f>IFERROR(__xludf.DUMMYFUNCTION("GOOGLETRANSLATE(B14705, ""es"", ""en"")"),"I expected what the perfect ad")</f>
        <v>I expected what the perfect ad</v>
      </c>
    </row>
    <row r="14706">
      <c r="A14706" s="1">
        <v>3.0</v>
      </c>
      <c r="B14706" s="1" t="s">
        <v>14574</v>
      </c>
      <c r="C14706" t="str">
        <f>IFERROR(__xludf.DUMMYFUNCTION("GOOGLETRANSLATE(B14706, ""es"", ""en"")"),"Normal like other normal sock, have nothing special")</f>
        <v>Normal like other normal sock, have nothing special</v>
      </c>
    </row>
    <row r="14707">
      <c r="A14707" s="1">
        <v>1.0</v>
      </c>
      <c r="B14707" s="1" t="s">
        <v>14575</v>
      </c>
      <c r="C14707" t="str">
        <f>IFERROR(__xludf.DUMMYFUNCTION("GOOGLETRANSLATE(B14707, ""es"", ""en"")"),"POOR QUALITY !! Horrible !! Velcro is too hard, too difficult to remove because to do too much force. Because of this force I have broken me many who have gone straight to the trash. Lost money !!")</f>
        <v>POOR QUALITY !! Horrible !! Velcro is too hard, too difficult to remove because to do too much force. Because of this force I have broken me many who have gone straight to the trash. Lost money !!</v>
      </c>
    </row>
    <row r="14708">
      <c r="A14708" s="1">
        <v>1.0</v>
      </c>
      <c r="B14708" s="1" t="s">
        <v>14576</v>
      </c>
      <c r="C14708" t="str">
        <f>IFERROR(__xludf.DUMMYFUNCTION("GOOGLETRANSLATE(B14708, ""es"", ""en"")"),"Stopped working I've used very little, was to connect to an amplifier, and has not lasted me more than two or three times, lights up everything, but gives no sound, no matter how much you charge and to put new batteries the micro does not work. I threw th"&amp;"e money")</f>
        <v>Stopped working I've used very little, was to connect to an amplifier, and has not lasted me more than two or three times, lights up everything, but gives no sound, no matter how much you charge and to put new batteries the micro does not work. I threw the money</v>
      </c>
    </row>
    <row r="14709">
      <c r="A14709" s="1">
        <v>4.0</v>
      </c>
      <c r="B14709" s="1" t="s">
        <v>14577</v>
      </c>
      <c r="C14709" t="str">
        <f>IFERROR(__xludf.DUMMYFUNCTION("GOOGLETRANSLATE(B14709, ""es"", ""en"")"),"Lots of variety of aromas Good variety of aromas. The pot size is ideal because last long. The aromas are very successful and enjoyable. good buy")</f>
        <v>Lots of variety of aromas Good variety of aromas. The pot size is ideal because last long. The aromas are very successful and enjoyable. good buy</v>
      </c>
    </row>
    <row r="14710">
      <c r="A14710" s="1">
        <v>4.0</v>
      </c>
      <c r="B14710" s="1" t="s">
        <v>14578</v>
      </c>
      <c r="C14710" t="str">
        <f>IFERROR(__xludf.DUMMYFUNCTION("GOOGLETRANSLATE(B14710, ""es"", ""en"")"),"Very easy and simple to use I like the ease of handling. It's pretty quick when heat water and does not make excessive noise, I'd say like most such devices. Good quality / price.")</f>
        <v>Very easy and simple to use I like the ease of handling. It's pretty quick when heat water and does not make excessive noise, I'd say like most such devices. Good quality / price.</v>
      </c>
    </row>
    <row r="14711">
      <c r="A14711" s="1">
        <v>4.0</v>
      </c>
      <c r="B14711" s="1" t="s">
        <v>14579</v>
      </c>
      <c r="C14711" t="str">
        <f>IFERROR(__xludf.DUMMYFUNCTION("GOOGLETRANSLATE(B14711, ""es"", ""en"")"),"Armani watch what I liked most is the price, and costs 350 Zalando my cost me 154 (minus 8 fuel check) to the end for only 146 (why not surprise me the success of Amazon). I have had to remove 4 links to fit my wrist cramped, it is nice but wanted the scr"&amp;"een was something bigger. One of the two ends of the closure strap is always jammed and I have to do more strength (hence 4 stars)")</f>
        <v>Armani watch what I liked most is the price, and costs 350 Zalando my cost me 154 (minus 8 fuel check) to the end for only 146 (why not surprise me the success of Amazon). I have had to remove 4 links to fit my wrist cramped, it is nice but wanted the screen was something bigger. One of the two ends of the closure strap is always jammed and I have to do more strength (hence 4 stars)</v>
      </c>
    </row>
    <row r="14712">
      <c r="A14712" s="1">
        <v>4.0</v>
      </c>
      <c r="B14712" s="1" t="s">
        <v>14580</v>
      </c>
      <c r="C14712" t="str">
        <f>IFERROR(__xludf.DUMMYFUNCTION("GOOGLETRANSLATE(B14712, ""es"", ""en"")"),"Good buy I bought it as an external disk for my photo shoots, I use a MacBookPro, and it works perfectly. I have partitioned into two units as they use dropbox to the same time and also stored in the cloud have a copy on the physical drive. A USB-C being "&amp;"the data rate is correct. Better had it been SDD, but for the price is going well")</f>
        <v>Good buy I bought it as an external disk for my photo shoots, I use a MacBookPro, and it works perfectly. I have partitioned into two units as they use dropbox to the same time and also stored in the cloud have a copy on the physical drive. A USB-C being the data rate is correct. Better had it been SDD, but for the price is going well</v>
      </c>
    </row>
    <row r="14713">
      <c r="A14713" s="1">
        <v>4.0</v>
      </c>
      <c r="B14713" s="1" t="s">
        <v>14581</v>
      </c>
      <c r="C14713" t="str">
        <f>IFERROR(__xludf.DUMMYFUNCTION("GOOGLETRANSLATE(B14713, ""es"", ""en"")"),"NO bad go bad, have good sound quality but it shows they are not the originals because the sound is more acute and controls are not as fine as the original. but costing less than half of these, because they are not bad. For now I are taking longer than th"&amp;"e original I bought twice, and that alone is already a good buy.")</f>
        <v>NO bad go bad, have good sound quality but it shows they are not the originals because the sound is more acute and controls are not as fine as the original. but costing less than half of these, because they are not bad. For now I are taking longer than the original I bought twice, and that alone is already a good buy.</v>
      </c>
    </row>
    <row r="14714">
      <c r="A14714" s="1">
        <v>5.0</v>
      </c>
      <c r="B14714" s="1" t="s">
        <v>14582</v>
      </c>
      <c r="C14714" t="str">
        <f>IFERROR(__xludf.DUMMYFUNCTION("GOOGLETRANSLATE(B14714, ""es"", ""en"")"),"pandora pandora bracelet accessories is very nice and at an acceptable price is as shown in the pictures and very fast shipping")</f>
        <v>pandora pandora bracelet accessories is very nice and at an acceptable price is as shown in the pictures and very fast shipping</v>
      </c>
    </row>
    <row r="14715">
      <c r="A14715" s="1">
        <v>5.0</v>
      </c>
      <c r="B14715" s="1" t="s">
        <v>14583</v>
      </c>
      <c r="C14715" t="str">
        <f>IFERROR(__xludf.DUMMYFUNCTION("GOOGLETRANSLATE(B14715, ""es"", ""en"")"),"be satisfied with the purchase are good to run, I have some great left foot but I get along well")</f>
        <v>be satisfied with the purchase are good to run, I have some great left foot but I get along well</v>
      </c>
    </row>
    <row r="14716">
      <c r="A14716" s="1">
        <v>5.0</v>
      </c>
      <c r="B14716" s="1" t="s">
        <v>14584</v>
      </c>
      <c r="C14716" t="str">
        <f>IFERROR(__xludf.DUMMYFUNCTION("GOOGLETRANSLATE(B14716, ""es"", ""en"")"),"The money come from are testing and wonders")</f>
        <v>The money come from are testing and wonders</v>
      </c>
    </row>
    <row r="14717">
      <c r="A14717" s="1">
        <v>5.0</v>
      </c>
      <c r="B14717" s="1" t="s">
        <v>14585</v>
      </c>
      <c r="C14717" t="str">
        <f>IFERROR(__xludf.DUMMYFUNCTION("GOOGLETRANSLATE(B14717, ""es"", ""en"")"),"Very good and practical, for mobile, pc, etc ... One advantage Ideal; It is the second to have exact to it. Kingston trust mark recognized as prestrigio. In the mobile it is going great and for my use (always simple and limited data) is going very well. O"&amp;"nly fairly heated with use of long videos, etc .... But that usually happens to all USB memories ...... I hope it lasts years until I lose them as often happens for being so small !!!! Today is a great invention comfort in information management. RECOMEND"&amp;"ABLE and little data IDEAL FOR PRICE.")</f>
        <v>Very good and practical, for mobile, pc, etc ... One advantage Ideal; It is the second to have exact to it. Kingston trust mark recognized as prestrigio. In the mobile it is going great and for my use (always simple and limited data) is going very well. Only fairly heated with use of long videos, etc .... But that usually happens to all USB memories ...... I hope it lasts years until I lose them as often happens for being so small !!!! Today is a great invention comfort in information management. RECOMENDABLE and little data IDEAL FOR PRICE.</v>
      </c>
    </row>
    <row r="14718">
      <c r="A14718" s="1">
        <v>5.0</v>
      </c>
      <c r="B14718" s="1" t="s">
        <v>14586</v>
      </c>
      <c r="C14718" t="str">
        <f>IFERROR(__xludf.DUMMYFUNCTION("GOOGLETRANSLATE(B14718, ""es"", ""en"")"),"Comfortable and good product really good quality for the price adjusted.")</f>
        <v>Comfortable and good product really good quality for the price adjusted.</v>
      </c>
    </row>
    <row r="14719">
      <c r="A14719" s="1">
        <v>5.0</v>
      </c>
      <c r="B14719" s="1" t="s">
        <v>14587</v>
      </c>
      <c r="C14719" t="str">
        <f>IFERROR(__xludf.DUMMYFUNCTION("GOOGLETRANSLATE(B14719, ""es"", ""en"")"),"Excellent quality!! All perfect. As published")</f>
        <v>Excellent quality!! All perfect. As published</v>
      </c>
    </row>
    <row r="14720">
      <c r="A14720" s="1">
        <v>5.0</v>
      </c>
      <c r="B14720" s="1" t="s">
        <v>14588</v>
      </c>
      <c r="C14720" t="str">
        <f>IFERROR(__xludf.DUMMYFUNCTION("GOOGLETRANSLATE(B14720, ""es"", ""en"")"),"Completion of the product is as shown in the photo, robust and very good finish of zippers and stitching, I recommend it.")</f>
        <v>Completion of the product is as shown in the photo, robust and very good finish of zippers and stitching, I recommend it.</v>
      </c>
    </row>
    <row r="14721">
      <c r="A14721" s="1">
        <v>5.0</v>
      </c>
      <c r="B14721" s="1" t="s">
        <v>14589</v>
      </c>
      <c r="C14721" t="str">
        <f>IFERROR(__xludf.DUMMYFUNCTION("GOOGLETRANSLATE(B14721, ""es"", ""en"")"),"I wanted a very new alarm clock to stop using the phone as if it were, so looking for it and found it very good. It is adjustable light (having different colors environment with different levels of intensity) to begin to glow before the alarm sounds. The "&amp;"brightness is gradually increasing, so it is perfect to go waking up being nothing annoying, because it dazzles, and brings sounds are very nice, besides having a good sound quality. But if you prefer, you can set the alarm clock with a radio. Although I "&amp;"do not usually use often, it can also be programmed to go to sleep with sounds of the forest, rain, etc. What really makes it different is that it is controlled through an application. This is really useful if you want to change the time or the lights, wi"&amp;"thout having to be next to the clock. You can also program alarms at different times and can set the tone that will sound. Another novelty is that you can use with Amazon Alexa and Google. I have not, but I'm thinking of buying one, so I come phenomenal t"&amp;"his feature.")</f>
        <v>I wanted a very new alarm clock to stop using the phone as if it were, so looking for it and found it very good. It is adjustable light (having different colors environment with different levels of intensity) to begin to glow before the alarm sounds. The brightness is gradually increasing, so it is perfect to go waking up being nothing annoying, because it dazzles, and brings sounds are very nice, besides having a good sound quality. But if you prefer, you can set the alarm clock with a radio. Although I do not usually use often, it can also be programmed to go to sleep with sounds of the forest, rain, etc. What really makes it different is that it is controlled through an application. This is really useful if you want to change the time or the lights, without having to be next to the clock. You can also program alarms at different times and can set the tone that will sound. Another novelty is that you can use with Amazon Alexa and Google. I have not, but I'm thinking of buying one, so I come phenomenal this feature.</v>
      </c>
    </row>
    <row r="14722">
      <c r="A14722" s="1">
        <v>5.0</v>
      </c>
      <c r="B14722" s="1" t="s">
        <v>14590</v>
      </c>
      <c r="C14722" t="str">
        <f>IFERROR(__xludf.DUMMYFUNCTION("GOOGLETRANSLATE(B14722, ""es"", ""en"")"),"100% Original not expected to be true, but if they are, I love them and the number is the same one I use, I recommend")</f>
        <v>100% Original not expected to be true, but if they are, I love them and the number is the same one I use, I recommend</v>
      </c>
    </row>
    <row r="14723">
      <c r="A14723" s="1">
        <v>5.0</v>
      </c>
      <c r="B14723" s="1" t="s">
        <v>14591</v>
      </c>
      <c r="C14723" t="str">
        <f>IFERROR(__xludf.DUMMYFUNCTION("GOOGLETRANSLATE(B14723, ""es"", ""en"")"),"Comodisimi Fast, clean, convenient !!!!! Phenomenal")</f>
        <v>Comodisimi Fast, clean, convenient !!!!! Phenomenal</v>
      </c>
    </row>
    <row r="14724">
      <c r="A14724" s="1">
        <v>5.0</v>
      </c>
      <c r="B14724" s="1" t="s">
        <v>14592</v>
      </c>
      <c r="C14724" t="str">
        <f>IFERROR(__xludf.DUMMYFUNCTION("GOOGLETRANSLATE(B14724, ""es"", ""en"")"),"For podcats pretty good microphone works quite well. If you want to listen with headphones jack micro cable must be connected to an adapter with dual input (micro and speaker). The sound quality is not bad for beginners. If you want to start your own reco"&amp;"rd podcats this option is fine. He has an articulated arm and an anti-pop. The assembly is very easy.")</f>
        <v>For podcats pretty good microphone works quite well. If you want to listen with headphones jack micro cable must be connected to an adapter with dual input (micro and speaker). The sound quality is not bad for beginners. If you want to start your own record podcats this option is fine. He has an articulated arm and an anti-pop. The assembly is very easy.</v>
      </c>
    </row>
    <row r="14725">
      <c r="A14725" s="1">
        <v>5.0</v>
      </c>
      <c r="B14725" s="1" t="s">
        <v>14593</v>
      </c>
      <c r="C14725" t="str">
        <f>IFERROR(__xludf.DUMMYFUNCTION("GOOGLETRANSLATE(B14725, ""es"", ""en"")"),"COMFORTABLE AND WELL WELL")</f>
        <v>COMFORTABLE AND WELL WELL</v>
      </c>
    </row>
    <row r="14726">
      <c r="A14726" s="1">
        <v>5.0</v>
      </c>
      <c r="B14726" s="1" t="s">
        <v>14594</v>
      </c>
      <c r="C14726" t="str">
        <f>IFERROR(__xludf.DUMMYFUNCTION("GOOGLETRANSLATE(B14726, ""es"", ""en"")"),"POWERFUL is very powerful and easy to use, clean a little complex but overall very good, I recommend.")</f>
        <v>POWERFUL is very powerful and easy to use, clean a little complex but overall very good, I recommend.</v>
      </c>
    </row>
    <row r="14727">
      <c r="A14727" s="1">
        <v>5.0</v>
      </c>
      <c r="B14727" s="1" t="s">
        <v>14595</v>
      </c>
      <c r="C14727" t="str">
        <f>IFERROR(__xludf.DUMMYFUNCTION("GOOGLETRANSLATE(B14727, ""es"", ""en"")"),"Very nice very nice")</f>
        <v>Very nice very nice</v>
      </c>
    </row>
    <row r="14728">
      <c r="A14728" s="1">
        <v>5.0</v>
      </c>
      <c r="B14728" s="1" t="s">
        <v>14596</v>
      </c>
      <c r="C14728" t="str">
        <f>IFERROR(__xludf.DUMMYFUNCTION("GOOGLETRANSLATE(B14728, ""es"", ""en"")"),"Very nice I did not expect much for this price, but I was surprised, very nice and does not feel at all cheap or shoddy.")</f>
        <v>Very nice I did not expect much for this price, but I was surprised, very nice and does not feel at all cheap or shoddy.</v>
      </c>
    </row>
    <row r="14729">
      <c r="A14729" s="1">
        <v>5.0</v>
      </c>
      <c r="B14729" s="1" t="s">
        <v>14597</v>
      </c>
      <c r="C14729" t="str">
        <f>IFERROR(__xludf.DUMMYFUNCTION("GOOGLETRANSLATE(B14729, ""es"", ""en"")"),"Cool I the chosen in pink and truth that are very nice. I have the big lobe and are of great size. I have allergies to nickel and those from that I do not have removed me have not hurt me")</f>
        <v>Cool I the chosen in pink and truth that are very nice. I have the big lobe and are of great size. I have allergies to nickel and those from that I do not have removed me have not hurt me</v>
      </c>
    </row>
    <row r="14730">
      <c r="A14730" s="1">
        <v>5.0</v>
      </c>
      <c r="B14730" s="1" t="s">
        <v>14598</v>
      </c>
      <c r="C14730" t="str">
        <f>IFERROR(__xludf.DUMMYFUNCTION("GOOGLETRANSLATE(B14730, ""es"", ""en"")"),"Benefits Very good")</f>
        <v>Benefits Very good</v>
      </c>
    </row>
    <row r="14731">
      <c r="A14731" s="1">
        <v>5.0</v>
      </c>
      <c r="B14731" s="1" t="s">
        <v>14599</v>
      </c>
      <c r="C14731" t="str">
        <f>IFERROR(__xludf.DUMMYFUNCTION("GOOGLETRANSLATE(B14731, ""es"", ""en"")"),"The all in one really you do not know what's cooking with this wonder. Mayonnaise makes a time, without cutting the least. Chop the onion in 3 seconds, I have not tried the bar but it sure will be equal to mix and assemble .. What good is that it comes al"&amp;"l together and took up very little space. I recommend it to you.")</f>
        <v>The all in one really you do not know what's cooking with this wonder. Mayonnaise makes a time, without cutting the least. Chop the onion in 3 seconds, I have not tried the bar but it sure will be equal to mix and assemble .. What good is that it comes all together and took up very little space. I recommend it to you.</v>
      </c>
    </row>
    <row r="14732">
      <c r="A14732" s="1">
        <v>2.0</v>
      </c>
      <c r="B14732" s="1" t="s">
        <v>14600</v>
      </c>
      <c r="C14732" t="str">
        <f>IFERROR(__xludf.DUMMYFUNCTION("GOOGLETRANSLATE(B14732, ""es"", ""en"")"),"Hard, harsh, they do not seem Skechers are sooo hard, nothing to do with the usual comfort Skechers")</f>
        <v>Hard, harsh, they do not seem Skechers are sooo hard, nothing to do with the usual comfort Skechers</v>
      </c>
    </row>
    <row r="14733">
      <c r="A14733" s="1">
        <v>3.0</v>
      </c>
      <c r="B14733" s="1" t="s">
        <v>14601</v>
      </c>
      <c r="C14733" t="str">
        <f>IFERROR(__xludf.DUMMYFUNCTION("GOOGLETRANSLATE(B14733, ""es"", ""en"")"),"Flattering is thinner than I thought. For spring will be fine. Very flattering color.")</f>
        <v>Flattering is thinner than I thought. For spring will be fine. Very flattering color.</v>
      </c>
    </row>
    <row r="14734">
      <c r="A14734" s="1">
        <v>3.0</v>
      </c>
      <c r="B14734" s="1" t="s">
        <v>14602</v>
      </c>
      <c r="C14734" t="str">
        <f>IFERROR(__xludf.DUMMYFUNCTION("GOOGLETRANSLATE(B14734, ""es"", ""en"")"),"Serve was soon broken by the little plastic pieces resistant")</f>
        <v>Serve was soon broken by the little plastic pieces resistant</v>
      </c>
    </row>
    <row r="14735">
      <c r="A14735" s="1">
        <v>1.0</v>
      </c>
      <c r="B14735" s="1" t="s">
        <v>14603</v>
      </c>
      <c r="C14735" t="str">
        <f>IFERROR(__xludf.DUMMYFUNCTION("GOOGLETRANSLATE(B14735, ""es"", ""en"")"),"Resistant all, a very bad purchase. Purchased on February 27, a few days ago taking off the watch, the strap broke. More exactly the rubber casing around the clock, at the height of the metal needle, which broke beyond repair. Although the watch is under "&amp;"warranty, I see no option to obtain an equivalent replacement unit on page Return (the order does not appear even providing their exact number). I contacted via email with Amazon, which will send me a new unit. Hopefully last longer.")</f>
        <v>Resistant all, a very bad purchase. Purchased on February 27, a few days ago taking off the watch, the strap broke. More exactly the rubber casing around the clock, at the height of the metal needle, which broke beyond repair. Although the watch is under warranty, I see no option to obtain an equivalent replacement unit on page Return (the order does not appear even providing their exact number). I contacted via email with Amazon, which will send me a new unit. Hopefully last longer.</v>
      </c>
    </row>
    <row r="14736">
      <c r="A14736" s="1">
        <v>1.0</v>
      </c>
      <c r="B14736" s="1" t="s">
        <v>14604</v>
      </c>
      <c r="C14736" t="str">
        <f>IFERROR(__xludf.DUMMYFUNCTION("GOOGLETRANSLATE(B14736, ""es"", ""en"")"),"Do not buy The micro is nice, but only to have him trim it not pick up your voice well, you're a centimeter, but if it picks up the sound environment. Anyway it's pretty crap. You do not buy some.")</f>
        <v>Do not buy The micro is nice, but only to have him trim it not pick up your voice well, you're a centimeter, but if it picks up the sound environment. Anyway it's pretty crap. You do not buy some.</v>
      </c>
    </row>
    <row r="14737">
      <c r="A14737" s="1">
        <v>1.0</v>
      </c>
      <c r="B14737" s="1" t="s">
        <v>14605</v>
      </c>
      <c r="C14737" t="str">
        <f>IFERROR(__xludf.DUMMYFUNCTION("GOOGLETRANSLATE(B14737, ""es"", ""en"")"),"Low light can not see anything. It has little light.")</f>
        <v>Low light can not see anything. It has little light.</v>
      </c>
    </row>
    <row r="14738">
      <c r="A14738" s="1">
        <v>4.0</v>
      </c>
      <c r="B14738" s="1" t="s">
        <v>14606</v>
      </c>
      <c r="C14738" t="str">
        <f>IFERROR(__xludf.DUMMYFUNCTION("GOOGLETRANSLATE(B14738, ""es"", ""en"")"),"though it is quite large quite large and difficult to understand. I took just one month with him and seems to be putting inside yellowish")</f>
        <v>though it is quite large quite large and difficult to understand. I took just one month with him and seems to be putting inside yellowish</v>
      </c>
    </row>
    <row r="14739">
      <c r="A14739" s="1">
        <v>4.0</v>
      </c>
      <c r="B14739" s="1" t="s">
        <v>14607</v>
      </c>
      <c r="C14739" t="str">
        <f>IFERROR(__xludf.DUMMYFUNCTION("GOOGLETRANSLATE(B14739, ""es"", ""en"")"),"Quality / unbeatable price. Very good value and convenience. Much variety of sizes. It came without problems on the scheduled dates. RECOMENDABLE 100% if you are interested suckers!")</f>
        <v>Quality / unbeatable price. Very good value and convenience. Much variety of sizes. It came without problems on the scheduled dates. RECOMENDABLE 100% if you are interested suckers!</v>
      </c>
    </row>
    <row r="14740">
      <c r="A14740" s="1">
        <v>4.0</v>
      </c>
      <c r="B14740" s="1" t="s">
        <v>14608</v>
      </c>
      <c r="C14740" t="str">
        <f>IFERROR(__xludf.DUMMYFUNCTION("GOOGLETRANSLATE(B14740, ""es"", ""en"")"),"Comfortable and cool These Vans are a sporting canvas comfortable and cool that go great whether you dress informally or want to use to make a low-impact sport because although the sole is thick, it is completely flat and has no camera air. In addition, t"&amp;"he templates only offer lightweight cushioning. Despite being flat, the sole provides good grip on most surfaces (in fact have a friend who makes and uses a Vans skating very similar to these). The white gum surrounding the sport reminds me of the bumper "&amp;"of a car: Protects wear canvas. Padded insoles are removable but not so if you take templates have to buy at the least one size bigger because, according to my husband, carve a little fair. The closure is lace and the nice thing is that although not untie"&amp;" walk for hours. The logo on the back, in red, which reads Vans off the Wall and fabric logo tab that reads Vans, give the hallmarks of the brand.")</f>
        <v>Comfortable and cool These Vans are a sporting canvas comfortable and cool that go great whether you dress informally or want to use to make a low-impact sport because although the sole is thick, it is completely flat and has no camera air. In addition, the templates only offer lightweight cushioning. Despite being flat, the sole provides good grip on most surfaces (in fact have a friend who makes and uses a Vans skating very similar to these). The white gum surrounding the sport reminds me of the bumper of a car: Protects wear canvas. Padded insoles are removable but not so if you take templates have to buy at the least one size bigger because, according to my husband, carve a little fair. The closure is lace and the nice thing is that although not untie walk for hours. The logo on the back, in red, which reads Vans off the Wall and fabric logo tab that reads Vans, give the hallmarks of the brand.</v>
      </c>
    </row>
    <row r="14741">
      <c r="A14741" s="1">
        <v>4.0</v>
      </c>
      <c r="B14741" s="1" t="s">
        <v>14609</v>
      </c>
      <c r="C14741" t="str">
        <f>IFERROR(__xludf.DUMMYFUNCTION("GOOGLETRANSLATE(B14741, ""es"", ""en"")"),"Pocket Watch. Pocket watch as described in the ad. Has handles look a bit fragile. It is a good size.")</f>
        <v>Pocket Watch. Pocket watch as described in the ad. Has handles look a bit fragile. It is a good size.</v>
      </c>
    </row>
    <row r="14742">
      <c r="A14742" s="1">
        <v>4.0</v>
      </c>
      <c r="B14742" s="1" t="s">
        <v>14610</v>
      </c>
      <c r="C14742" t="str">
        <f>IFERROR(__xludf.DUMMYFUNCTION("GOOGLETRANSLATE(B14742, ""es"", ""en"")"),"It's nice I bought it because it looked quite match that gave eltamaño wrist because it can close at different heights. As a detail to give away looks good and I think the price is worth")</f>
        <v>It's nice I bought it because it looked quite match that gave eltamaño wrist because it can close at different heights. As a detail to give away looks good and I think the price is worth</v>
      </c>
    </row>
    <row r="14743">
      <c r="A14743" s="1">
        <v>5.0</v>
      </c>
      <c r="B14743" s="1" t="s">
        <v>14611</v>
      </c>
      <c r="C14743" t="str">
        <f>IFERROR(__xludf.DUMMYFUNCTION("GOOGLETRANSLATE(B14743, ""es"", ""en"")"),"Bonito Bonitos")</f>
        <v>Bonito Bonitos</v>
      </c>
    </row>
    <row r="14744">
      <c r="A14744" s="1">
        <v>5.0</v>
      </c>
      <c r="B14744" s="1" t="s">
        <v>42</v>
      </c>
      <c r="C14744" t="str">
        <f>IFERROR(__xludf.DUMMYFUNCTION("GOOGLETRANSLATE(B14744, ""es"", ""en"")"),"Well well")</f>
        <v>Well well</v>
      </c>
    </row>
    <row r="14745">
      <c r="A14745" s="1">
        <v>5.0</v>
      </c>
      <c r="B14745" s="1" t="s">
        <v>14612</v>
      </c>
      <c r="C14745" t="str">
        <f>IFERROR(__xludf.DUMMYFUNCTION("GOOGLETRANSLATE(B14745, ""es"", ""en"")"),"VERY CHEAP ... For the price and quality I think a purchase SUPERESTUPENDA ... The cover takes up very little. There is another case similar features STILGUT brand that although it is real leather is broken by the top corners very easily and well worth mo"&amp;"re than twenty euros, so you have to throw a few months of use. Much better this because where the above fails this brings it protected and it is very difficult to break. That said, BETTER THAN FACE WITH DIFFERENCE MORE ...")</f>
        <v>VERY CHEAP ... For the price and quality I think a purchase SUPERESTUPENDA ... The cover takes up very little. There is another case similar features STILGUT brand that although it is real leather is broken by the top corners very easily and well worth more than twenty euros, so you have to throw a few months of use. Much better this because where the above fails this brings it protected and it is very difficult to break. That said, BETTER THAN FACE WITH DIFFERENCE MORE ...</v>
      </c>
    </row>
    <row r="14746">
      <c r="A14746" s="1">
        <v>5.0</v>
      </c>
      <c r="B14746" s="1" t="s">
        <v>14613</v>
      </c>
      <c r="C14746" t="str">
        <f>IFERROR(__xludf.DUMMYFUNCTION("GOOGLETRANSLATE(B14746, ""es"", ""en"")"),"It is very nice as expected")</f>
        <v>It is very nice as expected</v>
      </c>
    </row>
    <row r="14747">
      <c r="A14747" s="1">
        <v>5.0</v>
      </c>
      <c r="B14747" s="1" t="s">
        <v>14614</v>
      </c>
      <c r="C14747" t="str">
        <f>IFERROR(__xludf.DUMMYFUNCTION("GOOGLETRANSLATE(B14747, ""es"", ""en"")"),"Rich fabric I was surprised to touch the fabric! Quality looks good does not seem the typical tracksuit fabric that makes pellets to the end until I used to go for a walk")</f>
        <v>Rich fabric I was surprised to touch the fabric! Quality looks good does not seem the typical tracksuit fabric that makes pellets to the end until I used to go for a walk</v>
      </c>
    </row>
    <row r="14748">
      <c r="A14748" s="1">
        <v>5.0</v>
      </c>
      <c r="B14748" s="1" t="s">
        <v>14615</v>
      </c>
      <c r="C14748" t="str">
        <f>IFERROR(__xludf.DUMMYFUNCTION("GOOGLETRANSLATE(B14748, ""es"", ""en"")"),"Fantastico Very small and handy")</f>
        <v>Fantastico Very small and handy</v>
      </c>
    </row>
    <row r="14749">
      <c r="A14749" s="1">
        <v>5.0</v>
      </c>
      <c r="B14749" s="1" t="s">
        <v>14616</v>
      </c>
      <c r="C14749" t="str">
        <f>IFERROR(__xludf.DUMMYFUNCTION("GOOGLETRANSLATE(B14749, ""es"", ""en"")"),"Back to the origins never existed better alarm clock. I had it in black and eventually it came to customizar in college days with a touch punk (thumbtacks on key SNOOZE, so he avoided absenteeism school fast) so now I return again as it is a complete desi"&amp;"gn and device the pair above the reliable clock radios. Since those last, with an overnight power outage can you the liar.")</f>
        <v>Back to the origins never existed better alarm clock. I had it in black and eventually it came to customizar in college days with a touch punk (thumbtacks on key SNOOZE, so he avoided absenteeism school fast) so now I return again as it is a complete design and device the pair above the reliable clock radios. Since those last, with an overnight power outage can you the liar.</v>
      </c>
    </row>
    <row r="14750">
      <c r="A14750" s="1">
        <v>5.0</v>
      </c>
      <c r="B14750" s="1" t="s">
        <v>14617</v>
      </c>
      <c r="C14750" t="str">
        <f>IFERROR(__xludf.DUMMYFUNCTION("GOOGLETRANSLATE(B14750, ""es"", ""en"")"),"The first 10 years of life! 10 years ago I bought in the US a couple of these great Crocs. Repeat with the same model have since gone great in all that time, I have worn soles but otherwise are perfect. so I repeat. They are super comfortable and will buy"&amp;" without hesitation. I hope you be my review helpful. Toni greetings.")</f>
        <v>The first 10 years of life! 10 years ago I bought in the US a couple of these great Crocs. Repeat with the same model have since gone great in all that time, I have worn soles but otherwise are perfect. so I repeat. They are super comfortable and will buy without hesitation. I hope you be my review helpful. Toni greetings.</v>
      </c>
    </row>
    <row r="14751">
      <c r="A14751" s="1">
        <v>5.0</v>
      </c>
      <c r="B14751" s="1" t="s">
        <v>14618</v>
      </c>
      <c r="C14751" t="str">
        <f>IFERROR(__xludf.DUMMYFUNCTION("GOOGLETRANSLATE(B14751, ""es"", ""en"")"),"watch 👍")</f>
        <v>watch 👍</v>
      </c>
    </row>
    <row r="14752">
      <c r="A14752" s="1">
        <v>5.0</v>
      </c>
      <c r="B14752" s="1" t="s">
        <v>14619</v>
      </c>
      <c r="C14752" t="str">
        <f>IFERROR(__xludf.DUMMYFUNCTION("GOOGLETRANSLATE(B14752, ""es"", ""en"")"),"Fine sponge glasses The best I've had. Good size, clean Easy")</f>
        <v>Fine sponge glasses The best I've had. Good size, clean Easy</v>
      </c>
    </row>
    <row r="14753">
      <c r="A14753" s="1">
        <v>5.0</v>
      </c>
      <c r="B14753" s="1" t="s">
        <v>14620</v>
      </c>
      <c r="C14753" t="str">
        <f>IFERROR(__xludf.DUMMYFUNCTION("GOOGLETRANSLATE(B14753, ""es"", ""en"")"),"Good value Good SD card, reliably and quickly. Currently (July 2019) is the best choice, because the difference with 32 GB is derisory; the 128GB raises the price a lot. If anything, formatted in FAT32 can be problematic in Windows, and you need to use a "&amp;"third party application. In my case I used FAT32 format, free and executable without installing anything. In short, highly recommended.")</f>
        <v>Good value Good SD card, reliably and quickly. Currently (July 2019) is the best choice, because the difference with 32 GB is derisory; the 128GB raises the price a lot. If anything, formatted in FAT32 can be problematic in Windows, and you need to use a third party application. In my case I used FAT32 format, free and executable without installing anything. In short, highly recommended.</v>
      </c>
    </row>
    <row r="14754">
      <c r="A14754" s="1">
        <v>5.0</v>
      </c>
      <c r="B14754" s="1" t="s">
        <v>14621</v>
      </c>
      <c r="C14754" t="str">
        <f>IFERROR(__xludf.DUMMYFUNCTION("GOOGLETRANSLATE(B14754, ""es"", ""en"")"),"Good quality good, they are strong and comfortable")</f>
        <v>Good quality good, they are strong and comfortable</v>
      </c>
    </row>
    <row r="14755">
      <c r="A14755" s="1">
        <v>5.0</v>
      </c>
      <c r="B14755" s="1" t="s">
        <v>14622</v>
      </c>
      <c r="C14755" t="str">
        <f>IFERROR(__xludf.DUMMYFUNCTION("GOOGLETRANSLATE(B14755, ""es"", ""en"")"),"Very good stuff good quality, I bought a gift for my wife and I liked him a lot, very comfortable and is made of good material,")</f>
        <v>Very good stuff good quality, I bought a gift for my wife and I liked him a lot, very comfortable and is made of good material,</v>
      </c>
    </row>
    <row r="14756">
      <c r="A14756" s="1">
        <v>5.0</v>
      </c>
      <c r="B14756" s="1" t="s">
        <v>14623</v>
      </c>
      <c r="C14756" t="str">
        <f>IFERROR(__xludf.DUMMYFUNCTION("GOOGLETRANSLATE(B14756, ""es"", ""en"")"),"Very good. Very very happy ..... they are quality and faithful color images. I recommend it.")</f>
        <v>Very good. Very very happy ..... they are quality and faithful color images. I recommend it.</v>
      </c>
    </row>
    <row r="14757">
      <c r="A14757" s="1">
        <v>5.0</v>
      </c>
      <c r="B14757" s="1" t="s">
        <v>14624</v>
      </c>
      <c r="C14757" t="str">
        <f>IFERROR(__xludf.DUMMYFUNCTION("GOOGLETRANSLATE(B14757, ""es"", ""en"")"),"Good and nice very good, with several positions, very functional, perfect for carrying the phone and wallet, good fabric and good finishes size, durable, like the photo or rather the totally recommend if you do not raise the price, I bought for nearly 11 "&amp;"euros.")</f>
        <v>Good and nice very good, with several positions, very functional, perfect for carrying the phone and wallet, good fabric and good finishes size, durable, like the photo or rather the totally recommend if you do not raise the price, I bought for nearly 11 euros.</v>
      </c>
    </row>
    <row r="14758">
      <c r="A14758" s="1">
        <v>5.0</v>
      </c>
      <c r="B14758" s="1" t="s">
        <v>14625</v>
      </c>
      <c r="C14758" t="str">
        <f>IFERROR(__xludf.DUMMYFUNCTION("GOOGLETRANSLATE(B14758, ""es"", ""en"")"),"Comfortable and perfect photo Same as I love them and are Comodisimos, I use 43 and 44 asked if I were 44 small and great wine me ... I recommend")</f>
        <v>Comfortable and perfect photo Same as I love them and are Comodisimos, I use 43 and 44 asked if I were 44 small and great wine me ... I recommend</v>
      </c>
    </row>
    <row r="14759">
      <c r="A14759" s="1">
        <v>5.0</v>
      </c>
      <c r="B14759" s="1" t="s">
        <v>14626</v>
      </c>
      <c r="C14759" t="str">
        <f>IFERROR(__xludf.DUMMYFUNCTION("GOOGLETRANSLATE(B14759, ""es"", ""en"")"),"portability is a portable, practical and small bag, ideal for small objects portability is good quality, it shows on sight.")</f>
        <v>portability is a portable, practical and small bag, ideal for small objects portability is good quality, it shows on sight.</v>
      </c>
    </row>
    <row r="14760">
      <c r="A14760" s="1">
        <v>5.0</v>
      </c>
      <c r="B14760" s="1" t="s">
        <v>14627</v>
      </c>
      <c r="C14760" t="str">
        <f>IFERROR(__xludf.DUMMYFUNCTION("GOOGLETRANSLATE(B14760, ""es"", ""en"")"),"Ok it works good price / quality ratio")</f>
        <v>Ok it works good price / quality ratio</v>
      </c>
    </row>
    <row r="14761">
      <c r="A14761" s="1">
        <v>5.0</v>
      </c>
      <c r="B14761" s="1" t="s">
        <v>14628</v>
      </c>
      <c r="C14761" t="str">
        <f>IFERROR(__xludf.DUMMYFUNCTION("GOOGLETRANSLATE(B14761, ""es"", ""en"")"),"Good quality Satisfecjo")</f>
        <v>Good quality Satisfecjo</v>
      </c>
    </row>
    <row r="14762">
      <c r="A14762" s="1">
        <v>2.0</v>
      </c>
      <c r="B14762" s="1" t="s">
        <v>14629</v>
      </c>
      <c r="C14762" t="str">
        <f>IFERROR(__xludf.DUMMYFUNCTION("GOOGLETRANSLATE(B14762, ""es"", ""en"")"),"You can not change tracks You can change tracks from helmets .. impossible to carry the phone in your backpack if you want to change at some point")</f>
        <v>You can not change tracks You can change tracks from helmets .. impossible to carry the phone in your backpack if you want to change at some point</v>
      </c>
    </row>
    <row r="14763">
      <c r="A14763" s="1">
        <v>3.0</v>
      </c>
      <c r="B14763" s="1" t="s">
        <v>14630</v>
      </c>
      <c r="C14763" t="str">
        <f>IFERROR(__xludf.DUMMYFUNCTION("GOOGLETRANSLATE(B14763, ""es"", ""en"")"),"Cheap and normal. Not spectacular but cunple microphone function without any problem. I do not put you more stars because I had to play in Windows settings for optimal performance. But once set works properly, use quite a distance from the mouth and the o"&amp;"ther party has told me that sounds good. Support is super good. The product is enough without spending much money.")</f>
        <v>Cheap and normal. Not spectacular but cunple microphone function without any problem. I do not put you more stars because I had to play in Windows settings for optimal performance. But once set works properly, use quite a distance from the mouth and the other party has told me that sounds good. Support is super good. The product is enough without spending much money.</v>
      </c>
    </row>
    <row r="14764">
      <c r="A14764" s="1">
        <v>3.0</v>
      </c>
      <c r="B14764" s="1" t="s">
        <v>14631</v>
      </c>
      <c r="C14764" t="str">
        <f>IFERROR(__xludf.DUMMYFUNCTION("GOOGLETRANSLATE(B14764, ""es"", ""en"")"),"We'll see how long we will see who breaks before, if the cable, plug ... or guitar. The sound is not bad, does not distort much ... but the ""coupling / uncoupling"" of the cable to the guitar ... ffff, looks like a lock. We will see...")</f>
        <v>We'll see how long we will see who breaks before, if the cable, plug ... or guitar. The sound is not bad, does not distort much ... but the "coupling / uncoupling" of the cable to the guitar ... ffff, looks like a lock. We will see...</v>
      </c>
    </row>
    <row r="14765">
      <c r="A14765" s="1">
        <v>1.0</v>
      </c>
      <c r="B14765" s="1" t="s">
        <v>14632</v>
      </c>
      <c r="C14765" t="str">
        <f>IFERROR(__xludf.DUMMYFUNCTION("GOOGLETRANSLATE(B14765, ""es"", ""en"")"),"Color change on the third day I'm not sure that it is authentic and silver. The received on Monday and 3 days later, is literally darkened, color change and not for the ph because I have other charm and have not changed in years of color. I do not know wh"&amp;"at to think. But if you do ... return course.")</f>
        <v>Color change on the third day I'm not sure that it is authentic and silver. The received on Monday and 3 days later, is literally darkened, color change and not for the ph because I have other charm and have not changed in years of color. I do not know what to think. But if you do ... return course.</v>
      </c>
    </row>
    <row r="14766">
      <c r="A14766" s="1">
        <v>1.0</v>
      </c>
      <c r="B14766" s="1" t="s">
        <v>14633</v>
      </c>
      <c r="C14766" t="str">
        <f>IFERROR(__xludf.DUMMYFUNCTION("GOOGLETRANSLATE(B14766, ""es"", ""en"")"),"Pence just bad bad cloth that was better quality fabric and thick fabric for nothing bad was bad pants I stay just a mistress bues anything bag was not satisfied")</f>
        <v>Pence just bad bad cloth that was better quality fabric and thick fabric for nothing bad was bad pants I stay just a mistress bues anything bag was not satisfied</v>
      </c>
    </row>
    <row r="14767">
      <c r="A14767" s="1">
        <v>4.0</v>
      </c>
      <c r="B14767" s="1" t="s">
        <v>14634</v>
      </c>
      <c r="C14767" t="str">
        <f>IFERROR(__xludf.DUMMYFUNCTION("GOOGLETRANSLATE(B14767, ""es"", ""en"")"),"comfortable okay")</f>
        <v>comfortable okay</v>
      </c>
    </row>
    <row r="14768">
      <c r="A14768" s="1">
        <v>4.0</v>
      </c>
      <c r="B14768" s="1" t="s">
        <v>14635</v>
      </c>
      <c r="C14768" t="str">
        <f>IFERROR(__xludf.DUMMYFUNCTION("GOOGLETRANSLATE(B14768, ""es"", ""en"")"),"Rocio I expected. Great for radiators and corners where there is no mop or vacuum cleaner. There you get the hang of but can be folded in different podiciones and reaches all kinds of nooks and crannies.")</f>
        <v>Rocio I expected. Great for radiators and corners where there is no mop or vacuum cleaner. There you get the hang of but can be folded in different podiciones and reaches all kinds of nooks and crannies.</v>
      </c>
    </row>
    <row r="14769">
      <c r="A14769" s="1">
        <v>4.0</v>
      </c>
      <c r="B14769" s="1" t="s">
        <v>14636</v>
      </c>
      <c r="C14769" t="str">
        <f>IFERROR(__xludf.DUMMYFUNCTION("GOOGLETRANSLATE(B14769, ""es"", ""en"")"),"Perfect to go to the river and beach are supercomodos and conform to the foot like a glove, fully recommended to go to bathe in the river or the like")</f>
        <v>Perfect to go to the river and beach are supercomodos and conform to the foot like a glove, fully recommended to go to bathe in the river or the like</v>
      </c>
    </row>
    <row r="14770">
      <c r="A14770" s="1">
        <v>4.0</v>
      </c>
      <c r="B14770" s="1" t="s">
        <v>14637</v>
      </c>
      <c r="C14770" t="str">
        <f>IFERROR(__xludf.DUMMYFUNCTION("GOOGLETRANSLATE(B14770, ""es"", ""en"")"),"I liked Good for the price")</f>
        <v>I liked Good for the price</v>
      </c>
    </row>
    <row r="14771">
      <c r="A14771" s="1">
        <v>5.0</v>
      </c>
      <c r="B14771" s="1" t="s">
        <v>14638</v>
      </c>
      <c r="C14771" t="str">
        <f>IFERROR(__xludf.DUMMYFUNCTION("GOOGLETRANSLATE(B14771, ""es"", ""en"")"),"Hello binder for use home after four days I have it in my hands. Wine in perfect condition, weighs a little because it is metal whole, I gave away the cutters, the holes are round, for metal spiral, perfect fit, at the beginning stain a little oil that ha"&amp;"s or fat that made him, smooth lever does not take much effort, I recommend it.")</f>
        <v>Hello binder for use home after four days I have it in my hands. Wine in perfect condition, weighs a little because it is metal whole, I gave away the cutters, the holes are round, for metal spiral, perfect fit, at the beginning stain a little oil that has or fat that made him, smooth lever does not take much effort, I recommend it.</v>
      </c>
    </row>
    <row r="14772">
      <c r="A14772" s="1">
        <v>5.0</v>
      </c>
      <c r="B14772" s="1" t="s">
        <v>14639</v>
      </c>
      <c r="C14772" t="str">
        <f>IFERROR(__xludf.DUMMYFUNCTION("GOOGLETRANSLATE(B14772, ""es"", ""en"")"),"Great blender is a good size to store it anywhere, plus super easy and texture of the shakes is clean is great")</f>
        <v>Great blender is a good size to store it anywhere, plus super easy and texture of the shakes is clean is great</v>
      </c>
    </row>
    <row r="14773">
      <c r="A14773" s="1">
        <v>5.0</v>
      </c>
      <c r="B14773" s="1" t="s">
        <v>14640</v>
      </c>
      <c r="C14773" t="str">
        <f>IFERROR(__xludf.DUMMYFUNCTION("GOOGLETRANSLATE(B14773, ""es"", ""en"")"),"9.9 is perfect really a lot of capacity, speed okey. 1.81 Teras in windows are perfect for storage, even for throwing games since.")</f>
        <v>9.9 is perfect really a lot of capacity, speed okey. 1.81 Teras in windows are perfect for storage, even for throwing games since.</v>
      </c>
    </row>
    <row r="14774">
      <c r="A14774" s="1">
        <v>5.0</v>
      </c>
      <c r="B14774" s="1" t="s">
        <v>14641</v>
      </c>
      <c r="C14774" t="str">
        <f>IFERROR(__xludf.DUMMYFUNCTION("GOOGLETRANSLATE(B14774, ""es"", ""en"")"),"Meets my expectations fulfilled my expectations. I wanted a watch very resistant to water, never finds open to change the battery to the solar being. Who has the right, stop watch, date and you can see in the dark.")</f>
        <v>Meets my expectations fulfilled my expectations. I wanted a watch very resistant to water, never finds open to change the battery to the solar being. Who has the right, stop watch, date and you can see in the dark.</v>
      </c>
    </row>
    <row r="14775">
      <c r="A14775" s="1">
        <v>5.0</v>
      </c>
      <c r="B14775" s="1" t="s">
        <v>14642</v>
      </c>
      <c r="C14775" t="str">
        <f>IFERROR(__xludf.DUMMYFUNCTION("GOOGLETRANSLATE(B14775, ""es"", ""en"")"),"Comfort as a flag If looking for a female shoe, different, comfortable and all you days to consider this Clarks model. It is a shoe for every day, flexible and well finished. Without heels, but with the modern point to give a different touch. Often comfor"&amp;"table shoes every day are not very showy but they break the rule that it can not be pretty comfortable and different. Attention to the sizing of Clarks including half sizes. On their website you indicate correspondence with standardized sizes.")</f>
        <v>Comfort as a flag If looking for a female shoe, different, comfortable and all you days to consider this Clarks model. It is a shoe for every day, flexible and well finished. Without heels, but with the modern point to give a different touch. Often comfortable shoes every day are not very showy but they break the rule that it can not be pretty comfortable and different. Attention to the sizing of Clarks including half sizes. On their website you indicate correspondence with standardized sizes.</v>
      </c>
    </row>
    <row r="14776">
      <c r="A14776" s="1">
        <v>5.0</v>
      </c>
      <c r="B14776" s="1" t="s">
        <v>14643</v>
      </c>
      <c r="C14776" t="str">
        <f>IFERROR(__xludf.DUMMYFUNCTION("GOOGLETRANSLATE(B14776, ""es"", ""en"")"),"Quality Skechers very slight and comfortable, breathable, very comfortable, customizable template, perfect and, above all, weigh nothing !!! I recommend. They are the second I have this brand as my reference.")</f>
        <v>Quality Skechers very slight and comfortable, breathable, very comfortable, customizable template, perfect and, above all, weigh nothing !!! I recommend. They are the second I have this brand as my reference.</v>
      </c>
    </row>
    <row r="14777">
      <c r="A14777" s="1">
        <v>5.0</v>
      </c>
      <c r="B14777" s="1" t="s">
        <v>14644</v>
      </c>
      <c r="C14777" t="str">
        <f>IFERROR(__xludf.DUMMYFUNCTION("GOOGLETRANSLATE(B14777, ""es"", ""en"")"),"Good watch Very easy to use for children and resistant")</f>
        <v>Good watch Very easy to use for children and resistant</v>
      </c>
    </row>
    <row r="14778">
      <c r="A14778" s="1">
        <v>5.0</v>
      </c>
      <c r="B14778" s="1" t="s">
        <v>14645</v>
      </c>
      <c r="C14778" t="str">
        <f>IFERROR(__xludf.DUMMYFUNCTION("GOOGLETRANSLATE(B14778, ""es"", ""en"")"),"He arrived in 24h Good value for money.")</f>
        <v>He arrived in 24h Good value for money.</v>
      </c>
    </row>
    <row r="14779">
      <c r="A14779" s="1">
        <v>5.0</v>
      </c>
      <c r="B14779" s="1" t="s">
        <v>14646</v>
      </c>
      <c r="C14779" t="str">
        <f>IFERROR(__xludf.DUMMYFUNCTION("GOOGLETRANSLATE(B14779, ""es"", ""en"")"),"A classic As always order arrived a day before the scheduled date. Watch in a comfortable and very light to carry, in this case the purchase was for a gift and the person who received it is delighted with him.")</f>
        <v>A classic As always order arrived a day before the scheduled date. Watch in a comfortable and very light to carry, in this case the purchase was for a gift and the person who received it is delighted with him.</v>
      </c>
    </row>
    <row r="14780">
      <c r="A14780" s="1">
        <v>5.0</v>
      </c>
      <c r="B14780" s="1" t="s">
        <v>14647</v>
      </c>
      <c r="C14780" t="str">
        <f>IFERROR(__xludf.DUMMYFUNCTION("GOOGLETRANSLATE(B14780, ""es"", ""en"")"),"A brown beast SD card This is the ashbeast of SD cards, is outstanding from all points of view, but beware !, talk about a professional card, is why it has performance that would not make sense to use it for another thing, besides it would be throwing mon"&amp;"ey away. Has a UHS II technology (U3) class 10 and of course is compatible with devices using UHS I. In this case we speak of a professional card, designed to get maximum performance in high-quality photos, but especially video, which is more demanding in"&amp;" quality scales 1080p, HD, 3D and 4k and that is where a card with incredible speed is needed. The capacity is 64 GB, it can be much or little, that will have to value it as needed, but this model can find up to 256 gb. Phew! one pass for an amateur. I've"&amp;" had more things of this brand and its quality and reliability is extraordinary. If you are a professional image, you can not miss on your team is SD, you have professional quality at a normal price. Not so long ago, an SD card of this capacity was far mo"&amp;"re expensive and not reached or the soles of the shoes in speed reading and writing. Totally recommend if you want professional or video recording 1080p over.")</f>
        <v>A brown beast SD card This is the ashbeast of SD cards, is outstanding from all points of view, but beware !, talk about a professional card, is why it has performance that would not make sense to use it for another thing, besides it would be throwing money away. Has a UHS II technology (U3) class 10 and of course is compatible with devices using UHS I. In this case we speak of a professional card, designed to get maximum performance in high-quality photos, but especially video, which is more demanding in quality scales 1080p, HD, 3D and 4k and that is where a card with incredible speed is needed. The capacity is 64 GB, it can be much or little, that will have to value it as needed, but this model can find up to 256 gb. Phew! one pass for an amateur. I've had more things of this brand and its quality and reliability is extraordinary. If you are a professional image, you can not miss on your team is SD, you have professional quality at a normal price. Not so long ago, an SD card of this capacity was far more expensive and not reached or the soles of the shoes in speed reading and writing. Totally recommend if you want professional or video recording 1080p over.</v>
      </c>
    </row>
    <row r="14781">
      <c r="A14781" s="1">
        <v>5.0</v>
      </c>
      <c r="B14781" s="1" t="s">
        <v>14648</v>
      </c>
      <c r="C14781" t="str">
        <f>IFERROR(__xludf.DUMMYFUNCTION("GOOGLETRANSLATE(B14781, ""es"", ""en"")"),"High quality at the best price I bought the lot for acoustic treatment of my home studio, and have placed all and the result has little to envy of other well-known brands much more expensive, I would definitely buy it")</f>
        <v>High quality at the best price I bought the lot for acoustic treatment of my home studio, and have placed all and the result has little to envy of other well-known brands much more expensive, I would definitely buy it</v>
      </c>
    </row>
    <row r="14782">
      <c r="A14782" s="1">
        <v>5.0</v>
      </c>
      <c r="B14782" s="1" t="s">
        <v>14649</v>
      </c>
      <c r="C14782" t="str">
        <f>IFERROR(__xludf.DUMMYFUNCTION("GOOGLETRANSLATE(B14782, ""es"", ""en"")"),"Great value for money Very good for the price you")</f>
        <v>Great value for money Very good for the price you</v>
      </c>
    </row>
    <row r="14783">
      <c r="A14783" s="1">
        <v>5.0</v>
      </c>
      <c r="B14783" s="1" t="s">
        <v>14650</v>
      </c>
      <c r="C14783" t="str">
        <f>IFERROR(__xludf.DUMMYFUNCTION("GOOGLETRANSLATE(B14783, ""es"", ""en"")"),"Useful Very comfortable by size, fast charging and the battery will hold very, very good detail that the blades do not work if the glass is not set, very handy to carry in your car and crush the fruit of the child at the time was clean easily have bought "&amp;"a success 😀😀")</f>
        <v>Useful Very comfortable by size, fast charging and the battery will hold very, very good detail that the blades do not work if the glass is not set, very handy to carry in your car and crush the fruit of the child at the time was clean easily have bought a success 😀😀</v>
      </c>
    </row>
    <row r="14784">
      <c r="A14784" s="1">
        <v>5.0</v>
      </c>
      <c r="B14784" s="1" t="s">
        <v>14651</v>
      </c>
      <c r="C14784" t="str">
        <f>IFERROR(__xludf.DUMMYFUNCTION("GOOGLETRANSLATE(B14784, ""es"", ""en"")"),"Quality At the end I changed it up a size and perfect")</f>
        <v>Quality At the end I changed it up a size and perfect</v>
      </c>
    </row>
    <row r="14785">
      <c r="A14785" s="1">
        <v>5.0</v>
      </c>
      <c r="B14785" s="1" t="s">
        <v>14652</v>
      </c>
      <c r="C14785" t="str">
        <f>IFERROR(__xludf.DUMMYFUNCTION("GOOGLETRANSLATE(B14785, ""es"", ""en"")"),"It fulfills its function perfectly and is a decorative humidifier I bought this after buying another brand and it never worked. I use it to moisten the atmosphere of my house, since I live in a very dry area. Amuy I have a small house, so I better left ov"&amp;"er for the whole house. I bought a flash deal Amazon and it came at a great price. It's nice, light, very decorative and take a huge jet of steam. It works perfectly, steam is cold, has a perfect capacity makes it last the much water. You can switch the c"&amp;"olor of the LED light on or off if it is annoying. Normal and makes a noise in my case nothing annoying. I would buy it.")</f>
        <v>It fulfills its function perfectly and is a decorative humidifier I bought this after buying another brand and it never worked. I use it to moisten the atmosphere of my house, since I live in a very dry area. Amuy I have a small house, so I better left over for the whole house. I bought a flash deal Amazon and it came at a great price. It's nice, light, very decorative and take a huge jet of steam. It works perfectly, steam is cold, has a perfect capacity makes it last the much water. You can switch the color of the LED light on or off if it is annoying. Normal and makes a noise in my case nothing annoying. I would buy it.</v>
      </c>
    </row>
    <row r="14786">
      <c r="A14786" s="1">
        <v>5.0</v>
      </c>
      <c r="B14786" s="1" t="s">
        <v>3897</v>
      </c>
      <c r="C14786" t="str">
        <f>IFERROR(__xludf.DUMMYFUNCTION("GOOGLETRANSLATE(B14786, ""es"", ""en"")"),"beautiful Perfect")</f>
        <v>beautiful Perfect</v>
      </c>
    </row>
    <row r="14787">
      <c r="A14787" s="1">
        <v>5.0</v>
      </c>
      <c r="B14787" s="1" t="s">
        <v>14653</v>
      </c>
      <c r="C14787" t="str">
        <f>IFERROR(__xludf.DUMMYFUNCTION("GOOGLETRANSLATE(B14787, ""es"", ""en"")"),"Everything perfect as it says in the description")</f>
        <v>Everything perfect as it says in the description</v>
      </c>
    </row>
    <row r="14788">
      <c r="A14788" s="1">
        <v>5.0</v>
      </c>
      <c r="B14788" s="1" t="s">
        <v>14654</v>
      </c>
      <c r="C14788" t="str">
        <f>IFERROR(__xludf.DUMMYFUNCTION("GOOGLETRANSLATE(B14788, ""es"", ""en"")"),"Perfect for teachers was looking for a backpack for the new course, I am a teacher. This backpack is perfect for quality, price, and convenience. Lightweight, material is thick fabric, not aspera but is very tough. Mine is black with accents of brown and "&amp;"I love it because it is not easily stain, it does not spoil like leatherette and color I love. It has a pocket for a 15-inch PC with a pad and two large pockets to store books, triplex and filing cabinets. I have come to put the three things in and I stil"&amp;"l ample space. It has another exterior pocket case and charger, and slots for wallet and pens. Back has another smaller pocket where I keep keys. Inside has another zippered pocket to save money or things more personal, and two elastic side pockets for a "&amp;"bottle, I use a Tupperware brand 700 and fits perfectly. Very pleased with purchase and recommend to teachers or students")</f>
        <v>Perfect for teachers was looking for a backpack for the new course, I am a teacher. This backpack is perfect for quality, price, and convenience. Lightweight, material is thick fabric, not aspera but is very tough. Mine is black with accents of brown and I love it because it is not easily stain, it does not spoil like leatherette and color I love. It has a pocket for a 15-inch PC with a pad and two large pockets to store books, triplex and filing cabinets. I have come to put the three things in and I still ample space. It has another exterior pocket case and charger, and slots for wallet and pens. Back has another smaller pocket where I keep keys. Inside has another zippered pocket to save money or things more personal, and two elastic side pockets for a bottle, I use a Tupperware brand 700 and fits perfectly. Very pleased with purchase and recommend to teachers or students</v>
      </c>
    </row>
    <row r="14789">
      <c r="A14789" s="1">
        <v>5.0</v>
      </c>
      <c r="B14789" s="1" t="s">
        <v>14655</v>
      </c>
      <c r="C14789" t="str">
        <f>IFERROR(__xludf.DUMMYFUNCTION("GOOGLETRANSLATE(B14789, ""es"", ""en"")"),"perfect! Perfect. It's just what I was looking for. Brands are just great to heat water for a cup type mug.")</f>
        <v>perfect! Perfect. It's just what I was looking for. Brands are just great to heat water for a cup type mug.</v>
      </c>
    </row>
    <row r="14790">
      <c r="A14790" s="1">
        <v>2.0</v>
      </c>
      <c r="B14790" s="1" t="s">
        <v>14656</v>
      </c>
      <c r="C14790" t="str">
        <f>IFERROR(__xludf.DUMMYFUNCTION("GOOGLETRANSLATE(B14790, ""es"", ""en"")"),"Defective look good, but they came unstitched and seeds everywhere. so I sent them back.")</f>
        <v>Defective look good, but they came unstitched and seeds everywhere. so I sent them back.</v>
      </c>
    </row>
    <row r="14791">
      <c r="A14791" s="1">
        <v>3.0</v>
      </c>
      <c r="B14791" s="1" t="s">
        <v>14657</v>
      </c>
      <c r="C14791" t="str">
        <f>IFERROR(__xludf.DUMMYFUNCTION("GOOGLETRANSLATE(B14791, ""es"", ""en"")"),"Nice but drained ears As you move your head are dripping from the ear hole until they fall completely. I have lost several times because I have not even noticed that I have fallen. I would not buy this system outstanding.")</f>
        <v>Nice but drained ears As you move your head are dripping from the ear hole until they fall completely. I have lost several times because I have not even noticed that I have fallen. I would not buy this system outstanding.</v>
      </c>
    </row>
    <row r="14792">
      <c r="A14792" s="1">
        <v>3.0</v>
      </c>
      <c r="B14792" s="1" t="s">
        <v>14658</v>
      </c>
      <c r="C14792" t="str">
        <f>IFERROR(__xludf.DUMMYFUNCTION("GOOGLETRANSLATE(B14792, ""es"", ""en"")"),"It could be better but have much room cards and in some places has been broken plastic on a card are taken out difficult.")</f>
        <v>It could be better but have much room cards and in some places has been broken plastic on a card are taken out difficult.</v>
      </c>
    </row>
    <row r="14793">
      <c r="A14793" s="1">
        <v>1.0</v>
      </c>
      <c r="B14793" s="1" t="s">
        <v>14659</v>
      </c>
      <c r="C14793" t="str">
        <f>IFERROR(__xludf.DUMMYFUNCTION("GOOGLETRANSLATE(B14793, ""es"", ""en"")"),"very ugly colors do not like anything")</f>
        <v>very ugly colors do not like anything</v>
      </c>
    </row>
    <row r="14794">
      <c r="A14794" s="1">
        <v>1.0</v>
      </c>
      <c r="B14794" s="1" t="s">
        <v>14660</v>
      </c>
      <c r="C14794" t="str">
        <f>IFERROR(__xludf.DUMMYFUNCTION("GOOGLETRANSLATE(B14794, ""es"", ""en"")"),"Xx Very bad. largest are indicating the description of the item. I will never buy more. Very unhappy.")</f>
        <v>Xx Very bad. largest are indicating the description of the item. I will never buy more. Very unhappy.</v>
      </c>
    </row>
    <row r="14795">
      <c r="A14795" s="1">
        <v>4.0</v>
      </c>
      <c r="B14795" s="1" t="s">
        <v>14661</v>
      </c>
      <c r="C14795" t="str">
        <f>IFERROR(__xludf.DUMMYFUNCTION("GOOGLETRANSLATE(B14795, ""es"", ""en"")"),"Adhesive high quality screen Very Good. And I came quickly to solve the problem")</f>
        <v>Adhesive high quality screen Very Good. And I came quickly to solve the problem</v>
      </c>
    </row>
    <row r="14796">
      <c r="A14796" s="1">
        <v>4.0</v>
      </c>
      <c r="B14796" s="1" t="s">
        <v>14662</v>
      </c>
      <c r="C14796" t="str">
        <f>IFERROR(__xludf.DUMMYFUNCTION("GOOGLETRANSLATE(B14796, ""es"", ""en"")"),"A little heavy. its function correctly does, but it would put some weight, a little over whether to move often, on the other hand would be nice to have a switch to leave without it being plugged on.")</f>
        <v>A little heavy. its function correctly does, but it would put some weight, a little over whether to move often, on the other hand would be nice to have a switch to leave without it being plugged on.</v>
      </c>
    </row>
    <row r="14797">
      <c r="A14797" s="1">
        <v>4.0</v>
      </c>
      <c r="B14797" s="1" t="s">
        <v>14663</v>
      </c>
      <c r="C14797" t="str">
        <f>IFERROR(__xludf.DUMMYFUNCTION("GOOGLETRANSLATE(B14797, ""es"", ""en"")"),"Comfortable My partner says they are comfortable and have a good rubber sole to insulate the cold of the ground, can even serve to lose a moment the street.")</f>
        <v>Comfortable My partner says they are comfortable and have a good rubber sole to insulate the cold of the ground, can even serve to lose a moment the street.</v>
      </c>
    </row>
    <row r="14798">
      <c r="A14798" s="1">
        <v>4.0</v>
      </c>
      <c r="B14798" s="1" t="s">
        <v>14664</v>
      </c>
      <c r="C14798" t="str">
        <f>IFERROR(__xludf.DUMMYFUNCTION("GOOGLETRANSLATE(B14798, ""es"", ""en"")"),"Good antireflux system. Good air antireflux our baby has no digestive problems and perfectly adapted to the teats. One drawback was that one of the small bottles has been cracked heating in the microwave. Better not heat them with this system.")</f>
        <v>Good antireflux system. Good air antireflux our baby has no digestive problems and perfectly adapted to the teats. One drawback was that one of the small bottles has been cracked heating in the microwave. Better not heat them with this system.</v>
      </c>
    </row>
    <row r="14799">
      <c r="A14799" s="1">
        <v>4.0</v>
      </c>
      <c r="B14799" s="1" t="s">
        <v>14665</v>
      </c>
      <c r="C14799" t="str">
        <f>IFERROR(__xludf.DUMMYFUNCTION("GOOGLETRANSLATE(B14799, ""es"", ""en"")"),"Javier churches useful advertising is but the gap is to bring a bottle of water and it is impossible to put one in the hole where it should go.")</f>
        <v>Javier churches useful advertising is but the gap is to bring a bottle of water and it is impossible to put one in the hole where it should go.</v>
      </c>
    </row>
    <row r="14800">
      <c r="A14800" s="1">
        <v>5.0</v>
      </c>
      <c r="B14800" s="1" t="s">
        <v>14666</v>
      </c>
      <c r="C14800" t="str">
        <f>IFERROR(__xludf.DUMMYFUNCTION("GOOGLETRANSLATE(B14800, ""es"", ""en"")"),"Excellent I loved, tiny and practical for my smoothies")</f>
        <v>Excellent I loved, tiny and practical for my smoothies</v>
      </c>
    </row>
    <row r="14801">
      <c r="A14801" s="1">
        <v>5.0</v>
      </c>
      <c r="B14801" s="1" t="s">
        <v>14667</v>
      </c>
      <c r="C14801" t="str">
        <f>IFERROR(__xludf.DUMMYFUNCTION("GOOGLETRANSLATE(B14801, ""es"", ""en"")"),"Complies function appropriate for its function perfectly, and the small brush to the needle is very useful. The quality-price rate is good.")</f>
        <v>Complies function appropriate for its function perfectly, and the small brush to the needle is very useful. The quality-price rate is good.</v>
      </c>
    </row>
    <row r="14802">
      <c r="A14802" s="1">
        <v>5.0</v>
      </c>
      <c r="B14802" s="1" t="s">
        <v>14668</v>
      </c>
      <c r="C14802" t="str">
        <f>IFERROR(__xludf.DUMMYFUNCTION("GOOGLETRANSLATE(B14802, ""es"", ""en"")"),"Total accuracy can not be happier with this vacuum cleaner. Comfortable easy to use to clean, phenomenal and not a bother to some use it sucks, does not occupy little space and I could compare it with the Dyson V10 having my mother and I can assure that t"&amp;"he CECOTEC has more force subcion, it comes with more accessories q there Dyson in separate buy and best of all it costs much less a complete success for choosing the CECOTEC.")</f>
        <v>Total accuracy can not be happier with this vacuum cleaner. Comfortable easy to use to clean, phenomenal and not a bother to some use it sucks, does not occupy little space and I could compare it with the Dyson V10 having my mother and I can assure that the CECOTEC has more force subcion, it comes with more accessories q there Dyson in separate buy and best of all it costs much less a complete success for choosing the CECOTEC.</v>
      </c>
    </row>
    <row r="14803">
      <c r="A14803" s="1">
        <v>5.0</v>
      </c>
      <c r="B14803" s="1" t="s">
        <v>14669</v>
      </c>
      <c r="C14803" t="str">
        <f>IFERROR(__xludf.DUMMYFUNCTION("GOOGLETRANSLATE(B14803, ""es"", ""en"")"),"Bonitas My son liked it very much.")</f>
        <v>Bonitas My son liked it very much.</v>
      </c>
    </row>
    <row r="14804">
      <c r="A14804" s="1">
        <v>5.0</v>
      </c>
      <c r="B14804" s="1" t="s">
        <v>14670</v>
      </c>
      <c r="C14804" t="str">
        <f>IFERROR(__xludf.DUMMYFUNCTION("GOOGLETRANSLATE(B14804, ""es"", ""en"")"),"Multi This pendrive device meets all the specifications, it can be connected both to an Android device with USB or micro USB-C, like an Apple or a PC with USB. To use the USB-C must be added the adapter. And the presentation? Well, pretty well with an alu"&amp;"minum box that reinforces the score. In short, highly recommended.")</f>
        <v>Multi This pendrive device meets all the specifications, it can be connected both to an Android device with USB or micro USB-C, like an Apple or a PC with USB. To use the USB-C must be added the adapter. And the presentation? Well, pretty well with an aluminum box that reinforces the score. In short, highly recommended.</v>
      </c>
    </row>
    <row r="14805">
      <c r="A14805" s="1">
        <v>5.0</v>
      </c>
      <c r="B14805" s="1" t="s">
        <v>14671</v>
      </c>
      <c r="C14805" t="str">
        <f>IFERROR(__xludf.DUMMYFUNCTION("GOOGLETRANSLATE(B14805, ""es"", ""en"")"),"GOOD PRODUCT TO GOOD I consider price on this product after months of use since the purchase in October 2018, usually my activity on the mountain usually use Bestard or Chiruca with Vibram and membrane Gote-Tex but I wanted to try these for its price and "&amp;"for flat terrain and medium mountains, hunting, mushrooms, and toolpaths are going very well, I have read reviews saying they are copycat are not nubuck if not PU (plastic) that all are leather as well indicated in they back of the tongue, of course are n"&amp;"ot nobuk but that nowhere so be it noted, the nubuck is a part of the leather which is given a similar teminanacion to peach skin, are leather with a fine finish but leather, I think often too thinks happily about a product which does not help potential n"&amp;"ew buyers if not they misleads tortalmente are made in Vietnan if he like Nike and iphone throughout Asia and have makes a difference. The only thing I can not comment is impermeability since I have not used rain or very heavy dew, but also the famous Gor"&amp;"e-Tex resists much if it is subjected to harsh conditions of moisture, the sole omni-grip Columbia resisting rubber (not rolled back as polyurethane) and grips well although not as hard as Vibram. In short a good product at a good price, but of course the"&amp;" more sugar is sweeter if you want more Bestard or Chiruca a Spanish products with Vibram sole (rubber) and menbrana Gore-Tex for between 120- 180 € for long walks high or hard mountain are ideal and if you want that you keep the impermeability Gore.Tex n"&amp;"ot forget to fire-resistant before each outing with a good sprinkling of 3M Scotchgard, unless you'll notice soon wet socks Gore-tex by many that bring forth.")</f>
        <v>GOOD PRODUCT TO GOOD I consider price on this product after months of use since the purchase in October 2018, usually my activity on the mountain usually use Bestard or Chiruca with Vibram and membrane Gote-Tex but I wanted to try these for its price and for flat terrain and medium mountains, hunting, mushrooms, and toolpaths are going very well, I have read reviews saying they are copycat are not nubuck if not PU (plastic) that all are leather as well indicated in they back of the tongue, of course are not nobuk but that nowhere so be it noted, the nubuck is a part of the leather which is given a similar teminanacion to peach skin, are leather with a fine finish but leather, I think often too thinks happily about a product which does not help potential new buyers if not they misleads tortalmente are made in Vietnan if he like Nike and iphone throughout Asia and have makes a difference. The only thing I can not comment is impermeability since I have not used rain or very heavy dew, but also the famous Gore-Tex resists much if it is subjected to harsh conditions of moisture, the sole omni-grip Columbia resisting rubber (not rolled back as polyurethane) and grips well although not as hard as Vibram. In short a good product at a good price, but of course the more sugar is sweeter if you want more Bestard or Chiruca a Spanish products with Vibram sole (rubber) and menbrana Gore-Tex for between 120- 180 € for long walks high or hard mountain are ideal and if you want that you keep the impermeability Gore.Tex not forget to fire-resistant before each outing with a good sprinkling of 3M Scotchgard, unless you'll notice soon wet socks Gore-tex by many that bring forth.</v>
      </c>
    </row>
    <row r="14806">
      <c r="A14806" s="1">
        <v>5.0</v>
      </c>
      <c r="B14806" s="1" t="s">
        <v>14672</v>
      </c>
      <c r="C14806" t="str">
        <f>IFERROR(__xludf.DUMMYFUNCTION("GOOGLETRANSLATE(B14806, ""es"", ""en"")"),"High quality. Wonderful, excellent, powerful, comfortable to use and clean. I have already prepared many dishes with it and now super-happy with my purchase. I recommend it to anyone who wants a good mixer.")</f>
        <v>High quality. Wonderful, excellent, powerful, comfortable to use and clean. I have already prepared many dishes with it and now super-happy with my purchase. I recommend it to anyone who wants a good mixer.</v>
      </c>
    </row>
    <row r="14807">
      <c r="A14807" s="1">
        <v>5.0</v>
      </c>
      <c r="B14807" s="1" t="s">
        <v>14673</v>
      </c>
      <c r="C14807" t="str">
        <f>IFERROR(__xludf.DUMMYFUNCTION("GOOGLETRANSLATE(B14807, ""es"", ""en"")"),"good durability is an album that works fast, of course settles well and does not give any problems. However I believe that an SSD to identify the quality of the product there only to look down because really we all have and the differences between them is"&amp;" minimal eat but durability the number of scriptures that support is not the same as having a disc that supports 100 Teras writing that even a fairly large amount in use every day by little dawdle so you can settle into two three years; or one having 300 "&amp;"total teras use recordings then really anytime realize that the disc is starting to fill use and C &amp; A fact obsolete. And this indeed has much durability advised him")</f>
        <v>good durability is an album that works fast, of course settles well and does not give any problems. However I believe that an SSD to identify the quality of the product there only to look down because really we all have and the differences between them is minimal eat but durability the number of scriptures that support is not the same as having a disc that supports 100 Teras writing that even a fairly large amount in use every day by little dawdle so you can settle into two three years; or one having 300 total teras use recordings then really anytime realize that the disc is starting to fill use and C &amp; A fact obsolete. And this indeed has much durability advised him</v>
      </c>
    </row>
    <row r="14808">
      <c r="A14808" s="1">
        <v>5.0</v>
      </c>
      <c r="B14808" s="1" t="s">
        <v>14674</v>
      </c>
      <c r="C14808" t="str">
        <f>IFERROR(__xludf.DUMMYFUNCTION("GOOGLETRANSLATE(B14808, ""es"", ""en"")"),"Good sound quality, both the handset as the microphone. It's exactly what I was looking for. Reduces noise and microphone lets you hold discussions with ambient noise (much like if you have to cover your other ear) Very good power wear it on the right or "&amp;"left. If you have to put a snag is that after a long time of annoying use a little ear (perhaps a little bigger handset would solve), but as you can change your ear if you have to take a lot of time and bother you, the other ear and ready. Very good value"&amp;" for money. Very happy with my purchase,")</f>
        <v>Good sound quality, both the handset as the microphone. It's exactly what I was looking for. Reduces noise and microphone lets you hold discussions with ambient noise (much like if you have to cover your other ear) Very good power wear it on the right or left. If you have to put a snag is that after a long time of annoying use a little ear (perhaps a little bigger handset would solve), but as you can change your ear if you have to take a lot of time and bother you, the other ear and ready. Very good value for money. Very happy with my purchase,</v>
      </c>
    </row>
    <row r="14809">
      <c r="A14809" s="1">
        <v>5.0</v>
      </c>
      <c r="B14809" s="1" t="s">
        <v>14675</v>
      </c>
      <c r="C14809" t="str">
        <f>IFERROR(__xludf.DUMMYFUNCTION("GOOGLETRANSLATE(B14809, ""es"", ""en"")"),"Woh !!! Quality audio to bluetooth That's what I thought the first time you use that definition audio ... !!!! I love headphones, and I hope in the evolution of true wireless Bluetooth 5.0 supported. These headphones offer impressive sound, for me the bes"&amp;"t I've heard in true wireless, finally a headset without potentiated low. In return if you have a perfectly different means bright. Treble are also accurate and precise and marked low, but not potentiated. In turn form an exceptional music scene for a ver"&amp;"y broad and differentiated in-ear. This makes them perfect for acoustic and vocal music, something rare in a Bluetooth headset. And that I have the Bose Sound Free Sport, Airpods, Enacfire and Jaybird Rhine. These are the best in audio, tied with a premiu"&amp;"m as Bosé. They are very comfortable once set, pudiéndolos use an average volume for hours (without problems of autonomy, have I taken positions more than 2 hours without shutdown). Even eartips that bring me love, they are very comfortable. I have tried "&amp;"spinfit and foam and I like that brings more to being so fine, better convey the treble. And personally luxury fit in my ear. Connectivity; the first day that the street takes me continually cut the right micro-incomodísimos. Just completely off (by holdi"&amp;"ng down the touch pad 4 seconds) and to re-ignite the magic, not a single cut more. Fortunately, the truth that left me ironing, but it seems to be solved easily, I hope forever. They are 5.0, which should not be a problem connectivity. Touch control ...."&amp;" okay ..... you can climb down the volume, track forward or back, activate Siri, call ..... without realizing it well, but with too many choices, if you give a blow more the lees. In my opinion a little confusing, guess will be a matter of time. Battery, "&amp;"eternal. I have used more than 2 hours at medium volume and was more than 50% (you can check the charge on the battery options iPhone). As well as the box is 3000mAh Powerbank is neither how many times can be loaded. At the take them off and place them in"&amp;" your box off (I think rather go into stand-bay), to the get them automatically reconnect with connection messages in English (not Chinese). But you can not connect more than one device simultaneously. This feature powerbank of the box made me decide for "&amp;"them, is a feature that none of those who have possessed. In the box it is where you put the biggest drawback. It seems poor quality, the plastic cover has a weak paints ... But despite being powerbank is not very big best: excellent audio quality in wire"&amp;"less true. Connectivity (if it does not give me more scares). Comfort. Price (compared with premium brands) Worst: Touch Control too long. Quality materials powerbank box. Very happy with them, of those purchases you enjoy.")</f>
        <v>Woh !!! Quality audio to bluetooth That's what I thought the first time you use that definition audio ... !!!! I love headphones, and I hope in the evolution of true wireless Bluetooth 5.0 supported. These headphones offer impressive sound, for me the best I've heard in true wireless, finally a headset without potentiated low. In return if you have a perfectly different means bright. Treble are also accurate and precise and marked low, but not potentiated. In turn form an exceptional music scene for a very broad and differentiated in-ear. This makes them perfect for acoustic and vocal music, something rare in a Bluetooth headset. And that I have the Bose Sound Free Sport, Airpods, Enacfire and Jaybird Rhine. These are the best in audio, tied with a premium as Bosé. They are very comfortable once set, pudiéndolos use an average volume for hours (without problems of autonomy, have I taken positions more than 2 hours without shutdown). Even eartips that bring me love, they are very comfortable. I have tried spinfit and foam and I like that brings more to being so fine, better convey the treble. And personally luxury fit in my ear. Connectivity; the first day that the street takes me continually cut the right micro-incomodísimos. Just completely off (by holding down the touch pad 4 seconds) and to re-ignite the magic, not a single cut more. Fortunately, the truth that left me ironing, but it seems to be solved easily, I hope forever. They are 5.0, which should not be a problem connectivity. Touch control .... okay ..... you can climb down the volume, track forward or back, activate Siri, call ..... without realizing it well, but with too many choices, if you give a blow more the lees. In my opinion a little confusing, guess will be a matter of time. Battery, eternal. I have used more than 2 hours at medium volume and was more than 50% (you can check the charge on the battery options iPhone). As well as the box is 3000mAh Powerbank is neither how many times can be loaded. At the take them off and place them in your box off (I think rather go into stand-bay), to the get them automatically reconnect with connection messages in English (not Chinese). But you can not connect more than one device simultaneously. This feature powerbank of the box made me decide for them, is a feature that none of those who have possessed. In the box it is where you put the biggest drawback. It seems poor quality, the plastic cover has a weak paints ... But despite being powerbank is not very big best: excellent audio quality in wireless true. Connectivity (if it does not give me more scares). Comfort. Price (compared with premium brands) Worst: Touch Control too long. Quality materials powerbank box. Very happy with them, of those purchases you enjoy.</v>
      </c>
    </row>
    <row r="14810">
      <c r="A14810" s="1">
        <v>5.0</v>
      </c>
      <c r="B14810" s="1" t="s">
        <v>14676</v>
      </c>
      <c r="C14810" t="str">
        <f>IFERROR(__xludf.DUMMYFUNCTION("GOOGLETRANSLATE(B14810, ""es"", ""en"")"),"The kettle best I've had excellent product. Ideal for everyday use 2 people. Very correct noise level considering how quickly heats the water. Although I've read complaints about the length of the cable, it seems to me appropriate, approximately 70 cm of "&amp;"cable. If there is extra cable can be collected in a circular under the base. Overall very satisfied with the purchase.")</f>
        <v>The kettle best I've had excellent product. Ideal for everyday use 2 people. Very correct noise level considering how quickly heats the water. Although I've read complaints about the length of the cable, it seems to me appropriate, approximately 70 cm of cable. If there is extra cable can be collected in a circular under the base. Overall very satisfied with the purchase.</v>
      </c>
    </row>
    <row r="14811">
      <c r="A14811" s="1">
        <v>5.0</v>
      </c>
      <c r="B14811" s="1" t="s">
        <v>14677</v>
      </c>
      <c r="C14811" t="str">
        <f>IFERROR(__xludf.DUMMYFUNCTION("GOOGLETRANSLATE(B14811, ""es"", ""en"")"),"Great shirt sporting Having tried many techniques shirts of various brands and manufacturers, I have found the best in this price range. These shirts Joma have a great touch, they are very soft and are well made. I use them exclusively to sports, perspire"&amp;" good and the size is correct. Great buy. 1.80 m height. Weight 83 kilos. Size L.")</f>
        <v>Great shirt sporting Having tried many techniques shirts of various brands and manufacturers, I have found the best in this price range. These shirts Joma have a great touch, they are very soft and are well made. I use them exclusively to sports, perspire good and the size is correct. Great buy. 1.80 m height. Weight 83 kilos. Size L.</v>
      </c>
    </row>
    <row r="14812">
      <c r="A14812" s="1">
        <v>5.0</v>
      </c>
      <c r="B14812" s="1" t="s">
        <v>14678</v>
      </c>
      <c r="C14812" t="str">
        <f>IFERROR(__xludf.DUMMYFUNCTION("GOOGLETRANSLATE(B14812, ""es"", ""en"")"),"Great is a great product for a great home. Complies perfectly and is very elegant. Certainly buy it again.")</f>
        <v>Great is a great product for a great home. Complies perfectly and is very elegant. Certainly buy it again.</v>
      </c>
    </row>
    <row r="14813">
      <c r="A14813" s="1">
        <v>5.0</v>
      </c>
      <c r="B14813" s="1" t="s">
        <v>14679</v>
      </c>
      <c r="C14813" t="str">
        <f>IFERROR(__xludf.DUMMYFUNCTION("GOOGLETRANSLATE(B14813, ""es"", ""en"")"),"Quality laminator Amazon is going very well and mark the water on one side disappears. Product at a great price and")</f>
        <v>Quality laminator Amazon is going very well and mark the water on one side disappears. Product at a great price and</v>
      </c>
    </row>
    <row r="14814">
      <c r="A14814" s="1">
        <v>5.0</v>
      </c>
      <c r="B14814" s="1" t="s">
        <v>14680</v>
      </c>
      <c r="C14814" t="str">
        <f>IFERROR(__xludf.DUMMYFUNCTION("GOOGLETRANSLATE(B14814, ""es"", ""en"")"),"Mallas very comfortable pleasantly surprised, as expected size, very light and not crowded. I recommend them.")</f>
        <v>Mallas very comfortable pleasantly surprised, as expected size, very light and not crowded. I recommend them.</v>
      </c>
    </row>
    <row r="14815">
      <c r="A14815" s="1">
        <v>5.0</v>
      </c>
      <c r="B14815" s="1" t="s">
        <v>14681</v>
      </c>
      <c r="C14815" t="str">
        <f>IFERROR(__xludf.DUMMYFUNCTION("GOOGLETRANSLATE(B14815, ""es"", ""en"")"),"Perfect is wonderful. It works perfectly and has a very good power. Accessories are great. The marble floor leaves it shiny. In addition I bought it on sale; I can not be happier.")</f>
        <v>Perfect is wonderful. It works perfectly and has a very good power. Accessories are great. The marble floor leaves it shiny. In addition I bought it on sale; I can not be happier.</v>
      </c>
    </row>
    <row r="14816">
      <c r="A14816" s="1">
        <v>5.0</v>
      </c>
      <c r="B14816" s="1" t="s">
        <v>14682</v>
      </c>
      <c r="C14816" t="str">
        <f>IFERROR(__xludf.DUMMYFUNCTION("GOOGLETRANSLATE(B14816, ""es"", ""en"")"),"The perfect super-soft, very comfortable and loosely. By putting a snag, the strip that goes over the shoulder, it is very close to his neck so if you take a little shirt collar open, the strip is. But I do not mind, just as observation. Delivery on time "&amp;"and well packaged. I bought them for use at work and have better freedom of movement without worrying about the happy end strips down and every time you put them in place. Perfect meet my expectations.")</f>
        <v>The perfect super-soft, very comfortable and loosely. By putting a snag, the strip that goes over the shoulder, it is very close to his neck so if you take a little shirt collar open, the strip is. But I do not mind, just as observation. Delivery on time and well packaged. I bought them for use at work and have better freedom of movement without worrying about the happy end strips down and every time you put them in place. Perfect meet my expectations.</v>
      </c>
    </row>
    <row r="14817">
      <c r="A14817" s="1">
        <v>5.0</v>
      </c>
      <c r="B14817" s="1" t="s">
        <v>14683</v>
      </c>
      <c r="C14817" t="str">
        <f>IFERROR(__xludf.DUMMYFUNCTION("GOOGLETRANSLATE(B14817, ""es"", ""en"")"),"Excellent bassist type headphones. I have other headphones Beyer, the DT880 250 ohm, which has a more neutral sonic signature, with the frequencies leveled this, besides being closed, has the frequency oriented profile in V, with treble and bass more mark"&amp;"ed than average . Are fun to listen to electronic music, the rest of music do it well and monitoring instruments (the use with electric guitar) go great, they are also Comodisimos.")</f>
        <v>Excellent bassist type headphones. I have other headphones Beyer, the DT880 250 ohm, which has a more neutral sonic signature, with the frequencies leveled this, besides being closed, has the frequency oriented profile in V, with treble and bass more marked than average . Are fun to listen to electronic music, the rest of music do it well and monitoring instruments (the use with electric guitar) go great, they are also Comodisimos.</v>
      </c>
    </row>
    <row r="14818">
      <c r="A14818" s="1">
        <v>2.0</v>
      </c>
      <c r="B14818" s="1" t="s">
        <v>14684</v>
      </c>
      <c r="C14818" t="str">
        <f>IFERROR(__xludf.DUMMYFUNCTION("GOOGLETRANSLATE(B14818, ""es"", ""en"")"),"No subject not set anything")</f>
        <v>No subject not set anything</v>
      </c>
    </row>
    <row r="14819">
      <c r="A14819" s="1">
        <v>3.0</v>
      </c>
      <c r="B14819" s="1" t="s">
        <v>14685</v>
      </c>
      <c r="C14819" t="str">
        <f>IFERROR(__xludf.DUMMYFUNCTION("GOOGLETRANSLATE(B14819, ""es"", ""en"")"),"But it reached relatively quickly. It's nice but not subject much is a top, like a mini shirt. I ordered a XL because now I have enough chest and I are big. Buy products from Asia for the issue of the sizing is complicated. In my opinion if you want to se"&amp;"ll in Europe should take into account the sizes of here.")</f>
        <v>But it reached relatively quickly. It's nice but not subject much is a top, like a mini shirt. I ordered a XL because now I have enough chest and I are big. Buy products from Asia for the issue of the sizing is complicated. In my opinion if you want to sell in Europe should take into account the sizes of here.</v>
      </c>
    </row>
    <row r="14820">
      <c r="A14820" s="1">
        <v>3.0</v>
      </c>
      <c r="B14820" s="1" t="s">
        <v>14686</v>
      </c>
      <c r="C14820" t="str">
        <f>IFERROR(__xludf.DUMMYFUNCTION("GOOGLETRANSLATE(B14820, ""es"", ""en"")"),"Small lot sizes fails. I pity da tell me that does not work as expected, because in sight for me, it's beautiful, rugged looks and the mechanism is strong and there is no lobbying, and the price is good, but it fails a lot. . I wanted for photos and drill"&amp;"ing 4mm is that each photo gives a failure always a strange court that repeating the pressure is not fixed. in 7mm and 10mm somewhat less well. I've used with various types of paper (folio, PHOTOGRAPHIC, cardboard, paper 300gr ...) if it was a single focu"&amp;"sed machine scrap paper, but the same is true. For me, not successful.")</f>
        <v>Small lot sizes fails. I pity da tell me that does not work as expected, because in sight for me, it's beautiful, rugged looks and the mechanism is strong and there is no lobbying, and the price is good, but it fails a lot. . I wanted for photos and drilling 4mm is that each photo gives a failure always a strange court that repeating the pressure is not fixed. in 7mm and 10mm somewhat less well. I've used with various types of paper (folio, PHOTOGRAPHIC, cardboard, paper 300gr ...) if it was a single focused machine scrap paper, but the same is true. For me, not successful.</v>
      </c>
    </row>
    <row r="14821">
      <c r="A14821" s="1">
        <v>1.0</v>
      </c>
      <c r="B14821" s="1" t="s">
        <v>14687</v>
      </c>
      <c r="C14821" t="str">
        <f>IFERROR(__xludf.DUMMYFUNCTION("GOOGLETRANSLATE(B14821, ""es"", ""en"")"),"A month has broken. A month of using it broke from one side. Broken and unable to fix it.")</f>
        <v>A month has broken. A month of using it broke from one side. Broken and unable to fix it.</v>
      </c>
    </row>
    <row r="14822">
      <c r="A14822" s="1">
        <v>1.0</v>
      </c>
      <c r="B14822" s="1" t="s">
        <v>14688</v>
      </c>
      <c r="C14822" t="str">
        <f>IFERROR(__xludf.DUMMYFUNCTION("GOOGLETRANSLATE(B14822, ""es"", ""en"")"),"The microphone is used (the microphone is used) The microphone is used, it shows in the base, one of the legs of the microphone is scratched. The packaging shows That it was opened before, They probably Had the microphone in an exhibitor or showcase. Very"&amp;" bad")</f>
        <v>The microphone is used (the microphone is used) The microphone is used, it shows in the base, one of the legs of the microphone is scratched. The packaging shows That it was opened before, They probably Had the microphone in an exhibitor or showcase. Very bad</v>
      </c>
    </row>
    <row r="14823">
      <c r="A14823" s="1">
        <v>4.0</v>
      </c>
      <c r="B14823" s="1" t="s">
        <v>14689</v>
      </c>
      <c r="C14823" t="str">
        <f>IFERROR(__xludf.DUMMYFUNCTION("GOOGLETRANSLATE(B14823, ""es"", ""en"")"),"Effective Very good product, I use it to review the restaurant and the house, very good aroma")</f>
        <v>Effective Very good product, I use it to review the restaurant and the house, very good aroma</v>
      </c>
    </row>
    <row r="14824">
      <c r="A14824" s="1">
        <v>4.0</v>
      </c>
      <c r="B14824" s="1" t="s">
        <v>14690</v>
      </c>
      <c r="C14824" t="str">
        <f>IFERROR(__xludf.DUMMYFUNCTION("GOOGLETRANSLATE(B14824, ""es"", ""en"")"),"Very useful I like a lot, I do four juices in the morning, I is great to squeeze an orange at a time. As would place hits you clean a little bad, but I remove the fat and dishwasher. Buy another for my daughter because I found it very useful.")</f>
        <v>Very useful I like a lot, I do four juices in the morning, I is great to squeeze an orange at a time. As would place hits you clean a little bad, but I remove the fat and dishwasher. Buy another for my daughter because I found it very useful.</v>
      </c>
    </row>
    <row r="14825">
      <c r="A14825" s="1">
        <v>4.0</v>
      </c>
      <c r="B14825" s="1" t="s">
        <v>14691</v>
      </c>
      <c r="C14825" t="str">
        <f>IFERROR(__xludf.DUMMYFUNCTION("GOOGLETRANSLATE(B14825, ""es"", ""en"")"),"It looks great to have the brightness level 3 and it looks pretty good. in almost any situation. In full sun, plenty of sunshine, it would be better put to the 4, but at night and shines quite 3. It's a shame you do not have automatic brightness, but just"&amp;" before the battery would eat. I've used it for now, just to walk or run and I'm happy. The bacteria, well, I have to load every 3-4 days, that I do not have anything on, no message, no .... Just GPS and frequency meter to go walking or running. The digit"&amp;"s looks good.")</f>
        <v>It looks great to have the brightness level 3 and it looks pretty good. in almost any situation. In full sun, plenty of sunshine, it would be better put to the 4, but at night and shines quite 3. It's a shame you do not have automatic brightness, but just before the battery would eat. I've used it for now, just to walk or run and I'm happy. The bacteria, well, I have to load every 3-4 days, that I do not have anything on, no message, no .... Just GPS and frequency meter to go walking or running. The digits looks good.</v>
      </c>
    </row>
    <row r="14826">
      <c r="A14826" s="1">
        <v>4.0</v>
      </c>
      <c r="B14826" s="1" t="s">
        <v>14692</v>
      </c>
      <c r="C14826" t="str">
        <f>IFERROR(__xludf.DUMMYFUNCTION("GOOGLETRANSLATE(B14826, ""es"", ""en"")"),"Fulfills its function fulfills its function, good price")</f>
        <v>Fulfills its function fulfills its function, good price</v>
      </c>
    </row>
    <row r="14827">
      <c r="A14827" s="1">
        <v>4.0</v>
      </c>
      <c r="B14827" s="1" t="s">
        <v>14693</v>
      </c>
      <c r="C14827" t="str">
        <f>IFERROR(__xludf.DUMMYFUNCTION("GOOGLETRANSLATE(B14827, ""es"", ""en"")"),"I serve well Taya bigger than my usual number, hence the review is not perhaps as could be. Comfortable, I have to claw toes are very nice because the fabric is very elastic and adapts well to the fingers, to being a larger than expected in places with ro"&amp;"ots and stones sometimes Rozo. I climbed the mountain on many occasions and grasp quite well, not rocket shoot. Sole is so hard that no noticeable excess floor although thanks to Totar ... For the price would buy a number minus")</f>
        <v>I serve well Taya bigger than my usual number, hence the review is not perhaps as could be. Comfortable, I have to claw toes are very nice because the fabric is very elastic and adapts well to the fingers, to being a larger than expected in places with roots and stones sometimes Rozo. I climbed the mountain on many occasions and grasp quite well, not rocket shoot. Sole is so hard that no noticeable excess floor although thanks to Totar ... For the price would buy a number minus</v>
      </c>
    </row>
    <row r="14828">
      <c r="A14828" s="1">
        <v>5.0</v>
      </c>
      <c r="B14828" s="1" t="s">
        <v>14694</v>
      </c>
      <c r="C14828" t="str">
        <f>IFERROR(__xludf.DUMMYFUNCTION("GOOGLETRANSLATE(B14828, ""es"", ""en"")"),"He loved was amazing gift stalls are very elegant")</f>
        <v>He loved was amazing gift stalls are very elegant</v>
      </c>
    </row>
    <row r="14829">
      <c r="A14829" s="1">
        <v>5.0</v>
      </c>
      <c r="B14829" s="1" t="s">
        <v>14695</v>
      </c>
      <c r="C14829" t="str">
        <f>IFERROR(__xludf.DUMMYFUNCTION("GOOGLETRANSLATE(B14829, ""es"", ""en"")"),"Patience and time to ride is very creative and very original gift")</f>
        <v>Patience and time to ride is very creative and very original gift</v>
      </c>
    </row>
    <row r="14830">
      <c r="A14830" s="1">
        <v>5.0</v>
      </c>
      <c r="B14830" s="1" t="s">
        <v>14696</v>
      </c>
      <c r="C14830" t="str">
        <f>IFERROR(__xludf.DUMMYFUNCTION("GOOGLETRANSLATE(B14830, ""es"", ""en"")"),"M like As Picture")</f>
        <v>M like As Picture</v>
      </c>
    </row>
    <row r="14831">
      <c r="A14831" s="1">
        <v>5.0</v>
      </c>
      <c r="B14831" s="1" t="s">
        <v>14697</v>
      </c>
      <c r="C14831" t="str">
        <f>IFERROR(__xludf.DUMMYFUNCTION("GOOGLETRANSLATE(B14831, ""es"", ""en"")"),"Strong. A good meter is robust and accurate")</f>
        <v>Strong. A good meter is robust and accurate</v>
      </c>
    </row>
    <row r="14832">
      <c r="A14832" s="1">
        <v>5.0</v>
      </c>
      <c r="B14832" s="1" t="s">
        <v>14698</v>
      </c>
      <c r="C14832" t="str">
        <f>IFERROR(__xludf.DUMMYFUNCTION("GOOGLETRANSLATE(B14832, ""es"", ""en"")"),"There are no excuses !!!!! I think for someone like me who wants to record their songs at home with a decent sound is best. The quality of the whole is good and more for the money they bring. It should be borne in mind that if you connect to a'll have to "&amp;"buy an adapter interface (minijack female / male XLR) because the cable has micro minijack output.")</f>
        <v>There are no excuses !!!!! I think for someone like me who wants to record their songs at home with a decent sound is best. The quality of the whole is good and more for the money they bring. It should be borne in mind that if you connect to a'll have to buy an adapter interface (minijack female / male XLR) because the cable has micro minijack output.</v>
      </c>
    </row>
    <row r="14833">
      <c r="A14833" s="1">
        <v>5.0</v>
      </c>
      <c r="B14833" s="1" t="s">
        <v>14699</v>
      </c>
      <c r="C14833" t="str">
        <f>IFERROR(__xludf.DUMMYFUNCTION("GOOGLETRANSLATE(B14833, ""es"", ""en"")"),"Good Converse shoe, good quality good design, the black color becomes the most decoratvo, the most perfect to combine with everything.")</f>
        <v>Good Converse shoe, good quality good design, the black color becomes the most decoratvo, the most perfect to combine with everything.</v>
      </c>
    </row>
    <row r="14834">
      <c r="A14834" s="1">
        <v>5.0</v>
      </c>
      <c r="B14834" s="1" t="s">
        <v>14700</v>
      </c>
      <c r="C14834" t="str">
        <f>IFERROR(__xludf.DUMMYFUNCTION("GOOGLETRANSLATE(B14834, ""es"", ""en"")"),"Very Good Very Good Gace massage and gives warmth at once")</f>
        <v>Very Good Very Good Gace massage and gives warmth at once</v>
      </c>
    </row>
    <row r="14835">
      <c r="A14835" s="1">
        <v>5.0</v>
      </c>
      <c r="B14835" s="1" t="s">
        <v>14701</v>
      </c>
      <c r="C14835" t="str">
        <f>IFERROR(__xludf.DUMMYFUNCTION("GOOGLETRANSLATE(B14835, ""es"", ""en"")"),"Very good buy is very comfortable to train with some padding that always good to stylize more")</f>
        <v>Very good buy is very comfortable to train with some padding that always good to stylize more</v>
      </c>
    </row>
    <row r="14836">
      <c r="A14836" s="1">
        <v>5.0</v>
      </c>
      <c r="B14836" s="1" t="s">
        <v>14702</v>
      </c>
      <c r="C14836" t="str">
        <f>IFERROR(__xludf.DUMMYFUNCTION("GOOGLETRANSLATE(B14836, ""es"", ""en"")"),"Of the best gaming headphones in this price range good headphones with surround sound. Bring external sound card, USB. I had several of them, because after a while the microphone stops playing well, or one of the sides does not work anymore. However, the "&amp;"duration are wonderful. Yes, sponges earmuffs convien give them a lavadito occasionally because they accumulate enough dirt (mostly sweat), and color are quite clear. Recommended as an introduction to gaming headphones before making any further outlay on "&amp;"higher-end")</f>
        <v>Of the best gaming headphones in this price range good headphones with surround sound. Bring external sound card, USB. I had several of them, because after a while the microphone stops playing well, or one of the sides does not work anymore. However, the duration are wonderful. Yes, sponges earmuffs convien give them a lavadito occasionally because they accumulate enough dirt (mostly sweat), and color are quite clear. Recommended as an introduction to gaming headphones before making any further outlay on higher-end</v>
      </c>
    </row>
    <row r="14837">
      <c r="A14837" s="1">
        <v>5.0</v>
      </c>
      <c r="B14837" s="1" t="s">
        <v>14703</v>
      </c>
      <c r="C14837" t="str">
        <f>IFERROR(__xludf.DUMMYFUNCTION("GOOGLETRANSLATE(B14837, ""es"", ""en"")"),"Good quality, good price and good product at a good price, I recommend")</f>
        <v>Good quality, good price and good product at a good price, I recommend</v>
      </c>
    </row>
    <row r="14838">
      <c r="A14838" s="1">
        <v>5.0</v>
      </c>
      <c r="B14838" s="1" t="s">
        <v>14704</v>
      </c>
      <c r="C14838" t="str">
        <f>IFERROR(__xludf.DUMMYFUNCTION("GOOGLETRANSLATE(B14838, ""es"", ""en"")"),"They are lightweight and comfortable are wide enough for a girl, auque places that are man ... But I really love. Very comfortable and light. I bought a size too and I was lucky. They are very Claritas, more than I thought but I repeat that I am delighted"&amp;" and would buy")</f>
        <v>They are lightweight and comfortable are wide enough for a girl, auque places that are man ... But I really love. Very comfortable and light. I bought a size too and I was lucky. They are very Claritas, more than I thought but I repeat that I am delighted and would buy</v>
      </c>
    </row>
    <row r="14839">
      <c r="A14839" s="1">
        <v>5.0</v>
      </c>
      <c r="B14839" s="1" t="s">
        <v>14705</v>
      </c>
      <c r="C14839" t="str">
        <f>IFERROR(__xludf.DUMMYFUNCTION("GOOGLETRANSLATE(B14839, ""es"", ""en"")"),"Regalado I chose it for the price floor clock change enough, for the price it is great, very good finishes, light and works perfectly. To carry great day.")</f>
        <v>Regalado I chose it for the price floor clock change enough, for the price it is great, very good finishes, light and works perfectly. To carry great day.</v>
      </c>
    </row>
    <row r="14840">
      <c r="A14840" s="1">
        <v>5.0</v>
      </c>
      <c r="B14840" s="1" t="s">
        <v>14706</v>
      </c>
      <c r="C14840" t="str">
        <f>IFERROR(__xludf.DUMMYFUNCTION("GOOGLETRANSLATE(B14840, ""es"", ""en"")"),"Good product at a good price product great. There is a small bag, measuring 28cm high, 23cm wide and 6cm deep, but it's not huge. It is lined good quality finishes and many compartments inside. Very happy with the purchase and at a great price")</f>
        <v>Good product at a good price product great. There is a small bag, measuring 28cm high, 23cm wide and 6cm deep, but it's not huge. It is lined good quality finishes and many compartments inside. Very happy with the purchase and at a great price</v>
      </c>
    </row>
    <row r="14841">
      <c r="A14841" s="1">
        <v>5.0</v>
      </c>
      <c r="B14841" s="1" t="s">
        <v>14707</v>
      </c>
      <c r="C14841" t="str">
        <f>IFERROR(__xludf.DUMMYFUNCTION("GOOGLETRANSLATE(B14841, ""es"", ""en"")"),"It is worth I really like. It notes that it is not money, but is very attractive and the price is worth it, really.")</f>
        <v>It is worth I really like. It notes that it is not money, but is very attractive and the price is worth it, really.</v>
      </c>
    </row>
    <row r="14842">
      <c r="A14842" s="1">
        <v>5.0</v>
      </c>
      <c r="B14842" s="1" t="s">
        <v>14708</v>
      </c>
      <c r="C14842" t="str">
        <f>IFERROR(__xludf.DUMMYFUNCTION("GOOGLETRANSLATE(B14842, ""es"", ""en"")"),"Perfeito Perfeito. Obrigada.")</f>
        <v>Perfeito Perfeito. Obrigada.</v>
      </c>
    </row>
    <row r="14843">
      <c r="A14843" s="1">
        <v>5.0</v>
      </c>
      <c r="B14843" s="1" t="s">
        <v>14709</v>
      </c>
      <c r="C14843" t="str">
        <f>IFERROR(__xludf.DUMMYFUNCTION("GOOGLETRANSLATE(B14843, ""es"", ""en"")"),"Fantastic !!!! I bought one after hesitation among some models. I can only say wonders about it because this winter has gone fantastic. Llitro preparing an infusion of thyme in the morning and during the rest of the day, every time I wanted a bit, heated "&amp;"to 50 ° and served me. When I had just returned to make a liter ... But the best he had not found such a good filter as incorporating the kettle which does not let pass even the slightest remaining herbs, thyme and stating that it was almost dust and befo"&amp;"re the kettle tried a lot of stuff because I get very angry to find traces of herbs. As kettle just going to graduate great because the water temperature is theirs. It has a nice design and when it is running colors are an added value. I always have to lo"&amp;"ok at the whole family because we use. To my surprise, going to buy a second for my sister, she has risen no less than 20 € !!!. The truth oestoy me thinking ....")</f>
        <v>Fantastic !!!! I bought one after hesitation among some models. I can only say wonders about it because this winter has gone fantastic. Llitro preparing an infusion of thyme in the morning and during the rest of the day, every time I wanted a bit, heated to 50 ° and served me. When I had just returned to make a liter ... But the best he had not found such a good filter as incorporating the kettle which does not let pass even the slightest remaining herbs, thyme and stating that it was almost dust and before the kettle tried a lot of stuff because I get very angry to find traces of herbs. As kettle just going to graduate great because the water temperature is theirs. It has a nice design and when it is running colors are an added value. I always have to look at the whole family because we use. To my surprise, going to buy a second for my sister, she has risen no less than 20 € !!!. The truth oestoy me thinking ....</v>
      </c>
    </row>
    <row r="14844">
      <c r="A14844" s="1">
        <v>5.0</v>
      </c>
      <c r="B14844" s="1" t="s">
        <v>14710</v>
      </c>
      <c r="C14844" t="str">
        <f>IFERROR(__xludf.DUMMYFUNCTION("GOOGLETRANSLATE(B14844, ""es"", ""en"")"),"Super happy with the purchase Installation is super easy and I'm not a computer expert. I have configured with the phone and I sent by mail and wasap links to download the application from your computer and other devices in my home. I have also configured"&amp;" the 100-page plan for the month and is super simple. Really saying mobile will have q q all do. Regarding the print quality I love. I printed an Excel and a photograph and has high quality image.")</f>
        <v>Super happy with the purchase Installation is super easy and I'm not a computer expert. I have configured with the phone and I sent by mail and wasap links to download the application from your computer and other devices in my home. I have also configured the 100-page plan for the month and is super simple. Really saying mobile will have q q all do. Regarding the print quality I love. I printed an Excel and a photograph and has high quality image.</v>
      </c>
    </row>
    <row r="14845">
      <c r="A14845" s="1">
        <v>5.0</v>
      </c>
      <c r="B14845" s="1" t="s">
        <v>14711</v>
      </c>
      <c r="C14845" t="str">
        <f>IFERROR(__xludf.DUMMYFUNCTION("GOOGLETRANSLATE(B14845, ""es"", ""en"")"),"Very nice look. Very nice quality.")</f>
        <v>Very nice look. Very nice quality.</v>
      </c>
    </row>
    <row r="14846">
      <c r="A14846" s="1">
        <v>5.0</v>
      </c>
      <c r="B14846" s="1" t="s">
        <v>14712</v>
      </c>
      <c r="C14846" t="str">
        <f>IFERROR(__xludf.DUMMYFUNCTION("GOOGLETRANSLATE(B14846, ""es"", ""en"")"),"Very useful good product brands that have inside to fill when adjusting the amount of water to one cup or other measures. Heats up fast, after a few months of use durability is good and the value is very good.")</f>
        <v>Very useful good product brands that have inside to fill when adjusting the amount of water to one cup or other measures. Heats up fast, after a few months of use durability is good and the value is very good.</v>
      </c>
    </row>
    <row r="14847">
      <c r="A14847" s="1">
        <v>2.0</v>
      </c>
      <c r="B14847" s="1" t="s">
        <v>14713</v>
      </c>
      <c r="C14847" t="str">
        <f>IFERROR(__xludf.DUMMYFUNCTION("GOOGLETRANSLATE(B14847, ""es"", ""en"")"),"It gives very little heat")</f>
        <v>It gives very little heat</v>
      </c>
    </row>
    <row r="14848">
      <c r="A14848" s="1">
        <v>3.0</v>
      </c>
      <c r="B14848" s="1" t="s">
        <v>14714</v>
      </c>
      <c r="C14848" t="str">
        <f>IFERROR(__xludf.DUMMYFUNCTION("GOOGLETRANSLATE(B14848, ""es"", ""en"")"),"Good qualities but I can not fit the ear good qualities and finishes, but in my case I have returned because they fell easily to me even switching between different sets of pads that brings, I did not get their conformity me, they are the first to I spend"&amp;" something like")</f>
        <v>Good qualities but I can not fit the ear good qualities and finishes, but in my case I have returned because they fell easily to me even switching between different sets of pads that brings, I did not get their conformity me, they are the first to I spend something like</v>
      </c>
    </row>
    <row r="14849">
      <c r="A14849" s="1">
        <v>1.0</v>
      </c>
      <c r="B14849" s="1" t="s">
        <v>14715</v>
      </c>
      <c r="C14849" t="str">
        <f>IFERROR(__xludf.DUMMYFUNCTION("GOOGLETRANSLATE(B14849, ""es"", ""en"")"),"It breaks very poor quality while not hold a tug without breaking the seal and difficult to recover the fine point of what it is.")</f>
        <v>It breaks very poor quality while not hold a tug without breaking the seal and difficult to recover the fine point of what it is.</v>
      </c>
    </row>
    <row r="14850">
      <c r="A14850" s="1">
        <v>1.0</v>
      </c>
      <c r="B14850" s="1" t="s">
        <v>14716</v>
      </c>
      <c r="C14850" t="str">
        <f>IFERROR(__xludf.DUMMYFUNCTION("GOOGLETRANSLATE(B14850, ""es"", ""en"")"),"Underpowered underpowered")</f>
        <v>Underpowered underpowered</v>
      </c>
    </row>
    <row r="14851">
      <c r="A14851" s="1">
        <v>1.0</v>
      </c>
      <c r="B14851" s="1" t="s">
        <v>14717</v>
      </c>
      <c r="C14851" t="str">
        <f>IFERROR(__xludf.DUMMYFUNCTION("GOOGLETRANSLATE(B14851, ""es"", ""en"")"),"Low durability, 1 month of use and no longer worth in less than 1 month have fought inside is not good buy. Otherwise they weigh your thing but you get used to and are comfortable until it is broken heel area")</f>
        <v>Low durability, 1 month of use and no longer worth in less than 1 month have fought inside is not good buy. Otherwise they weigh your thing but you get used to and are comfortable until it is broken heel area</v>
      </c>
    </row>
    <row r="14852">
      <c r="A14852" s="1">
        <v>4.0</v>
      </c>
      <c r="B14852" s="1" t="s">
        <v>14718</v>
      </c>
      <c r="C14852" t="str">
        <f>IFERROR(__xludf.DUMMYFUNCTION("GOOGLETRANSLATE(B14852, ""es"", ""en"")"),"As well at the moment in the description. The passage of time and tell me whether use has been a good buy. At the moment good.")</f>
        <v>As well at the moment in the description. The passage of time and tell me whether use has been a good buy. At the moment good.</v>
      </c>
    </row>
    <row r="14853">
      <c r="A14853" s="1">
        <v>4.0</v>
      </c>
      <c r="B14853" s="1" t="s">
        <v>14719</v>
      </c>
      <c r="C14853" t="str">
        <f>IFERROR(__xludf.DUMMYFUNCTION("GOOGLETRANSLATE(B14853, ""es"", ""en"")"),"The title perfectly describes well the product is neither bad nor is perfect, it's good. Good price, good comfort, good materials, good massage, etc ... Of course, as a gift is very good.")</f>
        <v>The title perfectly describes well the product is neither bad nor is perfect, it's good. Good price, good comfort, good materials, good massage, etc ... Of course, as a gift is very good.</v>
      </c>
    </row>
    <row r="14854">
      <c r="A14854" s="1">
        <v>4.0</v>
      </c>
      <c r="B14854" s="1" t="s">
        <v>14720</v>
      </c>
      <c r="C14854" t="str">
        <f>IFERROR(__xludf.DUMMYFUNCTION("GOOGLETRANSLATE(B14854, ""es"", ""en"")"),"Quality, price and speed quality, price and speed. At first it seems the original belt. For the price worth the pedirsw at least two.")</f>
        <v>Quality, price and speed quality, price and speed. At first it seems the original belt. For the price worth the pedirsw at least two.</v>
      </c>
    </row>
    <row r="14855">
      <c r="A14855" s="1">
        <v>4.0</v>
      </c>
      <c r="B14855" s="1" t="s">
        <v>14721</v>
      </c>
      <c r="C14855" t="str">
        <f>IFERROR(__xludf.DUMMYFUNCTION("GOOGLETRANSLATE(B14855, ""es"", ""en"")"),"Comply comply with its mandate, the only downside is the closing, which is a bit fragile and difficult to make into the hole")</f>
        <v>Comply comply with its mandate, the only downside is the closing, which is a bit fragile and difficult to make into the hole</v>
      </c>
    </row>
    <row r="14856">
      <c r="A14856" s="1">
        <v>5.0</v>
      </c>
      <c r="B14856" s="1" t="s">
        <v>14722</v>
      </c>
      <c r="C14856" t="str">
        <f>IFERROR(__xludf.DUMMYFUNCTION("GOOGLETRANSLATE(B14856, ""es"", ""en"")"),"Great for me the best finish and durability, the nipple is very similar to that of the pacifier so it is easier to adapt to the baby")</f>
        <v>Great for me the best finish and durability, the nipple is very similar to that of the pacifier so it is easier to adapt to the baby</v>
      </c>
    </row>
    <row r="14857">
      <c r="A14857" s="1">
        <v>5.0</v>
      </c>
      <c r="B14857" s="1" t="s">
        <v>14723</v>
      </c>
      <c r="C14857" t="str">
        <f>IFERROR(__xludf.DUMMYFUNCTION("GOOGLETRANSLATE(B14857, ""es"", ""en"")"),"is what I wanted adapts well to the hand, memory is correct ,, very noticeable especially after many hours of play. no longer tired me so much hand ,,, I recommend ---")</f>
        <v>is what I wanted adapts well to the hand, memory is correct ,, very noticeable especially after many hours of play. no longer tired me so much hand ,,, I recommend ---</v>
      </c>
    </row>
    <row r="14858">
      <c r="A14858" s="1">
        <v>5.0</v>
      </c>
      <c r="B14858" s="1" t="s">
        <v>14724</v>
      </c>
      <c r="C14858" t="str">
        <f>IFERROR(__xludf.DUMMYFUNCTION("GOOGLETRANSLATE(B14858, ""es"", ""en"")"),"Pretty good product suitable size practical and good stuff")</f>
        <v>Pretty good product suitable size practical and good stuff</v>
      </c>
    </row>
    <row r="14859">
      <c r="A14859" s="1">
        <v>5.0</v>
      </c>
      <c r="B14859" s="1" t="s">
        <v>14725</v>
      </c>
      <c r="C14859" t="str">
        <f>IFERROR(__xludf.DUMMYFUNCTION("GOOGLETRANSLATE(B14859, ""es"", ""en"")"),"This family really likes electric heating pad large 50 * 80 cm, suitable for use in the feet. It is very convenient and very practical. This family really likes, and winter is not afraid of the cold.")</f>
        <v>This family really likes electric heating pad large 50 * 80 cm, suitable for use in the feet. It is very convenient and very practical. This family really likes, and winter is not afraid of the cold.</v>
      </c>
    </row>
    <row r="14860">
      <c r="A14860" s="1">
        <v>5.0</v>
      </c>
      <c r="B14860" s="1" t="s">
        <v>14726</v>
      </c>
      <c r="C14860" t="str">
        <f>IFERROR(__xludf.DUMMYFUNCTION("GOOGLETRANSLATE(B14860, ""es"", ""en"")"),"One of the best shopping !! It is the second pair I buy! Totally comfortable .. I love !!!")</f>
        <v>One of the best shopping !! It is the second pair I buy! Totally comfortable .. I love !!!</v>
      </c>
    </row>
    <row r="14861">
      <c r="A14861" s="1">
        <v>5.0</v>
      </c>
      <c r="B14861" s="1" t="s">
        <v>14727</v>
      </c>
      <c r="C14861" t="str">
        <f>IFERROR(__xludf.DUMMYFUNCTION("GOOGLETRANSLATE(B14861, ""es"", ""en"")"),"Very comfortable and good quality. They are very comfortable and for the price q have are very good calidad.Ya had them in red and now I have decided for this gorgeous white q, the utilizos for daily tracksuit or jeans, I love them.")</f>
        <v>Very comfortable and good quality. They are very comfortable and for the price q have are very good calidad.Ya had them in red and now I have decided for this gorgeous white q, the utilizos for daily tracksuit or jeans, I love them.</v>
      </c>
    </row>
    <row r="14862">
      <c r="A14862" s="1">
        <v>5.0</v>
      </c>
      <c r="B14862" s="1" t="s">
        <v>14728</v>
      </c>
      <c r="C14862" t="str">
        <f>IFERROR(__xludf.DUMMYFUNCTION("GOOGLETRANSLATE(B14862, ""es"", ""en"")"),"very soft is a very soft product and light and if they will hand on does not bother eyelid, is well absorbed by the skin around the eyes, since I came on the 10th, I have been applying every night and now I can say I notice estirez skin, luminosity and gr"&amp;"adually was losing, I do not really going to miss from now, I recommend it.")</f>
        <v>very soft is a very soft product and light and if they will hand on does not bother eyelid, is well absorbed by the skin around the eyes, since I came on the 10th, I have been applying every night and now I can say I notice estirez skin, luminosity and gradually was losing, I do not really going to miss from now, I recommend it.</v>
      </c>
    </row>
    <row r="14863">
      <c r="A14863" s="1">
        <v>5.0</v>
      </c>
      <c r="B14863" s="1" t="s">
        <v>14729</v>
      </c>
      <c r="C14863" t="str">
        <f>IFERROR(__xludf.DUMMYFUNCTION("GOOGLETRANSLATE(B14863, ""es"", ""en"")"),"Multi-resistant tape Easy to cut and paste on any surface. Any object you put will remain stuck and will not move.")</f>
        <v>Multi-resistant tape Easy to cut and paste on any surface. Any object you put will remain stuck and will not move.</v>
      </c>
    </row>
    <row r="14864">
      <c r="A14864" s="1">
        <v>5.0</v>
      </c>
      <c r="B14864" s="1" t="s">
        <v>14730</v>
      </c>
      <c r="C14864" t="str">
        <f>IFERROR(__xludf.DUMMYFUNCTION("GOOGLETRANSLATE(B14864, ""es"", ""en"")"),"Gives a lot of heat it is very warm and feel great")</f>
        <v>Gives a lot of heat it is very warm and feel great</v>
      </c>
    </row>
    <row r="14865">
      <c r="A14865" s="1">
        <v>5.0</v>
      </c>
      <c r="B14865" s="1" t="s">
        <v>14731</v>
      </c>
      <c r="C14865" t="str">
        <f>IFERROR(__xludf.DUMMYFUNCTION("GOOGLETRANSLATE(B14865, ""es"", ""en"")"),"The authentic timberland 6 inches. I have been wanting to become a pair of timberland boots original 6 inches. But its official store price has always pulled me back a little. Until I found very discounted at Amazon. This is more than a winter boots ""dre"&amp;"ss"" that boots ""mountain"". For activities like trekking, for example, it would be advisable to think of a more specialized footwear. Timberland boots, besides being beautiful, are ideal for winter or mountain areas: shelter and protect the foot and the"&amp;" materials they are built are of high quality (genuine leather nubuck). For those who want to include in your outif recommend buying two complementary products: the waterproofing spray and spray cleaner, both of the Timberland brand itself. So we made sur"&amp;"e to have the boots in perfect condition for years.")</f>
        <v>The authentic timberland 6 inches. I have been wanting to become a pair of timberland boots original 6 inches. But its official store price has always pulled me back a little. Until I found very discounted at Amazon. This is more than a winter boots "dress" that boots "mountain". For activities like trekking, for example, it would be advisable to think of a more specialized footwear. Timberland boots, besides being beautiful, are ideal for winter or mountain areas: shelter and protect the foot and the materials they are built are of high quality (genuine leather nubuck). For those who want to include in your outif recommend buying two complementary products: the waterproofing spray and spray cleaner, both of the Timberland brand itself. So we made sure to have the boots in perfect condition for years.</v>
      </c>
    </row>
    <row r="14866">
      <c r="A14866" s="1">
        <v>5.0</v>
      </c>
      <c r="B14866" s="1" t="s">
        <v>14732</v>
      </c>
      <c r="C14866" t="str">
        <f>IFERROR(__xludf.DUMMYFUNCTION("GOOGLETRANSLATE(B14866, ""es"", ""en"")"),"Great Find My daughter has a nasty habit of paint everywhere and sometimes painted on the wall and furniture. I had recommended the magic eraser but did not know where to find it and saw by chance an announcement that sell on Amazon so I threw myself to a"&amp;"sk. I've used it on the wall for dirt stains and paint could not remove the furniture, the result is spectacular. It also goes very well for the shoes had stained the cream and did not leave stains much rubbing. It is not abrasive so it does not take the "&amp;"color, it is a discovery.")</f>
        <v>Great Find My daughter has a nasty habit of paint everywhere and sometimes painted on the wall and furniture. I had recommended the magic eraser but did not know where to find it and saw by chance an announcement that sell on Amazon so I threw myself to ask. I've used it on the wall for dirt stains and paint could not remove the furniture, the result is spectacular. It also goes very well for the shoes had stained the cream and did not leave stains much rubbing. It is not abrasive so it does not take the color, it is a discovery.</v>
      </c>
    </row>
    <row r="14867">
      <c r="A14867" s="1">
        <v>5.0</v>
      </c>
      <c r="B14867" s="1" t="s">
        <v>14733</v>
      </c>
      <c r="C14867" t="str">
        <f>IFERROR(__xludf.DUMMYFUNCTION("GOOGLETRANSLATE(B14867, ""es"", ""en"")"),"Excellent big clock watch for birthday")</f>
        <v>Excellent big clock watch for birthday</v>
      </c>
    </row>
    <row r="14868">
      <c r="A14868" s="1">
        <v>5.0</v>
      </c>
      <c r="B14868" s="1" t="s">
        <v>14734</v>
      </c>
      <c r="C14868" t="str">
        <f>IFERROR(__xludf.DUMMYFUNCTION("GOOGLETRANSLATE(B14868, ""es"", ""en"")"),"Excellent product excellent price, perfect calidad.Sin sizing and product competition.")</f>
        <v>Excellent product excellent price, perfect calidad.Sin sizing and product competition.</v>
      </c>
    </row>
    <row r="14869">
      <c r="A14869" s="1">
        <v>5.0</v>
      </c>
      <c r="B14869" s="1" t="s">
        <v>14735</v>
      </c>
      <c r="C14869" t="str">
        <f>IFERROR(__xludf.DUMMYFUNCTION("GOOGLETRANSLATE(B14869, ""es"", ""en"")"),"Quality / price I think not mistaken to say that these are some of the best in-ear headphones with regard to the quality / price ratio, sound pretty good and are quite comfortable, xiaomi not disappoint this time.")</f>
        <v>Quality / price I think not mistaken to say that these are some of the best in-ear headphones with regard to the quality / price ratio, sound pretty good and are quite comfortable, xiaomi not disappoint this time.</v>
      </c>
    </row>
    <row r="14870">
      <c r="A14870" s="1">
        <v>5.0</v>
      </c>
      <c r="B14870" s="1" t="s">
        <v>14736</v>
      </c>
      <c r="C14870" t="str">
        <f>IFERROR(__xludf.DUMMYFUNCTION("GOOGLETRANSLATE(B14870, ""es"", ""en"")"),"ALL PERFECT. THE PRODUCT IS AS DESCRIBED. VERY FAST SHIPPING. Pleased with purchase.")</f>
        <v>ALL PERFECT. THE PRODUCT IS AS DESCRIBED. VERY FAST SHIPPING. Pleased with purchase.</v>
      </c>
    </row>
    <row r="14871">
      <c r="A14871" s="1">
        <v>5.0</v>
      </c>
      <c r="B14871" s="1" t="s">
        <v>14737</v>
      </c>
      <c r="C14871" t="str">
        <f>IFERROR(__xludf.DUMMYFUNCTION("GOOGLETRANSLATE(B14871, ""es"", ""en"")"),"Bueno Bonito Barato Very good value for money. I repeat no doubt.")</f>
        <v>Bueno Bonito Barato Very good value for money. I repeat no doubt.</v>
      </c>
    </row>
    <row r="14872">
      <c r="A14872" s="1">
        <v>5.0</v>
      </c>
      <c r="B14872" s="1" t="s">
        <v>14738</v>
      </c>
      <c r="C14872" t="str">
        <f>IFERROR(__xludf.DUMMYFUNCTION("GOOGLETRANSLATE(B14872, ""es"", ""en"")"),"Serve their purpose more than I have them for almost 2 months and now are great, they have very good sound quality, insulate well from the outside, I use them to go to college and listen to music from spotify and serve their purpose more than . Edito - 20"&amp;"/02/18 It's been over 6 months than I have and I are great, never before have lasted me a headset over three months of age and continue running smoothly while maintaining its sound quality, it is true that its material has worn a little heavy use I give t"&amp;"hem (use them every day by an average of 3 hours), but the sound is still very good, I recommend 100%.")</f>
        <v>Serve their purpose more than I have them for almost 2 months and now are great, they have very good sound quality, insulate well from the outside, I use them to go to college and listen to music from spotify and serve their purpose more than . Edito - 20/02/18 It's been over 6 months than I have and I are great, never before have lasted me a headset over three months of age and continue running smoothly while maintaining its sound quality, it is true that its material has worn a little heavy use I give them (use them every day by an average of 3 hours), but the sound is still very good, I recommend 100%.</v>
      </c>
    </row>
    <row r="14873">
      <c r="A14873" s="1">
        <v>5.0</v>
      </c>
      <c r="B14873" s="1" t="s">
        <v>14739</v>
      </c>
      <c r="C14873" t="str">
        <f>IFERROR(__xludf.DUMMYFUNCTION("GOOGLETRANSLATE(B14873, ""es"", ""en"")"),"Masterless precious this brand Sizes vary according to the company")</f>
        <v>Masterless precious this brand Sizes vary according to the company</v>
      </c>
    </row>
    <row r="14874">
      <c r="A14874" s="1">
        <v>5.0</v>
      </c>
      <c r="B14874" s="1" t="s">
        <v>14740</v>
      </c>
      <c r="C14874" t="str">
        <f>IFERROR(__xludf.DUMMYFUNCTION("GOOGLETRANSLATE(B14874, ""es"", ""en"")"),"Excellent Very nice earrings are very good.")</f>
        <v>Excellent Very nice earrings are very good.</v>
      </c>
    </row>
    <row r="14875">
      <c r="A14875" s="1">
        <v>2.0</v>
      </c>
      <c r="B14875" s="1" t="s">
        <v>14741</v>
      </c>
      <c r="C14875" t="str">
        <f>IFERROR(__xludf.DUMMYFUNCTION("GOOGLETRANSLATE(B14875, ""es"", ""en"")"),"It did not work while I bought it for sauces, and it was impossible to work with her, he is to shortly, is heated quickly and stops working, having to wait a long time to continue. From the first use, always it has been stopped and has stopped working. It"&amp;" has not served us well this purchase, to produce mixtures and sauces.")</f>
        <v>It did not work while I bought it for sauces, and it was impossible to work with her, he is to shortly, is heated quickly and stops working, having to wait a long time to continue. From the first use, always it has been stopped and has stopped working. It has not served us well this purchase, to produce mixtures and sauces.</v>
      </c>
    </row>
    <row r="14876">
      <c r="A14876" s="1">
        <v>3.0</v>
      </c>
      <c r="B14876" s="1" t="s">
        <v>14742</v>
      </c>
      <c r="C14876" t="str">
        <f>IFERROR(__xludf.DUMMYFUNCTION("GOOGLETRANSLATE(B14876, ""es"", ""en"")"),"Fair Value design q what I liked most and quality q what I liked even less logical for the price paid.")</f>
        <v>Fair Value design q what I liked most and quality q what I liked even less logical for the price paid.</v>
      </c>
    </row>
    <row r="14877">
      <c r="A14877" s="1">
        <v>3.0</v>
      </c>
      <c r="B14877" s="1" t="s">
        <v>14743</v>
      </c>
      <c r="C14877" t="str">
        <f>IFERROR(__xludf.DUMMYFUNCTION("GOOGLETRANSLATE(B14877, ""es"", ""en"")"),"earrings are good but are somewhat small but nice")</f>
        <v>earrings are good but are somewhat small but nice</v>
      </c>
    </row>
    <row r="14878">
      <c r="A14878" s="1">
        <v>3.0</v>
      </c>
      <c r="B14878" s="1" t="s">
        <v>14744</v>
      </c>
      <c r="C14878" t="str">
        <f>IFERROR(__xludf.DUMMYFUNCTION("GOOGLETRANSLATE(B14878, ""es"", ""en"")"),"The design problem headphones feature a very acceptable finish, but with a design problem in my view. They do not adapt well to the shape of my ears, up there all right, since it is very difficult to create a headset that fits the shape of all ears. They "&amp;"come with sheaths (only to an extent, by the way) that can help the better fit. But that's where the problem of design commented: if you put the covers on headphones because they do not fit into its carrying case / recharge, so whenever you reload or save"&amp;" you remove the covers. Otherwise, the base box does not close, preventing thus recharging the headphones. Moreover, the headphones are pretty good, with acceptable sound quality for this type and price of Bluetooth headsets.")</f>
        <v>The design problem headphones feature a very acceptable finish, but with a design problem in my view. They do not adapt well to the shape of my ears, up there all right, since it is very difficult to create a headset that fits the shape of all ears. They come with sheaths (only to an extent, by the way) that can help the better fit. But that's where the problem of design commented: if you put the covers on headphones because they do not fit into its carrying case / recharge, so whenever you reload or save you remove the covers. Otherwise, the base box does not close, preventing thus recharging the headphones. Moreover, the headphones are pretty good, with acceptable sound quality for this type and price of Bluetooth headsets.</v>
      </c>
    </row>
    <row r="14879">
      <c r="A14879" s="1">
        <v>1.0</v>
      </c>
      <c r="B14879" s="1" t="s">
        <v>14745</v>
      </c>
      <c r="C14879" t="str">
        <f>IFERROR(__xludf.DUMMYFUNCTION("GOOGLETRANSLATE(B14879, ""es"", ""en"")"),"For me k the fabric is good .... Very very small size seems neither s ... and pedi a size M")</f>
        <v>For me k the fabric is good .... Very very small size seems neither s ... and pedi a size M</v>
      </c>
    </row>
    <row r="14880">
      <c r="A14880" s="1">
        <v>1.0</v>
      </c>
      <c r="B14880" s="1" t="s">
        <v>14746</v>
      </c>
      <c r="C14880" t="str">
        <f>IFERROR(__xludf.DUMMYFUNCTION("GOOGLETRANSLATE(B14880, ""es"", ""en"")"),"Bad plastic breaks easily")</f>
        <v>Bad plastic breaks easily</v>
      </c>
    </row>
    <row r="14881">
      <c r="A14881" s="1">
        <v>4.0</v>
      </c>
      <c r="B14881" s="1" t="s">
        <v>14747</v>
      </c>
      <c r="C14881" t="str">
        <f>IFERROR(__xludf.DUMMYFUNCTION("GOOGLETRANSLATE(B14881, ""es"", ""en"")"),"larger than expected right")</f>
        <v>larger than expected right</v>
      </c>
    </row>
    <row r="14882">
      <c r="A14882" s="1">
        <v>4.0</v>
      </c>
      <c r="B14882" s="1" t="s">
        <v>14748</v>
      </c>
      <c r="C14882" t="str">
        <f>IFERROR(__xludf.DUMMYFUNCTION("GOOGLETRANSLATE(B14882, ""es"", ""en"")"),"White moss. The smell is very good and friendly. 3 drops per 100ml is sufficient for making the boat yet still small duration is long. The smell lasts until the exhausted container humuficador thing with other oils is difficult to achieve. Relationship Va"&amp;"lue recommended. The only but I put him is that I have in front of a mirror and I leave it greasy thing with other oils has not happened.")</f>
        <v>White moss. The smell is very good and friendly. 3 drops per 100ml is sufficient for making the boat yet still small duration is long. The smell lasts until the exhausted container humuficador thing with other oils is difficult to achieve. Relationship Value recommended. The only but I put him is that I have in front of a mirror and I leave it greasy thing with other oils has not happened.</v>
      </c>
    </row>
    <row r="14883">
      <c r="A14883" s="1">
        <v>4.0</v>
      </c>
      <c r="B14883" s="1" t="s">
        <v>14749</v>
      </c>
      <c r="C14883" t="str">
        <f>IFERROR(__xludf.DUMMYFUNCTION("GOOGLETRANSLATE(B14883, ""es"", ""en"")"),"Everything ok Good shoes")</f>
        <v>Everything ok Good shoes</v>
      </c>
    </row>
    <row r="14884">
      <c r="A14884" s="1">
        <v>4.0</v>
      </c>
      <c r="B14884" s="1" t="s">
        <v>14750</v>
      </c>
      <c r="C14884" t="str">
        <f>IFERROR(__xludf.DUMMYFUNCTION("GOOGLETRANSLATE(B14884, ""es"", ""en"")"),"smell good, bad transportation The product is fine, the smell is very pleasant, clean clothes, but it took about three weeks to arrive.")</f>
        <v>smell good, bad transportation The product is fine, the smell is very pleasant, clean clothes, but it took about three weeks to arrive.</v>
      </c>
    </row>
    <row r="14885">
      <c r="A14885" s="1">
        <v>4.0</v>
      </c>
      <c r="B14885" s="1" t="s">
        <v>14751</v>
      </c>
      <c r="C14885" t="str">
        <f>IFERROR(__xludf.DUMMYFUNCTION("GOOGLETRANSLATE(B14885, ""es"", ""en"")"),"The product performs its function does the job. The pros in my case are: - It is quiet and does not bother sleeping or to have it on all day. - The choice of color goes very well at night, with the lights off, relax a lot. - it is comfortable it can be co"&amp;"ntrolled with the remote control. - If you run out of water is automatically turned off. - You can program a 1h / 3h / 6h without shutting down. - Can be programmed to be running continuously or intermittently. - You can change the color of light. - Va pl"&amp;"ugged into an electrical outlet. - In the box we also found a measuring cup. As cons in my case would be: - If I put 300ml or more all around the appliance gets wet being running, but with 100 ml takes about 6 hours. - In my case I have a Samsung TV and w"&amp;"hen under the TV volume settings are changed from the time of the humidifier. - If you are more than 5 m, does not receive the control signal. Nevertheless I am very happy shopping and do not regret, after spending a few days comparing different humidifie"&amp;"rs.")</f>
        <v>The product performs its function does the job. The pros in my case are: - It is quiet and does not bother sleeping or to have it on all day. - The choice of color goes very well at night, with the lights off, relax a lot. - it is comfortable it can be controlled with the remote control. - If you run out of water is automatically turned off. - You can program a 1h / 3h / 6h without shutting down. - Can be programmed to be running continuously or intermittently. - You can change the color of light. - Va plugged into an electrical outlet. - In the box we also found a measuring cup. As cons in my case would be: - If I put 300ml or more all around the appliance gets wet being running, but with 100 ml takes about 6 hours. - In my case I have a Samsung TV and when under the TV volume settings are changed from the time of the humidifier. - If you are more than 5 m, does not receive the control signal. Nevertheless I am very happy shopping and do not regret, after spending a few days comparing different humidifiers.</v>
      </c>
    </row>
    <row r="14886">
      <c r="A14886" s="1">
        <v>5.0</v>
      </c>
      <c r="B14886" s="1" t="s">
        <v>14752</v>
      </c>
      <c r="C14886" t="str">
        <f>IFERROR(__xludf.DUMMYFUNCTION("GOOGLETRANSLATE(B14886, ""es"", ""en"")"),"Value To say a memory card and nothing else is already doing well")</f>
        <v>Value To say a memory card and nothing else is already doing well</v>
      </c>
    </row>
    <row r="14887">
      <c r="A14887" s="1">
        <v>5.0</v>
      </c>
      <c r="B14887" s="1" t="s">
        <v>14753</v>
      </c>
      <c r="C14887" t="str">
        <f>IFERROR(__xludf.DUMMYFUNCTION("GOOGLETRANSLATE(B14887, ""es"", ""en"")"),"Original quite Pequeñito, five modes of operation and can be immersed in water, so it is such which the article, an original massager described.")</f>
        <v>Original quite Pequeñito, five modes of operation and can be immersed in water, so it is such which the article, an original massager described.</v>
      </c>
    </row>
    <row r="14888">
      <c r="A14888" s="1">
        <v>5.0</v>
      </c>
      <c r="B14888" s="1" t="s">
        <v>14754</v>
      </c>
      <c r="C14888" t="str">
        <f>IFERROR(__xludf.DUMMYFUNCTION("GOOGLETRANSLATE(B14888, ""es"", ""en"")"),"VERY PLEASED, PRODUCT QUALITY assessment is very positive because the value is unbeatable. The blender is robust and elegant. Easily removable. With the longer arm than others in its class. Power is 1000w. For the price it is very good and sufficient powe"&amp;"r for everyday use.")</f>
        <v>VERY PLEASED, PRODUCT QUALITY assessment is very positive because the value is unbeatable. The blender is robust and elegant. Easily removable. With the longer arm than others in its class. Power is 1000w. For the price it is very good and sufficient power for everyday use.</v>
      </c>
    </row>
    <row r="14889">
      <c r="A14889" s="1">
        <v>5.0</v>
      </c>
      <c r="B14889" s="1" t="s">
        <v>14755</v>
      </c>
      <c r="C14889" t="str">
        <f>IFERROR(__xludf.DUMMYFUNCTION("GOOGLETRANSLATE(B14889, ""es"", ""en"")"),"I love beautiful, wearable, comfortable and very nice. It is not appreciated but have glitter x flowers and tongue")</f>
        <v>I love beautiful, wearable, comfortable and very nice. It is not appreciated but have glitter x flowers and tongue</v>
      </c>
    </row>
    <row r="14890">
      <c r="A14890" s="1">
        <v>5.0</v>
      </c>
      <c r="B14890" s="1" t="s">
        <v>14756</v>
      </c>
      <c r="C14890" t="str">
        <f>IFERROR(__xludf.DUMMYFUNCTION("GOOGLETRANSLATE(B14890, ""es"", ""en"")"),"Thrilled really works")</f>
        <v>Thrilled really works</v>
      </c>
    </row>
    <row r="14891">
      <c r="A14891" s="1">
        <v>5.0</v>
      </c>
      <c r="B14891" s="1" t="s">
        <v>14757</v>
      </c>
      <c r="C14891" t="str">
        <f>IFERROR(__xludf.DUMMYFUNCTION("GOOGLETRANSLATE(B14891, ""es"", ""en"")"),"impressive ago almost a year that I have, have great sound, crisp and with notes or record very balanced, have a bag to carry them are small and fit perfectly into the ear, they bring three pillow sizes ... I loved are perfect")</f>
        <v>impressive ago almost a year that I have, have great sound, crisp and with notes or record very balanced, have a bag to carry them are small and fit perfectly into the ear, they bring three pillow sizes ... I loved are perfect</v>
      </c>
    </row>
    <row r="14892">
      <c r="A14892" s="1">
        <v>5.0</v>
      </c>
      <c r="B14892" s="1" t="s">
        <v>14758</v>
      </c>
      <c r="C14892" t="str">
        <f>IFERROR(__xludf.DUMMYFUNCTION("GOOGLETRANSLATE(B14892, ""es"", ""en"")"),"Protects feet is highly recommended for the beach. It allowed to walk without having to dodge rocks or gravel. Also in pool grip well. Dry quickly. I am satisfied.")</f>
        <v>Protects feet is highly recommended for the beach. It allowed to walk without having to dodge rocks or gravel. Also in pool grip well. Dry quickly. I am satisfied.</v>
      </c>
    </row>
    <row r="14893">
      <c r="A14893" s="1">
        <v>5.0</v>
      </c>
      <c r="B14893" s="1" t="s">
        <v>14759</v>
      </c>
      <c r="C14893" t="str">
        <f>IFERROR(__xludf.DUMMYFUNCTION("GOOGLETRANSLATE(B14893, ""es"", ""en"")"),"Fã Tim Burton film A watch for a gift to a fã Tim Burton. It's nice and accurate")</f>
        <v>Fã Tim Burton film A watch for a gift to a fã Tim Burton. It's nice and accurate</v>
      </c>
    </row>
    <row r="14894">
      <c r="A14894" s="1">
        <v>5.0</v>
      </c>
      <c r="B14894" s="1" t="s">
        <v>14760</v>
      </c>
      <c r="C14894" t="str">
        <f>IFERROR(__xludf.DUMMYFUNCTION("GOOGLETRANSLATE(B14894, ""es"", ""en"")"),"- Good sterilizer does the job. Bring quartz beads")</f>
        <v>- Good sterilizer does the job. Bring quartz beads</v>
      </c>
    </row>
    <row r="14895">
      <c r="A14895" s="1">
        <v>5.0</v>
      </c>
      <c r="B14895" s="1" t="s">
        <v>14761</v>
      </c>
      <c r="C14895" t="str">
        <f>IFERROR(__xludf.DUMMYFUNCTION("GOOGLETRANSLATE(B14895, ""es"", ""en"")"),"Very satisfactory purchase Buying has been very satisfactory from the logistical point of view, the updated information on the location of the goods. And also very important, the quality of the product.")</f>
        <v>Very satisfactory purchase Buying has been very satisfactory from the logistical point of view, the updated information on the location of the goods. And also very important, the quality of the product.</v>
      </c>
    </row>
    <row r="14896">
      <c r="A14896" s="1">
        <v>5.0</v>
      </c>
      <c r="B14896" s="1" t="s">
        <v>14762</v>
      </c>
      <c r="C14896" t="str">
        <f>IFERROR(__xludf.DUMMYFUNCTION("GOOGLETRANSLATE(B14896, ""es"", ""en"")"),"Very nice very nice and very well packaged. As I expected")</f>
        <v>Very nice very nice and very well packaged. As I expected</v>
      </c>
    </row>
    <row r="14897">
      <c r="A14897" s="1">
        <v>5.0</v>
      </c>
      <c r="B14897" s="1" t="s">
        <v>14763</v>
      </c>
      <c r="C14897" t="str">
        <f>IFERROR(__xludf.DUMMYFUNCTION("GOOGLETRANSLATE(B14897, ""es"", ""en"")"),"Great! It is perfect and has great suction power, especially in carpets, all that I see wrong is the Dumpster, because when you open the lid, you have to be careful that you do not stain your hand with falling, but well, with a little care the problem is "&amp;"solved!")</f>
        <v>Great! It is perfect and has great suction power, especially in carpets, all that I see wrong is the Dumpster, because when you open the lid, you have to be careful that you do not stain your hand with falling, but well, with a little care the problem is solved!</v>
      </c>
    </row>
    <row r="14898">
      <c r="A14898" s="1">
        <v>5.0</v>
      </c>
      <c r="B14898" s="1" t="s">
        <v>14764</v>
      </c>
      <c r="C14898" t="str">
        <f>IFERROR(__xludf.DUMMYFUNCTION("GOOGLETRANSLATE(B14898, ""es"", ""en"")"),"Great buy we have used for years and it works like the first day. Quality materials. Very pleased with the purchase.")</f>
        <v>Great buy we have used for years and it works like the first day. Quality materials. Very pleased with the purchase.</v>
      </c>
    </row>
    <row r="14899">
      <c r="A14899" s="1">
        <v>5.0</v>
      </c>
      <c r="B14899" s="1" t="s">
        <v>14765</v>
      </c>
      <c r="C14899" t="str">
        <f>IFERROR(__xludf.DUMMYFUNCTION("GOOGLETRANSLATE(B14899, ""es"", ""en"")"),"Good Good G- Shock watch, ideal for those looking for a G- Shock at a good price. The numbering in the inverted screen looks great and is very comfortable to wear.")</f>
        <v>Good Good G- Shock watch, ideal for those looking for a G- Shock at a good price. The numbering in the inverted screen looks great and is very comfortable to wear.</v>
      </c>
    </row>
    <row r="14900">
      <c r="A14900" s="1">
        <v>5.0</v>
      </c>
      <c r="B14900" s="1" t="s">
        <v>14766</v>
      </c>
      <c r="C14900" t="str">
        <f>IFERROR(__xludf.DUMMYFUNCTION("GOOGLETRANSLATE(B14900, ""es"", ""en"")"),"Practical cheap and quality Good materials, mostly aluminum, very functional for folios and books, good price clip and reading guide can be easily removed")</f>
        <v>Practical cheap and quality Good materials, mostly aluminum, very functional for folios and books, good price clip and reading guide can be easily removed</v>
      </c>
    </row>
    <row r="14901">
      <c r="A14901" s="1">
        <v>5.0</v>
      </c>
      <c r="B14901" s="1" t="s">
        <v>14767</v>
      </c>
      <c r="C14901" t="str">
        <f>IFERROR(__xludf.DUMMYFUNCTION("GOOGLETRANSLATE(B14901, ""es"", ""en"")"),"Smoothies portable mixer day The power is enough for my fruit smoothies. . Fast, comfortable, is quickly being washed perfectly clean. And very comfortable to hold and carry, if you want to take him somewhere it is the best obcion, USB adapter allows you "&amp;"to connect anywhere. All a success this purchase, I recommend it.")</f>
        <v>Smoothies portable mixer day The power is enough for my fruit smoothies. . Fast, comfortable, is quickly being washed perfectly clean. And very comfortable to hold and carry, if you want to take him somewhere it is the best obcion, USB adapter allows you to connect anywhere. All a success this purchase, I recommend it.</v>
      </c>
    </row>
    <row r="14902">
      <c r="A14902" s="1">
        <v>5.0</v>
      </c>
      <c r="B14902" s="1" t="s">
        <v>14768</v>
      </c>
      <c r="C14902" t="str">
        <f>IFERROR(__xludf.DUMMYFUNCTION("GOOGLETRANSLATE(B14902, ""es"", ""en"")"),"The warm-PRICE relationship I like comfort when using it, and I have no time, but?")</f>
        <v>The warm-PRICE relationship I like comfort when using it, and I have no time, but?</v>
      </c>
    </row>
    <row r="14903">
      <c r="A14903" s="1">
        <v>5.0</v>
      </c>
      <c r="B14903" s="1" t="s">
        <v>14769</v>
      </c>
      <c r="C14903" t="str">
        <f>IFERROR(__xludf.DUMMYFUNCTION("GOOGLETRANSLATE(B14903, ""es"", ""en"")"),"Compatible with 990 Execllence Conga Like the original (Conga excellence CECOTEC 990). Very happy with purchase.")</f>
        <v>Compatible with 990 Execllence Conga Like the original (Conga excellence CECOTEC 990). Very happy with purchase.</v>
      </c>
    </row>
    <row r="14904">
      <c r="A14904" s="1">
        <v>2.0</v>
      </c>
      <c r="B14904" s="1" t="s">
        <v>14770</v>
      </c>
      <c r="C14904" t="str">
        <f>IFERROR(__xludf.DUMMYFUNCTION("GOOGLETRANSLATE(B14904, ""es"", ""en"")"),"French size sold as European size !!! I put only two stars despite the chancla I bought it because 47EUR in size and has reached me 47FR (French). So be xuidaso when choosing the size")</f>
        <v>French size sold as European size !!! I put only two stars despite the chancla I bought it because 47EUR in size and has reached me 47FR (French). So be xuidaso when choosing the size</v>
      </c>
    </row>
    <row r="14905">
      <c r="A14905" s="1">
        <v>3.0</v>
      </c>
      <c r="B14905" s="1" t="s">
        <v>14771</v>
      </c>
      <c r="C14905" t="str">
        <f>IFERROR(__xludf.DUMMYFUNCTION("GOOGLETRANSLATE(B14905, ""es"", ""en"")"),"All right, what it was expected. Acceptable without further.")</f>
        <v>All right, what it was expected. Acceptable without further.</v>
      </c>
    </row>
    <row r="14906">
      <c r="A14906" s="1">
        <v>1.0</v>
      </c>
      <c r="B14906" s="1" t="s">
        <v>14772</v>
      </c>
      <c r="C14906" t="str">
        <f>IFERROR(__xludf.DUMMYFUNCTION("GOOGLETRANSLATE(B14906, ""es"", ""en"")"),"A fiasco in the making images and description have nothing to do with the product, rather than a pair of compression are loose, so basic that have neither a sad inside pocket to store the wash will not return to buy sportswear my experience has been very "&amp;"negative.")</f>
        <v>A fiasco in the making images and description have nothing to do with the product, rather than a pair of compression are loose, so basic that have neither a sad inside pocket to store the wash will not return to buy sportswear my experience has been very negative.</v>
      </c>
    </row>
    <row r="14907">
      <c r="A14907" s="1">
        <v>1.0</v>
      </c>
      <c r="B14907" s="1" t="s">
        <v>14773</v>
      </c>
      <c r="C14907" t="str">
        <f>IFERROR(__xludf.DUMMYFUNCTION("GOOGLETRANSLATE(B14907, ""es"", ""en"")"),"A year pesimo hard drive stopped working and hardly use it on a laptop. I am salivating for using the warranty and find nothing. 10 for Amazon that has been responsible for the return.")</f>
        <v>A year pesimo hard drive stopped working and hardly use it on a laptop. I am salivating for using the warranty and find nothing. 10 for Amazon that has been responsible for the return.</v>
      </c>
    </row>
    <row r="14908">
      <c r="A14908" s="1">
        <v>4.0</v>
      </c>
      <c r="B14908" s="1" t="s">
        <v>14774</v>
      </c>
      <c r="C14908" t="str">
        <f>IFERROR(__xludf.DUMMYFUNCTION("GOOGLETRANSLATE(B14908, ""es"", ""en"")"),"Good quality good quality, durable seams. Small and manageable. The only problem I see is that there are some ""pages"" in which costs get the card. Otherwise all perfecro.")</f>
        <v>Good quality good quality, durable seams. Small and manageable. The only problem I see is that there are some "pages" in which costs get the card. Otherwise all perfecro.</v>
      </c>
    </row>
    <row r="14909">
      <c r="A14909" s="1">
        <v>4.0</v>
      </c>
      <c r="B14909" s="1" t="s">
        <v>14775</v>
      </c>
      <c r="C14909" t="str">
        <f>IFERROR(__xludf.DUMMYFUNCTION("GOOGLETRANSLATE(B14909, ""es"", ""en"")"),"Good product, fast delivery No I put 4 stars because the last time I bought the jar was opened and the product was spilled all over the box. I returned without problems. This time has come perfect !!")</f>
        <v>Good product, fast delivery No I put 4 stars because the last time I bought the jar was opened and the product was spilled all over the box. I returned without problems. This time has come perfect !!</v>
      </c>
    </row>
    <row r="14910">
      <c r="A14910" s="1">
        <v>4.0</v>
      </c>
      <c r="B14910" s="1" t="s">
        <v>14776</v>
      </c>
      <c r="C14910" t="str">
        <f>IFERROR(__xludf.DUMMYFUNCTION("GOOGLETRANSLATE(B14910, ""es"", ""en"")"),"POSITIVE I liked the overall look has not liked about the whole quality I use it for Scottish costume")</f>
        <v>POSITIVE I liked the overall look has not liked about the whole quality I use it for Scottish costume</v>
      </c>
    </row>
    <row r="14911">
      <c r="A14911" s="1">
        <v>4.0</v>
      </c>
      <c r="B14911" s="1" t="s">
        <v>14777</v>
      </c>
      <c r="C14911" t="str">
        <f>IFERROR(__xludf.DUMMYFUNCTION("GOOGLETRANSLATE(B14911, ""es"", ""en"")"),"Well, for now. I think it's correct. Let's see how enduring.")</f>
        <v>Well, for now. I think it's correct. Let's see how enduring.</v>
      </c>
    </row>
    <row r="14912">
      <c r="A14912" s="1">
        <v>4.0</v>
      </c>
      <c r="B14912" s="1" t="s">
        <v>14778</v>
      </c>
      <c r="C14912" t="str">
        <f>IFERROR(__xludf.DUMMYFUNCTION("GOOGLETRANSLATE(B14912, ""es"", ""en"")"),"They smell very well use the humidifier to take a few minutes and leave a pleasant smell in the room.")</f>
        <v>They smell very well use the humidifier to take a few minutes and leave a pleasant smell in the room.</v>
      </c>
    </row>
    <row r="14913">
      <c r="A14913" s="1">
        <v>5.0</v>
      </c>
      <c r="B14913" s="1" t="s">
        <v>14779</v>
      </c>
      <c r="C14913" t="str">
        <f>IFERROR(__xludf.DUMMYFUNCTION("GOOGLETRANSLATE(B14913, ""es"", ""en"")"),"Perfect and battery good comes perfect, as in the photos, they are very comfortable, the battery is amazing, the first time I loaded had almost two weeks using daily headphones and had not even finish the whole, was a quarter Of battery. The sound quality"&amp;" is pretty good. One of the best things is that if you run out of battery you can use the cable jack is included and ready.")</f>
        <v>Perfect and battery good comes perfect, as in the photos, they are very comfortable, the battery is amazing, the first time I loaded had almost two weeks using daily headphones and had not even finish the whole, was a quarter Of battery. The sound quality is pretty good. One of the best things is that if you run out of battery you can use the cable jack is included and ready.</v>
      </c>
    </row>
    <row r="14914">
      <c r="A14914" s="1">
        <v>5.0</v>
      </c>
      <c r="B14914" s="1" t="s">
        <v>14780</v>
      </c>
      <c r="C14914" t="str">
        <f>IFERROR(__xludf.DUMMYFUNCTION("GOOGLETRANSLATE(B14914, ""es"", ""en"")"),"Good deal Amazon was a small mistake and I can not control the requested disk contact amazon and all were facilities. I sent the right and a messenger to pick up the other. All without extra expenses")</f>
        <v>Good deal Amazon was a small mistake and I can not control the requested disk contact amazon and all were facilities. I sent the right and a messenger to pick up the other. All without extra expenses</v>
      </c>
    </row>
    <row r="14915">
      <c r="A14915" s="1">
        <v>5.0</v>
      </c>
      <c r="B14915" s="1" t="s">
        <v>14781</v>
      </c>
      <c r="C14915" t="str">
        <f>IFERROR(__xludf.DUMMYFUNCTION("GOOGLETRANSLATE(B14915, ""es"", ""en"")"),"Guaranteed fun gift ideal for children, spend hours entertained. The microphone plays music through both bluetooth from a mobile or from television, shower speaker battery hours and it sounds pretty good. In addition, you can play music contained on the m"&amp;"icroSD card.")</f>
        <v>Guaranteed fun gift ideal for children, spend hours entertained. The microphone plays music through both bluetooth from a mobile or from television, shower speaker battery hours and it sounds pretty good. In addition, you can play music contained on the microSD card.</v>
      </c>
    </row>
    <row r="14916">
      <c r="A14916" s="1">
        <v>5.0</v>
      </c>
      <c r="B14916" s="1" t="s">
        <v>14782</v>
      </c>
      <c r="C14916" t="str">
        <f>IFERROR(__xludf.DUMMYFUNCTION("GOOGLETRANSLATE(B14916, ""es"", ""en"")"),"Arrived on time and perfect quality, the Q expected.")</f>
        <v>Arrived on time and perfect quality, the Q expected.</v>
      </c>
    </row>
    <row r="14917">
      <c r="A14917" s="1">
        <v>5.0</v>
      </c>
      <c r="B14917" s="1" t="s">
        <v>14783</v>
      </c>
      <c r="C14917" t="str">
        <f>IFERROR(__xludf.DUMMYFUNCTION("GOOGLETRANSLATE(B14917, ""es"", ""en"")"),"Green color pants set to photograph the product. It is well adapted and very nice or too loose nor too fair")</f>
        <v>Green color pants set to photograph the product. It is well adapted and very nice or too loose nor too fair</v>
      </c>
    </row>
    <row r="14918">
      <c r="A14918" s="1">
        <v>5.0</v>
      </c>
      <c r="B14918" s="1" t="s">
        <v>14784</v>
      </c>
      <c r="C14918" t="str">
        <f>IFERROR(__xludf.DUMMYFUNCTION("GOOGLETRANSLATE(B14918, ""es"", ""en"")"),"great works perfectly very useful for facial massage")</f>
        <v>great works perfectly very useful for facial massage</v>
      </c>
    </row>
    <row r="14919">
      <c r="A14919" s="1">
        <v>5.0</v>
      </c>
      <c r="B14919" s="1" t="s">
        <v>14785</v>
      </c>
      <c r="C14919" t="str">
        <f>IFERROR(__xludf.DUMMYFUNCTION("GOOGLETRANSLATE(B14919, ""es"", ""en"")"),"I like it very beautiful, I really like, and is sterling silver, because it does not give me allergy, in fact I'll ask another to give away.")</f>
        <v>I like it very beautiful, I really like, and is sterling silver, because it does not give me allergy, in fact I'll ask another to give away.</v>
      </c>
    </row>
    <row r="14920">
      <c r="A14920" s="1">
        <v>5.0</v>
      </c>
      <c r="B14920" s="1" t="s">
        <v>14786</v>
      </c>
      <c r="C14920" t="str">
        <f>IFERROR(__xludf.DUMMYFUNCTION("GOOGLETRANSLATE(B14920, ""es"", ""en"")"),"1L kettle can only say wonders of this product. It is very easy to clean, pretty, lightweight and has meters inside to find out how far you have to fill (in cups) and outside usual measures. It goes out only when the water ready so you have no need to be "&amp;"slope is. The cable can be rolled underneath to facilitate order in the kitchen.")</f>
        <v>1L kettle can only say wonders of this product. It is very easy to clean, pretty, lightweight and has meters inside to find out how far you have to fill (in cups) and outside usual measures. It goes out only when the water ready so you have no need to be slope is. The cable can be rolled underneath to facilitate order in the kitchen.</v>
      </c>
    </row>
    <row r="14921">
      <c r="A14921" s="1">
        <v>5.0</v>
      </c>
      <c r="B14921" s="1" t="s">
        <v>14787</v>
      </c>
      <c r="C14921" t="str">
        <f>IFERROR(__xludf.DUMMYFUNCTION("GOOGLETRANSLATE(B14921, ""es"", ""en"")"),"Nice design and good adjustment system. elegant, nice design, well finished, fits perfectly thanks to its system. Both gift to autoregalo, good quality, fine, my wife has no problems of irritation and happy ha. It has Swarovski crystals and sparkles. For "&amp;"me, a great buy and knowing that my wife likes the tree of life. Recommended.")</f>
        <v>Nice design and good adjustment system. elegant, nice design, well finished, fits perfectly thanks to its system. Both gift to autoregalo, good quality, fine, my wife has no problems of irritation and happy ha. It has Swarovski crystals and sparkles. For me, a great buy and knowing that my wife likes the tree of life. Recommended.</v>
      </c>
    </row>
    <row r="14922">
      <c r="A14922" s="1">
        <v>5.0</v>
      </c>
      <c r="B14922" s="1" t="s">
        <v>14788</v>
      </c>
      <c r="C14922" t="str">
        <f>IFERROR(__xludf.DUMMYFUNCTION("GOOGLETRANSLATE(B14922, ""es"", ""en"")"),"Soft and pretty good quality")</f>
        <v>Soft and pretty good quality</v>
      </c>
    </row>
    <row r="14923">
      <c r="A14923" s="1">
        <v>5.0</v>
      </c>
      <c r="B14923" s="1" t="s">
        <v>14789</v>
      </c>
      <c r="C14923" t="str">
        <f>IFERROR(__xludf.DUMMYFUNCTION("GOOGLETRANSLATE(B14923, ""es"", ""en"")"),"Good quality Good price")</f>
        <v>Good quality Good price</v>
      </c>
    </row>
    <row r="14924">
      <c r="A14924" s="1">
        <v>5.0</v>
      </c>
      <c r="B14924" s="1" t="s">
        <v>14790</v>
      </c>
      <c r="C14924" t="str">
        <f>IFERROR(__xludf.DUMMYFUNCTION("GOOGLETRANSLATE(B14924, ""es"", ""en"")"),"So comfortable I've loved. I will buy.")</f>
        <v>So comfortable I've loved. I will buy.</v>
      </c>
    </row>
    <row r="14925">
      <c r="A14925" s="1">
        <v>5.0</v>
      </c>
      <c r="B14925" s="1" t="s">
        <v>14791</v>
      </c>
      <c r="C14925" t="str">
        <f>IFERROR(__xludf.DUMMYFUNCTION("GOOGLETRANSLATE(B14925, ""es"", ""en"")"),"carmen has a lot of great trot and it's going super great sound .and have remote control is necessary and very comfortable")</f>
        <v>carmen has a lot of great trot and it's going super great sound .and have remote control is necessary and very comfortable</v>
      </c>
    </row>
    <row r="14926">
      <c r="A14926" s="1">
        <v>5.0</v>
      </c>
      <c r="B14926" s="1" t="s">
        <v>14792</v>
      </c>
      <c r="C14926" t="str">
        <f>IFERROR(__xludf.DUMMYFUNCTION("GOOGLETRANSLATE(B14926, ""es"", ""en"")"),"Perfect. My favorite brand Perfect")</f>
        <v>Perfect. My favorite brand Perfect</v>
      </c>
    </row>
    <row r="14927">
      <c r="A14927" s="1">
        <v>5.0</v>
      </c>
      <c r="B14927" s="1" t="s">
        <v>14793</v>
      </c>
      <c r="C14927" t="str">
        <f>IFERROR(__xludf.DUMMYFUNCTION("GOOGLETRANSLATE(B14927, ""es"", ""en"")"),"Precious Love it!")</f>
        <v>Precious Love it!</v>
      </c>
    </row>
    <row r="14928">
      <c r="A14928" s="1">
        <v>5.0</v>
      </c>
      <c r="B14928" s="1" t="s">
        <v>14794</v>
      </c>
      <c r="C14928" t="str">
        <f>IFERROR(__xludf.DUMMYFUNCTION("GOOGLETRANSLATE(B14928, ""es"", ""en"")"),"Product plus !! The humidifier is very good quality, gives a very good smell for low cost, and it does look very nice wooden well with my house also includes 2 buttons, one to choose the mode of humidifier, and the other to choose the mode LEDs or even di"&amp;"sable them, is a highly recommended purchase for its low cost and high quality")</f>
        <v>Product plus !! The humidifier is very good quality, gives a very good smell for low cost, and it does look very nice wooden well with my house also includes 2 buttons, one to choose the mode of humidifier, and the other to choose the mode LEDs or even disable them, is a highly recommended purchase for its low cost and high quality</v>
      </c>
    </row>
    <row r="14929">
      <c r="A14929" s="1">
        <v>5.0</v>
      </c>
      <c r="B14929" s="1" t="s">
        <v>14795</v>
      </c>
      <c r="C14929" t="str">
        <f>IFERROR(__xludf.DUMMYFUNCTION("GOOGLETRANSLATE(B14929, ""es"", ""en"")"),"Patri Me an enchanted perfect size to do some decoration of the names ... and I q is perfect for what I wanted to recommend it 100%")</f>
        <v>Patri Me an enchanted perfect size to do some decoration of the names ... and I q is perfect for what I wanted to recommend it 100%</v>
      </c>
    </row>
    <row r="14930">
      <c r="A14930" s="1">
        <v>5.0</v>
      </c>
      <c r="B14930" s="1" t="s">
        <v>14796</v>
      </c>
      <c r="C14930" t="str">
        <f>IFERROR(__xludf.DUMMYFUNCTION("GOOGLETRANSLATE(B14930, ""es"", ""en"")"),"Robust Does the job very well, but in the description of the product does not clearly state that comes with the piece that holds the micro and I had to buy another part. Cheers")</f>
        <v>Robust Does the job very well, but in the description of the product does not clearly state that comes with the piece that holds the micro and I had to buy another part. Cheers</v>
      </c>
    </row>
    <row r="14931">
      <c r="A14931" s="1">
        <v>5.0</v>
      </c>
      <c r="B14931" s="1" t="s">
        <v>14797</v>
      </c>
      <c r="C14931" t="str">
        <f>IFERROR(__xludf.DUMMYFUNCTION("GOOGLETRANSLATE(B14931, ""es"", ""en"")"),"Stainless steel and chrome Very good results")</f>
        <v>Stainless steel and chrome Very good results</v>
      </c>
    </row>
    <row r="14932">
      <c r="A14932" s="1">
        <v>2.0</v>
      </c>
      <c r="B14932" s="1" t="s">
        <v>14798</v>
      </c>
      <c r="C14932" t="str">
        <f>IFERROR(__xludf.DUMMYFUNCTION("GOOGLETRANSLATE(B14932, ""es"", ""en"")"),"Poor finishing has is beautiful and not ugly but it gets very uncomfortable engages all")</f>
        <v>Poor finishing has is beautiful and not ugly but it gets very uncomfortable engages all</v>
      </c>
    </row>
    <row r="14933">
      <c r="A14933" s="1">
        <v>3.0</v>
      </c>
      <c r="B14933" s="1" t="s">
        <v>14799</v>
      </c>
      <c r="C14933" t="str">
        <f>IFERROR(__xludf.DUMMYFUNCTION("GOOGLETRANSLATE(B14933, ""es"", ""en"")"),"Good headphones, good sound, bad microphone and headphone connectivity Regular The perfectly meet the function to listen to music, watch movies or videos. Now the microphone is not good, and the effect is very hard to communicate calls unless you speak lo"&amp;"udly. Connectivity headphones sometimes fails but re-connect or automatically readjusts (regular-good connectivity) In short, can be used in any cell with which are not bad, certainly can not compete with the high end but its price is three times lower th"&amp;"an I think anyone expected.")</f>
        <v>Good headphones, good sound, bad microphone and headphone connectivity Regular The perfectly meet the function to listen to music, watch movies or videos. Now the microphone is not good, and the effect is very hard to communicate calls unless you speak loudly. Connectivity headphones sometimes fails but re-connect or automatically readjusts (regular-good connectivity) In short, can be used in any cell with which are not bad, certainly can not compete with the high end but its price is three times lower than I think anyone expected.</v>
      </c>
    </row>
    <row r="14934">
      <c r="A14934" s="1">
        <v>3.0</v>
      </c>
      <c r="B14934" s="1" t="s">
        <v>14800</v>
      </c>
      <c r="C14934" t="str">
        <f>IFERROR(__xludf.DUMMYFUNCTION("GOOGLETRANSLATE(B14934, ""es"", ""en"")"),"A good helmets right product for its price. Well connected home devices. Fidelity sound is the esperaable within its price.")</f>
        <v>A good helmets right product for its price. Well connected home devices. Fidelity sound is the esperaable within its price.</v>
      </c>
    </row>
    <row r="14935">
      <c r="A14935" s="1">
        <v>1.0</v>
      </c>
      <c r="B14935" s="1" t="s">
        <v>14801</v>
      </c>
      <c r="C14935" t="str">
        <f>IFERROR(__xludf.DUMMYFUNCTION("GOOGLETRANSLATE(B14935, ""es"", ""en"")"),"Very informal factory default left foot, v but not the seller or Amazon are in charge. It feels totally helpless and cheated")</f>
        <v>Very informal factory default left foot, v but not the seller or Amazon are in charge. It feels totally helpless and cheated</v>
      </c>
    </row>
    <row r="14936">
      <c r="A14936" s="1">
        <v>1.0</v>
      </c>
      <c r="B14936" s="1" t="s">
        <v>14802</v>
      </c>
      <c r="C14936" t="str">
        <f>IFERROR(__xludf.DUMMYFUNCTION("GOOGLETRANSLATE(B14936, ""es"", ""en"")"),"Back because I have come too late for some error logistics, it has come to us day and a half later ... Since it was necessary to dump and restart the entire filesystem our office, our computer has had to install another similar album that bought him . I k"&amp;"now it's a good product that they recommend the company leading all this, but as it was late we returned.")</f>
        <v>Back because I have come too late for some error logistics, it has come to us day and a half later ... Since it was necessary to dump and restart the entire filesystem our office, our computer has had to install another similar album that bought him . I know it's a good product that they recommend the company leading all this, but as it was late we returned.</v>
      </c>
    </row>
    <row r="14937">
      <c r="A14937" s="1">
        <v>4.0</v>
      </c>
      <c r="B14937" s="1" t="s">
        <v>14803</v>
      </c>
      <c r="C14937" t="str">
        <f>IFERROR(__xludf.DUMMYFUNCTION("GOOGLETRANSLATE(B14937, ""es"", ""en"")"),"Everything ok well all")</f>
        <v>Everything ok well all</v>
      </c>
    </row>
    <row r="14938">
      <c r="A14938" s="1">
        <v>4.0</v>
      </c>
      <c r="B14938" s="1" t="s">
        <v>14804</v>
      </c>
      <c r="C14938" t="str">
        <f>IFERROR(__xludf.DUMMYFUNCTION("GOOGLETRANSLATE(B14938, ""es"", ""en"")"),"Its well-designed design is successful, although little used, but the cost / quality is acceptable.")</f>
        <v>Its well-designed design is successful, although little used, but the cost / quality is acceptable.</v>
      </c>
    </row>
    <row r="14939">
      <c r="A14939" s="1">
        <v>4.0</v>
      </c>
      <c r="B14939" s="1" t="s">
        <v>14805</v>
      </c>
      <c r="C14939" t="str">
        <f>IFERROR(__xludf.DUMMYFUNCTION("GOOGLETRANSLATE(B14939, ""es"", ""en"")"),"The quick and easy do not really know existed this article but, as we saw it, we knew it was what we were looking for. No need to plug your phone to the PC, easy and fast. It serves to back up the contents of the phone. In our case, for example, we use it"&amp;" to save photos. It is easy to use for an older person. There are several capabilities that, very often put on offer. We can not comment as to its durability because it is newly acquired. For our part, Article recommended. In fact, there are several in th"&amp;"e family.")</f>
        <v>The quick and easy do not really know existed this article but, as we saw it, we knew it was what we were looking for. No need to plug your phone to the PC, easy and fast. It serves to back up the contents of the phone. In our case, for example, we use it to save photos. It is easy to use for an older person. There are several capabilities that, very often put on offer. We can not comment as to its durability because it is newly acquired. For our part, Article recommended. In fact, there are several in the family.</v>
      </c>
    </row>
    <row r="14940">
      <c r="A14940" s="1">
        <v>4.0</v>
      </c>
      <c r="B14940" s="1" t="s">
        <v>14806</v>
      </c>
      <c r="C14940" t="str">
        <f>IFERROR(__xludf.DUMMYFUNCTION("GOOGLETRANSLATE(B14940, ""es"", ""en"")"),"Fulfills its function Not much to say about this brand and on a card that to this day I can not say I have never failed. It has been a good buy and would do so again. The computer world changes very fast so the next will other capacity :)")</f>
        <v>Fulfills its function Not much to say about this brand and on a card that to this day I can not say I have never failed. It has been a good buy and would do so again. The computer world changes very fast so the next will other capacity :)</v>
      </c>
    </row>
    <row r="14941">
      <c r="A14941" s="1">
        <v>4.0</v>
      </c>
      <c r="B14941" s="1" t="s">
        <v>14807</v>
      </c>
      <c r="C14941" t="str">
        <f>IFERROR(__xludf.DUMMYFUNCTION("GOOGLETRANSLATE(B14941, ""es"", ""en"")"),"Meets the requirements Conforms to the description, it is a bit transparent")</f>
        <v>Meets the requirements Conforms to the description, it is a bit transparent</v>
      </c>
    </row>
    <row r="14942">
      <c r="A14942" s="1">
        <v>5.0</v>
      </c>
      <c r="B14942" s="1" t="s">
        <v>14808</v>
      </c>
      <c r="C14942" t="str">
        <f>IFERROR(__xludf.DUMMYFUNCTION("GOOGLETRANSLATE(B14942, ""es"", ""en"")"),"Fulfills its function Good water heater that boils very fast")</f>
        <v>Fulfills its function Good water heater that boils very fast</v>
      </c>
    </row>
    <row r="14943">
      <c r="A14943" s="1">
        <v>5.0</v>
      </c>
      <c r="B14943" s="1" t="s">
        <v>14809</v>
      </c>
      <c r="C14943" t="str">
        <f>IFERROR(__xludf.DUMMYFUNCTION("GOOGLETRANSLATE(B14943, ""es"", ""en"")"),"Product quality and vendor support 10. headphones are treated material very good build quality that perfectly align with the head and ears without disturbing despite hours. Use a version 4.0 bluetooth technology that quickly connect to a SmarTV, iPhone, S"&amp;"amsung or any device that has Bluetooth to play music. Their sound is pretty good and do not distort despite turning up the volume enough. It has buttons on the sides to fully control all playback functions such as receiving mobile calls. By the way, wear"&amp;"ing them can bring a place meets communication via a mobile call only for bluetooth (for cable connected the microphone does not work). It lasts for quite hours of operation if I have it to carry supposedly close 30 hours (last two weeks without charge if"&amp;" you use it a couple of hours a day). He is accompanied by a cover, and two cables, one of type minijack in protractor plan when want to connect directly to a device iPad, iPod, stereo ... Type without using the bluetooth; and the other wire to feed a typ"&amp;"e of USB power adapter (not included) from any mobile you have at home. It takes about two hours to charge. For the price and quality of these headphones, recomiendos no doubt.")</f>
        <v>Product quality and vendor support 10. headphones are treated material very good build quality that perfectly align with the head and ears without disturbing despite hours. Use a version 4.0 bluetooth technology that quickly connect to a SmarTV, iPhone, Samsung or any device that has Bluetooth to play music. Their sound is pretty good and do not distort despite turning up the volume enough. It has buttons on the sides to fully control all playback functions such as receiving mobile calls. By the way, wearing them can bring a place meets communication via a mobile call only for bluetooth (for cable connected the microphone does not work). It lasts for quite hours of operation if I have it to carry supposedly close 30 hours (last two weeks without charge if you use it a couple of hours a day). He is accompanied by a cover, and two cables, one of type minijack in protractor plan when want to connect directly to a device iPad, iPod, stereo ... Type without using the bluetooth; and the other wire to feed a type of USB power adapter (not included) from any mobile you have at home. It takes about two hours to charge. For the price and quality of these headphones, recomiendos no doubt.</v>
      </c>
    </row>
    <row r="14944">
      <c r="A14944" s="1">
        <v>5.0</v>
      </c>
      <c r="B14944" s="1" t="s">
        <v>125</v>
      </c>
      <c r="C14944" t="str">
        <f>IFERROR(__xludf.DUMMYFUNCTION("GOOGLETRANSLATE(B14944, ""es"", ""en"")"),"Ok Ok")</f>
        <v>Ok Ok</v>
      </c>
    </row>
    <row r="14945">
      <c r="A14945" s="1">
        <v>5.0</v>
      </c>
      <c r="B14945" s="1" t="s">
        <v>14810</v>
      </c>
      <c r="C14945" t="str">
        <f>IFERROR(__xludf.DUMMYFUNCTION("GOOGLETRANSLATE(B14945, ""es"", ""en"")"),"WHAT IS ESPERABA.okxx is very complete, you have many pockets and compartments, with multiple zippers, IDEAL, and spacious. Good buy for money.")</f>
        <v>WHAT IS ESPERABA.okxx is very complete, you have many pockets and compartments, with multiple zippers, IDEAL, and spacious. Good buy for money.</v>
      </c>
    </row>
    <row r="14946">
      <c r="A14946" s="1">
        <v>5.0</v>
      </c>
      <c r="B14946" s="1" t="s">
        <v>14811</v>
      </c>
      <c r="C14946" t="str">
        <f>IFERROR(__xludf.DUMMYFUNCTION("GOOGLETRANSLATE(B14946, ""es"", ""en"")"),"Blender is easy to use and clean.")</f>
        <v>Blender is easy to use and clean.</v>
      </c>
    </row>
    <row r="14947">
      <c r="A14947" s="1">
        <v>5.0</v>
      </c>
      <c r="B14947" s="1" t="s">
        <v>14812</v>
      </c>
      <c r="C14947" t="str">
        <f>IFERROR(__xludf.DUMMYFUNCTION("GOOGLETRANSLATE(B14947, ""es"", ""en"")"),"Kettle fast and aesthetic. It is the first kettle I have and I am delighted with the speed and simplicity of preparation. While placing tea cup and water and is boiled. Aesthetics very neat and good quality materials. The mouth does not leak to the servin"&amp;"g and the handle is not heated having a good grip.")</f>
        <v>Kettle fast and aesthetic. It is the first kettle I have and I am delighted with the speed and simplicity of preparation. While placing tea cup and water and is boiled. Aesthetics very neat and good quality materials. The mouth does not leak to the serving and the handle is not heated having a good grip.</v>
      </c>
    </row>
    <row r="14948">
      <c r="A14948" s="1">
        <v>5.0</v>
      </c>
      <c r="B14948" s="1" t="s">
        <v>14813</v>
      </c>
      <c r="C14948" t="str">
        <f>IFERROR(__xludf.DUMMYFUNCTION("GOOGLETRANSLATE(B14948, ""es"", ""en"")"),"I feel very comfortable with them I feel very comfortable with them. I now recommend for summer bienen very well. They are cool this summer.")</f>
        <v>I feel very comfortable with them I feel very comfortable with them. I now recommend for summer bienen very well. They are cool this summer.</v>
      </c>
    </row>
    <row r="14949">
      <c r="A14949" s="1">
        <v>5.0</v>
      </c>
      <c r="B14949" s="1" t="s">
        <v>14814</v>
      </c>
      <c r="C14949" t="str">
        <f>IFERROR(__xludf.DUMMYFUNCTION("GOOGLETRANSLATE(B14949, ""es"", ""en"")"),"Electric Blanket great choice. It delivers what it promises, good measures and 3 levels of heat. Very satisfied with the purchase. The only but it took a little longer than promised to arrive.")</f>
        <v>Electric Blanket great choice. It delivers what it promises, good measures and 3 levels of heat. Very satisfied with the purchase. The only but it took a little longer than promised to arrive.</v>
      </c>
    </row>
    <row r="14950">
      <c r="A14950" s="1">
        <v>5.0</v>
      </c>
      <c r="B14950" s="1" t="s">
        <v>14815</v>
      </c>
      <c r="C14950" t="str">
        <f>IFERROR(__xludf.DUMMYFUNCTION("GOOGLETRANSLATE(B14950, ""es"", ""en"")"),"They fulfill their mission by size are perfect for a Presonus ERIS 4.5. Although all these products are quite expensive for what they really are.")</f>
        <v>They fulfill their mission by size are perfect for a Presonus ERIS 4.5. Although all these products are quite expensive for what they really are.</v>
      </c>
    </row>
    <row r="14951">
      <c r="A14951" s="1">
        <v>5.0</v>
      </c>
      <c r="B14951" s="1" t="s">
        <v>14816</v>
      </c>
      <c r="C14951" t="str">
        <f>IFERROR(__xludf.DUMMYFUNCTION("GOOGLETRANSLATE(B14951, ""es"", ""en"")"),"They are a good sound you hear hooves bluethott very well and with great quality. I saw that the right we can use for independent left if we want to make calls only. The charging base further carries an internal battery that charges when the stopped using"&amp;". The battery life is good although we did not pass the 3 hours of continuous use. Neither is it possible to have a lot of battery in something so small, so the charging base to serve others to keep the load. In the sound good and calls too. Listen to us "&amp;"high and clear and although we can llagar to hear a bit far, is not problem helmets quite possibly be another problem to which mobile call. Overall good quality and at a very good price and excellent sound. I like it")</f>
        <v>They are a good sound you hear hooves bluethott very well and with great quality. I saw that the right we can use for independent left if we want to make calls only. The charging base further carries an internal battery that charges when the stopped using. The battery life is good although we did not pass the 3 hours of continuous use. Neither is it possible to have a lot of battery in something so small, so the charging base to serve others to keep the load. In the sound good and calls too. Listen to us high and clear and although we can llagar to hear a bit far, is not problem helmets quite possibly be another problem to which mobile call. Overall good quality and at a very good price and excellent sound. I like it</v>
      </c>
    </row>
    <row r="14952">
      <c r="A14952" s="1">
        <v>5.0</v>
      </c>
      <c r="B14952" s="1" t="s">
        <v>14817</v>
      </c>
      <c r="C14952" t="str">
        <f>IFERROR(__xludf.DUMMYFUNCTION("GOOGLETRANSLATE(B14952, ""es"", ""en"")"),"Very comfortable are very comfortable and óptimo.Muy sound very good value for money. Micrófono.Lo recommend is 100 x 100.")</f>
        <v>Very comfortable are very comfortable and óptimo.Muy sound very good value for money. Micrófono.Lo recommend is 100 x 100.</v>
      </c>
    </row>
    <row r="14953">
      <c r="A14953" s="1">
        <v>5.0</v>
      </c>
      <c r="B14953" s="1" t="s">
        <v>14818</v>
      </c>
      <c r="C14953" t="str">
        <f>IFERROR(__xludf.DUMMYFUNCTION("GOOGLETRANSLATE(B14953, ""es"", ""en"")"),"Excellent value The product came with a couple of days in advance. I have a iPhone 6 and the connection was simple. Once inserted into the iPhone application requests to start working. The application itself is simple, simpler than other models but easily"&amp;" meets its purpose. Pleasantly surprised to insert the subtitles in the videos. An excellent buy for money.")</f>
        <v>Excellent value The product came with a couple of days in advance. I have a iPhone 6 and the connection was simple. Once inserted into the iPhone application requests to start working. The application itself is simple, simpler than other models but easily meets its purpose. Pleasantly surprised to insert the subtitles in the videos. An excellent buy for money.</v>
      </c>
    </row>
    <row r="14954">
      <c r="A14954" s="1">
        <v>5.0</v>
      </c>
      <c r="B14954" s="1" t="s">
        <v>14819</v>
      </c>
      <c r="C14954" t="str">
        <f>IFERROR(__xludf.DUMMYFUNCTION("GOOGLETRANSLATE(B14954, ""es"", ""en"")"),"Very nice watch elegant watch. Simple and elegant. The area is quite large without being exaggerated. The strap may not be very strong but overall, very good value for money. Now, eventually, we will see whether to repeat. Better than the picture.")</f>
        <v>Very nice watch elegant watch. Simple and elegant. The area is quite large without being exaggerated. The strap may not be very strong but overall, very good value for money. Now, eventually, we will see whether to repeat. Better than the picture.</v>
      </c>
    </row>
    <row r="14955">
      <c r="A14955" s="1">
        <v>5.0</v>
      </c>
      <c r="B14955" s="1" t="s">
        <v>14820</v>
      </c>
      <c r="C14955" t="str">
        <f>IFERROR(__xludf.DUMMYFUNCTION("GOOGLETRANSLATE(B14955, ""es"", ""en"")"),"How easy and fast. Very easy and comfortable.")</f>
        <v>How easy and fast. Very easy and comfortable.</v>
      </c>
    </row>
    <row r="14956">
      <c r="A14956" s="1">
        <v>5.0</v>
      </c>
      <c r="B14956" s="1" t="s">
        <v>14821</v>
      </c>
      <c r="C14956" t="str">
        <f>IFERROR(__xludf.DUMMYFUNCTION("GOOGLETRANSLATE(B14956, ""es"", ""en"")"),"Punctuality and quality arrived on time and perfect")</f>
        <v>Punctuality and quality arrived on time and perfect</v>
      </c>
    </row>
    <row r="14957">
      <c r="A14957" s="1">
        <v>5.0</v>
      </c>
      <c r="B14957" s="1" t="s">
        <v>14822</v>
      </c>
      <c r="C14957" t="str">
        <f>IFERROR(__xludf.DUMMYFUNCTION("GOOGLETRANSLATE(B14957, ""es"", ""en"")"),"Massaging is a great electric massager designed for those seeking relief home convenient and easy neck pain, neck, shoulder, etc. The package includes everything you need to enjoy from the first moment a pleasant experience without purchasing extra access"&amp;"ories. The product is made of high quality materials with a perfect finish and a comfortable design and easy to adapt to our body so we can massage different areas without problems. Regarding operation, this is very intuitive and allows certain customizat"&amp;"ions that allow us to find the most pleasant massage that we find it. In that regard, I am very satisfied because with it you can choose massage speed and direction of this.")</f>
        <v>Massaging is a great electric massager designed for those seeking relief home convenient and easy neck pain, neck, shoulder, etc. The package includes everything you need to enjoy from the first moment a pleasant experience without purchasing extra accessories. The product is made of high quality materials with a perfect finish and a comfortable design and easy to adapt to our body so we can massage different areas without problems. Regarding operation, this is very intuitive and allows certain customizations that allow us to find the most pleasant massage that we find it. In that regard, I am very satisfied because with it you can choose massage speed and direction of this.</v>
      </c>
    </row>
    <row r="14958">
      <c r="A14958" s="1">
        <v>5.0</v>
      </c>
      <c r="B14958" s="1" t="s">
        <v>14823</v>
      </c>
      <c r="C14958" t="str">
        <f>IFERROR(__xludf.DUMMYFUNCTION("GOOGLETRANSLATE(B14958, ""es"", ""en"")"),"Casio. Excellent!!!")</f>
        <v>Casio. Excellent!!!</v>
      </c>
    </row>
    <row r="14959">
      <c r="A14959" s="1">
        <v>5.0</v>
      </c>
      <c r="B14959" s="1" t="s">
        <v>1425</v>
      </c>
      <c r="C14959" t="str">
        <f>IFERROR(__xludf.DUMMYFUNCTION("GOOGLETRANSLATE(B14959, ""es"", ""en"")"),"perfect perfect")</f>
        <v>perfect perfect</v>
      </c>
    </row>
    <row r="14960">
      <c r="A14960" s="1">
        <v>5.0</v>
      </c>
      <c r="B14960" s="1" t="s">
        <v>14824</v>
      </c>
      <c r="C14960" t="str">
        <f>IFERROR(__xludf.DUMMYFUNCTION("GOOGLETRANSLATE(B14960, ""es"", ""en"")"),"I love!! I love ... Sending right .... Very nice easy to put adapts to the wrist as far q need ... Would you purchase. Very good price")</f>
        <v>I love!! I love ... Sending right .... Very nice easy to put adapts to the wrist as far q need ... Would you purchase. Very good price</v>
      </c>
    </row>
    <row r="14961">
      <c r="A14961" s="1">
        <v>2.0</v>
      </c>
      <c r="B14961" s="1" t="s">
        <v>14825</v>
      </c>
      <c r="C14961" t="str">
        <f>IFERROR(__xludf.DUMMYFUNCTION("GOOGLETRANSLATE(B14961, ""es"", ""en"")"),"Another tetina have changed the nipple on this product. Before using these bottles and teats it was better")</f>
        <v>Another tetina have changed the nipple on this product. Before using these bottles and teats it was better</v>
      </c>
    </row>
    <row r="14962">
      <c r="A14962" s="1">
        <v>3.0</v>
      </c>
      <c r="B14962" s="1" t="s">
        <v>14826</v>
      </c>
      <c r="C14962" t="str">
        <f>IFERROR(__xludf.DUMMYFUNCTION("GOOGLETRANSLATE(B14962, ""es"", ""en"")"),"Correa and sphere to me more like the picture in person. The strap is too long and the sphere would be better if it were a little bigger. Overall good.")</f>
        <v>Correa and sphere to me more like the picture in person. The strap is too long and the sphere would be better if it were a little bigger. Overall good.</v>
      </c>
    </row>
    <row r="14963">
      <c r="A14963" s="1">
        <v>3.0</v>
      </c>
      <c r="B14963" s="1" t="s">
        <v>14827</v>
      </c>
      <c r="C14963" t="str">
        <f>IFERROR(__xludf.DUMMYFUNCTION("GOOGLETRANSLATE(B14963, ""es"", ""en"")"),"Some in ear basic (upgradable) For me caught walking / running, and I to personally in ear to the ""air"" for sports to my personally me out of the ears hence I bought them with hooks. Pros: pretty good sound quality (not high quality). Hooks to grab the "&amp;"ear. Cons: The cable seems fragile, will also because of increased twisted cables other headphones. Improvements: the hooks were moldable (internal wiring). Volume control on the cable. Braided cable.")</f>
        <v>Some in ear basic (upgradable) For me caught walking / running, and I to personally in ear to the "air" for sports to my personally me out of the ears hence I bought them with hooks. Pros: pretty good sound quality (not high quality). Hooks to grab the ear. Cons: The cable seems fragile, will also because of increased twisted cables other headphones. Improvements: the hooks were moldable (internal wiring). Volume control on the cable. Braided cable.</v>
      </c>
    </row>
    <row r="14964">
      <c r="A14964" s="1">
        <v>1.0</v>
      </c>
      <c r="B14964" s="1" t="s">
        <v>14828</v>
      </c>
      <c r="C14964" t="str">
        <f>IFERROR(__xludf.DUMMYFUNCTION("GOOGLETRANSLATE(B14964, ""es"", ""en"")"),"Poor durability A few uses began to smell of burning and stopped working.")</f>
        <v>Poor durability A few uses began to smell of burning and stopped working.</v>
      </c>
    </row>
    <row r="14965">
      <c r="A14965" s="1">
        <v>1.0</v>
      </c>
      <c r="B14965" s="1" t="s">
        <v>14829</v>
      </c>
      <c r="C14965" t="str">
        <f>IFERROR(__xludf.DUMMYFUNCTION("GOOGLETRANSLATE(B14965, ""es"", ""en"")"),"Q bad experience I had her back and failing command and off ....")</f>
        <v>Q bad experience I had her back and failing command and off ....</v>
      </c>
    </row>
    <row r="14966">
      <c r="A14966" s="1">
        <v>1.0</v>
      </c>
      <c r="B14966" s="1" t="s">
        <v>14830</v>
      </c>
      <c r="C14966" t="str">
        <f>IFERROR(__xludf.DUMMYFUNCTION("GOOGLETRANSLATE(B14966, ""es"", ""en"")"),"pesimo The design is so bad that the tape always (ALWAYS !!) is wound on itself. To use it you have to unroll the first centimeters hand, stick it on the surface and then fix. ... It is not easy to explain, but anyone who has purchased this Banding know w"&amp;"hat I mean. RECOMMEND purchase.")</f>
        <v>pesimo The design is so bad that the tape always (ALWAYS !!) is wound on itself. To use it you have to unroll the first centimeters hand, stick it on the surface and then fix. ... It is not easy to explain, but anyone who has purchased this Banding know what I mean. RECOMMEND purchase.</v>
      </c>
    </row>
    <row r="14967">
      <c r="A14967" s="1">
        <v>4.0</v>
      </c>
      <c r="B14967" s="1" t="s">
        <v>14831</v>
      </c>
      <c r="C14967" t="str">
        <f>IFERROR(__xludf.DUMMYFUNCTION("GOOGLETRANSLATE(B14967, ""es"", ""en"")"),"A trusted brand. Very complete with all necessary accessories.")</f>
        <v>A trusted brand. Very complete with all necessary accessories.</v>
      </c>
    </row>
    <row r="14968">
      <c r="A14968" s="1">
        <v>4.0</v>
      </c>
      <c r="B14968" s="1" t="s">
        <v>14832</v>
      </c>
      <c r="C14968" t="str">
        <f>IFERROR(__xludf.DUMMYFUNCTION("GOOGLETRANSLATE(B14968, ""es"", ""en"")"),"Good product texture and pleasant smell, good price-quality relationship. Once dry is hardened, it is easy to remove with a sponge")</f>
        <v>Good product texture and pleasant smell, good price-quality relationship. Once dry is hardened, it is easy to remove with a sponge</v>
      </c>
    </row>
    <row r="14969">
      <c r="A14969" s="1">
        <v>4.0</v>
      </c>
      <c r="B14969" s="1" t="s">
        <v>14833</v>
      </c>
      <c r="C14969" t="str">
        <f>IFERROR(__xludf.DUMMYFUNCTION("GOOGLETRANSLATE(B14969, ""es"", ""en"")"),"Plastic comfortable I've already bought several Bluetooth headsets and I end up falling ears. Until now! They are the most comfortable I've tried so far because the flap is in the back of the handset and pushes it forward. This accomplishes two things, th"&amp;"ey do not fall and that serious better listen. The sound is acceptable. I use them mainly for listening to audio books during work well. The materials are very simple and looks like a toy box. That if loads very fast, I guess the battery is small. As for "&amp;"battery life will update the comment in a few days when you have tried so exhausting and I commented. Upgrade. Three hours of audio. Not bad for what light they are. Please give a useful 😉")</f>
        <v>Plastic comfortable I've already bought several Bluetooth headsets and I end up falling ears. Until now! They are the most comfortable I've tried so far because the flap is in the back of the handset and pushes it forward. This accomplishes two things, they do not fall and that serious better listen. The sound is acceptable. I use them mainly for listening to audio books during work well. The materials are very simple and looks like a toy box. That if loads very fast, I guess the battery is small. As for battery life will update the comment in a few days when you have tried so exhausting and I commented. Upgrade. Three hours of audio. Not bad for what light they are. Please give a useful 😉</v>
      </c>
    </row>
    <row r="14970">
      <c r="A14970" s="1">
        <v>4.0</v>
      </c>
      <c r="B14970" s="1" t="s">
        <v>14834</v>
      </c>
      <c r="C14970" t="str">
        <f>IFERROR(__xludf.DUMMYFUNCTION("GOOGLETRANSLATE(B14970, ""es"", ""en"")"),"It's not what I thought. In foods such as chicken, meat etc .. You have to throw enough liquid because it remains locked. It just to do things that are not very compact.")</f>
        <v>It's not what I thought. In foods such as chicken, meat etc .. You have to throw enough liquid because it remains locked. It just to do things that are not very compact.</v>
      </c>
    </row>
    <row r="14971">
      <c r="A14971" s="1">
        <v>5.0</v>
      </c>
      <c r="B14971" s="1" t="s">
        <v>14835</v>
      </c>
      <c r="C14971" t="str">
        <f>IFERROR(__xludf.DUMMYFUNCTION("GOOGLETRANSLATE(B14971, ""es"", ""en"")"),"I loved. It is very elegant Perfect. Of good quality")</f>
        <v>I loved. It is very elegant Perfect. Of good quality</v>
      </c>
    </row>
    <row r="14972">
      <c r="A14972" s="1">
        <v>5.0</v>
      </c>
      <c r="B14972" s="1" t="s">
        <v>14836</v>
      </c>
      <c r="C14972" t="str">
        <f>IFERROR(__xludf.DUMMYFUNCTION("GOOGLETRANSLATE(B14972, ""es"", ""en"")"),"The best and most intelligent Without a doubt is the best robot vacuum cleaner market, I could test the Xiaomi and Roomba 981 and above this to them handsomely.")</f>
        <v>The best and most intelligent Without a doubt is the best robot vacuum cleaner market, I could test the Xiaomi and Roomba 981 and above this to them handsomely.</v>
      </c>
    </row>
    <row r="14973">
      <c r="A14973" s="1">
        <v>5.0</v>
      </c>
      <c r="B14973" s="1" t="s">
        <v>14837</v>
      </c>
      <c r="C14973" t="str">
        <f>IFERROR(__xludf.DUMMYFUNCTION("GOOGLETRANSLATE(B14973, ""es"", ""en"")"),"I liked good buy because it is a finite string but is strong and quality. The delivery was estimated date and correct packing")</f>
        <v>I liked good buy because it is a finite string but is strong and quality. The delivery was estimated date and correct packing</v>
      </c>
    </row>
    <row r="14974">
      <c r="A14974" s="1">
        <v>5.0</v>
      </c>
      <c r="B14974" s="1" t="s">
        <v>14838</v>
      </c>
      <c r="C14974" t="str">
        <f>IFERROR(__xludf.DUMMYFUNCTION("GOOGLETRANSLATE(B14974, ""es"", ""en"")"),"Good 100% Fits the image is very comfortable and easy to install and use. Would buy")</f>
        <v>Good 100% Fits the image is very comfortable and easy to install and use. Would buy</v>
      </c>
    </row>
    <row r="14975">
      <c r="A14975" s="1">
        <v>5.0</v>
      </c>
      <c r="B14975" s="1" t="s">
        <v>14839</v>
      </c>
      <c r="C14975" t="str">
        <f>IFERROR(__xludf.DUMMYFUNCTION("GOOGLETRANSLATE(B14975, ""es"", ""en"")"),"It is the perfect regale my daughter and is very nice, the chain has as silver beads making it more original. The size is small but my understanding is perfect with chain")</f>
        <v>It is the perfect regale my daughter and is very nice, the chain has as silver beads making it more original. The size is small but my understanding is perfect with chain</v>
      </c>
    </row>
    <row r="14976">
      <c r="A14976" s="1">
        <v>5.0</v>
      </c>
      <c r="B14976" s="1" t="s">
        <v>14840</v>
      </c>
      <c r="C14976" t="str">
        <f>IFERROR(__xludf.DUMMYFUNCTION("GOOGLETRANSLATE(B14976, ""es"", ""en"")"),"Easy to erase Easy to erase and no marks of the pen")</f>
        <v>Easy to erase Easy to erase and no marks of the pen</v>
      </c>
    </row>
    <row r="14977">
      <c r="A14977" s="1">
        <v>5.0</v>
      </c>
      <c r="B14977" s="1" t="s">
        <v>14841</v>
      </c>
      <c r="C14977" t="str">
        <f>IFERROR(__xludf.DUMMYFUNCTION("GOOGLETRANSLATE(B14977, ""es"", ""en"")"),"corresponds to the description perfect and great value for money")</f>
        <v>corresponds to the description perfect and great value for money</v>
      </c>
    </row>
    <row r="14978">
      <c r="A14978" s="1">
        <v>5.0</v>
      </c>
      <c r="B14978" s="1" t="s">
        <v>14842</v>
      </c>
      <c r="C14978" t="str">
        <f>IFERROR(__xludf.DUMMYFUNCTION("GOOGLETRANSLATE(B14978, ""es"", ""en"")"),"Small and elegant is small and elegant, when given the light reflects all the colors of the rainbow")</f>
        <v>Small and elegant is small and elegant, when given the light reflects all the colors of the rainbow</v>
      </c>
    </row>
    <row r="14979">
      <c r="A14979" s="1">
        <v>5.0</v>
      </c>
      <c r="B14979" s="1" t="s">
        <v>14843</v>
      </c>
      <c r="C14979" t="str">
        <f>IFERROR(__xludf.DUMMYFUNCTION("GOOGLETRANSLATE(B14979, ""es"", ""en"")"),"Casio Ideal to go to the gym and pool, and also to work, not heavy and not notice you're wearing it. Functional and practical, and with a vintage touch ochentero.")</f>
        <v>Casio Ideal to go to the gym and pool, and also to work, not heavy and not notice you're wearing it. Functional and practical, and with a vintage touch ochentero.</v>
      </c>
    </row>
    <row r="14980">
      <c r="A14980" s="1">
        <v>5.0</v>
      </c>
      <c r="B14980" s="1" t="s">
        <v>14844</v>
      </c>
      <c r="C14980" t="str">
        <f>IFERROR(__xludf.DUMMYFUNCTION("GOOGLETRANSLATE(B14980, ""es"", ""en"")"),"Very Good Perfect")</f>
        <v>Very Good Perfect</v>
      </c>
    </row>
    <row r="14981">
      <c r="A14981" s="1">
        <v>5.0</v>
      </c>
      <c r="B14981" s="1" t="s">
        <v>14845</v>
      </c>
      <c r="C14981" t="str">
        <f>IFERROR(__xludf.DUMMYFUNCTION("GOOGLETRANSLATE(B14981, ""es"", ""en"")"),"Loved facial mask! I leave the skin soft, smooth and clean face")</f>
        <v>Loved facial mask! I leave the skin soft, smooth and clean face</v>
      </c>
    </row>
    <row r="14982">
      <c r="A14982" s="1">
        <v>5.0</v>
      </c>
      <c r="B14982" s="1" t="s">
        <v>14846</v>
      </c>
      <c r="C14982" t="str">
        <f>IFERROR(__xludf.DUMMYFUNCTION("GOOGLETRANSLATE(B14982, ""es"", ""en"")"),"Comodo, desenho skin and well-made, durable and good desenho")</f>
        <v>Comodo, desenho skin and well-made, durable and good desenho</v>
      </c>
    </row>
    <row r="14983">
      <c r="A14983" s="1">
        <v>5.0</v>
      </c>
      <c r="B14983" s="1" t="s">
        <v>14847</v>
      </c>
      <c r="C14983" t="str">
        <f>IFERROR(__xludf.DUMMYFUNCTION("GOOGLETRANSLATE(B14983, ""es"", ""en"")"),"Aesthetics and sturdiness 10 As always, I have two other peers of different color and that I love the 3.Precioso and perfect, to the next day I had at home")</f>
        <v>Aesthetics and sturdiness 10 As always, I have two other peers of different color and that I love the 3.Precioso and perfect, to the next day I had at home</v>
      </c>
    </row>
    <row r="14984">
      <c r="A14984" s="1">
        <v>5.0</v>
      </c>
      <c r="B14984" s="1" t="s">
        <v>14848</v>
      </c>
      <c r="C14984" t="str">
        <f>IFERROR(__xludf.DUMMYFUNCTION("GOOGLETRANSLATE(B14984, ""es"", ""en"")"),"Packing tape rolls Actually they are good rolls of packing tape We have put 5 stars because I love above all for those who need to send several packages a day. What you recomiendos")</f>
        <v>Packing tape rolls Actually they are good rolls of packing tape We have put 5 stars because I love above all for those who need to send several packages a day. What you recomiendos</v>
      </c>
    </row>
    <row r="14985">
      <c r="A14985" s="1">
        <v>5.0</v>
      </c>
      <c r="B14985" s="1" t="s">
        <v>14849</v>
      </c>
      <c r="C14985" t="str">
        <f>IFERROR(__xludf.DUMMYFUNCTION("GOOGLETRANSLATE(B14985, ""es"", ""en"")"),"It does not come in Spanish The problem, lack of instructions in Spanish. The look and the sound quality is very good, you can reduce or cancel the echo. It is paired nicely with the PC, tablet or smartphone for use with the songs karaoke youtube. I recom"&amp;"mend it for any age.")</f>
        <v>It does not come in Spanish The problem, lack of instructions in Spanish. The look and the sound quality is very good, you can reduce or cancel the echo. It is paired nicely with the PC, tablet or smartphone for use with the songs karaoke youtube. I recommend it for any age.</v>
      </c>
    </row>
    <row r="14986">
      <c r="A14986" s="1">
        <v>5.0</v>
      </c>
      <c r="B14986" s="1" t="s">
        <v>14850</v>
      </c>
      <c r="C14986" t="str">
        <f>IFERROR(__xludf.DUMMYFUNCTION("GOOGLETRANSLATE(B14986, ""es"", ""en"")"),"well OK")</f>
        <v>well OK</v>
      </c>
    </row>
    <row r="14987">
      <c r="A14987" s="1">
        <v>5.0</v>
      </c>
      <c r="B14987" s="1" t="s">
        <v>14851</v>
      </c>
      <c r="C14987" t="str">
        <f>IFERROR(__xludf.DUMMYFUNCTION("GOOGLETRANSLATE(B14987, ""es"", ""en"")"),"Such a reading very great speed as I read in other reviews, the speed giving the test is 450Mb / s. I use it to read virtual instruments for Kontakt, and works perfectly. Do not heat or make any noise. It is very small.")</f>
        <v>Such a reading very great speed as I read in other reviews, the speed giving the test is 450Mb / s. I use it to read virtual instruments for Kontakt, and works perfectly. Do not heat or make any noise. It is very small.</v>
      </c>
    </row>
    <row r="14988">
      <c r="A14988" s="1">
        <v>5.0</v>
      </c>
      <c r="B14988" s="1" t="s">
        <v>14852</v>
      </c>
      <c r="C14988" t="str">
        <f>IFERROR(__xludf.DUMMYFUNCTION("GOOGLETRANSLATE(B14988, ""es"", ""en"")"),"Elegant and good headphones are different are different from others AirPods have a very elegant design, the clean sound, are comfortable to wear, the case is perfect and small enough to carry in your pocket. Last load quickly and fairly.")</f>
        <v>Elegant and good headphones are different are different from others AirPods have a very elegant design, the clean sound, are comfortable to wear, the case is perfect and small enough to carry in your pocket. Last load quickly and fairly.</v>
      </c>
    </row>
    <row r="14989">
      <c r="A14989" s="1">
        <v>2.0</v>
      </c>
      <c r="B14989" s="1" t="s">
        <v>14853</v>
      </c>
      <c r="C14989" t="str">
        <f>IFERROR(__xludf.DUMMYFUNCTION("GOOGLETRANSLATE(B14989, ""es"", ""en"")"),"Psche. Nothing you comfortable. Very basic model. Flat template, nothing to do with aesthetically similar shoes, which are much more comfortable, for example a levi's or even a adidas. They are not uncomfortable, because you can put on and there is no pro"&amp;"blem, you can walk with them, but certainly are sooooooooo far from being classified as ""comfortable"". The template is fully (or almost) flat and does not conform to the shape of the foot. Nothing to do with models Nike running or even casual .. I was l"&amp;"ucky to buy them at a tremendous offer, 24.95 € and that makes your tolerance threshold is much higher. If I pay 60 € for this m ** rda would cag ** dome at all. The sizing is good, respects I have used most of the footwear throughout life. Neither large "&amp;"nor small size.")</f>
        <v>Psche. Nothing you comfortable. Very basic model. Flat template, nothing to do with aesthetically similar shoes, which are much more comfortable, for example a levi's or even a adidas. They are not uncomfortable, because you can put on and there is no problem, you can walk with them, but certainly are sooooooooo far from being classified as "comfortable". The template is fully (or almost) flat and does not conform to the shape of the foot. Nothing to do with models Nike running or even casual .. I was lucky to buy them at a tremendous offer, 24.95 € and that makes your tolerance threshold is much higher. If I pay 60 € for this m ** rda would cag ** dome at all. The sizing is good, respects I have used most of the footwear throughout life. Neither large nor small size.</v>
      </c>
    </row>
    <row r="14990">
      <c r="A14990" s="1">
        <v>3.0</v>
      </c>
      <c r="B14990" s="1" t="s">
        <v>14854</v>
      </c>
      <c r="C14990" t="str">
        <f>IFERROR(__xludf.DUMMYFUNCTION("GOOGLETRANSLATE(B14990, ""es"", ""en"")"),"Low compression low compression It seemed they were, but they are normal meshes. Alphaskin sell it, but the label says Techfit. I also read that the size was small and has not been the case. Look at the Adidas size chart that is more reliable. For what th"&amp;"ey are worth, well ...")</f>
        <v>Low compression low compression It seemed they were, but they are normal meshes. Alphaskin sell it, but the label says Techfit. I also read that the size was small and has not been the case. Look at the Adidas size chart that is more reliable. For what they are worth, well ...</v>
      </c>
    </row>
    <row r="14991">
      <c r="A14991" s="1">
        <v>3.0</v>
      </c>
      <c r="B14991" s="1" t="s">
        <v>14855</v>
      </c>
      <c r="C14991" t="str">
        <f>IFERROR(__xludf.DUMMYFUNCTION("GOOGLETRANSLATE(B14991, ""es"", ""en"")"),"Regular plastic looks and sounds much qhe ajusges it as if loose")</f>
        <v>Regular plastic looks and sounds much qhe ajusges it as if loose</v>
      </c>
    </row>
    <row r="14992">
      <c r="A14992" s="1">
        <v>1.0</v>
      </c>
      <c r="B14992" s="1" t="s">
        <v>14856</v>
      </c>
      <c r="C14992" t="str">
        <f>IFERROR(__xludf.DUMMYFUNCTION("GOOGLETRANSLATE(B14992, ""es"", ""en"")"),"It comes small size small size")</f>
        <v>It comes small size small size</v>
      </c>
    </row>
    <row r="14993">
      <c r="A14993" s="1">
        <v>1.0</v>
      </c>
      <c r="B14993" s="1" t="s">
        <v>14857</v>
      </c>
      <c r="C14993" t="str">
        <f>IFERROR(__xludf.DUMMYFUNCTION("GOOGLETRANSLATE(B14993, ""es"", ""en"")"),"Disillusioned I ordered a size 28 and when I came not entered her foot to my daughter because faba one 26. Very very small")</f>
        <v>Disillusioned I ordered a size 28 and when I came not entered her foot to my daughter because faba one 26. Very very small</v>
      </c>
    </row>
    <row r="14994">
      <c r="A14994" s="1">
        <v>4.0</v>
      </c>
      <c r="B14994" s="1" t="s">
        <v>14858</v>
      </c>
      <c r="C14994" t="str">
        <f>IFERROR(__xludf.DUMMYFUNCTION("GOOGLETRANSLATE(B14994, ""es"", ""en"")"),"Very good Everything great and super fast delivery")</f>
        <v>Very good Everything great and super fast delivery</v>
      </c>
    </row>
    <row r="14995">
      <c r="A14995" s="1">
        <v>4.0</v>
      </c>
      <c r="B14995" s="1" t="s">
        <v>14859</v>
      </c>
      <c r="C14995" t="str">
        <f>IFERROR(__xludf.DUMMYFUNCTION("GOOGLETRANSLATE(B14995, ""es"", ""en"")"),"Recommended The construction is very good, with quality materials, finished stainless steel and hard plastic. Heats the water relatively quickly, in about two minutes (less if it is small amount, which brings to a useful indicator inside), and keeps it wa"&amp;"rm. It is very useful when you need to heat large amounts of water, maybe not for individual infusions, but for some niggles in kitchen sometimes it's very handy.")</f>
        <v>Recommended The construction is very good, with quality materials, finished stainless steel and hard plastic. Heats the water relatively quickly, in about two minutes (less if it is small amount, which brings to a useful indicator inside), and keeps it warm. It is very useful when you need to heat large amounts of water, maybe not for individual infusions, but for some niggles in kitchen sometimes it's very handy.</v>
      </c>
    </row>
    <row r="14996">
      <c r="A14996" s="1">
        <v>4.0</v>
      </c>
      <c r="B14996" s="1" t="s">
        <v>14860</v>
      </c>
      <c r="C14996" t="str">
        <f>IFERROR(__xludf.DUMMYFUNCTION("GOOGLETRANSLATE(B14996, ""es"", ""en"")"),"Simple but beautiful I bought these earrings for a gift, are silver, beautiful and resultones. I made a picture to compare it with a piece of 5cts €., So you can see the actual size of these earrings, big or small. Closures earrings are not threaded, pres"&amp;"sure and will I get the feeling they are a bit small, but the truth is that for the price it are fine to have a detail.")</f>
        <v>Simple but beautiful I bought these earrings for a gift, are silver, beautiful and resultones. I made a picture to compare it with a piece of 5cts €., So you can see the actual size of these earrings, big or small. Closures earrings are not threaded, pressure and will I get the feeling they are a bit small, but the truth is that for the price it are fine to have a detail.</v>
      </c>
    </row>
    <row r="14997">
      <c r="A14997" s="1">
        <v>4.0</v>
      </c>
      <c r="B14997" s="1" t="s">
        <v>14861</v>
      </c>
      <c r="C14997" t="str">
        <f>IFERROR(__xludf.DUMMYFUNCTION("GOOGLETRANSLATE(B14997, ""es"", ""en"")"),"USB USB Magnifico good. Perfect to engage in a tablet or mobile. Even a PC. Perhaps get some failure, I would say that the tab does not seem effective enough. To do some strength.")</f>
        <v>USB USB Magnifico good. Perfect to engage in a tablet or mobile. Even a PC. Perhaps get some failure, I would say that the tab does not seem effective enough. To do some strength.</v>
      </c>
    </row>
    <row r="14998">
      <c r="A14998" s="1">
        <v>4.0</v>
      </c>
      <c r="B14998" s="1" t="s">
        <v>14862</v>
      </c>
      <c r="C14998" t="str">
        <f>IFERROR(__xludf.DUMMYFUNCTION("GOOGLETRANSLATE(B14998, ""es"", ""en"")"),"Convenient and comfortable clean and easy way to fix wall posters, even allowing removed and put in different places without stains or damage to the walls. Very practical.")</f>
        <v>Convenient and comfortable clean and easy way to fix wall posters, even allowing removed and put in different places without stains or damage to the walls. Very practical.</v>
      </c>
    </row>
    <row r="14999">
      <c r="A14999" s="1">
        <v>5.0</v>
      </c>
      <c r="B14999" s="1" t="s">
        <v>14863</v>
      </c>
      <c r="C14999" t="str">
        <f>IFERROR(__xludf.DUMMYFUNCTION("GOOGLETRANSLATE(B14999, ""es"", ""en"")"),"Are great are super comfortable very soft fabric and beautiful colors. Happy with purchase. Thank you")</f>
        <v>Are great are super comfortable very soft fabric and beautiful colors. Happy with purchase. Thank you</v>
      </c>
    </row>
    <row r="15000">
      <c r="A15000" s="1">
        <v>5.0</v>
      </c>
      <c r="B15000" s="1" t="s">
        <v>14864</v>
      </c>
      <c r="C15000" t="str">
        <f>IFERROR(__xludf.DUMMYFUNCTION("GOOGLETRANSLATE(B15000, ""es"", ""en"")"),"Very handsome! Very handsome, simple and pratico! It's size man, but looks good women!")</f>
        <v>Very handsome! Very handsome, simple and pratico! It's size man, but looks good women!</v>
      </c>
    </row>
    <row r="15001">
      <c r="A15001" s="1">
        <v>5.0</v>
      </c>
      <c r="B15001" s="1" t="s">
        <v>14865</v>
      </c>
      <c r="C15001" t="str">
        <f>IFERROR(__xludf.DUMMYFUNCTION("GOOGLETRANSLATE(B15001, ""es"", ""en"")"),"Good price / quality ratio Easy to use, lightweight, good battery life and very acceptable sound at a very affordable price.")</f>
        <v>Good price / quality ratio Easy to use, lightweight, good battery life and very acceptable sound at a very affordable price.</v>
      </c>
    </row>
    <row r="15002">
      <c r="A15002" s="1">
        <v>5.0</v>
      </c>
      <c r="B15002" s="1" t="s">
        <v>14866</v>
      </c>
      <c r="C15002" t="str">
        <f>IFERROR(__xludf.DUMMYFUNCTION("GOOGLETRANSLATE(B15002, ""es"", ""en"")"),"CONVERSE The shirts arrived on schedule. They are as expected. With all there is to be careful with the sizes that are large carving (I use a 38 and had to take a 37). Good value for money.")</f>
        <v>CONVERSE The shirts arrived on schedule. They are as expected. With all there is to be careful with the sizes that are large carving (I use a 38 and had to take a 37). Good value for money.</v>
      </c>
    </row>
    <row r="15003">
      <c r="A15003" s="1">
        <v>5.0</v>
      </c>
      <c r="B15003" s="1" t="s">
        <v>14867</v>
      </c>
      <c r="C15003" t="str">
        <f>IFERROR(__xludf.DUMMYFUNCTION("GOOGLETRANSLATE(B15003, ""es"", ""en"")"),"It looks very good quality with very good finishes is not exactly small, as indicated by their actions. The cognac colored finish is very nice. Inside zip is what I was looking for safety, I think it is a key element. I got back to buy a case of the same "&amp;"brand. I'm very happy.")</f>
        <v>It looks very good quality with very good finishes is not exactly small, as indicated by their actions. The cognac colored finish is very nice. Inside zip is what I was looking for safety, I think it is a key element. I got back to buy a case of the same brand. I'm very happy.</v>
      </c>
    </row>
    <row r="15004">
      <c r="A15004" s="1">
        <v>5.0</v>
      </c>
      <c r="B15004" s="1" t="s">
        <v>14868</v>
      </c>
      <c r="C15004" t="str">
        <f>IFERROR(__xludf.DUMMYFUNCTION("GOOGLETRANSLATE(B15004, ""es"", ""en"")"),"Well, nice and cheap Great price. Quality already knew.")</f>
        <v>Well, nice and cheap Great price. Quality already knew.</v>
      </c>
    </row>
    <row r="15005">
      <c r="A15005" s="1">
        <v>5.0</v>
      </c>
      <c r="B15005" s="1" t="s">
        <v>14869</v>
      </c>
      <c r="C15005" t="str">
        <f>IFERROR(__xludf.DUMMYFUNCTION("GOOGLETRANSLATE(B15005, ""es"", ""en"")"),"The fastest that I have the fastest I have, if I could have bought the 128GB")</f>
        <v>The fastest that I have the fastest I have, if I could have bought the 128GB</v>
      </c>
    </row>
    <row r="15006">
      <c r="A15006" s="1">
        <v>5.0</v>
      </c>
      <c r="B15006" s="1" t="s">
        <v>14870</v>
      </c>
      <c r="C15006" t="str">
        <f>IFERROR(__xludf.DUMMYFUNCTION("GOOGLETRANSLATE(B15006, ""es"", ""en"")"),"Best Buy impossible. Magnificas boots. Its cost is worth it. Boots comfortable and elegant. You need time to get settled them after that. I think I'll boots for life.")</f>
        <v>Best Buy impossible. Magnificas boots. Its cost is worth it. Boots comfortable and elegant. You need time to get settled them after that. I think I'll boots for life.</v>
      </c>
    </row>
    <row r="15007">
      <c r="A15007" s="1">
        <v>5.0</v>
      </c>
      <c r="B15007" s="1" t="s">
        <v>14871</v>
      </c>
      <c r="C15007" t="str">
        <f>IFERROR(__xludf.DUMMYFUNCTION("GOOGLETRANSLATE(B15007, ""es"", ""en"")"),"The mechanism does not work well is forever no matter q take you or not but there is always q be putting it on time, very nice but I feel ripped off")</f>
        <v>The mechanism does not work well is forever no matter q take you or not but there is always q be putting it on time, very nice but I feel ripped off</v>
      </c>
    </row>
    <row r="15008">
      <c r="A15008" s="1">
        <v>5.0</v>
      </c>
      <c r="B15008" s="1" t="s">
        <v>14872</v>
      </c>
      <c r="C15008" t="str">
        <f>IFERROR(__xludf.DUMMYFUNCTION("GOOGLETRANSLATE(B15008, ""es"", ""en"")"),"All right cheap. Good price")</f>
        <v>All right cheap. Good price</v>
      </c>
    </row>
    <row r="15009">
      <c r="A15009" s="1">
        <v>5.0</v>
      </c>
      <c r="B15009" s="1" t="s">
        <v>14873</v>
      </c>
      <c r="C15009" t="str">
        <f>IFERROR(__xludf.DUMMYFUNCTION("GOOGLETRANSLATE(B15009, ""es"", ""en"")"),"I really like is a little more cumbersome to use and clean, but I like a lot and my baby too, very easily hooked to it and then my chest. It makes you eat a little slower and quiet, which makes DESCASE better. Buy recommended.")</f>
        <v>I really like is a little more cumbersome to use and clean, but I like a lot and my baby too, very easily hooked to it and then my chest. It makes you eat a little slower and quiet, which makes DESCASE better. Buy recommended.</v>
      </c>
    </row>
    <row r="15010">
      <c r="A15010" s="1">
        <v>5.0</v>
      </c>
      <c r="B15010" s="1" t="s">
        <v>14874</v>
      </c>
      <c r="C15010" t="str">
        <f>IFERROR(__xludf.DUMMYFUNCTION("GOOGLETRANSLATE(B15010, ""es"", ""en"")"),"It goes very well Great")</f>
        <v>It goes very well Great</v>
      </c>
    </row>
    <row r="15011">
      <c r="A15011" s="1">
        <v>5.0</v>
      </c>
      <c r="B15011" s="1" t="s">
        <v>14875</v>
      </c>
      <c r="C15011" t="str">
        <f>IFERROR(__xludf.DUMMYFUNCTION("GOOGLETRANSLATE(B15011, ""es"", ""en"")"),"Simply perfect complement quality")</f>
        <v>Simply perfect complement quality</v>
      </c>
    </row>
    <row r="15012">
      <c r="A15012" s="1">
        <v>5.0</v>
      </c>
      <c r="B15012" s="1" t="s">
        <v>14876</v>
      </c>
      <c r="C15012" t="str">
        <f>IFERROR(__xludf.DUMMYFUNCTION("GOOGLETRANSLATE(B15012, ""es"", ""en"")"),"👶🍼Pequeño, quality and safe. Perfect for a bebé👶🍼 technology advances. My small gave me an ordinary bottle, but for the time that the teat, it was a breakthrough. Because today everything improves, and bottles too, apparently is better one small and w"&amp;"ith a nipple that makes that the more liquid, at a steadier pace and with less air. All focused on our baby as better and grow faster and stronger. These little details will make our son has less eyedrops, and if you eat well, it will also be easier to sl"&amp;"eep better (he, like us). Of course the best of this article is that quality belongs to a brand that is dedicated to this and is sold through a reputable dealer. Much cheaper than if you buy herself a pharmacy or drugstore while maintaining the quality th"&amp;"at our baby needs and deserves")</f>
        <v>👶🍼Pequeño, quality and safe. Perfect for a bebé👶🍼 technology advances. My small gave me an ordinary bottle, but for the time that the teat, it was a breakthrough. Because today everything improves, and bottles too, apparently is better one small and with a nipple that makes that the more liquid, at a steadier pace and with less air. All focused on our baby as better and grow faster and stronger. These little details will make our son has less eyedrops, and if you eat well, it will also be easier to sleep better (he, like us). Of course the best of this article is that quality belongs to a brand that is dedicated to this and is sold through a reputable dealer. Much cheaper than if you buy herself a pharmacy or drugstore while maintaining the quality that our baby needs and deserves</v>
      </c>
    </row>
    <row r="15013">
      <c r="A15013" s="1">
        <v>5.0</v>
      </c>
      <c r="B15013" s="1" t="s">
        <v>14877</v>
      </c>
      <c r="C15013" t="str">
        <f>IFERROR(__xludf.DUMMYFUNCTION("GOOGLETRANSLATE(B15013, ""es"", ""en"")"),"Relieves I liked it very effective to relieve neck and back pain, which has several speeds and especially heat. I also like that it's like leather and cleaned very well. Repeat, sure.")</f>
        <v>Relieves I liked it very effective to relieve neck and back pain, which has several speeds and especially heat. I also like that it's like leather and cleaned very well. Repeat, sure.</v>
      </c>
    </row>
    <row r="15014">
      <c r="A15014" s="1">
        <v>5.0</v>
      </c>
      <c r="B15014" s="1" t="s">
        <v>14878</v>
      </c>
      <c r="C15014" t="str">
        <f>IFERROR(__xludf.DUMMYFUNCTION("GOOGLETRANSLATE(B15014, ""es"", ""en"")"),"Freshening and hard enough Very comfortable meets the characteristics that indicate")</f>
        <v>Freshening and hard enough Very comfortable meets the characteristics that indicate</v>
      </c>
    </row>
    <row r="15015">
      <c r="A15015" s="1">
        <v>5.0</v>
      </c>
      <c r="B15015" s="1" t="s">
        <v>14879</v>
      </c>
      <c r="C15015" t="str">
        <f>IFERROR(__xludf.DUMMYFUNCTION("GOOGLETRANSLATE(B15015, ""es"", ""en"")"),"Good price for great great ability. No noise and it is totally manageable.")</f>
        <v>Good price for great great ability. No noise and it is totally manageable.</v>
      </c>
    </row>
    <row r="15016">
      <c r="A15016" s="1">
        <v>5.0</v>
      </c>
      <c r="B15016" s="1" t="s">
        <v>14880</v>
      </c>
      <c r="C15016" t="str">
        <f>IFERROR(__xludf.DUMMYFUNCTION("GOOGLETRANSLATE(B15016, ""es"", ""en"")"),"Excellent quality and excellent aesthetic quality and aesthetics, I recommend asking for a size or two sizes larger than is usually used (I had to return twice the order). It is a tight shoe, but when you have the right size is perfect. Made with clean, i"&amp;"mpervious material. Very elegant and casual shoe for use. I recommend it to everyone. It comes in its box correctly.")</f>
        <v>Excellent quality and excellent aesthetic quality and aesthetics, I recommend asking for a size or two sizes larger than is usually used (I had to return twice the order). It is a tight shoe, but when you have the right size is perfect. Made with clean, impervious material. Very elegant and casual shoe for use. I recommend it to everyone. It comes in its box correctly.</v>
      </c>
    </row>
    <row r="15017">
      <c r="A15017" s="1">
        <v>5.0</v>
      </c>
      <c r="B15017" s="1" t="s">
        <v>14881</v>
      </c>
      <c r="C15017" t="str">
        <f>IFERROR(__xludf.DUMMYFUNCTION("GOOGLETRANSLATE(B15017, ""es"", ""en"")"),"Very nice all right")</f>
        <v>Very nice all right</v>
      </c>
    </row>
    <row r="15018">
      <c r="A15018" s="1">
        <v>2.0</v>
      </c>
      <c r="B15018" s="1" t="s">
        <v>14882</v>
      </c>
      <c r="C15018" t="str">
        <f>IFERROR(__xludf.DUMMYFUNCTION("GOOGLETRANSLATE(B15018, ""es"", ""en"")"),"Does not work with my lapel microphone Rode SC1 does not work with the lapel microphone of the same brand and model. I do not understand why. The separate microphone works perfectly.")</f>
        <v>Does not work with my lapel microphone Rode SC1 does not work with the lapel microphone of the same brand and model. I do not understand why. The separate microphone works perfectly.</v>
      </c>
    </row>
    <row r="15019">
      <c r="A15019" s="1">
        <v>3.0</v>
      </c>
      <c r="B15019" s="1" t="s">
        <v>14883</v>
      </c>
      <c r="C15019" t="str">
        <f>IFERROR(__xludf.DUMMYFUNCTION("GOOGLETRANSLATE(B15019, ""es"", ""en"")"),"WHEN GOOD stop working SUDO Positive: We hear great length correct battery and cling well to the ears! Negative: With sweat intermittently stop working ... PS: If I still happening frequently, I have to change or return ...")</f>
        <v>WHEN GOOD stop working SUDO Positive: We hear great length correct battery and cling well to the ears! Negative: With sweat intermittently stop working ... PS: If I still happening frequently, I have to change or return ...</v>
      </c>
    </row>
    <row r="15020">
      <c r="A15020" s="1">
        <v>3.0</v>
      </c>
      <c r="B15020" s="1" t="s">
        <v>14884</v>
      </c>
      <c r="C15020" t="str">
        <f>IFERROR(__xludf.DUMMYFUNCTION("GOOGLETRANSLATE(B15020, ""es"", ""en"")"),"Colorfast and not pique skin I like how well defined my curves but I do not like that destines both at once biting and legs, the fabric fails to convince me")</f>
        <v>Colorfast and not pique skin I like how well defined my curves but I do not like that destines both at once biting and legs, the fabric fails to convince me</v>
      </c>
    </row>
    <row r="15021">
      <c r="A15021" s="1">
        <v>1.0</v>
      </c>
      <c r="B15021" s="1" t="s">
        <v>14885</v>
      </c>
      <c r="C15021" t="str">
        <f>IFERROR(__xludf.DUMMYFUNCTION("GOOGLETRANSLATE(B15021, ""es"", ""en"")"),"It lasted two years I bought the July 25, 2017 and has been used a few days a week, not intensively, today 24th August 1019 died has lost everything he had on, not as an HDD normal can regain some and I have no guarantee for a month, HDD is the worst I ha"&amp;"ve ever bought and that has lasted right and not as a brand like Seagate makes something so just and hybrid technology is only worth so that neither the bios recognizes it ... .")</f>
        <v>It lasted two years I bought the July 25, 2017 and has been used a few days a week, not intensively, today 24th August 1019 died has lost everything he had on, not as an HDD normal can regain some and I have no guarantee for a month, HDD is the worst I have ever bought and that has lasted right and not as a brand like Seagate makes something so just and hybrid technology is only worth so that neither the bios recognizes it ... .</v>
      </c>
    </row>
    <row r="15022">
      <c r="A15022" s="1">
        <v>1.0</v>
      </c>
      <c r="B15022" s="1" t="s">
        <v>14886</v>
      </c>
      <c r="C15022" t="str">
        <f>IFERROR(__xludf.DUMMYFUNCTION("GOOGLETRANSLATE(B15022, ""es"", ""en"")"),"I do not recommend not hit anything thrown money")</f>
        <v>I do not recommend not hit anything thrown money</v>
      </c>
    </row>
    <row r="15023">
      <c r="A15023" s="1">
        <v>4.0</v>
      </c>
      <c r="B15023" s="1" t="s">
        <v>14887</v>
      </c>
      <c r="C15023" t="str">
        <f>IFERROR(__xludf.DUMMYFUNCTION("GOOGLETRANSLATE(B15023, ""es"", ""en"")"),"Tags ok, bolis not so much the pens do not write great, they erased with rubbing or contact, but perform their function and there are many labels and value.")</f>
        <v>Tags ok, bolis not so much the pens do not write great, they erased with rubbing or contact, but perform their function and there are many labels and value.</v>
      </c>
    </row>
    <row r="15024">
      <c r="A15024" s="1">
        <v>4.0</v>
      </c>
      <c r="B15024" s="1" t="s">
        <v>14888</v>
      </c>
      <c r="C15024" t="str">
        <f>IFERROR(__xludf.DUMMYFUNCTION("GOOGLETRANSLATE(B15024, ""es"", ""en"")"),"Comfort in using good walking shoes comfortably")</f>
        <v>Comfort in using good walking shoes comfortably</v>
      </c>
    </row>
    <row r="15025">
      <c r="A15025" s="1">
        <v>4.0</v>
      </c>
      <c r="B15025" s="1" t="s">
        <v>14889</v>
      </c>
      <c r="C15025" t="str">
        <f>IFERROR(__xludf.DUMMYFUNCTION("GOOGLETRANSLATE(B15025, ""es"", ""en"")"),"Quality is stable and easy to move and turn. Rotating board. Mounting somewhat difficult")</f>
        <v>Quality is stable and easy to move and turn. Rotating board. Mounting somewhat difficult</v>
      </c>
    </row>
    <row r="15026">
      <c r="A15026" s="1">
        <v>4.0</v>
      </c>
      <c r="B15026" s="1" t="s">
        <v>14890</v>
      </c>
      <c r="C15026" t="str">
        <f>IFERROR(__xludf.DUMMYFUNCTION("GOOGLETRANSLATE(B15026, ""es"", ""en"")"),"I had to ask very comfortable least a number of the spent")</f>
        <v>I had to ask very comfortable least a number of the spent</v>
      </c>
    </row>
    <row r="15027">
      <c r="A15027" s="1">
        <v>4.0</v>
      </c>
      <c r="B15027" s="1" t="s">
        <v>14891</v>
      </c>
      <c r="C15027" t="str">
        <f>IFERROR(__xludf.DUMMYFUNCTION("GOOGLETRANSLATE(B15027, ""es"", ""en"")"),"Very comfortable are super comfortable, the only bad thing I see is that walking toe fabric makes a little noise. For the all very good. The perfect size ordered 40 having the wide width and I are very good.")</f>
        <v>Very comfortable are super comfortable, the only bad thing I see is that walking toe fabric makes a little noise. For the all very good. The perfect size ordered 40 having the wide width and I are very good.</v>
      </c>
    </row>
    <row r="15028">
      <c r="A15028" s="1">
        <v>5.0</v>
      </c>
      <c r="B15028" s="1" t="s">
        <v>14892</v>
      </c>
      <c r="C15028" t="str">
        <f>IFERROR(__xludf.DUMMYFUNCTION("GOOGLETRANSLATE(B15028, ""es"", ""en"")"),"When it rains I love wet. They are super comfortable and bring memoryfoam template like most of this brand. The only fault is that the fabric comes to be quite chilly, so in winter you have to put a good sock.")</f>
        <v>When it rains I love wet. They are super comfortable and bring memoryfoam template like most of this brand. The only fault is that the fabric comes to be quite chilly, so in winter you have to put a good sock.</v>
      </c>
    </row>
    <row r="15029">
      <c r="A15029" s="1">
        <v>5.0</v>
      </c>
      <c r="B15029" s="1" t="s">
        <v>14893</v>
      </c>
      <c r="C15029" t="str">
        <f>IFERROR(__xludf.DUMMYFUNCTION("GOOGLETRANSLATE(B15029, ""es"", ""en"")"),"Fantastico L'ho regalato alla mamma mia che non può più fare tanti Lavori in casa molto .... and has apprezzato .. .. soddisfattissimo !!!!!")</f>
        <v>Fantastico L'ho regalato alla mamma mia che non può più fare tanti Lavori in casa molto .... and has apprezzato .. .. soddisfattissimo !!!!!</v>
      </c>
    </row>
    <row r="15030">
      <c r="A15030" s="1">
        <v>5.0</v>
      </c>
      <c r="B15030" s="1" t="s">
        <v>14894</v>
      </c>
      <c r="C15030" t="str">
        <f>IFERROR(__xludf.DUMMYFUNCTION("GOOGLETRANSLATE(B15030, ""es"", ""en"")"),"Swarovski This gift gucci pa")</f>
        <v>Swarovski This gift gucci pa</v>
      </c>
    </row>
    <row r="15031">
      <c r="A15031" s="1">
        <v>5.0</v>
      </c>
      <c r="B15031" s="1" t="s">
        <v>3399</v>
      </c>
      <c r="C15031" t="str">
        <f>IFERROR(__xludf.DUMMYFUNCTION("GOOGLETRANSLATE(B15031, ""es"", ""en"")"),"Perfect Very good product")</f>
        <v>Perfect Very good product</v>
      </c>
    </row>
    <row r="15032">
      <c r="A15032" s="1">
        <v>5.0</v>
      </c>
      <c r="B15032" s="1" t="s">
        <v>14895</v>
      </c>
      <c r="C15032" t="str">
        <f>IFERROR(__xludf.DUMMYFUNCTION("GOOGLETRANSLATE(B15032, ""es"", ""en"")"),"Buenos They do what they have to do")</f>
        <v>Buenos They do what they have to do</v>
      </c>
    </row>
    <row r="15033">
      <c r="A15033" s="1">
        <v>5.0</v>
      </c>
      <c r="B15033" s="1" t="s">
        <v>14896</v>
      </c>
      <c r="C15033" t="str">
        <f>IFERROR(__xludf.DUMMYFUNCTION("GOOGLETRANSLATE(B15033, ""es"", ""en"")"),"Well amply meets")</f>
        <v>Well amply meets</v>
      </c>
    </row>
    <row r="15034">
      <c r="A15034" s="1">
        <v>5.0</v>
      </c>
      <c r="B15034" s="1" t="s">
        <v>14897</v>
      </c>
      <c r="C15034" t="str">
        <f>IFERROR(__xludf.DUMMYFUNCTION("GOOGLETRANSLATE(B15034, ""es"", ""en"")"),"So far no problems gorgeous, high-speed lost so far, I use tb for TV (watch movies and so on). It is true q to veced um little heated after seeing a couple of peloculas and leave it on TV but nothing serious")</f>
        <v>So far no problems gorgeous, high-speed lost so far, I use tb for TV (watch movies and so on). It is true q to veced um little heated after seeing a couple of peloculas and leave it on TV but nothing serious</v>
      </c>
    </row>
    <row r="15035">
      <c r="A15035" s="1">
        <v>5.0</v>
      </c>
      <c r="B15035" s="1" t="s">
        <v>14898</v>
      </c>
      <c r="C15035" t="str">
        <f>IFERROR(__xludf.DUMMYFUNCTION("GOOGLETRANSLATE(B15035, ""es"", ""en"")"),"Silvia I recommend very nice !! good material with rubber band at the end for a good seal and loose leaves do not fall")</f>
        <v>Silvia I recommend very nice !! good material with rubber band at the end for a good seal and loose leaves do not fall</v>
      </c>
    </row>
    <row r="15036">
      <c r="A15036" s="1">
        <v>5.0</v>
      </c>
      <c r="B15036" s="1" t="s">
        <v>14899</v>
      </c>
      <c r="C15036" t="str">
        <f>IFERROR(__xludf.DUMMYFUNCTION("GOOGLETRANSLATE(B15036, ""es"", ""en"")"),"What is enjoying my daughter and her friends! My daughter liked it so much that does not let go. The micro distorts the voice and ranges from smurf to the villain. In addition to connecting to any device, you can also put a pen with the songs and listen t"&amp;"o them, the micro gives you the option to sound very softly voice and to sing karaoke mode. Fast charging and cable carrying both can connect to a device or charging head mobile. I'm willing to try with my friends at a party adult, yes, if I get my daught"&amp;"er left me.")</f>
        <v>What is enjoying my daughter and her friends! My daughter liked it so much that does not let go. The micro distorts the voice and ranges from smurf to the villain. In addition to connecting to any device, you can also put a pen with the songs and listen to them, the micro gives you the option to sound very softly voice and to sing karaoke mode. Fast charging and cable carrying both can connect to a device or charging head mobile. I'm willing to try with my friends at a party adult, yes, if I get my daughter left me.</v>
      </c>
    </row>
    <row r="15037">
      <c r="A15037" s="1">
        <v>5.0</v>
      </c>
      <c r="B15037" s="1" t="s">
        <v>14900</v>
      </c>
      <c r="C15037" t="str">
        <f>IFERROR(__xludf.DUMMYFUNCTION("GOOGLETRANSLATE(B15037, ""es"", ""en"")"),"It was beautiful and convenient hesitant to buy a kettle because it had resolved the microwave. Looking ahead to the holidays and as many diners choose tea after dinner, I decided on this one that, besides being very beautiful, separated from the base and"&amp;" brought to the table as a pitcher. I am delighted with it and do not stop using it.")</f>
        <v>It was beautiful and convenient hesitant to buy a kettle because it had resolved the microwave. Looking ahead to the holidays and as many diners choose tea after dinner, I decided on this one that, besides being very beautiful, separated from the base and brought to the table as a pitcher. I am delighted with it and do not stop using it.</v>
      </c>
    </row>
    <row r="15038">
      <c r="A15038" s="1">
        <v>5.0</v>
      </c>
      <c r="B15038" s="1" t="s">
        <v>14901</v>
      </c>
      <c r="C15038" t="str">
        <f>IFERROR(__xludf.DUMMYFUNCTION("GOOGLETRANSLATE(B15038, ""es"", ""en"")"),"Beautiful nice, does not disappoint, ideal to make a good gift")</f>
        <v>Beautiful nice, does not disappoint, ideal to make a good gift</v>
      </c>
    </row>
    <row r="15039">
      <c r="A15039" s="1">
        <v>5.0</v>
      </c>
      <c r="B15039" s="1" t="s">
        <v>14902</v>
      </c>
      <c r="C15039" t="str">
        <f>IFERROR(__xludf.DUMMYFUNCTION("GOOGLETRANSLATE(B15039, ""es"", ""en"")"),"Durability is a product that has high durability with respect to competition for their high TBW. I think money currently there is nothing better.")</f>
        <v>Durability is a product that has high durability with respect to competition for their high TBW. I think money currently there is nothing better.</v>
      </c>
    </row>
    <row r="15040">
      <c r="A15040" s="1">
        <v>5.0</v>
      </c>
      <c r="B15040" s="1" t="s">
        <v>14903</v>
      </c>
      <c r="C15040" t="str">
        <f>IFERROR(__xludf.DUMMYFUNCTION("GOOGLETRANSLATE(B15040, ""es"", ""en"")"),"Just what I wanted I bought these plates to put my JBL LSR305 on a table and have been perfect. They are of good material and absorbs vibration excellently. Recommended!")</f>
        <v>Just what I wanted I bought these plates to put my JBL LSR305 on a table and have been perfect. They are of good material and absorbs vibration excellently. Recommended!</v>
      </c>
    </row>
    <row r="15041">
      <c r="A15041" s="1">
        <v>5.0</v>
      </c>
      <c r="B15041" s="1" t="s">
        <v>14904</v>
      </c>
      <c r="C15041" t="str">
        <f>IFERROR(__xludf.DUMMYFUNCTION("GOOGLETRANSLATE(B15041, ""es"", ""en"")"),"In principle the perfect sound is good for the price you have, all that long in coming")</f>
        <v>In principle the perfect sound is good for the price you have, all that long in coming</v>
      </c>
    </row>
    <row r="15042">
      <c r="A15042" s="1">
        <v>5.0</v>
      </c>
      <c r="B15042" s="1" t="s">
        <v>14905</v>
      </c>
      <c r="C15042" t="str">
        <f>IFERROR(__xludf.DUMMYFUNCTION("GOOGLETRANSLATE(B15042, ""es"", ""en"")"),"practicality and interior volume initially liked all, what does not? that there is a padded area to carry a tablet (in addition to the existing notebook) in the main compartment.")</f>
        <v>practicality and interior volume initially liked all, what does not? that there is a padded area to carry a tablet (in addition to the existing notebook) in the main compartment.</v>
      </c>
    </row>
    <row r="15043">
      <c r="A15043" s="1">
        <v>5.0</v>
      </c>
      <c r="B15043" s="1" t="s">
        <v>14906</v>
      </c>
      <c r="C15043" t="str">
        <f>IFERROR(__xludf.DUMMYFUNCTION("GOOGLETRANSLATE(B15043, ""es"", ""en"")"),"Very comfortable and nice big Pelin Cool but they can be spent not changed and are very comfortable and clean")</f>
        <v>Very comfortable and nice big Pelin Cool but they can be spent not changed and are very comfortable and clean</v>
      </c>
    </row>
    <row r="15044">
      <c r="A15044" s="1">
        <v>5.0</v>
      </c>
      <c r="B15044" s="1" t="s">
        <v>14907</v>
      </c>
      <c r="C15044" t="str">
        <f>IFERROR(__xludf.DUMMYFUNCTION("GOOGLETRANSLATE(B15044, ""es"", ""en"")"),"Warms 100% recommend fast. It looks small in the picture. But it is great ... from my point of vista😊")</f>
        <v>Warms 100% recommend fast. It looks small in the picture. But it is great ... from my point of vista😊</v>
      </c>
    </row>
    <row r="15045">
      <c r="A15045" s="1">
        <v>5.0</v>
      </c>
      <c r="B15045" s="1" t="s">
        <v>14908</v>
      </c>
      <c r="C15045" t="str">
        <f>IFERROR(__xludf.DUMMYFUNCTION("GOOGLETRANSLATE(B15045, ""es"", ""en"")"),"Very nice shoes nice and vintage air.")</f>
        <v>Very nice shoes nice and vintage air.</v>
      </c>
    </row>
    <row r="15046">
      <c r="A15046" s="1">
        <v>5.0</v>
      </c>
      <c r="B15046" s="1" t="s">
        <v>14909</v>
      </c>
      <c r="C15046" t="str">
        <f>IFERROR(__xludf.DUMMYFUNCTION("GOOGLETRANSLATE(B15046, ""es"", ""en"")"),"Great quality, very happy. What most defines them is the quality of materials was pleasantly surprised, they are also very comfortable, I have problems with most that I fall out of the ear but these are perfectly fastened to the edge thanks to silicone. C"&amp;"ontains protective covers pretty cool, different sizes to cover the ear, base box serves to load and save and it is durable and protects LEDs has charge level. Timing is very fast. You open the box blinks right (if not only is turned on hold the button) B"&amp;"luetooth connect them and go. They call, listening to music. With the upload / lower buttons song, volume, raisins song, pauses, and hang descuelgas phone also reject calls. Ideal for everything and for sport")</f>
        <v>Great quality, very happy. What most defines them is the quality of materials was pleasantly surprised, they are also very comfortable, I have problems with most that I fall out of the ear but these are perfectly fastened to the edge thanks to silicone. Contains protective covers pretty cool, different sizes to cover the ear, base box serves to load and save and it is durable and protects LEDs has charge level. Timing is very fast. You open the box blinks right (if not only is turned on hold the button) Bluetooth connect them and go. They call, listening to music. With the upload / lower buttons song, volume, raisins song, pauses, and hang descuelgas phone also reject calls. Ideal for everything and for sport</v>
      </c>
    </row>
    <row r="15047">
      <c r="A15047" s="1">
        <v>2.0</v>
      </c>
      <c r="B15047" s="1" t="s">
        <v>14910</v>
      </c>
      <c r="C15047" t="str">
        <f>IFERROR(__xludf.DUMMYFUNCTION("GOOGLETRANSLATE(B15047, ""es"", ""en"")"),"Manuel Angel The watch is beautiful, the quality of casio noticeable, but the area somewhat small, very small the hands, being a gentleman clock, is the paste.")</f>
        <v>Manuel Angel The watch is beautiful, the quality of casio noticeable, but the area somewhat small, very small the hands, being a gentleman clock, is the paste.</v>
      </c>
    </row>
    <row r="15048">
      <c r="A15048" s="1">
        <v>3.0</v>
      </c>
      <c r="B15048" s="1" t="s">
        <v>14911</v>
      </c>
      <c r="C15048" t="str">
        <f>IFERROR(__xludf.DUMMYFUNCTION("GOOGLETRANSLATE(B15048, ""es"", ""en"")"),"We wanted a telescopic telescopic duster that had large feather duster. It does not fulfill that premise. Yet it is correct. It unfolds over a meter and a half, so you can reach all parts of the house. The boom is securely attached to the duster, it seems"&amp;" that is not going to pluck with heavy use.")</f>
        <v>We wanted a telescopic telescopic duster that had large feather duster. It does not fulfill that premise. Yet it is correct. It unfolds over a meter and a half, so you can reach all parts of the house. The boom is securely attached to the duster, it seems that is not going to pluck with heavy use.</v>
      </c>
    </row>
    <row r="15049">
      <c r="A15049" s="1">
        <v>1.0</v>
      </c>
      <c r="B15049" s="1" t="s">
        <v>14912</v>
      </c>
      <c r="C15049" t="str">
        <f>IFERROR(__xludf.DUMMYFUNCTION("GOOGLETRANSLATE(B15049, ""es"", ""en"")"),"No work at all I will return the unit does not work well")</f>
        <v>No work at all I will return the unit does not work well</v>
      </c>
    </row>
    <row r="15050">
      <c r="A15050" s="1">
        <v>1.0</v>
      </c>
      <c r="B15050" s="1" t="s">
        <v>14913</v>
      </c>
      <c r="C15050" t="str">
        <f>IFERROR(__xludf.DUMMYFUNCTION("GOOGLETRANSLATE(B15050, ""es"", ""en"")"),"Malpresentation Item comes with two different colors: pink gold base and top.")</f>
        <v>Malpresentation Item comes with two different colors: pink gold base and top.</v>
      </c>
    </row>
    <row r="15051">
      <c r="A15051" s="1">
        <v>4.0</v>
      </c>
      <c r="B15051" s="1" t="s">
        <v>14914</v>
      </c>
      <c r="C15051" t="str">
        <f>IFERROR(__xludf.DUMMYFUNCTION("GOOGLETRANSLATE(B15051, ""es"", ""en"")"),"Good price / quality ratio Good headphones with a soft sound for very sensitive ears, like hearing and míos.Tengo these wireless headphones hear no percussion or sudden changes in audio.Tiene the advantage to adjust the volume from the headset and the rec"&amp;"eption is very clear and nítida.Los use with the transmitter / receiver MPOW APTX low latency 2 in 1 Wireless V4.1 and goes perfectly, no transmission and battery holds enough charge between carga.Aunque cut and no headphones should be used for more than "&amp;"two to three hours straight so as not to damage the ears is also true that although the pads are soft and padded, after three hours of use begins to become uncomfortable puesto.Hice take the test to see how long you can aguantar.Es a good buy but, like ev"&amp;"erything else, must know how to use them. He arrived at the indicated day and in perfect condition with the transmitter / receiver in the same marca.Producto highly recommended.")</f>
        <v>Good price / quality ratio Good headphones with a soft sound for very sensitive ears, like hearing and míos.Tengo these wireless headphones hear no percussion or sudden changes in audio.Tiene the advantage to adjust the volume from the headset and the reception is very clear and nítida.Los use with the transmitter / receiver MPOW APTX low latency 2 in 1 Wireless V4.1 and goes perfectly, no transmission and battery holds enough charge between carga.Aunque cut and no headphones should be used for more than two to three hours straight so as not to damage the ears is also true that although the pads are soft and padded, after three hours of use begins to become uncomfortable puesto.Hice take the test to see how long you can aguantar.Es a good buy but, like everything else, must know how to use them. He arrived at the indicated day and in perfect condition with the transmitter / receiver in the same marca.Producto highly recommended.</v>
      </c>
    </row>
    <row r="15052">
      <c r="A15052" s="1">
        <v>4.0</v>
      </c>
      <c r="B15052" s="1" t="s">
        <v>14915</v>
      </c>
      <c r="C15052" t="str">
        <f>IFERROR(__xludf.DUMMYFUNCTION("GOOGLETRANSLATE(B15052, ""es"", ""en"")"),"Good quality / price ratio Being able to move freely up to 100 meters with a good audio quality loved it. What I like is to have good audio without recording it separately, saving sync in post. I do not put 5 stars because sometimes the microphone cable c"&amp;"auses interference, but it is minimal and still solves leaving the cable. Size, weight and price, I prefer the Sennheiser Rode. If you're looking for a wireless kit is a very good choice.")</f>
        <v>Good quality / price ratio Being able to move freely up to 100 meters with a good audio quality loved it. What I like is to have good audio without recording it separately, saving sync in post. I do not put 5 stars because sometimes the microphone cable causes interference, but it is minimal and still solves leaving the cable. Size, weight and price, I prefer the Sennheiser Rode. If you're looking for a wireless kit is a very good choice.</v>
      </c>
    </row>
    <row r="15053">
      <c r="A15053" s="1">
        <v>4.0</v>
      </c>
      <c r="B15053" s="1" t="s">
        <v>14916</v>
      </c>
      <c r="C15053" t="str">
        <f>IFERROR(__xludf.DUMMYFUNCTION("GOOGLETRANSLATE(B15053, ""es"", ""en"")"),"Headset, handsfree. Sound quality ratio is unbeatable, listen very well.")</f>
        <v>Headset, handsfree. Sound quality ratio is unbeatable, listen very well.</v>
      </c>
    </row>
    <row r="15054">
      <c r="A15054" s="1">
        <v>4.0</v>
      </c>
      <c r="B15054" s="1" t="s">
        <v>14917</v>
      </c>
      <c r="C15054" t="str">
        <f>IFERROR(__xludf.DUMMYFUNCTION("GOOGLETRANSLATE(B15054, ""es"", ""en"")"),"Good article Ask a size more than usual, I had to return. Perfect service returns.")</f>
        <v>Good article Ask a size more than usual, I had to return. Perfect service returns.</v>
      </c>
    </row>
    <row r="15055">
      <c r="A15055" s="1">
        <v>5.0</v>
      </c>
      <c r="B15055" s="1" t="s">
        <v>14918</v>
      </c>
      <c r="C15055" t="str">
        <f>IFERROR(__xludf.DUMMYFUNCTION("GOOGLETRANSLATE(B15055, ""es"", ""en"")"),"Well it has power takes up almost no space is very well")</f>
        <v>Well it has power takes up almost no space is very well</v>
      </c>
    </row>
    <row r="15056">
      <c r="A15056" s="1">
        <v>5.0</v>
      </c>
      <c r="B15056" s="1" t="s">
        <v>14919</v>
      </c>
      <c r="C15056" t="str">
        <f>IFERROR(__xludf.DUMMYFUNCTION("GOOGLETRANSLATE(B15056, ""es"", ""en"")"),"Pendrive fulfills its function perfectly functional 128GB. Transfer of fast, effective and error-free files. It is normal size and can be anchored to a key ring for carrying. Happy with purchase.")</f>
        <v>Pendrive fulfills its function perfectly functional 128GB. Transfer of fast, effective and error-free files. It is normal size and can be anchored to a key ring for carrying. Happy with purchase.</v>
      </c>
    </row>
    <row r="15057">
      <c r="A15057" s="1">
        <v>5.0</v>
      </c>
      <c r="B15057" s="1" t="s">
        <v>14920</v>
      </c>
      <c r="C15057" t="str">
        <f>IFERROR(__xludf.DUMMYFUNCTION("GOOGLETRANSLATE(B15057, ""es"", ""en"")"),"GREAT PRODUCT !!! GREAT RESULTS WITH Wonderful product !!! I recommended it and recommend it if you suffer cervical discomfort, headaches, tension-type or feeling of instability or dizziness. I bought it from a family for those reasons and is delighted wi"&amp;"th the results. I know that can be used in other parts of the body, but not my case. Easy to use and fantastic results. Very satisfied. I recommend 100%. Instructions for Use tb in Spanish and appreciated. The perfect packaging.")</f>
        <v>GREAT PRODUCT !!! GREAT RESULTS WITH Wonderful product !!! I recommended it and recommend it if you suffer cervical discomfort, headaches, tension-type or feeling of instability or dizziness. I bought it from a family for those reasons and is delighted with the results. I know that can be used in other parts of the body, but not my case. Easy to use and fantastic results. Very satisfied. I recommend 100%. Instructions for Use tb in Spanish and appreciated. The perfect packaging.</v>
      </c>
    </row>
    <row r="15058">
      <c r="A15058" s="1">
        <v>5.0</v>
      </c>
      <c r="B15058" s="1" t="s">
        <v>14921</v>
      </c>
      <c r="C15058" t="str">
        <f>IFERROR(__xludf.DUMMYFUNCTION("GOOGLETRANSLATE(B15058, ""es"", ""en"")"),"Good product. Quality and good service. Highly recommended. Quality leather skin. Good quality, meets my expectations. Good product. Quality and good service. Highly recommended. Quality leather skin. Sending in a single day.")</f>
        <v>Good product. Quality and good service. Highly recommended. Quality leather skin. Good quality, meets my expectations. Good product. Quality and good service. Highly recommended. Quality leather skin. Sending in a single day.</v>
      </c>
    </row>
    <row r="15059">
      <c r="A15059" s="1">
        <v>5.0</v>
      </c>
      <c r="B15059" s="1" t="s">
        <v>14922</v>
      </c>
      <c r="C15059" t="str">
        <f>IFERROR(__xludf.DUMMYFUNCTION("GOOGLETRANSLATE(B15059, ""es"", ""en"")"),"It's very comfortable bought my oldest daughter is thrilled. The truth is q I have no hits and my daughter tells me are super comfortable")</f>
        <v>It's very comfortable bought my oldest daughter is thrilled. The truth is q I have no hits and my daughter tells me are super comfortable</v>
      </c>
    </row>
    <row r="15060">
      <c r="A15060" s="1">
        <v>5.0</v>
      </c>
      <c r="B15060" s="1" t="s">
        <v>14923</v>
      </c>
      <c r="C15060" t="str">
        <f>IFERROR(__xludf.DUMMYFUNCTION("GOOGLETRANSLATE(B15060, ""es"", ""en"")"),"Ideal sports bra good buy, good presence and quality. It is comfortable to wear. The size is always mine. Very happy with the purchase of truth")</f>
        <v>Ideal sports bra good buy, good presence and quality. It is comfortable to wear. The size is always mine. Very happy with the purchase of truth</v>
      </c>
    </row>
    <row r="15061">
      <c r="A15061" s="1">
        <v>5.0</v>
      </c>
      <c r="B15061" s="1" t="s">
        <v>14924</v>
      </c>
      <c r="C15061" t="str">
        <f>IFERROR(__xludf.DUMMYFUNCTION("GOOGLETRANSLATE(B15061, ""es"", ""en"")"),"Quality and price quality and price. Very good deal")</f>
        <v>Quality and price quality and price. Very good deal</v>
      </c>
    </row>
    <row r="15062">
      <c r="A15062" s="1">
        <v>5.0</v>
      </c>
      <c r="B15062" s="1" t="s">
        <v>14925</v>
      </c>
      <c r="C15062" t="str">
        <f>IFERROR(__xludf.DUMMYFUNCTION("GOOGLETRANSLATE(B15062, ""es"", ""en"")"),"Good product all great moment ""was to give my son and liked both the design and its ability and my price ... About 10")</f>
        <v>Good product all great moment "was to give my son and liked both the design and its ability and my price ... About 10</v>
      </c>
    </row>
    <row r="15063">
      <c r="A15063" s="1">
        <v>5.0</v>
      </c>
      <c r="B15063" s="1" t="s">
        <v>14926</v>
      </c>
      <c r="C15063" t="str">
        <f>IFERROR(__xludf.DUMMYFUNCTION("GOOGLETRANSLATE(B15063, ""es"", ""en"")"),"Good product freshener")</f>
        <v>Good product freshener</v>
      </c>
    </row>
    <row r="15064">
      <c r="A15064" s="1">
        <v>5.0</v>
      </c>
      <c r="B15064" s="1" t="s">
        <v>14927</v>
      </c>
      <c r="C15064" t="str">
        <f>IFERROR(__xludf.DUMMYFUNCTION("GOOGLETRANSLATE(B15064, ""es"", ""en"")"),"Original necklace is very pretty. Value very good.")</f>
        <v>Original necklace is very pretty. Value very good.</v>
      </c>
    </row>
    <row r="15065">
      <c r="A15065" s="1">
        <v>5.0</v>
      </c>
      <c r="B15065" s="1" t="s">
        <v>14928</v>
      </c>
      <c r="C15065" t="str">
        <f>IFERROR(__xludf.DUMMYFUNCTION("GOOGLETRANSLATE(B15065, ""es"", ""en"")"),"A classic to last not disappoint. They are well made, the raw material is irreproachable, have personality and above all comfortable. I use them all year, almost every day, long hours and demanding conditions for my work, but not change them when I have t"&amp;"o leave informal plan. This will be the ninth or tenth pair use and under the conditions described, I last a couple of years (over 9000 hours). The failure comes from the wear of the sole (literally get to the liner / insole) even when the leather still i"&amp;"n perfect condition. All that improve cords are, or rivets through which they pass, which make it Tacen or retacen more frequently than desirable. It is a product, from my point of view, highly recommended, comparable to Timberland, but it's my opinion, p"&amp;"erhaps the most elegant Panama.")</f>
        <v>A classic to last not disappoint. They are well made, the raw material is irreproachable, have personality and above all comfortable. I use them all year, almost every day, long hours and demanding conditions for my work, but not change them when I have to leave informal plan. This will be the ninth or tenth pair use and under the conditions described, I last a couple of years (over 9000 hours). The failure comes from the wear of the sole (literally get to the liner / insole) even when the leather still in perfect condition. All that improve cords are, or rivets through which they pass, which make it Tacen or retacen more frequently than desirable. It is a product, from my point of view, highly recommended, comparable to Timberland, but it's my opinion, perhaps the most elegant Panama.</v>
      </c>
    </row>
    <row r="15066">
      <c r="A15066" s="1">
        <v>5.0</v>
      </c>
      <c r="B15066" s="1" t="s">
        <v>14929</v>
      </c>
      <c r="C15066" t="str">
        <f>IFERROR(__xludf.DUMMYFUNCTION("GOOGLETRANSLATE(B15066, ""es"", ""en"")"),"Highly recommended. It's great. Works very well, audio speakers hear very well and also hear great. In addition you can record.")</f>
        <v>Highly recommended. It's great. Works very well, audio speakers hear very well and also hear great. In addition you can record.</v>
      </c>
    </row>
    <row r="15067">
      <c r="A15067" s="1">
        <v>5.0</v>
      </c>
      <c r="B15067" s="1" t="s">
        <v>14930</v>
      </c>
      <c r="C15067" t="str">
        <f>IFERROR(__xludf.DUMMYFUNCTION("GOOGLETRANSLATE(B15067, ""es"", ""en"")"),"Very good all simplicity. excellent price and good quality materials")</f>
        <v>Very good all simplicity. excellent price and good quality materials</v>
      </c>
    </row>
    <row r="15068">
      <c r="A15068" s="1">
        <v>5.0</v>
      </c>
      <c r="B15068" s="1" t="s">
        <v>14931</v>
      </c>
      <c r="C15068" t="str">
        <f>IFERROR(__xludf.DUMMYFUNCTION("GOOGLETRANSLATE(B15068, ""es"", ""en"")"),"I am delighted to hear the product is very good, and easy también.Super calls to connect and use and that the instructions were not in español.lo just received today and oe give 5 stars. if they already ruling it again pondre")</f>
        <v>I am delighted to hear the product is very good, and easy también.Super calls to connect and use and that the instructions were not in español.lo just received today and oe give 5 stars. if they already ruling it again pondre</v>
      </c>
    </row>
    <row r="15069">
      <c r="A15069" s="1">
        <v>5.0</v>
      </c>
      <c r="B15069" s="1" t="s">
        <v>14932</v>
      </c>
      <c r="C15069" t="str">
        <f>IFERROR(__xludf.DUMMYFUNCTION("GOOGLETRANSLATE(B15069, ""es"", ""en"")"),"IPhone almost like He sound is excellent. The battery lasts forever and that the use enough. They even go right to run, but did not expect not fall off the ears. They adapt well to the ears without being disturbed. I love.")</f>
        <v>IPhone almost like He sound is excellent. The battery lasts forever and that the use enough. They even go right to run, but did not expect not fall off the ears. They adapt well to the ears without being disturbed. I love.</v>
      </c>
    </row>
    <row r="15070">
      <c r="A15070" s="1">
        <v>5.0</v>
      </c>
      <c r="B15070" s="1" t="s">
        <v>14933</v>
      </c>
      <c r="C15070" t="str">
        <f>IFERROR(__xludf.DUMMYFUNCTION("GOOGLETRANSLATE(B15070, ""es"", ""en"")"),"Good quality and I recommend The tracksuit is great I had to come back for a small defect and take care of all I apologize and I recommend this product")</f>
        <v>Good quality and I recommend The tracksuit is great I had to come back for a small defect and take care of all I apologize and I recommend this product</v>
      </c>
    </row>
    <row r="15071">
      <c r="A15071" s="1">
        <v>5.0</v>
      </c>
      <c r="B15071" s="1" t="s">
        <v>14934</v>
      </c>
      <c r="C15071" t="str">
        <f>IFERROR(__xludf.DUMMYFUNCTION("GOOGLETRANSLATE(B15071, ""es"", ""en"")"),"Ideal for both professional use and for fun We bought this pair of wireless microphones for use at home in a karaoke. The design is exactly like that of the very stylish and attractive professional microphones. They weigh very little, so do not annoy when"&amp;" to use as we will not get tired arm. Bring a protective foam to prevent wetting of saliva to the use and a round rubber part for placement in a support. Start using them is easier than I thought, since there is only to put a pair of batteries microphones"&amp;", charge the internal battery of the wireless receiver into any USB port and connect to our stereo, mixer or speakers, using the 6.35mm connector (large) or adapter 3.5mm (small)")</f>
        <v>Ideal for both professional use and for fun We bought this pair of wireless microphones for use at home in a karaoke. The design is exactly like that of the very stylish and attractive professional microphones. They weigh very little, so do not annoy when to use as we will not get tired arm. Bring a protective foam to prevent wetting of saliva to the use and a round rubber part for placement in a support. Start using them is easier than I thought, since there is only to put a pair of batteries microphones, charge the internal battery of the wireless receiver into any USB port and connect to our stereo, mixer or speakers, using the 6.35mm connector (large) or adapter 3.5mm (small)</v>
      </c>
    </row>
    <row r="15072">
      <c r="A15072" s="1">
        <v>5.0</v>
      </c>
      <c r="B15072" s="1" t="s">
        <v>14935</v>
      </c>
      <c r="C15072" t="str">
        <f>IFERROR(__xludf.DUMMYFUNCTION("GOOGLETRANSLATE(B15072, ""es"", ""en"")"),"Comfort quickly I like the sound and what is not like me dela s discomfort for them out box")</f>
        <v>Comfort quickly I like the sound and what is not like me dela s discomfort for them out box</v>
      </c>
    </row>
    <row r="15073">
      <c r="A15073" s="1">
        <v>2.0</v>
      </c>
      <c r="B15073" s="1" t="s">
        <v>14936</v>
      </c>
      <c r="C15073" t="str">
        <f>IFERROR(__xludf.DUMMYFUNCTION("GOOGLETRANSLATE(B15073, ""es"", ""en"")"),"After losing the color of a year and a half: The material looks OK but the color is lost fairly quickly. In the photo looks like the color ense pierre, the dark part is the most faithful to and bought it. The exposed portion gradually becomes orange, givi"&amp;"ng a different color to the I bought. I bought another model and brand to mail my wife and that if held.")</f>
        <v>After losing the color of a year and a half: The material looks OK but the color is lost fairly quickly. In the photo looks like the color ense pierre, the dark part is the most faithful to and bought it. The exposed portion gradually becomes orange, giving a different color to the I bought. I bought another model and brand to mail my wife and that if held.</v>
      </c>
    </row>
    <row r="15074">
      <c r="A15074" s="1">
        <v>3.0</v>
      </c>
      <c r="B15074" s="1" t="s">
        <v>14937</v>
      </c>
      <c r="C15074" t="str">
        <f>IFERROR(__xludf.DUMMYFUNCTION("GOOGLETRANSLATE(B15074, ""es"", ""en"")"),"ACHIEVER not heard too well the speaker when talking on the phone BUT IF MUSIC BROADCAST OK")</f>
        <v>ACHIEVER not heard too well the speaker when talking on the phone BUT IF MUSIC BROADCAST OK</v>
      </c>
    </row>
    <row r="15075">
      <c r="A15075" s="1">
        <v>3.0</v>
      </c>
      <c r="B15075" s="1" t="s">
        <v>14938</v>
      </c>
      <c r="C15075" t="str">
        <f>IFERROR(__xludf.DUMMYFUNCTION("GOOGLETRANSLATE(B15075, ""es"", ""en"")"),"Nothing normal")</f>
        <v>Nothing normal</v>
      </c>
    </row>
    <row r="15076">
      <c r="A15076" s="1">
        <v>1.0</v>
      </c>
      <c r="B15076" s="1" t="s">
        <v>14939</v>
      </c>
      <c r="C15076" t="str">
        <f>IFERROR(__xludf.DUMMYFUNCTION("GOOGLETRANSLATE(B15076, ""es"", ""en"")"),"I delicado.No recommend it too is so weak that breaks the mirada.No has lasted me less than a month")</f>
        <v>I delicado.No recommend it too is so weak that breaks the mirada.No has lasted me less than a month</v>
      </c>
    </row>
    <row r="15077">
      <c r="A15077" s="1">
        <v>1.0</v>
      </c>
      <c r="B15077" s="1" t="s">
        <v>14940</v>
      </c>
      <c r="C15077" t="str">
        <f>IFERROR(__xludf.DUMMYFUNCTION("GOOGLETRANSLATE(B15077, ""es"", ""en"")"),"Return vans are not going to return plataforna The pq me are small are 37 and 38. need an error return mail but got a 37 necesitos 38")</f>
        <v>Return vans are not going to return plataforna The pq me are small are 37 and 38. need an error return mail but got a 37 necesitos 38</v>
      </c>
    </row>
    <row r="15078">
      <c r="A15078" s="1">
        <v>4.0</v>
      </c>
      <c r="B15078" s="1" t="s">
        <v>14941</v>
      </c>
      <c r="C15078" t="str">
        <f>IFERROR(__xludf.DUMMYFUNCTION("GOOGLETRANSLATE(B15078, ""es"", ""en"")"),"Is nice, Stainless Steel, but combined with less noble materials (plastic) loses enough Victory Kettle Russell Hobbs brand in polished stainless steel and plastic tops with removable and washable filter, 1.7 liter capacity 2400 W. Mailing kettle, cabley a"&amp;" base with an instruction manual in Spanish language proficiency among others. The kettle has a base diameter of 15.5 cm and a height of 23.5 cm (approx based 24.5), the width of the jug with handle is 21,5cm and weighs 797 grams. The interructor / lever "&amp;"(LED) is located at the bottom, below the handle, this has two positions and have a transparent top 1 meter, 1.5 and 1.7 liters. Inside an indicator of one piece mark 1, 2 or 3 cups, it is only visible from the inside, also has a (removable / washable) fi"&amp;"lter at the top (nozzle). The opening and closing of the lid is pressure. The base that allows rotation of the jar 360 has a diameter of 16.5 cm, with a 1 meter cable and hidden recogecables. _Conclusiones: Use a basic ""standard"" very similar to other m"&amp;"anufacturers (if not identical). Its ability to have enough cups hot water. There is no risk if you forget to turn it off, because at the time of reaching the boiling and after about 10 seconds (approx) jumps the lever and the boiler automatically shuts d"&amp;"own. Water heated thereby rapid consumption is to imagine that is considerably reduced. In general these models / colors of Russell Hobbs Kettle have a nice design, this stainless steel no remaining traces as others, although their prices are usually high"&amp;". And against they are just a kettle and have no temperature gauge, internal LED or other pluses that could be expensive / justify its price. Saludos By Flype")</f>
        <v>Is nice, Stainless Steel, but combined with less noble materials (plastic) loses enough Victory Kettle Russell Hobbs brand in polished stainless steel and plastic tops with removable and washable filter, 1.7 liter capacity 2400 W. Mailing kettle, cabley a base with an instruction manual in Spanish language proficiency among others. The kettle has a base diameter of 15.5 cm and a height of 23.5 cm (approx based 24.5), the width of the jug with handle is 21,5cm and weighs 797 grams. The interructor / lever (LED) is located at the bottom, below the handle, this has two positions and have a transparent top 1 meter, 1.5 and 1.7 liters. Inside an indicator of one piece mark 1, 2 or 3 cups, it is only visible from the inside, also has a (removable / washable) filter at the top (nozzle). The opening and closing of the lid is pressure. The base that allows rotation of the jar 360 has a diameter of 16.5 cm, with a 1 meter cable and hidden recogecables. _Conclusiones: Use a basic "standard" very similar to other manufacturers (if not identical). Its ability to have enough cups hot water. There is no risk if you forget to turn it off, because at the time of reaching the boiling and after about 10 seconds (approx) jumps the lever and the boiler automatically shuts down. Water heated thereby rapid consumption is to imagine that is considerably reduced. In general these models / colors of Russell Hobbs Kettle have a nice design, this stainless steel no remaining traces as others, although their prices are usually high. And against they are just a kettle and have no temperature gauge, internal LED or other pluses that could be expensive / justify its price. Saludos By Flype</v>
      </c>
    </row>
    <row r="15079">
      <c r="A15079" s="1">
        <v>4.0</v>
      </c>
      <c r="B15079" s="1" t="s">
        <v>14942</v>
      </c>
      <c r="C15079" t="str">
        <f>IFERROR(__xludf.DUMMYFUNCTION("GOOGLETRANSLATE(B15079, ""es"", ""en"")"),"Comfortable and elegant Pros: -The truth is that I liked a lot. -Have very good looking and the sole is super comfortable. Cons: 'I do chafing in the area of ​​the Achilles tendon but I'm quite prone to this problem. 'This type of skin stains easily!")</f>
        <v>Comfortable and elegant Pros: -The truth is that I liked a lot. -Have very good looking and the sole is super comfortable. Cons: 'I do chafing in the area of ​​the Achilles tendon but I'm quite prone to this problem. 'This type of skin stains easily!</v>
      </c>
    </row>
    <row r="15080">
      <c r="A15080" s="1">
        <v>4.0</v>
      </c>
      <c r="B15080" s="1" t="s">
        <v>14943</v>
      </c>
      <c r="C15080" t="str">
        <f>IFERROR(__xludf.DUMMYFUNCTION("GOOGLETRANSLATE(B15080, ""es"", ""en"")"),"They are narrower than go Walk 4 i had to return because my mother had the Walk 4 go, and go walk 3 are narrower and you were not worth the same size.")</f>
        <v>They are narrower than go Walk 4 i had to return because my mother had the Walk 4 go, and go walk 3 are narrower and you were not worth the same size.</v>
      </c>
    </row>
    <row r="15081">
      <c r="A15081" s="1">
        <v>4.0</v>
      </c>
      <c r="B15081" s="1" t="s">
        <v>14944</v>
      </c>
      <c r="C15081" t="str">
        <f>IFERROR(__xludf.DUMMYFUNCTION("GOOGLETRANSLATE(B15081, ""es"", ""en"")"),"easy to use I used it to strike up the baseboards a grommet of plastic on gotele wall and stay perfect. Good product.")</f>
        <v>easy to use I used it to strike up the baseboards a grommet of plastic on gotele wall and stay perfect. Good product.</v>
      </c>
    </row>
    <row r="15082">
      <c r="A15082" s="1">
        <v>4.0</v>
      </c>
      <c r="B15082" s="1" t="s">
        <v>14945</v>
      </c>
      <c r="C15082" t="str">
        <f>IFERROR(__xludf.DUMMYFUNCTION("GOOGLETRANSLATE(B15082, ""es"", ""en"")"),"Very comfortable very comfortable, practical, easy to use. By putting a snag, should bring a bag to save it and have it always pick")</f>
        <v>Very comfortable very comfortable, practical, easy to use. By putting a snag, should bring a bag to save it and have it always pick</v>
      </c>
    </row>
    <row r="15083">
      <c r="A15083" s="1">
        <v>5.0</v>
      </c>
      <c r="B15083" s="1" t="s">
        <v>14946</v>
      </c>
      <c r="C15083" t="str">
        <f>IFERROR(__xludf.DUMMYFUNCTION("GOOGLETRANSLATE(B15083, ""es"", ""en"")"),"Good price I can not comment durability. Otherwise what is expected")</f>
        <v>Good price I can not comment durability. Otherwise what is expected</v>
      </c>
    </row>
    <row r="15084">
      <c r="A15084" s="1">
        <v>5.0</v>
      </c>
      <c r="B15084" s="1" t="s">
        <v>14947</v>
      </c>
      <c r="C15084" t="str">
        <f>IFERROR(__xludf.DUMMYFUNCTION("GOOGLETRANSLATE(B15084, ""es"", ""en"")"),"second skin buy 10 like the others I have and will perfect this long sleeve even warmer")</f>
        <v>second skin buy 10 like the others I have and will perfect this long sleeve even warmer</v>
      </c>
    </row>
    <row r="15085">
      <c r="A15085" s="1">
        <v>5.0</v>
      </c>
      <c r="B15085" s="1" t="s">
        <v>14948</v>
      </c>
      <c r="C15085" t="str">
        <f>IFERROR(__xludf.DUMMYFUNCTION("GOOGLETRANSLATE(B15085, ""es"", ""en"")"),"Recommended The sweatshirt is of good quality and is very good. recommendable")</f>
        <v>Recommended The sweatshirt is of good quality and is very good. recommendable</v>
      </c>
    </row>
    <row r="15086">
      <c r="A15086" s="1">
        <v>5.0</v>
      </c>
      <c r="B15086" s="1" t="s">
        <v>14949</v>
      </c>
      <c r="C15086" t="str">
        <f>IFERROR(__xludf.DUMMYFUNCTION("GOOGLETRANSLATE(B15086, ""es"", ""en"")"),"Excellent I recommend is great and perfect")</f>
        <v>Excellent I recommend is great and perfect</v>
      </c>
    </row>
    <row r="15087">
      <c r="A15087" s="1">
        <v>5.0</v>
      </c>
      <c r="B15087" s="1" t="s">
        <v>14950</v>
      </c>
      <c r="C15087" t="str">
        <f>IFERROR(__xludf.DUMMYFUNCTION("GOOGLETRANSLATE(B15087, ""es"", ""en"")"),"It works perfectly well for what we wanted was to have a better audio interface which includes the computer. It installs seamlessly on the Mac, just plug your USB and you can start using from your computer with any audio program. It includes features that"&amp;" allow some uses without having to add the mixer.")</f>
        <v>It works perfectly well for what we wanted was to have a better audio interface which includes the computer. It installs seamlessly on the Mac, just plug your USB and you can start using from your computer with any audio program. It includes features that allow some uses without having to add the mixer.</v>
      </c>
    </row>
    <row r="15088">
      <c r="A15088" s="1">
        <v>5.0</v>
      </c>
      <c r="B15088" s="1" t="s">
        <v>14951</v>
      </c>
      <c r="C15088" t="str">
        <f>IFERROR(__xludf.DUMMYFUNCTION("GOOGLETRANSLATE(B15088, ""es"", ""en"")"),"Good product is very easy to install and use Meets expectations .. I see very well")</f>
        <v>Good product is very easy to install and use Meets expectations .. I see very well</v>
      </c>
    </row>
    <row r="15089">
      <c r="A15089" s="1">
        <v>5.0</v>
      </c>
      <c r="B15089" s="1" t="s">
        <v>14952</v>
      </c>
      <c r="C15089" t="str">
        <f>IFERROR(__xludf.DUMMYFUNCTION("GOOGLETRANSLATE(B15089, ""es"", ""en"")"),"the color is wonderful for the same or gift will be left very well for all those women who likes the brightness and color is a great gift and quality")</f>
        <v>the color is wonderful for the same or gift will be left very well for all those women who likes the brightness and color is a great gift and quality</v>
      </c>
    </row>
    <row r="15090">
      <c r="A15090" s="1">
        <v>5.0</v>
      </c>
      <c r="B15090" s="1" t="s">
        <v>14953</v>
      </c>
      <c r="C15090" t="str">
        <f>IFERROR(__xludf.DUMMYFUNCTION("GOOGLETRANSLATE(B15090, ""es"", ""en"")"),"Beautiful and comfortable pants sport I loved, very comfortable and warm pants. The model and color is perfect what I wanted. It's a size S but quite large.")</f>
        <v>Beautiful and comfortable pants sport I loved, very comfortable and warm pants. The model and color is perfect what I wanted. It's a size S but quite large.</v>
      </c>
    </row>
    <row r="15091">
      <c r="A15091" s="1">
        <v>5.0</v>
      </c>
      <c r="B15091" s="1" t="s">
        <v>14954</v>
      </c>
      <c r="C15091" t="str">
        <f>IFERROR(__xludf.DUMMYFUNCTION("GOOGLETRANSLATE(B15091, ""es"", ""en"")"),"Perfect ideal for any day in the countryside or mountain partner. It meets all the functions indicated. Very good quality material")</f>
        <v>Perfect ideal for any day in the countryside or mountain partner. It meets all the functions indicated. Very good quality material</v>
      </c>
    </row>
    <row r="15092">
      <c r="A15092" s="1">
        <v>5.0</v>
      </c>
      <c r="B15092" s="1" t="s">
        <v>14955</v>
      </c>
      <c r="C15092" t="str">
        <f>IFERROR(__xludf.DUMMYFUNCTION("GOOGLETRANSLATE(B15092, ""es"", ""en"")"),"Alba not have taken me all summer !! Rides, beach, pool .... And still as new !! At the beginning dug one movie through his fingers, but yield a tad day and I walk every day with them! The would buy without hesitation!")</f>
        <v>Alba not have taken me all summer !! Rides, beach, pool .... And still as new !! At the beginning dug one movie through his fingers, but yield a tad day and I walk every day with them! The would buy without hesitation!</v>
      </c>
    </row>
    <row r="15093">
      <c r="A15093" s="1">
        <v>5.0</v>
      </c>
      <c r="B15093" s="1" t="s">
        <v>14956</v>
      </c>
      <c r="C15093" t="str">
        <f>IFERROR(__xludf.DUMMYFUNCTION("GOOGLETRANSLATE(B15093, ""es"", ""en"")"),"Sound quality and Easy to Use good headphones I recommend it for its sound quality are second to buy at Amazon and great connect themselves with bluetooth after the match to the mobile alone with them out of its connector light and then loose go out, grea"&amp;"t functions are also picking up calls, ignore them, just to touch on the handset, the handling is very simple, and very comfortable to wear adapt perfectly to the ear seems not bring anything because they do not bother. Very good quality recommend")</f>
        <v>Sound quality and Easy to Use good headphones I recommend it for its sound quality are second to buy at Amazon and great connect themselves with bluetooth after the match to the mobile alone with them out of its connector light and then loose go out, great functions are also picking up calls, ignore them, just to touch on the handset, the handling is very simple, and very comfortable to wear adapt perfectly to the ear seems not bring anything because they do not bother. Very good quality recommend</v>
      </c>
    </row>
    <row r="15094">
      <c r="A15094" s="1">
        <v>5.0</v>
      </c>
      <c r="B15094" s="1" t="s">
        <v>14957</v>
      </c>
      <c r="C15094" t="str">
        <f>IFERROR(__xludf.DUMMYFUNCTION("GOOGLETRANSLATE(B15094, ""es"", ""en"")"),"Good choice and robust design.")</f>
        <v>Good choice and robust design.</v>
      </c>
    </row>
    <row r="15095">
      <c r="A15095" s="1">
        <v>5.0</v>
      </c>
      <c r="B15095" s="1" t="s">
        <v>14958</v>
      </c>
      <c r="C15095" t="str">
        <f>IFERROR(__xludf.DUMMYFUNCTION("GOOGLETRANSLATE(B15095, ""es"", ""en"")"),"Buying running smoothly has satisfied my expectations and the price paid is much lower than that of the face trade visited before doing it.")</f>
        <v>Buying running smoothly has satisfied my expectations and the price paid is much lower than that of the face trade visited before doing it.</v>
      </c>
    </row>
    <row r="15096">
      <c r="A15096" s="1">
        <v>5.0</v>
      </c>
      <c r="B15096" s="1" t="s">
        <v>14959</v>
      </c>
      <c r="C15096" t="str">
        <f>IFERROR(__xludf.DUMMYFUNCTION("GOOGLETRANSLATE(B15096, ""es"", ""en"")"),"BlitzWolf Memory Card, 32GB Price, but does not give the capacity indicated. I use it to expand the memory of a mobile and works well so far")</f>
        <v>BlitzWolf Memory Card, 32GB Price, but does not give the capacity indicated. I use it to expand the memory of a mobile and works well so far</v>
      </c>
    </row>
    <row r="15097">
      <c r="A15097" s="1">
        <v>5.0</v>
      </c>
      <c r="B15097" s="1" t="s">
        <v>14960</v>
      </c>
      <c r="C15097" t="str">
        <f>IFERROR(__xludf.DUMMYFUNCTION("GOOGLETRANSLATE(B15097, ""es"", ""en"")"),"Good quality did not plan to buy a Sennheiser though I knew it was a good brand, but I saw them in a store, I put them to try ... and doom. Are super comfortable, hear great, and once I had ever seen enduring enough battery; I usually have trouble finding"&amp;" headband headphones I do not get big, and these are perfect. I am very happy with the purchase. Only one thing: for me are very comfortable but I have a family to which half an hour, they annoy you. I took several hours and did not feel the same. I batte"&amp;"ry lasts a week using it two hours a day, takes to charge from 0 to 100 as well as other headphones; I like to have Cable to continue using them even if they are out of power. The cable does not bring microphone. The carrying bag is great.")</f>
        <v>Good quality did not plan to buy a Sennheiser though I knew it was a good brand, but I saw them in a store, I put them to try ... and doom. Are super comfortable, hear great, and once I had ever seen enduring enough battery; I usually have trouble finding headband headphones I do not get big, and these are perfect. I am very happy with the purchase. Only one thing: for me are very comfortable but I have a family to which half an hour, they annoy you. I took several hours and did not feel the same. I battery lasts a week using it two hours a day, takes to charge from 0 to 100 as well as other headphones; I like to have Cable to continue using them even if they are out of power. The cable does not bring microphone. The carrying bag is great.</v>
      </c>
    </row>
    <row r="15098">
      <c r="A15098" s="1">
        <v>5.0</v>
      </c>
      <c r="B15098" s="1" t="s">
        <v>14961</v>
      </c>
      <c r="C15098" t="str">
        <f>IFERROR(__xludf.DUMMYFUNCTION("GOOGLETRANSLATE(B15098, ""es"", ""en"")"),"Ideals and fashion My niece is delighted with them. You are ideal and carve well")</f>
        <v>Ideals and fashion My niece is delighted with them. You are ideal and carve well</v>
      </c>
    </row>
    <row r="15099">
      <c r="A15099" s="1">
        <v>5.0</v>
      </c>
      <c r="B15099" s="1" t="s">
        <v>14962</v>
      </c>
      <c r="C15099" t="str">
        <f>IFERROR(__xludf.DUMMYFUNCTION("GOOGLETRANSLATE(B15099, ""es"", ""en"")"),"100% recommended this product since I bought is trying to make a good assessment. The product is identical to what is described and on the sound is pretty good nothing to envy to other wireless headsets and especially what I like is the subject, you can g"&amp;"o jogging with it and at no time did start to get out . Product 100% recommended.")</f>
        <v>100% recommended this product since I bought is trying to make a good assessment. The product is identical to what is described and on the sound is pretty good nothing to envy to other wireless headsets and especially what I like is the subject, you can go jogging with it and at no time did start to get out . Product 100% recommended.</v>
      </c>
    </row>
    <row r="15100">
      <c r="A15100" s="1">
        <v>5.0</v>
      </c>
      <c r="B15100" s="1" t="s">
        <v>14963</v>
      </c>
      <c r="C15100" t="str">
        <f>IFERROR(__xludf.DUMMYFUNCTION("GOOGLETRANSLATE(B15100, ""es"", ""en"")"),"Everything is a good buy great great everything is a good buy")</f>
        <v>Everything is a good buy great great everything is a good buy</v>
      </c>
    </row>
    <row r="15101">
      <c r="A15101" s="1">
        <v>5.0</v>
      </c>
      <c r="B15101" s="1" t="s">
        <v>14964</v>
      </c>
      <c r="C15101" t="str">
        <f>IFERROR(__xludf.DUMMYFUNCTION("GOOGLETRANSLATE(B15101, ""es"", ""en"")"),"Is very good is functional, shock resistant and water soaking water in case of contact with water by accident")</f>
        <v>Is very good is functional, shock resistant and water soaking water in case of contact with water by accident</v>
      </c>
    </row>
    <row r="15102">
      <c r="A15102" s="1">
        <v>2.0</v>
      </c>
      <c r="B15102" s="1" t="s">
        <v>14965</v>
      </c>
      <c r="C15102" t="str">
        <f>IFERROR(__xludf.DUMMYFUNCTION("GOOGLETRANSLATE(B15102, ""es"", ""en"")"),"This recommended good Good quality materials. But heats little.")</f>
        <v>This recommended good Good quality materials. But heats little.</v>
      </c>
    </row>
    <row r="15103">
      <c r="A15103" s="1">
        <v>3.0</v>
      </c>
      <c r="B15103" s="1" t="s">
        <v>14966</v>
      </c>
      <c r="C15103" t="str">
        <f>IFERROR(__xludf.DUMMYFUNCTION("GOOGLETRANSLATE(B15103, ""es"", ""en"")"),"Before deforms great wash, but the first wash, and is deformed and the leg is rotated. poor quality for other products I bought in oodji")</f>
        <v>Before deforms great wash, but the first wash, and is deformed and the leg is rotated. poor quality for other products I bought in oodji</v>
      </c>
    </row>
    <row r="15104">
      <c r="A15104" s="1">
        <v>3.0</v>
      </c>
      <c r="B15104" s="1" t="s">
        <v>14967</v>
      </c>
      <c r="C15104" t="str">
        <f>IFERROR(__xludf.DUMMYFUNCTION("GOOGLETRANSLATE(B15104, ""es"", ""en"")"),"Normal There are very comfortable")</f>
        <v>Normal There are very comfortable</v>
      </c>
    </row>
    <row r="15105">
      <c r="A15105" s="1">
        <v>1.0</v>
      </c>
      <c r="B15105" s="1" t="s">
        <v>14968</v>
      </c>
      <c r="C15105" t="str">
        <f>IFERROR(__xludf.DUMMYFUNCTION("GOOGLETRANSLATE(B15105, ""es"", ""en"")"),"Eva Too bad, from management on page said it was prime and I have claimed expenses total round-trip 20 €, broken bow, and last but not least do not recommend the blue, no digits are to Light of the day. I hope Amazon solve the problem of costs as it has b"&amp;"een his fault.")</f>
        <v>Eva Too bad, from management on page said it was prime and I have claimed expenses total round-trip 20 €, broken bow, and last but not least do not recommend the blue, no digits are to Light of the day. I hope Amazon solve the problem of costs as it has been his fault.</v>
      </c>
    </row>
    <row r="15106">
      <c r="A15106" s="1">
        <v>1.0</v>
      </c>
      <c r="B15106" s="1" t="s">
        <v>14969</v>
      </c>
      <c r="C15106" t="str">
        <f>IFERROR(__xludf.DUMMYFUNCTION("GOOGLETRANSLATE(B15106, ""es"", ""en"")"),"I do not get to work I tried 3 times and only get it to work once. The worst thing is to leave it connected to the USB of your computer and just burning :(")</f>
        <v>I do not get to work I tried 3 times and only get it to work once. The worst thing is to leave it connected to the USB of your computer and just burning :(</v>
      </c>
    </row>
    <row r="15107">
      <c r="A15107" s="1">
        <v>4.0</v>
      </c>
      <c r="B15107" s="1" t="s">
        <v>14970</v>
      </c>
      <c r="C15107" t="str">
        <f>IFERROR(__xludf.DUMMYFUNCTION("GOOGLETRANSLATE(B15107, ""es"", ""en"")"),"right product for use which is intended &lt;div id = ""video-block-R2EU67V3FTZFBE"" class = ""a-section a-spacing-small a-spacing-top mini video-block""&gt; &lt;div tabindex = ""0 ""class ="" airy airy-svg vmin-unsupported airy-skin-beacon ""style ="" background-c"&amp;"olor: rgb (0, 0, 0) position: relative; width: 100%; height: 100%; font-size : 0px; overflow: hidden; outline: none; ""&gt; &lt;div class ="" airy-renderer-container ""style ="" position: relative; height: 100%; width: 100%; ""&gt; &lt;video id ="" 7 "" preload = ""a"&amp;"uto"" src = ""https://images-eu.ssl-images-amazon.com/images/I/81MpMYpA-jS.mp4"" style = ""position: absolute; left: 0px; top: 0px; overflow : hidden; height: 1px; width: 1px; ""&gt; &lt;/ video&gt; &lt;/ div&gt; &lt;div id ="" airy-slate-preload ""style ="" background-col"&amp;"or: rgb (0, 0, 0); background- image: url (&amp; quot; https: //images-eu.ssl-images-amazon.com/images/I/91qo7jm7lqS.png&amp;quot;); background-size: Contain; background-position: center center; background-repeat: no -repeat; position: absolute; top: 0px; left: 0"&amp;"px; visibility: visible; width: 100%; hei ght: 100%; ""&gt; &lt;/ div&gt; &lt;iframe scrolling ="" no ""frameborder ="" 0 ""src ="" about: blank ""style ="" display: none; ""&gt; &lt;/ iframe&gt; &lt;div tabindex ="" - 1 ""class ="" airy-controls-container ""style ="" opacity: 0"&amp;"; visibility: hidden; ""&gt; &lt;div tabindex ="" - 1 ""class ="" airy-screen-size-toggle airy-fullscreen ""&gt; &lt;/ div&gt; &lt;div tabindex ="" - 1 ""class ="" airy-container-bottom "" &gt; &lt;div tabindex = ""- 1"" class = ""airy-track-bar-spacer-left"" style = ""width: 11"&amp;"px;""&gt; &lt;/ div&gt; &lt;div tabindex = ""- 1"" class = ""airy-play- airy toggle-play ""style ="" width: 12px; margin-right: 12px; ""&gt; &lt;/ div&gt; &lt;div tabindex ="" - 1 ""class ="" airy-audio-elements ""style ="" float: right; width: 34px; ""&gt; &lt;div tabindex ="" - 1 """&amp;"class ="" airy-audio-toggle airy-on ""&gt; &lt;/ div&gt; &lt;div tabindex ="" - 1 ""class ="" airy-audio-container ""style = ""opacity: 0; visibility: hidden; ""&gt; &lt;div tabindex ="" - 1 ""class ="" airy-audio-track-bar ""style ="" height: 80%; ""&gt; &lt;div tabindex ="" - "&amp;"1 ""class ="" airy-audio- Scrubber-bar ""style ="" height: 85%; ""&gt; &lt;/ div&gt; &lt;div tabindex ="" - 1 ""class ="" airy-audio-scrubber ""style ="" height: 12px; bottom: 85% ""&gt; &lt;/ div&gt; &lt;/ div&gt; &lt;/ div&gt; &lt;/ div&gt; &lt;div tabindex ="" - 1 ""class ="" airy-duration-lab"&amp;"el ""style ="" float: right; width: 26px; margin-right: 4px; text-align: center; ""&gt; 0:00 &lt;/ div&gt; &lt;div tabindex ="" - 1 ""class ="" airy-track-bar-spacer-right ""style ="" float: right; width: 11px; ""&gt; &lt;/ div&gt; &lt;div tabindex ="" - 1 ""class ="" airy-track"&amp;"-bar-container ""style ="" margin-left: 35px; margin-right: 75px; ""&gt; &lt;div tabindex ="" - 1 ""class ="" airy-airy-track-bar vertically-centering-table ""&gt; &lt;div tabindex ="" - 1 ""class ="" airy-Vertical-centering- table-cell ""&gt; &lt;div tabindex ="" - 1 ""cl"&amp;"ass ="" airy-track-bar-elements ""&gt; &lt;div tabindex ="" - 1 ""class ="" airy-progress-bar ""&gt; &lt;/ div&gt; &lt;div tabindex = ""- 1"" class = ""airy-scrubber-bar""&gt; &lt;/ div&gt; &lt;div tabindex = ""- 1"" class = ""airy-scrubber""&gt; &lt;div tabindex = ""- 1"" class = ""airy-sc"&amp;"rubber- icon ""&gt; &lt;/ div&gt; &lt;div tabindex ="" - 1 ""class ="" airy-adjusted-AUI-tooltip ""style ="" opacity: 0; visibility: hidden; ""&gt; &lt;div tabindex ="" - 1 ""class ="" airy-adjusted-aui-tooltip-inner ""&gt; &lt;div tabindex ="" - 1 ""class ="" airy-current-time-"&amp;"label ""&gt; 0: 00 &lt;/ div&gt; &lt;/ div&gt; &lt;div tabindex = ""- 1"" class = ""airy-adjusted-AUI-arrow-border""&gt; &lt;div tabindex = ""- 1"" class = ""airy-adjusted-AUI-arrow"" &gt; &lt;/ div&gt; &lt;/ div&gt; &lt;/ div&gt; &lt;/ div&gt; &lt;/ div&gt; &lt;/ div&gt; &lt;/ div&gt; &lt;/ div&gt; &lt;/ div&gt; &lt;/ div&gt; &lt;div tabindex"&amp;" = ""- 1"" class = ""airy-age-gate airy-stage airy-Vertical-centering-table airy-dialog"" style = ""opacity: 0; visibility: hidden; ""&gt; &lt;div tabindex ="" - 1 ""class ="" airy-age-gate-Vertical-centering-table-cell airy-Vertical-centering-table-cell ""&gt; &lt;d"&amp;"iv tabindex ="" - 1 ""class = ""airy-Vertical-centering-wrapper airy-age-gate-elements-wrapper""&gt; &lt;div tabindex = ""- 1"" class = ""airy-age-gate-elements airy-dialog-elements""&gt; &lt;div tabindex = "" -1 ""class ="" airy-age-gate-prompt ""&gt; This video is not"&amp;" Intended for all audiences What date were you born &lt;/ div&gt; &lt;div tabindex =.?"" - 1 ""class ="" airy-age-gate -inputs airy-dialog-inner-elements ""&gt; &lt;select tabindex ="" - 1 ""class ="" airy-age-gate-month ""&gt; &lt;option value ="" 1 ""&gt; January &lt;/ option&gt; &lt;o"&amp;"ption value ="" 2 ""&gt; February &lt;/ option&gt; &lt;option value ="" 3 ""&gt; March &lt;/ option&gt; &lt;option value ="" 4 ""&gt; April &lt;/ option&gt; &lt;option value ="" 5 ""&gt; May &lt;/ option&gt; &lt;option value = ""6""&gt; June &lt;/ option&gt; &lt;option value = ""7""&gt; July &lt;/ option&gt; &lt;option value "&amp;"= ""8""&gt; August &lt;/ option&gt; &lt;option value = ""9""&gt; September &lt;/ option&gt; &lt;option value = ""10""&gt; October &lt;/ option&gt; &lt;option value = ""11""&gt; November &lt;/ option&gt; &lt;option value = ""12""&gt; December &lt;/ option&gt; &lt;/ select&gt; &lt;select tabindex = ""- 1"" class = ""airy-"&amp;"age-gate-day""&gt; &lt;opti on value = ""1""&gt; 1 &lt;/ option&gt; &lt;option value = ""2""&gt; 2 &lt;/ option&gt; &lt;option value = ""3""&gt; 3 &lt;/ option&gt; &lt;option value = ""4""&gt; 4 &lt;/ option &gt; &lt;option value = ""5""&gt; 5 &lt;/ option&gt; &lt;option value = ""6""&gt; 6 &lt;/ option&gt; &lt;option value = ""7"""&amp;"&gt; 7 &lt;/ option&gt; &lt;option value = ""8""&gt; 8 &lt; / option&gt; &lt;option value = ""9""&gt; 9 &lt;/ option&gt; &lt;option value = ""10""&gt; 10 &lt;/ option&gt; &lt;option value = ""11""&gt; 11 &lt;/ option&gt; &lt;option value = ""12""&gt; 12 &lt;/ option&gt; &lt;option value = ""13""&gt; 13 &lt;/ option&gt; &lt;option value ="&amp;" ""14""&gt; 14 &lt;/ option&gt; &lt;option value = ""15""&gt; 15 &lt;/ option&gt; &lt;option value = ""16 ""&gt; 16 &lt;/ option&gt; &lt;option value ="" 17 ""&gt; 17 &lt;/ option&gt; &lt;option value ="" 18 ""&gt; 18 &lt;/ option&gt; &lt;option value ="" 19 ""&gt; 19 &lt;/ option&gt; &lt;option value = ""20""&gt; 20 &lt;/ option&gt; "&amp;"&lt;option value = ""21""&gt; 21 &lt;/ option&gt; &lt;option value = ""22""&gt; 22 &lt;/ option&gt; &lt;option value = ""23""&gt; 23 &lt;/ option&gt; &lt;option value = ""24""&gt; 24 &lt;/ option&gt; &lt;option value = ""25""&gt; 25 &lt;/ option&gt; &lt;option value = ""26""&gt; 26 &lt;/ option&gt; &lt;option value = ""27""&gt; 27 "&amp;"&lt;/ option&gt; &lt;option value = ""28""&gt; 28 &lt;/ option&gt; &lt;option value = ""29""&gt; 29 &lt;/ option&gt; &lt;option value = ""30""&gt; 30 &lt;/ option&gt; &lt;option value = ""31""&gt; 31 &lt;/ option&gt; &lt;/ select&gt; &lt;select tabindex = ""- 1"" class = ""airy-age-gate-year""&gt; &lt;option value = ""2019"&amp;"""&gt; 2019 &lt;/ option&gt; &lt; option value = ""2018""&gt; 2018 &lt;/ option&gt; &lt;option value = ""2017""&gt; 2017 &lt;/ option&gt; &lt;option value = ""2016""&gt; ​​2016 &lt;/ option&gt; &lt;option value = ""2015""&gt; 2015 &lt;/ option &gt; &lt;option value = ""2014""&gt; 2014 &lt;/ option&gt; &lt;option value = ""201"&amp;"3""&gt; 2013 &lt;/ option&gt; &lt;option value = ""2012""&gt; 2012 &lt;/ option&gt; &lt;option value = ""2011""&gt; 2011 &lt; / option&gt; &lt;option value = ""2010""&gt; 2010 &lt;/ option&gt; &lt;option value = ""2009""&gt; 2009 &lt;/ option&gt; &lt;option value = ""2008""&gt; 2008 &lt;/ option&gt; &lt;option value = ""2007"&amp;"""&gt; 2007 &lt;/ option&gt; &lt;option value = ""2006""&gt; 2006 &lt;/ option&gt; &lt;option value = ""2005""&gt; 2005 &lt;/ option&gt; &lt;option value = ""2004""&gt; 2004 &lt;/ option&gt; &lt;option value = ""2003 ""&gt; 2003 &lt;/ option&gt; &lt;option value ="" 2002 ""&gt; 2002 &lt;/ option&gt; &lt;option value ="" 2001 "&amp;"""&gt;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""&gt;"&amp;" 1989 &lt;/ option&gt; &lt;option value ="" 1988 ""&gt; 1988 &lt;/ option&gt; &lt;option value ="" 1987 ""&gt; 1987 &lt;/ option&gt; &lt;option value ="" 1986 ""&gt; 1986 &lt;/ option&gt; &lt;value option = ""1985""&gt; 1985 &lt;/ option&gt; &lt;option value = ""1984""&gt; 1984 &lt;/ option&gt; &lt;option value = ""1983""&gt;"&amp;" 1983 &lt;/ option&gt; &lt;option value = ""1982""&gt; 1982 &lt;/ option&gt; &lt; option value = ""1981""&gt; 1981 &lt;/ option&gt; &lt;option value = ""1980""&gt; 1980 &lt;/ option&gt; &lt;option value = ""1979""&gt; 1979 &lt;/ option&gt; &lt;option value = ""1978""&gt; 1978 &lt;/ option &gt; &lt;option value = ""1977""&gt; "&amp;"1977 &lt;/ option&gt; &lt;option value = ""1976""&gt; 1976 &lt;/ option&gt; &lt;option value = ""1975""&gt; 1975 &lt;/ option&gt; &lt;option value = ""1974""&gt; 1974 &lt; / option&gt; &lt;option value = ""1973""&gt; 1973 &lt;/ option&gt; &lt;option value = ""1972""&gt; 1972 &lt;/ option&gt; &lt;option value = ""1971""&gt; 19"&amp;"71 &lt;/ option&gt; &lt;option value = ""1970""&gt; 1970 &lt;/ option&gt; &lt;option value = ""1969""&gt; 1969 &lt;/ option&gt; &lt;option value = ""1968""&gt; 1968 &lt;/ option&gt; &lt;option value = ""1967""&gt; 1967 &lt;/ option&gt; &lt;option value = ""1966 ""&gt; 1966 &lt;/ option&gt; &lt;option value ="" 1965 ""&gt; 196"&amp;"5 &lt;/ option&gt; &lt;option value ="" 1964 ""&gt; 1964 &lt;/ option&gt; &lt;option value ="" 1963 ""&gt; 1963 &lt;/ option&gt; &lt;option value = ""1962""&gt; 1962 &lt;/ option&gt; &lt;option value = ""1961""&gt; 1961 &lt;/ option&gt; &lt;option value = ""1960""&gt; 1960 &lt;/ op tion&gt; &lt;option value = ""1959""&gt; 195"&amp;"9 &lt;/ option&gt; &lt;option value = ""1958""&gt; 1958 &lt;/ option&gt; &lt;option value = ""1957""&gt; 1957 &lt;/ option&gt; &lt;option value = ""1956""&gt; 1956 &lt;/ option&gt; &lt;option value = ""1955""&gt; 1955 &lt;/ option&gt; &lt;option value = ""1954""&gt; 1954 &lt;/ option&gt; &lt;option value = ""1953""&gt; 1953 &lt;"&amp;"/ option&gt; &lt;option value = ""1952"" &gt; 1952 &lt;/ option&gt; &lt;option value = ""1951""&gt; 1951 &lt;/ option&gt; &lt;option value = ""1950""&gt; 1950 &lt;/ option&gt; &lt;option value = ""1949""&gt; 1949 &lt;/ option&gt; &lt;option value = "" 1948 ""&gt; 1948 &lt;/ option&gt; &lt;option value ="" 1947 ""&gt; 1947 "&amp;"&lt;/ option&gt; &lt;option value ="" 1946 ""&gt; 1946 &lt;/ option&gt; &lt;option value ="" 1945 ""&gt; 1945 &lt;/ option&gt; &lt;value option = ""1944""&gt; 1944 &lt;/ option&gt; &lt;option value = ""1943""&gt; 1943 &lt;/ option&gt; &lt;option value = ""1942""&gt; 1942 &lt;/ option&gt; &lt;option value = ""1941""&gt; 1941 &lt;"&amp;"/ option&gt; &lt; option value = ""1940""&gt; 1940 &lt;/ option&gt; &lt;option value = ""1939""&gt; 1939 &lt;/ option&gt; &lt;option value = ""1938""&gt; 1938 &lt;/ option&gt; &lt;option value = ""1937""&gt; 1937 &lt;/ option &gt; &lt;option value = ""1936""&gt; 1936 &lt;/ option&gt; &lt;option value = ""1935""&gt; 1935 &lt;/"&amp;" option&gt; &lt;option value = ""1934""&gt; 1934 &lt;/ option&gt; &lt;option value = ""1933""&gt; 1933 &lt; / option&gt; &lt;option value = ""1932""&gt; 1932 &lt;/ option&gt; &lt;option value = ""1931""&gt; 1931 &lt;/ option&gt; &lt;option v alue = ""1930""&gt; 1930 &lt;/ option&gt; &lt;option value = ""1929""&gt; 1929 &lt;/ "&amp;"option&gt; &lt;option value = ""1928""&gt; 1928 &lt;/ option&gt; &lt;option value = ""1927""&gt; 1927 &lt;/ option&gt; &lt;option value = ""1926""&gt; 1926 &lt;/ option&gt; &lt;option value = ""1925""&gt; 1925 &lt;/ option&gt; &lt;option value = ""1924""&gt; 1924 &lt;/ option&gt; &lt;option value = ""1923""&gt; 1923 &lt;/ opt"&amp;"ion&gt; &lt;option value = ""1922""&gt; 1922 &lt;/ option&gt; &lt;option value = ""1921""&gt; 1921 &lt;/ option&gt; &lt;option value = ""1920""&gt; 1920 &lt;/ option&gt; &lt;option value = ""1919""&gt; 1919 &lt;/ option&gt; &lt;option value = ""1918""&gt; 1918 &lt;/ option&gt; &lt;option value = ""1917""&gt; 1917 &lt;/ option"&amp;"&gt; &lt;option value = ""1916""&gt; 1916 &lt;/ option&gt; &lt;option value = ""1915"" &gt; 1915 &lt;/ option&gt; &lt;option value = ""1914""&gt; 1914 &lt;/ option&gt; &lt;option value = ""1913""&gt; 1913 &lt;/ option&gt; &lt;option value = ""1912""&gt; 1912 &lt;/ option&gt; &lt;option value = "" 1911 ""&gt; 1911 &lt;/ option"&amp;"&gt; &lt;option value ="" 1910 ""&gt; 1910 &lt;/ option&gt; &lt;option value ="" 1909 ""&gt; 1909 &lt;/ option&gt; &lt;option value ="" 1908 ""&gt; 1908 &lt;/ option&gt; &lt;value option = ""1907""&gt; 1907 &lt;/ option&gt; &lt;option value = ""1906""&gt; 1906 &lt;/ option&gt; &lt;option value = ""1905""&gt; 1905 &lt;/ option"&amp;"&gt; &lt;option value = ""1904""&gt; 1904 &lt;/ option&gt; &lt; option value = ""1903""&gt; 1903 &lt;/ option&gt; &lt;option value = ""1902""&gt; 1902 &lt;/ option&gt; &lt;option value = ""1901""&gt; 19 01 &lt;/ option&gt; &lt;option value = ""1900""&gt; 1900 &lt;/ option&gt; &lt;/ select&gt; &lt;div tabindex = ""- 1"" class "&amp;"= ""airy-age-gate-submit airy-submit-button airy airy-submit- disabled ""&gt; Submit &lt;/ div&gt; &lt;/ div&gt; &lt;/ div&gt; &lt;/ div&gt; &lt;/ div&gt; &lt;/ div&gt; &lt;div tabindex ="" - 1 ""class ="" airy-install-flash-dialog airy-stage airy -vertical-centering-table-dialog airy airy-denied"&amp;" ""style ="" opacity: 0; visibility: hidden; ""&gt; &lt;div tabindex ="" - 1 ""class ="" airy-install-flash-Vertical-centering-table-cell airy-Vertical-centering-table-cell ""&gt; &lt;div tabindex ="" - 1 ""class = ""airy-Vertical-centering-wrapper airy-install-flash"&amp;"-elements-wrapper""&gt; &lt;div tabindex = ""- 1"" class = ""airy-install-flash-elements airy-dialog-elements""&gt; &lt;div tabindex = "" -1 ""class ="" airy-install-flash-prompt ""&gt; Adobe Flash Player is required to watch this video &lt;/ div&gt; &lt;div tabindex =."" - 1 """&amp;"class ="" airy-install-flash-button-wrapper airy -dialog-inner-elements ""&gt; &lt;div tabindex ="" - 1 ""class ="" airy-install-flash-button airy-button ""&gt; install Flash Player &lt;/ div&gt; &lt;/ div&gt; &lt;/ div&gt; &lt;/ div&gt; &lt;/ div&gt; &lt;/ div&gt; &lt;div tabindex = ""- 1"" class = """&amp;"airy-video-unsupported-dialog airy-stage airy-Vertical-centering-table airy-dialog airy-denied"" style = ""opacity: 0; visibility: hidden; ""&gt; &lt;div tabindex ="" - 1 ""class ="" airy-video-unsupported-Vertical-centering-table-cell airy-Vertical-centering-t"&amp;"able-cell ""&gt; &lt;div tabindex ="" - 1 ""class = ""airy-Vertical-centering-wrapper airy-video-unsupported-elements-wrapper""&gt; &lt;div tabindex = ""- 1"" class = ""airy-video-unsupported-elements airy-dialog-elements""&gt; &lt;div tabindex = "" -1 ""class ="" airy-vid"&amp;"eo-unsupported-prompt ""&gt; &lt;/ div&gt; &lt;/ div&gt; &lt;/ div&gt; &lt;/ div&gt; &lt;/ div&gt; &lt;div tabindex ="" - 1 ""class ="" airy-loading- spinner-stage airy-stage ""&gt; &lt;div tabindex ="" - 1 ""class ="" airy-loading-spinner-Vertical-centering-table-cell airy-Vertical-centering-tab"&amp;"le-cell ""&gt; &lt;div tabindex ="" - 1 ""class ="" airy-loading-spinner-container airy-scalable-hint-container ""&gt; &lt;div tabindex ="" - 1 ""class ="" airy-loading-spinner-dummy airy-scalable-dummy ""&gt; &lt;/ div&gt; &lt; div tabindex = ""- 1"" class = ""airy-loading-spin"&amp;"ner airy-hint"" style = ""visibility: hidden;""&gt; &lt;/ div&gt; &lt;/ div&gt; &lt;/ div&gt; &lt;/ div&gt; &lt;div tabindex = ""- 1 ""class ="" airy-ads-screen-size-toggle airy-screen-size-toggle-fullscreen airy ""style ="" visibility: hidden; ""&gt; &lt;/ div&gt; &lt;div tabindex = ""-1"" class"&amp;" = ""airy-ad-prompt-container"" style = ""visibility: hidden;""&gt; &lt;div tabindex = ""- 1"" class = ""airy-ad-prompt-Vertical-centering-table-vertically airy centering-table ""&gt; &lt;div tabindex ="" - 1 ""class ="" airy-ad-prompt-Vertical-centering-table-cell a"&amp;"iry-Vertical-centering-table-cell ""&gt; &lt;div tabindex ="" - 1 ""class = ""airy-ad-prompt-label""&gt; &lt;/ div&gt; &lt;/ div&gt; &lt;/ div&gt; &lt;/ div&gt; &lt;div tabindex = ""- 1"" class = ""airy-ads-controls-container"" style = ""visibility: hidden; ""&gt; &lt;div tabindex ="" - 1 ""class"&amp;" ="" airy-ads-audio-toggle airy-audio-toggle airy-on ""style ="" visibility: hidden; ""&gt; &lt;/ div&gt; &lt;div tabindex ="" - 1 ""class ="" airy-time-remaining-label-container ""&gt; &lt;div tabindex ="" - 1 ""class ="" airy-time-remaining-Vertical-centering-table airy-"&amp;"Vertical-centering-table ""&gt; &lt;div tabindex = ""- 1"" class = ""airy-time-remaining-Vertical-centering-table-cell airy-Vertical-centering-table-cell""&gt; &lt;div tabindex = ""- 1"" class = ""airy-Vertical-centering-wrapper airy-time-remaining-label-wrapper ""&gt; "&amp;"&lt;div tabindex ="" - 1 ""class ="" airy-time-remaining-label ""style ="" visibility: hidden; ""&gt; &lt;/ div&gt; &lt;div tabi ndex = ""- 1"" class = ""airy-ad-skip"" style = ""visibility: hidden;""&gt; &lt;/ div&gt; &lt;div tabindex = ""- 1"" class = ""airy-ad-end"" style = ""vi"&amp;"sibility: hidden ""&gt; &lt;/ div&gt; &lt;/ div&gt; &lt;/ div&gt; &lt;/ div&gt; &lt;/ div&gt; &lt;div tabindex ="" - 1 ""class ="" airy-learn-more ""style ="" visibility: hidden; ""&gt; &lt;/ div&gt; &lt;/ div&gt; &lt;div tabindex = ""- 1"" class = ""airy-play-toggle-hint-stage airy-stage airy-cursor""&gt; &lt;div"&amp;" tabindex = ""- 1"" class = ""airy-play -toggle-hint-Vertical-centering-table-cell airy-Vertical-centering-table-cell airy-cursor ""&gt; &lt;div tabindex ="" - 1 ""class ="" airy-play-toggle-hint-container airy-scalable- Hint-container ""&gt; &lt;div tabindex ="" - 1"&amp;" ""class ="" airy-play-toggle-hint-dummy airy-scalable-dummy ""&gt; &lt;/ div&gt; &lt;div tabindex ="" - 1 ""class ="" airy-play -toggle-hint hint airy-airy-play-hint ""style ="" opacity: 1; visibility: visible; ""&gt; &lt;/ div&gt; &lt;/ div&gt; &lt;/ div&gt; &lt;/ div&gt; &lt;div tabindex ="" -"&amp;" 1 ""class ="" airy-replay-hint-stage airy-stage ""style ="" visibility: hidden ; ""&gt; &lt;div tabindex ="" - 1 ""class ="" airy-replay-hint-Vertical-centering-table-cell airy-Vertical-centering-table-cell airy-cursor ""&gt; &lt;div tabindex ="" - 1 ""class = ""air"&amp;"y-replay-hint-container airy-scalable-hint-container""&gt; &lt;div tabindex = ""- 1"" class = ""airy-replay-hint-dummy airy-scalable-dummy""&gt; &lt;/ div&gt; &lt;div tabindex = ""- 1"" class = ""airy-replay-hint airy-hint""&gt; &lt;/ div&gt; &lt;/ div&gt; &lt;/ div&gt; &lt;/ div&gt; &lt;div tabindex ="&amp;" ""- 1"" class = ""airy-autoplay-hint -stage airy-stage ""style ="" visibility: hidden; ""&gt; &lt;div tabindex ="" - 1 ""class ="" airy-autoplay-hint-Vertical-centering-table-cell airy-Vertical-centering-table-cell airy- cursor ""&gt; &lt;div tabindex ="" - 1 ""clas"&amp;"s ="" autoplay airy-airy-hint-container-scalable-hint-container ""&gt; &lt;div tabindex ="" - 1 ""class ="" airy-autoplay-hint-dummy airy- scalable-dummy ""&gt; &lt;/ div&gt; &lt;/ div&gt; &lt;/ div&gt; &lt;/ div&gt; &lt;/ div&gt; &lt;/ div&gt; &lt;input type ="" hidden ""name ="" ""value ="" https: //"&amp;" images-eu .ssl-images amazon.com-/ images / I / 81MpMYpA-jS.mp4 ""Class ="" video-url ""&gt; &lt;input type ="" hidden ""name ="" ""value ="" https://images-eu.ssl-images-amazon.com/images/I/91qo7jm7lqS.png ""class ="" video-slate-img-url ""&gt; &amp; nbsp; headphone"&amp;"s fit the ear shape and fit into the ear to provide you the comfort you are looking for when you do sport and want to have your hands free. Adaptation bands may seem somewhat flimsy, but they are not. They are of a plastic material, not stiff, which makes"&amp;" them very comfortable, not invasive behind the ears and a maximum endurance (see video). A recommended buy, no doubt.")</f>
        <v>right product for use which is intended &lt;div id = "video-block-R2EU67V3FTZFBE" class = "a-section a-spacing-small a-spacing-top mini video-block"&gt; &lt;div tabindex = "0 "class =" airy airy-svg vmin-unsupported airy-skin-beacon "style =" background-color: rgb (0, 0, 0) position: relative; width: 100%; height: 100%; font-size : 0px; overflow: hidden; outline: none; "&gt; &lt;div class =" airy-renderer-container "style =" position: relative; height: 100%; width: 100%; "&gt; &lt;video id =" 7 " preload = "auto" src = "https://images-eu.ssl-images-amazon.com/images/I/81MpMYpA-jS.mp4" style = "position: absolute; left: 0px; top: 0px; overflow : hidden; height: 1px; width: 1px; "&gt; &lt;/ video&gt; &lt;/ div&gt; &lt;div id =" airy-slate-preload "style =" background-color: rgb (0, 0, 0); background- image: url (&amp; quot; https: //images-eu.ssl-images-amazon.com/images/I/91qo7jm7lqS.png&amp;quot;); background-size: Contain; background-position: center center; background-repeat: no -repeat; position: absolute; top: 0px; left: 0px; visibility: visible; width: 100%; hei ght: 100%;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 amazon.com-/ images / I / 81MpMYpA-jS.mp4 "Class =" video-url "&gt; &lt;input type =" hidden "name =" "value =" https://images-eu.ssl-images-amazon.com/images/I/91qo7jm7lqS.png "class =" video-slate-img-url "&gt; &amp; nbsp; headphones fit the ear shape and fit into the ear to provide you the comfort you are looking for when you do sport and want to have your hands free. Adaptation bands may seem somewhat flimsy, but they are not. They are of a plastic material, not stiff, which makes them very comfortable, not invasive behind the ears and a maximum endurance (see video). A recommended buy, no doubt.</v>
      </c>
    </row>
    <row r="15108">
      <c r="A15108" s="1">
        <v>4.0</v>
      </c>
      <c r="B15108" s="1" t="s">
        <v>14971</v>
      </c>
      <c r="C15108" t="str">
        <f>IFERROR(__xludf.DUMMYFUNCTION("GOOGLETRANSLATE(B15108, ""es"", ""en"")"),"Good and cheap watch Verda taste is pretty and it's cool. It has good quality")</f>
        <v>Good and cheap watch Verda taste is pretty and it's cool. It has good quality</v>
      </c>
    </row>
    <row r="15109">
      <c r="A15109" s="1">
        <v>4.0</v>
      </c>
      <c r="B15109" s="1" t="s">
        <v>14972</v>
      </c>
      <c r="C15109" t="str">
        <f>IFERROR(__xludf.DUMMYFUNCTION("GOOGLETRANSLATE(B15109, ""es"", ""en"")"),"the cheapest of its kind Pedi this card for LG G3 and I came to the month, the truth is that it has a bit silly gigas for movies and other meter. In addition to the packaging makes you have a lifetime warranty, it is not if this is true, what if it is ove"&amp;"r 5 years 64GB will be a pittance for HD content")</f>
        <v>the cheapest of its kind Pedi this card for LG G3 and I came to the month, the truth is that it has a bit silly gigas for movies and other meter. In addition to the packaging makes you have a lifetime warranty, it is not if this is true, what if it is over 5 years 64GB will be a pittance for HD content</v>
      </c>
    </row>
    <row r="15110">
      <c r="A15110" s="1">
        <v>4.0</v>
      </c>
      <c r="B15110" s="1" t="s">
        <v>14973</v>
      </c>
      <c r="C15110" t="str">
        <f>IFERROR(__xludf.DUMMYFUNCTION("GOOGLETRANSLATE(B15110, ""es"", ""en"")"),"What was looking for my daughter loved, carve good and the quality is good.")</f>
        <v>What was looking for my daughter loved, carve good and the quality is good.</v>
      </c>
    </row>
    <row r="15111">
      <c r="A15111" s="1">
        <v>4.0</v>
      </c>
      <c r="B15111" s="1" t="s">
        <v>14974</v>
      </c>
      <c r="C15111" t="str">
        <f>IFERROR(__xludf.DUMMYFUNCTION("GOOGLETRANSLATE(B15111, ""es"", ""en"")"),"USB Memory SanDisk 118 GB ""real"" Meets expectations, having a team ""assembled as"" still connected to an MSI X99A Gaming 7 USB 3.1, I can not get the transfer rate USB 3.0, I do not know why, if I know that these memories are going well, the least HP O"&amp;"mni 1201es (All in One), instead go two SanDisk Extreme 64GB and two SanDisk Super Glide 64GB which does not recognize any team ..., pear pulling ... they are precisely armatrostes, although on a laptop will be difficult to connect two together for the di"&amp;"stance between ports, and after discovering the wonder ""at the least for the moment"" ... which are the Kingston DataTraveler SE9 G2 USB 3.0 P3, are highly recommended for its small size therefore its connectivity or connection even on laptops however to"&amp;"gether they are ports ... None reaches 124 GB, is impossible if gigas are multiplied by a thousand Cundo should be by 1024 ... I recommend the SanDisk because it works ... I must say that d and several of them ... some came not to be recognized by any ""n"&amp;"ormal"" computer ...")</f>
        <v>USB Memory SanDisk 118 GB "real" Meets expectations, having a team "assembled as" still connected to an MSI X99A Gaming 7 USB 3.1, I can not get the transfer rate USB 3.0, I do not know why, if I know that these memories are going well, the least HP Omni 1201es (All in One), instead go two SanDisk Extreme 64GB and two SanDisk Super Glide 64GB which does not recognize any team ..., pear pulling ... they are precisely armatrostes, although on a laptop will be difficult to connect two together for the distance between ports, and after discovering the wonder "at the least for the moment" ... which are the Kingston DataTraveler SE9 G2 USB 3.0 P3, are highly recommended for its small size therefore its connectivity or connection even on laptops however together they are ports ... None reaches 124 GB, is impossible if gigas are multiplied by a thousand Cundo should be by 1024 ... I recommend the SanDisk because it works ... I must say that d and several of them ... some came not to be recognized by any "normal" computer ...</v>
      </c>
    </row>
    <row r="15112">
      <c r="A15112" s="1">
        <v>5.0</v>
      </c>
      <c r="B15112" s="1" t="s">
        <v>14975</v>
      </c>
      <c r="C15112" t="str">
        <f>IFERROR(__xludf.DUMMYFUNCTION("GOOGLETRANSLATE(B15112, ""es"", ""en"")"),"Perfect comfortable shoes more comfortable ke have had security")</f>
        <v>Perfect comfortable shoes more comfortable ke have had security</v>
      </c>
    </row>
    <row r="15113">
      <c r="A15113" s="1">
        <v>5.0</v>
      </c>
      <c r="B15113" s="1" t="s">
        <v>14976</v>
      </c>
      <c r="C15113" t="str">
        <f>IFERROR(__xludf.DUMMYFUNCTION("GOOGLETRANSLATE(B15113, ""es"", ""en"")"),"MA I love! I was going crazy looking for a way xq bambas approx 10km a day. And was tired of the technicalities of the different brands are perfect etc ... make you taller, great for back posture and all the protected plant foot! And super price !!!!")</f>
        <v>MA I love! I was going crazy looking for a way xq bambas approx 10km a day. And was tired of the technicalities of the different brands are perfect etc ... make you taller, great for back posture and all the protected plant foot! And super price !!!!</v>
      </c>
    </row>
    <row r="15114">
      <c r="A15114" s="1">
        <v>5.0</v>
      </c>
      <c r="B15114" s="1" t="s">
        <v>14977</v>
      </c>
      <c r="C15114" t="str">
        <f>IFERROR(__xludf.DUMMYFUNCTION("GOOGLETRANSLATE(B15114, ""es"", ""en"")"),"Ideal for frioleros is ideal for those who somo very sensitive to cold, warms only the bottom, but having little hair inside retains heat well enough. Touch is very nice.")</f>
        <v>Ideal for frioleros is ideal for those who somo very sensitive to cold, warms only the bottom, but having little hair inside retains heat well enough. Touch is very nice.</v>
      </c>
    </row>
    <row r="15115">
      <c r="A15115" s="1">
        <v>5.0</v>
      </c>
      <c r="B15115" s="1" t="s">
        <v>14978</v>
      </c>
      <c r="C15115" t="str">
        <f>IFERROR(__xludf.DUMMYFUNCTION("GOOGLETRANSLATE(B15115, ""es"", ""en"")"),"Very useful. Excelent product. Finishes with mold condensation with only one application.")</f>
        <v>Very useful. Excelent product. Finishes with mold condensation with only one application.</v>
      </c>
    </row>
    <row r="15116">
      <c r="A15116" s="1">
        <v>5.0</v>
      </c>
      <c r="B15116" s="1" t="s">
        <v>14979</v>
      </c>
      <c r="C15116" t="str">
        <f>IFERROR(__xludf.DUMMYFUNCTION("GOOGLETRANSLATE(B15116, ""es"", ""en"")"),"Good Value nice shirt, you have to order one size smaller which is used, otherwise perfect")</f>
        <v>Good Value nice shirt, you have to order one size smaller which is used, otherwise perfect</v>
      </c>
    </row>
    <row r="15117">
      <c r="A15117" s="1">
        <v>5.0</v>
      </c>
      <c r="B15117" s="1" t="s">
        <v>14980</v>
      </c>
      <c r="C15117" t="str">
        <f>IFERROR(__xludf.DUMMYFUNCTION("GOOGLETRANSLATE(B15117, ""es"", ""en"")"),"Caraoke good microphones. They are great, I've tried and they sound pretty good.")</f>
        <v>Caraoke good microphones. They are great, I've tried and they sound pretty good.</v>
      </c>
    </row>
    <row r="15118">
      <c r="A15118" s="1">
        <v>5.0</v>
      </c>
      <c r="B15118" s="1" t="s">
        <v>14981</v>
      </c>
      <c r="C15118" t="str">
        <f>IFERROR(__xludf.DUMMYFUNCTION("GOOGLETRANSLATE(B15118, ""es"", ""en"")"),"The original box to another by Amazon changed by this damaged")</f>
        <v>The original box to another by Amazon changed by this damaged</v>
      </c>
    </row>
    <row r="15119">
      <c r="A15119" s="1">
        <v>5.0</v>
      </c>
      <c r="B15119" s="1" t="s">
        <v>14982</v>
      </c>
      <c r="C15119" t="str">
        <f>IFERROR(__xludf.DUMMYFUNCTION("GOOGLETRANSLATE(B15119, ""es"", ""en"")"),"Pra very practical Perfect for windows")</f>
        <v>Pra very practical Perfect for windows</v>
      </c>
    </row>
    <row r="15120">
      <c r="A15120" s="1">
        <v>5.0</v>
      </c>
      <c r="B15120" s="1" t="s">
        <v>14983</v>
      </c>
      <c r="C15120" t="str">
        <f>IFERROR(__xludf.DUMMYFUNCTION("GOOGLETRANSLATE(B15120, ""es"", ""en"")"),"The comfort is very comfortable")</f>
        <v>The comfort is very comfortable</v>
      </c>
    </row>
    <row r="15121">
      <c r="A15121" s="1">
        <v>5.0</v>
      </c>
      <c r="B15121" s="1" t="s">
        <v>14984</v>
      </c>
      <c r="C15121" t="str">
        <f>IFERROR(__xludf.DUMMYFUNCTION("GOOGLETRANSLATE(B15121, ""es"", ""en"")"),"The luxury watch is very good, very happy with it. I recommend purchase.")</f>
        <v>The luxury watch is very good, very happy with it. I recommend purchase.</v>
      </c>
    </row>
    <row r="15122">
      <c r="A15122" s="1">
        <v>5.0</v>
      </c>
      <c r="B15122" s="1" t="s">
        <v>14985</v>
      </c>
      <c r="C15122" t="str">
        <f>IFERROR(__xludf.DUMMYFUNCTION("GOOGLETRANSLATE(B15122, ""es"", ""en"")"),"Good quality - Perfect price to fill with jelly beans or Lacasitos was the perfect gift for the Baby Shower invited to my child.")</f>
        <v>Good quality - Perfect price to fill with jelly beans or Lacasitos was the perfect gift for the Baby Shower invited to my child.</v>
      </c>
    </row>
    <row r="15123">
      <c r="A15123" s="1">
        <v>5.0</v>
      </c>
      <c r="B15123" s="1" t="s">
        <v>14986</v>
      </c>
      <c r="C15123" t="str">
        <f>IFERROR(__xludf.DUMMYFUNCTION("GOOGLETRANSLATE(B15123, ""es"", ""en"")"),"The Porqye elasticity is good for the gym")</f>
        <v>The Porqye elasticity is good for the gym</v>
      </c>
    </row>
    <row r="15124">
      <c r="A15124" s="1">
        <v>5.0</v>
      </c>
      <c r="B15124" s="1" t="s">
        <v>14987</v>
      </c>
      <c r="C15124" t="str">
        <f>IFERROR(__xludf.DUMMYFUNCTION("GOOGLETRANSLATE(B15124, ""es"", ""en"")"),"That foot spa joy after a hard day working eight hours walk to get home and give me a foot massage with my spa. It's going great, it relaxes your feet a lot. Heated water and bubbles. It also has a carrying handle. Very happy")</f>
        <v>That foot spa joy after a hard day working eight hours walk to get home and give me a foot massage with my spa. It's going great, it relaxes your feet a lot. Heated water and bubbles. It also has a carrying handle. Very happy</v>
      </c>
    </row>
    <row r="15125">
      <c r="A15125" s="1">
        <v>5.0</v>
      </c>
      <c r="B15125" s="1" t="s">
        <v>14988</v>
      </c>
      <c r="C15125" t="str">
        <f>IFERROR(__xludf.DUMMYFUNCTION("GOOGLETRANSLATE(B15125, ""es"", ""en"")"),"Good size and quality Very nice and good quality, is seen in zippers and sewn. Very good and not very big for the 4 things you carry when you go out for a moment")</f>
        <v>Good size and quality Very nice and good quality, is seen in zippers and sewn. Very good and not very big for the 4 things you carry when you go out for a moment</v>
      </c>
    </row>
    <row r="15126">
      <c r="A15126" s="1">
        <v>5.0</v>
      </c>
      <c r="B15126" s="1" t="s">
        <v>14989</v>
      </c>
      <c r="C15126" t="str">
        <f>IFERROR(__xludf.DUMMYFUNCTION("GOOGLETRANSLATE(B15126, ""es"", ""en"")"),"All right Botas high quality and adaptable within a few hours to the foot, are very comfortable and elegant not only for the country but also for the city. Finally ten and as for the impeccable service Amazon")</f>
        <v>All right Botas high quality and adaptable within a few hours to the foot, are very comfortable and elegant not only for the country but also for the city. Finally ten and as for the impeccable service Amazon</v>
      </c>
    </row>
    <row r="15127">
      <c r="A15127" s="1">
        <v>5.0</v>
      </c>
      <c r="B15127" s="1" t="s">
        <v>14990</v>
      </c>
      <c r="C15127" t="str">
        <f>IFERROR(__xludf.DUMMYFUNCTION("GOOGLETRANSLATE(B15127, ""es"", ""en"")"),"Satisfied. They are very pretty")</f>
        <v>Satisfied. They are very pretty</v>
      </c>
    </row>
    <row r="15128">
      <c r="A15128" s="1">
        <v>5.0</v>
      </c>
      <c r="B15128" s="1" t="s">
        <v>14991</v>
      </c>
      <c r="C15128" t="str">
        <f>IFERROR(__xludf.DUMMYFUNCTION("GOOGLETRANSLATE(B15128, ""es"", ""en"")"),"It's just what I wanted. Classic shoes of a classic brand sport for many years. Special for nostalgics. Not necessarily addicted to the sport!")</f>
        <v>It's just what I wanted. Classic shoes of a classic brand sport for many years. Special for nostalgics. Not necessarily addicted to the sport!</v>
      </c>
    </row>
    <row r="15129">
      <c r="A15129" s="1">
        <v>5.0</v>
      </c>
      <c r="B15129" s="1" t="s">
        <v>14992</v>
      </c>
      <c r="C15129" t="str">
        <f>IFERROR(__xludf.DUMMYFUNCTION("GOOGLETRANSLATE(B15129, ""es"", ""en"")"),"Sandra vileda Peverelli with clean floors, furniture, bathrooms, kitchen cabinets etc .... faster and easier, thanks to the game microfiber mop bucket and wringer. Thank ..... ****** vileda")</f>
        <v>Sandra vileda Peverelli with clean floors, furniture, bathrooms, kitchen cabinets etc .... faster and easier, thanks to the game microfiber mop bucket and wringer. Thank ..... ****** vileda</v>
      </c>
    </row>
    <row r="15130">
      <c r="A15130" s="1">
        <v>5.0</v>
      </c>
      <c r="B15130" s="1" t="s">
        <v>14993</v>
      </c>
      <c r="C15130" t="str">
        <f>IFERROR(__xludf.DUMMYFUNCTION("GOOGLETRANSLATE(B15130, ""es"", ""en"")"),"Quality at a very good price The watch is very nice and meet my expectations. Thank you.")</f>
        <v>Quality at a very good price The watch is very nice and meet my expectations. Thank you.</v>
      </c>
    </row>
    <row r="15131">
      <c r="A15131" s="1">
        <v>2.0</v>
      </c>
      <c r="B15131" s="1" t="s">
        <v>14994</v>
      </c>
      <c r="C15131" t="str">
        <f>IFERROR(__xludf.DUMMYFUNCTION("GOOGLETRANSLATE(B15131, ""es"", ""en"")"),"Sleazy After the first wash have been me as if they were old, with small balls, used ... look super happened to me with 3 pairs. Size 39 is for something big")</f>
        <v>Sleazy After the first wash have been me as if they were old, with small balls, used ... look super happened to me with 3 pairs. Size 39 is for something big</v>
      </c>
    </row>
    <row r="15132">
      <c r="A15132" s="1">
        <v>3.0</v>
      </c>
      <c r="B15132" s="1" t="s">
        <v>14995</v>
      </c>
      <c r="C15132" t="str">
        <f>IFERROR(__xludf.DUMMYFUNCTION("GOOGLETRANSLATE(B15132, ""es"", ""en"")"),"Not bad Well I do not know how to be eco Pranamat, and if better or worse let me back this, but I'm happy with it. I buy it because they charge a lot back. Especially the neck. And if I notice relief to the use. I will not say that heals me and remove the"&amp;" knots and spasms, but if you notice improvement. It will be another miracle or will the same function ???")</f>
        <v>Not bad Well I do not know how to be eco Pranamat, and if better or worse let me back this, but I'm happy with it. I buy it because they charge a lot back. Especially the neck. And if I notice relief to the use. I will not say that heals me and remove the knots and spasms, but if you notice improvement. It will be another miracle or will the same function ???</v>
      </c>
    </row>
    <row r="15133">
      <c r="A15133" s="1">
        <v>1.0</v>
      </c>
      <c r="B15133" s="1" t="s">
        <v>14996</v>
      </c>
      <c r="C15133" t="str">
        <f>IFERROR(__xludf.DUMMYFUNCTION("GOOGLETRANSLATE(B15133, ""es"", ""en"")"),"DEFECTIVE disk gigabyte price went very well, besides being 3.0, the inner disk is a seagate. The actual size is 1.862GB (0,9313x2000) little I can say, since passing the data to the hard disk is locked was little time, tried several times with small file"&amp;"s, ISOs, etc. but the Porco time it crashed, luckily happened to me in hand and not lose data because it would spend 2 drive this (Free Me) It's the first time I bought this brand (Maxtor 2TB) can be unlucky but buy a WD that although more expensive gives"&amp;" me more confidence. * Before starting the disc saw that there had hours of use so that the same is the controller. Use USB 3.1 and 3.0 ports writing about 100MB / sec but was blocked, which with my other hard drives does not occur. ** I saw the comments "&amp;"of people who went wrong disk, but I figured it would be a bad batch and why buy it, now I'm doing the back and do not intend to take another and try to see what happens")</f>
        <v>DEFECTIVE disk gigabyte price went very well, besides being 3.0, the inner disk is a seagate. The actual size is 1.862GB (0,9313x2000) little I can say, since passing the data to the hard disk is locked was little time, tried several times with small files, ISOs, etc. but the Porco time it crashed, luckily happened to me in hand and not lose data because it would spend 2 drive this (Free Me) It's the first time I bought this brand (Maxtor 2TB) can be unlucky but buy a WD that although more expensive gives me more confidence. * Before starting the disc saw that there had hours of use so that the same is the controller. Use USB 3.1 and 3.0 ports writing about 100MB / sec but was blocked, which with my other hard drives does not occur. ** I saw the comments of people who went wrong disk, but I figured it would be a bad batch and why buy it, now I'm doing the back and do not intend to take another and try to see what happens</v>
      </c>
    </row>
    <row r="15134">
      <c r="A15134" s="1">
        <v>1.0</v>
      </c>
      <c r="B15134" s="1" t="s">
        <v>14997</v>
      </c>
      <c r="C15134" t="str">
        <f>IFERROR(__xludf.DUMMYFUNCTION("GOOGLETRANSLATE(B15134, ""es"", ""en"")"),"Lamentable the service Amazon and the seller being a defective product after less than a month of use has begun to peel off the base of the blade and loosen bits of plastic. Service and Amazon seller: LAMENTABLE, they have abdicated all, not recommended")</f>
        <v>Lamentable the service Amazon and the seller being a defective product after less than a month of use has begun to peel off the base of the blade and loosen bits of plastic. Service and Amazon seller: LAMENTABLE, they have abdicated all, not recommended</v>
      </c>
    </row>
    <row r="15135">
      <c r="A15135" s="1">
        <v>1.0</v>
      </c>
      <c r="B15135" s="1" t="s">
        <v>14998</v>
      </c>
      <c r="C15135" t="str">
        <f>IFERROR(__xludf.DUMMYFUNCTION("GOOGLETRANSLATE(B15135, ""es"", ""en"")"),"I have been disappointed. I not recommend. I ordered size as spending 44.5 44 shoes, but I are small and hurt me. I have not clear that they are original.")</f>
        <v>I have been disappointed. I not recommend. I ordered size as spending 44.5 44 shoes, but I are small and hurt me. I have not clear that they are original.</v>
      </c>
    </row>
    <row r="15136">
      <c r="A15136" s="1">
        <v>4.0</v>
      </c>
      <c r="B15136" s="1" t="s">
        <v>14999</v>
      </c>
      <c r="C15136" t="str">
        <f>IFERROR(__xludf.DUMMYFUNCTION("GOOGLETRANSLATE(B15136, ""es"", ""en"")"),"Rita is a box q is well priced. Fulfills its function. But ... is not of excellent quality. Activate the closing cost but now works well. The key also. Q is for the price, okay. I compared it to a FAQ that previously had ... and see the bottom. But qualit"&amp;"y- price recommend")</f>
        <v>Rita is a box q is well priced. Fulfills its function. But ... is not of excellent quality. Activate the closing cost but now works well. The key also. Q is for the price, okay. I compared it to a FAQ that previously had ... and see the bottom. But quality- price recommend</v>
      </c>
    </row>
    <row r="15137">
      <c r="A15137" s="1">
        <v>4.0</v>
      </c>
      <c r="B15137" s="1" t="s">
        <v>15000</v>
      </c>
      <c r="C15137" t="str">
        <f>IFERROR(__xludf.DUMMYFUNCTION("GOOGLETRANSLATE(B15137, ""es"", ""en"")"),"Its aroma is very pleasant smell and also relaxes you to sleep")</f>
        <v>Its aroma is very pleasant smell and also relaxes you to sleep</v>
      </c>
    </row>
    <row r="15138">
      <c r="A15138" s="1">
        <v>4.0</v>
      </c>
      <c r="B15138" s="1" t="s">
        <v>15001</v>
      </c>
      <c r="C15138" t="str">
        <f>IFERROR(__xludf.DUMMYFUNCTION("GOOGLETRANSLATE(B15138, ""es"", ""en"")"),"Satisfied Has great place, great to take a compact camera, even a reflex with short lens, tripod gorilla style. It has three interior sections, one with zip and one zipped outside. Noticeable resistant shoulder strap and good touch.")</f>
        <v>Satisfied Has great place, great to take a compact camera, even a reflex with short lens, tripod gorilla style. It has three interior sections, one with zip and one zipped outside. Noticeable resistant shoulder strap and good touch.</v>
      </c>
    </row>
    <row r="15139">
      <c r="A15139" s="1">
        <v>4.0</v>
      </c>
      <c r="B15139" s="1" t="s">
        <v>15002</v>
      </c>
      <c r="C15139" t="str">
        <f>IFERROR(__xludf.DUMMYFUNCTION("GOOGLETRANSLATE(B15139, ""es"", ""en"")"),"Comfort is a comfortable shoe, is snug against foot and size properly. In case of heavy rain Creek")</f>
        <v>Comfort is a comfortable shoe, is snug against foot and size properly. In case of heavy rain Creek</v>
      </c>
    </row>
    <row r="15140">
      <c r="A15140" s="1">
        <v>4.0</v>
      </c>
      <c r="B15140" s="1" t="s">
        <v>15003</v>
      </c>
      <c r="C15140" t="str">
        <f>IFERROR(__xludf.DUMMYFUNCTION("GOOGLETRANSLATE(B15140, ""es"", ""en"")"),"GRILLED SUPER NORMAL Often, talking about appliances, what we seek, sometimes in vain, is the standard model of the range, a regular microwave, a regular blender, toaster normal or normal iron. Unsophisticated or extras, we're not going to want, or know h"&amp;"ow to use power. Well, this is a normal iron. If that's what you're looking for, you just found. Its power is not extraordinary (2.200W), but more than enough for everyday use in a home, for that, normal. It is true that there are higher power models, but"&amp;" they do not generally spend more than we can compensate for this overspending with tangible benefits to our habitual use. We tend to surround ourselves with objects clearly oversized in relation to our real needs. The burst of steam (130g / min) is more "&amp;"than enough, it slides very well, and what for me is the best of all, it weighs nothing. In addition, the cable is long enough. Has a self-cleaning button, I do not know exactly what it means, but it sounds good; and the possibility of vertically board, w"&amp;"hich makes it especially useful in a fashion store, where it is often necessary to review the items that come from the store before exposing them in the store. Finally, I think it has a very correct price in relation to quality and performance.")</f>
        <v>GRILLED SUPER NORMAL Often, talking about appliances, what we seek, sometimes in vain, is the standard model of the range, a regular microwave, a regular blender, toaster normal or normal iron. Unsophisticated or extras, we're not going to want, or know how to use power. Well, this is a normal iron. If that's what you're looking for, you just found. Its power is not extraordinary (2.200W), but more than enough for everyday use in a home, for that, normal. It is true that there are higher power models, but they do not generally spend more than we can compensate for this overspending with tangible benefits to our habitual use. We tend to surround ourselves with objects clearly oversized in relation to our real needs. The burst of steam (130g / min) is more than enough, it slides very well, and what for me is the best of all, it weighs nothing. In addition, the cable is long enough. Has a self-cleaning button, I do not know exactly what it means, but it sounds good; and the possibility of vertically board, which makes it especially useful in a fashion store, where it is often necessary to review the items that come from the store before exposing them in the store. Finally, I think it has a very correct price in relation to quality and performance.</v>
      </c>
    </row>
    <row r="15141">
      <c r="A15141" s="1">
        <v>5.0</v>
      </c>
      <c r="B15141" s="1" t="s">
        <v>15004</v>
      </c>
      <c r="C15141" t="str">
        <f>IFERROR(__xludf.DUMMYFUNCTION("GOOGLETRANSLATE(B15141, ""es"", ""en"")"),"Very satisfied very comfortable and beautiful shoes, I am very happy with them and most importantly, the size is right, I have 44 and corresponds well with what I expected.")</f>
        <v>Very satisfied very comfortable and beautiful shoes, I am very happy with them and most importantly, the size is right, I have 44 and corresponds well with what I expected.</v>
      </c>
    </row>
    <row r="15142">
      <c r="A15142" s="1">
        <v>5.0</v>
      </c>
      <c r="B15142" s="1" t="s">
        <v>15005</v>
      </c>
      <c r="C15142" t="str">
        <f>IFERROR(__xludf.DUMMYFUNCTION("GOOGLETRANSLATE(B15142, ""es"", ""en"")"),"PERFECT I love. Very nice, comfortable and elegant. I've had more time these shoes and no problem. They are DRESS !! If you want to give them to your hij @ and take them to the cole and play soccer with them ... I do not recommend them. I leave photos of "&amp;"the garnets shoes because the web are somewhat different. (The garnets are unused and black and took her 6 months and are as new)")</f>
        <v>PERFECT I love. Very nice, comfortable and elegant. I've had more time these shoes and no problem. They are DRESS !! If you want to give them to your hij @ and take them to the cole and play soccer with them ... I do not recommend them. I leave photos of the garnets shoes because the web are somewhat different. (The garnets are unused and black and took her 6 months and are as new)</v>
      </c>
    </row>
    <row r="15143">
      <c r="A15143" s="1">
        <v>5.0</v>
      </c>
      <c r="B15143" s="1" t="s">
        <v>15006</v>
      </c>
      <c r="C15143" t="str">
        <f>IFERROR(__xludf.DUMMYFUNCTION("GOOGLETRANSLATE(B15143, ""es"", ""en"")"),"quality - comfortable price for my arms and hands. Good support and help to end the day without having to support all the time bare arm on the table, so can avoid injuries in specific cases.")</f>
        <v>quality - comfortable price for my arms and hands. Good support and help to end the day without having to support all the time bare arm on the table, so can avoid injuries in specific cases.</v>
      </c>
    </row>
    <row r="15144">
      <c r="A15144" s="1">
        <v>5.0</v>
      </c>
      <c r="B15144" s="1" t="s">
        <v>15007</v>
      </c>
      <c r="C15144" t="str">
        <f>IFERROR(__xludf.DUMMYFUNCTION("GOOGLETRANSLATE(B15144, ""es"", ""en"")"),"Very good very good product, very good size, and accessories that serve pretty, very good for a detail")</f>
        <v>Very good very good product, very good size, and accessories that serve pretty, very good for a detail</v>
      </c>
    </row>
    <row r="15145">
      <c r="A15145" s="1">
        <v>5.0</v>
      </c>
      <c r="B15145" s="1" t="s">
        <v>15008</v>
      </c>
      <c r="C15145" t="str">
        <f>IFERROR(__xludf.DUMMYFUNCTION("GOOGLETRANSLATE(B15145, ""es"", ""en"")"),"I recommend. Hi. Helmets cheap and good. I recommend purchase. Greetings from Manoteras.")</f>
        <v>I recommend. Hi. Helmets cheap and good. I recommend purchase. Greetings from Manoteras.</v>
      </c>
    </row>
    <row r="15146">
      <c r="A15146" s="1">
        <v>5.0</v>
      </c>
      <c r="B15146" s="1" t="s">
        <v>15009</v>
      </c>
      <c r="C15146" t="str">
        <f>IFERROR(__xludf.DUMMYFUNCTION("GOOGLETRANSLATE(B15146, ""es"", ""en"")"),"Very comfortable and lightweight Very comfortable and lightweight. Very discreet despite the size and despite being a g-shock, which are inherently very striking, but having letters in black becomes less cantoso. The truth is very happy with the")</f>
        <v>Very comfortable and lightweight Very comfortable and lightweight. Very discreet despite the size and despite being a g-shock, which are inherently very striking, but having letters in black becomes less cantoso. The truth is very happy with the</v>
      </c>
    </row>
    <row r="15147">
      <c r="A15147" s="1">
        <v>5.0</v>
      </c>
      <c r="B15147" s="1" t="s">
        <v>15010</v>
      </c>
      <c r="C15147" t="str">
        <f>IFERROR(__xludf.DUMMYFUNCTION("GOOGLETRANSLATE(B15147, ""es"", ""en"")"),"The blender is all good as the description says and it works like a charm. I just hope for the same result as my previous minipimer that was luxury ...")</f>
        <v>The blender is all good as the description says and it works like a charm. I just hope for the same result as my previous minipimer that was luxury ...</v>
      </c>
    </row>
    <row r="15148">
      <c r="A15148" s="1">
        <v>5.0</v>
      </c>
      <c r="B15148" s="1" t="s">
        <v>15011</v>
      </c>
      <c r="C15148" t="str">
        <f>IFERROR(__xludf.DUMMYFUNCTION("GOOGLETRANSLATE(B15148, ""es"", ""en"")"),"very good! I like a lot, smell and notice quite natural.")</f>
        <v>very good! I like a lot, smell and notice quite natural.</v>
      </c>
    </row>
    <row r="15149">
      <c r="A15149" s="1">
        <v>5.0</v>
      </c>
      <c r="B15149" s="1" t="s">
        <v>15012</v>
      </c>
      <c r="C15149" t="str">
        <f>IFERROR(__xludf.DUMMYFUNCTION("GOOGLETRANSLATE(B15149, ""es"", ""en"")"),"It is very well thanks are fine and good tissue")</f>
        <v>It is very well thanks are fine and good tissue</v>
      </c>
    </row>
    <row r="15150">
      <c r="A15150" s="1">
        <v>5.0</v>
      </c>
      <c r="B15150" s="1" t="s">
        <v>15013</v>
      </c>
      <c r="C15150" t="str">
        <f>IFERROR(__xludf.DUMMYFUNCTION("GOOGLETRANSLATE(B15150, ""es"", ""en"")"),"Very good buy very good quality and very nice. Delivery term")</f>
        <v>Very good buy very good quality and very nice. Delivery term</v>
      </c>
    </row>
    <row r="15151">
      <c r="A15151" s="1">
        <v>5.0</v>
      </c>
      <c r="B15151" s="1" t="s">
        <v>15014</v>
      </c>
      <c r="C15151" t="str">
        <f>IFERROR(__xludf.DUMMYFUNCTION("GOOGLETRANSLATE(B15151, ""es"", ""en"")"),"Quality and perfect size Large size and discreet")</f>
        <v>Quality and perfect size Large size and discreet</v>
      </c>
    </row>
    <row r="15152">
      <c r="A15152" s="1">
        <v>5.0</v>
      </c>
      <c r="B15152" s="1" t="s">
        <v>15015</v>
      </c>
      <c r="C15152" t="str">
        <f>IFERROR(__xludf.DUMMYFUNCTION("GOOGLETRANSLATE(B15152, ""es"", ""en"")"),"Good value for money. Higher quality than I expected and price compared to others. Assembly instructions clear enough.")</f>
        <v>Good value for money. Higher quality than I expected and price compared to others. Assembly instructions clear enough.</v>
      </c>
    </row>
    <row r="15153">
      <c r="A15153" s="1">
        <v>5.0</v>
      </c>
      <c r="B15153" s="1" t="s">
        <v>15016</v>
      </c>
      <c r="C15153" t="str">
        <f>IFERROR(__xludf.DUMMYFUNCTION("GOOGLETRANSLATE(B15153, ""es"", ""en"")"),"Remove lint We tested several shops, and the truth that they perfectly fulfill their function")</f>
        <v>Remove lint We tested several shops, and the truth that they perfectly fulfill their function</v>
      </c>
    </row>
    <row r="15154">
      <c r="A15154" s="1">
        <v>5.0</v>
      </c>
      <c r="B15154" s="1" t="s">
        <v>15017</v>
      </c>
      <c r="C15154" t="str">
        <f>IFERROR(__xludf.DUMMYFUNCTION("GOOGLETRANSLATE(B15154, ""es"", ""en"")"),"Good product at a good price I've already used before and really is a good product, good price and has gotten me very well rapidísimo.Huele cherry and spreads bastante.Descompone pretty good toilet paper and causes no odor.")</f>
        <v>Good product at a good price I've already used before and really is a good product, good price and has gotten me very well rapidísimo.Huele cherry and spreads bastante.Descompone pretty good toilet paper and causes no odor.</v>
      </c>
    </row>
    <row r="15155">
      <c r="A15155" s="1">
        <v>5.0</v>
      </c>
      <c r="B15155" s="1" t="s">
        <v>15018</v>
      </c>
      <c r="C15155" t="str">
        <f>IFERROR(__xludf.DUMMYFUNCTION("GOOGLETRANSLATE(B15155, ""es"", ""en"")"),"Great Miu well !!!")</f>
        <v>Great Miu well !!!</v>
      </c>
    </row>
    <row r="15156">
      <c r="A15156" s="1">
        <v>5.0</v>
      </c>
      <c r="B15156" s="1" t="s">
        <v>15019</v>
      </c>
      <c r="C15156" t="str">
        <f>IFERROR(__xludf.DUMMYFUNCTION("GOOGLETRANSLATE(B15156, ""es"", ""en"")"),"A nice casio watch for those who like Cassius. It is a watch without complications or pretensions. Comfortable, lightweight and economical. Box tells me I have to put a word this so here goes. Clock")</f>
        <v>A nice casio watch for those who like Cassius. It is a watch without complications or pretensions. Comfortable, lightweight and economical. Box tells me I have to put a word this so here goes. Clock</v>
      </c>
    </row>
    <row r="15157">
      <c r="A15157" s="1">
        <v>5.0</v>
      </c>
      <c r="B15157" s="1" t="s">
        <v>15020</v>
      </c>
      <c r="C15157" t="str">
        <f>IFERROR(__xludf.DUMMYFUNCTION("GOOGLETRANSLATE(B15157, ""es"", ""en"")"),"Perfect and simple. Work perfect and easy to use, buy a new brand of Boya and often give occasional connection failure, generating noise disconnect between the transmitter and receiver, however with this model Rode no problem. If you really do not want to"&amp;" have frights in something as important as audio, advise no doubt in having a good price with high quality.")</f>
        <v>Perfect and simple. Work perfect and easy to use, buy a new brand of Boya and often give occasional connection failure, generating noise disconnect between the transmitter and receiver, however with this model Rode no problem. If you really do not want to have frights in something as important as audio, advise no doubt in having a good price with high quality.</v>
      </c>
    </row>
    <row r="15158">
      <c r="A15158" s="1">
        <v>5.0</v>
      </c>
      <c r="B15158" s="1" t="s">
        <v>15021</v>
      </c>
      <c r="C15158" t="str">
        <f>IFERROR(__xludf.DUMMYFUNCTION("GOOGLETRANSLATE(B15158, ""es"", ""en"")"),"Bracelet very beautiful and elegant, it is very comfortable to always wear, bought for a gift to a child and is delighted.")</f>
        <v>Bracelet very beautiful and elegant, it is very comfortable to always wear, bought for a gift to a child and is delighted.</v>
      </c>
    </row>
    <row r="15159">
      <c r="A15159" s="1">
        <v>2.0</v>
      </c>
      <c r="B15159" s="1" t="s">
        <v>15022</v>
      </c>
      <c r="C15159" t="str">
        <f>IFERROR(__xludf.DUMMYFUNCTION("GOOGLETRANSLATE(B15159, ""es"", ""en"")"),"Very bad ajustes.No splashing I like bulky watches and this for the day to day I was quite llamativo.El clock gives the feeling of a certain quality that does not really leather tiene.El acartona short time, it is difficult to unfasten and on all will not"&amp;" spill the upper and lower controllers agua.Sus have too much slack and maladjustment letting the water and can lead to total failure of maquina.Es a striking clock but sleazy")</f>
        <v>Very bad ajustes.No splashing I like bulky watches and this for the day to day I was quite llamativo.El clock gives the feeling of a certain quality that does not really leather tiene.El acartona short time, it is difficult to unfasten and on all will not spill the upper and lower controllers agua.Sus have too much slack and maladjustment letting the water and can lead to total failure of maquina.Es a striking clock but sleazy</v>
      </c>
    </row>
    <row r="15160">
      <c r="A15160" s="1">
        <v>3.0</v>
      </c>
      <c r="B15160" s="1" t="s">
        <v>15023</v>
      </c>
      <c r="C15160" t="str">
        <f>IFERROR(__xludf.DUMMYFUNCTION("GOOGLETRANSLATE(B15160, ""es"", ""en"")"),"7.27TB ACTUAL I bought reconditioned in perfect condition, it produces an unbearable buzz think the manufacturer should solve, is a serious problem. Loses much noise assessment. I solve it by placing it on plastic pompita (on the advice of a user). I have"&amp;" other TB WD (with curved front) do not make any noise and also incorporate a light activity, do not understand why not carrying the My Book, otherwise fine")</f>
        <v>7.27TB ACTUAL I bought reconditioned in perfect condition, it produces an unbearable buzz think the manufacturer should solve, is a serious problem. Loses much noise assessment. I solve it by placing it on plastic pompita (on the advice of a user). I have other TB WD (with curved front) do not make any noise and also incorporate a light activity, do not understand why not carrying the My Book, otherwise fine</v>
      </c>
    </row>
    <row r="15161">
      <c r="A15161" s="1">
        <v>3.0</v>
      </c>
      <c r="B15161" s="1" t="s">
        <v>15024</v>
      </c>
      <c r="C15161" t="str">
        <f>IFERROR(__xludf.DUMMYFUNCTION("GOOGLETRANSLATE(B15161, ""es"", ""en"")"),"Having good odor in the environment that smells something There are some scents that smell more and others who hardly appreciate")</f>
        <v>Having good odor in the environment that smells something There are some scents that smell more and others who hardly appreciate</v>
      </c>
    </row>
    <row r="15162">
      <c r="A15162" s="1">
        <v>3.0</v>
      </c>
      <c r="B15162" s="1" t="s">
        <v>15025</v>
      </c>
      <c r="C15162" t="str">
        <f>IFERROR(__xludf.DUMMYFUNCTION("GOOGLETRANSLATE(B15162, ""es"", ""en"")"),"I have three devices and this ... Of the three I've had; one of the lidl, another ufesa and this. At the moment it goes well, heated foot to notice a pleasant feeling, but it is the inner sleeve, which is always out. With the above I could not think of th"&amp;"is. 02/18/15 After year and a half with the product can say that today still works very well. The inner fabric remains quite uncomfortable because it flows continuously. and cable connection to the foot warmer is somewhat uncomfortable and very rigid. The"&amp;" general rule still give him three stars, the operation is very good, seems durable (it is the longest running me I've had), but it can be improved. What would buy? Of course, the cons are lower than the benefits and quality")</f>
        <v>I have three devices and this ... Of the three I've had; one of the lidl, another ufesa and this. At the moment it goes well, heated foot to notice a pleasant feeling, but it is the inner sleeve, which is always out. With the above I could not think of this. 02/18/15 After year and a half with the product can say that today still works very well. The inner fabric remains quite uncomfortable because it flows continuously. and cable connection to the foot warmer is somewhat uncomfortable and very rigid. The general rule still give him three stars, the operation is very good, seems durable (it is the longest running me I've had), but it can be improved. What would buy? Of course, the cons are lower than the benefits and quality</v>
      </c>
    </row>
    <row r="15163">
      <c r="A15163" s="1">
        <v>1.0</v>
      </c>
      <c r="B15163" s="1" t="s">
        <v>15026</v>
      </c>
      <c r="C15163" t="str">
        <f>IFERROR(__xludf.DUMMYFUNCTION("GOOGLETRANSLATE(B15163, ""es"", ""en"")"),"Buckles puny. The quality of the shoe itself generally did not seem bad, but I came a broken buckle, and l really looked puny buckles. I returned them, do not change.")</f>
        <v>Buckles puny. The quality of the shoe itself generally did not seem bad, but I came a broken buckle, and l really looked puny buckles. I returned them, do not change.</v>
      </c>
    </row>
    <row r="15164">
      <c r="A15164" s="1">
        <v>1.0</v>
      </c>
      <c r="B15164" s="1" t="s">
        <v>15027</v>
      </c>
      <c r="C15164" t="str">
        <f>IFERROR(__xludf.DUMMYFUNCTION("GOOGLETRANSLATE(B15164, ""es"", ""en"")"),"I expected more from the product. I expected more from the product. Poor quality drawings of the charms are stumped. At the bracelet out of the bag are you hands full of black speckles.")</f>
        <v>I expected more from the product. I expected more from the product. Poor quality drawings of the charms are stumped. At the bracelet out of the bag are you hands full of black speckles.</v>
      </c>
    </row>
    <row r="15165">
      <c r="A15165" s="1">
        <v>4.0</v>
      </c>
      <c r="B15165" s="1" t="s">
        <v>15028</v>
      </c>
      <c r="C15165" t="str">
        <f>IFERROR(__xludf.DUMMYFUNCTION("GOOGLETRANSLATE(B15165, ""es"", ""en"")"),"Very good buy Meshes are as expected: well adjusted and comfortable. They washed well and dried quickly. In addition they are very nice and make you look thinner. I am very happy with the purchase .")</f>
        <v>Very good buy Meshes are as expected: well adjusted and comfortable. They washed well and dried quickly. In addition they are very nice and make you look thinner. I am very happy with the purchase .</v>
      </c>
    </row>
    <row r="15166">
      <c r="A15166" s="1">
        <v>4.0</v>
      </c>
      <c r="B15166" s="1" t="s">
        <v>15029</v>
      </c>
      <c r="C15166" t="str">
        <f>IFERROR(__xludf.DUMMYFUNCTION("GOOGLETRANSLATE(B15166, ""es"", ""en"")"),"Good quality good price and value for money. It has two countdown timers with up to 10 repetitions. Operation and solar energy-saving potential that turns off the screen in the dark.")</f>
        <v>Good quality good price and value for money. It has two countdown timers with up to 10 repetitions. Operation and solar energy-saving potential that turns off the screen in the dark.</v>
      </c>
    </row>
    <row r="15167">
      <c r="A15167" s="1">
        <v>4.0</v>
      </c>
      <c r="B15167" s="1" t="s">
        <v>15030</v>
      </c>
      <c r="C15167" t="str">
        <f>IFERROR(__xludf.DUMMYFUNCTION("GOOGLETRANSLATE(B15167, ""es"", ""en"")"),"Hooded sweatshirt in good condition meets the expectations I had.")</f>
        <v>Hooded sweatshirt in good condition meets the expectations I had.</v>
      </c>
    </row>
    <row r="15168">
      <c r="A15168" s="1">
        <v>4.0</v>
      </c>
      <c r="B15168" s="1" t="s">
        <v>15031</v>
      </c>
      <c r="C15168" t="str">
        <f>IFERROR(__xludf.DUMMYFUNCTION("GOOGLETRANSLATE(B15168, ""es"", ""en"")"),"More better fit I do not like the ban3 not fit as the original bracelet. Aesthetically like me.")</f>
        <v>More better fit I do not like the ban3 not fit as the original bracelet. Aesthetically like me.</v>
      </c>
    </row>
    <row r="15169">
      <c r="A15169" s="1">
        <v>5.0</v>
      </c>
      <c r="B15169" s="1" t="s">
        <v>680</v>
      </c>
      <c r="C15169" t="str">
        <f>IFERROR(__xludf.DUMMYFUNCTION("GOOGLETRANSLATE(B15169, ""es"", ""en"")"),"Good good")</f>
        <v>Good good</v>
      </c>
    </row>
    <row r="15170">
      <c r="A15170" s="1">
        <v>5.0</v>
      </c>
      <c r="B15170" s="1" t="s">
        <v>15032</v>
      </c>
      <c r="C15170" t="str">
        <f>IFERROR(__xludf.DUMMYFUNCTION("GOOGLETRANSLATE(B15170, ""es"", ""en"")"),"affordable good machine we have not tried yet to open dulces.de moment and goes all short perfecto.en use it and we'll see how funciona.embalaje and perfect")</f>
        <v>affordable good machine we have not tried yet to open dulces.de moment and goes all short perfecto.en use it and we'll see how funciona.embalaje and perfect</v>
      </c>
    </row>
    <row r="15171">
      <c r="A15171" s="1">
        <v>5.0</v>
      </c>
      <c r="B15171" s="1" t="s">
        <v>15033</v>
      </c>
      <c r="C15171" t="str">
        <f>IFERROR(__xludf.DUMMYFUNCTION("GOOGLETRANSLATE(B15171, ""es"", ""en"")"),"Well I really like Favors is not too narrow or too wide .. and is comfortable.")</f>
        <v>Well I really like Favors is not too narrow or too wide .. and is comfortable.</v>
      </c>
    </row>
    <row r="15172">
      <c r="A15172" s="1">
        <v>5.0</v>
      </c>
      <c r="B15172" s="1" t="s">
        <v>15034</v>
      </c>
      <c r="C15172" t="str">
        <f>IFERROR(__xludf.DUMMYFUNCTION("GOOGLETRANSLATE(B15172, ""es"", ""en"")"),"Everything perfect The only bad thing is the color markings (wear) that always come out. But they are beautiful and look great.")</f>
        <v>Everything perfect The only bad thing is the color markings (wear) that always come out. But they are beautiful and look great.</v>
      </c>
    </row>
    <row r="15173">
      <c r="A15173" s="1">
        <v>5.0</v>
      </c>
      <c r="B15173" s="1" t="s">
        <v>15035</v>
      </c>
      <c r="C15173" t="str">
        <f>IFERROR(__xludf.DUMMYFUNCTION("GOOGLETRANSLATE(B15173, ""es"", ""en"")"),"Good fabric well, not too thick and fits well. Looks good, good design.")</f>
        <v>Good fabric well, not too thick and fits well. Looks good, good design.</v>
      </c>
    </row>
    <row r="15174">
      <c r="A15174" s="1">
        <v>5.0</v>
      </c>
      <c r="B15174" s="1" t="s">
        <v>15036</v>
      </c>
      <c r="C15174" t="str">
        <f>IFERROR(__xludf.DUMMYFUNCTION("GOOGLETRANSLATE(B15174, ""es"", ""en"")"),"I'll buy works great, the rollers rotate in both directions and has infrared. Shipping is fast, less than a week. It has a good finish and very good presentation and the best thing that leaves you back great. The service to the customer is excellent")</f>
        <v>I'll buy works great, the rollers rotate in both directions and has infrared. Shipping is fast, less than a week. It has a good finish and very good presentation and the best thing that leaves you back great. The service to the customer is excellent</v>
      </c>
    </row>
    <row r="15175">
      <c r="A15175" s="1">
        <v>5.0</v>
      </c>
      <c r="B15175" s="1" t="s">
        <v>15037</v>
      </c>
      <c r="C15175" t="str">
        <f>IFERROR(__xludf.DUMMYFUNCTION("GOOGLETRANSLATE(B15175, ""es"", ""en"")"),"Excellent Best value no special offers, you could get a better but would have to wait an offer to appear, excellent performance, I do not think a normal user noticing any difference between 2000MB / s and 5000MB / s, is more not even with the BX500 to doe"&amp;"s my laptop get to appreciate difference, SSDs are the best, because I come from a HDD to 5200rpm. Another thing that has 100 TBW, which guarantees approx. 10 years of writing if you write in your daily 25gb ssd. The 240GB BX500 has 80 TBW, which also is "&amp;"excellent and guarantees 8 years approx. I also tell measured data and I've written about. 15GB daily bone that could last me even more.")</f>
        <v>Excellent Best value no special offers, you could get a better but would have to wait an offer to appear, excellent performance, I do not think a normal user noticing any difference between 2000MB / s and 5000MB / s, is more not even with the BX500 to does my laptop get to appreciate difference, SSDs are the best, because I come from a HDD to 5200rpm. Another thing that has 100 TBW, which guarantees approx. 10 years of writing if you write in your daily 25gb ssd. The 240GB BX500 has 80 TBW, which also is excellent and guarantees 8 years approx. I also tell measured data and I've written about. 15GB daily bone that could last me even more.</v>
      </c>
    </row>
    <row r="15176">
      <c r="A15176" s="1">
        <v>5.0</v>
      </c>
      <c r="B15176" s="1" t="s">
        <v>15038</v>
      </c>
      <c r="C15176" t="str">
        <f>IFERROR(__xludf.DUMMYFUNCTION("GOOGLETRANSLATE(B15176, ""es"", ""en"")"),"This well is very good and the size is putting the XXL was just my size")</f>
        <v>This well is very good and the size is putting the XXL was just my size</v>
      </c>
    </row>
    <row r="15177">
      <c r="A15177" s="1">
        <v>5.0</v>
      </c>
      <c r="B15177" s="1" t="s">
        <v>15039</v>
      </c>
      <c r="C15177" t="str">
        <f>IFERROR(__xludf.DUMMYFUNCTION("GOOGLETRANSLATE(B15177, ""es"", ""en"")"),"I thought oils smelled more")</f>
        <v>I thought oils smelled more</v>
      </c>
    </row>
    <row r="15178">
      <c r="A15178" s="1">
        <v>5.0</v>
      </c>
      <c r="B15178" s="1" t="s">
        <v>15040</v>
      </c>
      <c r="C15178" t="str">
        <f>IFERROR(__xludf.DUMMYFUNCTION("GOOGLETRANSLATE(B15178, ""es"", ""en"")"),"Price is the best quality HDD market currently therefore the price, quality, durability and simplicity of the device WD drives for installation of basic equipment and household storage are the best choice without any doubt. I bought about 10 HDD Western D"&amp;"igital blue and none of them has given me problems. We must understand that like all companies out there that defective HDD and unaccountable or provide the same hours of life than one that is not damaged but that there are guarantees. As the caracterisit"&amp;"cas as indicated in the name of the product provides: 7200 rpm, SATA 6 Gb / s, 64 MB. Attached images of the status of my HDD that has worked tirelessly over 4 years. WD also attached pictures for you to know which is the best choice according to the need"&amp;"s you have.")</f>
        <v>Price is the best quality HDD market currently therefore the price, quality, durability and simplicity of the device WD drives for installation of basic equipment and household storage are the best choice without any doubt. I bought about 10 HDD Western Digital blue and none of them has given me problems. We must understand that like all companies out there that defective HDD and unaccountable or provide the same hours of life than one that is not damaged but that there are guarantees. As the caracterisitcas as indicated in the name of the product provides: 7200 rpm, SATA 6 Gb / s, 64 MB. Attached images of the status of my HDD that has worked tirelessly over 4 years. WD also attached pictures for you to know which is the best choice according to the needs you have.</v>
      </c>
    </row>
    <row r="15179">
      <c r="A15179" s="1">
        <v>5.0</v>
      </c>
      <c r="B15179" s="1" t="s">
        <v>15041</v>
      </c>
      <c r="C15179" t="str">
        <f>IFERROR(__xludf.DUMMYFUNCTION("GOOGLETRANSLATE(B15179, ""es"", ""en"")"),"Perfect size suitable for work, comfortable, discreet and good material.")</f>
        <v>Perfect size suitable for work, comfortable, discreet and good material.</v>
      </c>
    </row>
    <row r="15180">
      <c r="A15180" s="1">
        <v>5.0</v>
      </c>
      <c r="B15180" s="1" t="s">
        <v>15042</v>
      </c>
      <c r="C15180" t="str">
        <f>IFERROR(__xludf.DUMMYFUNCTION("GOOGLETRANSLATE(B15180, ""es"", ""en"")"),"Elegant and beautiful bracelet I bought this for a gift and it was a success. Very nice, simple. Very practical for day to day. I recommend it")</f>
        <v>Elegant and beautiful bracelet I bought this for a gift and it was a success. Very nice, simple. Very practical for day to day. I recommend it</v>
      </c>
    </row>
    <row r="15181">
      <c r="A15181" s="1">
        <v>5.0</v>
      </c>
      <c r="B15181" s="1" t="s">
        <v>15043</v>
      </c>
      <c r="C15181" t="str">
        <f>IFERROR(__xludf.DUMMYFUNCTION("GOOGLETRANSLATE(B15181, ""es"", ""en"")"),"10! We love! We have more than 1 month with the robot and are fascinated! Our apartment is big, almost 120 meters and I can assure you leave it spotless. The battery holds enough for work we give, but loads fast so no problem. The only ""bad"" is that the"&amp;" tank fills up fast so if you go on a trip one weekend and want to program to clean up and fills you up or gets stuck because you run out of clean house (although there is an option to clean though have a full tank but I do not dare if breaks), that's the"&amp;" only downside ... the warehouse so small, otherwise ... a 10!")</f>
        <v>10! We love! We have more than 1 month with the robot and are fascinated! Our apartment is big, almost 120 meters and I can assure you leave it spotless. The battery holds enough for work we give, but loads fast so no problem. The only "bad" is that the tank fills up fast so if you go on a trip one weekend and want to program to clean up and fills you up or gets stuck because you run out of clean house (although there is an option to clean though have a full tank but I do not dare if breaks), that's the only downside ... the warehouse so small, otherwise ... a 10!</v>
      </c>
    </row>
    <row r="15182">
      <c r="A15182" s="1">
        <v>5.0</v>
      </c>
      <c r="B15182" s="1" t="s">
        <v>15044</v>
      </c>
      <c r="C15182" t="str">
        <f>IFERROR(__xludf.DUMMYFUNCTION("GOOGLETRANSLATE(B15182, ""es"", ""en"")"),"Value great truth is that now I am very happy with the product, terminations are metal (8 euros thought plastic serious) fits perfectly with my micros, works perfectly with the Phamton (48m) and technical level no complaints, noise and interference previo"&amp;"usly suffered a minijack cable that came with my micro, have disappeared, the sound is crystalline, for my mini-studio at home is a recommended purchase")</f>
        <v>Value great truth is that now I am very happy with the product, terminations are metal (8 euros thought plastic serious) fits perfectly with my micros, works perfectly with the Phamton (48m) and technical level no complaints, noise and interference previously suffered a minijack cable that came with my micro, have disappeared, the sound is crystalline, for my mini-studio at home is a recommended purchase</v>
      </c>
    </row>
    <row r="15183">
      <c r="A15183" s="1">
        <v>5.0</v>
      </c>
      <c r="B15183" s="1" t="s">
        <v>15045</v>
      </c>
      <c r="C15183" t="str">
        <f>IFERROR(__xludf.DUMMYFUNCTION("GOOGLETRANSLATE(B15183, ""es"", ""en"")"),"Beautiful shoes quality shoes, good finishes, very comfortable.")</f>
        <v>Beautiful shoes quality shoes, good finishes, very comfortable.</v>
      </c>
    </row>
    <row r="15184">
      <c r="A15184" s="1">
        <v>5.0</v>
      </c>
      <c r="B15184" s="1" t="s">
        <v>15046</v>
      </c>
      <c r="C15184" t="str">
        <f>IFERROR(__xludf.DUMMYFUNCTION("GOOGLETRANSLATE(B15184, ""es"", ""en"")"),"Comfortable comfortable and agile to stay at home; neither too hot nor too cold; just what I expected")</f>
        <v>Comfortable comfortable and agile to stay at home; neither too hot nor too cold; just what I expected</v>
      </c>
    </row>
    <row r="15185">
      <c r="A15185" s="1">
        <v>5.0</v>
      </c>
      <c r="B15185" s="1" t="s">
        <v>15047</v>
      </c>
      <c r="C15185" t="str">
        <f>IFERROR(__xludf.DUMMYFUNCTION("GOOGLETRANSLATE(B15185, ""es"", ""en"")"),"Clean sound quality. Good material")</f>
        <v>Clean sound quality. Good material</v>
      </c>
    </row>
    <row r="15186">
      <c r="A15186" s="1">
        <v>5.0</v>
      </c>
      <c r="B15186" s="1" t="s">
        <v>15048</v>
      </c>
      <c r="C15186" t="str">
        <f>IFERROR(__xludf.DUMMYFUNCTION("GOOGLETRANSLATE(B15186, ""es"", ""en"")"),"Perfect and practical is great, hot water endures until after 12 hours, is an old, fit 3 Bibes 210")</f>
        <v>Perfect and practical is great, hot water endures until after 12 hours, is an old, fit 3 Bibes 210</v>
      </c>
    </row>
    <row r="15187">
      <c r="A15187" s="1">
        <v>5.0</v>
      </c>
      <c r="B15187" s="1" t="s">
        <v>15049</v>
      </c>
      <c r="C15187" t="str">
        <f>IFERROR(__xludf.DUMMYFUNCTION("GOOGLETRANSLATE(B15187, ""es"", ""en"")"),"Fulfills its function. Very noisy. Years ago I use Philips juicers and have never been disappointed. The purchase of this model and the previous change is the single glass On the GO that has to be individual shakes and great for the family. The big surpri"&amp;"se was and is noise, like a crusher quarry. Otherwise comminuted very well, much thinner than the previous model I have and still works. If you do not mind noise it is a good purchase. (Note) (noisy as a crusher is using it with the glass on the go).")</f>
        <v>Fulfills its function. Very noisy. Years ago I use Philips juicers and have never been disappointed. The purchase of this model and the previous change is the single glass On the GO that has to be individual shakes and great for the family. The big surprise was and is noise, like a crusher quarry. Otherwise comminuted very well, much thinner than the previous model I have and still works. If you do not mind noise it is a good purchase. (Note) (noisy as a crusher is using it with the glass on the go).</v>
      </c>
    </row>
    <row r="15188">
      <c r="A15188" s="1">
        <v>2.0</v>
      </c>
      <c r="B15188" s="1" t="s">
        <v>15050</v>
      </c>
      <c r="C15188" t="str">
        <f>IFERROR(__xludf.DUMMYFUNCTION("GOOGLETRANSLATE(B15188, ""es"", ""en"")"),"Apple does not fit (me has not helped me) For more than initialize insisted, giving Mac OS format, I only recognized 800 GB 3000 GB of housing. It is also a typical mark of Mac ... I do not know what could have happened. The truth is that I went to a work"&amp;"shop PCs and asked them to review and give him format, and appeared 3TB ... then me no choice but to return it. Mui to my regret")</f>
        <v>Apple does not fit (me has not helped me) For more than initialize insisted, giving Mac OS format, I only recognized 800 GB 3000 GB of housing. It is also a typical mark of Mac ... I do not know what could have happened. The truth is that I went to a workshop PCs and asked them to review and give him format, and appeared 3TB ... then me no choice but to return it. Mui to my regret</v>
      </c>
    </row>
    <row r="15189">
      <c r="A15189" s="1">
        <v>3.0</v>
      </c>
      <c r="B15189" s="1" t="s">
        <v>15051</v>
      </c>
      <c r="C15189" t="str">
        <f>IFERROR(__xludf.DUMMYFUNCTION("GOOGLETRANSLATE(B15189, ""es"", ""en"")"),"Very large very large")</f>
        <v>Very large very large</v>
      </c>
    </row>
    <row r="15190">
      <c r="A15190" s="1">
        <v>1.0</v>
      </c>
      <c r="B15190" s="1" t="s">
        <v>15052</v>
      </c>
      <c r="C15190" t="str">
        <f>IFERROR(__xludf.DUMMYFUNCTION("GOOGLETRANSLATE(B15190, ""es"", ""en"")"),"If not suit you do not buy. If not suit you do not buy, I have a kit watchmakers and got it set and was not good of the whole, the other chose to dismantle whole the where trinca piece and it cost the doble.Caras, low quality, closure poor quality and cos"&amp;"ts more fit to take them to a watchmaker and charge you € 6 .... not recommend, there are better.")</f>
        <v>If not suit you do not buy. If not suit you do not buy, I have a kit watchmakers and got it set and was not good of the whole, the other chose to dismantle whole the where trinca piece and it cost the doble.Caras, low quality, closure poor quality and costs more fit to take them to a watchmaker and charge you € 6 .... not recommend, there are better.</v>
      </c>
    </row>
    <row r="15191">
      <c r="A15191" s="1">
        <v>1.0</v>
      </c>
      <c r="B15191" s="1" t="s">
        <v>15053</v>
      </c>
      <c r="C15191" t="str">
        <f>IFERROR(__xludf.DUMMYFUNCTION("GOOGLETRANSLATE(B15191, ""es"", ""en"")"),"Not what I expected little reinforced and little simple sujecciión.tejido not what I expected. Nice design and color that does not meet expectations. bad buy")</f>
        <v>Not what I expected little reinforced and little simple sujecciión.tejido not what I expected. Nice design and color that does not meet expectations. bad buy</v>
      </c>
    </row>
    <row r="15192">
      <c r="A15192" s="1">
        <v>4.0</v>
      </c>
      <c r="B15192" s="1" t="s">
        <v>15054</v>
      </c>
      <c r="C15192" t="str">
        <f>IFERROR(__xludf.DUMMYFUNCTION("GOOGLETRANSLATE(B15192, ""es"", ""en"")"),"Eye closure Closure is not sure q say if you move much be careful not to lose it")</f>
        <v>Eye closure Closure is not sure q say if you move much be careful not to lose it</v>
      </c>
    </row>
    <row r="15193">
      <c r="A15193" s="1">
        <v>4.0</v>
      </c>
      <c r="B15193" s="1" t="s">
        <v>15055</v>
      </c>
      <c r="C15193" t="str">
        <f>IFERROR(__xludf.DUMMYFUNCTION("GOOGLETRANSLATE(B15193, ""es"", ""en"")"),"It leaves the skin clean for normal skin is not very sensitive")</f>
        <v>It leaves the skin clean for normal skin is not very sensitive</v>
      </c>
    </row>
    <row r="15194">
      <c r="A15194" s="1">
        <v>4.0</v>
      </c>
      <c r="B15194" s="1" t="s">
        <v>15056</v>
      </c>
      <c r="C15194" t="str">
        <f>IFERROR(__xludf.DUMMYFUNCTION("GOOGLETRANSLATE(B15194, ""es"", ""en"")"),"The article meets meeting the technical specifications of the product. Another advantage is the low weight of the product. I do not give 5 stars for the rigidity of the cable because it limits their use live")</f>
        <v>The article meets meeting the technical specifications of the product. Another advantage is the low weight of the product. I do not give 5 stars for the rigidity of the cable because it limits their use live</v>
      </c>
    </row>
    <row r="15195">
      <c r="A15195" s="1">
        <v>4.0</v>
      </c>
      <c r="B15195" s="1" t="s">
        <v>15057</v>
      </c>
      <c r="C15195" t="str">
        <f>IFERROR(__xludf.DUMMYFUNCTION("GOOGLETRANSLATE(B15195, ""es"", ""en"")"),"Sensillo and robust A clock ideal for everyday use, but can also serve more elegant dress. Simple and durable appearance, looks good quality. Buy it only if you like large watches.")</f>
        <v>Sensillo and robust A clock ideal for everyday use, but can also serve more elegant dress. Simple and durable appearance, looks good quality. Buy it only if you like large watches.</v>
      </c>
    </row>
    <row r="15196">
      <c r="A15196" s="1">
        <v>4.0</v>
      </c>
      <c r="B15196" s="1" t="s">
        <v>15058</v>
      </c>
      <c r="C15196" t="str">
        <f>IFERROR(__xludf.DUMMYFUNCTION("GOOGLETRANSLATE(B15196, ""es"", ""en"")"),"Thoroughly clean but not clean with wet hands Clean cleans well, but for the moment just finished showering and cleaning the glass partition of the shower dish is very impractical, weighs slightly and slide the handle to the chrome be ...")</f>
        <v>Thoroughly clean but not clean with wet hands Clean cleans well, but for the moment just finished showering and cleaning the glass partition of the shower dish is very impractical, weighs slightly and slide the handle to the chrome be ...</v>
      </c>
    </row>
    <row r="15197">
      <c r="A15197" s="1">
        <v>5.0</v>
      </c>
      <c r="B15197" s="1" t="s">
        <v>15059</v>
      </c>
      <c r="C15197" t="str">
        <f>IFERROR(__xludf.DUMMYFUNCTION("GOOGLETRANSLATE(B15197, ""es"", ""en"")"),"Good value for money are great for how cheap they are. Before I buy a media markt bought in for twice the price and quality of the microphone and sound was far worse than these. Recommended if you want a headset to listen to music or even as inexpensive a"&amp;"lternative to helmets as they have micro gaming.")</f>
        <v>Good value for money are great for how cheap they are. Before I buy a media markt bought in for twice the price and quality of the microphone and sound was far worse than these. Recommended if you want a headset to listen to music or even as inexpensive alternative to helmets as they have micro gaming.</v>
      </c>
    </row>
    <row r="15198">
      <c r="A15198" s="1">
        <v>5.0</v>
      </c>
      <c r="B15198" s="1" t="s">
        <v>15060</v>
      </c>
      <c r="C15198" t="str">
        <f>IFERROR(__xludf.DUMMYFUNCTION("GOOGLETRANSLATE(B15198, ""es"", ""en"")"),"Good product quality / price I bought them to go running and truth are very comfortable and do not move much. I keep trying the more intensely, but the sound is very good and very practical for sports.")</f>
        <v>Good product quality / price I bought them to go running and truth are very comfortable and do not move much. I keep trying the more intensely, but the sound is very good and very practical for sports.</v>
      </c>
    </row>
    <row r="15199">
      <c r="A15199" s="1">
        <v>5.0</v>
      </c>
      <c r="B15199" s="1" t="s">
        <v>15061</v>
      </c>
      <c r="C15199" t="str">
        <f>IFERROR(__xludf.DUMMYFUNCTION("GOOGLETRANSLATE(B15199, ""es"", ""en"")"),"I liked his comfort lining makes the shoe fits the foot well and serves as a good coat and makes it very comfortable")</f>
        <v>I liked his comfort lining makes the shoe fits the foot well and serves as a good coat and makes it very comfortable</v>
      </c>
    </row>
    <row r="15200">
      <c r="A15200" s="1">
        <v>5.0</v>
      </c>
      <c r="B15200" s="1" t="s">
        <v>15062</v>
      </c>
      <c r="C15200" t="str">
        <f>IFERROR(__xludf.DUMMYFUNCTION("GOOGLETRANSLATE(B15200, ""es"", ""en"")"),"Excellent daily watch clock with all the functions needed and some more. Reading is very comfortable and have used it in the pool without any problems and, given the duration of the battery, do not take into account the anti put water protection when the "&amp;"battery is replaced. I use it daily and am very happy. The presentation, transport, delivery time and price, perfect")</f>
        <v>Excellent daily watch clock with all the functions needed and some more. Reading is very comfortable and have used it in the pool without any problems and, given the duration of the battery, do not take into account the anti put water protection when the battery is replaced. I use it daily and am very happy. The presentation, transport, delivery time and price, perfect</v>
      </c>
    </row>
    <row r="15201">
      <c r="A15201" s="1">
        <v>5.0</v>
      </c>
      <c r="B15201" s="1" t="s">
        <v>15063</v>
      </c>
      <c r="C15201" t="str">
        <f>IFERROR(__xludf.DUMMYFUNCTION("GOOGLETRANSLATE(B15201, ""es"", ""en"")"),"EstrellasBuen sound I bought for my daughter, listen well and have sound limit.")</f>
        <v>EstrellasBuen sound I bought for my daughter, listen well and have sound limit.</v>
      </c>
    </row>
    <row r="15202">
      <c r="A15202" s="1">
        <v>5.0</v>
      </c>
      <c r="B15202" s="1" t="s">
        <v>15064</v>
      </c>
      <c r="C15202" t="str">
        <f>IFERROR(__xludf.DUMMYFUNCTION("GOOGLETRANSLATE(B15202, ""es"", ""en"")"),"Perfect It's a little noisy, but compensates with the aroma that ejects and the large water tank.")</f>
        <v>Perfect It's a little noisy, but compensates with the aroma that ejects and the large water tank.</v>
      </c>
    </row>
    <row r="15203">
      <c r="A15203" s="1">
        <v>5.0</v>
      </c>
      <c r="B15203" s="1" t="s">
        <v>15065</v>
      </c>
      <c r="C15203" t="str">
        <f>IFERROR(__xludf.DUMMYFUNCTION("GOOGLETRANSLATE(B15203, ""es"", ""en"")"),"Pendrive USB flash drive perfect for small car 2.0. I have no complaints, affordable price for small it is, I have put on the car radio and goes unnoticed. I do not have much to say given its simplicity, but clear it is eventually when I move music files "&amp;"and has not seemed to be slow indeed, but understand that for other purposes may be pendrives fastest USB 3.0.")</f>
        <v>Pendrive USB flash drive perfect for small car 2.0. I have no complaints, affordable price for small it is, I have put on the car radio and goes unnoticed. I do not have much to say given its simplicity, but clear it is eventually when I move music files and has not seemed to be slow indeed, but understand that for other purposes may be pendrives fastest USB 3.0.</v>
      </c>
    </row>
    <row r="15204">
      <c r="A15204" s="1">
        <v>5.0</v>
      </c>
      <c r="B15204" s="1" t="s">
        <v>15066</v>
      </c>
      <c r="C15204" t="str">
        <f>IFERROR(__xludf.DUMMYFUNCTION("GOOGLETRANSLATE(B15204, ""es"", ""en"")"),"Nice and economic Pequeñitos but very cute. Recommended purchase for the same or to give away. They are comfortable and practical. Good buy insurance.")</f>
        <v>Nice and economic Pequeñitos but very cute. Recommended purchase for the same or to give away. They are comfortable and practical. Good buy insurance.</v>
      </c>
    </row>
    <row r="15205">
      <c r="A15205" s="1">
        <v>5.0</v>
      </c>
      <c r="B15205" s="1" t="s">
        <v>15067</v>
      </c>
      <c r="C15205" t="str">
        <f>IFERROR(__xludf.DUMMYFUNCTION("GOOGLETRANSLATE(B15205, ""es"", ""en"")"),"It works perfectly. Great for tea lovers.")</f>
        <v>It works perfectly. Great for tea lovers.</v>
      </c>
    </row>
    <row r="15206">
      <c r="A15206" s="1">
        <v>5.0</v>
      </c>
      <c r="B15206" s="1" t="s">
        <v>15068</v>
      </c>
      <c r="C15206" t="str">
        <f>IFERROR(__xludf.DUMMYFUNCTION("GOOGLETRANSLATE(B15206, ""es"", ""en"")"),"Perfect!!! I bought a Tuesday afternoon and I arrived on Wednesday morning. The perfect delivery. For what the product is the same as the photos, good quality and very comfortable. The shoes come with box Nike.")</f>
        <v>Perfect!!! I bought a Tuesday afternoon and I arrived on Wednesday morning. The perfect delivery. For what the product is the same as the photos, good quality and very comfortable. The shoes come with box Nike.</v>
      </c>
    </row>
    <row r="15207">
      <c r="A15207" s="1">
        <v>5.0</v>
      </c>
      <c r="B15207" s="1" t="s">
        <v>15069</v>
      </c>
      <c r="C15207" t="str">
        <f>IFERROR(__xludf.DUMMYFUNCTION("GOOGLETRANSLATE(B15207, ""es"", ""en"")"),"Very nice is smaller than I imagined but it does its function, buy it for the christening of my daughter")</f>
        <v>Very nice is smaller than I imagined but it does its function, buy it for the christening of my daughter</v>
      </c>
    </row>
    <row r="15208">
      <c r="A15208" s="1">
        <v>5.0</v>
      </c>
      <c r="B15208" s="1" t="s">
        <v>15070</v>
      </c>
      <c r="C15208" t="str">
        <f>IFERROR(__xludf.DUMMYFUNCTION("GOOGLETRANSLATE(B15208, ""es"", ""en"")"),"Cool they remain as expected. I ordered my usual number and I are perfect, are super comfortable and breathable ideal for the summer, it does not seem to bring anything because they just weigh. The purchase would definitely")</f>
        <v>Cool they remain as expected. I ordered my usual number and I are perfect, are super comfortable and breathable ideal for the summer, it does not seem to bring anything because they just weigh. The purchase would definitely</v>
      </c>
    </row>
    <row r="15209">
      <c r="A15209" s="1">
        <v>5.0</v>
      </c>
      <c r="B15209" s="1" t="s">
        <v>15071</v>
      </c>
      <c r="C15209" t="str">
        <f>IFERROR(__xludf.DUMMYFUNCTION("GOOGLETRANSLATE(B15209, ""es"", ""en"")"),"Versatility Dual USB-A and USB-C input is ideal for use between different computers in my case: MacMini and mbp.")</f>
        <v>Versatility Dual USB-A and USB-C input is ideal for use between different computers in my case: MacMini and mbp.</v>
      </c>
    </row>
    <row r="15210">
      <c r="A15210" s="1">
        <v>5.0</v>
      </c>
      <c r="B15210" s="1" t="s">
        <v>15072</v>
      </c>
      <c r="C15210" t="str">
        <f>IFERROR(__xludf.DUMMYFUNCTION("GOOGLETRANSLATE(B15210, ""es"", ""en"")"),"As wanted perfect, many thanks are perfect")</f>
        <v>As wanted perfect, many thanks are perfect</v>
      </c>
    </row>
    <row r="15211">
      <c r="A15211" s="1">
        <v>5.0</v>
      </c>
      <c r="B15211" s="1" t="s">
        <v>15073</v>
      </c>
      <c r="C15211" t="str">
        <f>IFERROR(__xludf.DUMMYFUNCTION("GOOGLETRANSLATE(B15211, ""es"", ""en"")"),"Perfect for good effects pedals series, no problem. Aesthetically very showy")</f>
        <v>Perfect for good effects pedals series, no problem. Aesthetically very showy</v>
      </c>
    </row>
    <row r="15212">
      <c r="A15212" s="1">
        <v>5.0</v>
      </c>
      <c r="B15212" s="1" t="s">
        <v>15074</v>
      </c>
      <c r="C15212" t="str">
        <f>IFERROR(__xludf.DUMMYFUNCTION("GOOGLETRANSLATE(B15212, ""es"", ""en"")"),"Headphones good after quality be trying for almost a week can say that wireless blutetooth headphones, I'm very satisfied with them, the sound quality was pleasantly surprised, its size are very young and are well suited to the ear (it comes with differen"&amp;"t tires to suit each ear), I've tried to go jogging and walking and never gave me the feeling that I were to fall, the only downside and put a shortcoming is that when drawing of the cargo box costs me get them because they are very fair (which can also b"&amp;"e my fault for having a little gordetes fingers). You can also use portable battery. The battery life of the headset is very good as its duration gives you for several days. In short very satisfied with them.")</f>
        <v>Headphones good after quality be trying for almost a week can say that wireless blutetooth headphones, I'm very satisfied with them, the sound quality was pleasantly surprised, its size are very young and are well suited to the ear (it comes with different tires to suit each ear), I've tried to go jogging and walking and never gave me the feeling that I were to fall, the only downside and put a shortcoming is that when drawing of the cargo box costs me get them because they are very fair (which can also be my fault for having a little gordetes fingers). You can also use portable battery. The battery life of the headset is very good as its duration gives you for several days. In short very satisfied with them.</v>
      </c>
    </row>
    <row r="15213">
      <c r="A15213" s="1">
        <v>5.0</v>
      </c>
      <c r="B15213" s="1" t="s">
        <v>15075</v>
      </c>
      <c r="C15213" t="str">
        <f>IFERROR(__xludf.DUMMYFUNCTION("GOOGLETRANSLATE(B15213, ""es"", ""en"")"),"Would not use it as clock use, but to complement what is perfect is a complement to a costume time, steampuk, etc. It can be used as clock use, because it is not bad, materials for the price you are good, but as a complement is perfect. Recommendable.")</f>
        <v>Would not use it as clock use, but to complement what is perfect is a complement to a costume time, steampuk, etc. It can be used as clock use, because it is not bad, materials for the price you are good, but as a complement is perfect. Recommendable.</v>
      </c>
    </row>
    <row r="15214">
      <c r="A15214" s="1">
        <v>5.0</v>
      </c>
      <c r="B15214" s="1" t="s">
        <v>15076</v>
      </c>
      <c r="C15214" t="str">
        <f>IFERROR(__xludf.DUMMYFUNCTION("GOOGLETRANSLATE(B15214, ""es"", ""en"")"),"Product according to the expectations sweatshirt is as shown in the photo. The quality of the product is good. The size is impeccable.")</f>
        <v>Product according to the expectations sweatshirt is as shown in the photo. The quality of the product is good. The size is impeccable.</v>
      </c>
    </row>
    <row r="15215">
      <c r="A15215" s="1">
        <v>5.0</v>
      </c>
      <c r="B15215" s="1" t="s">
        <v>15077</v>
      </c>
      <c r="C15215" t="str">
        <f>IFERROR(__xludf.DUMMYFUNCTION("GOOGLETRANSLATE(B15215, ""es"", ""en"")"),"Comfortable comfortable, although he slips a bit down")</f>
        <v>Comfortable comfortable, although he slips a bit down</v>
      </c>
    </row>
    <row r="15216">
      <c r="A15216" s="1">
        <v>2.0</v>
      </c>
      <c r="B15216" s="1" t="s">
        <v>15078</v>
      </c>
      <c r="C15216" t="str">
        <f>IFERROR(__xludf.DUMMYFUNCTION("GOOGLETRANSLATE(B15216, ""es"", ""en"")"),"BREAKING A few days later was nice but BROKE A FEW DAYS OF USE BY THE CENTER, THE MATERIAL PÉSIMO and said I was strong.")</f>
        <v>BREAKING A few days later was nice but BROKE A FEW DAYS OF USE BY THE CENTER, THE MATERIAL PÉSIMO and said I was strong.</v>
      </c>
    </row>
    <row r="15217">
      <c r="A15217" s="1">
        <v>3.0</v>
      </c>
      <c r="B15217" s="1" t="s">
        <v>15079</v>
      </c>
      <c r="C15217" t="str">
        <f>IFERROR(__xludf.DUMMYFUNCTION("GOOGLETRANSLATE(B15217, ""es"", ""en"")"),"Very nice little size")</f>
        <v>Very nice little size</v>
      </c>
    </row>
    <row r="15218">
      <c r="A15218" s="1">
        <v>3.0</v>
      </c>
      <c r="B15218" s="1" t="s">
        <v>15080</v>
      </c>
      <c r="C15218" t="str">
        <f>IFERROR(__xludf.DUMMYFUNCTION("GOOGLETRANSLATE(B15218, ""es"", ""en"")"),"Good price (economic), version ""consumer"" Even as Kingston, but it is the economic version, which has several faults, such as ""SSD manager"", merely to inform and does not let you do anything. Does not allow OP (Overprovisioning) or trim. So far, it se"&amp;"ems stable, but I've been using recently. It is an economically priced model, but has not finished convercer me.")</f>
        <v>Good price (economic), version "consumer" Even as Kingston, but it is the economic version, which has several faults, such as "SSD manager", merely to inform and does not let you do anything. Does not allow OP (Overprovisioning) or trim. So far, it seems stable, but I've been using recently. It is an economically priced model, but has not finished convercer me.</v>
      </c>
    </row>
    <row r="15219">
      <c r="A15219" s="1">
        <v>1.0</v>
      </c>
      <c r="B15219" s="1" t="s">
        <v>15081</v>
      </c>
      <c r="C15219" t="str">
        <f>IFERROR(__xludf.DUMMYFUNCTION("GOOGLETRANSLATE(B15219, ""es"", ""en"")"),"No crumb is nice but has a drawback. Migas is collected that does not collect the crumbs. I can not return poque threw the box (serious fault)")</f>
        <v>No crumb is nice but has a drawback. Migas is collected that does not collect the crumbs. I can not return poque threw the box (serious fault)</v>
      </c>
    </row>
    <row r="15220">
      <c r="A15220" s="1">
        <v>1.0</v>
      </c>
      <c r="B15220" s="1" t="s">
        <v>15082</v>
      </c>
      <c r="C15220" t="str">
        <f>IFERROR(__xludf.DUMMYFUNCTION("GOOGLETRANSLATE(B15220, ""es"", ""en"")"),"We'll sleazy sold as originals but are not. Poor quality, both applications start to break. Thank you")</f>
        <v>We'll sleazy sold as originals but are not. Poor quality, both applications start to break. Thank you</v>
      </c>
    </row>
    <row r="15221">
      <c r="A15221" s="1">
        <v>4.0</v>
      </c>
      <c r="B15221" s="1" t="s">
        <v>15083</v>
      </c>
      <c r="C15221" t="str">
        <f>IFERROR(__xludf.DUMMYFUNCTION("GOOGLETRANSLATE(B15221, ""es"", ""en"")"),"Product good product as described in 30 cm x 2 cm and 2 of each color. Fulfills its function.")</f>
        <v>Product good product as described in 30 cm x 2 cm and 2 of each color. Fulfills its function.</v>
      </c>
    </row>
    <row r="15222">
      <c r="A15222" s="1">
        <v>4.0</v>
      </c>
      <c r="B15222" s="1" t="s">
        <v>15084</v>
      </c>
      <c r="C15222" t="str">
        <f>IFERROR(__xludf.DUMMYFUNCTION("GOOGLETRANSLATE(B15222, ""es"", ""en"")"),"They are pretty nice")</f>
        <v>They are pretty nice</v>
      </c>
    </row>
    <row r="15223">
      <c r="A15223" s="1">
        <v>4.0</v>
      </c>
      <c r="B15223" s="1" t="s">
        <v>15085</v>
      </c>
      <c r="C15223" t="str">
        <f>IFERROR(__xludf.DUMMYFUNCTION("GOOGLETRANSLATE(B15223, ""es"", ""en"")"),"Happy with purchase. Very nice and comfortable. They are very comfortable and original. The size adjusts to the size chart. The only downside is the strong smell they brought. Disappears over time.")</f>
        <v>Happy with purchase. Very nice and comfortable. They are very comfortable and original. The size adjusts to the size chart. The only downside is the strong smell they brought. Disappears over time.</v>
      </c>
    </row>
    <row r="15224">
      <c r="A15224" s="1">
        <v>4.0</v>
      </c>
      <c r="B15224" s="1" t="s">
        <v>15086</v>
      </c>
      <c r="C15224" t="str">
        <f>IFERROR(__xludf.DUMMYFUNCTION("GOOGLETRANSLATE(B15224, ""es"", ""en"")"),"It is very nice and great big .I am very happy .co.uk very useful good buy")</f>
        <v>It is very nice and great big .I am very happy .co.uk very useful good buy</v>
      </c>
    </row>
    <row r="15225">
      <c r="A15225" s="1">
        <v>4.0</v>
      </c>
      <c r="B15225" s="1" t="s">
        <v>15087</v>
      </c>
      <c r="C15225" t="str">
        <f>IFERROR(__xludf.DUMMYFUNCTION("GOOGLETRANSLATE(B15225, ""es"", ""en"")"),"Perfect going very well.")</f>
        <v>Perfect going very well.</v>
      </c>
    </row>
    <row r="15226">
      <c r="A15226" s="1">
        <v>5.0</v>
      </c>
      <c r="B15226" s="1" t="s">
        <v>15088</v>
      </c>
      <c r="C15226" t="str">
        <f>IFERROR(__xludf.DUMMYFUNCTION("GOOGLETRANSLATE(B15226, ""es"", ""en"")"),"Nothing comfortable, I like. both to work and to show them off.")</f>
        <v>Nothing comfortable, I like. both to work and to show them off.</v>
      </c>
    </row>
    <row r="15227">
      <c r="A15227" s="1">
        <v>5.0</v>
      </c>
      <c r="B15227" s="1" t="s">
        <v>15089</v>
      </c>
      <c r="C15227" t="str">
        <f>IFERROR(__xludf.DUMMYFUNCTION("GOOGLETRANSLATE(B15227, ""es"", ""en"")"),"The shoes are very comfortable now that summer is coming because I started going to run, and the truth is that these shoes are really comfortable almost all types of terrain. The've used both on the treadmill, and parks, and I can only say I am delighted "&amp;"with these shoes.")</f>
        <v>The shoes are very comfortable now that summer is coming because I started going to run, and the truth is that these shoes are really comfortable almost all types of terrain. The've used both on the treadmill, and parks, and I can only say I am delighted with these shoes.</v>
      </c>
    </row>
    <row r="15228">
      <c r="A15228" s="1">
        <v>5.0</v>
      </c>
      <c r="B15228" s="1" t="s">
        <v>15090</v>
      </c>
      <c r="C15228" t="str">
        <f>IFERROR(__xludf.DUMMYFUNCTION("GOOGLETRANSLATE(B15228, ""es"", ""en"")"),"Very nice beautiful box is in good condition and fantastic watch has loved my husband")</f>
        <v>Very nice beautiful box is in good condition and fantastic watch has loved my husband</v>
      </c>
    </row>
    <row r="15229">
      <c r="A15229" s="1">
        <v>5.0</v>
      </c>
      <c r="B15229" s="1" t="s">
        <v>15091</v>
      </c>
      <c r="C15229" t="str">
        <f>IFERROR(__xludf.DUMMYFUNCTION("GOOGLETRANSLATE(B15229, ""es"", ""en"")"),"The comfort Very good quality !! Comfortable and fast delivery !!")</f>
        <v>The comfort Very good quality !! Comfortable and fast delivery !!</v>
      </c>
    </row>
    <row r="15230">
      <c r="A15230" s="1">
        <v>5.0</v>
      </c>
      <c r="B15230" s="1" t="s">
        <v>15092</v>
      </c>
      <c r="C15230" t="str">
        <f>IFERROR(__xludf.DUMMYFUNCTION("GOOGLETRANSLATE(B15230, ""es"", ""en"")"),"The very comfortable bought for the sole, it seemed tough and I go a lot to the garden even in winter. I was not wrong, it's almost treeking boot, very thick and sturdy.")</f>
        <v>The very comfortable bought for the sole, it seemed tough and I go a lot to the garden even in winter. I was not wrong, it's almost treeking boot, very thick and sturdy.</v>
      </c>
    </row>
    <row r="15231">
      <c r="A15231" s="1">
        <v>5.0</v>
      </c>
      <c r="B15231" s="1" t="s">
        <v>15093</v>
      </c>
      <c r="C15231" t="str">
        <f>IFERROR(__xludf.DUMMYFUNCTION("GOOGLETRANSLATE(B15231, ""es"", ""en"")"),"Continuity with the brand after having a previous model that stopped working after several years of moderate use, I bought this to see if I give at least the same result.")</f>
        <v>Continuity with the brand after having a previous model that stopped working after several years of moderate use, I bought this to see if I give at least the same result.</v>
      </c>
    </row>
    <row r="15232">
      <c r="A15232" s="1">
        <v>5.0</v>
      </c>
      <c r="B15232" s="1" t="s">
        <v>15094</v>
      </c>
      <c r="C15232" t="str">
        <f>IFERROR(__xludf.DUMMYFUNCTION("GOOGLETRANSLATE(B15232, ""es"", ""en"")"),"Precious is very nice and good quality. My mother loved him.")</f>
        <v>Precious is very nice and good quality. My mother loved him.</v>
      </c>
    </row>
    <row r="15233">
      <c r="A15233" s="1">
        <v>5.0</v>
      </c>
      <c r="B15233" s="1" t="s">
        <v>15095</v>
      </c>
      <c r="C15233" t="str">
        <f>IFERROR(__xludf.DUMMYFUNCTION("GOOGLETRANSLATE(B15233, ""es"", ""en"")"),"Good gift for people who work standing &lt;div id = ""video-block-R2PEX92BMRVZCR"" class = ""a-section a-spacing-small a-spacing-top mini video-block""&gt; &lt;/ div&gt; &lt;input type = ""hidden"" name = """" value = ""https://images-eu.ssl-images-amazon.com/images/I/A"&amp;"1Km5orla+S.mp4"" class = ""video-url""&gt; &lt;input type = ""hidden ""name ="" ""value ="" https://images-eu.ssl-images-amazon.com/images/I/91a-gA5EqpS.png ""class ="" video-slate-img-url ""&gt; &amp; nbsp; was a gift for a family member who works all day standing an"&amp;"d ends with tired legs and some circulation problems. After a few days of use told me that is happy with the product as it alleviates leg fatigue after working hours standing. The truth is not like a foot massage, because it is through electrostimulation,"&amp;" but after use, if you have good results. Happy with purchase.")</f>
        <v>Good gift for people who work standing &lt;div id = "video-block-R2PEX92BMRVZCR" class = "a-section a-spacing-small a-spacing-top mini video-block"&gt; &lt;/ div&gt; &lt;input type = "hidden" name = "" value = "https://images-eu.ssl-images-amazon.com/images/I/A1Km5orla+S.mp4" class = "video-url"&gt; &lt;input type = "hidden "name =" "value =" https://images-eu.ssl-images-amazon.com/images/I/91a-gA5EqpS.png "class =" video-slate-img-url "&gt; &amp; nbsp; was a gift for a family member who works all day standing and ends with tired legs and some circulation problems. After a few days of use told me that is happy with the product as it alleviates leg fatigue after working hours standing. The truth is not like a foot massage, because it is through electrostimulation, but after use, if you have good results. Happy with purchase.</v>
      </c>
    </row>
    <row r="15234">
      <c r="A15234" s="1">
        <v>5.0</v>
      </c>
      <c r="B15234" s="1" t="s">
        <v>15096</v>
      </c>
      <c r="C15234" t="str">
        <f>IFERROR(__xludf.DUMMYFUNCTION("GOOGLETRANSLATE(B15234, ""es"", ""en"")"),"B. G were a gift, and are perfect peroxide and had a solomon so the size was clear. Very nice and comfortable than expected for this brand.")</f>
        <v>B. G were a gift, and are perfect peroxide and had a solomon so the size was clear. Very nice and comfortable than expected for this brand.</v>
      </c>
    </row>
    <row r="15235">
      <c r="A15235" s="1">
        <v>5.0</v>
      </c>
      <c r="B15235" s="1" t="s">
        <v>15097</v>
      </c>
      <c r="C15235" t="str">
        <f>IFERROR(__xludf.DUMMYFUNCTION("GOOGLETRANSLATE(B15235, ""es"", ""en"")"),"Perfect Spectacular, took a couple of months in 1000 and works wonders also every time someone sees it is amazed believing it is a much more expensive watch, recommend 100%")</f>
        <v>Perfect Spectacular, took a couple of months in 1000 and works wonders also every time someone sees it is amazed believing it is a much more expensive watch, recommend 100%</v>
      </c>
    </row>
    <row r="15236">
      <c r="A15236" s="1">
        <v>5.0</v>
      </c>
      <c r="B15236" s="1" t="s">
        <v>15098</v>
      </c>
      <c r="C15236" t="str">
        <f>IFERROR(__xludf.DUMMYFUNCTION("GOOGLETRANSLATE(B15236, ""es"", ""en"")"),"Smaller than I expected what I was looking for with plenty of power, all that to the maximum battery lasts just 3 or 4 uses.")</f>
        <v>Smaller than I expected what I was looking for with plenty of power, all that to the maximum battery lasts just 3 or 4 uses.</v>
      </c>
    </row>
    <row r="15237">
      <c r="A15237" s="1">
        <v>5.0</v>
      </c>
      <c r="B15237" s="1" t="s">
        <v>15099</v>
      </c>
      <c r="C15237" t="str">
        <f>IFERROR(__xludf.DUMMYFUNCTION("GOOGLETRANSLATE(B15237, ""es"", ""en"")"),"Perfect for my DJI Mavic PRO if you do not want to spend a lot of money to be small. Not bad to stick a Mavic Pro. Fly Pack perfectly fit more Combo.con everything. Ofcourse there are better quality bags but not less than 60/70 euros as Lowepro. But for 2"&amp;"1 € it does the job perfectly for both sports reflex cameras as, or as in my case, the drone DJI Mavic PRO. Pocket some more, apart from the central mesh it is not would have gone bad. Velcro stick to the fabric of the backpack that sometimes cost them ou"&amp;"t and can be a bit cumbersome them properly (especially if you're a big hands like me) a good buy. Regards.")</f>
        <v>Perfect for my DJI Mavic PRO if you do not want to spend a lot of money to be small. Not bad to stick a Mavic Pro. Fly Pack perfectly fit more Combo.con everything. Ofcourse there are better quality bags but not less than 60/70 euros as Lowepro. But for 21 € it does the job perfectly for both sports reflex cameras as, or as in my case, the drone DJI Mavic PRO. Pocket some more, apart from the central mesh it is not would have gone bad. Velcro stick to the fabric of the backpack that sometimes cost them out and can be a bit cumbersome them properly (especially if you're a big hands like me) a good buy. Regards.</v>
      </c>
    </row>
    <row r="15238">
      <c r="A15238" s="1">
        <v>5.0</v>
      </c>
      <c r="B15238" s="1" t="s">
        <v>15100</v>
      </c>
      <c r="C15238" t="str">
        <f>IFERROR(__xludf.DUMMYFUNCTION("GOOGLETRANSLATE(B15238, ""es"", ""en"")"),"All right and proper to taste")</f>
        <v>All right and proper to taste</v>
      </c>
    </row>
    <row r="15239">
      <c r="A15239" s="1">
        <v>5.0</v>
      </c>
      <c r="B15239" s="1" t="s">
        <v>15101</v>
      </c>
      <c r="C15239" t="str">
        <f>IFERROR(__xludf.DUMMYFUNCTION("GOOGLETRANSLATE(B15239, ""es"", ""en"")"),"Boils very well to the beginning with the first uses, has a plastic smell, after using several times, the smell is gone, the material is very good, and it takes very little in boiling water. To clean you just have to take vinegar and water and bring to th"&amp;"e boil, so it's also super easy to clean")</f>
        <v>Boils very well to the beginning with the first uses, has a plastic smell, after using several times, the smell is gone, the material is very good, and it takes very little in boiling water. To clean you just have to take vinegar and water and bring to the boil, so it's also super easy to clean</v>
      </c>
    </row>
    <row r="15240">
      <c r="A15240" s="1">
        <v>5.0</v>
      </c>
      <c r="B15240" s="1" t="s">
        <v>15102</v>
      </c>
      <c r="C15240" t="str">
        <f>IFERROR(__xludf.DUMMYFUNCTION("GOOGLETRANSLATE(B15240, ""es"", ""en"")"),"Good product bottles are the only ones who wanted my son. Very durable, the nipple is a squishy silicone makes life easier suction. They serve thick porridge")</f>
        <v>Good product bottles are the only ones who wanted my son. Very durable, the nipple is a squishy silicone makes life easier suction. They serve thick porridge</v>
      </c>
    </row>
    <row r="15241">
      <c r="A15241" s="1">
        <v>5.0</v>
      </c>
      <c r="B15241" s="1" t="s">
        <v>15103</v>
      </c>
      <c r="C15241" t="str">
        <f>IFERROR(__xludf.DUMMYFUNCTION("GOOGLETRANSLATE(B15241, ""es"", ""en"")"),"Kettle is perfect you buy good quality, quiet and with great capacity. At first I I felt a little big, but in real life do not notice their community uso.Y the mola much color.")</f>
        <v>Kettle is perfect you buy good quality, quiet and with great capacity. At first I I felt a little big, but in real life do not notice their community uso.Y the mola much color.</v>
      </c>
    </row>
    <row r="15242">
      <c r="A15242" s="1">
        <v>5.0</v>
      </c>
      <c r="B15242" s="1" t="s">
        <v>15104</v>
      </c>
      <c r="C15242" t="str">
        <f>IFERROR(__xludf.DUMMYFUNCTION("GOOGLETRANSLATE(B15242, ""es"", ""en"")"),"Good When you buy a pen drive know you're buying ability so if I wanted that capacity fulfills its function.")</f>
        <v>Good When you buy a pen drive know you're buying ability so if I wanted that capacity fulfills its function.</v>
      </c>
    </row>
    <row r="15243">
      <c r="A15243" s="1">
        <v>5.0</v>
      </c>
      <c r="B15243" s="1" t="s">
        <v>15105</v>
      </c>
      <c r="C15243" t="str">
        <f>IFERROR(__xludf.DUMMYFUNCTION("GOOGLETRANSLATE(B15243, ""es"", ""en"")"),"Male good bag I bought this bag in black friday week for 13.59 € and just received it. The first impression is good especially for that price. -The bag received corresponds exactly to the announced. -aesthetically like me; the game seems pretty elegant br"&amp;"own; It combines both jeans and a dark coat. -The canvas seems quite thick and quality -Consta three compartments, -Pocket outermost, closed with Velcro; 'Nothing to save valuable things in it !! -Space intermediate, not very wide and two inner pockets pr"&amp;"actical without closure in which to save the wallet, mobile (mine of 5 ""fits perfectly into any of them), etc. This closes with zip. -Space innermost ., the largest capacity, with inside zip pocket This compartment also closes with a zipper -The outer sh"&amp;"oulder is true that not too long;. I have put it to the maximum, my height is 1.78 and so I . left hip it would have been nice to add a little pocket on the back, like someone else I'm in conclusion bag;. I think a good product at a good price.")</f>
        <v>Male good bag I bought this bag in black friday week for 13.59 € and just received it. The first impression is good especially for that price. -The bag received corresponds exactly to the announced. -aesthetically like me; the game seems pretty elegant brown; It combines both jeans and a dark coat. -The canvas seems quite thick and quality -Consta three compartments, -Pocket outermost, closed with Velcro; 'Nothing to save valuable things in it !! -Space intermediate, not very wide and two inner pockets practical without closure in which to save the wallet, mobile (mine of 5 "fits perfectly into any of them), etc. This closes with zip. -Space innermost ., the largest capacity, with inside zip pocket This compartment also closes with a zipper -The outer shoulder is true that not too long;. I have put it to the maximum, my height is 1.78 and so I . left hip it would have been nice to add a little pocket on the back, like someone else I'm in conclusion bag;. I think a good product at a good price.</v>
      </c>
    </row>
    <row r="15244">
      <c r="A15244" s="1">
        <v>5.0</v>
      </c>
      <c r="B15244" s="1" t="s">
        <v>15106</v>
      </c>
      <c r="C15244" t="str">
        <f>IFERROR(__xludf.DUMMYFUNCTION("GOOGLETRANSLATE(B15244, ""es"", ""en"")"),"Very comfortable and good materials Comfortable from the first second and very cheap for the quality they bring. The can take 12 hours a day and not hear. Surprising that did not need to ""open them"" since I put them I brought the very comfortable.")</f>
        <v>Very comfortable and good materials Comfortable from the first second and very cheap for the quality they bring. The can take 12 hours a day and not hear. Surprising that did not need to "open them" since I put them I brought the very comfortable.</v>
      </c>
    </row>
    <row r="15245">
      <c r="A15245" s="1">
        <v>2.0</v>
      </c>
      <c r="B15245" s="1" t="s">
        <v>15107</v>
      </c>
      <c r="C15245" t="str">
        <f>IFERROR(__xludf.DUMMYFUNCTION("GOOGLETRANSLATE(B15245, ""es"", ""en"")"),"Fatal small !!! I bought forward for child bearing 38 and the open them are 36. This summer I have neither given nor one with the shoes that I bought here. Or, very small or very large number being. I bought 4 for all summer and nothing can be put. A sham"&amp;"e, to the Canary Islands to be compensated me not return, I took more than 2 years all footwear buy it here and great but jinxed this summer.")</f>
        <v>Fatal small !!! I bought forward for child bearing 38 and the open them are 36. This summer I have neither given nor one with the shoes that I bought here. Or, very small or very large number being. I bought 4 for all summer and nothing can be put. A shame, to the Canary Islands to be compensated me not return, I took more than 2 years all footwear buy it here and great but jinxed this summer.</v>
      </c>
    </row>
    <row r="15246">
      <c r="A15246" s="1">
        <v>3.0</v>
      </c>
      <c r="B15246" s="1" t="s">
        <v>15108</v>
      </c>
      <c r="C15246" t="str">
        <f>IFERROR(__xludf.DUMMYFUNCTION("GOOGLETRANSLATE(B15246, ""es"", ""en"")"),"Duration not very long, less than a year I liked that is original and especially did not like the durability of the product has not reached last a year to the end of the wires are not of very good quality and do not make good contact with the handset and "&amp;"he has stopped working one with which to waste.")</f>
        <v>Duration not very long, less than a year I liked that is original and especially did not like the durability of the product has not reached last a year to the end of the wires are not of very good quality and do not make good contact with the handset and he has stopped working one with which to waste.</v>
      </c>
    </row>
    <row r="15247">
      <c r="A15247" s="1">
        <v>1.0</v>
      </c>
      <c r="B15247" s="1" t="s">
        <v>15109</v>
      </c>
      <c r="C15247" t="str">
        <f>IFERROR(__xludf.DUMMYFUNCTION("GOOGLETRANSLATE(B15247, ""es"", ""en"")"),"Very bad even if they are cheap, very soft and just for a few folios very bad. Little one, there are much better. Volvere not to buy.")</f>
        <v>Very bad even if they are cheap, very soft and just for a few folios very bad. Little one, there are much better. Volvere not to buy.</v>
      </c>
    </row>
    <row r="15248">
      <c r="A15248" s="1">
        <v>1.0</v>
      </c>
      <c r="B15248" s="1" t="s">
        <v>15110</v>
      </c>
      <c r="C15248" t="str">
        <f>IFERROR(__xludf.DUMMYFUNCTION("GOOGLETRANSLATE(B15248, ""es"", ""en"")"),"defectuo disc The worst purchase I have made in the 10 years that I as a user of Amazon. The first, he had the disc for a project, but assumed he could arrive after 2-3 days, not only came late but it took 9 days to arrive. Then, opening the package, I fi"&amp;"nd that the disc was loose inside the box with a small wad of paper at his side. While it is true that was wrapped in bubble wrap, I can not imagine the number of strokes will have taken the disk since he left 'facilities seller' to my house. Attached are"&amp;" the pictures. And to top it off, the disc is defective and is not readable or my NAS, or any of the 2 pc's that I've connected. I do not recommend this seller, a margin that is 'run by Amazon' at all. I have another WD 2TB Network was simply plug and pla"&amp;"y. The worst shopping experience I've had. Returning product.")</f>
        <v>defectuo disc The worst purchase I have made in the 10 years that I as a user of Amazon. The first, he had the disc for a project, but assumed he could arrive after 2-3 days, not only came late but it took 9 days to arrive. Then, opening the package, I find that the disc was loose inside the box with a small wad of paper at his side. While it is true that was wrapped in bubble wrap, I can not imagine the number of strokes will have taken the disk since he left 'facilities seller' to my house. Attached are the pictures. And to top it off, the disc is defective and is not readable or my NAS, or any of the 2 pc's that I've connected. I do not recommend this seller, a margin that is 'run by Amazon' at all. I have another WD 2TB Network was simply plug and play. The worst shopping experience I've had. Returning product.</v>
      </c>
    </row>
    <row r="15249">
      <c r="A15249" s="1">
        <v>1.0</v>
      </c>
      <c r="B15249" s="1" t="s">
        <v>15111</v>
      </c>
      <c r="C15249" t="str">
        <f>IFERROR(__xludf.DUMMYFUNCTION("GOOGLETRANSLATE(B15249, ""es"", ""en"")"),"Has broken nothing put the first day of me broke. very soft")</f>
        <v>Has broken nothing put the first day of me broke. very soft</v>
      </c>
    </row>
    <row r="15250">
      <c r="A15250" s="1">
        <v>4.0</v>
      </c>
      <c r="B15250" s="1" t="s">
        <v>15112</v>
      </c>
      <c r="C15250" t="str">
        <f>IFERROR(__xludf.DUMMYFUNCTION("GOOGLETRANSLATE(B15250, ""es"", ""en"")"),"Practices for jobs requiring near vision. I like the variety of lenses and how easy it is used, so no, the pins do some damage, use to embroider and I come from fear !!. Happy with purchase.")</f>
        <v>Practices for jobs requiring near vision. I like the variety of lenses and how easy it is used, so no, the pins do some damage, use to embroider and I come from fear !!. Happy with purchase.</v>
      </c>
    </row>
    <row r="15251">
      <c r="A15251" s="1">
        <v>4.0</v>
      </c>
      <c r="B15251" s="1" t="s">
        <v>15113</v>
      </c>
      <c r="C15251" t="str">
        <f>IFERROR(__xludf.DUMMYFUNCTION("GOOGLETRANSLATE(B15251, ""es"", ""en"")"),"Dancing shoes for dancing and her feet did not swell")</f>
        <v>Dancing shoes for dancing and her feet did not swell</v>
      </c>
    </row>
    <row r="15252">
      <c r="A15252" s="1">
        <v>4.0</v>
      </c>
      <c r="B15252" s="1" t="s">
        <v>15114</v>
      </c>
      <c r="C15252" t="str">
        <f>IFERROR(__xludf.DUMMYFUNCTION("GOOGLETRANSLATE(B15252, ""es"", ""en"")"),"Everything looks good ok")</f>
        <v>Everything looks good ok</v>
      </c>
    </row>
    <row r="15253">
      <c r="A15253" s="1">
        <v>4.0</v>
      </c>
      <c r="B15253" s="1" t="s">
        <v>15115</v>
      </c>
      <c r="C15253" t="str">
        <f>IFERROR(__xludf.DUMMYFUNCTION("GOOGLETRANSLATE(B15253, ""es"", ""en"")"),"Good buy - Original Son, boots that has all the earmarks that will last muuchos years! - I would buy the black, but between I saw the tents were prime and cheaper (no more and no less than 35 € difference) do not regret it, if you are interested in color "&amp;"is such that the separate image that wear them can with almost everything. - The sizing is fine, I bought the size that I always use, the problem is that if you have a narrow foot on the end you will be a little wide, but none of the other world, if much "&amp;"you put a template and ready. I do not give it 5 stars because the courier company Tourline Express that was responsible for the shipment in La Rioja works FATAL, I got boots on the time limit, I wish Amazon would stop working with her.")</f>
        <v>Good buy - Original Son, boots that has all the earmarks that will last muuchos years! - I would buy the black, but between I saw the tents were prime and cheaper (no more and no less than 35 € difference) do not regret it, if you are interested in color is such that the separate image that wear them can with almost everything. - The sizing is fine, I bought the size that I always use, the problem is that if you have a narrow foot on the end you will be a little wide, but none of the other world, if much you put a template and ready. I do not give it 5 stars because the courier company Tourline Express that was responsible for the shipment in La Rioja works FATAL, I got boots on the time limit, I wish Amazon would stop working with her.</v>
      </c>
    </row>
    <row r="15254">
      <c r="A15254" s="1">
        <v>5.0</v>
      </c>
      <c r="B15254" s="1" t="s">
        <v>15116</v>
      </c>
      <c r="C15254" t="str">
        <f>IFERROR(__xludf.DUMMYFUNCTION("GOOGLETRANSLATE(B15254, ""es"", ""en"")"),"Very useful and guaranteed very practical, compact and well done. Fasteners and handles look very nice. I recommend the Eastpak products.")</f>
        <v>Very useful and guaranteed very practical, compact and well done. Fasteners and handles look very nice. I recommend the Eastpak products.</v>
      </c>
    </row>
    <row r="15255">
      <c r="A15255" s="1">
        <v>5.0</v>
      </c>
      <c r="B15255" s="1" t="s">
        <v>15117</v>
      </c>
      <c r="C15255" t="str">
        <f>IFERROR(__xludf.DUMMYFUNCTION("GOOGLETRANSLATE(B15255, ""es"", ""en"")"),"It meets all we bought because our baby has enfema with cold and wanted to have the atmosphere of the house is not so dry the air and have a secondary light for when we get up at night when the baby wakes up, so we came from pearls. It makes some noise bu"&amp;"t no longer water noise, is not annoying, I would say that even relaxing, but hey, almost not noticeable. It has a very cool design. Be aware that it is a diffuser of aromas with humidifier function, which humidifier 100%, fulfilling its great function, b"&amp;"ut do not expect large capacity power or as a bigger one. Rooms for us is great, maybe because for the biggest room we choose to buy a larger capacity.")</f>
        <v>It meets all we bought because our baby has enfema with cold and wanted to have the atmosphere of the house is not so dry the air and have a secondary light for when we get up at night when the baby wakes up, so we came from pearls. It makes some noise but no longer water noise, is not annoying, I would say that even relaxing, but hey, almost not noticeable. It has a very cool design. Be aware that it is a diffuser of aromas with humidifier function, which humidifier 100%, fulfilling its great function, but do not expect large capacity power or as a bigger one. Rooms for us is great, maybe because for the biggest room we choose to buy a larger capacity.</v>
      </c>
    </row>
    <row r="15256">
      <c r="A15256" s="1">
        <v>5.0</v>
      </c>
      <c r="B15256" s="1" t="s">
        <v>15118</v>
      </c>
      <c r="C15256" t="str">
        <f>IFERROR(__xludf.DUMMYFUNCTION("GOOGLETRANSLATE(B15256, ""es"", ""en"")"),"Comfortable and quality. Very warm They have very good quality, they are really comfortable. Obviously I will premiere when you stop doing so hot, but they look really good and at a spectacular price. I will buy other insurance")</f>
        <v>Comfortable and quality. Very warm They have very good quality, they are really comfortable. Obviously I will premiere when you stop doing so hot, but they look really good and at a spectacular price. I will buy other insurance</v>
      </c>
    </row>
    <row r="15257">
      <c r="A15257" s="1">
        <v>5.0</v>
      </c>
      <c r="B15257" s="1" t="s">
        <v>15119</v>
      </c>
      <c r="C15257" t="str">
        <f>IFERROR(__xludf.DUMMYFUNCTION("GOOGLETRANSLATE(B15257, ""es"", ""en"")"),"I use them very comfortable to work, and are super comfortable, I have a narrow foot but fit great ... very happy slip, I recommend it.")</f>
        <v>I use them very comfortable to work, and are super comfortable, I have a narrow foot but fit great ... very happy slip, I recommend it.</v>
      </c>
    </row>
    <row r="15258">
      <c r="A15258" s="1">
        <v>5.0</v>
      </c>
      <c r="B15258" s="1" t="s">
        <v>15120</v>
      </c>
      <c r="C15258" t="str">
        <f>IFERROR(__xludf.DUMMYFUNCTION("GOOGLETRANSLATE(B15258, ""es"", ""en"")"),"the first feeling is that I love the first feeling is that I love, I have more expensive and this I like the subject that leads, is not upset take and have good sound, so I'm satisfied with the purchase and recommend definitely")</f>
        <v>the first feeling is that I love the first feeling is that I love, I have more expensive and this I like the subject that leads, is not upset take and have good sound, so I'm satisfied with the purchase and recommend definitely</v>
      </c>
    </row>
    <row r="15259">
      <c r="A15259" s="1">
        <v>5.0</v>
      </c>
      <c r="B15259" s="1" t="s">
        <v>15121</v>
      </c>
      <c r="C15259" t="str">
        <f>IFERROR(__xludf.DUMMYFUNCTION("GOOGLETRANSLATE(B15259, ""es"", ""en"")"),"This elegant and practical product was a birthday gift and I decided to buy it for its elegance and practicality it is. It is a perfect size to carry the necessary accessories. It is also comfortable and ideal for any occasion.")</f>
        <v>This elegant and practical product was a birthday gift and I decided to buy it for its elegance and practicality it is. It is a perfect size to carry the necessary accessories. It is also comfortable and ideal for any occasion.</v>
      </c>
    </row>
    <row r="15260">
      <c r="A15260" s="1">
        <v>5.0</v>
      </c>
      <c r="B15260" s="1" t="s">
        <v>15122</v>
      </c>
      <c r="C15260" t="str">
        <f>IFERROR(__xludf.DUMMYFUNCTION("GOOGLETRANSLATE(B15260, ""es"", ""en"")"),"It fulfills its function the first time I buy a hard drive of this brand. I read many reviews and really was not all. used once I see that perfectly fulfills its function. In aparciencia the hard drive is sturdy (strong plastic). The bottom has a rubber t"&amp;"aquitos are good for you does not slide around the table or get scratched. Data transmission if you use USB3.0 is super fast. We did not assess the durability that take too little for him. Ah, you have to format if you want to use it only on Mac and Windo"&amp;"ws or Mac. It comes in default format for Windows.")</f>
        <v>It fulfills its function the first time I buy a hard drive of this brand. I read many reviews and really was not all. used once I see that perfectly fulfills its function. In aparciencia the hard drive is sturdy (strong plastic). The bottom has a rubber taquitos are good for you does not slide around the table or get scratched. Data transmission if you use USB3.0 is super fast. We did not assess the durability that take too little for him. Ah, you have to format if you want to use it only on Mac and Windows or Mac. It comes in default format for Windows.</v>
      </c>
    </row>
    <row r="15261">
      <c r="A15261" s="1">
        <v>5.0</v>
      </c>
      <c r="B15261" s="1" t="s">
        <v>15123</v>
      </c>
      <c r="C15261" t="str">
        <f>IFERROR(__xludf.DUMMYFUNCTION("GOOGLETRANSLATE(B15261, ""es"", ""en"")"),"Encantada pretty pendant ... represents a golden cat stretching. It is my favorite animal, so I fell in love when I saw her. The small chain is very thin and elegant and, in my opinion, is the perfect length.")</f>
        <v>Encantada pretty pendant ... represents a golden cat stretching. It is my favorite animal, so I fell in love when I saw her. The small chain is very thin and elegant and, in my opinion, is the perfect length.</v>
      </c>
    </row>
    <row r="15262">
      <c r="A15262" s="1">
        <v>5.0</v>
      </c>
      <c r="B15262" s="1" t="s">
        <v>15124</v>
      </c>
      <c r="C15262" t="str">
        <f>IFERROR(__xludf.DUMMYFUNCTION("GOOGLETRANSLATE(B15262, ""es"", ""en"")"),"No couplings This cable yak is what I was looking for quality and versatilidad.Se fits well with bass and no strange noises mate, also how ""L"" is perfect for both the instrument or amplifier since it does not protrude as well as other")</f>
        <v>No couplings This cable yak is what I was looking for quality and versatilidad.Se fits well with bass and no strange noises mate, also how "L" is perfect for both the instrument or amplifier since it does not protrude as well as other</v>
      </c>
    </row>
    <row r="15263">
      <c r="A15263" s="1">
        <v>5.0</v>
      </c>
      <c r="B15263" s="1" t="s">
        <v>15125</v>
      </c>
      <c r="C15263" t="str">
        <f>IFERROR(__xludf.DUMMYFUNCTION("GOOGLETRANSLATE(B15263, ""es"", ""en"")"),"A great product perfect for quality price, the material is tough and has the characteristics esperadas.Cumple with what is expected")</f>
        <v>A great product perfect for quality price, the material is tough and has the characteristics esperadas.Cumple with what is expected</v>
      </c>
    </row>
    <row r="15264">
      <c r="A15264" s="1">
        <v>5.0</v>
      </c>
      <c r="B15264" s="1" t="s">
        <v>15126</v>
      </c>
      <c r="C15264" t="str">
        <f>IFERROR(__xludf.DUMMYFUNCTION("GOOGLETRANSLATE(B15264, ""es"", ""en"")"),"Very good very good, very modern design and good quality, grinds very fast and very efficient Many accessories and boats to carry work")</f>
        <v>Very good very good, very modern design and good quality, grinds very fast and very efficient Many accessories and boats to carry work</v>
      </c>
    </row>
    <row r="15265">
      <c r="A15265" s="1">
        <v>5.0</v>
      </c>
      <c r="B15265" s="1" t="s">
        <v>15127</v>
      </c>
      <c r="C15265" t="str">
        <f>IFERROR(__xludf.DUMMYFUNCTION("GOOGLETRANSLATE(B15265, ""es"", ""en"")"),"The comfort I love your colo use it mainly for walking")</f>
        <v>The comfort I love your colo use it mainly for walking</v>
      </c>
    </row>
    <row r="15266">
      <c r="A15266" s="1">
        <v>5.0</v>
      </c>
      <c r="B15266" s="1" t="s">
        <v>15128</v>
      </c>
      <c r="C15266" t="str">
        <f>IFERROR(__xludf.DUMMYFUNCTION("GOOGLETRANSLATE(B15266, ""es"", ""en"")"),"I use it daily Previously bought one baratero and when it broke decided to spend some more money. I'm delighted. I have it for over a year and has not given me any problems even though I use in my classes daily. It is easy to use, lightweight and fits nic"&amp;"ely at hand. Above he had was equally small vileda a pen and thought this to be the biggest, would be uncomfortable, but nothing to do. In fact, I think that is something bigger help to better suit the catch. The only thing I miss is that you can click li"&amp;"nks to put videos or redirect documents. This does not make neither the previous nor this, so I guess that is common in these pointers midrange. Anyway, it's a great product. The pointer works well, if you do not know much distance as advertised, but from"&amp;" the other side of the class (which is quite deep) can be used without problems.")</f>
        <v>I use it daily Previously bought one baratero and when it broke decided to spend some more money. I'm delighted. I have it for over a year and has not given me any problems even though I use in my classes daily. It is easy to use, lightweight and fits nicely at hand. Above he had was equally small vileda a pen and thought this to be the biggest, would be uncomfortable, but nothing to do. In fact, I think that is something bigger help to better suit the catch. The only thing I miss is that you can click links to put videos or redirect documents. This does not make neither the previous nor this, so I guess that is common in these pointers midrange. Anyway, it's a great product. The pointer works well, if you do not know much distance as advertised, but from the other side of the class (which is quite deep) can be used without problems.</v>
      </c>
    </row>
    <row r="15267">
      <c r="A15267" s="1">
        <v>5.0</v>
      </c>
      <c r="B15267" s="1" t="s">
        <v>15129</v>
      </c>
      <c r="C15267" t="str">
        <f>IFERROR(__xludf.DUMMYFUNCTION("GOOGLETRANSLATE(B15267, ""es"", ""en"")"),"Ideal gift perfect gift, super original, is very complete, my son bought for his girlfriend and loved, brings to put photos and a thousand things, you have to put imagination and is a super special gift, I totally recommend it")</f>
        <v>Ideal gift perfect gift, super original, is very complete, my son bought for his girlfriend and loved, brings to put photos and a thousand things, you have to put imagination and is a super special gift, I totally recommend it</v>
      </c>
    </row>
    <row r="15268">
      <c r="A15268" s="1">
        <v>5.0</v>
      </c>
      <c r="B15268" s="1" t="s">
        <v>15130</v>
      </c>
      <c r="C15268" t="str">
        <f>IFERROR(__xludf.DUMMYFUNCTION("GOOGLETRANSLATE(B15268, ""es"", ""en"")"),"Comfortable and functional I needed a shoulder and the truth is that this is fine. It seems light and sturdy. It goes well nourished size of pockets, zippers are decent and the strap do not mind. Yes, please note that not be a standard A4 folder, it is sl"&amp;"ightly smaller.")</f>
        <v>Comfortable and functional I needed a shoulder and the truth is that this is fine. It seems light and sturdy. It goes well nourished size of pockets, zippers are decent and the strap do not mind. Yes, please note that not be a standard A4 folder, it is slightly smaller.</v>
      </c>
    </row>
    <row r="15269">
      <c r="A15269" s="1">
        <v>5.0</v>
      </c>
      <c r="B15269" s="1" t="s">
        <v>15131</v>
      </c>
      <c r="C15269" t="str">
        <f>IFERROR(__xludf.DUMMYFUNCTION("GOOGLETRANSLATE(B15269, ""es"", ""en"")"),"Heated enough, good finish I thought not heat up enough, but if you do. Take temperature quickly and heat is more than enough. Has six power levels, and it is normal use to 5. It has a knob in a cable with a display indicating the power level of a pushbut"&amp;"ton is adjusted. The finish is good, soft and padded. I was pleasantly surprised. Good value for money. I recommend it.")</f>
        <v>Heated enough, good finish I thought not heat up enough, but if you do. Take temperature quickly and heat is more than enough. Has six power levels, and it is normal use to 5. It has a knob in a cable with a display indicating the power level of a pushbutton is adjusted. The finish is good, soft and padded. I was pleasantly surprised. Good value for money. I recommend it.</v>
      </c>
    </row>
    <row r="15270">
      <c r="A15270" s="1">
        <v>5.0</v>
      </c>
      <c r="B15270" s="1" t="s">
        <v>15132</v>
      </c>
      <c r="C15270" t="str">
        <f>IFERROR(__xludf.DUMMYFUNCTION("GOOGLETRANSLATE(B15270, ""es"", ""en"")"),"Proper sizing and quality than average. Mido 178 cm and weight 85 kg. I'm not a noodle. Sweatshirt feel good, I'd say perfect. Neither too broad nor too fair. He was waiting for the first cycle of washing and drying to write the opinion. Washed in washing"&amp;" machine with warm water and tumble dried, the sweatshirt has not shrunk. The last one I had bought after the first wash will not serve nor my 5 year old son. Sweatshirt is consistent, unlike other jumpers having less than a cotton stick ears. After the s"&amp;"uccessful test wash, I bought another gray. The sale price (30 euros) very good for the quality of the product.")</f>
        <v>Proper sizing and quality than average. Mido 178 cm and weight 85 kg. I'm not a noodle. Sweatshirt feel good, I'd say perfect. Neither too broad nor too fair. He was waiting for the first cycle of washing and drying to write the opinion. Washed in washing machine with warm water and tumble dried, the sweatshirt has not shrunk. The last one I had bought after the first wash will not serve nor my 5 year old son. Sweatshirt is consistent, unlike other jumpers having less than a cotton stick ears. After the successful test wash, I bought another gray. The sale price (30 euros) very good for the quality of the product.</v>
      </c>
    </row>
    <row r="15271">
      <c r="A15271" s="1">
        <v>5.0</v>
      </c>
      <c r="B15271" s="1" t="s">
        <v>15133</v>
      </c>
      <c r="C15271" t="str">
        <f>IFERROR(__xludf.DUMMYFUNCTION("GOOGLETRANSLATE(B15271, ""es"", ""en"")"),"Great product've been using 5 months and works perfect")</f>
        <v>Great product've been using 5 months and works perfect</v>
      </c>
    </row>
    <row r="15272">
      <c r="A15272" s="1">
        <v>2.0</v>
      </c>
      <c r="B15272" s="1" t="s">
        <v>15134</v>
      </c>
      <c r="C15272" t="str">
        <f>IFERROR(__xludf.DUMMYFUNCTION("GOOGLETRANSLATE(B15272, ""es"", ""en"")"),"What dissatisfied purchase to connect to the TV room or the room and the room is a smart TV that does not work. TV in the lounge hear perfectly but many interferences are created when you move or get near any other electronic device. Otherwise they are fi"&amp;"nished and are very comfortable. The I'll return.")</f>
        <v>What dissatisfied purchase to connect to the TV room or the room and the room is a smart TV that does not work. TV in the lounge hear perfectly but many interferences are created when you move or get near any other electronic device. Otherwise they are finished and are very comfortable. The I'll return.</v>
      </c>
    </row>
    <row r="15273">
      <c r="A15273" s="1">
        <v>3.0</v>
      </c>
      <c r="B15273" s="1" t="s">
        <v>15135</v>
      </c>
      <c r="C15273" t="str">
        <f>IFERROR(__xludf.DUMMYFUNCTION("GOOGLETRANSLATE(B15273, ""es"", ""en"")"),"Do not cut so well I bought these scissors fabrics and sewing and not just perfectly cut fabrics as I expected ...")</f>
        <v>Do not cut so well I bought these scissors fabrics and sewing and not just perfectly cut fabrics as I expected ...</v>
      </c>
    </row>
    <row r="15274">
      <c r="A15274" s="1">
        <v>3.0</v>
      </c>
      <c r="B15274" s="1" t="s">
        <v>15136</v>
      </c>
      <c r="C15274" t="str">
        <f>IFERROR(__xludf.DUMMYFUNCTION("GOOGLETRANSLATE(B15274, ""es"", ""en"")"),"A nice slippers slippers quite nice and modern, with mainly sporty and casual look, although I aesthetically like and are comfortable think the price does not end justified qualities, there have been times I've caught offers of this brand, I quite like it"&amp;", and so they come to a more appropriate price.")</f>
        <v>A nice slippers slippers quite nice and modern, with mainly sporty and casual look, although I aesthetically like and are comfortable think the price does not end justified qualities, there have been times I've caught offers of this brand, I quite like it, and so they come to a more appropriate price.</v>
      </c>
    </row>
    <row r="15275">
      <c r="A15275" s="1">
        <v>3.0</v>
      </c>
      <c r="B15275" s="1" t="s">
        <v>15137</v>
      </c>
      <c r="C15275" t="str">
        <f>IFERROR(__xludf.DUMMYFUNCTION("GOOGLETRANSLATE(B15275, ""es"", ""en"")"),"A file more I got something bent and marked also the closure of the rings is not expected to have much life, so I'll use it to keep records of little use. However, for the price it is not bad and does the job.")</f>
        <v>A file more I got something bent and marked also the closure of the rings is not expected to have much life, so I'll use it to keep records of little use. However, for the price it is not bad and does the job.</v>
      </c>
    </row>
    <row r="15276">
      <c r="A15276" s="1">
        <v>1.0</v>
      </c>
      <c r="B15276" s="1" t="s">
        <v>15138</v>
      </c>
      <c r="C15276" t="str">
        <f>IFERROR(__xludf.DUMMYFUNCTION("GOOGLETRANSLATE(B15276, ""es"", ""en"")"),"Velcro sew fabric must not hold anything comes off easily")</f>
        <v>Velcro sew fabric must not hold anything comes off easily</v>
      </c>
    </row>
    <row r="15277">
      <c r="A15277" s="1">
        <v>1.0</v>
      </c>
      <c r="B15277" s="1" t="s">
        <v>15139</v>
      </c>
      <c r="C15277" t="str">
        <f>IFERROR(__xludf.DUMMYFUNCTION("GOOGLETRANSLATE(B15277, ""es"", ""en"")"),"It is 2.0, the description is incorrect This is NOT USB 3.0. Misleading.")</f>
        <v>It is 2.0, the description is incorrect This is NOT USB 3.0. Misleading.</v>
      </c>
    </row>
    <row r="15278">
      <c r="A15278" s="1">
        <v>4.0</v>
      </c>
      <c r="B15278" s="1" t="s">
        <v>15140</v>
      </c>
      <c r="C15278" t="str">
        <f>IFERROR(__xludf.DUMMYFUNCTION("GOOGLETRANSLATE(B15278, ""es"", ""en"")"),"Good product works well when money is right and when it was all very fast descambie")</f>
        <v>Good product works well when money is right and when it was all very fast descambie</v>
      </c>
    </row>
    <row r="15279">
      <c r="A15279" s="1">
        <v>4.0</v>
      </c>
      <c r="B15279" s="1" t="s">
        <v>15141</v>
      </c>
      <c r="C15279" t="str">
        <f>IFERROR(__xludf.DUMMYFUNCTION("GOOGLETRANSLATE(B15279, ""es"", ""en"")"),"The connection is not 10 meters. 🤷🏻♀️ are very comfortable pads bring parts of other sizes, a rigid shell that protects although small for storage. I do not like that sometimes loses connection is not like the description says you can be 10 meters, if y"&amp;"ou're in the living room and go to the kitchen stops heard (and my apartment is minimal). The sound is very good and very easy to use buttons 🤔")</f>
        <v>The connection is not 10 meters. 🤷🏻♀️ are very comfortable pads bring parts of other sizes, a rigid shell that protects although small for storage. I do not like that sometimes loses connection is not like the description says you can be 10 meters, if you're in the living room and go to the kitchen stops heard (and my apartment is minimal). The sound is very good and very easy to use buttons 🤔</v>
      </c>
    </row>
    <row r="15280">
      <c r="A15280" s="1">
        <v>4.0</v>
      </c>
      <c r="B15280" s="1" t="s">
        <v>15142</v>
      </c>
      <c r="C15280" t="str">
        <f>IFERROR(__xludf.DUMMYFUNCTION("GOOGLETRANSLATE(B15280, ""es"", ""en"")"),"Well are fine. A little narrow but ys be made at the foot")</f>
        <v>Well are fine. A little narrow but ys be made at the foot</v>
      </c>
    </row>
    <row r="15281">
      <c r="A15281" s="1">
        <v>4.0</v>
      </c>
      <c r="B15281" s="1" t="s">
        <v>15143</v>
      </c>
      <c r="C15281" t="str">
        <f>IFERROR(__xludf.DUMMYFUNCTION("GOOGLETRANSLATE(B15281, ""es"", ""en"")"),"Raul Lator are fine ... Although they are smaller than it seems. I did not like that the closure is of plastic and metal as shown in the photos")</f>
        <v>Raul Lator are fine ... Although they are smaller than it seems. I did not like that the closure is of plastic and metal as shown in the photos</v>
      </c>
    </row>
    <row r="15282">
      <c r="A15282" s="1">
        <v>4.0</v>
      </c>
      <c r="B15282" s="1" t="s">
        <v>15144</v>
      </c>
      <c r="C15282" t="str">
        <f>IFERROR(__xludf.DUMMYFUNCTION("GOOGLETRANSLATE(B15282, ""es"", ""en"")"),"😔😔😔😔 The clock is not like the photo, I expected the same anyway is nice, but would have loved to have been as shown there,")</f>
        <v>😔😔😔😔 The clock is not like the photo, I expected the same anyway is nice, but would have loved to have been as shown there,</v>
      </c>
    </row>
    <row r="15283">
      <c r="A15283" s="1">
        <v>5.0</v>
      </c>
      <c r="B15283" s="1" t="s">
        <v>15145</v>
      </c>
      <c r="C15283" t="str">
        <f>IFERROR(__xludf.DUMMYFUNCTION("GOOGLETRANSLATE(B15283, ""es"", ""en"")"),"Comfortable pants comfortable pants for sport")</f>
        <v>Comfortable pants comfortable pants for sport</v>
      </c>
    </row>
    <row r="15284">
      <c r="A15284" s="1">
        <v>5.0</v>
      </c>
      <c r="B15284" s="1" t="s">
        <v>15146</v>
      </c>
      <c r="C15284" t="str">
        <f>IFERROR(__xludf.DUMMYFUNCTION("GOOGLETRANSLATE(B15284, ""es"", ""en"")"),"Good perfect")</f>
        <v>Good perfect</v>
      </c>
    </row>
    <row r="15285">
      <c r="A15285" s="1">
        <v>5.0</v>
      </c>
      <c r="B15285" s="1" t="s">
        <v>15147</v>
      </c>
      <c r="C15285" t="str">
        <f>IFERROR(__xludf.DUMMYFUNCTION("GOOGLETRANSLATE(B15285, ""es"", ""en"")"),"Lightweight and comfortable How quickly connects and convenience of not having wires hanging. On the other hand the microphone will not sit still in a position, you have to be continually adjusting it so that you hear correctly.")</f>
        <v>Lightweight and comfortable How quickly connects and convenience of not having wires hanging. On the other hand the microphone will not sit still in a position, you have to be continually adjusting it so that you hear correctly.</v>
      </c>
    </row>
    <row r="15286">
      <c r="A15286" s="1">
        <v>5.0</v>
      </c>
      <c r="B15286" s="1" t="s">
        <v>15148</v>
      </c>
      <c r="C15286" t="str">
        <f>IFERROR(__xludf.DUMMYFUNCTION("GOOGLETRANSLATE(B15286, ""es"", ""en"")"),"The backup of my files. Well, as usual I said, with all due respect to the discs like women bags, always filled. Therefore, after suffering an accident in another external drive, I decided to buy one that was supported by the others, needed capacity, beca"&amp;"use usually use three different disks to store my files, but also should compensate access speed and price and it di spot for domestic environments is an excellent choice.")</f>
        <v>The backup of my files. Well, as usual I said, with all due respect to the discs like women bags, always filled. Therefore, after suffering an accident in another external drive, I decided to buy one that was supported by the others, needed capacity, because usually use three different disks to store my files, but also should compensate access speed and price and it di spot for domestic environments is an excellent choice.</v>
      </c>
    </row>
    <row r="15287">
      <c r="A15287" s="1">
        <v>5.0</v>
      </c>
      <c r="B15287" s="1" t="s">
        <v>15149</v>
      </c>
      <c r="C15287" t="str">
        <f>IFERROR(__xludf.DUMMYFUNCTION("GOOGLETRANSLATE(B15287, ""es"", ""en"")"),"A very nice big clock at an incredible price.")</f>
        <v>A very nice big clock at an incredible price.</v>
      </c>
    </row>
    <row r="15288">
      <c r="A15288" s="1">
        <v>5.0</v>
      </c>
      <c r="B15288" s="1" t="s">
        <v>15150</v>
      </c>
      <c r="C15288" t="str">
        <f>IFERROR(__xludf.DUMMYFUNCTION("GOOGLETRANSLATE(B15288, ""es"", ""en"")"),"My delighted woman warmth")</f>
        <v>My delighted woman warmth</v>
      </c>
    </row>
    <row r="15289">
      <c r="A15289" s="1">
        <v>5.0</v>
      </c>
      <c r="B15289" s="1" t="s">
        <v>15151</v>
      </c>
      <c r="C15289" t="str">
        <f>IFERROR(__xludf.DUMMYFUNCTION("GOOGLETRANSLATE(B15289, ""es"", ""en"")"),"Juan Mateos Good buy. I reloj.lo buy very good because I had one just like it and I lasted about 10 years. It is a good choice")</f>
        <v>Juan Mateos Good buy. I reloj.lo buy very good because I had one just like it and I lasted about 10 years. It is a good choice</v>
      </c>
    </row>
    <row r="15290">
      <c r="A15290" s="1">
        <v>5.0</v>
      </c>
      <c r="B15290" s="1" t="s">
        <v>15152</v>
      </c>
      <c r="C15290" t="str">
        <f>IFERROR(__xludf.DUMMYFUNCTION("GOOGLETRANSLATE(B15290, ""es"", ""en"")"),"Right off the bat good time")</f>
        <v>Right off the bat good time</v>
      </c>
    </row>
    <row r="15291">
      <c r="A15291" s="1">
        <v>5.0</v>
      </c>
      <c r="B15291" s="1" t="s">
        <v>15153</v>
      </c>
      <c r="C15291" t="str">
        <f>IFERROR(__xludf.DUMMYFUNCTION("GOOGLETRANSLATE(B15291, ""es"", ""en"")"),"Good Good quality meets expectations but also can not say that is amazing")</f>
        <v>Good Good quality meets expectations but also can not say that is amazing</v>
      </c>
    </row>
    <row r="15292">
      <c r="A15292" s="1">
        <v>5.0</v>
      </c>
      <c r="B15292" s="1" t="s">
        <v>15154</v>
      </c>
      <c r="C15292" t="str">
        <f>IFERROR(__xludf.DUMMYFUNCTION("GOOGLETRANSLATE(B15292, ""es"", ""en"")"),"Good quality, hold the brush between her thighs. Sports mesh of very good quality. I have been pleasantly surprised by these meshes, the fabric is of excellent quality, it looks tough, enduring rubbing the legs and also to the touch is very soft. It serve"&amp;"s more for when you fresquito because the fabric is a little chubby. It has two side pockets great to go jogging, walking, and have no bearing purse for money, keys and mobile. As for when to wear them, are comodisima, the sizing is great, and screens are"&amp;" very nice sunsets will make you a very nice figure by staying a little ajustaditas but not uncomfortable. I am very happy with them also for tall girls, the long leg is quite long, and for smaller is not bad, I'm more short and the only thing left is the"&amp;" mesh down a tad wrinkled, but it is not ugly. I recommend them.")</f>
        <v>Good quality, hold the brush between her thighs. Sports mesh of very good quality. I have been pleasantly surprised by these meshes, the fabric is of excellent quality, it looks tough, enduring rubbing the legs and also to the touch is very soft. It serves more for when you fresquito because the fabric is a little chubby. It has two side pockets great to go jogging, walking, and have no bearing purse for money, keys and mobile. As for when to wear them, are comodisima, the sizing is great, and screens are very nice sunsets will make you a very nice figure by staying a little ajustaditas but not uncomfortable. I am very happy with them also for tall girls, the long leg is quite long, and for smaller is not bad, I'm more short and the only thing left is the mesh down a tad wrinkled, but it is not ugly. I recommend them.</v>
      </c>
    </row>
    <row r="15293">
      <c r="A15293" s="1">
        <v>5.0</v>
      </c>
      <c r="B15293" s="1" t="s">
        <v>15155</v>
      </c>
      <c r="C15293" t="str">
        <f>IFERROR(__xludf.DUMMYFUNCTION("GOOGLETRANSLATE(B15293, ""es"", ""en"")"),"Good quality great. Ideal for pilates or yoga")</f>
        <v>Good quality great. Ideal for pilates or yoga</v>
      </c>
    </row>
    <row r="15294">
      <c r="A15294" s="1">
        <v>5.0</v>
      </c>
      <c r="B15294" s="1" t="s">
        <v>15156</v>
      </c>
      <c r="C15294" t="str">
        <f>IFERROR(__xludf.DUMMYFUNCTION("GOOGLETRANSLATE(B15294, ""es"", ""en"")"),"ideal ideal quality great price, very nice and stylish color very beautiful truth, my enchanted sister.")</f>
        <v>ideal ideal quality great price, very nice and stylish color very beautiful truth, my enchanted sister.</v>
      </c>
    </row>
    <row r="15295">
      <c r="A15295" s="1">
        <v>5.0</v>
      </c>
      <c r="B15295" s="1" t="s">
        <v>15157</v>
      </c>
      <c r="C15295" t="str">
        <f>IFERROR(__xludf.DUMMYFUNCTION("GOOGLETRANSLATE(B15295, ""es"", ""en"")"),"Super cool !!!! Perfect !!")</f>
        <v>Super cool !!!! Perfect !!</v>
      </c>
    </row>
    <row r="15296">
      <c r="A15296" s="1">
        <v>5.0</v>
      </c>
      <c r="B15296" s="1" t="s">
        <v>15158</v>
      </c>
      <c r="C15296" t="str">
        <f>IFERROR(__xludf.DUMMYFUNCTION("GOOGLETRANSLATE(B15296, ""es"", ""en"")"),"very comfortable very good better than expected")</f>
        <v>very comfortable very good better than expected</v>
      </c>
    </row>
    <row r="15297">
      <c r="A15297" s="1">
        <v>5.0</v>
      </c>
      <c r="B15297" s="1" t="s">
        <v>15159</v>
      </c>
      <c r="C15297" t="str">
        <f>IFERROR(__xludf.DUMMYFUNCTION("GOOGLETRANSLATE(B15297, ""es"", ""en"")"),"Very good product is everything I expected it a power mixer. I crushes anything in seconds, including ice and frozen fruit. Very happy with the purchase although I must say that the glass is we have a little short.")</f>
        <v>Very good product is everything I expected it a power mixer. I crushes anything in seconds, including ice and frozen fruit. Very happy with the purchase although I must say that the glass is we have a little short.</v>
      </c>
    </row>
    <row r="15298">
      <c r="A15298" s="1">
        <v>5.0</v>
      </c>
      <c r="B15298" s="1" t="s">
        <v>15160</v>
      </c>
      <c r="C15298" t="str">
        <f>IFERROR(__xludf.DUMMYFUNCTION("GOOGLETRANSLATE(B15298, ""es"", ""en"")"),"Design Received yesterday and I must say that I loved the product complies with the expected addition, the color of the wood makes you have a sense of a higher quality product. That said, the amount of light that has the product, whether fixed or rotary a"&amp;"go to serve you as ambient light for the room, in addition to meeting your goal, you have good smell. Pleasantly surprised")</f>
        <v>Design Received yesterday and I must say that I loved the product complies with the expected addition, the color of the wood makes you have a sense of a higher quality product. That said, the amount of light that has the product, whether fixed or rotary ago to serve you as ambient light for the room, in addition to meeting your goal, you have good smell. Pleasantly surprised</v>
      </c>
    </row>
    <row r="15299">
      <c r="A15299" s="1">
        <v>5.0</v>
      </c>
      <c r="B15299" s="1" t="s">
        <v>15161</v>
      </c>
      <c r="C15299" t="str">
        <f>IFERROR(__xludf.DUMMYFUNCTION("GOOGLETRANSLATE(B15299, ""es"", ""en"")"),"I love arrived one day earlier than agreed, and as I put it arrived. I love how they look, fine and elegant. Perhaps it would have been nice to add a small chain for people who have more than one hole and to carry vertically. Anyway, it's a quality item a"&amp;"t a great price. I recommend it.")</f>
        <v>I love arrived one day earlier than agreed, and as I put it arrived. I love how they look, fine and elegant. Perhaps it would have been nice to add a small chain for people who have more than one hole and to carry vertically. Anyway, it's a quality item at a great price. I recommend it.</v>
      </c>
    </row>
    <row r="15300">
      <c r="A15300" s="1">
        <v>5.0</v>
      </c>
      <c r="B15300" s="1" t="s">
        <v>15162</v>
      </c>
      <c r="C15300" t="str">
        <f>IFERROR(__xludf.DUMMYFUNCTION("GOOGLETRANSLATE(B15300, ""es"", ""en"")"),"Great buy The best choice for a water area such as where I live. It was a gift for the chick and have loved. As but say they are cold. Thrilled and delighted with the purchase.")</f>
        <v>Great buy The best choice for a water area such as where I live. It was a gift for the chick and have loved. As but say they are cold. Thrilled and delighted with the purchase.</v>
      </c>
    </row>
    <row r="15301">
      <c r="A15301" s="1">
        <v>5.0</v>
      </c>
      <c r="B15301" s="1" t="s">
        <v>15163</v>
      </c>
      <c r="C15301" t="str">
        <f>IFERROR(__xludf.DUMMYFUNCTION("GOOGLETRANSLATE(B15301, ""es"", ""en"")"),"Comfortable and very good value / price The Smash v2 sports shoes Puma are very comfortable and very good price. We fully successful with this product. They have a leather surface and together are elegant, modern and timeless. In addition, you can use bot"&amp;"h girls and boys. Yet another advantage. They have a variety of styles and colors. The you can wear all day without problem; as my son says they are very comfortable. Carve a large bit, so think the size to order. They have a size chart where you can chec"&amp;"k if you have doubts. They close with laces and has the brand logo on the back, on the sole, on the upper front and side. They are of good quality and delivered very quickly. So everything was positive with this purchase. I recommend them.")</f>
        <v>Comfortable and very good value / price The Smash v2 sports shoes Puma are very comfortable and very good price. We fully successful with this product. They have a leather surface and together are elegant, modern and timeless. In addition, you can use both girls and boys. Yet another advantage. They have a variety of styles and colors. The you can wear all day without problem; as my son says they are very comfortable. Carve a large bit, so think the size to order. They have a size chart where you can check if you have doubts. They close with laces and has the brand logo on the back, on the sole, on the upper front and side. They are of good quality and delivered very quickly. So everything was positive with this purchase. I recommend them.</v>
      </c>
    </row>
    <row r="15302">
      <c r="A15302" s="1">
        <v>2.0</v>
      </c>
      <c r="B15302" s="1" t="s">
        <v>15164</v>
      </c>
      <c r="C15302" t="str">
        <f>IFERROR(__xludf.DUMMYFUNCTION("GOOGLETRANSLATE(B15302, ""es"", ""en"")"),"very weak very weak. the first exchange is open chain")</f>
        <v>very weak very weak. the first exchange is open chain</v>
      </c>
    </row>
    <row r="15303">
      <c r="A15303" s="1">
        <v>3.0</v>
      </c>
      <c r="B15303" s="1" t="s">
        <v>15165</v>
      </c>
      <c r="C15303" t="str">
        <f>IFERROR(__xludf.DUMMYFUNCTION("GOOGLETRANSLATE(B15303, ""es"", ""en"")"),"Chaparro Gallego Juana. Good morning, I bought the k manta like, there is only one problem, there is an area which has overheated and caught me right in the side, reaching the point of burning k. How can we fix this problem. Juana sincerely. Also sometime"&amp;"s not heated. According to the order has a two year warranty.")</f>
        <v>Chaparro Gallego Juana. Good morning, I bought the k manta like, there is only one problem, there is an area which has overheated and caught me right in the side, reaching the point of burning k. How can we fix this problem. Juana sincerely. Also sometimes not heated. According to the order has a two year warranty.</v>
      </c>
    </row>
    <row r="15304">
      <c r="A15304" s="1">
        <v>3.0</v>
      </c>
      <c r="B15304" s="1" t="s">
        <v>15166</v>
      </c>
      <c r="C15304" t="str">
        <f>IFERROR(__xludf.DUMMYFUNCTION("GOOGLETRANSLATE(B15304, ""es"", ""en"")"),"A little expensive Not bad, worth to motivate the child")</f>
        <v>A little expensive Not bad, worth to motivate the child</v>
      </c>
    </row>
    <row r="15305">
      <c r="A15305" s="1">
        <v>1.0</v>
      </c>
      <c r="B15305" s="1" t="s">
        <v>15167</v>
      </c>
      <c r="C15305" t="str">
        <f>IFERROR(__xludf.DUMMYFUNCTION("GOOGLETRANSLATE(B15305, ""es"", ""en"")"),"It's not what I wanted Not what I was looking")</f>
        <v>It's not what I wanted Not what I was looking</v>
      </c>
    </row>
    <row r="15306">
      <c r="A15306" s="1">
        <v>1.0</v>
      </c>
      <c r="B15306" s="1" t="s">
        <v>15168</v>
      </c>
      <c r="C15306" t="str">
        <f>IFERROR(__xludf.DUMMYFUNCTION("GOOGLETRANSLATE(B15306, ""es"", ""en"")"),"We need not complete another pileup to fincione. Could tell. I think it's a little deception. Tell that to use something needed full kit")</f>
        <v>We need not complete another pileup to fincione. Could tell. I think it's a little deception. Tell that to use something needed full kit</v>
      </c>
    </row>
    <row r="15307">
      <c r="A15307" s="1">
        <v>4.0</v>
      </c>
      <c r="B15307" s="1" t="s">
        <v>15169</v>
      </c>
      <c r="C15307" t="str">
        <f>IFERROR(__xludf.DUMMYFUNCTION("GOOGLETRANSLATE(B15307, ""es"", ""en"")"),"This well is small but good for money acceptable, it is recommended whenever you get caught on offer. My wife will be happy.")</f>
        <v>This well is small but good for money acceptable, it is recommended whenever you get caught on offer. My wife will be happy.</v>
      </c>
    </row>
    <row r="15308">
      <c r="A15308" s="1">
        <v>4.0</v>
      </c>
      <c r="B15308" s="1" t="s">
        <v>15170</v>
      </c>
      <c r="C15308" t="str">
        <f>IFERROR(__xludf.DUMMYFUNCTION("GOOGLETRANSLATE(B15308, ""es"", ""en"")"),"Professional mixer but nothing good I bought it because I wanted a semi-professional mixer with longer handle for deep pots. Lacks some power and access to clean the blades is difficult ... very narrow and even the loofah does not go well and the edges cu"&amp;"t enough. Yet price is pretty good.")</f>
        <v>Professional mixer but nothing good I bought it because I wanted a semi-professional mixer with longer handle for deep pots. Lacks some power and access to clean the blades is difficult ... very narrow and even the loofah does not go well and the edges cut enough. Yet price is pretty good.</v>
      </c>
    </row>
    <row r="15309">
      <c r="A15309" s="1">
        <v>4.0</v>
      </c>
      <c r="B15309" s="1" t="s">
        <v>15171</v>
      </c>
      <c r="C15309" t="str">
        <f>IFERROR(__xludf.DUMMYFUNCTION("GOOGLETRANSLATE(B15309, ""es"", ""en"")"),"Excellent quality / price Very nice and excellent value for money. The only downside is that the chain has a very thin part and broke almost the month of purchase. World epoch we sent another totally free.")</f>
        <v>Excellent quality / price Very nice and excellent value for money. The only downside is that the chain has a very thin part and broke almost the month of purchase. World epoch we sent another totally free.</v>
      </c>
    </row>
    <row r="15310">
      <c r="A15310" s="1">
        <v>4.0</v>
      </c>
      <c r="B15310" s="1" t="s">
        <v>15172</v>
      </c>
      <c r="C15310" t="str">
        <f>IFERROR(__xludf.DUMMYFUNCTION("GOOGLETRANSLATE(B15310, ""es"", ""en"")"),"Simple and easy. I worked perception. The only drawback is that when you hook the cable connector into the cone is hooked, and must be putting fingers to not go out while the cables through the different contact points. You must use the PUNCH to really be"&amp;" embedded on the blade and stick. But overall it is easy to put on and effective, all the connections I've made have not given me problems.")</f>
        <v>Simple and easy. I worked perception. The only drawback is that when you hook the cable connector into the cone is hooked, and must be putting fingers to not go out while the cables through the different contact points. You must use the PUNCH to really be embedded on the blade and stick. But overall it is easy to put on and effective, all the connections I've made have not given me problems.</v>
      </c>
    </row>
    <row r="15311">
      <c r="A15311" s="1">
        <v>4.0</v>
      </c>
      <c r="B15311" s="1" t="s">
        <v>15173</v>
      </c>
      <c r="C15311" t="str">
        <f>IFERROR(__xludf.DUMMYFUNCTION("GOOGLETRANSLATE(B15311, ""es"", ""en"")"),"Effective why I give it 4 weighs a tad but it's going great. fully meets my expectations.")</f>
        <v>Effective why I give it 4 weighs a tad but it's going great. fully meets my expectations.</v>
      </c>
    </row>
    <row r="15312">
      <c r="A15312" s="1">
        <v>5.0</v>
      </c>
      <c r="B15312" s="1" t="s">
        <v>15174</v>
      </c>
      <c r="C15312" t="str">
        <f>IFERROR(__xludf.DUMMYFUNCTION("GOOGLETRANSLATE(B15312, ""es"", ""en"")"),"very professional is a device that it shows the quality crystals as leaves, I ordered this and I'm so happy with a man purchase the larger tb that you want to work with")</f>
        <v>very professional is a device that it shows the quality crystals as leaves, I ordered this and I'm so happy with a man purchase the larger tb that you want to work with</v>
      </c>
    </row>
    <row r="15313">
      <c r="A15313" s="1">
        <v>5.0</v>
      </c>
      <c r="B15313" s="1" t="s">
        <v>15175</v>
      </c>
      <c r="C15313" t="str">
        <f>IFERROR(__xludf.DUMMYFUNCTION("GOOGLETRANSLATE(B15313, ""es"", ""en"")"),"Very useful small size, capacity and speed, with double connection is protected when not in use, makes it perfect forever carry in your bag for exchanging files between PC and Tl.")</f>
        <v>Very useful small size, capacity and speed, with double connection is protected when not in use, makes it perfect forever carry in your bag for exchanging files between PC and Tl.</v>
      </c>
    </row>
    <row r="15314">
      <c r="A15314" s="1">
        <v>5.0</v>
      </c>
      <c r="B15314" s="1" t="s">
        <v>15176</v>
      </c>
      <c r="C15314" t="str">
        <f>IFERROR(__xludf.DUMMYFUNCTION("GOOGLETRANSLATE(B15314, ""es"", ""en"")"),"Comfort and shelter. I've been wearing them a few weeks and go very well. Comfortable and shelter. Now to see how long they last. But they are as I expected them to be.")</f>
        <v>Comfort and shelter. I've been wearing them a few weeks and go very well. Comfortable and shelter. Now to see how long they last. But they are as I expected them to be.</v>
      </c>
    </row>
    <row r="15315">
      <c r="A15315" s="1">
        <v>5.0</v>
      </c>
      <c r="B15315" s="1" t="s">
        <v>15177</v>
      </c>
      <c r="C15315" t="str">
        <f>IFERROR(__xludf.DUMMYFUNCTION("GOOGLETRANSLATE(B15315, ""es"", ""en"")"),"Great buys and tested twice and are great, comfortable, lightweight, and calla no nothing !!")</f>
        <v>Great buys and tested twice and are great, comfortable, lightweight, and calla no nothing !!</v>
      </c>
    </row>
    <row r="15316">
      <c r="A15316" s="1">
        <v>5.0</v>
      </c>
      <c r="B15316" s="1" t="s">
        <v>15178</v>
      </c>
      <c r="C15316" t="str">
        <f>IFERROR(__xludf.DUMMYFUNCTION("GOOGLETRANSLATE(B15316, ""es"", ""en"")"),"Fantastica Very good quality and very good price on offer 71.99.Lastima that was very large in size and had to return (there was no problem with the return) .If I had to make a gift totally recommend it.")</f>
        <v>Fantastica Very good quality and very good price on offer 71.99.Lastima that was very large in size and had to return (there was no problem with the return) .If I had to make a gift totally recommend it.</v>
      </c>
    </row>
    <row r="15317">
      <c r="A15317" s="1">
        <v>5.0</v>
      </c>
      <c r="B15317" s="1" t="s">
        <v>15179</v>
      </c>
      <c r="C15317" t="str">
        <f>IFERROR(__xludf.DUMMYFUNCTION("GOOGLETRANSLATE(B15317, ""es"", ""en"")"),"What I expected Actually thought I would fall but even worse microphone that I had is fantastic is an adaptable and fits perfectly wonderful")</f>
        <v>What I expected Actually thought I would fall but even worse microphone that I had is fantastic is an adaptable and fits perfectly wonderful</v>
      </c>
    </row>
    <row r="15318">
      <c r="A15318" s="1">
        <v>5.0</v>
      </c>
      <c r="B15318" s="1" t="s">
        <v>15180</v>
      </c>
      <c r="C15318" t="str">
        <f>IFERROR(__xludf.DUMMYFUNCTION("GOOGLETRANSLATE(B15318, ""es"", ""en"")"),"Adequate capacity at a good price Bought as a storage medium for video and photos of a sports GoPro. Adequate transfer rate and according to the description of the product. And perfect storage for several hours of HD video. A very good price for the quali"&amp;"ty of this microSD card.")</f>
        <v>Adequate capacity at a good price Bought as a storage medium for video and photos of a sports GoPro. Adequate transfer rate and according to the description of the product. And perfect storage for several hours of HD video. A very good price for the quality of this microSD card.</v>
      </c>
    </row>
    <row r="15319">
      <c r="A15319" s="1">
        <v>5.0</v>
      </c>
      <c r="B15319" s="1" t="s">
        <v>15181</v>
      </c>
      <c r="C15319" t="str">
        <f>IFERROR(__xludf.DUMMYFUNCTION("GOOGLETRANSLATE(B15319, ""es"", ""en"")"),"Recommended This funny my little playing pretty")</f>
        <v>Recommended This funny my little playing pretty</v>
      </c>
    </row>
    <row r="15320">
      <c r="A15320" s="1">
        <v>5.0</v>
      </c>
      <c r="B15320" s="1" t="s">
        <v>15182</v>
      </c>
      <c r="C15320" t="str">
        <f>IFERROR(__xludf.DUMMYFUNCTION("GOOGLETRANSLATE(B15320, ""es"", ""en"")"),"Good product Great product for cleaning and polishing metals without damaging them. Care when the cut and wear microfibers may catch and cause discomfort.")</f>
        <v>Good product Great product for cleaning and polishing metals without damaging them. Care when the cut and wear microfibers may catch and cause discomfort.</v>
      </c>
    </row>
    <row r="15321">
      <c r="A15321" s="1">
        <v>5.0</v>
      </c>
      <c r="B15321" s="1" t="s">
        <v>15183</v>
      </c>
      <c r="C15321" t="str">
        <f>IFERROR(__xludf.DUMMYFUNCTION("GOOGLETRANSLATE(B15321, ""es"", ""en"")"),"Capacity at a great price is a quality product that works perfectly, provides a large storage capacity, and at a reasonable price. Recommend purchase!")</f>
        <v>Capacity at a great price is a quality product that works perfectly, provides a large storage capacity, and at a reasonable price. Recommend purchase!</v>
      </c>
    </row>
    <row r="15322">
      <c r="A15322" s="1">
        <v>5.0</v>
      </c>
      <c r="B15322" s="1" t="s">
        <v>15184</v>
      </c>
      <c r="C15322" t="str">
        <f>IFERROR(__xludf.DUMMYFUNCTION("GOOGLETRANSLATE(B15322, ""es"", ""en"")"),"Are perfect for gift was for a gift and loved it. They are small but are very good. It comes with gift bag. are perfect")</f>
        <v>Are perfect for gift was for a gift and loved it. They are small but are very good. It comes with gift bag. are perfect</v>
      </c>
    </row>
    <row r="15323">
      <c r="A15323" s="1">
        <v>5.0</v>
      </c>
      <c r="B15323" s="1" t="s">
        <v>15185</v>
      </c>
      <c r="C15323" t="str">
        <f>IFERROR(__xludf.DUMMYFUNCTION("GOOGLETRANSLATE(B15323, ""es"", ""en"")"),"Good buy! They are very comfortable, I work as a waitress and footwear is good, not too esport nor too shoe, are elegant but simple look great.")</f>
        <v>Good buy! They are very comfortable, I work as a waitress and footwear is good, not too esport nor too shoe, are elegant but simple look great.</v>
      </c>
    </row>
    <row r="15324">
      <c r="A15324" s="1">
        <v>5.0</v>
      </c>
      <c r="B15324" s="1" t="s">
        <v>15186</v>
      </c>
      <c r="C15324" t="str">
        <f>IFERROR(__xludf.DUMMYFUNCTION("GOOGLETRANSLATE(B15324, ""es"", ""en"")"),"Well, that 'running perfect, it works well and radio the perfect car, not wearing the typical long USB also takes ugly bumps everywhere. I had a little crush sides of the connection because it was almost impossible to remove, went so tight (which in itsel"&amp;"f is good) but being so tiny it was difficult to grab him and force it out.")</f>
        <v>Well, that 'running perfect, it works well and radio the perfect car, not wearing the typical long USB also takes ugly bumps everywhere. I had a little crush sides of the connection because it was almost impossible to remove, went so tight (which in itself is good) but being so tiny it was difficult to grab him and force it out.</v>
      </c>
    </row>
    <row r="15325">
      <c r="A15325" s="1">
        <v>5.0</v>
      </c>
      <c r="B15325" s="1" t="s">
        <v>15187</v>
      </c>
      <c r="C15325" t="str">
        <f>IFERROR(__xludf.DUMMYFUNCTION("GOOGLETRANSLATE(B15325, ""es"", ""en"")"),"Very good product already had this escarpín since last year and have asked another pair for someone else. They are comfortable, flexible and resilient. Pleased with them.")</f>
        <v>Very good product already had this escarpín since last year and have asked another pair for someone else. They are comfortable, flexible and resilient. Pleased with them.</v>
      </c>
    </row>
    <row r="15326">
      <c r="A15326" s="1">
        <v>5.0</v>
      </c>
      <c r="B15326" s="1" t="s">
        <v>15188</v>
      </c>
      <c r="C15326" t="str">
        <f>IFERROR(__xludf.DUMMYFUNCTION("GOOGLETRANSLATE(B15326, ""es"", ""en"")"),"Pretty good smells are fine. The intensity a little less than what I expected. The box is presented as a product of great looks much higher price.")</f>
        <v>Pretty good smells are fine. The intensity a little less than what I expected. The box is presented as a product of great looks much higher price.</v>
      </c>
    </row>
    <row r="15327">
      <c r="A15327" s="1">
        <v>5.0</v>
      </c>
      <c r="B15327" s="1" t="s">
        <v>15189</v>
      </c>
      <c r="C15327" t="str">
        <f>IFERROR(__xludf.DUMMYFUNCTION("GOOGLETRANSLATE(B15327, ""es"", ""en"")"),"Clear sound great buy This headset is great! First, the presentation of the package is wonderful and the instructions are easy to follow. The charging port is in a very easy location and silicone headphones are provided for almost all sizes of ears. I had"&amp;" no problem to adjust the headphones to my ear because it also stretched to fit my long and ugly ears. I like the kit that comes with it. It makes it easy to slip in my purse when not in use and is less likely to be lost or damaged in my bag because the c"&amp;"ase is difficult. That is awesome. The sound quality of these headphones is really excellent. I called my only sister as a test call and she had no trouble listening to me and I had no trouble ... and hear what was happening in the past. The sounds are cr"&amp;"ystal clear! I listen to my music and stream my movies and I can also control the volume and play actions without having to touch my phone.")</f>
        <v>Clear sound great buy This headset is great! First, the presentation of the package is wonderful and the instructions are easy to follow. The charging port is in a very easy location and silicone headphones are provided for almost all sizes of ears. I had no problem to adjust the headphones to my ear because it also stretched to fit my long and ugly ears. I like the kit that comes with it. It makes it easy to slip in my purse when not in use and is less likely to be lost or damaged in my bag because the case is difficult. That is awesome. The sound quality of these headphones is really excellent. I called my only sister as a test call and she had no trouble listening to me and I had no trouble ... and hear what was happening in the past. The sounds are crystal clear! I listen to my music and stream my movies and I can also control the volume and play actions without having to touch my phone.</v>
      </c>
    </row>
    <row r="15328">
      <c r="A15328" s="1">
        <v>5.0</v>
      </c>
      <c r="B15328" s="1" t="s">
        <v>15190</v>
      </c>
      <c r="C15328" t="str">
        <f>IFERROR(__xludf.DUMMYFUNCTION("GOOGLETRANSLATE(B15328, ""es"", ""en"")"),"Product correct parts are corresponding to the handle. They fit well, no problem. It say, without more, does not have any mystery.")</f>
        <v>Product correct parts are corresponding to the handle. They fit well, no problem. It say, without more, does not have any mystery.</v>
      </c>
    </row>
    <row r="15329">
      <c r="A15329" s="1">
        <v>5.0</v>
      </c>
      <c r="B15329" s="1" t="s">
        <v>15191</v>
      </c>
      <c r="C15329" t="str">
        <f>IFERROR(__xludf.DUMMYFUNCTION("GOOGLETRANSLATE(B15329, ""es"", ""en"")"),"Terrific article, I look for fast, efficient and quality")</f>
        <v>Terrific article, I look for fast, efficient and quality</v>
      </c>
    </row>
    <row r="15330">
      <c r="A15330" s="1">
        <v>5.0</v>
      </c>
      <c r="B15330" s="1" t="s">
        <v>15192</v>
      </c>
      <c r="C15330" t="str">
        <f>IFERROR(__xludf.DUMMYFUNCTION("GOOGLETRANSLATE(B15330, ""es"", ""en"")"),"Very good Pretty good, washed well and the little loves and holds great. I recommend it, worth buying.")</f>
        <v>Very good Pretty good, washed well and the little loves and holds great. I recommend it, worth buying.</v>
      </c>
    </row>
    <row r="15331">
      <c r="A15331" s="1">
        <v>2.0</v>
      </c>
      <c r="B15331" s="1" t="s">
        <v>15193</v>
      </c>
      <c r="C15331" t="str">
        <f>IFERROR(__xludf.DUMMYFUNCTION("GOOGLETRANSLATE(B15331, ""es"", ""en"")"),"Just humidificadof little aroma scent leaves compared with other essential oils.")</f>
        <v>Just humidificadof little aroma scent leaves compared with other essential oils.</v>
      </c>
    </row>
    <row r="15332">
      <c r="A15332" s="1">
        <v>3.0</v>
      </c>
      <c r="B15332" s="1" t="s">
        <v>15194</v>
      </c>
      <c r="C15332" t="str">
        <f>IFERROR(__xludf.DUMMYFUNCTION("GOOGLETRANSLATE(B15332, ""es"", ""en"")"),"Are only three outstanding I was surprised that they should not go two pairs of each size. For the rest they are pretty.")</f>
        <v>Are only three outstanding I was surprised that they should not go two pairs of each size. For the rest they are pretty.</v>
      </c>
    </row>
    <row r="15333">
      <c r="A15333" s="1">
        <v>1.0</v>
      </c>
      <c r="B15333" s="1" t="s">
        <v>15195</v>
      </c>
      <c r="C15333" t="str">
        <f>IFERROR(__xludf.DUMMYFUNCTION("GOOGLETRANSLATE(B15333, ""es"", ""en"")"),"Bad quality is not worth much")</f>
        <v>Bad quality is not worth much</v>
      </c>
    </row>
    <row r="15334">
      <c r="A15334" s="1">
        <v>1.0</v>
      </c>
      <c r="B15334" s="1" t="s">
        <v>15196</v>
      </c>
      <c r="C15334" t="str">
        <f>IFERROR(__xludf.DUMMYFUNCTION("GOOGLETRANSLATE(B15334, ""es"", ""en"")"),"The first and last The return should be because there is no heat difference between levels but unfortunately give something back is much more complicated than buying it.")</f>
        <v>The first and last The return should be because there is no heat difference between levels but unfortunately give something back is much more complicated than buying it.</v>
      </c>
    </row>
    <row r="15335">
      <c r="A15335" s="1">
        <v>4.0</v>
      </c>
      <c r="B15335" s="1" t="s">
        <v>15197</v>
      </c>
      <c r="C15335" t="str">
        <f>IFERROR(__xludf.DUMMYFUNCTION("GOOGLETRANSLATE(B15335, ""es"", ""en"")"),"Good quality, large sizing Unfortunately I had to return them. I usually use 41, and offered size (41/42) is too large and quite wide. Otherwise, very good quality and very good price.")</f>
        <v>Good quality, large sizing Unfortunately I had to return them. I usually use 41, and offered size (41/42) is too large and quite wide. Otherwise, very good quality and very good price.</v>
      </c>
    </row>
    <row r="15336">
      <c r="A15336" s="1">
        <v>4.0</v>
      </c>
      <c r="B15336" s="1" t="s">
        <v>15198</v>
      </c>
      <c r="C15336" t="str">
        <f>IFERROR(__xludf.DUMMYFUNCTION("GOOGLETRANSLATE(B15336, ""es"", ""en"")"),"Product recommended !!! Good sound quality for the price offered !!! Worth!! I recommend it!!!")</f>
        <v>Product recommended !!! Good sound quality for the price offered !!! Worth!! I recommend it!!!</v>
      </c>
    </row>
    <row r="15337">
      <c r="A15337" s="1">
        <v>4.0</v>
      </c>
      <c r="B15337" s="1" t="s">
        <v>15199</v>
      </c>
      <c r="C15337" t="str">
        <f>IFERROR(__xludf.DUMMYFUNCTION("GOOGLETRANSLATE(B15337, ""es"", ""en"")"),"comfortable. Amazing")</f>
        <v>comfortable. Amazing</v>
      </c>
    </row>
    <row r="15338">
      <c r="A15338" s="1">
        <v>4.0</v>
      </c>
      <c r="B15338" s="1" t="s">
        <v>15200</v>
      </c>
      <c r="C15338" t="str">
        <f>IFERROR(__xludf.DUMMYFUNCTION("GOOGLETRANSLATE(B15338, ""es"", ""en"")"),"Micro tie Very good micro tie, that if I returned it because it was good for that would capture the entire room (as it was omnidirectional) but did not have sufficient sensitivity, yet if you take hanging has a very good voice pickup removing sound enviro"&amp;"nment.")</f>
        <v>Micro tie Very good micro tie, that if I returned it because it was good for that would capture the entire room (as it was omnidirectional) but did not have sufficient sensitivity, yet if you take hanging has a very good voice pickup removing sound environment.</v>
      </c>
    </row>
    <row r="15339">
      <c r="A15339" s="1">
        <v>4.0</v>
      </c>
      <c r="B15339" s="1" t="s">
        <v>15201</v>
      </c>
      <c r="C15339" t="str">
        <f>IFERROR(__xludf.DUMMYFUNCTION("GOOGLETRANSLATE(B15339, ""es"", ""en"")"),"I like the layout design of suunto for their watches. This particular could use the information screen was a little bigger, I have an M5 and the smaller screen, the information it provides is much more visible and large.")</f>
        <v>I like the layout design of suunto for their watches. This particular could use the information screen was a little bigger, I have an M5 and the smaller screen, the information it provides is much more visible and large.</v>
      </c>
    </row>
    <row r="15340">
      <c r="A15340" s="1">
        <v>5.0</v>
      </c>
      <c r="B15340" s="1" t="s">
        <v>15202</v>
      </c>
      <c r="C15340" t="str">
        <f>IFERROR(__xludf.DUMMYFUNCTION("GOOGLETRANSLATE(B15340, ""es"", ""en"")"),"Product quality is the best in its class to prevent and treat periodontal diseases affecting the teeth and gums. At the beginning the taste is too strong but then you get used and notes you have left the cleanest mouth and a pleasant taste. It is also one"&amp;" of the few in the market that eventually leaves less staining of teeth. 100% recommended if a little pricey.")</f>
        <v>Product quality is the best in its class to prevent and treat periodontal diseases affecting the teeth and gums. At the beginning the taste is too strong but then you get used and notes you have left the cleanest mouth and a pleasant taste. It is also one of the few in the market that eventually leaves less staining of teeth. 100% recommended if a little pricey.</v>
      </c>
    </row>
    <row r="15341">
      <c r="A15341" s="1">
        <v>5.0</v>
      </c>
      <c r="B15341" s="1" t="s">
        <v>15203</v>
      </c>
      <c r="C15341" t="str">
        <f>IFERROR(__xludf.DUMMYFUNCTION("GOOGLETRANSLATE(B15341, ""es"", ""en"")"),"Good product quality and comfort")</f>
        <v>Good product quality and comfort</v>
      </c>
    </row>
    <row r="15342">
      <c r="A15342" s="1">
        <v>5.0</v>
      </c>
      <c r="B15342" s="1" t="s">
        <v>15204</v>
      </c>
      <c r="C15342" t="str">
        <f>IFERROR(__xludf.DUMMYFUNCTION("GOOGLETRANSLATE(B15342, ""es"", ""en"")"),"Cool Perfectas")</f>
        <v>Cool Perfectas</v>
      </c>
    </row>
    <row r="15343">
      <c r="A15343" s="1">
        <v>5.0</v>
      </c>
      <c r="B15343" s="1" t="s">
        <v>15205</v>
      </c>
      <c r="C15343" t="str">
        <f>IFERROR(__xludf.DUMMYFUNCTION("GOOGLETRANSLATE(B15343, ""es"", ""en"")"),"Genial are very good, nice, cheap, durable and very comfortable")</f>
        <v>Genial are very good, nice, cheap, durable and very comfortable</v>
      </c>
    </row>
    <row r="15344">
      <c r="A15344" s="1">
        <v>5.0</v>
      </c>
      <c r="B15344" s="1" t="s">
        <v>15206</v>
      </c>
      <c r="C15344" t="str">
        <f>IFERROR(__xludf.DUMMYFUNCTION("GOOGLETRANSLATE(B15344, ""es"", ""en"")"),"I love great, it serves to connect the phone and any usb device.")</f>
        <v>I love great, it serves to connect the phone and any usb device.</v>
      </c>
    </row>
    <row r="15345">
      <c r="A15345" s="1">
        <v>5.0</v>
      </c>
      <c r="B15345" s="1" t="s">
        <v>15207</v>
      </c>
      <c r="C15345" t="str">
        <f>IFERROR(__xludf.DUMMYFUNCTION("GOOGLETRANSLATE(B15345, ""es"", ""en"")"),"I practice is going very well as a rule for straight sections and the curve of the armhole end to draw on the canvas or making a pattern. A being graduated in centimeters, well they are also measured small sections on the fabric. Good value for money.")</f>
        <v>I practice is going very well as a rule for straight sections and the curve of the armhole end to draw on the canvas or making a pattern. A being graduated in centimeters, well they are also measured small sections on the fabric. Good value for money.</v>
      </c>
    </row>
    <row r="15346">
      <c r="A15346" s="1">
        <v>5.0</v>
      </c>
      <c r="B15346" s="1" t="s">
        <v>15208</v>
      </c>
      <c r="C15346" t="str">
        <f>IFERROR(__xludf.DUMMYFUNCTION("GOOGLETRANSLATE(B15346, ""es"", ""en"")"),"Very happy, good product &lt;div id = ""video-block-R3NCIH51N3LFXC"" class = ""a-section a-spacing-small a-spacing-top mini video-block""&gt; &lt;/ div&gt; &lt;input type = ""hidden"" name = """" value = ""https://images-eu.ssl-images-amazon.com/images/I/A1fZBlowFPS.mp4"&amp;""" class = ""video-url""&gt; &lt;input type = ""hidden"" name = """" value = ""https://images-eu.ssl-images-amazon.com/images/I/917kQuNouHS.png"" class = ""video-slate-img-url""&gt; &amp; nbsp; good product, very good quality, well finished , makes little noise, it co"&amp;"mes in a well-protected package and the instructions are in Spanish, the LED perimeter changes color and comes with timer option, the yield is high and functions to instant also as a decorative object is nice, works with tambie cable that you provide it a"&amp;"nd very easy to use.")</f>
        <v>Very happy, good product &lt;div id = "video-block-R3NCIH51N3LFXC" class = "a-section a-spacing-small a-spacing-top mini video-block"&gt; &lt;/ div&gt; &lt;input type = "hidden" name = "" value = "https://images-eu.ssl-images-amazon.com/images/I/A1fZBlowFPS.mp4" class = "video-url"&gt; &lt;input type = "hidden" name = "" value = "https://images-eu.ssl-images-amazon.com/images/I/917kQuNouHS.png" class = "video-slate-img-url"&gt; &amp; nbsp; good product, very good quality, well finished , makes little noise, it comes in a well-protected package and the instructions are in Spanish, the LED perimeter changes color and comes with timer option, the yield is high and functions to instant also as a decorative object is nice, works with tambie cable that you provide it and very easy to use.</v>
      </c>
    </row>
    <row r="15347">
      <c r="A15347" s="1">
        <v>5.0</v>
      </c>
      <c r="B15347" s="1" t="s">
        <v>15209</v>
      </c>
      <c r="C15347" t="str">
        <f>IFERROR(__xludf.DUMMYFUNCTION("GOOGLETRANSLATE(B15347, ""es"", ""en"")"),"Ok Very good shoes. They are just as expected. This model not found in physical store.")</f>
        <v>Ok Very good shoes. They are just as expected. This model not found in physical store.</v>
      </c>
    </row>
    <row r="15348">
      <c r="A15348" s="1">
        <v>5.0</v>
      </c>
      <c r="B15348" s="1" t="s">
        <v>15210</v>
      </c>
      <c r="C15348" t="str">
        <f>IFERROR(__xludf.DUMMYFUNCTION("GOOGLETRANSLATE(B15348, ""es"", ""en"")"),"Very cool and nice design that meets Humidifier its main function, besides having a nice design q LED lights change color, all can be controlled with a small remote control.")</f>
        <v>Very cool and nice design that meets Humidifier its main function, besides having a nice design q LED lights change color, all can be controlled with a small remote control.</v>
      </c>
    </row>
    <row r="15349">
      <c r="A15349" s="1">
        <v>5.0</v>
      </c>
      <c r="B15349" s="1" t="s">
        <v>15211</v>
      </c>
      <c r="C15349" t="str">
        <f>IFERROR(__xludf.DUMMYFUNCTION("GOOGLETRANSLATE(B15349, ""es"", ""en"")"),"Good shoes cool sneakers after a few months of use I can only speak well, have gone through all kinds of terrain, and there are situations like the first day, to repeat")</f>
        <v>Good shoes cool sneakers after a few months of use I can only speak well, have gone through all kinds of terrain, and there are situations like the first day, to repeat</v>
      </c>
    </row>
    <row r="15350">
      <c r="A15350" s="1">
        <v>5.0</v>
      </c>
      <c r="B15350" s="1" t="s">
        <v>15212</v>
      </c>
      <c r="C15350" t="str">
        <f>IFERROR(__xludf.DUMMYFUNCTION("GOOGLETRANSLATE(B15350, ""es"", ""en"")"),"Excellent large capacity. Excellent handbag with pockets big enough comfortable. Recommended if you need space in your bag.")</f>
        <v>Excellent large capacity. Excellent handbag with pockets big enough comfortable. Recommended if you need space in your bag.</v>
      </c>
    </row>
    <row r="15351">
      <c r="A15351" s="1">
        <v>5.0</v>
      </c>
      <c r="B15351" s="1" t="s">
        <v>15213</v>
      </c>
      <c r="C15351" t="str">
        <f>IFERROR(__xludf.DUMMYFUNCTION("GOOGLETRANSLATE(B15351, ""es"", ""en"")"),"I wear perfect isandolos a year and still manienen as the first day. I have not been peeled so I can say that the quality of the product is good. I can wash them in the washing machine perfectly without fear of spoiling me. And especially after many hours"&amp;" of work have the feet rested")</f>
        <v>I wear perfect isandolos a year and still manienen as the first day. I have not been peeled so I can say that the quality of the product is good. I can wash them in the washing machine perfectly without fear of spoiling me. And especially after many hours of work have the feet rested</v>
      </c>
    </row>
    <row r="15352">
      <c r="A15352" s="1">
        <v>5.0</v>
      </c>
      <c r="B15352" s="1" t="s">
        <v>15214</v>
      </c>
      <c r="C15352" t="str">
        <f>IFERROR(__xludf.DUMMYFUNCTION("GOOGLETRANSLATE(B15352, ""es"", ""en"")"),"Great value for the price. It works perfectly for a very low price. Good buy.")</f>
        <v>Great value for the price. It works perfectly for a very low price. Good buy.</v>
      </c>
    </row>
    <row r="15353">
      <c r="A15353" s="1">
        <v>5.0</v>
      </c>
      <c r="B15353" s="1" t="s">
        <v>15215</v>
      </c>
      <c r="C15353" t="str">
        <f>IFERROR(__xludf.DUMMYFUNCTION("GOOGLETRANSLATE(B15353, ""es"", ""en"")"),"Good money are very showy and are very well placed")</f>
        <v>Good money are very showy and are very well placed</v>
      </c>
    </row>
    <row r="15354">
      <c r="A15354" s="1">
        <v>5.0</v>
      </c>
      <c r="B15354" s="1" t="s">
        <v>15216</v>
      </c>
      <c r="C15354" t="str">
        <f>IFERROR(__xludf.DUMMYFUNCTION("GOOGLETRANSLATE(B15354, ""es"", ""en"")"),"It has excellent high quality and good length.")</f>
        <v>It has excellent high quality and good length.</v>
      </c>
    </row>
    <row r="15355">
      <c r="A15355" s="1">
        <v>5.0</v>
      </c>
      <c r="B15355" s="1" t="s">
        <v>15217</v>
      </c>
      <c r="C15355" t="str">
        <f>IFERROR(__xludf.DUMMYFUNCTION("GOOGLETRANSLATE(B15355, ""es"", ""en"")"),"Perfect. Perfect. In its original packaging. So comfortable and at a great price !!!!!! In the square of the sole in the back where usually written venior ""ALL STAR"" also comes in smaller letters the text of the mark ""CONVERSE"". I say this because I a"&amp;"m used to the written text CONVERSE silver lining in this area.")</f>
        <v>Perfect. Perfect. In its original packaging. So comfortable and at a great price !!!!!! In the square of the sole in the back where usually written venior "ALL STAR" also comes in smaller letters the text of the mark "CONVERSE". I say this because I am used to the written text CONVERSE silver lining in this area.</v>
      </c>
    </row>
    <row r="15356">
      <c r="A15356" s="1">
        <v>5.0</v>
      </c>
      <c r="B15356" s="1" t="s">
        <v>15218</v>
      </c>
      <c r="C15356" t="str">
        <f>IFERROR(__xludf.DUMMYFUNCTION("GOOGLETRANSLATE(B15356, ""es"", ""en"")"),"Perfect !!!! Comfort and perfect as lifelong've been using since 20 years Repetiré insurance in another color and another for my wife !!!!!")</f>
        <v>Perfect !!!! Comfort and perfect as lifelong've been using since 20 years Repetiré insurance in another color and another for my wife !!!!!</v>
      </c>
    </row>
    <row r="15357">
      <c r="A15357" s="1">
        <v>5.0</v>
      </c>
      <c r="B15357" s="1" t="s">
        <v>15219</v>
      </c>
      <c r="C15357" t="str">
        <f>IFERROR(__xludf.DUMMYFUNCTION("GOOGLETRANSLATE(B15357, ""es"", ""en"")"),"The shoulder bag for men buy for my son and this pleased with the quality and capacity of the sling. Fits all, mobile, other personal items, tablet pens. It takes 3 zipped pockets, 2 side pockets and one inside and another 2 interior pockets without zippe"&amp;"r. Nylon fabric is very good quality and the strap is adjustable. It could not be better.")</f>
        <v>The shoulder bag for men buy for my son and this pleased with the quality and capacity of the sling. Fits all, mobile, other personal items, tablet pens. It takes 3 zipped pockets, 2 side pockets and one inside and another 2 interior pockets without zipper. Nylon fabric is very good quality and the strap is adjustable. It could not be better.</v>
      </c>
    </row>
    <row r="15358">
      <c r="A15358" s="1">
        <v>2.0</v>
      </c>
      <c r="B15358" s="1" t="s">
        <v>15220</v>
      </c>
      <c r="C15358" t="str">
        <f>IFERROR(__xludf.DUMMYFUNCTION("GOOGLETRANSLATE(B15358, ""es"", ""en"")"),"No slip used to rocks or pebbles river alone are to walk along the beach or pool and there are not necessary")</f>
        <v>No slip used to rocks or pebbles river alone are to walk along the beach or pool and there are not necessary</v>
      </c>
    </row>
    <row r="15359">
      <c r="A15359" s="1">
        <v>3.0</v>
      </c>
      <c r="B15359" s="1" t="s">
        <v>15221</v>
      </c>
      <c r="C15359" t="str">
        <f>IFERROR(__xludf.DUMMYFUNCTION("GOOGLETRANSLATE(B15359, ""es"", ""en"")"),"Functional delivers.")</f>
        <v>Functional delivers.</v>
      </c>
    </row>
    <row r="15360">
      <c r="A15360" s="1">
        <v>3.0</v>
      </c>
      <c r="B15360" s="1" t="s">
        <v>15222</v>
      </c>
      <c r="C15360" t="str">
        <f>IFERROR(__xludf.DUMMYFUNCTION("GOOGLETRANSLATE(B15360, ""es"", ""en"")"),"Okay okay for the price. The numbers a little boy and the belt has a regular quality. But for everyday use it is fine. For now it runs smoothly.")</f>
        <v>Okay okay for the price. The numbers a little boy and the belt has a regular quality. But for everyday use it is fine. For now it runs smoothly.</v>
      </c>
    </row>
    <row r="15361">
      <c r="A15361" s="1">
        <v>1.0</v>
      </c>
      <c r="B15361" s="1" t="s">
        <v>15223</v>
      </c>
      <c r="C15361" t="str">
        <f>IFERROR(__xludf.DUMMYFUNCTION("GOOGLETRANSLATE(B15361, ""es"", ""en"")"),"No works never thought I would be writing this, but after connecting both source and does not work without power. I think it's no problem because if the computer detects the connection but I have been impossible because even disconnect the microphone cabl"&amp;"e is as if nothing happened. A shame you had to apply for a refund and carrying forward several months buy it and has been a total disappointment.")</f>
        <v>No works never thought I would be writing this, but after connecting both source and does not work without power. I think it's no problem because if the computer detects the connection but I have been impossible because even disconnect the microphone cable is as if nothing happened. A shame you had to apply for a refund and carrying forward several months buy it and has been a total disappointment.</v>
      </c>
    </row>
    <row r="15362">
      <c r="A15362" s="1">
        <v>1.0</v>
      </c>
      <c r="B15362" s="1" t="s">
        <v>15224</v>
      </c>
      <c r="C15362" t="str">
        <f>IFERROR(__xludf.DUMMYFUNCTION("GOOGLETRANSLATE(B15362, ""es"", ""en"")"),"I do not recommend Product arrived late and broken")</f>
        <v>I do not recommend Product arrived late and broken</v>
      </c>
    </row>
    <row r="15363">
      <c r="A15363" s="1">
        <v>1.0</v>
      </c>
      <c r="B15363" s="1" t="s">
        <v>15225</v>
      </c>
      <c r="C15363" t="str">
        <f>IFERROR(__xludf.DUMMYFUNCTION("GOOGLETRANSLATE(B15363, ""es"", ""en"")"),"When I could not operational test did not work.")</f>
        <v>When I could not operational test did not work.</v>
      </c>
    </row>
    <row r="15364">
      <c r="A15364" s="1">
        <v>4.0</v>
      </c>
      <c r="B15364" s="1" t="s">
        <v>15226</v>
      </c>
      <c r="C15364" t="str">
        <f>IFERROR(__xludf.DUMMYFUNCTION("GOOGLETRANSLATE(B15364, ""es"", ""en"")"),"Chandal Good buy. It is big but otherwise has good thickness and are very comfortable. Good material. good buy")</f>
        <v>Chandal Good buy. It is big but otherwise has good thickness and are very comfortable. Good material. good buy</v>
      </c>
    </row>
    <row r="15365">
      <c r="A15365" s="1">
        <v>4.0</v>
      </c>
      <c r="B15365" s="1" t="s">
        <v>15227</v>
      </c>
      <c r="C15365" t="str">
        <f>IFERROR(__xludf.DUMMYFUNCTION("GOOGLETRANSLATE(B15365, ""es"", ""en"")"),"Satisfied I like and I've heard is very good q")</f>
        <v>Satisfied I like and I've heard is very good q</v>
      </c>
    </row>
    <row r="15366">
      <c r="A15366" s="1">
        <v>4.0</v>
      </c>
      <c r="B15366" s="1" t="s">
        <v>15228</v>
      </c>
      <c r="C15366" t="str">
        <f>IFERROR(__xludf.DUMMYFUNCTION("GOOGLETRANSLATE(B15366, ""es"", ""en"")"),"Well I would've given to my mother and said that going great, it's a bit small but funxiona very well !!")</f>
        <v>Well I would've given to my mother and said that going great, it's a bit small but funxiona very well !!</v>
      </c>
    </row>
    <row r="15367">
      <c r="A15367" s="1">
        <v>4.0</v>
      </c>
      <c r="B15367" s="1" t="s">
        <v>15229</v>
      </c>
      <c r="C15367" t="str">
        <f>IFERROR(__xludf.DUMMYFUNCTION("GOOGLETRANSLATE(B15367, ""es"", ""en"")"),"S. Eugenia are fine. But it is true that stains not removed. My solution is to add a soap flakes lizard. Or treat the garment before.")</f>
        <v>S. Eugenia are fine. But it is true that stains not removed. My solution is to add a soap flakes lizard. Or treat the garment before.</v>
      </c>
    </row>
    <row r="15368">
      <c r="A15368" s="1">
        <v>5.0</v>
      </c>
      <c r="B15368" s="1" t="s">
        <v>15230</v>
      </c>
      <c r="C15368" t="str">
        <f>IFERROR(__xludf.DUMMYFUNCTION("GOOGLETRANSLATE(B15368, ""es"", ""en"")"),"Ideal for the new Moto G 4G Ideal for standard brings limitations (for now) the Moto G 4G. He did not work well with MicroSD 32GB Class 10, ""down"" to Class 4, it is a valid option to not give up having the capacity cap that allows this mobile. The two a"&amp;"dapters that brings microSD (you can turn it into a standard SD or pendrive), make one of the most profitable deals you can find.")</f>
        <v>Ideal for the new Moto G 4G Ideal for standard brings limitations (for now) the Moto G 4G. He did not work well with MicroSD 32GB Class 10, "down" to Class 4, it is a valid option to not give up having the capacity cap that allows this mobile. The two adapters that brings microSD (you can turn it into a standard SD or pendrive), make one of the most profitable deals you can find.</v>
      </c>
    </row>
    <row r="15369">
      <c r="A15369" s="1">
        <v>5.0</v>
      </c>
      <c r="B15369" s="1" t="s">
        <v>15231</v>
      </c>
      <c r="C15369" t="str">
        <f>IFERROR(__xludf.DUMMYFUNCTION("GOOGLETRANSLATE(B15369, ""es"", ""en"")"),"The Basketball Classic basketball shoes but I use them to dress. I bought it because ASCI black combined with any outfit. They are very comfortable fabric, protect the ankle and are nothing hot.")</f>
        <v>The Basketball Classic basketball shoes but I use them to dress. I bought it because ASCI black combined with any outfit. They are very comfortable fabric, protect the ankle and are nothing hot.</v>
      </c>
    </row>
    <row r="15370">
      <c r="A15370" s="1">
        <v>5.0</v>
      </c>
      <c r="B15370" s="1" t="s">
        <v>15232</v>
      </c>
      <c r="C15370" t="str">
        <f>IFERROR(__xludf.DUMMYFUNCTION("GOOGLETRANSLATE(B15370, ""es"", ""en"")"),"Quality multifunction blender blender aesthetically beautiful and pleasing to the touch. It is metallic gray in contrast with black plastic. Bring the chopper attachment and whisk well as a glass that surprised me how big it is, it is one liter instead of"&amp;" the normal average. The arm weighs a little to the metal being but contrasts with the accessories that are lightweight plastic. It has enough speed to regulate plus a turbo button that, if you use very noticeable continuous warming slightly. Overall, pri"&amp;"ce / quality ratio is highly recommended.")</f>
        <v>Quality multifunction blender blender aesthetically beautiful and pleasing to the touch. It is metallic gray in contrast with black plastic. Bring the chopper attachment and whisk well as a glass that surprised me how big it is, it is one liter instead of the normal average. The arm weighs a little to the metal being but contrasts with the accessories that are lightweight plastic. It has enough speed to regulate plus a turbo button that, if you use very noticeable continuous warming slightly. Overall, price / quality ratio is highly recommended.</v>
      </c>
    </row>
    <row r="15371">
      <c r="A15371" s="1">
        <v>5.0</v>
      </c>
      <c r="B15371" s="1" t="s">
        <v>15233</v>
      </c>
      <c r="C15371" t="str">
        <f>IFERROR(__xludf.DUMMYFUNCTION("GOOGLETRANSLATE(B15371, ""es"", ""en"")"),"Encantada video work, but not very heavy things. My iMac had fallen short to work and I wanted something that would work to get there and material projects and programs on your computer and breathe. So far so great, it is super fast, I did not have any pr"&amp;"oblem working with the diary, and is super small. Haunted")</f>
        <v>Encantada video work, but not very heavy things. My iMac had fallen short to work and I wanted something that would work to get there and material projects and programs on your computer and breathe. So far so great, it is super fast, I did not have any problem working with the diary, and is super small. Haunted</v>
      </c>
    </row>
    <row r="15372">
      <c r="A15372" s="1">
        <v>5.0</v>
      </c>
      <c r="B15372" s="1" t="s">
        <v>15234</v>
      </c>
      <c r="C15372" t="str">
        <f>IFERROR(__xludf.DUMMYFUNCTION("GOOGLETRANSLATE(B15372, ""es"", ""en"")"),"For a home or make perfect testing in money use The truth is I had my doubts by some reviews I read, but for the price I wanted to take a chance and not arrepiento.Esta clear to me that if what you want is a support for professional use you you spend your"&amp;" money and everything, but for a home and even use for testing, for me is perfect in light precio.Es quality with different microphones and accessories brings a very useful transport bag.")</f>
        <v>For a home or make perfect testing in money use The truth is I had my doubts by some reviews I read, but for the price I wanted to take a chance and not arrepiento.Esta clear to me that if what you want is a support for professional use you you spend your money and everything, but for a home and even use for testing, for me is perfect in light precio.Es quality with different microphones and accessories brings a very useful transport bag.</v>
      </c>
    </row>
    <row r="15373">
      <c r="A15373" s="1">
        <v>5.0</v>
      </c>
      <c r="B15373" s="1" t="s">
        <v>15235</v>
      </c>
      <c r="C15373" t="str">
        <f>IFERROR(__xludf.DUMMYFUNCTION("GOOGLETRANSLATE(B15373, ""es"", ""en"")"),"Maribel Gonzalez Me is delighting the second novel by this author! And I read ""A knot after another"" and I was excited from the start. ""Blue Capitana"" shows a treated reality from a standpoint bit frivolous and offers a light esperaza at the end of th"&amp;"e tunnel. A writer-reader with its exciting and full sense appointments. Congratulations on writing as you write and make us live so many emotions.")</f>
        <v>Maribel Gonzalez Me is delighting the second novel by this author! And I read "A knot after another" and I was excited from the start. "Blue Capitana" shows a treated reality from a standpoint bit frivolous and offers a light esperaza at the end of the tunnel. A writer-reader with its exciting and full sense appointments. Congratulations on writing as you write and make us live so many emotions.</v>
      </c>
    </row>
    <row r="15374">
      <c r="A15374" s="1">
        <v>5.0</v>
      </c>
      <c r="B15374" s="1" t="s">
        <v>15236</v>
      </c>
      <c r="C15374" t="str">
        <f>IFERROR(__xludf.DUMMYFUNCTION("GOOGLETRANSLATE(B15374, ""es"", ""en"")"),"Great Very good, cable is quite long, it's simple and it works pretty well, sound is also good. I recommend purchase.")</f>
        <v>Great Very good, cable is quite long, it's simple and it works pretty well, sound is also good. I recommend purchase.</v>
      </c>
    </row>
    <row r="15375">
      <c r="A15375" s="1">
        <v>5.0</v>
      </c>
      <c r="B15375" s="1" t="s">
        <v>238</v>
      </c>
      <c r="C15375" t="str">
        <f>IFERROR(__xludf.DUMMYFUNCTION("GOOGLETRANSLATE(B15375, ""es"", ""en"")"),"perfect perfect")</f>
        <v>perfect perfect</v>
      </c>
    </row>
    <row r="15376">
      <c r="A15376" s="1">
        <v>5.0</v>
      </c>
      <c r="B15376" s="1" t="s">
        <v>15237</v>
      </c>
      <c r="C15376" t="str">
        <f>IFERROR(__xludf.DUMMYFUNCTION("GOOGLETRANSLATE(B15376, ""es"", ""en"")"),"They are perfect exactly as I expected")</f>
        <v>They are perfect exactly as I expected</v>
      </c>
    </row>
    <row r="15377">
      <c r="A15377" s="1">
        <v>5.0</v>
      </c>
      <c r="B15377" s="1" t="s">
        <v>15238</v>
      </c>
      <c r="C15377" t="str">
        <f>IFERROR(__xludf.DUMMYFUNCTION("GOOGLETRANSLATE(B15377, ""es"", ""en"")"),"The sounds are very nice. I like it because it has a very nice design and soothing sounds. It has two alarms and different tones to wake up.")</f>
        <v>The sounds are very nice. I like it because it has a very nice design and soothing sounds. It has two alarms and different tones to wake up.</v>
      </c>
    </row>
    <row r="15378">
      <c r="A15378" s="1">
        <v>5.0</v>
      </c>
      <c r="B15378" s="1" t="s">
        <v>15239</v>
      </c>
      <c r="C15378" t="str">
        <f>IFERROR(__xludf.DUMMYFUNCTION("GOOGLETRANSLATE(B15378, ""es"", ""en"")"),"Timeless is always a good brand that fits the foot well")</f>
        <v>Timeless is always a good brand that fits the foot well</v>
      </c>
    </row>
    <row r="15379">
      <c r="A15379" s="1">
        <v>5.0</v>
      </c>
      <c r="B15379" s="1" t="s">
        <v>15240</v>
      </c>
      <c r="C15379" t="str">
        <f>IFERROR(__xludf.DUMMYFUNCTION("GOOGLETRANSLATE(B15379, ""es"", ""en"")"),"Very good shoes sneakers are super calentitas the best that I recommend are super comfortable")</f>
        <v>Very good shoes sneakers are super calentitas the best that I recommend are super comfortable</v>
      </c>
    </row>
    <row r="15380">
      <c r="A15380" s="1">
        <v>5.0</v>
      </c>
      <c r="B15380" s="1" t="s">
        <v>15241</v>
      </c>
      <c r="C15380" t="str">
        <f>IFERROR(__xludf.DUMMYFUNCTION("GOOGLETRANSLATE(B15380, ""es"", ""en"")"),"VERY PLEASED What I like is the softness of the blanket itself, glad to have it on. It works very quickly when heated and with the dimmer 3 position can make heat. When power has a blue light in the regulator, which does not bother in the dark. Tempt two "&amp;"colors on one side is blue and the other is gray. The instructions come in Castilian and anything else that is appreciated, is that it can be machine washed.")</f>
        <v>VERY PLEASED What I like is the softness of the blanket itself, glad to have it on. It works very quickly when heated and with the dimmer 3 position can make heat. When power has a blue light in the regulator, which does not bother in the dark. Tempt two colors on one side is blue and the other is gray. The instructions come in Castilian and anything else that is appreciated, is that it can be machine washed.</v>
      </c>
    </row>
    <row r="15381">
      <c r="A15381" s="1">
        <v>5.0</v>
      </c>
      <c r="B15381" s="1" t="s">
        <v>15242</v>
      </c>
      <c r="C15381" t="str">
        <f>IFERROR(__xludf.DUMMYFUNCTION("GOOGLETRANSLATE(B15381, ""es"", ""en"")"),"Very good product. Sports headphones with a pretty good sound quality, good quality materials giving robust feel, very lightweight and intuitive keypad. I have several and various brands and the brand works especially well these products, I recommend it f"&amp;"or sport, but especially for running, since there are few Bluetooth headsets, which hold a session of kilometers without giving problems falls or displacements. highly recommendable very good product.")</f>
        <v>Very good product. Sports headphones with a pretty good sound quality, good quality materials giving robust feel, very lightweight and intuitive keypad. I have several and various brands and the brand works especially well these products, I recommend it for sport, but especially for running, since there are few Bluetooth headsets, which hold a session of kilometers without giving problems falls or displacements. highly recommendable very good product.</v>
      </c>
    </row>
    <row r="15382">
      <c r="A15382" s="1">
        <v>5.0</v>
      </c>
      <c r="B15382" s="1" t="s">
        <v>15243</v>
      </c>
      <c r="C15382" t="str">
        <f>IFERROR(__xludf.DUMMYFUNCTION("GOOGLETRANSLATE(B15382, ""es"", ""en"")"),"Good Good value for money")</f>
        <v>Good Good value for money</v>
      </c>
    </row>
    <row r="15383">
      <c r="A15383" s="1">
        <v>5.0</v>
      </c>
      <c r="B15383" s="1" t="s">
        <v>15244</v>
      </c>
      <c r="C15383" t="str">
        <f>IFERROR(__xludf.DUMMYFUNCTION("GOOGLETRANSLATE(B15383, ""es"", ""en"")"),"Entraga excellent quality and calaida ratio / price. Very good delivery, tracking it. The quality and comfort of the garment is very acceptable. Perfect for mid-mountain routes.")</f>
        <v>Entraga excellent quality and calaida ratio / price. Very good delivery, tracking it. The quality and comfort of the garment is very acceptable. Perfect for mid-mountain routes.</v>
      </c>
    </row>
    <row r="15384">
      <c r="A15384" s="1">
        <v>5.0</v>
      </c>
      <c r="B15384" s="1" t="s">
        <v>15245</v>
      </c>
      <c r="C15384" t="str">
        <f>IFERROR(__xludf.DUMMYFUNCTION("GOOGLETRANSLATE(B15384, ""es"", ""en"")"),"Great quality for a good price. Well this watch is a substitute for the classic still in operation after 6 years of daily use, to change this completely black elgante sphere, so I have the certainty that it is and will always be a wise buy a Casio watch. "&amp;"If you are looking for good value for money no doubt this is unbeatable.")</f>
        <v>Great quality for a good price. Well this watch is a substitute for the classic still in operation after 6 years of daily use, to change this completely black elgante sphere, so I have the certainty that it is and will always be a wise buy a Casio watch. If you are looking for good value for money no doubt this is unbeatable.</v>
      </c>
    </row>
    <row r="15385">
      <c r="A15385" s="1">
        <v>5.0</v>
      </c>
      <c r="B15385" s="1" t="s">
        <v>15246</v>
      </c>
      <c r="C15385" t="str">
        <f>IFERROR(__xludf.DUMMYFUNCTION("GOOGLETRANSLATE(B15385, ""es"", ""en"")"),"Perfec All ok")</f>
        <v>Perfec All ok</v>
      </c>
    </row>
    <row r="15386">
      <c r="A15386" s="1">
        <v>5.0</v>
      </c>
      <c r="B15386" s="1" t="s">
        <v>15247</v>
      </c>
      <c r="C15386" t="str">
        <f>IFERROR(__xludf.DUMMYFUNCTION("GOOGLETRANSLATE(B15386, ""es"", ""en"")"),"Excellent value. Feel great !!! Very good hoodie. It is quite chubby, and feel very good. I ordered an xl and my height and weight 1.88 kilos and 102 me is perfect. Very happy with the purchase.")</f>
        <v>Excellent value. Feel great !!! Very good hoodie. It is quite chubby, and feel very good. I ordered an xl and my height and weight 1.88 kilos and 102 me is perfect. Very happy with the purchase.</v>
      </c>
    </row>
    <row r="15387">
      <c r="A15387" s="1">
        <v>2.0</v>
      </c>
      <c r="B15387" s="1" t="s">
        <v>15248</v>
      </c>
      <c r="C15387" t="str">
        <f>IFERROR(__xludf.DUMMYFUNCTION("GOOGLETRANSLATE(B15387, ""es"", ""en"")"),"Rubbing on the wrist by flowers The pylsera is beautiful but does Roze wrist")</f>
        <v>Rubbing on the wrist by flowers The pylsera is beautiful but does Roze wrist</v>
      </c>
    </row>
    <row r="15388">
      <c r="A15388" s="1">
        <v>3.0</v>
      </c>
      <c r="B15388" s="1" t="s">
        <v>15249</v>
      </c>
      <c r="C15388" t="str">
        <f>IFERROR(__xludf.DUMMYFUNCTION("GOOGLETRANSLATE(B15388, ""es"", ""en"")"),"Nice but not enter my Pandora just received, and have ordered two llegadi very fast ... Too bad they do not enter my bracelet Pandora .. But I put on a silver chain I had and now I have a cute pendant with two stops, is very fine ... so do not change and "&amp;"we'll ask other larger.")</f>
        <v>Nice but not enter my Pandora just received, and have ordered two llegadi very fast ... Too bad they do not enter my bracelet Pandora .. But I put on a silver chain I had and now I have a cute pendant with two stops, is very fine ... so do not change and we'll ask other larger.</v>
      </c>
    </row>
    <row r="15389">
      <c r="A15389" s="1">
        <v>3.0</v>
      </c>
      <c r="B15389" s="1" t="s">
        <v>15250</v>
      </c>
      <c r="C15389" t="str">
        <f>IFERROR(__xludf.DUMMYFUNCTION("GOOGLETRANSLATE(B15389, ""es"", ""en"")"),"Targeta 16gb does its job at a very good price, I use it for mobile and so far no problem, kingston is a trusted brand things to buy at least it does not have even failed me.")</f>
        <v>Targeta 16gb does its job at a very good price, I use it for mobile and so far no problem, kingston is a trusted brand things to buy at least it does not have even failed me.</v>
      </c>
    </row>
    <row r="15390">
      <c r="A15390" s="1">
        <v>1.0</v>
      </c>
      <c r="B15390" s="1" t="s">
        <v>15251</v>
      </c>
      <c r="C15390" t="str">
        <f>IFERROR(__xludf.DUMMYFUNCTION("GOOGLETRANSLATE(B15390, ""es"", ""en"")"),"misleading description of the product description misleading. Puts leading plastic coating, but a lie. They are paper thin and sleazy. Very expensive for what it is.")</f>
        <v>misleading description of the product description misleading. Puts leading plastic coating, but a lie. They are paper thin and sleazy. Very expensive for what it is.</v>
      </c>
    </row>
    <row r="15391">
      <c r="A15391" s="1">
        <v>1.0</v>
      </c>
      <c r="B15391" s="1" t="s">
        <v>15252</v>
      </c>
      <c r="C15391" t="str">
        <f>IFERROR(__xludf.DUMMYFUNCTION("GOOGLETRANSLATE(B15391, ""es"", ""en"")"),"PESA A Cojón AND NO MANS just received and would give as a gift, but for what? If it does not work and it smells like burnt ... chustada go")</f>
        <v>PESA A Cojón AND NO MANS just received and would give as a gift, but for what? If it does not work and it smells like burnt ... chustada go</v>
      </c>
    </row>
    <row r="15392">
      <c r="A15392" s="1">
        <v>4.0</v>
      </c>
      <c r="B15392" s="1" t="s">
        <v>15253</v>
      </c>
      <c r="C15392" t="str">
        <f>IFERROR(__xludf.DUMMYFUNCTION("GOOGLETRANSLATE(B15392, ""es"", ""en"")"),"It's a gift; and they told me that I have finally successful and likes is a gift; and I told me that I've finally successful and like I never give it a 5 * because I think that perfection does not exist")</f>
        <v>It's a gift; and they told me that I have finally successful and likes is a gift; and I told me that I've finally successful and like I never give it a 5 * because I think that perfection does not exist</v>
      </c>
    </row>
    <row r="15393">
      <c r="A15393" s="1">
        <v>4.0</v>
      </c>
      <c r="B15393" s="1" t="s">
        <v>15254</v>
      </c>
      <c r="C15393" t="str">
        <f>IFERROR(__xludf.DUMMYFUNCTION("GOOGLETRANSLATE(B15393, ""es"", ""en"")"),"The conforto. I like the comfort of your feet, but I do not really like the price (good not cheap).")</f>
        <v>The conforto. I like the comfort of your feet, but I do not really like the price (good not cheap).</v>
      </c>
    </row>
    <row r="15394">
      <c r="A15394" s="1">
        <v>4.0</v>
      </c>
      <c r="B15394" s="1" t="s">
        <v>15255</v>
      </c>
      <c r="C15394" t="str">
        <f>IFERROR(__xludf.DUMMYFUNCTION("GOOGLETRANSLATE(B15394, ""es"", ""en"")"),"Hard disk quality. The hard drive is large capacity, does not go very fast as an SSD but the value is good, I've had problems when installing Windows 10, because it did not recognize much space, only recognized 2TB. I think the supplement to this hard dri"&amp;"ve is to put a SSD for OS and programs and have this hard drive storage. Otherwise all well, missing more speed.")</f>
        <v>Hard disk quality. The hard drive is large capacity, does not go very fast as an SSD but the value is good, I've had problems when installing Windows 10, because it did not recognize much space, only recognized 2TB. I think the supplement to this hard drive is to put a SSD for OS and programs and have this hard drive storage. Otherwise all well, missing more speed.</v>
      </c>
    </row>
    <row r="15395">
      <c r="A15395" s="1">
        <v>4.0</v>
      </c>
      <c r="B15395" s="1" t="s">
        <v>15256</v>
      </c>
      <c r="C15395" t="str">
        <f>IFERROR(__xludf.DUMMYFUNCTION("GOOGLETRANSLATE(B15395, ""es"", ""en"")"),"Just to travel Asa too large to save to go travel. Heats quickly and appreciated. weighs heavily")</f>
        <v>Just to travel Asa too large to save to go travel. Heats quickly and appreciated. weighs heavily</v>
      </c>
    </row>
    <row r="15396">
      <c r="A15396" s="1">
        <v>4.0</v>
      </c>
      <c r="B15396" s="1" t="s">
        <v>15257</v>
      </c>
      <c r="C15396" t="str">
        <f>IFERROR(__xludf.DUMMYFUNCTION("GOOGLETRANSLATE(B15396, ""es"", ""en"")"),"Very light very comfortable shoes. It adapts very well to foot. Above all the staff that takes, because adapata your tread. They weigh very little and that makes lighter walking.")</f>
        <v>Very light very comfortable shoes. It adapts very well to foot. Above all the staff that takes, because adapata your tread. They weigh very little and that makes lighter walking.</v>
      </c>
    </row>
    <row r="15397">
      <c r="A15397" s="1">
        <v>5.0</v>
      </c>
      <c r="B15397" s="1" t="s">
        <v>15258</v>
      </c>
      <c r="C15397" t="str">
        <f>IFERROR(__xludf.DUMMYFUNCTION("GOOGLETRANSLATE(B15397, ""es"", ""en"")"),"the impact does not interfere the only detail is when the microphone pad interference starts to get wet (I am prof fitness).")</f>
        <v>the impact does not interfere the only detail is when the microphone pad interference starts to get wet (I am prof fitness).</v>
      </c>
    </row>
    <row r="15398">
      <c r="A15398" s="1">
        <v>5.0</v>
      </c>
      <c r="B15398" s="1" t="s">
        <v>15259</v>
      </c>
      <c r="C15398" t="str">
        <f>IFERROR(__xludf.DUMMYFUNCTION("GOOGLETRANSLATE(B15398, ""es"", ""en"")"),"Lightness I use it mainly for TV and I am satisfied with its quality")</f>
        <v>Lightness I use it mainly for TV and I am satisfied with its quality</v>
      </c>
    </row>
    <row r="15399">
      <c r="A15399" s="1">
        <v>5.0</v>
      </c>
      <c r="B15399" s="1" t="s">
        <v>15260</v>
      </c>
      <c r="C15399" t="str">
        <f>IFERROR(__xludf.DUMMYFUNCTION("GOOGLETRANSLATE(B15399, ""es"", ""en"")"),"Maria Jose Alfonso Everything arrived at the predetermined time and in perfect condition. The product was in line with what it looked on the website and the photos were not doctored")</f>
        <v>Maria Jose Alfonso Everything arrived at the predetermined time and in perfect condition. The product was in line with what it looked on the website and the photos were not doctored</v>
      </c>
    </row>
    <row r="15400">
      <c r="A15400" s="1">
        <v>5.0</v>
      </c>
      <c r="B15400" s="1" t="s">
        <v>15261</v>
      </c>
      <c r="C15400" t="str">
        <f>IFERROR(__xludf.DUMMYFUNCTION("GOOGLETRANSLATE(B15400, ""es"", ""en"")"),"Very good very good, has lasted me more than a face, I tested several brands, expensive and cheap, so ... I was worth.")</f>
        <v>Very good very good, has lasted me more than a face, I tested several brands, expensive and cheap, so ... I was worth.</v>
      </c>
    </row>
    <row r="15401">
      <c r="A15401" s="1">
        <v>5.0</v>
      </c>
      <c r="B15401" s="1" t="s">
        <v>15262</v>
      </c>
      <c r="C15401" t="str">
        <f>IFERROR(__xludf.DUMMYFUNCTION("GOOGLETRANSLATE(B15401, ""es"", ""en"")"),"I would buy exactly as it was advertised")</f>
        <v>I would buy exactly as it was advertised</v>
      </c>
    </row>
    <row r="15402">
      <c r="A15402" s="1">
        <v>5.0</v>
      </c>
      <c r="B15402" s="1" t="s">
        <v>15263</v>
      </c>
      <c r="C15402" t="str">
        <f>IFERROR(__xludf.DUMMYFUNCTION("GOOGLETRANSLATE(B15402, ""es"", ""en"")"),"Good value. Perfect. It fits what he wanted.")</f>
        <v>Good value. Perfect. It fits what he wanted.</v>
      </c>
    </row>
    <row r="15403">
      <c r="A15403" s="1">
        <v>5.0</v>
      </c>
      <c r="B15403" s="1" t="s">
        <v>15264</v>
      </c>
      <c r="C15403" t="str">
        <f>IFERROR(__xludf.DUMMYFUNCTION("GOOGLETRANSLATE(B15403, ""es"", ""en"")"),"Its price - quality. For this price worth using this watch at work and sport, as it is rugged enough for these activities and in case of excessive shock or other incidents, economic loss does not imply any deterioration in personal economy.")</f>
        <v>Its price - quality. For this price worth using this watch at work and sport, as it is rugged enough for these activities and in case of excessive shock or other incidents, economic loss does not imply any deterioration in personal economy.</v>
      </c>
    </row>
    <row r="15404">
      <c r="A15404" s="1">
        <v>5.0</v>
      </c>
      <c r="B15404" s="1" t="s">
        <v>15265</v>
      </c>
      <c r="C15404" t="str">
        <f>IFERROR(__xludf.DUMMYFUNCTION("GOOGLETRANSLATE(B15404, ""es"", ""en"")"),"Wonderful price excellent quality, super comfortable")</f>
        <v>Wonderful price excellent quality, super comfortable</v>
      </c>
    </row>
    <row r="15405">
      <c r="A15405" s="1">
        <v>5.0</v>
      </c>
      <c r="B15405" s="1" t="s">
        <v>15266</v>
      </c>
      <c r="C15405" t="str">
        <f>IFERROR(__xludf.DUMMYFUNCTION("GOOGLETRANSLATE(B15405, ""es"", ""en"")"),"Haves If you go to plasticizing and want a minimum of quality you buy. They have good touch and seem resistant. If you're going to use in a laminator to its maximum size is A4 surely double or leaving bubbles, but the problem is not the laminator sheets")</f>
        <v>Haves If you go to plasticizing and want a minimum of quality you buy. They have good touch and seem resistant. If you're going to use in a laminator to its maximum size is A4 surely double or leaving bubbles, but the problem is not the laminator sheets</v>
      </c>
    </row>
    <row r="15406">
      <c r="A15406" s="1">
        <v>5.0</v>
      </c>
      <c r="B15406" s="1" t="s">
        <v>15267</v>
      </c>
      <c r="C15406" t="str">
        <f>IFERROR(__xludf.DUMMYFUNCTION("GOOGLETRANSLATE(B15406, ""es"", ""en"")"),"For synchrony and Vibri touch with radio remote control, it works very fast changing vibration mode. soft and comfortable touch. Happy with purchase")</f>
        <v>For synchrony and Vibri touch with radio remote control, it works very fast changing vibration mode. soft and comfortable touch. Happy with purchase</v>
      </c>
    </row>
    <row r="15407">
      <c r="A15407" s="1">
        <v>5.0</v>
      </c>
      <c r="B15407" s="1" t="s">
        <v>15268</v>
      </c>
      <c r="C15407" t="str">
        <f>IFERROR(__xludf.DUMMYFUNCTION("GOOGLETRANSLATE(B15407, ""es"", ""en"")"),"Easily meets Comfort is the word that defines it. Weighs just, the display is clear and very useful functions. I recommend purchase. In my case I use the weekends for water sports (surfing, rowing, swimming) and not take it off all day. does not disappoin"&amp;"t")</f>
        <v>Easily meets Comfort is the word that defines it. Weighs just, the display is clear and very useful functions. I recommend purchase. In my case I use the weekends for water sports (surfing, rowing, swimming) and not take it off all day. does not disappoint</v>
      </c>
    </row>
    <row r="15408">
      <c r="A15408" s="1">
        <v>5.0</v>
      </c>
      <c r="B15408" s="1" t="s">
        <v>15269</v>
      </c>
      <c r="C15408" t="str">
        <f>IFERROR(__xludf.DUMMYFUNCTION("GOOGLETRANSLATE(B15408, ""es"", ""en"")"),"Several extra features. This kettle buy gift my mother who appreciates the functionality of maintaining the temperature of water for long time. This allows not having to heat to zero. It also has options to choose until temperature heat water, this can be"&amp;" useful in specific things. Materials and appearance do not seem cheap, has its level.")</f>
        <v>Several extra features. This kettle buy gift my mother who appreciates the functionality of maintaining the temperature of water for long time. This allows not having to heat to zero. It also has options to choose until temperature heat water, this can be useful in specific things. Materials and appearance do not seem cheap, has its level.</v>
      </c>
    </row>
    <row r="15409">
      <c r="A15409" s="1">
        <v>5.0</v>
      </c>
      <c r="B15409" s="1" t="s">
        <v>15270</v>
      </c>
      <c r="C15409" t="str">
        <f>IFERROR(__xludf.DUMMYFUNCTION("GOOGLETRANSLATE(B15409, ""es"", ""en"")"),"Very surprised with these headphones I've tried several brands and have obtained consistent results, but the truth is that I would take these, because although there are many good brands touch control of these headphones is the best by far, you can upload"&amp;" and lower the volume, pause, resume, take call, hang up, use voice assistant, etc .. Very complete. In addition aesthetically they are the nicest I have had and have a similar appearance to airpods. You can also use each individual handset, which can not"&amp;" with many other brands, and the microphone is listening very well to call down the street. I also tried doing sport and no problem, do not fall nor slacken in all, highly recommended, plus the price is great compared to other brands. 10/10")</f>
        <v>Very surprised with these headphones I've tried several brands and have obtained consistent results, but the truth is that I would take these, because although there are many good brands touch control of these headphones is the best by far, you can upload and lower the volume, pause, resume, take call, hang up, use voice assistant, etc .. Very complete. In addition aesthetically they are the nicest I have had and have a similar appearance to airpods. You can also use each individual handset, which can not with many other brands, and the microphone is listening very well to call down the street. I also tried doing sport and no problem, do not fall nor slacken in all, highly recommended, plus the price is great compared to other brands. 10/10</v>
      </c>
    </row>
    <row r="15410">
      <c r="A15410" s="1">
        <v>5.0</v>
      </c>
      <c r="B15410" s="1" t="s">
        <v>15271</v>
      </c>
      <c r="C15410" t="str">
        <f>IFERROR(__xludf.DUMMYFUNCTION("GOOGLETRANSLATE(B15410, ""es"", ""en"")"),"Perfect are very good. I bought them for sport")</f>
        <v>Perfect are very good. I bought them for sport</v>
      </c>
    </row>
    <row r="15411">
      <c r="A15411" s="1">
        <v>5.0</v>
      </c>
      <c r="B15411" s="1" t="s">
        <v>15272</v>
      </c>
      <c r="C15411" t="str">
        <f>IFERROR(__xludf.DUMMYFUNCTION("GOOGLETRANSLATE(B15411, ""es"", ""en"")"),"👍🏼👍🏼👍🏼👍🏼👍🏼 👍🏼👍🏼👍🏼👍🏼👍🏼")</f>
        <v>👍🏼👍🏼👍🏼👍🏼👍🏼 👍🏼👍🏼👍🏼👍🏼👍🏼</v>
      </c>
    </row>
    <row r="15412">
      <c r="A15412" s="1">
        <v>5.0</v>
      </c>
      <c r="B15412" s="1" t="s">
        <v>15273</v>
      </c>
      <c r="C15412" t="str">
        <f>IFERROR(__xludf.DUMMYFUNCTION("GOOGLETRANSLATE(B15412, ""es"", ""en"")"),"Super good Ok")</f>
        <v>Super good Ok</v>
      </c>
    </row>
    <row r="15413">
      <c r="A15413" s="1">
        <v>5.0</v>
      </c>
      <c r="B15413" s="1" t="s">
        <v>15274</v>
      </c>
      <c r="C15413" t="str">
        <f>IFERROR(__xludf.DUMMYFUNCTION("GOOGLETRANSLATE(B15413, ""es"", ""en"")"),"Very effective noise blocking very good value. Comfortable, good sound and especially when active external noise cancellation isolate very well. I have paired to a Bluetooth transmitter of the same brand on TV. Virtually no delay. For some reason the blue"&amp;" LED is lit when the ANC are off; I consider it a failure.")</f>
        <v>Very effective noise blocking very good value. Comfortable, good sound and especially when active external noise cancellation isolate very well. I have paired to a Bluetooth transmitter of the same brand on TV. Virtually no delay. For some reason the blue LED is lit when the ANC are off; I consider it a failure.</v>
      </c>
    </row>
    <row r="15414">
      <c r="A15414" s="1">
        <v>5.0</v>
      </c>
      <c r="B15414" s="1" t="s">
        <v>15275</v>
      </c>
      <c r="C15414" t="str">
        <f>IFERROR(__xludf.DUMMYFUNCTION("GOOGLETRANSLATE(B15414, ""es"", ""en"")"),"They are very comfortable Very nice and light")</f>
        <v>They are very comfortable Very nice and light</v>
      </c>
    </row>
    <row r="15415">
      <c r="A15415" s="1">
        <v>5.0</v>
      </c>
      <c r="B15415" s="1" t="s">
        <v>15276</v>
      </c>
      <c r="C15415" t="str">
        <f>IFERROR(__xludf.DUMMYFUNCTION("GOOGLETRANSLATE(B15415, ""es"", ""en"")"),"Fantastic arrive on time")</f>
        <v>Fantastic arrive on time</v>
      </c>
    </row>
    <row r="15416">
      <c r="A15416" s="1">
        <v>2.0</v>
      </c>
      <c r="B15416" s="1" t="s">
        <v>15277</v>
      </c>
      <c r="C15416" t="str">
        <f>IFERROR(__xludf.DUMMYFUNCTION("GOOGLETRANSLATE(B15416, ""es"", ""en"")"),"Very warm very soft but lose PIPS is quite an experience to walk with them, it's like pisaras sand all the time. A warm them is the immeasurable pleasure to carry. The downside is that the seams are losing the ""birdseed"" leading inside and just the whol"&amp;"e house full of pipes. And I had to sew a couple of times and at the end I stopped using them. That or the vacuum pipes and use as socks spongy")</f>
        <v>Very warm very soft but lose PIPS is quite an experience to walk with them, it's like pisaras sand all the time. A warm them is the immeasurable pleasure to carry. The downside is that the seams are losing the "birdseed" leading inside and just the whole house full of pipes. And I had to sew a couple of times and at the end I stopped using them. That or the vacuum pipes and use as socks spongy</v>
      </c>
    </row>
    <row r="15417">
      <c r="A15417" s="1">
        <v>3.0</v>
      </c>
      <c r="B15417" s="1" t="s">
        <v>15278</v>
      </c>
      <c r="C15417" t="str">
        <f>IFERROR(__xludf.DUMMYFUNCTION("GOOGLETRANSLATE(B15417, ""es"", ""en"")"),"Q are used for 25 years or more last long q The quality was very good but I expected has not come in time that is a problem")</f>
        <v>Q are used for 25 years or more last long q The quality was very good but I expected has not come in time that is a problem</v>
      </c>
    </row>
    <row r="15418">
      <c r="A15418" s="1">
        <v>3.0</v>
      </c>
      <c r="B15418" s="1" t="s">
        <v>15279</v>
      </c>
      <c r="C15418" t="str">
        <f>IFERROR(__xludf.DUMMYFUNCTION("GOOGLETRANSLATE(B15418, ""es"", ""en"")"),"Right. Thank right. Thank you")</f>
        <v>Right. Thank right. Thank you</v>
      </c>
    </row>
    <row r="15419">
      <c r="A15419" s="1">
        <v>1.0</v>
      </c>
      <c r="B15419" s="1" t="s">
        <v>15280</v>
      </c>
      <c r="C15419" t="str">
        <f>IFERROR(__xludf.DUMMYFUNCTION("GOOGLETRANSLATE(B15419, ""es"", ""en"")"),"not advisable the size you have to play. but good with the issue of solutions have no problems. the problem is the smell. unbearable after 5 or 6 uses. impossible to have at home. and not me alone. that regale because I found them perfect and more of the "&amp;"same")</f>
        <v>not advisable the size you have to play. but good with the issue of solutions have no problems. the problem is the smell. unbearable after 5 or 6 uses. impossible to have at home. and not me alone. that regale because I found them perfect and more of the same</v>
      </c>
    </row>
    <row r="15420">
      <c r="A15420" s="1">
        <v>1.0</v>
      </c>
      <c r="B15420" s="1" t="s">
        <v>15281</v>
      </c>
      <c r="C15420" t="str">
        <f>IFERROR(__xludf.DUMMYFUNCTION("GOOGLETRANSLATE(B15420, ""es"", ""en"")"),"no light ignites the charge I just opened to prepare and when I insert the USB end to the feeder and micro USB to the amplifier no light so I guess it's not charging lights. I descambiarlo as I can. Thank you")</f>
        <v>no light ignites the charge I just opened to prepare and when I insert the USB end to the feeder and micro USB to the amplifier no light so I guess it's not charging lights. I descambiarlo as I can. Thank you</v>
      </c>
    </row>
    <row r="15421">
      <c r="A15421" s="1">
        <v>4.0</v>
      </c>
      <c r="B15421" s="1" t="s">
        <v>15282</v>
      </c>
      <c r="C15421" t="str">
        <f>IFERROR(__xludf.DUMMYFUNCTION("GOOGLETRANSLATE(B15421, ""es"", ""en"")"),"The mega hyper fast boiling water boils superfast")</f>
        <v>The mega hyper fast boiling water boils superfast</v>
      </c>
    </row>
    <row r="15422">
      <c r="A15422" s="1">
        <v>4.0</v>
      </c>
      <c r="B15422" s="1" t="s">
        <v>15283</v>
      </c>
      <c r="C15422" t="str">
        <f>IFERROR(__xludf.DUMMYFUNCTION("GOOGLETRANSLATE(B15422, ""es"", ""en"")"),"Design the watch has a very nice design; this is appreciated, but what matters are its performance and ruggedness. 1as regard to their behavior in terms of their accuracy variations are assumable, since it is not a quartz watch. My delayed me a little les"&amp;"s than 1 minute day. As for 2AS, there is a downside reason why I gave it 4 stars and not 5: the same day I received it, I brushed very lightly against a wooden frame and the observe in detail, I noticed a scratch from the part top of the glass to the edg"&amp;"e of graduated steel. I repeat: the impact was very slight and if, as announced Seiko crystal is mineral and the rest is steel, I do not understand what happened, Globally, the clock is recommended.")</f>
        <v>Design the watch has a very nice design; this is appreciated, but what matters are its performance and ruggedness. 1as regard to their behavior in terms of their accuracy variations are assumable, since it is not a quartz watch. My delayed me a little less than 1 minute day. As for 2AS, there is a downside reason why I gave it 4 stars and not 5: the same day I received it, I brushed very lightly against a wooden frame and the observe in detail, I noticed a scratch from the part top of the glass to the edge of graduated steel. I repeat: the impact was very slight and if, as announced Seiko crystal is mineral and the rest is steel, I do not understand what happened, Globally, the clock is recommended.</v>
      </c>
    </row>
    <row r="15423">
      <c r="A15423" s="1">
        <v>4.0</v>
      </c>
      <c r="B15423" s="1" t="s">
        <v>15284</v>
      </c>
      <c r="C15423" t="str">
        <f>IFERROR(__xludf.DUMMYFUNCTION("GOOGLETRANSLATE(B15423, ""es"", ""en"")"),"You sound just fine soon the battery and turn it sometimes costs, otherwise fine")</f>
        <v>You sound just fine soon the battery and turn it sometimes costs, otherwise fine</v>
      </c>
    </row>
    <row r="15424">
      <c r="A15424" s="1">
        <v>4.0</v>
      </c>
      <c r="B15424" s="1" t="s">
        <v>15285</v>
      </c>
      <c r="C15424" t="str">
        <f>IFERROR(__xludf.DUMMYFUNCTION("GOOGLETRANSLATE(B15424, ""es"", ""en"")"),"convenient and fast option for warm feet No hard both heat with a water bag of lifelong, but the heating process is fast and secure. A couple of minutes in the microwave and a few hours of heat are achieved. No danger of burning with boiling water. Not su"&amp;"itable for walking. They are designed to warm the feet in bed or while sitting. If you step on them seeds moving inside and becomes uncomfortable. With prolonged use can leave any lint remaining in the microwave, why not give the fifth star.")</f>
        <v>convenient and fast option for warm feet No hard both heat with a water bag of lifelong, but the heating process is fast and secure. A couple of minutes in the microwave and a few hours of heat are achieved. No danger of burning with boiling water. Not suitable for walking. They are designed to warm the feet in bed or while sitting. If you step on them seeds moving inside and becomes uncomfortable. With prolonged use can leave any lint remaining in the microwave, why not give the fifth star.</v>
      </c>
    </row>
    <row r="15425">
      <c r="A15425" s="1">
        <v>4.0</v>
      </c>
      <c r="B15425" s="1" t="s">
        <v>15286</v>
      </c>
      <c r="C15425" t="str">
        <f>IFERROR(__xludf.DUMMYFUNCTION("GOOGLETRANSLATE(B15425, ""es"", ""en"")"),"Value Van fine")</f>
        <v>Value Van fine</v>
      </c>
    </row>
    <row r="15426">
      <c r="A15426" s="1">
        <v>5.0</v>
      </c>
      <c r="B15426" s="1" t="s">
        <v>15287</v>
      </c>
      <c r="C15426" t="str">
        <f>IFERROR(__xludf.DUMMYFUNCTION("GOOGLETRANSLATE(B15426, ""es"", ""en"")"),"Very good smells amazing, I gilt in this world of essential oils and these are the second I try but I've loved the smell is very strong, came well packed and no damaged. The truth that I've loved the Orange .My favorite")</f>
        <v>Very good smells amazing, I gilt in this world of essential oils and these are the second I try but I've loved the smell is very strong, came well packed and no damaged. The truth that I've loved the Orange .My favorite</v>
      </c>
    </row>
    <row r="15427">
      <c r="A15427" s="1">
        <v>5.0</v>
      </c>
      <c r="B15427" s="1" t="s">
        <v>4143</v>
      </c>
      <c r="C15427" t="str">
        <f>IFERROR(__xludf.DUMMYFUNCTION("GOOGLETRANSLATE(B15427, ""es"", ""en"")"),"All ok all ok")</f>
        <v>All ok all ok</v>
      </c>
    </row>
    <row r="15428">
      <c r="A15428" s="1">
        <v>5.0</v>
      </c>
      <c r="B15428" s="1" t="s">
        <v>15288</v>
      </c>
      <c r="C15428" t="str">
        <f>IFERROR(__xludf.DUMMYFUNCTION("GOOGLETRANSLATE(B15428, ""es"", ""en"")"),"Quiet hard drive more than adequate for home use. Adequate capacity. correct weight. It makes no noise. Colo striking electric blue. Ideal to differentiate if you have several at home.")</f>
        <v>Quiet hard drive more than adequate for home use. Adequate capacity. correct weight. It makes no noise. Colo striking electric blue. Ideal to differentiate if you have several at home.</v>
      </c>
    </row>
    <row r="15429">
      <c r="A15429" s="1">
        <v>5.0</v>
      </c>
      <c r="B15429" s="1" t="s">
        <v>15289</v>
      </c>
      <c r="C15429" t="str">
        <f>IFERROR(__xludf.DUMMYFUNCTION("GOOGLETRANSLATE(B15429, ""es"", ""en"")"),"Reasonably priced fashion No surprises: A vintage sneakers adidas concept with the quality you expect from adidas, a more reasonable price than in physical shop.")</f>
        <v>Reasonably priced fashion No surprises: A vintage sneakers adidas concept with the quality you expect from adidas, a more reasonable price than in physical shop.</v>
      </c>
    </row>
    <row r="15430">
      <c r="A15430" s="1">
        <v>5.0</v>
      </c>
      <c r="B15430" s="1" t="s">
        <v>15290</v>
      </c>
      <c r="C15430" t="str">
        <f>IFERROR(__xludf.DUMMYFUNCTION("GOOGLETRANSLATE(B15430, ""es"", ""en"")"),"Well they are very thin but well")</f>
        <v>Well they are very thin but well</v>
      </c>
    </row>
    <row r="15431">
      <c r="A15431" s="1">
        <v>5.0</v>
      </c>
      <c r="B15431" s="1" t="s">
        <v>15291</v>
      </c>
      <c r="C15431" t="str">
        <f>IFERROR(__xludf.DUMMYFUNCTION("GOOGLETRANSLATE(B15431, ""es"", ""en"")"),"Good massager I've been using a few days, and I feel great. I use it on neck and shoulders, and feel very good. You can adjust speed, put in heating mode (gives a little heat) or change the direction in which the balls rotate. Also say that they change au"&amp;"tomatically, and every 15 min off. I highly recommend reading the warnings manual, as there are some that may not be obvious, but they are important, such as pregnant women can not use it, or you can not leave it charging, if not that when you go to use i"&amp;"t when you have to connect it to light. To me I liked the product, and I recommend its purchase.")</f>
        <v>Good massager I've been using a few days, and I feel great. I use it on neck and shoulders, and feel very good. You can adjust speed, put in heating mode (gives a little heat) or change the direction in which the balls rotate. Also say that they change automatically, and every 15 min off. I highly recommend reading the warnings manual, as there are some that may not be obvious, but they are important, such as pregnant women can not use it, or you can not leave it charging, if not that when you go to use it when you have to connect it to light. To me I liked the product, and I recommend its purchase.</v>
      </c>
    </row>
    <row r="15432">
      <c r="A15432" s="1">
        <v>5.0</v>
      </c>
      <c r="B15432" s="1" t="s">
        <v>15292</v>
      </c>
      <c r="C15432" t="str">
        <f>IFERROR(__xludf.DUMMYFUNCTION("GOOGLETRANSLATE(B15432, ""es"", ""en"")"),"Everything ok fabric quality")</f>
        <v>Everything ok fabric quality</v>
      </c>
    </row>
    <row r="15433">
      <c r="A15433" s="1">
        <v>5.0</v>
      </c>
      <c r="B15433" s="1" t="s">
        <v>15293</v>
      </c>
      <c r="C15433" t="str">
        <f>IFERROR(__xludf.DUMMYFUNCTION("GOOGLETRANSLATE(B15433, ""es"", ""en"")"),"Well connected without any problems, about three meters and receives data very well. Happy with the price. Very fast shipping")</f>
        <v>Well connected without any problems, about three meters and receives data very well. Happy with the price. Very fast shipping</v>
      </c>
    </row>
    <row r="15434">
      <c r="A15434" s="1">
        <v>5.0</v>
      </c>
      <c r="B15434" s="1" t="s">
        <v>15294</v>
      </c>
      <c r="C15434" t="str">
        <f>IFERROR(__xludf.DUMMYFUNCTION("GOOGLETRANSLATE(B15434, ""es"", ""en"")"),"Product buy casio watch love it! is better than the picture, it looks great position and strap gives a perfect finish. The only but is that you have to read the instructions to set the time, but otherwise very happy!")</f>
        <v>Product buy casio watch love it! is better than the picture, it looks great position and strap gives a perfect finish. The only but is that you have to read the instructions to set the time, but otherwise very happy!</v>
      </c>
    </row>
    <row r="15435">
      <c r="A15435" s="1">
        <v>5.0</v>
      </c>
      <c r="B15435" s="1" t="s">
        <v>15295</v>
      </c>
      <c r="C15435" t="str">
        <f>IFERROR(__xludf.DUMMYFUNCTION("GOOGLETRANSLATE(B15435, ""es"", ""en"")"),"Comfort. I've been using them for several months. Perfect. I use it on two floors and is perfect. Cheap spares. It is not lost. The app works great. I hope the new multisite update maps.")</f>
        <v>Comfort. I've been using them for several months. Perfect. I use it on two floors and is perfect. Cheap spares. It is not lost. The app works great. I hope the new multisite update maps.</v>
      </c>
    </row>
    <row r="15436">
      <c r="A15436" s="1">
        <v>5.0</v>
      </c>
      <c r="B15436" s="1" t="s">
        <v>15296</v>
      </c>
      <c r="C15436" t="str">
        <f>IFERROR(__xludf.DUMMYFUNCTION("GOOGLETRANSLATE(B15436, ""es"", ""en"")"),"USB USB adapted for various outlets including mobile USB. For iPhone, TIPE C, USB and TIPE 2. With a capacity of 32 gigabytes. Happy with the product.")</f>
        <v>USB USB adapted for various outlets including mobile USB. For iPhone, TIPE C, USB and TIPE 2. With a capacity of 32 gigabytes. Happy with the product.</v>
      </c>
    </row>
    <row r="15437">
      <c r="A15437" s="1">
        <v>5.0</v>
      </c>
      <c r="B15437" s="1" t="s">
        <v>15297</v>
      </c>
      <c r="C15437" t="str">
        <f>IFERROR(__xludf.DUMMYFUNCTION("GOOGLETRANSLATE(B15437, ""es"", ""en"")"),"Freshens the house. Essential oils that come in a box with nice colors and decorated serving gift. I use them for an Echo humidifier few drops in water, more or less to taste, and so aromatized the room in which it is placed. The box has six boats each wi"&amp;"th an aroma so we have something for everyone.")</f>
        <v>Freshens the house. Essential oils that come in a box with nice colors and decorated serving gift. I use them for an Echo humidifier few drops in water, more or less to taste, and so aromatized the room in which it is placed. The box has six boats each with an aroma so we have something for everyone.</v>
      </c>
    </row>
    <row r="15438">
      <c r="A15438" s="1">
        <v>5.0</v>
      </c>
      <c r="B15438" s="1" t="s">
        <v>15298</v>
      </c>
      <c r="C15438" t="str">
        <f>IFERROR(__xludf.DUMMYFUNCTION("GOOGLETRANSLATE(B15438, ""es"", ""en"")"),"Good good microphone microphone homestudio. Sounds really good. Collect all frequencies and gives a bright tone of the voice.")</f>
        <v>Good good microphone microphone homestudio. Sounds really good. Collect all frequencies and gives a bright tone of the voice.</v>
      </c>
    </row>
    <row r="15439">
      <c r="A15439" s="1">
        <v>5.0</v>
      </c>
      <c r="B15439" s="1" t="s">
        <v>15299</v>
      </c>
      <c r="C15439" t="str">
        <f>IFERROR(__xludf.DUMMYFUNCTION("GOOGLETRANSLATE(B15439, ""es"", ""en"")"),"Beautiful ideal. Loved the gift")</f>
        <v>Beautiful ideal. Loved the gift</v>
      </c>
    </row>
    <row r="15440">
      <c r="A15440" s="1">
        <v>5.0</v>
      </c>
      <c r="B15440" s="1" t="s">
        <v>15300</v>
      </c>
      <c r="C15440" t="str">
        <f>IFERROR(__xludf.DUMMYFUNCTION("GOOGLETRANSLATE(B15440, ""es"", ""en"")"),"Lightweight, economical and practical, beautiful love it! light watch, pretty and practical. The only thing I like is that the hitch stay fixed and closed when you take it off, however opens whole when unhooked, I get the feeling q I disengage and lose, b"&amp;"ut it is economical compared to other stores physical where he had viewed.")</f>
        <v>Lightweight, economical and practical, beautiful love it! light watch, pretty and practical. The only thing I like is that the hitch stay fixed and closed when you take it off, however opens whole when unhooked, I get the feeling q I disengage and lose, but it is economical compared to other stores physical where he had viewed.</v>
      </c>
    </row>
    <row r="15441">
      <c r="A15441" s="1">
        <v>5.0</v>
      </c>
      <c r="B15441" s="1" t="s">
        <v>15301</v>
      </c>
      <c r="C15441" t="str">
        <f>IFERROR(__xludf.DUMMYFUNCTION("GOOGLETRANSLATE(B15441, ""es"", ""en"")"),"Ok my husband liked it")</f>
        <v>Ok my husband liked it</v>
      </c>
    </row>
    <row r="15442">
      <c r="A15442" s="1">
        <v>5.0</v>
      </c>
      <c r="B15442" s="1" t="s">
        <v>15302</v>
      </c>
      <c r="C15442" t="str">
        <f>IFERROR(__xludf.DUMMYFUNCTION("GOOGLETRANSLATE(B15442, ""es"", ""en"")"),"Massages that take you to heaven. That desire had released the massager, is composed of two motors with three types of balls whose rotation makes the massage is sensational. You can give more or less power or change the direction of rotation for those ann"&amp;"oying muscle aches disappear in a few minutes. In addition, the massager provides heat, which is a plus to relax the muscles. It is a wise choice to come adapter for the vehicle, and can become a great ally for those long trips. A success.")</f>
        <v>Massages that take you to heaven. That desire had released the massager, is composed of two motors with three types of balls whose rotation makes the massage is sensational. You can give more or less power or change the direction of rotation for those annoying muscle aches disappear in a few minutes. In addition, the massager provides heat, which is a plus to relax the muscles. It is a wise choice to come adapter for the vehicle, and can become a great ally for those long trips. A success.</v>
      </c>
    </row>
    <row r="15443">
      <c r="A15443" s="1">
        <v>5.0</v>
      </c>
      <c r="B15443" s="1" t="s">
        <v>15303</v>
      </c>
      <c r="C15443" t="str">
        <f>IFERROR(__xludf.DUMMYFUNCTION("GOOGLETRANSLATE(B15443, ""es"", ""en"")"),"Great Great, I figured they were going to be smaller but are rather large, my best. They are beautiful, I totally recommend it")</f>
        <v>Great Great, I figured they were going to be smaller but are rather large, my best. They are beautiful, I totally recommend it</v>
      </c>
    </row>
    <row r="15444">
      <c r="A15444" s="1">
        <v>2.0</v>
      </c>
      <c r="B15444" s="1" t="s">
        <v>15304</v>
      </c>
      <c r="C15444" t="str">
        <f>IFERROR(__xludf.DUMMYFUNCTION("GOOGLETRANSLATE(B15444, ""es"", ""en"")"),"Without quality and almost no price is shoddy but you can not ask for more for the money you have, my kids have loved and have bought more just in case.")</f>
        <v>Without quality and almost no price is shoddy but you can not ask for more for the money you have, my kids have loved and have bought more just in case.</v>
      </c>
    </row>
    <row r="15445">
      <c r="A15445" s="1">
        <v>3.0</v>
      </c>
      <c r="B15445" s="1" t="s">
        <v>15305</v>
      </c>
      <c r="C15445" t="str">
        <f>IFERROR(__xludf.DUMMYFUNCTION("GOOGLETRANSLATE(B15445, ""es"", ""en"")"),"The article went faulty but I realized quickly refund. A first use I broke the zipper, but without having to deal with anything made me a full refund of the purchase, so although the product was not as expected, the seller has acted correctly and trust in"&amp;" future purchases.")</f>
        <v>The article went faulty but I realized quickly refund. A first use I broke the zipper, but without having to deal with anything made me a full refund of the purchase, so although the product was not as expected, the seller has acted correctly and trust in future purchases.</v>
      </c>
    </row>
    <row r="15446">
      <c r="A15446" s="1">
        <v>3.0</v>
      </c>
      <c r="B15446" s="1" t="s">
        <v>15306</v>
      </c>
      <c r="C15446" t="str">
        <f>IFERROR(__xludf.DUMMYFUNCTION("GOOGLETRANSLATE(B15446, ""es"", ""en"")"),"My work half behringer think does not work well ... the main channel if it will not work but the instrument. I do not know if they do not do well but connect the guitar and shows no sign")</f>
        <v>My work half behringer think does not work well ... the main channel if it will not work but the instrument. I do not know if they do not do well but connect the guitar and shows no sign</v>
      </c>
    </row>
    <row r="15447">
      <c r="A15447" s="1">
        <v>1.0</v>
      </c>
      <c r="B15447" s="1" t="s">
        <v>15307</v>
      </c>
      <c r="C15447" t="str">
        <f>IFERROR(__xludf.DUMMYFUNCTION("GOOGLETRANSLATE(B15447, ""es"", ""en"")"),"It is a replica striking and nice watch. In the out of the box and I was struck by the fact that the belt looked very weak, I had more g shock and the others felt better and stronger. very poor lighting obscures the night time, automatic light does not wo"&amp;"rk. In short, aesthetically almost the same as the original, but it is a replica with the consequent loss of quality compared to the original.")</f>
        <v>It is a replica striking and nice watch. In the out of the box and I was struck by the fact that the belt looked very weak, I had more g shock and the others felt better and stronger. very poor lighting obscures the night time, automatic light does not work. In short, aesthetically almost the same as the original, but it is a replica with the consequent loss of quality compared to the original.</v>
      </c>
    </row>
    <row r="15448">
      <c r="A15448" s="1">
        <v>1.0</v>
      </c>
      <c r="B15448" s="1" t="s">
        <v>15308</v>
      </c>
      <c r="C15448" t="str">
        <f>IFERROR(__xludf.DUMMYFUNCTION("GOOGLETRANSLATE(B15448, ""es"", ""en"")"),"The poor quality of the fabric Nothing to do with photography. Cigarette paper, worse than if he had bought in Primar.")</f>
        <v>The poor quality of the fabric Nothing to do with photography. Cigarette paper, worse than if he had bought in Primar.</v>
      </c>
    </row>
    <row r="15449">
      <c r="A15449" s="1">
        <v>4.0</v>
      </c>
      <c r="B15449" s="1" t="s">
        <v>15309</v>
      </c>
      <c r="C15449" t="str">
        <f>IFERROR(__xludf.DUMMYFUNCTION("GOOGLETRANSLATE(B15449, ""es"", ""en"")"),"Good product is a good product, has a great finish, best of all is the read speed 300MB / s instead of writing is much lower in the order of 20-30MB / s.")</f>
        <v>Good product is a good product, has a great finish, best of all is the read speed 300MB / s instead of writing is much lower in the order of 20-30MB / s.</v>
      </c>
    </row>
    <row r="15450">
      <c r="A15450" s="1">
        <v>4.0</v>
      </c>
      <c r="B15450" s="1" t="s">
        <v>15310</v>
      </c>
      <c r="C15450" t="str">
        <f>IFERROR(__xludf.DUMMYFUNCTION("GOOGLETRANSLATE(B15450, ""es"", ""en"")"),"OK for sport After several weeks of use: (+): Length of the cable. Some will argue that it is too long and that this is not a positive, but in my case I'm tall suits me to avoid pulling on the cable to the move. Optimal sound for the use which is intended"&amp;". (-): I have used other headphones JVC with better quality cable and he rolled least these were silicone and think they are not. I recommend purchase. Value good.")</f>
        <v>OK for sport After several weeks of use: (+): Length of the cable. Some will argue that it is too long and that this is not a positive, but in my case I'm tall suits me to avoid pulling on the cable to the move. Optimal sound for the use which is intended. (-): I have used other headphones JVC with better quality cable and he rolled least these were silicone and think they are not. I recommend purchase. Value good.</v>
      </c>
    </row>
    <row r="15451">
      <c r="A15451" s="1">
        <v>4.0</v>
      </c>
      <c r="B15451" s="1" t="s">
        <v>15311</v>
      </c>
      <c r="C15451" t="str">
        <f>IFERROR(__xludf.DUMMYFUNCTION("GOOGLETRANSLATE(B15451, ""es"", ""en"")"),"Perefctio meets the needs we had, we have n i n g u n a b r e s or complaint about this product,")</f>
        <v>Perefctio meets the needs we had, we have n i n g u n a b r e s or complaint about this product,</v>
      </c>
    </row>
    <row r="15452">
      <c r="A15452" s="1">
        <v>4.0</v>
      </c>
      <c r="B15452" s="1" t="s">
        <v>15312</v>
      </c>
      <c r="C15452" t="str">
        <f>IFERROR(__xludf.DUMMYFUNCTION("GOOGLETRANSLATE(B15452, ""es"", ""en"")"),"Good bag for day to day for me is perfect. No quality complaint, a little heavy, but it's strong. Good buy at that price. On the aesthetic it is good and does not look cheap. About the size, fit a few things from day to day, you have interiors that give g"&amp;"ame separators.")</f>
        <v>Good bag for day to day for me is perfect. No quality complaint, a little heavy, but it's strong. Good buy at that price. On the aesthetic it is good and does not look cheap. About the size, fit a few things from day to day, you have interiors that give game separators.</v>
      </c>
    </row>
    <row r="15453">
      <c r="A15453" s="1">
        <v>5.0</v>
      </c>
      <c r="B15453" s="1" t="s">
        <v>15313</v>
      </c>
      <c r="C15453" t="str">
        <f>IFERROR(__xludf.DUMMYFUNCTION("GOOGLETRANSLATE(B15453, ""es"", ""en"")"),"Quality is seen backpack is very very cool. In addition she looks stylish and good quality. In time, I'll use it well after a full review. At the moment it looks good, I think it was a wise move.")</f>
        <v>Quality is seen backpack is very very cool. In addition she looks stylish and good quality. In time, I'll use it well after a full review. At the moment it looks good, I think it was a wise move.</v>
      </c>
    </row>
    <row r="15454">
      <c r="A15454" s="1">
        <v>5.0</v>
      </c>
      <c r="B15454" s="1" t="s">
        <v>15314</v>
      </c>
      <c r="C15454" t="str">
        <f>IFERROR(__xludf.DUMMYFUNCTION("GOOGLETRANSLATE(B15454, ""es"", ""en"")"),"Good microphone already had one of these and the truth is that they are very comfortable. To go travel and to sing with friends one evening this great. The speaker right and brings connectors for mobile and load. It syncs either through bluetooth and batt"&amp;"ery lasts long enough, let you can be using it all afternoon without problem. A good product and a very competitive price.")</f>
        <v>Good microphone already had one of these and the truth is that they are very comfortable. To go travel and to sing with friends one evening this great. The speaker right and brings connectors for mobile and load. It syncs either through bluetooth and battery lasts long enough, let you can be using it all afternoon without problem. A good product and a very competitive price.</v>
      </c>
    </row>
    <row r="15455">
      <c r="A15455" s="1">
        <v>5.0</v>
      </c>
      <c r="B15455" s="1" t="s">
        <v>15315</v>
      </c>
      <c r="C15455" t="str">
        <f>IFERROR(__xludf.DUMMYFUNCTION("GOOGLETRANSLATE(B15455, ""es"", ""en"")"),"Very well always spending. Krups original.")</f>
        <v>Very well always spending. Krups original.</v>
      </c>
    </row>
    <row r="15456">
      <c r="A15456" s="1">
        <v>5.0</v>
      </c>
      <c r="B15456" s="1" t="s">
        <v>15316</v>
      </c>
      <c r="C15456" t="str">
        <f>IFERROR(__xludf.DUMMYFUNCTION("GOOGLETRANSLATE(B15456, ""es"", ""en"")"),"GOOD Caldad / PRICE Very nice and very fast delivery. Now to see what results they give.")</f>
        <v>GOOD Caldad / PRICE Very nice and very fast delivery. Now to see what results they give.</v>
      </c>
    </row>
    <row r="15457">
      <c r="A15457" s="1">
        <v>5.0</v>
      </c>
      <c r="B15457" s="1" t="s">
        <v>15317</v>
      </c>
      <c r="C15457" t="str">
        <f>IFERROR(__xludf.DUMMYFUNCTION("GOOGLETRANSLATE(B15457, ""es"", ""en"")"),"Excellent headphones for money The sound is balanced and crisp. Perfect for any style of music. As for money meet good note.")</f>
        <v>Excellent headphones for money The sound is balanced and crisp. Perfect for any style of music. As for money meet good note.</v>
      </c>
    </row>
    <row r="15458">
      <c r="A15458" s="1">
        <v>5.0</v>
      </c>
      <c r="B15458" s="1" t="s">
        <v>15318</v>
      </c>
      <c r="C15458" t="str">
        <f>IFERROR(__xludf.DUMMYFUNCTION("GOOGLETRANSLATE(B15458, ""es"", ""en"")"),"My favorite kitchen appliance! I do not know how I could live without such a machine! It's super comfortable to use and the best part is how easy it is cleaned. 30 sec shakes (very sparkling) are made and takes 15 seconds to clean it, because there is onl"&amp;"y a small head to clean instead of jars with these large blades to the bottom. So now I'm making smoothies all day! It also serves to make cocktails and comes with a grinder for coffee, almonds, icing sugar ... and two glasses for smoothies. Incidentally "&amp;"also takes up very little storage space in summary accounts, it has become my favorite appliance! =)")</f>
        <v>My favorite kitchen appliance! I do not know how I could live without such a machine! It's super comfortable to use and the best part is how easy it is cleaned. 30 sec shakes (very sparkling) are made and takes 15 seconds to clean it, because there is only a small head to clean instead of jars with these large blades to the bottom. So now I'm making smoothies all day! It also serves to make cocktails and comes with a grinder for coffee, almonds, icing sugar ... and two glasses for smoothies. Incidentally also takes up very little storage space in summary accounts, it has become my favorite appliance! =)</v>
      </c>
    </row>
    <row r="15459">
      <c r="A15459" s="1">
        <v>5.0</v>
      </c>
      <c r="B15459" s="1" t="s">
        <v>15319</v>
      </c>
      <c r="C15459" t="str">
        <f>IFERROR(__xludf.DUMMYFUNCTION("GOOGLETRANSLATE(B15459, ""es"", ""en"")"),"So far, excellent !! I bought a one month peak and all well done. I recently bought another for good previous experience and time well ... If there is any change, failure or something wrong to consider, update my opinion.")</f>
        <v>So far, excellent !! I bought a one month peak and all well done. I recently bought another for good previous experience and time well ... If there is any change, failure or something wrong to consider, update my opinion.</v>
      </c>
    </row>
    <row r="15460">
      <c r="A15460" s="1">
        <v>5.0</v>
      </c>
      <c r="B15460" s="1" t="s">
        <v>15320</v>
      </c>
      <c r="C15460" t="str">
        <f>IFERROR(__xludf.DUMMYFUNCTION("GOOGLETRANSLATE(B15460, ""es"", ""en"")"),"The best bottles. Recommended as usual, fast and effective. The best bottles without a doubt")</f>
        <v>The best bottles. Recommended as usual, fast and effective. The best bottles without a doubt</v>
      </c>
    </row>
    <row r="15461">
      <c r="A15461" s="1">
        <v>5.0</v>
      </c>
      <c r="B15461" s="1" t="s">
        <v>15321</v>
      </c>
      <c r="C15461" t="str">
        <f>IFERROR(__xludf.DUMMYFUNCTION("GOOGLETRANSLATE(B15461, ""es"", ""en"")"),"Good buy is a little confusing to put on, but once you know how it goes, it's easy. It is very good and very collected cables")</f>
        <v>Good buy is a little confusing to put on, but once you know how it goes, it's easy. It is very good and very collected cables</v>
      </c>
    </row>
    <row r="15462">
      <c r="A15462" s="1">
        <v>5.0</v>
      </c>
      <c r="B15462" s="1" t="s">
        <v>15322</v>
      </c>
      <c r="C15462" t="str">
        <f>IFERROR(__xludf.DUMMYFUNCTION("GOOGLETRANSLATE(B15462, ""es"", ""en"")"),"Renato optimal product. simple and functional. the anti colic system seems to play out. I would choose it. certainly the simplest and useful biberon")</f>
        <v>Renato optimal product. simple and functional. the anti colic system seems to play out. I would choose it. certainly the simplest and useful biberon</v>
      </c>
    </row>
    <row r="15463">
      <c r="A15463" s="1">
        <v>5.0</v>
      </c>
      <c r="B15463" s="1" t="s">
        <v>15323</v>
      </c>
      <c r="C15463" t="str">
        <f>IFERROR(__xludf.DUMMYFUNCTION("GOOGLETRANSLATE(B15463, ""es"", ""en"")"),"Very good. Very happy with the purchase. boil water very fast. The usage is very simple: just put water, toggle on and let it do its job: a light flashes blue LED inside and when it has boiled the water is turns off and while the boiler automatically shut"&amp;"s down . I would buy.")</f>
        <v>Very good. Very happy with the purchase. boil water very fast. The usage is very simple: just put water, toggle on and let it do its job: a light flashes blue LED inside and when it has boiled the water is turns off and while the boiler automatically shuts down . I would buy.</v>
      </c>
    </row>
    <row r="15464">
      <c r="A15464" s="1">
        <v>5.0</v>
      </c>
      <c r="B15464" s="1" t="s">
        <v>15324</v>
      </c>
      <c r="C15464" t="str">
        <f>IFERROR(__xludf.DUMMYFUNCTION("GOOGLETRANSLATE(B15464, ""es"", ""en"")"),"It is what I sought guided by the reviews and took a number more than you normally use and great. I love.")</f>
        <v>It is what I sought guided by the reviews and took a number more than you normally use and great. I love.</v>
      </c>
    </row>
    <row r="15465">
      <c r="A15465" s="1">
        <v>5.0</v>
      </c>
      <c r="B15465" s="1" t="s">
        <v>15325</v>
      </c>
      <c r="C15465" t="str">
        <f>IFERROR(__xludf.DUMMYFUNCTION("GOOGLETRANSLATE(B15465, ""es"", ""en"")"),"Perfect for all amazing! Better than I expected")</f>
        <v>Perfect for all amazing! Better than I expected</v>
      </c>
    </row>
    <row r="15466">
      <c r="A15466" s="1">
        <v>5.0</v>
      </c>
      <c r="B15466" s="1" t="s">
        <v>15326</v>
      </c>
      <c r="C15466" t="str">
        <f>IFERROR(__xludf.DUMMYFUNCTION("GOOGLETRANSLATE(B15466, ""es"", ""en"")"),"Faber Castell game are all parts needed for primary, square, bevel, ruler and semicircle. They are good brand, Faber Castell green and strong, so they are not lost.")</f>
        <v>Faber Castell game are all parts needed for primary, square, bevel, ruler and semicircle. They are good brand, Faber Castell green and strong, so they are not lost.</v>
      </c>
    </row>
    <row r="15467">
      <c r="A15467" s="1">
        <v>5.0</v>
      </c>
      <c r="B15467" s="1" t="s">
        <v>15327</v>
      </c>
      <c r="C15467" t="str">
        <f>IFERROR(__xludf.DUMMYFUNCTION("GOOGLETRANSLATE(B15467, ""es"", ""en"")"),"Good buy is cute and works corretamente. Soothing tone to wake up,")</f>
        <v>Good buy is cute and works corretamente. Soothing tone to wake up,</v>
      </c>
    </row>
    <row r="15468">
      <c r="A15468" s="1">
        <v>5.0</v>
      </c>
      <c r="B15468" s="1" t="s">
        <v>15328</v>
      </c>
      <c r="C15468" t="str">
        <f>IFERROR(__xludf.DUMMYFUNCTION("GOOGLETRANSLATE(B15468, ""es"", ""en"")"),"Quality and comfort! So comfortable")</f>
        <v>Quality and comfort! So comfortable</v>
      </c>
    </row>
    <row r="15469">
      <c r="A15469" s="1">
        <v>5.0</v>
      </c>
      <c r="B15469" s="1" t="s">
        <v>15329</v>
      </c>
      <c r="C15469" t="str">
        <f>IFERROR(__xludf.DUMMYFUNCTION("GOOGLETRANSLATE(B15469, ""es"", ""en"")"),"Subject to perfection the best sports bra I have ever had, subject perfectly and looks great to me.")</f>
        <v>Subject to perfection the best sports bra I have ever had, subject perfectly and looks great to me.</v>
      </c>
    </row>
    <row r="15470">
      <c r="A15470" s="1">
        <v>5.0</v>
      </c>
      <c r="B15470" s="1" t="s">
        <v>15330</v>
      </c>
      <c r="C15470" t="str">
        <f>IFERROR(__xludf.DUMMYFUNCTION("GOOGLETRANSLATE(B15470, ""es"", ""en"")"),"Very nice shoes are beautiful, have a very nice color and skin are over. We have other equal but blue and cool.")</f>
        <v>Very nice shoes are beautiful, have a very nice color and skin are over. We have other equal but blue and cool.</v>
      </c>
    </row>
    <row r="15471">
      <c r="A15471" s="1">
        <v>5.0</v>
      </c>
      <c r="B15471" s="1" t="s">
        <v>15331</v>
      </c>
      <c r="C15471" t="str">
        <f>IFERROR(__xludf.DUMMYFUNCTION("GOOGLETRANSLATE(B15471, ""es"", ""en"")"),"A nice and original detail both for baby showers and baptisms were great for stuffed lacasitos")</f>
        <v>A nice and original detail both for baby showers and baptisms were great for stuffed lacasitos</v>
      </c>
    </row>
    <row r="15472">
      <c r="A15472" s="1">
        <v>2.0</v>
      </c>
      <c r="B15472" s="1" t="s">
        <v>15332</v>
      </c>
      <c r="C15472" t="str">
        <f>IFERROR(__xludf.DUMMYFUNCTION("GOOGLETRANSLATE(B15472, ""es"", ""en"")"),"Reaching tempo well. It is way too big for me")</f>
        <v>Reaching tempo well. It is way too big for me</v>
      </c>
    </row>
    <row r="15473">
      <c r="A15473" s="1">
        <v>3.0</v>
      </c>
      <c r="B15473" s="1" t="s">
        <v>15333</v>
      </c>
      <c r="C15473" t="str">
        <f>IFERROR(__xludf.DUMMYFUNCTION("GOOGLETRANSLATE(B15473, ""es"", ""en"")"),"That is the size you ask Dislike")</f>
        <v>That is the size you ask Dislike</v>
      </c>
    </row>
    <row r="15474">
      <c r="A15474" s="1">
        <v>1.0</v>
      </c>
      <c r="B15474" s="1" t="s">
        <v>15334</v>
      </c>
      <c r="C15474" t="str">
        <f>IFERROR(__xludf.DUMMYFUNCTION("GOOGLETRANSLATE(B15474, ""es"", ""en"")"),"He stopped working at the ... Wonderful couple of weeks the pair ... weeks of using it moderately and carefully at two weeks was discharged and returned to no longer be left to charge more. A shame because it is a good concept, but it does not work. And I"&amp;" imagine it's too late for refunds / changes ...")</f>
        <v>He stopped working at the ... Wonderful couple of weeks the pair ... weeks of using it moderately and carefully at two weeks was discharged and returned to no longer be left to charge more. A shame because it is a good concept, but it does not work. And I imagine it's too late for refunds / changes ...</v>
      </c>
    </row>
    <row r="15475">
      <c r="A15475" s="1">
        <v>1.0</v>
      </c>
      <c r="B15475" s="1" t="s">
        <v>15335</v>
      </c>
      <c r="C15475" t="str">
        <f>IFERROR(__xludf.DUMMYFUNCTION("GOOGLETRANSLATE(B15475, ""es"", ""en"")"),"I do not recommend wine used already some open, do not like and returned. With such bad luck that touched me. Odors removing one else not worth")</f>
        <v>I do not recommend wine used already some open, do not like and returned. With such bad luck that touched me. Odors removing one else not worth</v>
      </c>
    </row>
    <row r="15476">
      <c r="A15476" s="1">
        <v>4.0</v>
      </c>
      <c r="B15476" s="1" t="s">
        <v>15336</v>
      </c>
      <c r="C15476" t="str">
        <f>IFERROR(__xludf.DUMMYFUNCTION("GOOGLETRANSLATE(B15476, ""es"", ""en"")"),"Achiever! since I have the foamer I have not stopped using it, 2 times a day until 3. It works great and is practical. Try to improve the power button sometimes locks.")</f>
        <v>Achiever! since I have the foamer I have not stopped using it, 2 times a day until 3. It works great and is practical. Try to improve the power button sometimes locks.</v>
      </c>
    </row>
    <row r="15477">
      <c r="A15477" s="1">
        <v>4.0</v>
      </c>
      <c r="B15477" s="1" t="s">
        <v>15337</v>
      </c>
      <c r="C15477" t="str">
        <f>IFERROR(__xludf.DUMMYFUNCTION("GOOGLETRANSLATE(B15477, ""es"", ""en"")"),"classic staples for years and years are staples stapling aluminum if you will try many pages stapled bend .. so rest easy going and brings perfect staples to be bored")</f>
        <v>classic staples for years and years are staples stapling aluminum if you will try many pages stapled bend .. so rest easy going and brings perfect staples to be bored</v>
      </c>
    </row>
    <row r="15478">
      <c r="A15478" s="1">
        <v>4.0</v>
      </c>
      <c r="B15478" s="1" t="s">
        <v>15338</v>
      </c>
      <c r="C15478" t="str">
        <f>IFERROR(__xludf.DUMMYFUNCTION("GOOGLETRANSLATE(B15478, ""es"", ""en"")"),"Value for money right Does the job well, in my opinion the crushing, whipping rod is very weak compared to the other arm have not tried it yet.")</f>
        <v>Value for money right Does the job well, in my opinion the crushing, whipping rod is very weak compared to the other arm have not tried it yet.</v>
      </c>
    </row>
    <row r="15479">
      <c r="A15479" s="1">
        <v>4.0</v>
      </c>
      <c r="B15479" s="1" t="s">
        <v>15339</v>
      </c>
      <c r="C15479" t="str">
        <f>IFERROR(__xludf.DUMMYFUNCTION("GOOGLETRANSLATE(B15479, ""es"", ""en"")"),"Good price / capacity / speed speed Well, as many people indicated, is not his forte but the ability for the price added to that (not the most) remains an SSD, okay. I have installed on a laptop that only brings Chuwi Herobook EMMC5 64GB. And it improved,"&amp;" not crazy but if it shows. So, if you want capacity at a price demure with speeds of SSD, it is a good choice if Once you get to 32 euros. I would not pay more than that.")</f>
        <v>Good price / capacity / speed speed Well, as many people indicated, is not his forte but the ability for the price added to that (not the most) remains an SSD, okay. I have installed on a laptop that only brings Chuwi Herobook EMMC5 64GB. And it improved, not crazy but if it shows. So, if you want capacity at a price demure with speeds of SSD, it is a good choice if Once you get to 32 euros. I would not pay more than that.</v>
      </c>
    </row>
    <row r="15480">
      <c r="A15480" s="1">
        <v>4.0</v>
      </c>
      <c r="B15480" s="1" t="s">
        <v>15340</v>
      </c>
      <c r="C15480" t="str">
        <f>IFERROR(__xludf.DUMMYFUNCTION("GOOGLETRANSLATE(B15480, ""es"", ""en"")"),"It works great quality great price !! the product works well and money is the best I've found is my ok ok")</f>
        <v>It works great quality great price !! the product works well and money is the best I've found is my ok ok</v>
      </c>
    </row>
    <row r="15481">
      <c r="A15481" s="1">
        <v>5.0</v>
      </c>
      <c r="B15481" s="1" t="s">
        <v>15341</v>
      </c>
      <c r="C15481" t="str">
        <f>IFERROR(__xludf.DUMMYFUNCTION("GOOGLETRANSLATE(B15481, ""es"", ""en"")"),"Excellent product I find a very comfortable shoes. Great moment. Aesthetically it is also nice.")</f>
        <v>Excellent product I find a very comfortable shoes. Great moment. Aesthetically it is also nice.</v>
      </c>
    </row>
    <row r="15482">
      <c r="A15482" s="1">
        <v>5.0</v>
      </c>
      <c r="B15482" s="1" t="s">
        <v>15342</v>
      </c>
      <c r="C15482" t="str">
        <f>IFERROR(__xludf.DUMMYFUNCTION("GOOGLETRANSLATE(B15482, ""es"", ""en"")"),"zippered pouch pens and erasers")</f>
        <v>zippered pouch pens and erasers</v>
      </c>
    </row>
    <row r="15483">
      <c r="A15483" s="1">
        <v>5.0</v>
      </c>
      <c r="B15483" s="1" t="s">
        <v>15343</v>
      </c>
      <c r="C15483" t="str">
        <f>IFERROR(__xludf.DUMMYFUNCTION("GOOGLETRANSLATE(B15483, ""es"", ""en"")"),"It works well good sound quality on. Recording with my Canon EOS 5D MK2 NEED ADAPTER RODE SC3 SIMILAR OR desenpaquetar nothing else, tie bracket broke, it is a piece of plastic with a clip. care is very delicate")</f>
        <v>It works well good sound quality on. Recording with my Canon EOS 5D MK2 NEED ADAPTER RODE SC3 SIMILAR OR desenpaquetar nothing else, tie bracket broke, it is a piece of plastic with a clip. care is very delicate</v>
      </c>
    </row>
    <row r="15484">
      <c r="A15484" s="1">
        <v>5.0</v>
      </c>
      <c r="B15484" s="1" t="s">
        <v>15344</v>
      </c>
      <c r="C15484" t="str">
        <f>IFERROR(__xludf.DUMMYFUNCTION("GOOGLETRANSLATE(B15484, ""es"", ""en"")"),"Craftsmanship and quality are worth the money paid. Lovely as described in the announcement and looks great.")</f>
        <v>Craftsmanship and quality are worth the money paid. Lovely as described in the announcement and looks great.</v>
      </c>
    </row>
    <row r="15485">
      <c r="A15485" s="1">
        <v>5.0</v>
      </c>
      <c r="B15485" s="1" t="s">
        <v>15345</v>
      </c>
      <c r="C15485" t="str">
        <f>IFERROR(__xludf.DUMMYFUNCTION("GOOGLETRANSLATE(B15485, ""es"", ""en"")"),"Excellent, as it is in the picture, good quality and very fast, pedi and the next day I was at home.")</f>
        <v>Excellent, as it is in the picture, good quality and very fast, pedi and the next day I was at home.</v>
      </c>
    </row>
    <row r="15486">
      <c r="A15486" s="1">
        <v>5.0</v>
      </c>
      <c r="B15486" s="1" t="s">
        <v>15346</v>
      </c>
      <c r="C15486" t="str">
        <f>IFERROR(__xludf.DUMMYFUNCTION("GOOGLETRANSLATE(B15486, ""es"", ""en"")"),"Charmed! If you put a 10've to put a downside it is the size ... I have a little small, but I expected from the description. Great delas quality fabrics and zippers. I use it daily and working, I have thrown all day for the car and the office, he has rain"&amp;"ed over and it's not a drop. not hooked me once zipper and that always took more crowded than I should. 10!")</f>
        <v>Charmed! If you put a 10've to put a downside it is the size ... I have a little small, but I expected from the description. Great delas quality fabrics and zippers. I use it daily and working, I have thrown all day for the car and the office, he has rained over and it's not a drop. not hooked me once zipper and that always took more crowded than I should. 10!</v>
      </c>
    </row>
    <row r="15487">
      <c r="A15487" s="1">
        <v>5.0</v>
      </c>
      <c r="B15487" s="1" t="s">
        <v>15347</v>
      </c>
      <c r="C15487" t="str">
        <f>IFERROR(__xludf.DUMMYFUNCTION("GOOGLETRANSLATE(B15487, ""es"", ""en"")"),"I recommend very cool, very comfortable")</f>
        <v>I recommend very cool, very comfortable</v>
      </c>
    </row>
    <row r="15488">
      <c r="A15488" s="1">
        <v>5.0</v>
      </c>
      <c r="B15488" s="1" t="s">
        <v>15348</v>
      </c>
      <c r="C15488" t="str">
        <f>IFERROR(__xludf.DUMMYFUNCTION("GOOGLETRANSLATE(B15488, ""es"", ""en"")"),"Helmets with microphone establishing quite good and have good quality. The only thing that you many hours with them in the ears ears hurt.")</f>
        <v>Helmets with microphone establishing quite good and have good quality. The only thing that you many hours with them in the ears ears hurt.</v>
      </c>
    </row>
    <row r="15489">
      <c r="A15489" s="1">
        <v>5.0</v>
      </c>
      <c r="B15489" s="1" t="s">
        <v>15349</v>
      </c>
      <c r="C15489" t="str">
        <f>IFERROR(__xludf.DUMMYFUNCTION("GOOGLETRANSLATE(B15489, ""es"", ""en"")"),"good tools variety of instruments")</f>
        <v>good tools variety of instruments</v>
      </c>
    </row>
    <row r="15490">
      <c r="A15490" s="1">
        <v>5.0</v>
      </c>
      <c r="B15490" s="1" t="s">
        <v>15350</v>
      </c>
      <c r="C15490" t="str">
        <f>IFERROR(__xludf.DUMMYFUNCTION("GOOGLETRANSLATE(B15490, ""es"", ""en"")"),"Good value for money sweatpants very good quality. I bought attracted by the price they had and have not disappointed you. They feel very well and are comfortable positions. Buy recommended.")</f>
        <v>Good value for money sweatpants very good quality. I bought attracted by the price they had and have not disappointed you. They feel very well and are comfortable positions. Buy recommended.</v>
      </c>
    </row>
    <row r="15491">
      <c r="A15491" s="1">
        <v>5.0</v>
      </c>
      <c r="B15491" s="1" t="s">
        <v>15351</v>
      </c>
      <c r="C15491" t="str">
        <f>IFERROR(__xludf.DUMMYFUNCTION("GOOGLETRANSLATE(B15491, ""es"", ""en"")"),"Perfect for guides and shows A friend was looking for one to improve the tools at performing a street show. I saw the product and decided to buy it to give it. It has been completely satisfied. It works perfectly with high sound quality and also high volu"&amp;"me. Now you will not have any trouble hearing you all your audience and people who pass around. Product fully recommended.")</f>
        <v>Perfect for guides and shows A friend was looking for one to improve the tools at performing a street show. I saw the product and decided to buy it to give it. It has been completely satisfied. It works perfectly with high sound quality and also high volume. Now you will not have any trouble hearing you all your audience and people who pass around. Product fully recommended.</v>
      </c>
    </row>
    <row r="15492">
      <c r="A15492" s="1">
        <v>5.0</v>
      </c>
      <c r="B15492" s="1" t="s">
        <v>15352</v>
      </c>
      <c r="C15492" t="str">
        <f>IFERROR(__xludf.DUMMYFUNCTION("GOOGLETRANSLATE(B15492, ""es"", ""en"")"),"Light and good quality is very manageable, it is all for the size you have and the fabric is very good quality, perfect.")</f>
        <v>Light and good quality is very manageable, it is all for the size you have and the fabric is very good quality, perfect.</v>
      </c>
    </row>
    <row r="15493">
      <c r="A15493" s="1">
        <v>5.0</v>
      </c>
      <c r="B15493" s="1" t="s">
        <v>15353</v>
      </c>
      <c r="C15493" t="str">
        <f>IFERROR(__xludf.DUMMYFUNCTION("GOOGLETRANSLATE(B15493, ""es"", ""en"")"),"GREAT SUCCESS! I gave her a Dodow for Christmas, and though the device itself is simple, easily meets its purpose. His light and His system makes sync your breathing with it and help you sleep. RECOMMENDABLE!")</f>
        <v>GREAT SUCCESS! I gave her a Dodow for Christmas, and though the device itself is simple, easily meets its purpose. His light and His system makes sync your breathing with it and help you sleep. RECOMMENDABLE!</v>
      </c>
    </row>
    <row r="15494">
      <c r="A15494" s="1">
        <v>5.0</v>
      </c>
      <c r="B15494" s="1" t="s">
        <v>15354</v>
      </c>
      <c r="C15494" t="str">
        <f>IFERROR(__xludf.DUMMYFUNCTION("GOOGLETRANSLATE(B15494, ""es"", ""en"")"),"Las.compre comfortable for my partner and takes a few days to cool them and says they are easy to put")</f>
        <v>Las.compre comfortable for my partner and takes a few days to cool them and says they are easy to put</v>
      </c>
    </row>
    <row r="15495">
      <c r="A15495" s="1">
        <v>5.0</v>
      </c>
      <c r="B15495" s="1" t="s">
        <v>15355</v>
      </c>
      <c r="C15495" t="str">
        <f>IFERROR(__xludf.DUMMYFUNCTION("GOOGLETRANSLATE(B15495, ""es"", ""en"")"),"Perfect for travel or if you do not have too much space in the kitchen, in the office, etc. Tiny and very practical.")</f>
        <v>Perfect for travel or if you do not have too much space in the kitchen, in the office, etc. Tiny and very practical.</v>
      </c>
    </row>
    <row r="15496">
      <c r="A15496" s="1">
        <v>5.0</v>
      </c>
      <c r="B15496" s="1" t="s">
        <v>15356</v>
      </c>
      <c r="C15496" t="str">
        <f>IFERROR(__xludf.DUMMYFUNCTION("GOOGLETRANSLATE(B15496, ""es"", ""en"")"),"Fulfills its function Good antipop, grips well to the base of the yeti of blue to use, good size for the microphone that I use and it seems quite sturdy.")</f>
        <v>Fulfills its function Good antipop, grips well to the base of the yeti of blue to use, good size for the microphone that I use and it seems quite sturdy.</v>
      </c>
    </row>
    <row r="15497">
      <c r="A15497" s="1">
        <v>5.0</v>
      </c>
      <c r="B15497" s="1" t="s">
        <v>15357</v>
      </c>
      <c r="C15497" t="str">
        <f>IFERROR(__xludf.DUMMYFUNCTION("GOOGLETRANSLATE(B15497, ""es"", ""en"")"),"Great My daughter is delighted with them")</f>
        <v>Great My daughter is delighted with them</v>
      </c>
    </row>
    <row r="15498">
      <c r="A15498" s="1">
        <v>5.0</v>
      </c>
      <c r="B15498" s="1" t="s">
        <v>15358</v>
      </c>
      <c r="C15498" t="str">
        <f>IFERROR(__xludf.DUMMYFUNCTION("GOOGLETRANSLATE(B15498, ""es"", ""en"")"),"Great thrilled! I've already tried and pretty well, foldable and fits perfectly where I practice the bide! I think that few can fit or get the right tray on top of a bide. Happy with the purchase, delivery and very attentive seller. I missed the rubber dr"&amp;"ain water and 48 hours and sent me home. Thank you")</f>
        <v>Great thrilled! I've already tried and pretty well, foldable and fits perfectly where I practice the bide! I think that few can fit or get the right tray on top of a bide. Happy with the purchase, delivery and very attentive seller. I missed the rubber drain water and 48 hours and sent me home. Thank you</v>
      </c>
    </row>
    <row r="15499">
      <c r="A15499" s="1">
        <v>5.0</v>
      </c>
      <c r="B15499" s="1" t="s">
        <v>15359</v>
      </c>
      <c r="C15499" t="str">
        <f>IFERROR(__xludf.DUMMYFUNCTION("GOOGLETRANSLATE(B15499, ""es"", ""en"")"),"It fits the description I liked everything is super nice and just like in the picture")</f>
        <v>It fits the description I liked everything is super nice and just like in the picture</v>
      </c>
    </row>
    <row r="15500">
      <c r="A15500" s="1">
        <v>2.0</v>
      </c>
      <c r="B15500" s="1" t="s">
        <v>15360</v>
      </c>
      <c r="C15500" t="str">
        <f>IFERROR(__xludf.DUMMYFUNCTION("GOOGLETRANSLATE(B15500, ""es"", ""en"")"),"The nice watch, applications crap. Movescount.com site is not encrypted the clock I like, even if I am considering it back or not as follows. The problem is that the web page after login, do not encrypt the information it sends and receives. personal info"&amp;"rmation such as birth date, e-mail, weight, height. Your locations and routes. This appears to be a violation of GDPR, and frankly I find it unacceptable for a European company. To set the clock from the app, or yes must make an account and use it. For no"&amp;"w I have no connection to the world except notifications of the phone, who are still happily running applications.")</f>
        <v>The nice watch, applications crap. Movescount.com site is not encrypted the clock I like, even if I am considering it back or not as follows. The problem is that the web page after login, do not encrypt the information it sends and receives. personal information such as birth date, e-mail, weight, height. Your locations and routes. This appears to be a violation of GDPR, and frankly I find it unacceptable for a European company. To set the clock from the app, or yes must make an account and use it. For now I have no connection to the world except notifications of the phone, who are still happily running applications.</v>
      </c>
    </row>
    <row r="15501">
      <c r="A15501" s="1">
        <v>3.0</v>
      </c>
      <c r="B15501" s="1" t="s">
        <v>15361</v>
      </c>
      <c r="C15501" t="str">
        <f>IFERROR(__xludf.DUMMYFUNCTION("GOOGLETRANSLATE(B15501, ""es"", ""en"")"),"Well ... they are too fair ...")</f>
        <v>Well ... they are too fair ...</v>
      </c>
    </row>
    <row r="15502">
      <c r="A15502" s="1">
        <v>3.0</v>
      </c>
      <c r="B15502" s="1" t="s">
        <v>15362</v>
      </c>
      <c r="C15502" t="str">
        <f>IFERROR(__xludf.DUMMYFUNCTION("GOOGLETRANSLATE(B15502, ""es"", ""en"")"),"rather small size. The sweatshirt is very nice and the quality is consistent with its price. I have already bought more things of this brand and I really do not go bad. The downside that I see is that this sweatshirt is very very small and it is quite sho"&amp;"rt. I using L I usually had to ask for an XXL and still is somewhat fair. To say that the pattern is very pretty and looks good start.")</f>
        <v>rather small size. The sweatshirt is very nice and the quality is consistent with its price. I have already bought more things of this brand and I really do not go bad. The downside that I see is that this sweatshirt is very very small and it is quite short. I using L I usually had to ask for an XXL and still is somewhat fair. To say that the pattern is very pretty and looks good start.</v>
      </c>
    </row>
    <row r="15503">
      <c r="A15503" s="1">
        <v>1.0</v>
      </c>
      <c r="B15503" s="1" t="s">
        <v>15363</v>
      </c>
      <c r="C15503" t="str">
        <f>IFERROR(__xludf.DUMMYFUNCTION("GOOGLETRANSLATE(B15503, ""es"", ""en"")"),"DECEPCION Engaña much ... photo is miniscule clock had an unpleasant surprise on opening the package ... it costs the return is not worth nor devolverlo..se I gave it to my daughter")</f>
        <v>DECEPCION Engaña much ... photo is miniscule clock had an unpleasant surprise on opening the package ... it costs the return is not worth nor devolverlo..se I gave it to my daughter</v>
      </c>
    </row>
    <row r="15504">
      <c r="A15504" s="1">
        <v>1.0</v>
      </c>
      <c r="B15504" s="1" t="s">
        <v>15364</v>
      </c>
      <c r="C15504" t="str">
        <f>IFERROR(__xludf.DUMMYFUNCTION("GOOGLETRANSLATE(B15504, ""es"", ""en"")"),"It not recommended The sound quality is not acceptable even for a low price. Two yogurts better hear thread.")</f>
        <v>It not recommended The sound quality is not acceptable even for a low price. Two yogurts better hear thread.</v>
      </c>
    </row>
    <row r="15505">
      <c r="A15505" s="1">
        <v>1.0</v>
      </c>
      <c r="B15505" s="1" t="s">
        <v>15365</v>
      </c>
      <c r="C15505" t="str">
        <f>IFERROR(__xludf.DUMMYFUNCTION("GOOGLETRANSLATE(B15505, ""es"", ""en"")"),"No smell smells super little")</f>
        <v>No smell smells super little</v>
      </c>
    </row>
    <row r="15506">
      <c r="A15506" s="1">
        <v>4.0</v>
      </c>
      <c r="B15506" s="1" t="s">
        <v>15366</v>
      </c>
      <c r="C15506" t="str">
        <f>IFERROR(__xludf.DUMMYFUNCTION("GOOGLETRANSLATE(B15506, ""es"", ""en"")"),"Clock and watch good price cadet size, perfect for children and women if they like medium / small. 38 mm in diameter include crown. Very good quality finish both cash and above the belt. Very satisfied with the purchase")</f>
        <v>Clock and watch good price cadet size, perfect for children and women if they like medium / small. 38 mm in diameter include crown. Very good quality finish both cash and above the belt. Very satisfied with the purchase</v>
      </c>
    </row>
    <row r="15507">
      <c r="A15507" s="1">
        <v>4.0</v>
      </c>
      <c r="B15507" s="1" t="s">
        <v>15367</v>
      </c>
      <c r="C15507" t="str">
        <f>IFERROR(__xludf.DUMMYFUNCTION("GOOGLETRANSLATE(B15507, ""es"", ""en"")"),"Good shoe good value for money. The only drawback is the outer leather is rough and the photo looks smooth. But otherwise good shoe.")</f>
        <v>Good shoe good value for money. The only drawback is the outer leather is rough and the photo looks smooth. But otherwise good shoe.</v>
      </c>
    </row>
    <row r="15508">
      <c r="A15508" s="1">
        <v>4.0</v>
      </c>
      <c r="B15508" s="1" t="s">
        <v>15368</v>
      </c>
      <c r="C15508" t="str">
        <f>IFERROR(__xludf.DUMMYFUNCTION("GOOGLETRANSLATE(B15508, ""es"", ""en"")"),"Such angels which the photo, the only downside is too big for my wrist, a penalty can not be regulated ... but it does what you see in the picture")</f>
        <v>Such angels which the photo, the only downside is too big for my wrist, a penalty can not be regulated ... but it does what you see in the picture</v>
      </c>
    </row>
    <row r="15509">
      <c r="A15509" s="1">
        <v>4.0</v>
      </c>
      <c r="B15509" s="1" t="s">
        <v>15369</v>
      </c>
      <c r="C15509" t="str">
        <f>IFERROR(__xludf.DUMMYFUNCTION("GOOGLETRANSLATE(B15509, ""es"", ""en"")"),"Good buy tracksuit is very nice quality is good, just it left me just pants and a short tad But overall I recommend")</f>
        <v>Good buy tracksuit is very nice quality is good, just it left me just pants and a short tad But overall I recommend</v>
      </c>
    </row>
    <row r="15510">
      <c r="A15510" s="1">
        <v>4.0</v>
      </c>
      <c r="B15510" s="1" t="s">
        <v>15370</v>
      </c>
      <c r="C15510" t="str">
        <f>IFERROR(__xludf.DUMMYFUNCTION("GOOGLETRANSLATE(B15510, ""es"", ""en"")"),"Good and cheap is what I bought. It is basic but meets my needs.")</f>
        <v>Good and cheap is what I bought. It is basic but meets my needs.</v>
      </c>
    </row>
    <row r="15511">
      <c r="A15511" s="1">
        <v>5.0</v>
      </c>
      <c r="B15511" s="1" t="s">
        <v>15371</v>
      </c>
      <c r="C15511" t="str">
        <f>IFERROR(__xludf.DUMMYFUNCTION("GOOGLETRANSLATE(B15511, ""es"", ""en"")"),". They are lightweight, comfortable and calentitas.")</f>
        <v>. They are lightweight, comfortable and calentitas.</v>
      </c>
    </row>
    <row r="15512">
      <c r="A15512" s="1">
        <v>5.0</v>
      </c>
      <c r="B15512" s="1" t="s">
        <v>15372</v>
      </c>
      <c r="C15512" t="str">
        <f>IFERROR(__xludf.DUMMYFUNCTION("GOOGLETRANSLATE(B15512, ""es"", ""en"")"),"Impressive clock best you can be, practical, functional, durable, how old. Great for swimming and shower. I can not ask for more.")</f>
        <v>Impressive clock best you can be, practical, functional, durable, how old. Great for swimming and shower. I can not ask for more.</v>
      </c>
    </row>
    <row r="15513">
      <c r="A15513" s="1">
        <v>5.0</v>
      </c>
      <c r="B15513" s="1" t="s">
        <v>15373</v>
      </c>
      <c r="C15513" t="str">
        <f>IFERROR(__xludf.DUMMYFUNCTION("GOOGLETRANSLATE(B15513, ""es"", ""en"")"),"Size and speed. X99 mounted on a plate and gives the speeds promised came from a sata ssd 3 and is not it a great improvement but it is promised by the manufacturer.")</f>
        <v>Size and speed. X99 mounted on a plate and gives the speeds promised came from a sata ssd 3 and is not it a great improvement but it is promised by the manufacturer.</v>
      </c>
    </row>
    <row r="15514">
      <c r="A15514" s="1">
        <v>5.0</v>
      </c>
      <c r="B15514" s="1" t="s">
        <v>15374</v>
      </c>
      <c r="C15514" t="str">
        <f>IFERROR(__xludf.DUMMYFUNCTION("GOOGLETRANSLATE(B15514, ""es"", ""en"")"),"function makes it well okay price shipping its function well ahead of schedule and to recommend the seller also")</f>
        <v>function makes it well okay price shipping its function well ahead of schedule and to recommend the seller also</v>
      </c>
    </row>
    <row r="15515">
      <c r="A15515" s="1">
        <v>5.0</v>
      </c>
      <c r="B15515" s="1" t="s">
        <v>15375</v>
      </c>
      <c r="C15515" t="str">
        <f>IFERROR(__xludf.DUMMYFUNCTION("GOOGLETRANSLATE(B15515, ""es"", ""en"")"),"Perfect are perfect, carry two bottles with caps. And the nipple is 2 holes. My baby has gotten used to them very well from the chest.")</f>
        <v>Perfect are perfect, carry two bottles with caps. And the nipple is 2 holes. My baby has gotten used to them very well from the chest.</v>
      </c>
    </row>
    <row r="15516">
      <c r="A15516" s="1">
        <v>5.0</v>
      </c>
      <c r="B15516" s="1" t="s">
        <v>15376</v>
      </c>
      <c r="C15516" t="str">
        <f>IFERROR(__xludf.DUMMYFUNCTION("GOOGLETRANSLATE(B15516, ""es"", ""en"")"),"Very good article I liked the size, and belt, plus zippers are phenomenal. Uses my son to take the phone, keys, ...")</f>
        <v>Very good article I liked the size, and belt, plus zippers are phenomenal. Uses my son to take the phone, keys, ...</v>
      </c>
    </row>
    <row r="15517">
      <c r="A15517" s="1">
        <v>5.0</v>
      </c>
      <c r="B15517" s="1" t="s">
        <v>15377</v>
      </c>
      <c r="C15517" t="str">
        <f>IFERROR(__xludf.DUMMYFUNCTION("GOOGLETRANSLATE(B15517, ""es"", ""en"")"),"Fulfills its function ... It works well, to see how much hold. Very useful torsion system to wring the mop.")</f>
        <v>Fulfills its function ... It works well, to see how much hold. Very useful torsion system to wring the mop.</v>
      </c>
    </row>
    <row r="15518">
      <c r="A15518" s="1">
        <v>5.0</v>
      </c>
      <c r="B15518" s="1" t="s">
        <v>15378</v>
      </c>
      <c r="C15518" t="str">
        <f>IFERROR(__xludf.DUMMYFUNCTION("GOOGLETRANSLATE(B15518, ""es"", ""en"")"),"Meets expectations I liked, it is small but sturdy")</f>
        <v>Meets expectations I liked, it is small but sturdy</v>
      </c>
    </row>
    <row r="15519">
      <c r="A15519" s="1">
        <v>5.0</v>
      </c>
      <c r="B15519" s="1" t="s">
        <v>15379</v>
      </c>
      <c r="C15519" t="str">
        <f>IFERROR(__xludf.DUMMYFUNCTION("GOOGLETRANSLATE(B15519, ""es"", ""en"")"),"/ Value + Great Product")</f>
        <v>/ Value + Great Product</v>
      </c>
    </row>
    <row r="15520">
      <c r="A15520" s="1">
        <v>5.0</v>
      </c>
      <c r="B15520" s="1" t="s">
        <v>15380</v>
      </c>
      <c r="C15520" t="str">
        <f>IFERROR(__xludf.DUMMYFUNCTION("GOOGLETRANSLATE(B15520, ""es"", ""en"")"),"Good buy are perfect, no silicone and slips colors are beautiful")</f>
        <v>Good buy are perfect, no silicone and slips colors are beautiful</v>
      </c>
    </row>
    <row r="15521">
      <c r="A15521" s="1">
        <v>5.0</v>
      </c>
      <c r="B15521" s="1" t="s">
        <v>15381</v>
      </c>
      <c r="C15521" t="str">
        <f>IFERROR(__xludf.DUMMYFUNCTION("GOOGLETRANSLATE(B15521, ""es"", ""en"")"),"Okay for the price it is more than enough. A erasing sometimes remains stand. It's not super great but more than acceptable.")</f>
        <v>Okay for the price it is more than enough. A erasing sometimes remains stand. It's not super great but more than acceptable.</v>
      </c>
    </row>
    <row r="15522">
      <c r="A15522" s="1">
        <v>5.0</v>
      </c>
      <c r="B15522" s="1" t="s">
        <v>15382</v>
      </c>
      <c r="C15522" t="str">
        <f>IFERROR(__xludf.DUMMYFUNCTION("GOOGLETRANSLATE(B15522, ""es"", ""en"")"),"It good quality tape tape very good quality, it is not everything but the silent ""chilla"" as usual and when you make a move you thank a lot")</f>
        <v>It good quality tape tape very good quality, it is not everything but the silent "chilla" as usual and when you make a move you thank a lot</v>
      </c>
    </row>
    <row r="15523">
      <c r="A15523" s="1">
        <v>5.0</v>
      </c>
      <c r="B15523" s="1" t="s">
        <v>15383</v>
      </c>
      <c r="C15523" t="str">
        <f>IFERROR(__xludf.DUMMYFUNCTION("GOOGLETRANSLATE(B15523, ""es"", ""en"")"),"Buenísimo is heard a little, but it's fantastic")</f>
        <v>Buenísimo is heard a little, but it's fantastic</v>
      </c>
    </row>
    <row r="15524">
      <c r="A15524" s="1">
        <v>5.0</v>
      </c>
      <c r="B15524" s="1" t="s">
        <v>15384</v>
      </c>
      <c r="C15524" t="str">
        <f>IFERROR(__xludf.DUMMYFUNCTION("GOOGLETRANSLATE(B15524, ""es"", ""en"")"),"Hard disk solid a find !! Install this solid disc on a Asus with a good processor I have and this does not run, fly !! Installation recommend keeping the old hard drive on a Candy in the place where the CD is because the mechanical hard drives hold inform"&amp;"ation recorded much better (it is more difficult to lose)")</f>
        <v>Hard disk solid a find !! Install this solid disc on a Asus with a good processor I have and this does not run, fly !! Installation recommend keeping the old hard drive on a Candy in the place where the CD is because the mechanical hard drives hold information recorded much better (it is more difficult to lose)</v>
      </c>
    </row>
    <row r="15525">
      <c r="A15525" s="1">
        <v>5.0</v>
      </c>
      <c r="B15525" s="1" t="s">
        <v>15385</v>
      </c>
      <c r="C15525" t="str">
        <f>IFERROR(__xludf.DUMMYFUNCTION("GOOGLETRANSLATE(B15525, ""es"", ""en"")"),"Very comfortable. For professional work.")</f>
        <v>Very comfortable. For professional work.</v>
      </c>
    </row>
    <row r="15526">
      <c r="A15526" s="1">
        <v>5.0</v>
      </c>
      <c r="B15526" s="1" t="s">
        <v>15386</v>
      </c>
      <c r="C15526" t="str">
        <f>IFERROR(__xludf.DUMMYFUNCTION("GOOGLETRANSLATE(B15526, ""es"", ""en"")"),"Perfect is a perfect product for the quality of the product and price are very comfortable weigh nothing also have them in plenty of colors and are a shoe that can perfectly wear every day because they are robust")</f>
        <v>Perfect is a perfect product for the quality of the product and price are very comfortable weigh nothing also have them in plenty of colors and are a shoe that can perfectly wear every day because they are robust</v>
      </c>
    </row>
    <row r="15527">
      <c r="A15527" s="1">
        <v>5.0</v>
      </c>
      <c r="B15527" s="1" t="s">
        <v>15387</v>
      </c>
      <c r="C15527" t="str">
        <f>IFERROR(__xludf.DUMMYFUNCTION("GOOGLETRANSLATE(B15527, ""es"", ""en"")"),"They arrived early and with very good quality and excellent protection")</f>
        <v>They arrived early and with very good quality and excellent protection</v>
      </c>
    </row>
    <row r="15528">
      <c r="A15528" s="1">
        <v>5.0</v>
      </c>
      <c r="B15528" s="1" t="s">
        <v>15388</v>
      </c>
      <c r="C15528" t="str">
        <f>IFERROR(__xludf.DUMMYFUNCTION("GOOGLETRANSLATE(B15528, ""es"", ""en"")"),"That would buy 👍🏻 which are described, correct size. They are very nice and comfortable. They arrived a couple of days after the due date but worth the wait. 😍")</f>
        <v>That would buy 👍🏻 which are described, correct size. They are very nice and comfortable. They arrived a couple of days after the due date but worth the wait. 😍</v>
      </c>
    </row>
    <row r="15529">
      <c r="A15529" s="1">
        <v>2.0</v>
      </c>
      <c r="B15529" s="1" t="s">
        <v>15389</v>
      </c>
      <c r="C15529" t="str">
        <f>IFERROR(__xludf.DUMMYFUNCTION("GOOGLETRANSLATE(B15529, ""es"", ""en"")"),"The shape is not similar to the exposed, if you are looking classic form of NB forget the sport has come on time and in perfect condition in its original box. The color is quite similar to the one pictured, has a darker tone burgundy and brown may like mo"&amp;"re or less according to each one, but is clearly dark burgundy. The problem is (at the least in my case) in the form of sports; the displayed image, despite having sole wide, sharp and stylish, the typical image of sport NB similar to other NB I've had, b"&amp;"ut the actual shape of the sport away from what is shown in the example, being rather a sport ""flabby"" with very rounded shape and cylindrical around the instep and toe, which gives it an almost orthopedic footwear. In addition, back away from the expos"&amp;"ed image, the cord comes low on the instep, not where they are often born in the rest of NB, giving that aspect again (with all respect) shoe ""grandfather"". It is closer to a classic J'Hayber with that stubby aspect that characterizes a NB. If you are l"&amp;"ooking for a sport with typical sharp and aggressive form of broker NB nor will it Plantées, and look at other models.")</f>
        <v>The shape is not similar to the exposed, if you are looking classic form of NB forget the sport has come on time and in perfect condition in its original box. The color is quite similar to the one pictured, has a darker tone burgundy and brown may like more or less according to each one, but is clearly dark burgundy. The problem is (at the least in my case) in the form of sports; the displayed image, despite having sole wide, sharp and stylish, the typical image of sport NB similar to other NB I've had, but the actual shape of the sport away from what is shown in the example, being rather a sport "flabby" with very rounded shape and cylindrical around the instep and toe, which gives it an almost orthopedic footwear. In addition, back away from the exposed image, the cord comes low on the instep, not where they are often born in the rest of NB, giving that aspect again (with all respect) shoe "grandfather". It is closer to a classic J'Hayber with that stubby aspect that characterizes a NB. If you are looking for a sport with typical sharp and aggressive form of broker NB nor will it Plantées, and look at other models.</v>
      </c>
    </row>
    <row r="15530">
      <c r="A15530" s="1">
        <v>3.0</v>
      </c>
      <c r="B15530" s="1" t="s">
        <v>15390</v>
      </c>
      <c r="C15530" t="str">
        <f>IFERROR(__xludf.DUMMYFUNCTION("GOOGLETRANSLATE(B15530, ""es"", ""en"")"),"Fast data transfer in my opinion, is fast data transfer and the ability to be a memory is optimal. I find the price balanced but a little heated and do not know if you can eventually cause a decrease in performance")</f>
        <v>Fast data transfer in my opinion, is fast data transfer and the ability to be a memory is optimal. I find the price balanced but a little heated and do not know if you can eventually cause a decrease in performance</v>
      </c>
    </row>
    <row r="15531">
      <c r="A15531" s="1">
        <v>3.0</v>
      </c>
      <c r="B15531" s="1" t="s">
        <v>15391</v>
      </c>
      <c r="C15531" t="str">
        <f>IFERROR(__xludf.DUMMYFUNCTION("GOOGLETRANSLATE(B15531, ""es"", ""en"")"),"Just My baby is still gulping in spurts this nipple. Not so famous because they do not understand")</f>
        <v>Just My baby is still gulping in spurts this nipple. Not so famous because they do not understand</v>
      </c>
    </row>
    <row r="15532">
      <c r="A15532" s="1">
        <v>1.0</v>
      </c>
      <c r="B15532" s="1" t="s">
        <v>15392</v>
      </c>
      <c r="C15532" t="str">
        <f>IFERROR(__xludf.DUMMYFUNCTION("GOOGLETRANSLATE(B15532, ""es"", ""en"")"),"Quite disappointing. Pretty bad, the sound is not bad but very bad microphone. When you use it to talk on the phone the caller hears hardly anything. Another drawback is that one of the headphones is discharged faster than the one with which most of the t"&amp;"ime when you're just utilizae one has loaded and it works.")</f>
        <v>Quite disappointing. Pretty bad, the sound is not bad but very bad microphone. When you use it to talk on the phone the caller hears hardly anything. Another drawback is that one of the headphones is discharged faster than the one with which most of the time when you're just utilizae one has loaded and it works.</v>
      </c>
    </row>
    <row r="15533">
      <c r="A15533" s="1">
        <v>1.0</v>
      </c>
      <c r="B15533" s="1" t="s">
        <v>15393</v>
      </c>
      <c r="C15533" t="str">
        <f>IFERROR(__xludf.DUMMYFUNCTION("GOOGLETRANSLATE(B15533, ""es"", ""en"")"),"No works received on January 16 and ran for one month only. He stopped working as the system mode was protected. I tried everything to repair but nothing worked, and it is impossible to format. I had great expectations for this pen drive .. but only worke"&amp;"d for a month.")</f>
        <v>No works received on January 16 and ran for one month only. He stopped working as the system mode was protected. I tried everything to repair but nothing worked, and it is impossible to format. I had great expectations for this pen drive .. but only worked for a month.</v>
      </c>
    </row>
    <row r="15534">
      <c r="A15534" s="1">
        <v>4.0</v>
      </c>
      <c r="B15534" s="1" t="s">
        <v>15394</v>
      </c>
      <c r="C15534" t="str">
        <f>IFERROR(__xludf.DUMMYFUNCTION("GOOGLETRANSLATE(B15534, ""es"", ""en"")"),"Good value for money. They are good for its price. I recently bought a lot more expensive than they were of much lower quality. In addition the bluetooth is quite powerful. They are nice, but somewhat puny.")</f>
        <v>Good value for money. They are good for its price. I recently bought a lot more expensive than they were of much lower quality. In addition the bluetooth is quite powerful. They are nice, but somewhat puny.</v>
      </c>
    </row>
    <row r="15535">
      <c r="A15535" s="1">
        <v>4.0</v>
      </c>
      <c r="B15535" s="1" t="s">
        <v>15395</v>
      </c>
      <c r="C15535" t="str">
        <f>IFERROR(__xludf.DUMMYFUNCTION("GOOGLETRANSLATE(B15535, ""es"", ""en"")"),"Very good buy was what I expected. Coffee very good and easy to use. It costs a little to take the action because it has many options configuraicion, once you have your taste, is give the button and disfurtar of coffee.")</f>
        <v>Very good buy was what I expected. Coffee very good and easy to use. It costs a little to take the action because it has many options configuraicion, once you have your taste, is give the button and disfurtar of coffee.</v>
      </c>
    </row>
    <row r="15536">
      <c r="A15536" s="1">
        <v>4.0</v>
      </c>
      <c r="B15536" s="1" t="s">
        <v>15396</v>
      </c>
      <c r="C15536" t="str">
        <f>IFERROR(__xludf.DUMMYFUNCTION("GOOGLETRANSLATE(B15536, ""es"", ""en"")"),"Well, but you have to get used I've always been of headphones ever, traditional, and those that you put inside the ear cost me a little. Anyway, these work well. Maybe they could isolate a little more sound, but anyway I am very happy with them. The batte"&amp;"ry life is very acceptable. The cable also gets a bit annoying, but as I said, you have to get used to. The controls are very comfortable, and very easy and fast volume up and down, like light them, and load. The would buy.")</f>
        <v>Well, but you have to get used I've always been of headphones ever, traditional, and those that you put inside the ear cost me a little. Anyway, these work well. Maybe they could isolate a little more sound, but anyway I am very happy with them. The battery life is very acceptable. The cable also gets a bit annoying, but as I said, you have to get used to. The controls are very comfortable, and very easy and fast volume up and down, like light them, and load. The would buy.</v>
      </c>
    </row>
    <row r="15537">
      <c r="A15537" s="1">
        <v>4.0</v>
      </c>
      <c r="B15537" s="1" t="s">
        <v>15397</v>
      </c>
      <c r="C15537" t="str">
        <f>IFERROR(__xludf.DUMMYFUNCTION("GOOGLETRANSLATE(B15537, ""es"", ""en"")"),"Ok Conforms to the description of the product")</f>
        <v>Ok Conforms to the description of the product</v>
      </c>
    </row>
    <row r="15538">
      <c r="A15538" s="1">
        <v>5.0</v>
      </c>
      <c r="B15538" s="1" t="s">
        <v>15398</v>
      </c>
      <c r="C15538" t="str">
        <f>IFERROR(__xludf.DUMMYFUNCTION("GOOGLETRANSLATE(B15538, ""es"", ""en"")"),"Very good buy are perfect for thin cables. Van well and finally left everything organized. They are small in diameter but it was just what I needed. If mecesitas for thick computer cables diameter elegid more")</f>
        <v>Very good buy are perfect for thin cables. Van well and finally left everything organized. They are small in diameter but it was just what I needed. If mecesitas for thick computer cables diameter elegid more</v>
      </c>
    </row>
    <row r="15539">
      <c r="A15539" s="1">
        <v>5.0</v>
      </c>
      <c r="B15539" s="1" t="s">
        <v>15399</v>
      </c>
      <c r="C15539" t="str">
        <f>IFERROR(__xludf.DUMMYFUNCTION("GOOGLETRANSLATE(B15539, ""es"", ""en"")"),"wonderful, comfortable, nice, gentle, wonderful. Chest make it round, of course, but hold well enough, are soft and above all comfy, comfy! and very nice. Nothing more to ask! I'm going to buy me two, plus 3 already bought !!")</f>
        <v>wonderful, comfortable, nice, gentle, wonderful. Chest make it round, of course, but hold well enough, are soft and above all comfy, comfy! and very nice. Nothing more to ask! I'm going to buy me two, plus 3 already bought !!</v>
      </c>
    </row>
    <row r="15540">
      <c r="A15540" s="1">
        <v>5.0</v>
      </c>
      <c r="B15540" s="1" t="s">
        <v>15400</v>
      </c>
      <c r="C15540" t="str">
        <f>IFERROR(__xludf.DUMMYFUNCTION("GOOGLETRANSLATE(B15540, ""es"", ""en"")"),"It was elegant and simple gift, I came in just 16 hours and is perfect. Beautiful and delicate, perfect for gift giving.")</f>
        <v>It was elegant and simple gift, I came in just 16 hours and is perfect. Beautiful and delicate, perfect for gift giving.</v>
      </c>
    </row>
    <row r="15541">
      <c r="A15541" s="1">
        <v>5.0</v>
      </c>
      <c r="B15541" s="1" t="s">
        <v>15401</v>
      </c>
      <c r="C15541" t="str">
        <f>IFERROR(__xludf.DUMMYFUNCTION("GOOGLETRANSLATE(B15541, ""es"", ""en"")"),"Such well that the description")</f>
        <v>Such well that the description</v>
      </c>
    </row>
    <row r="15542">
      <c r="A15542" s="1">
        <v>5.0</v>
      </c>
      <c r="B15542" s="1" t="s">
        <v>15402</v>
      </c>
      <c r="C15542" t="str">
        <f>IFERROR(__xludf.DUMMYFUNCTION("GOOGLETRANSLATE(B15542, ""es"", ""en"")"),"Excellent Value q Just what I expected. The quality of the sound is not like the original iPhone cable but for this price more acceptable q. For calls is perfect and the different pads are perfectly suited to the ear")</f>
        <v>Excellent Value q Just what I expected. The quality of the sound is not like the original iPhone cable but for this price more acceptable q. For calls is perfect and the different pads are perfectly suited to the ear</v>
      </c>
    </row>
    <row r="15543">
      <c r="A15543" s="1">
        <v>5.0</v>
      </c>
      <c r="B15543" s="1" t="s">
        <v>15403</v>
      </c>
      <c r="C15543" t="str">
        <f>IFERROR(__xludf.DUMMYFUNCTION("GOOGLETRANSLATE(B15543, ""es"", ""en"")"),"I'm glad guego This is fine now for summer")</f>
        <v>I'm glad guego This is fine now for summer</v>
      </c>
    </row>
    <row r="15544">
      <c r="A15544" s="1">
        <v>5.0</v>
      </c>
      <c r="B15544" s="1" t="s">
        <v>15404</v>
      </c>
      <c r="C15544" t="str">
        <f>IFERROR(__xludf.DUMMYFUNCTION("GOOGLETRANSLATE(B15544, ""es"", ""en"")"),"ahorrro great, same quality result is the same as the original but with a much more affordable price")</f>
        <v>ahorrro great, same quality result is the same as the original but with a much more affordable price</v>
      </c>
    </row>
    <row r="15545">
      <c r="A15545" s="1">
        <v>5.0</v>
      </c>
      <c r="B15545" s="1" t="s">
        <v>15405</v>
      </c>
      <c r="C15545" t="str">
        <f>IFERROR(__xludf.DUMMYFUNCTION("GOOGLETRANSLATE(B15545, ""es"", ""en"")"),"It's perfect for gift giving a lovely touch to give away! He has arrived in very good condition. The album is medium in size can fit two photos per page 10x15. It comes with stickers and adhesives for corners of the photos and with 8 pens of different col"&amp;"ors (not very good if you serve a lot). I would definitely recommend.")</f>
        <v>It's perfect for gift giving a lovely touch to give away! He has arrived in very good condition. The album is medium in size can fit two photos per page 10x15. It comes with stickers and adhesives for corners of the photos and with 8 pens of different colors (not very good if you serve a lot). I would definitely recommend.</v>
      </c>
    </row>
    <row r="15546">
      <c r="A15546" s="1">
        <v>5.0</v>
      </c>
      <c r="B15546" s="1" t="s">
        <v>15406</v>
      </c>
      <c r="C15546" t="str">
        <f>IFERROR(__xludf.DUMMYFUNCTION("GOOGLETRANSLATE(B15546, ""es"", ""en"")"),"recommended blenders. The blender is as described in the announcement and brings all accessories. Button has many speeds and ""super"". Low speeds truth which mainly serve to stir things up, if you really want to sting you give full power. That's okay bec"&amp;"ause you control that you do not go overboard and spattering to the on. Cleanliness is very good and if you put in the dishwasher accessories are not filled with water inside and with another I had. Good product and shipping as always perfect and fast.")</f>
        <v>recommended blenders. The blender is as described in the announcement and brings all accessories. Button has many speeds and "super". Low speeds truth which mainly serve to stir things up, if you really want to sting you give full power. That's okay because you control that you do not go overboard and spattering to the on. Cleanliness is very good and if you put in the dishwasher accessories are not filled with water inside and with another I had. Good product and shipping as always perfect and fast.</v>
      </c>
    </row>
    <row r="15547">
      <c r="A15547" s="1">
        <v>5.0</v>
      </c>
      <c r="B15547" s="1" t="s">
        <v>15407</v>
      </c>
      <c r="C15547" t="str">
        <f>IFERROR(__xludf.DUMMYFUNCTION("GOOGLETRANSLATE(B15547, ""es"", ""en"")"),"Antipinchazos liquid. I've been using it for several months and the result is excellent because now is not what is pinchar.Por therefore recommend it.")</f>
        <v>Antipinchazos liquid. I've been using it for several months and the result is excellent because now is not what is pinchar.Por therefore recommend it.</v>
      </c>
    </row>
    <row r="15548">
      <c r="A15548" s="1">
        <v>5.0</v>
      </c>
      <c r="B15548" s="1" t="s">
        <v>15408</v>
      </c>
      <c r="C15548" t="str">
        <f>IFERROR(__xludf.DUMMYFUNCTION("GOOGLETRANSLATE(B15548, ""es"", ""en"")"),"Tarjetero very satisfied with multiple slots to accommodate all cards and others of the style you want to locate in easily accessible support for having them. Very satisfied with the purchase. I recommend it.")</f>
        <v>Tarjetero very satisfied with multiple slots to accommodate all cards and others of the style you want to locate in easily accessible support for having them. Very satisfied with the purchase. I recommend it.</v>
      </c>
    </row>
    <row r="15549">
      <c r="A15549" s="1">
        <v>5.0</v>
      </c>
      <c r="B15549" s="1" t="s">
        <v>15409</v>
      </c>
      <c r="C15549" t="str">
        <f>IFERROR(__xludf.DUMMYFUNCTION("GOOGLETRANSLATE(B15549, ""es"", ""en"")"),"Good quality value / for money they have (especially if pillas in the bought-I offer 19,99 € -) the truth is that the product has an excellent quality / price ratio. Good design, very comfortable to wear, facilísimos to pair the Bluetooth and start using,"&amp;" very decent sound quality (even serious) ... in short, recommended.")</f>
        <v>Good quality value / for money they have (especially if pillas in the bought-I offer 19,99 € -) the truth is that the product has an excellent quality / price ratio. Good design, very comfortable to wear, facilísimos to pair the Bluetooth and start using, very decent sound quality (even serious) ... in short, recommended.</v>
      </c>
    </row>
    <row r="15550">
      <c r="A15550" s="1">
        <v>5.0</v>
      </c>
      <c r="B15550" s="1" t="s">
        <v>15410</v>
      </c>
      <c r="C15550" t="str">
        <f>IFERROR(__xludf.DUMMYFUNCTION("GOOGLETRANSLATE(B15550, ""es"", ""en"")"),"Perfect smell sweet and charming terrific Oil with a sweet aroma and therapeutic, relaxing aroma lot and makes the stay of the house is relajadísima ... / all my visits when they are enchanted with the smell, so happy ... perfect and he divine its price.")</f>
        <v>Perfect smell sweet and charming terrific Oil with a sweet aroma and therapeutic, relaxing aroma lot and makes the stay of the house is relajadísima ... / all my visits when they are enchanted with the smell, so happy ... perfect and he divine its price.</v>
      </c>
    </row>
    <row r="15551">
      <c r="A15551" s="1">
        <v>5.0</v>
      </c>
      <c r="B15551" s="1" t="s">
        <v>15411</v>
      </c>
      <c r="C15551" t="str">
        <f>IFERROR(__xludf.DUMMYFUNCTION("GOOGLETRANSLATE(B15551, ""es"", ""en"")"),"Ease of cleaning Wonderful, I cleaned all the money my mother")</f>
        <v>Ease of cleaning Wonderful, I cleaned all the money my mother</v>
      </c>
    </row>
    <row r="15552">
      <c r="A15552" s="1">
        <v>5.0</v>
      </c>
      <c r="B15552" s="1" t="s">
        <v>15412</v>
      </c>
      <c r="C15552" t="str">
        <f>IFERROR(__xludf.DUMMYFUNCTION("GOOGLETRANSLATE(B15552, ""es"", ""en"")"),"Small but taste is tiny but really liked it, thought it was bigger. Photo deceives a bit but just okay.")</f>
        <v>Small but taste is tiny but really liked it, thought it was bigger. Photo deceives a bit but just okay.</v>
      </c>
    </row>
    <row r="15553">
      <c r="A15553" s="1">
        <v>5.0</v>
      </c>
      <c r="B15553" s="1" t="s">
        <v>15413</v>
      </c>
      <c r="C15553" t="str">
        <f>IFERROR(__xludf.DUMMYFUNCTION("GOOGLETRANSLATE(B15553, ""es"", ""en"")"),"I recommend it ! I love !!! My baby likes too. NUK has never disappointed me!")</f>
        <v>I recommend it ! I love !!! My baby likes too. NUK has never disappointed me!</v>
      </c>
    </row>
    <row r="15554">
      <c r="A15554" s="1">
        <v>5.0</v>
      </c>
      <c r="B15554" s="1" t="s">
        <v>15414</v>
      </c>
      <c r="C15554" t="str">
        <f>IFERROR(__xludf.DUMMYFUNCTION("GOOGLETRANSLATE(B15554, ""es"", ""en"")"),"They are very easy to use and thick enough. highly recommended to protect documents.")</f>
        <v>They are very easy to use and thick enough. highly recommended to protect documents.</v>
      </c>
    </row>
    <row r="15555">
      <c r="A15555" s="1">
        <v>5.0</v>
      </c>
      <c r="B15555" s="1" t="s">
        <v>15415</v>
      </c>
      <c r="C15555" t="str">
        <f>IFERROR(__xludf.DUMMYFUNCTION("GOOGLETRANSLATE(B15555, ""es"", ""en"")"),"Terrific product corresponds well advertised, no problems")</f>
        <v>Terrific product corresponds well advertised, no problems</v>
      </c>
    </row>
    <row r="15556">
      <c r="A15556" s="1">
        <v>5.0</v>
      </c>
      <c r="B15556" s="1" t="s">
        <v>15416</v>
      </c>
      <c r="C15556" t="str">
        <f>IFERROR(__xludf.DUMMYFUNCTION("GOOGLETRANSLATE(B15556, ""es"", ""en"")"),"Levis shirt. My favorite clothing brand.")</f>
        <v>Levis shirt. My favorite clothing brand.</v>
      </c>
    </row>
    <row r="15557">
      <c r="A15557" s="1">
        <v>2.0</v>
      </c>
      <c r="B15557" s="1" t="s">
        <v>15417</v>
      </c>
      <c r="C15557" t="str">
        <f>IFERROR(__xludf.DUMMYFUNCTION("GOOGLETRANSLATE(B15557, ""es"", ""en"")"),"Says countdown but does not have No countdown")</f>
        <v>Says countdown but does not have No countdown</v>
      </c>
    </row>
    <row r="15558">
      <c r="A15558" s="1">
        <v>3.0</v>
      </c>
      <c r="B15558" s="1" t="s">
        <v>15418</v>
      </c>
      <c r="C15558" t="str">
        <f>IFERROR(__xludf.DUMMYFUNCTION("GOOGLETRANSLATE(B15558, ""es"", ""en"")"),"For the price, okay I bought this primarily for the price, and because Newwer is generally a recommended brand. The quality of the product is good. Not very tough, I have to be careful every time I make an adjustment. For the price, I guess I did not expe"&amp;"ct much better.")</f>
        <v>For the price, okay I bought this primarily for the price, and because Newwer is generally a recommended brand. The quality of the product is good. Not very tough, I have to be careful every time I make an adjustment. For the price, I guess I did not expect much better.</v>
      </c>
    </row>
    <row r="15559">
      <c r="A15559" s="1">
        <v>3.0</v>
      </c>
      <c r="B15559" s="1" t="s">
        <v>15419</v>
      </c>
      <c r="C15559" t="str">
        <f>IFERROR(__xludf.DUMMYFUNCTION("GOOGLETRANSLATE(B15559, ""es"", ""en"")"),"I just hope the battery hold out better than the previous one that lasted less than 1 year")</f>
        <v>I just hope the battery hold out better than the previous one that lasted less than 1 year</v>
      </c>
    </row>
    <row r="15560">
      <c r="A15560" s="1">
        <v>1.0</v>
      </c>
      <c r="B15560" s="1" t="s">
        <v>15420</v>
      </c>
      <c r="C15560" t="str">
        <f>IFERROR(__xludf.DUMMYFUNCTION("GOOGLETRANSLATE(B15560, ""es"", ""en"")"),"4 Months lasted me the card has lasted me 4 months to enviarla_a the guarantee have to do to the uk and I pay the amount, which is not feasible in cost comes out cheaper to buy a new one. Consumerism alive.")</f>
        <v>4 Months lasted me the card has lasted me 4 months to enviarla_a the guarantee have to do to the uk and I pay the amount, which is not feasible in cost comes out cheaper to buy a new one. Consumerism alive.</v>
      </c>
    </row>
    <row r="15561">
      <c r="A15561" s="1">
        <v>1.0</v>
      </c>
      <c r="B15561" s="1" t="s">
        <v>15421</v>
      </c>
      <c r="C15561" t="str">
        <f>IFERROR(__xludf.DUMMYFUNCTION("GOOGLETRANSLATE(B15561, ""es"", ""en"")"),"Not good Terrible. Disconnectado every 10 minutes")</f>
        <v>Not good Terrible. Disconnectado every 10 minutes</v>
      </c>
    </row>
    <row r="15562">
      <c r="A15562" s="1">
        <v>4.0</v>
      </c>
      <c r="B15562" s="1" t="s">
        <v>15422</v>
      </c>
      <c r="C15562" t="str">
        <f>IFERROR(__xludf.DUMMYFUNCTION("GOOGLETRANSLATE(B15562, ""es"", ""en"")"),"Met expectations functionality")</f>
        <v>Met expectations functionality</v>
      </c>
    </row>
    <row r="15563">
      <c r="A15563" s="1">
        <v>4.0</v>
      </c>
      <c r="B15563" s="1" t="s">
        <v>15423</v>
      </c>
      <c r="C15563" t="str">
        <f>IFERROR(__xludf.DUMMYFUNCTION("GOOGLETRANSLATE(B15563, ""es"", ""en"")"),"Very good product very good, I am delighted")</f>
        <v>Very good product very good, I am delighted</v>
      </c>
    </row>
    <row r="15564">
      <c r="A15564" s="1">
        <v>4.0</v>
      </c>
      <c r="B15564" s="1" t="s">
        <v>15424</v>
      </c>
      <c r="C15564" t="str">
        <f>IFERROR(__xludf.DUMMYFUNCTION("GOOGLETRANSLATE(B15564, ""es"", ""en"")"),"HAVES FOR VIROBI Very useful in combination with the Vilobi robot. It is efficient after passing a cleaning robot, COMPLETING A CLEANING BEST")</f>
        <v>HAVES FOR VIROBI Very useful in combination with the Vilobi robot. It is efficient after passing a cleaning robot, COMPLETING A CLEANING BEST</v>
      </c>
    </row>
    <row r="15565">
      <c r="A15565" s="1">
        <v>4.0</v>
      </c>
      <c r="B15565" s="1" t="s">
        <v>15425</v>
      </c>
      <c r="C15565" t="str">
        <f>IFERROR(__xludf.DUMMYFUNCTION("GOOGLETRANSLATE(B15565, ""es"", ""en"")"),"Value ok are very nice and comfortable")</f>
        <v>Value ok are very nice and comfortable</v>
      </c>
    </row>
    <row r="15566">
      <c r="A15566" s="1">
        <v>4.0</v>
      </c>
      <c r="B15566" s="1" t="s">
        <v>15426</v>
      </c>
      <c r="C15566" t="str">
        <f>IFERROR(__xludf.DUMMYFUNCTION("GOOGLETRANSLATE(B15566, ""es"", ""en"")"),"Beautiful but a bit narrow a bit narrow so you need to ask a more than usual number. For everything else, great.")</f>
        <v>Beautiful but a bit narrow a bit narrow so you need to ask a more than usual number. For everything else, great.</v>
      </c>
    </row>
    <row r="15567">
      <c r="A15567" s="1">
        <v>5.0</v>
      </c>
      <c r="B15567" s="1" t="s">
        <v>15427</v>
      </c>
      <c r="C15567" t="str">
        <f>IFERROR(__xludf.DUMMYFUNCTION("GOOGLETRANSLATE(B15567, ""es"", ""en"")"),"For more shoes number is perfect! They say there sneaker k k buy plus a number. For in this case this happens. For the rest of the shoe it is great.")</f>
        <v>For more shoes number is perfect! They say there sneaker k k buy plus a number. For in this case this happens. For the rest of the shoe it is great.</v>
      </c>
    </row>
    <row r="15568">
      <c r="A15568" s="1">
        <v>5.0</v>
      </c>
      <c r="B15568" s="1" t="s">
        <v>15428</v>
      </c>
      <c r="C15568" t="str">
        <f>IFERROR(__xludf.DUMMYFUNCTION("GOOGLETRANSLATE(B15568, ""es"", ""en"")"),"I liked comfort, are very comfortable and lightweight")</f>
        <v>I liked comfort, are very comfortable and lightweight</v>
      </c>
    </row>
    <row r="15569">
      <c r="A15569" s="1">
        <v>5.0</v>
      </c>
      <c r="B15569" s="1" t="s">
        <v>15429</v>
      </c>
      <c r="C15569" t="str">
        <f>IFERROR(__xludf.DUMMYFUNCTION("GOOGLETRANSLATE(B15569, ""es"", ""en"")"),"Perfect! I love MAM bottles to prevent the baby swallowing air and the 320ml size is perfect for when the baby takes quite a lot and it is necessary to add cereals. The very fast shipping, arrived two days of buy, all perfect and the color chosen, were al"&amp;"l facilities.")</f>
        <v>Perfect! I love MAM bottles to prevent the baby swallowing air and the 320ml size is perfect for when the baby takes quite a lot and it is necessary to add cereals. The very fast shipping, arrived two days of buy, all perfect and the color chosen, were all facilities.</v>
      </c>
    </row>
    <row r="15570">
      <c r="A15570" s="1">
        <v>5.0</v>
      </c>
      <c r="B15570" s="1" t="s">
        <v>15430</v>
      </c>
      <c r="C15570" t="str">
        <f>IFERROR(__xludf.DUMMYFUNCTION("GOOGLETRANSLATE(B15570, ""es"", ""en"")"),"Perfect very comfortable")</f>
        <v>Perfect very comfortable</v>
      </c>
    </row>
    <row r="15571">
      <c r="A15571" s="1">
        <v>5.0</v>
      </c>
      <c r="B15571" s="1" t="s">
        <v>15431</v>
      </c>
      <c r="C15571" t="str">
        <f>IFERROR(__xludf.DUMMYFUNCTION("GOOGLETRANSLATE(B15571, ""es"", ""en"")"),"Fantastic! Delighted with purchase! Heated bed completely. Good quality and works perfectly. Ideal to get into bed and warm")</f>
        <v>Fantastic! Delighted with purchase! Heated bed completely. Good quality and works perfectly. Ideal to get into bed and warm</v>
      </c>
    </row>
    <row r="15572">
      <c r="A15572" s="1">
        <v>5.0</v>
      </c>
      <c r="B15572" s="1" t="s">
        <v>15432</v>
      </c>
      <c r="C15572" t="str">
        <f>IFERROR(__xludf.DUMMYFUNCTION("GOOGLETRANSLATE(B15572, ""es"", ""en"")"),"Good, nice and cheap I still have not used, but the product is as is shown in the photo. Valen to go to stroll and pine-bridge. They are very light, the size is right for sneakers.")</f>
        <v>Good, nice and cheap I still have not used, but the product is as is shown in the photo. Valen to go to stroll and pine-bridge. They are very light, the size is right for sneakers.</v>
      </c>
    </row>
    <row r="15573">
      <c r="A15573" s="1">
        <v>5.0</v>
      </c>
      <c r="B15573" s="1" t="s">
        <v>15433</v>
      </c>
      <c r="C15573" t="str">
        <f>IFERROR(__xludf.DUMMYFUNCTION("GOOGLETRANSLATE(B15573, ""es"", ""en"")"),"Proper Shipping good quality fast")</f>
        <v>Proper Shipping good quality fast</v>
      </c>
    </row>
    <row r="15574">
      <c r="A15574" s="1">
        <v>5.0</v>
      </c>
      <c r="B15574" s="1" t="s">
        <v>15434</v>
      </c>
      <c r="C15574" t="str">
        <f>IFERROR(__xludf.DUMMYFUNCTION("GOOGLETRANSLATE(B15574, ""es"", ""en"")"),"comprehensive and robust Pleased with purchase, when I was looking doubted whether the product would have good quality as the price was very very good good, but I'm happy with the purchase, is even better quality than price, very complete, materials very "&amp;"solid, I had one that looked like a toy and this is not robust, is at the top of the gear selector that makes it very comfortable, in addition to the turbo button.")</f>
        <v>comprehensive and robust Pleased with purchase, when I was looking doubted whether the product would have good quality as the price was very very good good, but I'm happy with the purchase, is even better quality than price, very complete, materials very solid, I had one that looked like a toy and this is not robust, is at the top of the gear selector that makes it very comfortable, in addition to the turbo button.</v>
      </c>
    </row>
    <row r="15575">
      <c r="A15575" s="1">
        <v>5.0</v>
      </c>
      <c r="B15575" s="1" t="s">
        <v>15435</v>
      </c>
      <c r="C15575" t="str">
        <f>IFERROR(__xludf.DUMMYFUNCTION("GOOGLETRANSLATE(B15575, ""es"", ""en"")"),"Recorder excellent !! excellent recorder and meets the functionality, if somewhat delicate, so you have to buy it with the set of accessories to protect it so works best")</f>
        <v>Recorder excellent !! excellent recorder and meets the functionality, if somewhat delicate, so you have to buy it with the set of accessories to protect it so works best</v>
      </c>
    </row>
    <row r="15576">
      <c r="A15576" s="1">
        <v>5.0</v>
      </c>
      <c r="B15576" s="1" t="s">
        <v>15436</v>
      </c>
      <c r="C15576" t="str">
        <f>IFERROR(__xludf.DUMMYFUNCTION("GOOGLETRANSLATE(B15576, ""es"", ""en"")"),"I would very cool buy it without hesitation.")</f>
        <v>I would very cool buy it without hesitation.</v>
      </c>
    </row>
    <row r="15577">
      <c r="A15577" s="1">
        <v>5.0</v>
      </c>
      <c r="B15577" s="1" t="s">
        <v>15437</v>
      </c>
      <c r="C15577" t="str">
        <f>IFERROR(__xludf.DUMMYFUNCTION("GOOGLETRANSLATE(B15577, ""es"", ""en"")"),"It was a perfect gift for my father, and the next day was using, a great brand, comfortable, it seems that really is waterproof, repeat.")</f>
        <v>It was a perfect gift for my father, and the next day was using, a great brand, comfortable, it seems that really is waterproof, repeat.</v>
      </c>
    </row>
    <row r="15578">
      <c r="A15578" s="1">
        <v>5.0</v>
      </c>
      <c r="B15578" s="1" t="s">
        <v>15438</v>
      </c>
      <c r="C15578" t="str">
        <f>IFERROR(__xludf.DUMMYFUNCTION("GOOGLETRANSLATE(B15578, ""es"", ""en"")"),"Temperature control Good quality and suitable temperature. The it used for heat therapy. He has served my pussycat for the cold. Recommendable.")</f>
        <v>Temperature control Good quality and suitable temperature. The it used for heat therapy. He has served my pussycat for the cold. Recommendable.</v>
      </c>
    </row>
    <row r="15579">
      <c r="A15579" s="1">
        <v>5.0</v>
      </c>
      <c r="B15579" s="1" t="s">
        <v>15439</v>
      </c>
      <c r="C15579" t="str">
        <f>IFERROR(__xludf.DUMMYFUNCTION("GOOGLETRANSLATE(B15579, ""es"", ""en"")"),"Too small and ugly plastic alue to ... Le were small")</f>
        <v>Too small and ugly plastic alue to ... Le were small</v>
      </c>
    </row>
    <row r="15580">
      <c r="A15580" s="1">
        <v>5.0</v>
      </c>
      <c r="B15580" s="1" t="s">
        <v>15440</v>
      </c>
      <c r="C15580" t="str">
        <f>IFERROR(__xludf.DUMMYFUNCTION("GOOGLETRANSLATE(B15580, ""es"", ""en"")"),"I'll buy Ideal for dog hair")</f>
        <v>I'll buy Ideal for dog hair</v>
      </c>
    </row>
    <row r="15581">
      <c r="A15581" s="1">
        <v>5.0</v>
      </c>
      <c r="B15581" s="1" t="s">
        <v>15441</v>
      </c>
      <c r="C15581" t="str">
        <f>IFERROR(__xludf.DUMMYFUNCTION("GOOGLETRANSLATE(B15581, ""es"", ""en"")"),"Comfort 100x100 sizing very well and very comfortable.")</f>
        <v>Comfort 100x100 sizing very well and very comfortable.</v>
      </c>
    </row>
    <row r="15582">
      <c r="A15582" s="1">
        <v>5.0</v>
      </c>
      <c r="B15582" s="1" t="s">
        <v>15442</v>
      </c>
      <c r="C15582" t="str">
        <f>IFERROR(__xludf.DUMMYFUNCTION("GOOGLETRANSLATE(B15582, ""es"", ""en"")"),"Very complete vitamin complex is one d the q mjores multivitamins are n the market. Already I come using x + d 3y.o.. Very complete")</f>
        <v>Very complete vitamin complex is one d the q mjores multivitamins are n the market. Already I come using x + d 3y.o.. Very complete</v>
      </c>
    </row>
    <row r="15583">
      <c r="A15583" s="1">
        <v>5.0</v>
      </c>
      <c r="B15583" s="1" t="s">
        <v>15443</v>
      </c>
      <c r="C15583" t="str">
        <f>IFERROR(__xludf.DUMMYFUNCTION("GOOGLETRANSLATE(B15583, ""es"", ""en"")"),"It works perfect as I expected complies perfectly with my expectations, very good article also lightweight and very easy to clean, I recommend it without hesitation greetings")</f>
        <v>It works perfect as I expected complies perfectly with my expectations, very good article also lightweight and very easy to clean, I recommend it without hesitation greetings</v>
      </c>
    </row>
    <row r="15584">
      <c r="A15584" s="1">
        <v>5.0</v>
      </c>
      <c r="B15584" s="1" t="s">
        <v>15444</v>
      </c>
      <c r="C15584" t="str">
        <f>IFERROR(__xludf.DUMMYFUNCTION("GOOGLETRANSLATE(B15584, ""es"", ""en"")"),"I really like what I was expecting.")</f>
        <v>I really like what I was expecting.</v>
      </c>
    </row>
    <row r="15585">
      <c r="A15585" s="1">
        <v>5.0</v>
      </c>
      <c r="B15585" s="1" t="s">
        <v>15445</v>
      </c>
      <c r="C15585" t="str">
        <f>IFERROR(__xludf.DUMMYFUNCTION("GOOGLETRANSLATE(B15585, ""es"", ""en"")"),"Powerful works perfectly, and has plenty of capacity while you can also use a micro sd card")</f>
        <v>Powerful works perfectly, and has plenty of capacity while you can also use a micro sd card</v>
      </c>
    </row>
    <row r="15586">
      <c r="A15586" s="1">
        <v>2.0</v>
      </c>
      <c r="B15586" s="1" t="s">
        <v>15446</v>
      </c>
      <c r="C15586" t="str">
        <f>IFERROR(__xludf.DUMMYFUNCTION("GOOGLETRANSLATE(B15586, ""es"", ""en"")"),"They do not last long without breaking .. comfortable but not very resistant ..")</f>
        <v>They do not last long without breaking .. comfortable but not very resistant ..</v>
      </c>
    </row>
    <row r="15587">
      <c r="A15587" s="1">
        <v>3.0</v>
      </c>
      <c r="B15587" s="1" t="s">
        <v>15447</v>
      </c>
      <c r="C15587" t="str">
        <f>IFERROR(__xludf.DUMMYFUNCTION("GOOGLETRANSLATE(B15587, ""es"", ""en"")"),"Good product overall've been using these nuts from a year ago and took the sack in half, so they spread a lot (I use twice a week). The smell is a bit particular but not left in the clothes. Do not use white sheets for comments that often tend to gray in "&amp;"clothes (in this case bicarbonate use). As for the spots, which are oil or turmeric things that lead them to remove costs and have to use other products.")</f>
        <v>Good product overall've been using these nuts from a year ago and took the sack in half, so they spread a lot (I use twice a week). The smell is a bit particular but not left in the clothes. Do not use white sheets for comments that often tend to gray in clothes (in this case bicarbonate use). As for the spots, which are oil or turmeric things that lead them to remove costs and have to use other products.</v>
      </c>
    </row>
    <row r="15588">
      <c r="A15588" s="1">
        <v>1.0</v>
      </c>
      <c r="B15588" s="1" t="s">
        <v>15448</v>
      </c>
      <c r="C15588" t="str">
        <f>IFERROR(__xludf.DUMMYFUNCTION("GOOGLETRANSLATE(B15588, ""es"", ""en"")"),"The micro well, his arm very badly Although the micro is of good quality, this version of the arm is dreadful. Upon arrival could be seen as one of the threads (specifically Spider micro) did not fit well with that of the arm. We did a blind eye, but afte"&amp;"r a few months of use support desk literally split in half, leaving the useless arm")</f>
        <v>The micro well, his arm very badly Although the micro is of good quality, this version of the arm is dreadful. Upon arrival could be seen as one of the threads (specifically Spider micro) did not fit well with that of the arm. We did a blind eye, but after a few months of use support desk literally split in half, leaving the useless arm</v>
      </c>
    </row>
    <row r="15589">
      <c r="A15589" s="1">
        <v>1.0</v>
      </c>
      <c r="B15589" s="1" t="s">
        <v>15449</v>
      </c>
      <c r="C15589" t="str">
        <f>IFERROR(__xludf.DUMMYFUNCTION("GOOGLETRANSLATE(B15589, ""es"", ""en"")"),"I have not heated above this brand electric blanket and heated much more than it is. But I think it's a general problem of new electric blankets, hardly know feel the heat (it takes)")</f>
        <v>I have not heated above this brand electric blanket and heated much more than it is. But I think it's a general problem of new electric blankets, hardly know feel the heat (it takes)</v>
      </c>
    </row>
    <row r="15590">
      <c r="A15590" s="1">
        <v>4.0</v>
      </c>
      <c r="B15590" s="1" t="s">
        <v>15450</v>
      </c>
      <c r="C15590" t="str">
        <f>IFERROR(__xludf.DUMMYFUNCTION("GOOGLETRANSLATE(B15590, ""es"", ""en"")"),"Ornaments quality and originality original and modern wedding invitations. It gives a youthful touch. The quality of the board is good.")</f>
        <v>Ornaments quality and originality original and modern wedding invitations. It gives a youthful touch. The quality of the board is good.</v>
      </c>
    </row>
    <row r="15591">
      <c r="A15591" s="1">
        <v>4.0</v>
      </c>
      <c r="B15591" s="1" t="s">
        <v>15451</v>
      </c>
      <c r="C15591" t="str">
        <f>IFERROR(__xludf.DUMMYFUNCTION("GOOGLETRANSLATE(B15591, ""es"", ""en"")"),"I took good money to replace another brand and more expensive than suddenly stopped working. He has not given me no problem so far and does the job. Surely I will choose the same brand case you need another.")</f>
        <v>I took good money to replace another brand and more expensive than suddenly stopped working. He has not given me no problem so far and does the job. Surely I will choose the same brand case you need another.</v>
      </c>
    </row>
    <row r="15592">
      <c r="A15592" s="1">
        <v>4.0</v>
      </c>
      <c r="B15592" s="1" t="s">
        <v>15452</v>
      </c>
      <c r="C15592" t="str">
        <f>IFERROR(__xludf.DUMMYFUNCTION("GOOGLETRANSLATE(B15592, ""es"", ""en"")"),"Cool A being black is not easy to clean")</f>
        <v>Cool A being black is not easy to clean</v>
      </c>
    </row>
    <row r="15593">
      <c r="A15593" s="1">
        <v>4.0</v>
      </c>
      <c r="B15593" s="1" t="s">
        <v>15453</v>
      </c>
      <c r="C15593" t="str">
        <f>IFERROR(__xludf.DUMMYFUNCTION("GOOGLETRANSLATE(B15593, ""es"", ""en"")"),"The comfort I like comfort and design, secillo, easy to use on any occasion and in any weather")</f>
        <v>The comfort I like comfort and design, secillo, easy to use on any occasion and in any weather</v>
      </c>
    </row>
    <row r="15594">
      <c r="A15594" s="1">
        <v>4.0</v>
      </c>
      <c r="B15594" s="1" t="s">
        <v>15454</v>
      </c>
      <c r="C15594" t="str">
        <f>IFERROR(__xludf.DUMMYFUNCTION("GOOGLETRANSLATE(B15594, ""es"", ""en"")"),"EXCELLENT is nice and comfortable")</f>
        <v>EXCELLENT is nice and comfortable</v>
      </c>
    </row>
    <row r="15595">
      <c r="A15595" s="1">
        <v>5.0</v>
      </c>
      <c r="B15595" s="1" t="s">
        <v>15455</v>
      </c>
      <c r="C15595" t="str">
        <f>IFERROR(__xludf.DUMMYFUNCTION("GOOGLETRANSLATE(B15595, ""es"", ""en"")"),"Very useful is the perfect ring because it is easy to apply and remove. It does not fall.")</f>
        <v>Very useful is the perfect ring because it is easy to apply and remove. It does not fall.</v>
      </c>
    </row>
    <row r="15596">
      <c r="A15596" s="1">
        <v>5.0</v>
      </c>
      <c r="B15596" s="1" t="s">
        <v>15456</v>
      </c>
      <c r="C15596" t="str">
        <f>IFERROR(__xludf.DUMMYFUNCTION("GOOGLETRANSLATE(B15596, ""es"", ""en"")"),"Something cool large for the number, and brutotas tad wide. At the beginning they are hard, but the day after adapt well. They do not come to harm at any time. I dig and have enough to last pint. Much cheaper than elsewhere. Very happy with them.")</f>
        <v>Something cool large for the number, and brutotas tad wide. At the beginning they are hard, but the day after adapt well. They do not come to harm at any time. I dig and have enough to last pint. Much cheaper than elsewhere. Very happy with them.</v>
      </c>
    </row>
    <row r="15597">
      <c r="A15597" s="1">
        <v>5.0</v>
      </c>
      <c r="B15597" s="1" t="s">
        <v>15457</v>
      </c>
      <c r="C15597" t="str">
        <f>IFERROR(__xludf.DUMMYFUNCTION("GOOGLETRANSLATE(B15597, ""es"", ""en"")"),"Super &lt;div id = ""video-block-R3HY255J6V1PK0"" class = ""a-section a-spacing-small a-spacing-top mini video-block""&gt; &lt;/ div&gt; &lt;input type = ""hidden"" name = """" value = ""https://images-eu.ssl-images-amazon.com/images/I/91hOGdewKDS.mp4"" class = ""video-"&amp;"url""&gt; &lt;input type = ""hidden"" name = """" value = ""https : //images-eu.ssl-images-amazon.com/images/I/61gjYpas1fS.png ""class ="" video-slate-img-url ""&gt; &amp; nbsp; Great, crushed fruit in a second without clumping, besides it is very comfortable because "&amp;"it is crushed in the same glass, then change the plug and ready to take it. The super meat grinder also has 4 sheets cut to two heights 👌🏻")</f>
        <v>Super &lt;div id = "video-block-R3HY255J6V1PK0" class = "a-section a-spacing-small a-spacing-top mini video-block"&gt; &lt;/ div&gt; &lt;input type = "hidden" name = "" value = "https://images-eu.ssl-images-amazon.com/images/I/91hOGdewKDS.mp4" class = "video-url"&gt; &lt;input type = "hidden" name = "" value = "https : //images-eu.ssl-images-amazon.com/images/I/61gjYpas1fS.png "class =" video-slate-img-url "&gt; &amp; nbsp; Great, crushed fruit in a second without clumping, besides it is very comfortable because it is crushed in the same glass, then change the plug and ready to take it. The super meat grinder also has 4 sheets cut to two heights 👌🏻</v>
      </c>
    </row>
    <row r="15598">
      <c r="A15598" s="1">
        <v>5.0</v>
      </c>
      <c r="B15598" s="1" t="s">
        <v>15458</v>
      </c>
      <c r="C15598" t="str">
        <f>IFERROR(__xludf.DUMMYFUNCTION("GOOGLETRANSLATE(B15598, ""es"", ""en"")"),"It is very comfortable as I expected considering I asked instead of 41.5, the large size 40. The brand is very comfortable, contented time.")</f>
        <v>It is very comfortable as I expected considering I asked instead of 41.5, the large size 40. The brand is very comfortable, contented time.</v>
      </c>
    </row>
    <row r="15599">
      <c r="A15599" s="1">
        <v>5.0</v>
      </c>
      <c r="B15599" s="1" t="s">
        <v>15459</v>
      </c>
      <c r="C15599" t="str">
        <f>IFERROR(__xludf.DUMMYFUNCTION("GOOGLETRANSLATE(B15599, ""es"", ""en"")"),"Practical Useful and practical")</f>
        <v>Practical Useful and practical</v>
      </c>
    </row>
    <row r="15600">
      <c r="A15600" s="1">
        <v>5.0</v>
      </c>
      <c r="B15600" s="1" t="s">
        <v>15460</v>
      </c>
      <c r="C15600" t="str">
        <f>IFERROR(__xludf.DUMMYFUNCTION("GOOGLETRANSLATE(B15600, ""es"", ""en"")"),"Precious, breathable and more effective Very comfortable and breathable. less noticeable soft tread in the 4 but in practice the times improved over the previous model, so delighted.")</f>
        <v>Precious, breathable and more effective Very comfortable and breathable. less noticeable soft tread in the 4 but in practice the times improved over the previous model, so delighted.</v>
      </c>
    </row>
    <row r="15601">
      <c r="A15601" s="1">
        <v>5.0</v>
      </c>
      <c r="B15601" s="1" t="s">
        <v>15461</v>
      </c>
      <c r="C15601" t="str">
        <f>IFERROR(__xludf.DUMMYFUNCTION("GOOGLETRANSLATE(B15601, ""es"", ""en"")"),"Just as expected are 100 plastic sleeves. The need to make cards and work perfectly for it. Happy with this purchase. I will buy more when you need them.")</f>
        <v>Just as expected are 100 plastic sleeves. The need to make cards and work perfectly for it. Happy with this purchase. I will buy more when you need them.</v>
      </c>
    </row>
    <row r="15602">
      <c r="A15602" s="1">
        <v>5.0</v>
      </c>
      <c r="B15602" s="1" t="s">
        <v>15462</v>
      </c>
      <c r="C15602" t="str">
        <f>IFERROR(__xludf.DUMMYFUNCTION("GOOGLETRANSLATE(B15602, ""es"", ""en"")"),"Good buy. Good buy. The qualities are very good and have enough capacity in relation to size. The person that I have given is satisfied.")</f>
        <v>Good buy. Good buy. The qualities are very good and have enough capacity in relation to size. The person that I have given is satisfied.</v>
      </c>
    </row>
    <row r="15603">
      <c r="A15603" s="1">
        <v>5.0</v>
      </c>
      <c r="B15603" s="1" t="s">
        <v>15463</v>
      </c>
      <c r="C15603" t="str">
        <f>IFERROR(__xludf.DUMMYFUNCTION("GOOGLETRANSLATE(B15603, ""es"", ""en"")"),"Very versatile I love these shoes. Is the gave my son and was not removed. They are great with sportswear and casual clothes. To walk in the mountains have very good tread and are very light. Definitely very good buy.")</f>
        <v>Very versatile I love these shoes. Is the gave my son and was not removed. They are great with sportswear and casual clothes. To walk in the mountains have very good tread and are very light. Definitely very good buy.</v>
      </c>
    </row>
    <row r="15604">
      <c r="A15604" s="1">
        <v>5.0</v>
      </c>
      <c r="B15604" s="1" t="s">
        <v>15464</v>
      </c>
      <c r="C15604" t="str">
        <f>IFERROR(__xludf.DUMMYFUNCTION("GOOGLETRANSLATE(B15604, ""es"", ""en"")"),"It was good buy for a gift, a young teacher, and she loved")</f>
        <v>It was good buy for a gift, a young teacher, and she loved</v>
      </c>
    </row>
    <row r="15605">
      <c r="A15605" s="1">
        <v>5.0</v>
      </c>
      <c r="B15605" s="1" t="s">
        <v>15465</v>
      </c>
      <c r="C15605" t="str">
        <f>IFERROR(__xludf.DUMMYFUNCTION("GOOGLETRANSLATE(B15605, ""es"", ""en"")"),"I should have bought before ;-) The handset was received, very good! The connection to the mobile phone also displays the power supply, the effect of sound insulation is also very good and stereo sound quality is very good. It feels good. The headset is l"&amp;"ightweight, easy to use and has clear sound. Really affordable, worth buying.")</f>
        <v>I should have bought before ;-) The handset was received, very good! The connection to the mobile phone also displays the power supply, the effect of sound insulation is also very good and stereo sound quality is very good. It feels good. The headset is lightweight, easy to use and has clear sound. Really affordable, worth buying.</v>
      </c>
    </row>
    <row r="15606">
      <c r="A15606" s="1">
        <v>5.0</v>
      </c>
      <c r="B15606" s="1" t="s">
        <v>15466</v>
      </c>
      <c r="C15606" t="str">
        <f>IFERROR(__xludf.DUMMYFUNCTION("GOOGLETRANSLATE(B15606, ""es"", ""en"")"),"Good sound already had a previous but soured. It costs a little to find this type because they get into the ear do not like. I bought two to have a spare. I like their sound. The price was good")</f>
        <v>Good sound already had a previous but soured. It costs a little to find this type because they get into the ear do not like. I bought two to have a spare. I like their sound. The price was good</v>
      </c>
    </row>
    <row r="15607">
      <c r="A15607" s="1">
        <v>5.0</v>
      </c>
      <c r="B15607" s="1" t="s">
        <v>15467</v>
      </c>
      <c r="C15607" t="str">
        <f>IFERROR(__xludf.DUMMYFUNCTION("GOOGLETRANSLATE(B15607, ""es"", ""en"")"),"Good quality satisfaction")</f>
        <v>Good quality satisfaction</v>
      </c>
    </row>
    <row r="15608">
      <c r="A15608" s="1">
        <v>5.0</v>
      </c>
      <c r="B15608" s="1" t="s">
        <v>15468</v>
      </c>
      <c r="C15608" t="str">
        <f>IFERROR(__xludf.DUMMYFUNCTION("GOOGLETRANSLATE(B15608, ""es"", ""en"")"),"KEYNOTE right for Perfect for presentations. All ok. Laser powerful. Ergonomic")</f>
        <v>KEYNOTE right for Perfect for presentations. All ok. Laser powerful. Ergonomic</v>
      </c>
    </row>
    <row r="15609">
      <c r="A15609" s="1">
        <v>5.0</v>
      </c>
      <c r="B15609" s="1" t="s">
        <v>15469</v>
      </c>
      <c r="C15609" t="str">
        <f>IFERROR(__xludf.DUMMYFUNCTION("GOOGLETRANSLATE(B15609, ""es"", ""en"")"),"Comfortable good product for performing martial arts, very comfortable and snug. Perfect for function")</f>
        <v>Comfortable good product for performing martial arts, very comfortable and snug. Perfect for function</v>
      </c>
    </row>
    <row r="15610">
      <c r="A15610" s="1">
        <v>5.0</v>
      </c>
      <c r="B15610" s="1" t="s">
        <v>15470</v>
      </c>
      <c r="C15610" t="str">
        <f>IFERROR(__xludf.DUMMYFUNCTION("GOOGLETRANSLATE(B15610, ""es"", ""en"")"),"Perfect, finally. This model is wide width and fits perfectly to the foot, without the problems of other models within the same manufacturer. They are very comfortable, from the 1st day I used to go the field 10 Km. and even a touch. They are wonderful.")</f>
        <v>Perfect, finally. This model is wide width and fits perfectly to the foot, without the problems of other models within the same manufacturer. They are very comfortable, from the 1st day I used to go the field 10 Km. and even a touch. They are wonderful.</v>
      </c>
    </row>
    <row r="15611">
      <c r="A15611" s="1">
        <v>5.0</v>
      </c>
      <c r="B15611" s="1" t="s">
        <v>15471</v>
      </c>
      <c r="C15611" t="str">
        <f>IFERROR(__xludf.DUMMYFUNCTION("GOOGLETRANSLATE(B15611, ""es"", ""en"")"),"Benchmark if it helps you so far without problems. Technically I can not talk much about it, but here's the benchmark that I have done nothing to install windows. I remember that memory was cheap and lasting less. But at the user level with normal use sho"&amp;"uld be no problems.")</f>
        <v>Benchmark if it helps you so far without problems. Technically I can not talk much about it, but here's the benchmark that I have done nothing to install windows. I remember that memory was cheap and lasting less. But at the user level with normal use should be no problems.</v>
      </c>
    </row>
    <row r="15612">
      <c r="A15612" s="1">
        <v>5.0</v>
      </c>
      <c r="B15612" s="1" t="s">
        <v>15472</v>
      </c>
      <c r="C15612" t="str">
        <f>IFERROR(__xludf.DUMMYFUNCTION("GOOGLETRANSLATE(B15612, ""es"", ""en"")"),"Product and packaging 10 Good Toshiba Hard Disk 1TB for backup drive, perfect value for money I do not think you can find anything better! I bought a hard drive and have seen good and ma protected but as this has surprised me the inner box so protected th"&amp;"at came the hard drive for a 10.pd me keep the box !!")</f>
        <v>Product and packaging 10 Good Toshiba Hard Disk 1TB for backup drive, perfect value for money I do not think you can find anything better! I bought a hard drive and have seen good and ma protected but as this has surprised me the inner box so protected that came the hard drive for a 10.pd me keep the box !!</v>
      </c>
    </row>
    <row r="15613">
      <c r="A15613" s="1">
        <v>2.0</v>
      </c>
      <c r="B15613" s="1" t="s">
        <v>15473</v>
      </c>
      <c r="C15613" t="str">
        <f>IFERROR(__xludf.DUMMYFUNCTION("GOOGLETRANSLATE(B15613, ""es"", ""en"")"),"Good sound, but Tara product in the diadem !! Good I bought this product and the sound quality is good but for what q cost think it can not come up with marks or deformed being totally new is the second time it happens, as I open and I think returning the"&amp;" truth and not the first time, thanks")</f>
        <v>Good sound, but Tara product in the diadem !! Good I bought this product and the sound quality is good but for what q cost think it can not come up with marks or deformed being totally new is the second time it happens, as I open and I think returning the truth and not the first time, thanks</v>
      </c>
    </row>
    <row r="15614">
      <c r="A15614" s="1">
        <v>3.0</v>
      </c>
      <c r="B15614" s="1" t="s">
        <v>15474</v>
      </c>
      <c r="C15614" t="str">
        <f>IFERROR(__xludf.DUMMYFUNCTION("GOOGLETRANSLATE(B15614, ""es"", ""en"")"),"The shoes are small small")</f>
        <v>The shoes are small small</v>
      </c>
    </row>
    <row r="15615">
      <c r="A15615" s="1">
        <v>3.0</v>
      </c>
      <c r="B15615" s="1" t="s">
        <v>15475</v>
      </c>
      <c r="C15615" t="str">
        <f>IFERROR(__xludf.DUMMYFUNCTION("GOOGLETRANSLATE(B15615, ""es"", ""en"")"),"I chose little sound too urgent. Casio is, in other words, is good .... but I should imagine that the Casio alarm beeps do not sound strong and for people of a certain age do not work.")</f>
        <v>I chose little sound too urgent. Casio is, in other words, is good .... but I should imagine that the Casio alarm beeps do not sound strong and for people of a certain age do not work.</v>
      </c>
    </row>
    <row r="15616">
      <c r="A15616" s="1">
        <v>1.0</v>
      </c>
      <c r="B15616" s="1" t="s">
        <v>15476</v>
      </c>
      <c r="C15616" t="str">
        <f>IFERROR(__xludf.DUMMYFUNCTION("GOOGLETRANSLATE(B15616, ""es"", ""en"")"),"I went wrong .. &lt;div id = ""video-block-R7K6I2FKF2H0L"" class = ""a-section a-spacing-small a-spacing-top mini video-block""&gt; &lt;div tabindex = ""0"" class = ""airy airy-svg vmin-unsupported airy-skin-beacon ""style ="" background-color: rgb (0, 0, 0) posit"&amp;"ion: relative; width: 100%; height: 100%; font-size: 0px; overflow: hidden; outline: none; ""&gt; &lt;div class ="" airy-renderer-container ""style ="" position: relative; height: 100%; width: 100%; ""&gt; &lt;video id ="" 15 ""preload ="" auto "" src = ""https://ima"&amp;"ges-eu.ssl-images-amazon.com/images/I/A15F7z3n5WS.mp4"" style = ""position: absolute; left: 0px; top: 0px; overflow: hidden; height: 1px; width: 1px; ""&gt; &lt;/ video&gt; &lt;/ div&gt; &lt;div id ="" airy-slate-preload ""style ="" background-color: rgb (0, 0, 0); backgro"&amp;"und-image: url (&amp; quot; https : //images-eu.ssl-images-amazon.com/images/I/91zJEB8tXPS.png&amp;quot;); background-size: Contain; background-position: center center; background-repeat: no-repeat; position: absolute; top: 0px; left: 0px; visibility: visible; wi"&amp;"dth: 100%; height: 100%; ""&gt; &lt;/ div&gt; &lt;iframe scrollin g = ""no"" frameborder = ""0"" src = ""about: blank"" style = ""display: none;""&gt; &lt;/ iframe&gt; &lt;div tabindex = ""- 1"" class = ""airy-controls-container"" style = "" opacity: 0; visibility: hidden; ""&gt; &lt;"&amp;"div tabindex ="" - 1 ""class ="" airy-screen-size-toggle airy-fullscreen ""&gt; &lt;/ div&gt; &lt;div tabindex ="" - 1 ""class ="" airy-container-bottom "" &gt; &lt;div tabindex = ""- 1"" class = ""airy-track-bar-spacer-left"" style = ""width: 11px;""&gt; &lt;/ div&gt; &lt;div tabinde"&amp;"x = ""- 1"" class = ""airy-play- airy toggle-play ""style ="" width: 12px; margin-right: 12px; ""&gt; &lt;/ div&gt; &lt;div tabindex ="" - 1 ""class ="" airy-audio-elements ""style ="" float: right; width: 34px; ""&gt; &lt;div tabindex ="" - 1 ""class ="" airy-audio-toggle"&amp;" airy-on ""&gt; &lt;/ div&gt; &lt;div tabindex ="" - 1 ""class ="" airy-audio-container ""style = ""opacity: 0; visibility: hidden; ""&gt; &lt;div tabindex ="" - 1 ""class ="" airy-audio-track-bar ""style ="" height: 80%; ""&gt; &lt;div tabindex ="" - 1 ""class ="" airy-audio- S"&amp;"crubber-bar ""style ="" height: 85%; ""&gt; &lt;/ div&gt; &lt;div tabindex ="" - 1 ""class ="" airy-audio-scrubber ""style ="" height: 12px; bottom: 85% ""&gt; &lt;/ div&gt; &lt;/ div&gt; &lt;/ div&gt; &lt;/ div&gt; &lt;div tabindex ="" - 1 ""class ="" airy-duration-label ""style ="" float: right"&amp;"; width: 26px; margin-right: 4px; text-align: center; ""&gt; 0:24 &lt;/ div&gt; &lt;div tabindex ="" - 1 ""class ="" airy-track-bar-spacer-right ""style ="" float: right; width: 11px; ""&gt; &lt;/ div&gt; &lt;div tabindex ="" - 1 ""class ="" airy-track-bar-container ""style ="" "&amp;"margin-left: 35px; margin-right: 75px; ""&gt; &lt;div tabindex ="" - 1 ""class ="" airy-airy-track-bar vertically-centering-table ""&gt; &lt;div tabindex ="" - 1 ""class ="" airy-Vertical-centering- table-cell ""&gt; &lt;div tabindex ="" - 1 ""class ="" airy-track-bar-elem"&amp;"ents ""&gt; &lt;div tabindex ="" - 1 ""class ="" airy-progress-bar ""style ="" width: 43.4575%; ""&gt; &lt;/ div&gt; &lt;div tabindex ="" - 1 ""class ="" airy-scrubber-bar ""&gt; &lt;/ div&gt; &lt;div tabindex ="" - 1 ""class ="" airy-scrubber ""&gt; &lt;div tabindex ="" - 1 ""class ="" air"&amp;"y-scrubber-icon ""&gt; &lt;/ div&gt; &lt;div tabindex ="" - 1 ""class ="" airy-adjusted-AUI-tooltip ""style ="" opacity: 0; visibility: hidden; ""&gt; &lt;div tabindex ="" - 1 ""class ="" airy-adjusted-aui-tooltip-inner ""&gt; &lt;div tabindex ="" - 1 ""class ="" airy-current-ti"&amp;"me-label ""&gt; 0: 00 &lt;/ div&gt; &lt;/ div&gt; &lt;div tabindex = ""- 1"" class = ""airy-adjusted-AUI-arrow-border""&gt; &lt;div tabindex = ""- 1"" class = ""airy-adjusted-AUI-arrow"" &gt; &lt;/ div&gt; &lt;/ div&gt; &lt;/ div&gt; &lt;/ div&gt; &lt;/ div&gt; &lt;/ div&gt; &lt;/ div&gt; &lt;/ div&gt; &lt;/ div&gt; &lt;/ div&gt; &lt;div tabin"&amp;"dex = ""- 1"" class = ""airy-age-gate airy-stage airy-Vertical-centering-table airy-dialog"" style = ""opacity: 0; visibility: hidden; ""&gt; &lt;div tabindex ="" - 1 ""class ="" airy-age-gate-Vertical-centering-table-cell airy-Vertical-centering-table-cell ""&gt;"&amp;" &lt;div tabindex ="" - 1 ""class = ""airy-Vertical-centering-wrapper airy-age-gate-elements-wrapper""&gt; &lt;div tabindex = ""- 1"" class = ""airy-age-gate-elements airy-dialog-elements""&gt; &lt;div tabindex = "" -1 ""class ="" airy-age-gate-prompt ""&gt; This video is "&amp;"not Intended for all audiences What date were you born &lt;/ div&gt; &lt;div tabindex =.?"" - 1 ""class ="" airy-age-gate -inputs airy-dialog-inner-elements ""&gt; &lt;select tabindex ="" - 1 ""class ="" airy-age-gate-month ""&gt; &lt;option value ="" 1 ""&gt; January &lt;/ option&gt;"&amp;" &lt;option value ="" 2 ""&gt; February &lt;/ option&gt; &lt;option value ="" 3 ""&gt; March &lt;/ option&gt; &lt;option value ="" 4 ""&gt; April &lt;/ option&gt; &lt;option value ="" 5 ""&gt; May &lt;/ option&gt; &lt;option value = ""6""&gt; June &lt;/ option&gt; &lt;option value = ""7""&gt; July &lt;/ option&gt; &lt;option val"&amp;"ue = ""8""&gt; August &lt;/ option&gt; &lt;option value = ""9""&gt; September &lt;/ option&gt; &lt;option value = ""10""&gt; October &lt;/ option&gt; &lt;option value = ""11""&gt; November &lt;/ option&gt; &lt;option value = ""12""&gt; December &lt;/ option&gt; &lt;/ select&gt; &lt;select tabindex = ""- 1"" class = ""ai"&amp;"ry-age-gate-day""&gt; &lt;opti on value = ""1""&gt; 1 &lt;/ option&gt; &lt;option value = ""2""&gt; 2 &lt;/ option&gt; &lt;option value = ""3""&gt; 3 &lt;/ option&gt; &lt;option value = ""4""&gt; 4 &lt;/ option &gt; &lt;option value = ""5""&gt; 5 &lt;/ option&gt; &lt;option value = ""6""&gt; 6 &lt;/ option&gt; &lt;option value = """&amp;"7""&gt; 7 &lt;/ option&gt; &lt;option value = ""8""&gt; 8 &lt; / option&gt; &lt;option value = ""9""&gt; 9 &lt;/ option&gt; &lt;option value = ""10""&gt; 10 &lt;/ option&gt; &lt;option value = ""11""&gt; 11 &lt;/ option&gt; &lt;option value = ""12""&gt; 12 &lt;/ option&gt; &lt;option value = ""13""&gt; 13 &lt;/ option&gt; &lt;option valu"&amp;"e = ""14""&gt; 14 &lt;/ option&gt; &lt;option value = ""15""&gt; 15 &lt;/ option&gt; &lt;option value = ""16 ""&gt; 16 &lt;/ option&gt; &lt;option value ="" 17 ""&gt; 17 &lt;/ option&gt; &lt;option value ="" 18 ""&gt; 18 &lt;/ option&gt; &lt;option value ="" 19 ""&gt; 19 &lt;/ option&gt; &lt;option value = ""20""&gt; 20 &lt;/ optio"&amp;"n&gt; &lt;option value = ""21""&gt; 21 &lt;/ option&gt; &lt;option value = ""22""&gt; 22 &lt;/ option&gt; &lt;option value = ""23""&gt; 23 &lt;/ option&gt; &lt;option value = ""24""&gt; 24 &lt;/ option&gt; &lt;option value = ""25""&gt; 25 &lt;/ option&gt; &lt;option value = ""26""&gt; 26 &lt;/ option&gt; &lt;option value = ""27""&gt; "&amp;"27 &lt;/ option&gt; &lt;option value = ""28""&gt; 28 &lt;/ option&gt; &lt;option value = ""29""&gt; 29 &lt;/ option&gt; &lt;option value = ""30""&gt; 30 &lt;/ option&gt; &lt;option value = ""31""&gt; 31 &lt;/ option&gt; &lt;/ select&gt; &lt;select tabindex = ""- 1"" class = ""airy-age-gate-year""&gt; &lt;option value = ""2"&amp;"019""&gt; 2019 &lt;/ option&gt; &lt; option value = ""2018""&gt; 2018 &lt;/ option&gt; &lt;option value = ""2017""&gt; 2017 &lt;/ option&gt; &lt;option value = ""2016""&gt; ​​2016 &lt;/ option&gt; &lt;option value = ""2015""&gt; 2015 &lt;/ option &gt; &lt;option value = ""2014""&gt; 2014 &lt;/ option&gt; &lt;option value = """&amp;"2013""&gt; 2013 &lt;/ option&gt; &lt;option value = ""2012""&gt; 2012 &lt;/ option&gt; &lt;option value = ""2011""&gt; 2011 &lt; / option&gt; &lt;option value = ""2010""&gt; 2010 &lt;/ option&gt; &lt;option value = ""2009""&gt; 2009 &lt;/ option&gt; &lt;option value = ""2008""&gt; 2008 &lt;/ option&gt; &lt;option value = ""20"&amp;"07""&gt; 2007 &lt;/ option&gt; &lt;option value = ""2006""&gt; 2006 &lt;/ option&gt; &lt;option value = ""2005""&gt; 2005 &lt;/ option&gt; &lt;option value = ""2004""&gt; 2004 &lt;/ option&gt; &lt;option value = ""2003 ""&gt; 2003 &lt;/ option&gt; &lt;option value ="" 2002 ""&gt; 2002 &lt;/ option&gt; &lt;option value ="" 200"&amp;"1 ""&gt;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"&amp;"""&gt; 1989 &lt;/ option&gt; &lt;option value ="" 1988 ""&gt; 1988 &lt;/ option&gt; &lt;option value ="" 1987 ""&gt; 1987 &lt;/ option&gt; &lt;option value ="" 1986 ""&gt; 1986 &lt;/ option&gt; &lt;value option = ""1985""&gt; 1985 &lt;/ option&gt; &lt;option value = ""1984""&gt; 1984 &lt;/ option&gt; &lt;option value = ""1983"&amp;"""&gt; 1983 &lt;/ option&gt; &lt;option value = ""1982""&gt; 1982 &lt;/ option&gt; &lt; option value = ""1981""&gt; 1981 &lt;/ option&gt; &lt;option value = ""1980""&gt; 1980 &lt;/ option&gt; &lt;option value = ""1979""&gt; 1979 &lt;/ option&gt; &lt;option value = ""1978""&gt; 1978 &lt;/ option &gt; &lt;option value = ""1977"&amp;"""&gt; 1977 &lt;/ option&gt; &lt;option value = ""1976""&gt; 1976 &lt;/ option&gt; &lt;option value = ""1975""&gt; 1975 &lt;/ option&gt; &lt;option value = ""1974""&gt; 1974 &lt; / option&gt; &lt;option value = ""1973""&gt; 1973 &lt;/ option&gt; &lt;option value = ""1972""&gt; 1972 &lt;/ option&gt; &lt;option value = ""1971"""&amp;"&gt; 1971 &lt;/ option&gt; &lt;option value = ""1970""&gt; 1970 &lt;/ option&gt; &lt;option value = ""1969""&gt; 1969 &lt;/ option&gt; &lt;option value = ""1968""&gt; 1968 &lt;/ option&gt; &lt;option value = ""1967""&gt; 1967 &lt;/ option&gt; &lt;option value = ""1966 ""&gt; 1966 &lt;/ option&gt; &lt;option value ="" 1965 ""&gt;"&amp;" 1965 &lt;/ option&gt; &lt;option value ="" 1964 ""&gt; 1964 &lt;/ option&gt; &lt;option value ="" 1963 ""&gt; 1963 &lt;/ option&gt; &lt;option value = ""1962""&gt; 1962 &lt;/ option&gt; &lt;option value = ""1961""&gt; 1961 &lt;/ option&gt; &lt;option value = ""1960""&gt; 1960 &lt;/ op tion&gt; &lt;option value = ""1959""&gt;"&amp;" 1959 &lt;/ option&gt; &lt;option value = ""1958""&gt; 1958 &lt;/ option&gt; &lt;option value = ""1957""&gt; 1957 &lt;/ option&gt; &lt;option value = ""1956""&gt; 1956 &lt;/ option&gt; &lt;option value = ""1955""&gt; 1955 &lt;/ option&gt; &lt;option value = ""1954""&gt; 1954 &lt;/ option&gt; &lt;option value = ""1953""&gt; 19"&amp;"53 &lt;/ option&gt; &lt;option value = ""1952"" &gt; 1952 &lt;/ option&gt; &lt;option value = ""1951""&gt; 1951 &lt;/ option&gt; &lt;option value = ""1950""&gt; 1950 &lt;/ option&gt; &lt;option value = ""1949""&gt; 1949 &lt;/ option&gt; &lt;option value = "" 1948 ""&gt; 1948 &lt;/ option&gt; &lt;option value ="" 1947 ""&gt; 1"&amp;"947 &lt;/ option&gt; &lt;option value ="" 1946 ""&gt; 1946 &lt;/ option&gt; &lt;option value ="" 1945 ""&gt; 1945 &lt;/ option&gt; &lt;value option = ""1944""&gt; 1944 &lt;/ option&gt; &lt;option value = ""1943""&gt; 1943 &lt;/ option&gt; &lt;option value = ""1942""&gt; 1942 &lt;/ option&gt; &lt;option value = ""1941""&gt; 19"&amp;"41 &lt;/ option&gt; &lt; option value = ""1940""&gt; 1940 &lt;/ option&gt; &lt;option value = ""1939""&gt; 1939 &lt;/ option&gt; &lt;option value = ""1938""&gt; 1938 &lt;/ option&gt; &lt;option value = ""1937""&gt; 1937 &lt;/ option &gt; &lt;option value = ""1936""&gt; 1936 &lt;/ option&gt; &lt;option value = ""1935""&gt; 193"&amp;"5 &lt;/ option&gt; &lt;option value = ""1934""&gt; 1934 &lt;/ option&gt; &lt;option value = ""1933""&gt; 1933 &lt; / option&gt; &lt;option value = ""1932""&gt; 1932 &lt;/ option&gt; &lt;option value = ""1931""&gt; 1931 &lt;/ option&gt; &lt;option v alue = ""1930""&gt; 1930 &lt;/ option&gt; &lt;option value = ""1929""&gt; 1929"&amp;" &lt;/ option&gt; &lt;option value = ""1928""&gt; 1928 &lt;/ option&gt; &lt;option value = ""1927""&gt; 1927 &lt;/ option&gt; &lt;option value = ""1926""&gt; 1926 &lt;/ option&gt; &lt;option value = ""1925""&gt; 1925 &lt;/ option&gt; &lt;option value = ""1924""&gt; 1924 &lt;/ option&gt; &lt;option value = ""1923""&gt; 1923 &lt;/"&amp;" option&gt; &lt;option value = ""1922""&gt; 1922 &lt;/ option&gt; &lt;option value = ""1921""&gt; 1921 &lt;/ option&gt; &lt;option value = ""1920""&gt; 1920 &lt;/ option&gt; &lt;option value = ""1919""&gt; 1919 &lt;/ option&gt; &lt;option value = ""1918""&gt; 1918 &lt;/ option&gt; &lt;option value = ""1917""&gt; 1917 &lt;/ op"&amp;"tion&gt; &lt;option value = ""1916""&gt; 1916 &lt;/ option&gt; &lt;option value = ""1915"" &gt; 1915 &lt;/ option&gt; &lt;option value = ""1914""&gt; 1914 &lt;/ option&gt; &lt;option value = ""1913""&gt; 1913 &lt;/ option&gt; &lt;option value = ""1912""&gt; 1912 &lt;/ option&gt; &lt;option value = "" 1911 ""&gt; 1911 &lt;/ op"&amp;"tion&gt; &lt;option value ="" 1910 ""&gt; 1910 &lt;/ option&gt; &lt;option value ="" 1909 ""&gt; 1909 &lt;/ option&gt; &lt;option value ="" 1908 ""&gt; 1908 &lt;/ option&gt; &lt;value option = ""1907""&gt; 1907 &lt;/ option&gt; &lt;option value = ""1906""&gt; 1906 &lt;/ option&gt; &lt;option value = ""1905""&gt; 1905 &lt;/ op"&amp;"tion&gt; &lt;option value = ""1904""&gt; 1904 &lt;/ option&gt; &lt; option value = ""1903""&gt; 1903 &lt;/ option&gt; &lt;option value = ""1902""&gt; 1902 &lt;/ option&gt; &lt;option value = ""1901""&gt; 19 01 &lt;/ option&gt; &lt;option value = ""1900""&gt; 1900 &lt;/ option&gt; &lt;/ select&gt; &lt;div tabindex = ""- 1"" cl"&amp;"ass = ""airy-age-gate-submit airy-submit-button airy airy-submit- disabled ""&gt; Submit &lt;/ div&gt; &lt;/ div&gt; &lt;/ div&gt; &lt;/ div&gt; &lt;/ div&gt; &lt;/ div&gt; &lt;div tabindex ="" - 1 ""class ="" airy-install-flash-dialog airy-stage airy -vertical-centering-table-dialog airy airy-de"&amp;"nied ""style ="" opacity: 0; visibility: hidden; ""&gt; &lt;div tabindex ="" - 1 ""class ="" airy-install-flash-Vertical-centering-table-cell airy-Vertical-centering-table-cell ""&gt; &lt;div tabindex ="" - 1 ""class = ""airy-Vertical-centering-wrapper airy-install-f"&amp;"lash-elements-wrapper""&gt; &lt;div tabindex = ""- 1"" class = ""airy-install-flash-elements airy-dialog-elements""&gt; &lt;div tabindex = "" -1 ""class ="" airy-install-flash-prompt ""&gt; Adobe Flash Player is required to watch this video &lt;/ div&gt; &lt;div tabindex =."" - "&amp;"1 ""class ="" airy-install-flash-button-wrapper airy -dialog-inner-elements ""&gt; &lt;div tabindex ="" - 1 ""class ="" airy-install-flash-button airy-button ""&gt; install Flash Player &lt;/ div&gt; &lt;/ div&gt; &lt;/ div&gt; &lt;/ div&gt; &lt;/ div&gt; &lt;/ div&gt; &lt;div tabindex = ""- 1"" class "&amp;"= ""airy-video-unsupported-dialog airy-stage airy-Vertical-centering-table airy-dialog airy-denied"" style = ""opacity: 0; visibility: hidden; ""&gt; &lt;div tabindex ="" - 1 ""class ="" airy-video-unsupported-Vertical-centering-table-cell airy-Vertical-centeri"&amp;"ng-table-cell ""&gt; &lt;div tabindex ="" - 1 ""class = ""airy-Vertical-centering-wrapper airy-video-unsupported-elements-wrapper""&gt; &lt;div tabindex = ""- 1"" class = ""airy-video-unsupported-elements airy-dialog-elements""&gt; &lt;div tabindex = "" -1 ""class ="" airy"&amp;"-video-unsupported-prompt ""&gt; &lt;/ div&gt; &lt;/ div&gt; &lt;/ div&gt; &lt;/ div&gt; &lt;/ div&gt; &lt;div tabindex ="" - 1 ""class ="" airy-loading- spinner-stage airy-stage ""&gt; &lt;div tabindex ="" - 1 ""class ="" airy-loading-spinner-Vertical-centering-table-cell airy-Vertical-centering"&amp;"-table-cell ""&gt; &lt;div tabindex ="" - 1 ""class ="" airy-loading-spinner-container airy-scalable-hint-container ""&gt; &lt;div tabindex ="" - 1 ""class ="" airy-loading-spinner-dummy airy-scalable-dummy ""&gt; &lt;/ div&gt; &lt; div tabindex = ""- 1"" class = ""airy-loading-"&amp;"spinner airy-hint"" style = ""visibility: hidden;""&gt; &lt;/ div&gt; &lt;/ div&gt; &lt;/ div&gt; &lt;/ div&gt; &lt;div tabindex = ""- 1 ""class ="" airy-ads-screen-size-toggle airy-screen-size-toggle-fullscreen airy ""style ="" visibility: hidden; ""&gt; &lt;/ div&gt; &lt;div tabindex = ""-1"" c"&amp;"lass = ""airy-ad-prompt-container"" style = ""visibility: hidden;""&gt; &lt;div tabindex = ""- 1"" class = ""airy-ad-prompt-Vertical-centering-table-vertically airy centering-table ""&gt; &lt;div tabindex ="" - 1 ""class ="" airy-ad-prompt-Vertical-centering-table-ce"&amp;"ll airy-Vertical-centering-table-cell ""&gt; &lt;div tabindex ="" - 1 ""class = ""airy-ad-prompt-label""&gt; &lt;/ div&gt; &lt;/ div&gt; &lt;/ div&gt; &lt;/ div&gt; &lt;div tabindex = ""- 1"" class = ""airy-ads-controls-container"" style = ""visibility: hidden; ""&gt; &lt;div tabindex ="" - 1 ""c"&amp;"lass ="" airy-ads-audio-toggle airy-audio-toggle airy-on ""style ="" visibility: hidden; ""&gt; &lt;/ div&gt; &lt;div tabindex ="" - 1 ""class ="" airy-time-remaining-label-container ""&gt; &lt;div tabindex ="" - 1 ""class ="" airy-time-remaining-Vertical-centering-table a"&amp;"iry-Vertical-centering-table ""&gt; &lt;div tabindex = ""- 1"" class = ""airy-time-remaining-Vertical-centering-table-cell airy-Vertical-centering-table-cell""&gt; &lt;div tabindex = ""- 1"" class = ""airy-Vertical-centering-wrapper airy-time-remaining-label-wrapper "&amp;"""&gt; &lt;div tabindex ="" - 1 ""class ="" airy-time-remaining-label ""style ="" visibility: hidden; ""&gt; &lt;/ div&gt; &lt;div tabi ndex = ""- 1"" class = ""airy-ad-skip"" style = ""visibility: hidden;""&gt; &lt;/ div&gt; &lt;div tabindex = ""- 1"" class = ""airy-ad-end"" style = "&amp;"""visibility: hidden ""&gt; &lt;/ div&gt; &lt;/ div&gt; &lt;/ div&gt; &lt;/ div&gt; &lt;/ div&gt; &lt;div tabindex ="" - 1 ""class ="" airy-learn-more ""style ="" visibility: hidden; ""&gt; &lt;/ div&gt; &lt;/ div&gt; &lt;div tabindex = ""- 1"" class = ""airy-play-toggle-hint-stage airy-stage airy-cursor""&gt; "&amp;"&lt;div tabindex = ""- 1"" class = ""airy-play -toggle-hint-Vertical-centering-table-cell airy-Vertical-centering-table-cell airy-cursor ""&gt; &lt;div tabindex ="" - 1 ""class ="" airy-play-toggle-hint-container airy-scalable- Hint-container ""&gt; &lt;div tabindex ="""&amp;" - 1 ""class ="" airy-play-toggle-hint-dummy airy-scalable-dummy ""&gt; &lt;/ div&gt; &lt;div tabindex ="" - 1 ""class ="" airy-play -toggle-hint hint airy-airy-play-hint ""style ="" opacity: 1; visibility: visible; ""&gt; &lt;/ div&gt; &lt;/ div&gt; &lt;/ div&gt; &lt;/ div&gt; &lt;div tabindex ="&amp;""" - 1 ""class ="" airy-replay-hint-stage airy-stage ""style ="" visibility: hidden ; ""&gt; &lt;div tabindex ="" - 1 ""class ="" airy-replay-hint-Vertical-centering-table-cell airy-Vertical-centering-table-cell airy-cursor ""&gt; &lt;div tabindex ="" - 1 ""class = "&amp;"""airy-replay-hint-container airy-scalable-hint-container""&gt; &lt;div tabindex = ""- 1"" class = ""airy-replay-hint-dummy airy-scalable-dummy""&gt; &lt;/ div&gt; &lt;div tabindex = ""- 1"" class = ""airy-replay-hint airy-hint""&gt; &lt;/ div&gt; &lt;/ div&gt; &lt;/ div&gt; &lt;/ div&gt; &lt;div tabin"&amp;"dex = ""- 1"" class = ""airy-autoplay-hint -stage airy-stage ""style ="" visibility: hidden; ""&gt; &lt;div tabindex ="" - 1 ""class ="" airy-autoplay-hint-Vertical-centering-table-cell airy-Vertical-centering-table-cell airy- cursor ""&gt; &lt;div tabindex ="" - 1 "&amp;"""class ="" autoplay airy-airy-hint-container-scalable-hint-container ""&gt; &lt;div tabindex ="" - 1 ""class ="" airy-autoplay-hint-dummy airy- scalable-dummy ""&gt; &lt;/ div&gt; &lt;/ div&gt; &lt;/ div&gt; &lt;/ div&gt; &lt;/ div&gt; &lt;/ div&gt; &lt;input type ="" hidden ""name ="" ""value ="" htt"&amp;"ps: // images-eu .ssl-images-amazon.com / images / I / A15F7z3n5WS.mp4 ""Class ="" video-url ""&gt; &lt;input type ="" hidden ""name ="" ""value ="" https://images-eu.ssl-images-amazon.com/images/I/91zJEB8tXPS.png ""class ="" video-slate-img-url ""&gt; &amp; nbsp; Mal"&amp;" me lasted four months. And the unbootable PC beeps disk is defective. Do not understand how this can happen, supposedly is a mark of quality, and ink sweated to get all the information before he died, that if at least warned me. else it had a program to "&amp;"test ..... make the disk and gave me was in good condition .. because it will be no. indeed I ordered a hard drive of a tb and sent me two. It would be refitted to what I keep silent? ... haver if I change ..")</f>
        <v>I went wrong .. &lt;div id = "video-block-R7K6I2FKF2H0L" class = "a-section a-spacing-small a-spacing-top mini video-block"&gt; &lt;div tabindex = "0" class = "airy airy-svg vmin-unsupported airy-skin-beacon "style =" background-color: rgb (0, 0, 0) position: relative; width: 100%; height: 100%; font-size: 0px; overflow: hidden; outline: none; "&gt; &lt;div class =" airy-renderer-container "style =" position: relative; height: 100%; width: 100%; "&gt; &lt;video id =" 15 "preload =" auto " src = "https://images-eu.ssl-images-amazon.com/images/I/A15F7z3n5WS.mp4" style = "position: absolute; left: 0px; top: 0px; overflow: hidden; height: 1px; width: 1px; "&gt; &lt;/ video&gt; &lt;/ div&gt; &lt;div id =" airy-slate-preload "style =" background-color: rgb (0, 0, 0); background-image: url (&amp; quot; https : //images-eu.ssl-images-amazon.com/images/I/91zJEB8tXPS.png&amp;quot;); background-size: Contain; background-position: center center; background-repeat: no-repeat; position: absolute; top: 0px; left: 0px; visibility: visible; width: 100%; height: 100%; "&gt; &lt;/ div&gt; &lt;iframe scrollin 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0:24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43.4575%;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A15F7z3n5WS.mp4 "Class =" video-url "&gt; &lt;input type =" hidden "name =" "value =" https://images-eu.ssl-images-amazon.com/images/I/91zJEB8tXPS.png "class =" video-slate-img-url "&gt; &amp; nbsp; Mal me lasted four months. And the unbootable PC beeps disk is defective. Do not understand how this can happen, supposedly is a mark of quality, and ink sweated to get all the information before he died, that if at least warned me. else it had a program to test ..... make the disk and gave me was in good condition .. because it will be no. indeed I ordered a hard drive of a tb and sent me two. It would be refitted to what I keep silent? ... haver if I change ..</v>
      </c>
    </row>
    <row r="15617">
      <c r="A15617" s="1">
        <v>1.0</v>
      </c>
      <c r="B15617" s="1" t="s">
        <v>15477</v>
      </c>
      <c r="C15617" t="str">
        <f>IFERROR(__xludf.DUMMYFUNCTION("GOOGLETRANSLATE(B15617, ""es"", ""en"")"),"Purchased Rota on 8 November, with just 10 hours of recording with my GoPro (normal conditions), it is no longer recognized. I hope some solution by SANDISK")</f>
        <v>Purchased Rota on 8 November, with just 10 hours of recording with my GoPro (normal conditions), it is no longer recognized. I hope some solution by SANDISK</v>
      </c>
    </row>
    <row r="15618">
      <c r="A15618" s="1">
        <v>1.0</v>
      </c>
      <c r="B15618" s="1" t="s">
        <v>15478</v>
      </c>
      <c r="C15618" t="str">
        <f>IFERROR(__xludf.DUMMYFUNCTION("GOOGLETRANSLATE(B15618, ""es"", ""en"")"),"Pour milk After a few weeks of use milk is poured out of the thread, no matter what tightening terms. Disappointment that this brand is good.")</f>
        <v>Pour milk After a few weeks of use milk is poured out of the thread, no matter what tightening terms. Disappointment that this brand is good.</v>
      </c>
    </row>
    <row r="15619">
      <c r="A15619" s="1">
        <v>4.0</v>
      </c>
      <c r="B15619" s="1" t="s">
        <v>15479</v>
      </c>
      <c r="C15619" t="str">
        <f>IFERROR(__xludf.DUMMYFUNCTION("GOOGLETRANSLATE(B15619, ""es"", ""en"")"),"Excellent sound gives these headphones sound is sublime. Powerful bass and a very good clarity. I am very happy with them. The missing star is because by design, pin going down is separated from the face and just separate enough from the original position"&amp;", but it may be my own anatomy, I do not know, although I only happens with this type headset. I still recommend purchase at 100%.")</f>
        <v>Excellent sound gives these headphones sound is sublime. Powerful bass and a very good clarity. I am very happy with them. The missing star is because by design, pin going down is separated from the face and just separate enough from the original position, but it may be my own anatomy, I do not know, although I only happens with this type headset. I still recommend purchase at 100%.</v>
      </c>
    </row>
    <row r="15620">
      <c r="A15620" s="1">
        <v>4.0</v>
      </c>
      <c r="B15620" s="1" t="s">
        <v>15480</v>
      </c>
      <c r="C15620" t="str">
        <f>IFERROR(__xludf.DUMMYFUNCTION("GOOGLETRANSLATE(B15620, ""es"", ""en"")"),"very good price quality First say that transportation was rapidissimo without any kind of incident. The mixer itself is simple to use and it took a month and so far everything perfect and clean great !! power is more than enough ...")</f>
        <v>very good price quality First say that transportation was rapidissimo without any kind of incident. The mixer itself is simple to use and it took a month and so far everything perfect and clean great !! power is more than enough ...</v>
      </c>
    </row>
    <row r="15621">
      <c r="A15621" s="1">
        <v>4.0</v>
      </c>
      <c r="B15621" s="1" t="s">
        <v>15481</v>
      </c>
      <c r="C15621" t="str">
        <f>IFERROR(__xludf.DUMMYFUNCTION("GOOGLETRANSLATE(B15621, ""es"", ""en"")"),"Well correct Value")</f>
        <v>Well correct Value</v>
      </c>
    </row>
    <row r="15622">
      <c r="A15622" s="1">
        <v>4.0</v>
      </c>
      <c r="B15622" s="1" t="s">
        <v>15482</v>
      </c>
      <c r="C15622" t="str">
        <f>IFERROR(__xludf.DUMMYFUNCTION("GOOGLETRANSLATE(B15622, ""es"", ""en"")"),"Cancellation wonderful but bad microphone. Noise cancellation is wonderful, is not perfect because it does not work very well in environments with unusual noises such as ambulances. The Bluetooth connection delay is very small, you get to perceive but is "&amp;"almost nil. But it has a big problem with the microphone does not work well in noisy environments. Its quality is below average generic wired headset. unfinished business to improve for future releases.")</f>
        <v>Cancellation wonderful but bad microphone. Noise cancellation is wonderful, is not perfect because it does not work very well in environments with unusual noises such as ambulances. The Bluetooth connection delay is very small, you get to perceive but is almost nil. But it has a big problem with the microphone does not work well in noisy environments. Its quality is below average generic wired headset. unfinished business to improve for future releases.</v>
      </c>
    </row>
    <row r="15623">
      <c r="A15623" s="1">
        <v>5.0</v>
      </c>
      <c r="B15623" s="1" t="s">
        <v>11892</v>
      </c>
      <c r="C15623" t="str">
        <f>IFERROR(__xludf.DUMMYFUNCTION("GOOGLETRANSLATE(B15623, ""es"", ""en"")"),"excellent")</f>
        <v>excellent</v>
      </c>
    </row>
    <row r="15624">
      <c r="A15624" s="1">
        <v>5.0</v>
      </c>
      <c r="B15624" s="1" t="s">
        <v>15483</v>
      </c>
      <c r="C15624" t="str">
        <f>IFERROR(__xludf.DUMMYFUNCTION("GOOGLETRANSLATE(B15624, ""es"", ""en"")"),"Q HOPING TO THE PERFECT corresponds perfectly to what I expected from THE PRODUCT. TIME AND WORKS PERFECTLY. BELT AND CAN ADAPT TO THE WRIST very easily.")</f>
        <v>Q HOPING TO THE PERFECT corresponds perfectly to what I expected from THE PRODUCT. TIME AND WORKS PERFECTLY. BELT AND CAN ADAPT TO THE WRIST very easily.</v>
      </c>
    </row>
    <row r="15625">
      <c r="A15625" s="1">
        <v>5.0</v>
      </c>
      <c r="B15625" s="1" t="s">
        <v>15484</v>
      </c>
      <c r="C15625" t="str">
        <f>IFERROR(__xludf.DUMMYFUNCTION("GOOGLETRANSLATE(B15625, ""es"", ""en"")"),"Quality product is an electric blanket with the right size, 30x60 cm, ideal for back or waist, but on the shoulders or knees is great. The tissue is very warm and cushioning aspect. It has a thermostat with 4 power levels, but at 4 no longer stand the hea"&amp;"t. Long noticed that it is a quality product and can get into the washer if necessary. I recommend it with confidence.")</f>
        <v>Quality product is an electric blanket with the right size, 30x60 cm, ideal for back or waist, but on the shoulders or knees is great. The tissue is very warm and cushioning aspect. It has a thermostat with 4 power levels, but at 4 no longer stand the heat. Long noticed that it is a quality product and can get into the washer if necessary. I recommend it with confidence.</v>
      </c>
    </row>
    <row r="15626">
      <c r="A15626" s="1">
        <v>5.0</v>
      </c>
      <c r="B15626" s="1" t="s">
        <v>7476</v>
      </c>
      <c r="C15626" t="str">
        <f>IFERROR(__xludf.DUMMYFUNCTION("GOOGLETRANSLATE(B15626, ""es"", ""en"")"),"Everything Ok ok")</f>
        <v>Everything Ok ok</v>
      </c>
    </row>
    <row r="15627">
      <c r="A15627" s="1">
        <v>5.0</v>
      </c>
      <c r="B15627" s="1" t="s">
        <v>15485</v>
      </c>
      <c r="C15627" t="str">
        <f>IFERROR(__xludf.DUMMYFUNCTION("GOOGLETRANSLATE(B15627, ""es"", ""en"")"),"Quality / Price 'Perfect !!! Wonder device. It does not need a broom dustpan. Functional, comfortable and with a long battery life. I have a few months ago and have waited to try it with all its functions. Enough a flat of 90 m2, even passing dust with sh"&amp;"ort brush. I bought both a high-end vacuum cleaner for carpets and hardly use it, because it sucks very well on all surfaces. Not worth spending a fortune on more famous brands.")</f>
        <v>Quality / Price 'Perfect !!! Wonder device. It does not need a broom dustpan. Functional, comfortable and with a long battery life. I have a few months ago and have waited to try it with all its functions. Enough a flat of 90 m2, even passing dust with short brush. I bought both a high-end vacuum cleaner for carpets and hardly use it, because it sucks very well on all surfaces. Not worth spending a fortune on more famous brands.</v>
      </c>
    </row>
    <row r="15628">
      <c r="A15628" s="1">
        <v>5.0</v>
      </c>
      <c r="B15628" s="1" t="s">
        <v>15486</v>
      </c>
      <c r="C15628" t="str">
        <f>IFERROR(__xludf.DUMMYFUNCTION("GOOGLETRANSLATE(B15628, ""es"", ""en"")"),"Good Very good and comfortable")</f>
        <v>Good Very good and comfortable</v>
      </c>
    </row>
    <row r="15629">
      <c r="A15629" s="1">
        <v>5.0</v>
      </c>
      <c r="B15629" s="1" t="s">
        <v>15487</v>
      </c>
      <c r="C15629" t="str">
        <f>IFERROR(__xludf.DUMMYFUNCTION("GOOGLETRANSLATE(B15629, ""es"", ""en"")"),"Good reliable")</f>
        <v>Good reliable</v>
      </c>
    </row>
    <row r="15630">
      <c r="A15630" s="1">
        <v>5.0</v>
      </c>
      <c r="B15630" s="1" t="s">
        <v>15488</v>
      </c>
      <c r="C15630" t="str">
        <f>IFERROR(__xludf.DUMMYFUNCTION("GOOGLETRANSLATE(B15630, ""es"", ""en"")"),"Very good buy The presenter took using it daily several days ago and goes perfectly. It has a size that makes it very manageable and is very ergonomic. Touch control is super nice and is very intuitive so I even had to read instructions. Most important of"&amp;" all is that its operation is simple and practical. Highly recommended...")</f>
        <v>Very good buy The presenter took using it daily several days ago and goes perfectly. It has a size that makes it very manageable and is very ergonomic. Touch control is super nice and is very intuitive so I even had to read instructions. Most important of all is that its operation is simple and practical. Highly recommended...</v>
      </c>
    </row>
    <row r="15631">
      <c r="A15631" s="1">
        <v>5.0</v>
      </c>
      <c r="B15631" s="1" t="s">
        <v>15489</v>
      </c>
      <c r="C15631" t="str">
        <f>IFERROR(__xludf.DUMMYFUNCTION("GOOGLETRANSLATE(B15631, ""es"", ""en"")"),"Quality and flexibility This driver has many virtues and all with the quality of AKAI. The pads have a very good sensitivity and color customization is very comfortable to record with drumkits or samplers. Fully compatible with Ableton.")</f>
        <v>Quality and flexibility This driver has many virtues and all with the quality of AKAI. The pads have a very good sensitivity and color customization is very comfortable to record with drumkits or samplers. Fully compatible with Ableton.</v>
      </c>
    </row>
    <row r="15632">
      <c r="A15632" s="1">
        <v>5.0</v>
      </c>
      <c r="B15632" s="1" t="s">
        <v>15490</v>
      </c>
      <c r="C15632" t="str">
        <f>IFERROR(__xludf.DUMMYFUNCTION("GOOGLETRANSLATE(B15632, ""es"", ""en"")"),"Terrific wine well and works perfectly.")</f>
        <v>Terrific wine well and works perfectly.</v>
      </c>
    </row>
    <row r="15633">
      <c r="A15633" s="1">
        <v>5.0</v>
      </c>
      <c r="B15633" s="1" t="s">
        <v>15491</v>
      </c>
      <c r="C15633" t="str">
        <f>IFERROR(__xludf.DUMMYFUNCTION("GOOGLETRANSLATE(B15633, ""es"", ""en"")"),"Comodisima BACKPACK IS IDEAL FOR WHEN YOU GO A WEEKEND AND DO NOT CARRY MANY THINGS GOING TO. Lotsa ENTERING AND NO PESA NADA.PEFERCTA")</f>
        <v>Comodisima BACKPACK IS IDEAL FOR WHEN YOU GO A WEEKEND AND DO NOT CARRY MANY THINGS GOING TO. Lotsa ENTERING AND NO PESA NADA.PEFERCTA</v>
      </c>
    </row>
    <row r="15634">
      <c r="A15634" s="1">
        <v>5.0</v>
      </c>
      <c r="B15634" s="1" t="s">
        <v>15492</v>
      </c>
      <c r="C15634" t="str">
        <f>IFERROR(__xludf.DUMMYFUNCTION("GOOGLETRANSLATE(B15634, ""es"", ""en"")"),"Great way to relax I love !!! After a long day, that's a relaxed way, easier")</f>
        <v>Great way to relax I love !!! After a long day, that's a relaxed way, easier</v>
      </c>
    </row>
    <row r="15635">
      <c r="A15635" s="1">
        <v>5.0</v>
      </c>
      <c r="B15635" s="1" t="s">
        <v>15493</v>
      </c>
      <c r="C15635" t="str">
        <f>IFERROR(__xludf.DUMMYFUNCTION("GOOGLETRANSLATE(B15635, ""es"", ""en"")"),"We love! We love it and use it to prepare both body lotion, soap, shampoo and to scent the environment. There is a good quality price relation. I will buy.")</f>
        <v>We love! We love it and use it to prepare both body lotion, soap, shampoo and to scent the environment. There is a good quality price relation. I will buy.</v>
      </c>
    </row>
    <row r="15636">
      <c r="A15636" s="1">
        <v>5.0</v>
      </c>
      <c r="B15636" s="1" t="s">
        <v>15494</v>
      </c>
      <c r="C15636" t="str">
        <f>IFERROR(__xludf.DUMMYFUNCTION("GOOGLETRANSLATE(B15636, ""es"", ""en"")"),"The laptop comes to life before my old macbook took to light a lot, several minutes even to get into the operating system. But putting a SSD everything changes. This Kingdian, although it is not known is cheap and also makes its function, now took with hi"&amp;"m more than 10 months and perfect. Like the first day. I recommend it to you.")</f>
        <v>The laptop comes to life before my old macbook took to light a lot, several minutes even to get into the operating system. But putting a SSD everything changes. This Kingdian, although it is not known is cheap and also makes its function, now took with him more than 10 months and perfect. Like the first day. I recommend it to you.</v>
      </c>
    </row>
    <row r="15637">
      <c r="A15637" s="1">
        <v>5.0</v>
      </c>
      <c r="B15637" s="1" t="s">
        <v>15495</v>
      </c>
      <c r="C15637" t="str">
        <f>IFERROR(__xludf.DUMMYFUNCTION("GOOGLETRANSLATE(B15637, ""es"", ""en"")"),"My daughter loves My 11 year old daughter have loved you! Just what I wanted. Comfortable and nice, if you like this style. Price adequate to the quality offered")</f>
        <v>My daughter loves My 11 year old daughter have loved you! Just what I wanted. Comfortable and nice, if you like this style. Price adequate to the quality offered</v>
      </c>
    </row>
    <row r="15638">
      <c r="A15638" s="1">
        <v>5.0</v>
      </c>
      <c r="B15638" s="1" t="s">
        <v>15496</v>
      </c>
      <c r="C15638" t="str">
        <f>IFERROR(__xludf.DUMMYFUNCTION("GOOGLETRANSLATE(B15638, ""es"", ""en"")"),"Precious Precious boots, beautiful, and what more can I say. They arrived much earlier than expected. Very good buy. The size corresponds.")</f>
        <v>Precious Precious boots, beautiful, and what more can I say. They arrived much earlier than expected. Very good buy. The size corresponds.</v>
      </c>
    </row>
    <row r="15639">
      <c r="A15639" s="1">
        <v>5.0</v>
      </c>
      <c r="B15639" s="1" t="s">
        <v>15497</v>
      </c>
      <c r="C15639" t="str">
        <f>IFERROR(__xludf.DUMMYFUNCTION("GOOGLETRANSLATE(B15639, ""es"", ""en"")"),"Good quality Perfect in September !!")</f>
        <v>Good quality Perfect in September !!</v>
      </c>
    </row>
    <row r="15640">
      <c r="A15640" s="1">
        <v>5.0</v>
      </c>
      <c r="B15640" s="1" t="s">
        <v>15498</v>
      </c>
      <c r="C15640" t="str">
        <f>IFERROR(__xludf.DUMMYFUNCTION("GOOGLETRANSLATE(B15640, ""es"", ""en"")"),"Price and quality for the price seems very successful. The sound is good and the battery lasts quite")</f>
        <v>Price and quality for the price seems very successful. The sound is good and the battery lasts quite</v>
      </c>
    </row>
    <row r="15641">
      <c r="A15641" s="1">
        <v>5.0</v>
      </c>
      <c r="B15641" s="1" t="s">
        <v>15499</v>
      </c>
      <c r="C15641" t="str">
        <f>IFERROR(__xludf.DUMMYFUNCTION("GOOGLETRANSLATE(B15641, ""es"", ""en"")"),"It seemed robust and reliable it really is. It is not heated and retractable nothing will be well protected. Perhaps so great too grade, ultra slim compared to that used before, but it gives a lot of security")</f>
        <v>It seemed robust and reliable it really is. It is not heated and retractable nothing will be well protected. Perhaps so great too grade, ultra slim compared to that used before, but it gives a lot of security</v>
      </c>
    </row>
    <row r="15642">
      <c r="A15642" s="1">
        <v>2.0</v>
      </c>
      <c r="B15642" s="1" t="s">
        <v>15500</v>
      </c>
      <c r="C15642" t="str">
        <f>IFERROR(__xludf.DUMMYFUNCTION("GOOGLETRANSLATE(B15642, ""es"", ""en"")"),"Not a good choice The size is normally use, but they are not very practical, the strips have little movement and tightened shoulders.")</f>
        <v>Not a good choice The size is normally use, but they are not very practical, the strips have little movement and tightened shoulders.</v>
      </c>
    </row>
    <row r="15643">
      <c r="A15643" s="1">
        <v>3.0</v>
      </c>
      <c r="B15643" s="1" t="s">
        <v>15501</v>
      </c>
      <c r="C15643" t="str">
        <f>IFERROR(__xludf.DUMMYFUNCTION("GOOGLETRANSLATE(B15643, ""es"", ""en"")"),"Small size is smaller than I expected and if the lavas shrinks")</f>
        <v>Small size is smaller than I expected and if the lavas shrinks</v>
      </c>
    </row>
    <row r="15644">
      <c r="A15644" s="1">
        <v>3.0</v>
      </c>
      <c r="B15644" s="1" t="s">
        <v>15502</v>
      </c>
      <c r="C15644" t="str">
        <f>IFERROR(__xludf.DUMMYFUNCTION("GOOGLETRANSLATE(B15644, ""es"", ""en"")"),"Comfortable but little lasting is a support very comfortable and has good size, the trouble is that as take a way (for having carried in a backpack or briefcase or something) and stays with her, does not return to its normal shape easily so in that aspect"&amp;" is a shame.")</f>
        <v>Comfortable but little lasting is a support very comfortable and has good size, the trouble is that as take a way (for having carried in a backpack or briefcase or something) and stays with her, does not return to its normal shape easily so in that aspect is a shame.</v>
      </c>
    </row>
    <row r="15645">
      <c r="A15645" s="1">
        <v>3.0</v>
      </c>
      <c r="B15645" s="1" t="s">
        <v>15503</v>
      </c>
      <c r="C15645" t="str">
        <f>IFERROR(__xludf.DUMMYFUNCTION("GOOGLETRANSLATE(B15645, ""es"", ""en"")"),"Very nice but pretty fragile chain")</f>
        <v>Very nice but pretty fragile chain</v>
      </c>
    </row>
    <row r="15646">
      <c r="A15646" s="1">
        <v>1.0</v>
      </c>
      <c r="B15646" s="1" t="s">
        <v>15504</v>
      </c>
      <c r="C15646" t="str">
        <f>IFERROR(__xludf.DUMMYFUNCTION("GOOGLETRANSLATE(B15646, ""es"", ""en"")"),"The perfect presentation product unusable unfortunately on this occasion the maxim that holds ""the cheap, expensive sale"". I bought this card in my brand new camera during a trip to Holland and what is my surprise when I go to use it and tells me that t"&amp;"he card is protected. The sack to remove the block using the tab on the left and ... No tab and rimless no well card, the first thing I'll do it tomorrow coming to Holland will look for a store to buy a card decent for the price me They want to sell = (")</f>
        <v>The perfect presentation product unusable unfortunately on this occasion the maxim that holds "the cheap, expensive sale". I bought this card in my brand new camera during a trip to Holland and what is my surprise when I go to use it and tells me that the card is protected. The sack to remove the block using the tab on the left and ... No tab and rimless no well card, the first thing I'll do it tomorrow coming to Holland will look for a store to buy a card decent for the price me They want to sell = (</v>
      </c>
    </row>
    <row r="15647">
      <c r="A15647" s="1">
        <v>4.0</v>
      </c>
      <c r="B15647" s="1" t="s">
        <v>15505</v>
      </c>
      <c r="C15647" t="str">
        <f>IFERROR(__xludf.DUMMYFUNCTION("GOOGLETRANSLATE(B15647, ""es"", ""en"")"),"Good / Very bad sound good, I received on May 3, June 10 stopped loading, I will try to make use of the guarantee it has not even reached two months, just enough not to return. I changed my assessment that have been contacted by offering a solution to the"&amp;" problem, have promised to send others, I am waiting to receive them.")</f>
        <v>Good / Very bad sound good, I received on May 3, June 10 stopped loading, I will try to make use of the guarantee it has not even reached two months, just enough not to return. I changed my assessment that have been contacted by offering a solution to the problem, have promised to send others, I am waiting to receive them.</v>
      </c>
    </row>
    <row r="15648">
      <c r="A15648" s="1">
        <v>4.0</v>
      </c>
      <c r="B15648" s="1" t="s">
        <v>15506</v>
      </c>
      <c r="C15648" t="str">
        <f>IFERROR(__xludf.DUMMYFUNCTION("GOOGLETRANSLATE(B15648, ""es"", ""en"")"),"I promised to deliver what the product arrived on time. I wanted it for my mother so I had to be easy to Lazar and use. Until today everything perfect.")</f>
        <v>I promised to deliver what the product arrived on time. I wanted it for my mother so I had to be easy to Lazar and use. Until today everything perfect.</v>
      </c>
    </row>
    <row r="15649">
      <c r="A15649" s="1">
        <v>4.0</v>
      </c>
      <c r="B15649" s="1" t="s">
        <v>15507</v>
      </c>
      <c r="C15649" t="str">
        <f>IFERROR(__xludf.DUMMYFUNCTION("GOOGLETRANSLATE(B15649, ""es"", ""en"")"),"Calentitas was a gift for my wife and she is very happy!")</f>
        <v>Calentitas was a gift for my wife and she is very happy!</v>
      </c>
    </row>
    <row r="15650">
      <c r="A15650" s="1">
        <v>4.0</v>
      </c>
      <c r="B15650" s="1" t="s">
        <v>15508</v>
      </c>
      <c r="C15650" t="str">
        <f>IFERROR(__xludf.DUMMYFUNCTION("GOOGLETRANSLATE(B15650, ""es"", ""en"")"),"well I think for the debolucion and re-buy the same product the same day I received it was Black Friday have taken me ten euros more think too abusive because it is a change in the size of the shoes this is aprobersache of ciscurtancias")</f>
        <v>well I think for the debolucion and re-buy the same product the same day I received it was Black Friday have taken me ten euros more think too abusive because it is a change in the size of the shoes this is aprobersache of ciscurtancias</v>
      </c>
    </row>
    <row r="15651">
      <c r="A15651" s="1">
        <v>4.0</v>
      </c>
      <c r="B15651" s="1" t="s">
        <v>15509</v>
      </c>
      <c r="C15651" t="str">
        <f>IFERROR(__xludf.DUMMYFUNCTION("GOOGLETRANSLATE(B15651, ""es"", ""en"")"),"Correa very dirty fulfills its function, even if the belt gets dirty two days ... and that gives look of old clock and neglected.")</f>
        <v>Correa very dirty fulfills its function, even if the belt gets dirty two days ... and that gives look of old clock and neglected.</v>
      </c>
    </row>
    <row r="15652">
      <c r="A15652" s="1">
        <v>5.0</v>
      </c>
      <c r="B15652" s="1" t="s">
        <v>15510</v>
      </c>
      <c r="C15652" t="str">
        <f>IFERROR(__xludf.DUMMYFUNCTION("GOOGLETRANSLATE(B15652, ""es"", ""en"")"),"They are well worth. The design of the cargo box is spectacular and simple at the same time. Also, the Bluetooth connection is safe, is not easily lost. They are sold in just one color, white, which is precisely my favorite color. I've spent time reading "&amp;"reviews about the product and it seems that are of great quality.")</f>
        <v>They are well worth. The design of the cargo box is spectacular and simple at the same time. Also, the Bluetooth connection is safe, is not easily lost. They are sold in just one color, white, which is precisely my favorite color. I've spent time reading reviews about the product and it seems that are of great quality.</v>
      </c>
    </row>
    <row r="15653">
      <c r="A15653" s="1">
        <v>5.0</v>
      </c>
      <c r="B15653" s="1" t="s">
        <v>15511</v>
      </c>
      <c r="C15653" t="str">
        <f>IFERROR(__xludf.DUMMYFUNCTION("GOOGLETRANSLATE(B15653, ""es"", ""en"")"),"does the job all right for connecting speakers")</f>
        <v>does the job all right for connecting speakers</v>
      </c>
    </row>
    <row r="15654">
      <c r="A15654" s="1">
        <v>5.0</v>
      </c>
      <c r="B15654" s="1" t="s">
        <v>15512</v>
      </c>
      <c r="C15654" t="str">
        <f>IFERROR(__xludf.DUMMYFUNCTION("GOOGLETRANSLATE(B15654, ""es"", ""en"")"),"Great bag is a product of a material seemingly strong, with the use of the time we see quality, but look good a very large size but in a perfect measure according to personal need very useful and comfortable")</f>
        <v>Great bag is a product of a material seemingly strong, with the use of the time we see quality, but look good a very large size but in a perfect measure according to personal need very useful and comfortable</v>
      </c>
    </row>
    <row r="15655">
      <c r="A15655" s="1">
        <v>5.0</v>
      </c>
      <c r="B15655" s="1" t="s">
        <v>15513</v>
      </c>
      <c r="C15655" t="str">
        <f>IFERROR(__xludf.DUMMYFUNCTION("GOOGLETRANSLATE(B15655, ""es"", ""en"")"),"Very beautiful and perfect perfect size. I use a 36 or xs. I measure 156 cm and I cover the ankle")</f>
        <v>Very beautiful and perfect perfect size. I use a 36 or xs. I measure 156 cm and I cover the ankle</v>
      </c>
    </row>
    <row r="15656">
      <c r="A15656" s="1">
        <v>5.0</v>
      </c>
      <c r="B15656" s="1" t="s">
        <v>15514</v>
      </c>
      <c r="C15656" t="str">
        <f>IFERROR(__xludf.DUMMYFUNCTION("GOOGLETRANSLATE(B15656, ""es"", ""en"")"),"Comfortable and with good headphones sound lightweight and comfortable due to the gums. The sound quality is good and also very easy to sync with iPhone. Good value for money.")</f>
        <v>Comfortable and with good headphones sound lightweight and comfortable due to the gums. The sound quality is good and also very easy to sync with iPhone. Good value for money.</v>
      </c>
    </row>
    <row r="15657">
      <c r="A15657" s="1">
        <v>5.0</v>
      </c>
      <c r="B15657" s="1" t="s">
        <v>15515</v>
      </c>
      <c r="C15657" t="str">
        <f>IFERROR(__xludf.DUMMYFUNCTION("GOOGLETRANSLATE(B15657, ""es"", ""en"")"),"PERFECTOS already had similar physical store bought boots so I already knew the sizes of the shoes. Both the finish and comfort them perfect. Fast delivery as always perfect. Lasting only half of what I lasted boots are already amortized.")</f>
        <v>PERFECTOS already had similar physical store bought boots so I already knew the sizes of the shoes. Both the finish and comfort them perfect. Fast delivery as always perfect. Lasting only half of what I lasted boots are already amortized.</v>
      </c>
    </row>
    <row r="15658">
      <c r="A15658" s="1">
        <v>5.0</v>
      </c>
      <c r="B15658" s="1" t="s">
        <v>15516</v>
      </c>
      <c r="C15658" t="str">
        <f>IFERROR(__xludf.DUMMYFUNCTION("GOOGLETRANSLATE(B15658, ""es"", ""en"")"),"Very good sound quality sound very good. I bought them for use by my children in car travel and the truth is that fit both the head of my children like mine without problem and with very good sound quality. Also the price is very good for the quality they"&amp;" have.")</f>
        <v>Very good sound quality sound very good. I bought them for use by my children in car travel and the truth is that fit both the head of my children like mine without problem and with very good sound quality. Also the price is very good for the quality they have.</v>
      </c>
    </row>
    <row r="15659">
      <c r="A15659" s="1">
        <v>5.0</v>
      </c>
      <c r="B15659" s="1" t="s">
        <v>15517</v>
      </c>
      <c r="C15659" t="str">
        <f>IFERROR(__xludf.DUMMYFUNCTION("GOOGLETRANSLATE(B15659, ""es"", ""en"")"),"It's great to watch the largest natural reflecting the picture. Good workmanship and tremendous presence. Elegant and well made. For this price it is a highly recommended purchase.")</f>
        <v>It's great to watch the largest natural reflecting the picture. Good workmanship and tremendous presence. Elegant and well made. For this price it is a highly recommended purchase.</v>
      </c>
    </row>
    <row r="15660">
      <c r="A15660" s="1">
        <v>5.0</v>
      </c>
      <c r="B15660" s="1" t="s">
        <v>15518</v>
      </c>
      <c r="C15660" t="str">
        <f>IFERROR(__xludf.DUMMYFUNCTION("GOOGLETRANSLATE(B15660, ""es"", ""en"")"),"Perfect for what I wanted is great for what we wanted. The only thing is that deposits are still not very large, but it is supposed to be the largest of this type of blenders. Otherwise, super powerful and very comfortable.")</f>
        <v>Perfect for what I wanted is great for what we wanted. The only thing is that deposits are still not very large, but it is supposed to be the largest of this type of blenders. Otherwise, super powerful and very comfortable.</v>
      </c>
    </row>
    <row r="15661">
      <c r="A15661" s="1">
        <v>5.0</v>
      </c>
      <c r="B15661" s="1" t="s">
        <v>15519</v>
      </c>
      <c r="C15661" t="str">
        <f>IFERROR(__xludf.DUMMYFUNCTION("GOOGLETRANSLATE(B15661, ""es"", ""en"")"),"They are the same as the photo I've loved")</f>
        <v>They are the same as the photo I've loved</v>
      </c>
    </row>
    <row r="15662">
      <c r="A15662" s="1">
        <v>5.0</v>
      </c>
      <c r="B15662" s="1" t="s">
        <v>15520</v>
      </c>
      <c r="C15662" t="str">
        <f>IFERROR(__xludf.DUMMYFUNCTION("GOOGLETRANSLATE(B15662, ""es"", ""en"")"),"Recommended For now been fulfilled. I keep trying")</f>
        <v>Recommended For now been fulfilled. I keep trying</v>
      </c>
    </row>
    <row r="15663">
      <c r="A15663" s="1">
        <v>5.0</v>
      </c>
      <c r="B15663" s="1" t="s">
        <v>15521</v>
      </c>
      <c r="C15663" t="str">
        <f>IFERROR(__xludf.DUMMYFUNCTION("GOOGLETRANSLATE(B15663, ""es"", ""en"")"),"q The description is just what I expected ... very fast heats")</f>
        <v>q The description is just what I expected ... very fast heats</v>
      </c>
    </row>
    <row r="15664">
      <c r="A15664" s="1">
        <v>5.0</v>
      </c>
      <c r="B15664" s="1" t="s">
        <v>15522</v>
      </c>
      <c r="C15664" t="str">
        <f>IFERROR(__xludf.DUMMYFUNCTION("GOOGLETRANSLATE(B15664, ""es"", ""en"")"),"Beautiful shirt. Good quality cotton. I love this shirt. Great value for the price. The size is perfect and very convenient. I appreciate the good quality of cotton. Very happy with this purchase.")</f>
        <v>Beautiful shirt. Good quality cotton. I love this shirt. Great value for the price. The size is perfect and very convenient. I appreciate the good quality of cotton. Very happy with this purchase.</v>
      </c>
    </row>
    <row r="15665">
      <c r="A15665" s="1">
        <v>5.0</v>
      </c>
      <c r="B15665" s="1" t="s">
        <v>15523</v>
      </c>
      <c r="C15665" t="str">
        <f>IFERROR(__xludf.DUMMYFUNCTION("GOOGLETRANSLATE(B15665, ""es"", ""en"")"),"Squeezed natural juices. This blender is good to make juices with fruit, vegetables or mixing both. I do not usually buy in supermarkets as it is unusual to find a 100% natural juices and also tend to be expensive. This option is an alternative, the soil "&amp;"used to make juice in large quantities, at the least 1L and this is because there are 5 pieces to clean up after, I think that for this reason is not the most appropriate to use the day to small quantities, however, perfectly fulfills its function and bui"&amp;"lding materials are good, with no imperfections. The diameter of the head allows to place some vegetables or small fruit whole and larger cut. Storage is not a big problem since its size is small medium shooting compared with other able to remove some par"&amp;"ts such as the head or the container of debris. Pluses + Easy to use. + Construction and design. + Easy to store. Minuses - Cleaning.")</f>
        <v>Squeezed natural juices. This blender is good to make juices with fruit, vegetables or mixing both. I do not usually buy in supermarkets as it is unusual to find a 100% natural juices and also tend to be expensive. This option is an alternative, the soil used to make juice in large quantities, at the least 1L and this is because there are 5 pieces to clean up after, I think that for this reason is not the most appropriate to use the day to small quantities, however, perfectly fulfills its function and building materials are good, with no imperfections. The diameter of the head allows to place some vegetables or small fruit whole and larger cut. Storage is not a big problem since its size is small medium shooting compared with other able to remove some parts such as the head or the container of debris. Pluses + Easy to use. + Construction and design. + Easy to store. Minuses - Cleaning.</v>
      </c>
    </row>
    <row r="15666">
      <c r="A15666" s="1">
        <v>5.0</v>
      </c>
      <c r="B15666" s="1" t="s">
        <v>15524</v>
      </c>
      <c r="C15666" t="str">
        <f>IFERROR(__xludf.DUMMYFUNCTION("GOOGLETRANSLATE(B15666, ""es"", ""en"")"),"As I have expected a few months and several washes and are like new")</f>
        <v>As I have expected a few months and several washes and are like new</v>
      </c>
    </row>
    <row r="15667">
      <c r="A15667" s="1">
        <v>5.0</v>
      </c>
      <c r="B15667" s="1" t="s">
        <v>15525</v>
      </c>
      <c r="C15667" t="str">
        <f>IFERROR(__xludf.DUMMYFUNCTION("GOOGLETRANSLATE(B15667, ""es"", ""en"")"),"very useful for organizing and micro sd's is a portfolio of small canvas, very useful for organizing memory cards. The finish is good and the rack does not engage. Recommended product.")</f>
        <v>very useful for organizing and micro sd's is a portfolio of small canvas, very useful for organizing memory cards. The finish is good and the rack does not engage. Recommended product.</v>
      </c>
    </row>
    <row r="15668">
      <c r="A15668" s="1">
        <v>5.0</v>
      </c>
      <c r="B15668" s="1" t="s">
        <v>15526</v>
      </c>
      <c r="C15668" t="str">
        <f>IFERROR(__xludf.DUMMYFUNCTION("GOOGLETRANSLATE(B15668, ""es"", ""en"")"),"Highly recommended mechanism is fairly simple, but very useful. I bought it because my 6 year old, took the pen strange way, so try corregirselo. It takes about writing weeks with this contraption and the principle complained a little, because he said he "&amp;"is not got by, but after a few days no longer say anything. And on top among peers he has been amused and everyone wants one. Highly recommended and very happy with the purchase.")</f>
        <v>Highly recommended mechanism is fairly simple, but very useful. I bought it because my 6 year old, took the pen strange way, so try corregirselo. It takes about writing weeks with this contraption and the principle complained a little, because he said he is not got by, but after a few days no longer say anything. And on top among peers he has been amused and everyone wants one. Highly recommended and very happy with the purchase.</v>
      </c>
    </row>
    <row r="15669">
      <c r="A15669" s="1">
        <v>5.0</v>
      </c>
      <c r="B15669" s="1" t="s">
        <v>15527</v>
      </c>
      <c r="C15669" t="str">
        <f>IFERROR(__xludf.DUMMYFUNCTION("GOOGLETRANSLATE(B15669, ""es"", ""en"")"),"👍 Monissima")</f>
        <v>👍 Monissima</v>
      </c>
    </row>
    <row r="15670">
      <c r="A15670" s="1">
        <v>5.0</v>
      </c>
      <c r="B15670" s="1" t="s">
        <v>15528</v>
      </c>
      <c r="C15670" t="str">
        <f>IFERROR(__xludf.DUMMYFUNCTION("GOOGLETRANSLATE(B15670, ""es"", ""en"")"),"My mother delighted My mother was hard to drain him .... Now he is happy .. moreover, has she told me to come here to tell you haha ​​... my mother is practical, so if you like is that cleans well, and it is easy to use .... why it hard to adapt to the ne"&amp;"w, it is lifelong")</f>
        <v>My mother delighted My mother was hard to drain him .... Now he is happy .. moreover, has she told me to come here to tell you haha ​​... my mother is practical, so if you like is that cleans well, and it is easy to use .... why it hard to adapt to the new, it is lifelong</v>
      </c>
    </row>
    <row r="15671">
      <c r="A15671" s="1">
        <v>2.0</v>
      </c>
      <c r="B15671" s="1" t="s">
        <v>15529</v>
      </c>
      <c r="C15671" t="str">
        <f>IFERROR(__xludf.DUMMYFUNCTION("GOOGLETRANSLATE(B15671, ""es"", ""en"")"),"Okay look good, but not me I po er for being allergic to metals other than silver etc")</f>
        <v>Okay look good, but not me I po er for being allergic to metals other than silver etc</v>
      </c>
    </row>
    <row r="15672">
      <c r="A15672" s="1">
        <v>3.0</v>
      </c>
      <c r="B15672" s="1" t="s">
        <v>15530</v>
      </c>
      <c r="C15672" t="str">
        <f>IFERROR(__xludf.DUMMYFUNCTION("GOOGLETRANSLATE(B15672, ""es"", ""en"")"),"Good for price Does what it says. For me it has a bug that I could remedy is that when recording is active, has an LED that indicates it and that's a bit flashy. I opened it without further problems and the LED tape as I could not draw the attention. The "&amp;"micro records fairly, ie do not have to be close to record. It is very sensitive, that's the word. Avoid having it with some moving to avoid a lot of noise. For that price is fine.")</f>
        <v>Good for price Does what it says. For me it has a bug that I could remedy is that when recording is active, has an LED that indicates it and that's a bit flashy. I opened it without further problems and the LED tape as I could not draw the attention. The micro records fairly, ie do not have to be close to record. It is very sensitive, that's the word. Avoid having it with some moving to avoid a lot of noise. For that price is fine.</v>
      </c>
    </row>
    <row r="15673">
      <c r="A15673" s="1">
        <v>1.0</v>
      </c>
      <c r="B15673" s="1" t="s">
        <v>15531</v>
      </c>
      <c r="C15673" t="str">
        <f>IFERROR(__xludf.DUMMYFUNCTION("GOOGLETRANSLATE(B15673, ""es"", ""en"")"),"! discomfort quickly")</f>
        <v>! discomfort quickly</v>
      </c>
    </row>
    <row r="15674">
      <c r="A15674" s="1">
        <v>1.0</v>
      </c>
      <c r="B15674" s="1" t="s">
        <v>15532</v>
      </c>
      <c r="C15674" t="str">
        <f>IFERROR(__xludf.DUMMYFUNCTION("GOOGLETRANSLATE(B15674, ""es"", ""en"")"),"Error in color I like the product but I came in a different color than the one I asked")</f>
        <v>Error in color I like the product but I came in a different color than the one I asked</v>
      </c>
    </row>
    <row r="15675">
      <c r="A15675" s="1">
        <v>1.0</v>
      </c>
      <c r="B15675" s="1" t="s">
        <v>15533</v>
      </c>
      <c r="C15675" t="str">
        <f>IFERROR(__xludf.DUMMYFUNCTION("GOOGLETRANSLATE(B15675, ""es"", ""en"")"),"How do I connect it to your computer? Buy this item, but the connection to the computer with the cable 3.5 does not detect the microphone, plus impetir you hear anything, how can you fix this? With other mics in this style I can not think")</f>
        <v>How do I connect it to your computer? Buy this item, but the connection to the computer with the cable 3.5 does not detect the microphone, plus impetir you hear anything, how can you fix this? With other mics in this style I can not think</v>
      </c>
    </row>
    <row r="15676">
      <c r="A15676" s="1">
        <v>4.0</v>
      </c>
      <c r="B15676" s="1" t="s">
        <v>15534</v>
      </c>
      <c r="C15676" t="str">
        <f>IFERROR(__xludf.DUMMYFUNCTION("GOOGLETRANSLATE(B15676, ""es"", ""en"")"),"A good buy bag very beautiful and elegant and quality, my husband loved you, size is the ideal, not the small reticule typically find everywhere for men. a good buy and a contented husband.")</f>
        <v>A good buy bag very beautiful and elegant and quality, my husband loved you, size is the ideal, not the small reticule typically find everywhere for men. a good buy and a contented husband.</v>
      </c>
    </row>
    <row r="15677">
      <c r="A15677" s="1">
        <v>4.0</v>
      </c>
      <c r="B15677" s="1" t="s">
        <v>15535</v>
      </c>
      <c r="C15677" t="str">
        <f>IFERROR(__xludf.DUMMYFUNCTION("GOOGLETRANSLATE(B15677, ""es"", ""en"")"),"Good product is perfect throughout. The only thing that seems not heated so uniform as the edges toward the center.")</f>
        <v>Good product is perfect throughout. The only thing that seems not heated so uniform as the edges toward the center.</v>
      </c>
    </row>
    <row r="15678">
      <c r="A15678" s="1">
        <v>4.0</v>
      </c>
      <c r="B15678" s="1" t="s">
        <v>15536</v>
      </c>
      <c r="C15678" t="str">
        <f>IFERROR(__xludf.DUMMYFUNCTION("GOOGLETRANSLATE(B15678, ""es"", ""en"")"),"What I liked clean application apply what not coming paste")</f>
        <v>What I liked clean application apply what not coming paste</v>
      </c>
    </row>
    <row r="15679">
      <c r="A15679" s="1">
        <v>4.0</v>
      </c>
      <c r="B15679" s="1" t="s">
        <v>15537</v>
      </c>
      <c r="C15679" t="str">
        <f>IFERROR(__xludf.DUMMYFUNCTION("GOOGLETRANSLATE(B15679, ""es"", ""en"")"),"Ok ok if a little small for man otherwise all well and good quality but without night lighting but well A year and half broken belt")</f>
        <v>Ok ok if a little small for man otherwise all well and good quality but without night lighting but well A year and half broken belt</v>
      </c>
    </row>
    <row r="15680">
      <c r="A15680" s="1">
        <v>4.0</v>
      </c>
      <c r="B15680" s="1" t="s">
        <v>15538</v>
      </c>
      <c r="C15680" t="str">
        <f>IFERROR(__xludf.DUMMYFUNCTION("GOOGLETRANSLATE(B15680, ""es"", ""en"")"),"Value very good There are very good")</f>
        <v>Value very good There are very good</v>
      </c>
    </row>
    <row r="15681">
      <c r="A15681" s="1">
        <v>5.0</v>
      </c>
      <c r="B15681" s="1" t="s">
        <v>15539</v>
      </c>
      <c r="C15681" t="str">
        <f>IFERROR(__xludf.DUMMYFUNCTION("GOOGLETRANSLATE(B15681, ""es"", ""en"")"),"Happy with my sweatshirt !!!! I looks great, as in the photo, it is comfortable, soft and light. I use an L and XL ordered, and perfect. Before washing leaves a little fuzz, but once washed, no longer. I love.")</f>
        <v>Happy with my sweatshirt !!!! I looks great, as in the photo, it is comfortable, soft and light. I use an L and XL ordered, and perfect. Before washing leaves a little fuzz, but once washed, no longer. I love.</v>
      </c>
    </row>
    <row r="15682">
      <c r="A15682" s="1">
        <v>5.0</v>
      </c>
      <c r="B15682" s="1" t="s">
        <v>15540</v>
      </c>
      <c r="C15682" t="str">
        <f>IFERROR(__xludf.DUMMYFUNCTION("GOOGLETRANSLATE(B15682, ""es"", ""en"")"),"Pretty good. Good, strong and effective. I already had like 3 arm microphone 15 € and all I have broken by the weight of the microphone and move, this still stands. Quality sometimes you have to pay.")</f>
        <v>Pretty good. Good, strong and effective. I already had like 3 arm microphone 15 € and all I have broken by the weight of the microphone and move, this still stands. Quality sometimes you have to pay.</v>
      </c>
    </row>
    <row r="15683">
      <c r="A15683" s="1">
        <v>5.0</v>
      </c>
      <c r="B15683" s="1" t="s">
        <v>15541</v>
      </c>
      <c r="C15683" t="str">
        <f>IFERROR(__xludf.DUMMYFUNCTION("GOOGLETRANSLATE(B15683, ""es"", ""en"")"),"I like it! &lt;Div id = ""video-block-R4O0QT8P9OJMY"" class = ""a-section a-spacing-small a-spacing-top mini video-block""&gt; &lt;/ div&gt; &lt;input type = ""hidden"" name = """" value = ""https://images-eu.ssl-images-amazon.com/images/I/A1e0Mu9qOCS.mp4"" class = ""vi"&amp;"deo-url""&gt; &lt;input type = ""hidden"" name = """" value = ""https: //images-eu.ssl-images-amazon.com/images/I/91gbXeZ2AzS.png ""class ="" video-slate-img-url ""&gt; &amp; nbsp; I arrived this afternoon and I could not resist using it. Buy it mainly because it is a"&amp;" very small device, put it anywhere or guards. It comes with two glasses for use, which use the video is large and makes a very generous measure, as for two glasses. Another curious thing is that it comes tapas for these containers which can drink, so do "&amp;"not mess anything you put whatever you want in the glass, grind them and drink there. A been a discovery, it seems super useful and very practical.")</f>
        <v>I like it! &lt;Div id = "video-block-R4O0QT8P9OJMY" class = "a-section a-spacing-small a-spacing-top mini video-block"&gt; &lt;/ div&gt; &lt;input type = "hidden" name = "" value = "https://images-eu.ssl-images-amazon.com/images/I/A1e0Mu9qOCS.mp4" class = "video-url"&gt; &lt;input type = "hidden" name = "" value = "https: //images-eu.ssl-images-amazon.com/images/I/91gbXeZ2AzS.png "class =" video-slate-img-url "&gt; &amp; nbsp; I arrived this afternoon and I could not resist using it. Buy it mainly because it is a very small device, put it anywhere or guards. It comes with two glasses for use, which use the video is large and makes a very generous measure, as for two glasses. Another curious thing is that it comes tapas for these containers which can drink, so do not mess anything you put whatever you want in the glass, grind them and drink there. A been a discovery, it seems super useful and very practical.</v>
      </c>
    </row>
    <row r="15684">
      <c r="A15684" s="1">
        <v>5.0</v>
      </c>
      <c r="B15684" s="1" t="s">
        <v>15542</v>
      </c>
      <c r="C15684" t="str">
        <f>IFERROR(__xludf.DUMMYFUNCTION("GOOGLETRANSLATE(B15684, ""es"", ""en"")"),"Precious are beautiful !! I'm super happy with purchase! perfect size! No large or small size ... ask the same number you use regularly")</f>
        <v>Precious are beautiful !! I'm super happy with purchase! perfect size! No large or small size ... ask the same number you use regularly</v>
      </c>
    </row>
    <row r="15685">
      <c r="A15685" s="1">
        <v>5.0</v>
      </c>
      <c r="B15685" s="1" t="s">
        <v>15543</v>
      </c>
      <c r="C15685" t="str">
        <f>IFERROR(__xludf.DUMMYFUNCTION("GOOGLETRANSLATE(B15685, ""es"", ""en"")"),"Fulfills its function can not rate their effectiveness because I have not tried enough.")</f>
        <v>Fulfills its function can not rate their effectiveness because I have not tried enough.</v>
      </c>
    </row>
    <row r="15686">
      <c r="A15686" s="1">
        <v>5.0</v>
      </c>
      <c r="B15686" s="1" t="s">
        <v>15544</v>
      </c>
      <c r="C15686" t="str">
        <f>IFERROR(__xludf.DUMMYFUNCTION("GOOGLETRANSLATE(B15686, ""es"", ""en"")"),"Good Great product fulfills its function perfectly. It seems a bit weak but very good")</f>
        <v>Good Great product fulfills its function perfectly. It seems a bit weak but very good</v>
      </c>
    </row>
    <row r="15687">
      <c r="A15687" s="1">
        <v>5.0</v>
      </c>
      <c r="B15687" s="1" t="s">
        <v>15545</v>
      </c>
      <c r="C15687" t="str">
        <f>IFERROR(__xludf.DUMMYFUNCTION("GOOGLETRANSLATE(B15687, ""es"", ""en"")"),"Bluetooh the best in headphones. Bluetooth headsets, the best I've had, high definition bass, mid and treble. Overall an exceptional audio quality. Picks you up nicely on the ear pad are not for Mada uncomfortable. A quick walk up do not move. Super recom"&amp;"mended.")</f>
        <v>Bluetooh the best in headphones. Bluetooth headsets, the best I've had, high definition bass, mid and treble. Overall an exceptional audio quality. Picks you up nicely on the ear pad are not for Mada uncomfortable. A quick walk up do not move. Super recommended.</v>
      </c>
    </row>
    <row r="15688">
      <c r="A15688" s="1">
        <v>5.0</v>
      </c>
      <c r="B15688" s="1" t="s">
        <v>15546</v>
      </c>
      <c r="C15688" t="str">
        <f>IFERROR(__xludf.DUMMYFUNCTION("GOOGLETRANSLATE(B15688, ""es"", ""en"")"),"Very comfortable and easy to clean They are very comfortable slippers. The number is big but nothing exaggerated. It should be borne in mind that the cords are fixed, I mean for people with wide instep may cost them some put their feet, but ultimately ver"&amp;"y good shoes.")</f>
        <v>Very comfortable and easy to clean They are very comfortable slippers. The number is big but nothing exaggerated. It should be borne in mind that the cords are fixed, I mean for people with wide instep may cost them some put their feet, but ultimately very good shoes.</v>
      </c>
    </row>
    <row r="15689">
      <c r="A15689" s="1">
        <v>5.0</v>
      </c>
      <c r="B15689" s="1" t="s">
        <v>15547</v>
      </c>
      <c r="C15689" t="str">
        <f>IFERROR(__xludf.DUMMYFUNCTION("GOOGLETRANSLATE(B15689, ""es"", ""en"")"),"Contenta good purchase with purchase. Fits well to the body and neck, I can move around the room while the use and handy automatic shutdown. I recommend it")</f>
        <v>Contenta good purchase with purchase. Fits well to the body and neck, I can move around the room while the use and handy automatic shutdown. I recommend it</v>
      </c>
    </row>
    <row r="15690">
      <c r="A15690" s="1">
        <v>5.0</v>
      </c>
      <c r="B15690" s="1" t="s">
        <v>15548</v>
      </c>
      <c r="C15690" t="str">
        <f>IFERROR(__xludf.DUMMYFUNCTION("GOOGLETRANSLATE(B15690, ""es"", ""en"")"),"A design elegant gift for my mother's birthday, works very well and changes color, elegant design.")</f>
        <v>A design elegant gift for my mother's birthday, works very well and changes color, elegant design.</v>
      </c>
    </row>
    <row r="15691">
      <c r="A15691" s="1">
        <v>5.0</v>
      </c>
      <c r="B15691" s="1" t="s">
        <v>15549</v>
      </c>
      <c r="C15691" t="str">
        <f>IFERROR(__xludf.DUMMYFUNCTION("GOOGLETRANSLATE(B15691, ""es"", ""en"")"),"Bebe is the second bottle we buy but yes most importantly it crystal know that there are larger, but as we only used it on time to give the bottle and if no water is going well we do not need larger truth we have primacy over the fact that out of glass th"&amp;"an anything else.")</f>
        <v>Bebe is the second bottle we buy but yes most importantly it crystal know that there are larger, but as we only used it on time to give the bottle and if no water is going well we do not need larger truth we have primacy over the fact that out of glass than anything else.</v>
      </c>
    </row>
    <row r="15692">
      <c r="A15692" s="1">
        <v>5.0</v>
      </c>
      <c r="B15692" s="1" t="s">
        <v>15550</v>
      </c>
      <c r="C15692" t="str">
        <f>IFERROR(__xludf.DUMMYFUNCTION("GOOGLETRANSLATE(B15692, ""es"", ""en"")"),"Necklace Baltic amber was looking for an amber necklace for my mother who has earrings the same material used a lot and found the highest quality to give to all, with its case and certificate of authenticity as it appears in the photo, very elegant, he lo"&amp;"ved.")</f>
        <v>Necklace Baltic amber was looking for an amber necklace for my mother who has earrings the same material used a lot and found the highest quality to give to all, with its case and certificate of authenticity as it appears in the photo, very elegant, he loved.</v>
      </c>
    </row>
    <row r="15693">
      <c r="A15693" s="1">
        <v>5.0</v>
      </c>
      <c r="B15693" s="1" t="s">
        <v>15551</v>
      </c>
      <c r="C15693" t="str">
        <f>IFERROR(__xludf.DUMMYFUNCTION("GOOGLETRANSLATE(B15693, ""es"", ""en"")"),"Work very well work fine")</f>
        <v>Work very well work fine</v>
      </c>
    </row>
    <row r="15694">
      <c r="A15694" s="1">
        <v>5.0</v>
      </c>
      <c r="B15694" s="1" t="s">
        <v>15552</v>
      </c>
      <c r="C15694" t="str">
        <f>IFERROR(__xludf.DUMMYFUNCTION("GOOGLETRANSLATE(B15694, ""es"", ""en"")"),"Excellent Pack is an excellent pack of tapes. I recommend for purchasing office, home, etc. It has several tapes and very good quality.")</f>
        <v>Excellent Pack is an excellent pack of tapes. I recommend for purchasing office, home, etc. It has several tapes and very good quality.</v>
      </c>
    </row>
    <row r="15695">
      <c r="A15695" s="1">
        <v>5.0</v>
      </c>
      <c r="B15695" s="1" t="s">
        <v>15553</v>
      </c>
      <c r="C15695" t="str">
        <f>IFERROR(__xludf.DUMMYFUNCTION("GOOGLETRANSLATE(B15695, ""es"", ""en"")"),"Perfect for the gym. I use to go to the gym and really very good. Washings and still like the first day. It is also comfortable and perspire.")</f>
        <v>Perfect for the gym. I use to go to the gym and really very good. Washings and still like the first day. It is also comfortable and perspire.</v>
      </c>
    </row>
    <row r="15696">
      <c r="A15696" s="1">
        <v>5.0</v>
      </c>
      <c r="B15696" s="1" t="s">
        <v>15554</v>
      </c>
      <c r="C15696" t="str">
        <f>IFERROR(__xludf.DUMMYFUNCTION("GOOGLETRANSLATE(B15696, ""es"", ""en"")"),"Phenomenal does not disappoint. Speed, reliability and value. Recommended and perfect for any means equipment that does not require a massive, continuous and fast data transfer. Is, except for computers that are to be recorded frequently with videos of so"&amp;"me duration to 4k uncompressed, is more than enough.")</f>
        <v>Phenomenal does not disappoint. Speed, reliability and value. Recommended and perfect for any means equipment that does not require a massive, continuous and fast data transfer. Is, except for computers that are to be recorded frequently with videos of some duration to 4k uncompressed, is more than enough.</v>
      </c>
    </row>
    <row r="15697">
      <c r="A15697" s="1">
        <v>5.0</v>
      </c>
      <c r="B15697" s="1" t="s">
        <v>15555</v>
      </c>
      <c r="C15697" t="str">
        <f>IFERROR(__xludf.DUMMYFUNCTION("GOOGLETRANSLATE(B15697, ""es"", ""en"")"),"Gift original and easy to assemble using it to make an original gift for a friend, I added photos and chocolates. It is easy to assemble following the instructions and comes with many little things to decorate it, I loved it!")</f>
        <v>Gift original and easy to assemble using it to make an original gift for a friend, I added photos and chocolates. It is easy to assemble following the instructions and comes with many little things to decorate it, I loved it!</v>
      </c>
    </row>
    <row r="15698">
      <c r="A15698" s="1">
        <v>5.0</v>
      </c>
      <c r="B15698" s="1" t="s">
        <v>15556</v>
      </c>
      <c r="C15698" t="str">
        <f>IFERROR(__xludf.DUMMYFUNCTION("GOOGLETRANSLATE(B15698, ""es"", ""en"")"),"Worth very happy. 120 ml fit. It does not fall, you have feet and has a lid. The spoon is very flexible q if not the best q Porq my baby just started with fruits are more used to more rigid silicone. But I'm really happy with it.")</f>
        <v>Worth very happy. 120 ml fit. It does not fall, you have feet and has a lid. The spoon is very flexible q if not the best q Porq my baby just started with fruits are more used to more rigid silicone. But I'm really happy with it.</v>
      </c>
    </row>
    <row r="15699">
      <c r="A15699" s="1">
        <v>2.0</v>
      </c>
      <c r="B15699" s="1" t="s">
        <v>15557</v>
      </c>
      <c r="C15699" t="str">
        <f>IFERROR(__xludf.DUMMYFUNCTION("GOOGLETRANSLATE(B15699, ""es"", ""en"")"),"acceptable micro miss more meters of cable. Is a means microphone, then it puts a lot of noise in the catch. the espumita lack for comfort")</f>
        <v>acceptable micro miss more meters of cable. Is a means microphone, then it puts a lot of noise in the catch. the espumita lack for comfort</v>
      </c>
    </row>
    <row r="15700">
      <c r="A15700" s="1">
        <v>3.0</v>
      </c>
      <c r="B15700" s="1" t="s">
        <v>15558</v>
      </c>
      <c r="C15700" t="str">
        <f>IFERROR(__xludf.DUMMYFUNCTION("GOOGLETRANSLATE(B15700, ""es"", ""en"")"),"Well well well enough truth, although I do not think they are original, they are very cool and cómodasy are beautifully finished. Very fast delivery.")</f>
        <v>Well well well enough truth, although I do not think they are original, they are very cool and cómodasy are beautifully finished. Very fast delivery.</v>
      </c>
    </row>
    <row r="15701">
      <c r="A15701" s="1">
        <v>3.0</v>
      </c>
      <c r="B15701" s="1" t="s">
        <v>15559</v>
      </c>
      <c r="C15701" t="str">
        <f>IFERROR(__xludf.DUMMYFUNCTION("GOOGLETRANSLATE(B15701, ""es"", ""en"")"),"Beware weight are good, but the only downside is that it should weigh less.")</f>
        <v>Beware weight are good, but the only downside is that it should weigh less.</v>
      </c>
    </row>
    <row r="15702">
      <c r="A15702" s="1">
        <v>1.0</v>
      </c>
      <c r="B15702" s="1" t="s">
        <v>15560</v>
      </c>
      <c r="C15702" t="str">
        <f>IFERROR(__xludf.DUMMYFUNCTION("GOOGLETRANSLATE(B15702, ""es"", ""en"")"),"the sole one peels off just 10 days has taken off the sole, they are also small, so you have to take one size bigger, still do not recommend purchase at all. They are very expensive to not last even 10 days. Regrettable.")</f>
        <v>the sole one peels off just 10 days has taken off the sole, they are also small, so you have to take one size bigger, still do not recommend purchase at all. They are very expensive to not last even 10 days. Regrettable.</v>
      </c>
    </row>
    <row r="15703">
      <c r="A15703" s="1">
        <v>1.0</v>
      </c>
      <c r="B15703" s="1" t="s">
        <v>15561</v>
      </c>
      <c r="C15703" t="str">
        <f>IFERROR(__xludf.DUMMYFUNCTION("GOOGLETRANSLATE(B15703, ""es"", ""en"")"),"Defective, dangerous for health is the second kettle to buy on Amazon, the second Devuelvo manufacturing defects. This is a disaster. In this case the boiler plate transgressing oxide is oxidized to water, very harmful to health. Very bad.")</f>
        <v>Defective, dangerous for health is the second kettle to buy on Amazon, the second Devuelvo manufacturing defects. This is a disaster. In this case the boiler plate transgressing oxide is oxidized to water, very harmful to health. Very bad.</v>
      </c>
    </row>
    <row r="15704">
      <c r="A15704" s="1">
        <v>4.0</v>
      </c>
      <c r="B15704" s="1" t="s">
        <v>15562</v>
      </c>
      <c r="C15704" t="str">
        <f>IFERROR(__xludf.DUMMYFUNCTION("GOOGLETRANSLATE(B15704, ""es"", ""en"")"),"Value for money right all right without ifs and buts problems and had a positive experience on the other pad that had previously purchased")</f>
        <v>Value for money right all right without ifs and buts problems and had a positive experience on the other pad that had previously purchased</v>
      </c>
    </row>
    <row r="15705">
      <c r="A15705" s="1">
        <v>4.0</v>
      </c>
      <c r="B15705" s="1" t="s">
        <v>15563</v>
      </c>
      <c r="C15705" t="str">
        <f>IFERROR(__xludf.DUMMYFUNCTION("GOOGLETRANSLATE(B15705, ""es"", ""en"")"),"I like good, compact, small, but the trouble is q can not be unscrewed for washing, which wash this apparatus is very difficult")</f>
        <v>I like good, compact, small, but the trouble is q can not be unscrewed for washing, which wash this apparatus is very difficult</v>
      </c>
    </row>
    <row r="15706">
      <c r="A15706" s="1">
        <v>4.0</v>
      </c>
      <c r="B15706" s="1" t="s">
        <v>15564</v>
      </c>
      <c r="C15706" t="str">
        <f>IFERROR(__xludf.DUMMYFUNCTION("GOOGLETRANSLATE(B15706, ""es"", ""en"")"),"A product that meets what you are looking Almost all white printable discs imprinted with the mark of the manufacturer, which detracts from the presentation of the work. Fortunately this does not happen with these DVDs that bear no marks and have the enti"&amp;"re field for printing, although they have a notch in the center of about three centimeters although you can always print is visible. How to ship them to the buyer is quite poor because they are not put in any case resistant but practically loose with litt"&amp;"le protection. I can not comment on their quality recording and at the time of issuing this opinion still have not made the recordings.")</f>
        <v>A product that meets what you are looking Almost all white printable discs imprinted with the mark of the manufacturer, which detracts from the presentation of the work. Fortunately this does not happen with these DVDs that bear no marks and have the entire field for printing, although they have a notch in the center of about three centimeters although you can always print is visible. How to ship them to the buyer is quite poor because they are not put in any case resistant but practically loose with little protection. I can not comment on their quality recording and at the time of issuing this opinion still have not made the recordings.</v>
      </c>
    </row>
    <row r="15707">
      <c r="A15707" s="1">
        <v>4.0</v>
      </c>
      <c r="B15707" s="1" t="s">
        <v>15565</v>
      </c>
      <c r="C15707" t="str">
        <f>IFERROR(__xludf.DUMMYFUNCTION("GOOGLETRANSLATE(B15707, ""es"", ""en"")"),"True gives little heat that was my fault, I did not look well watts, and gives little heat for what I need, but still works very well")</f>
        <v>True gives little heat that was my fault, I did not look well watts, and gives little heat for what I need, but still works very well</v>
      </c>
    </row>
    <row r="15708">
      <c r="A15708" s="1">
        <v>4.0</v>
      </c>
      <c r="B15708" s="1" t="s">
        <v>15566</v>
      </c>
      <c r="C15708" t="str">
        <f>IFERROR(__xludf.DUMMYFUNCTION("GOOGLETRANSLATE(B15708, ""es"", ""en"")"),"Good value for money 5 years has rejuvenated my old laptop; performance is average, 300MB read and write about 200MB, that is, compared to the old record of 1200rpm is a plane, but certainly if you're going to get on a PC Gaming lacks something. Something"&amp;" is cheaper than other models. The first to reach me was defective, but worked well, the CMOS did not recognize, so it could not be used to boot; once booted the operating system (Linux, Ubuntu 18) and yes it detected and treated as if it were a USB disk "&amp;"SSD; The substitution was immediate and smooth. The second has come to me has worked perfect and the first and after a few weeks of use, keeps perfectly the initial performance (hopefully not have to update the comment: P). NOTE: The second does recognize"&amp;" it as a disk KINGSTON, whereas the former only recognized a number churro; I understand that the problem of the first disc could be that the information offered by the disc to the plate was not correct.")</f>
        <v>Good value for money 5 years has rejuvenated my old laptop; performance is average, 300MB read and write about 200MB, that is, compared to the old record of 1200rpm is a plane, but certainly if you're going to get on a PC Gaming lacks something. Something is cheaper than other models. The first to reach me was defective, but worked well, the CMOS did not recognize, so it could not be used to boot; once booted the operating system (Linux, Ubuntu 18) and yes it detected and treated as if it were a USB disk SSD; The substitution was immediate and smooth. The second has come to me has worked perfect and the first and after a few weeks of use, keeps perfectly the initial performance (hopefully not have to update the comment: P). NOTE: The second does recognize it as a disk KINGSTON, whereas the former only recognized a number churro; I understand that the problem of the first disc could be that the information offered by the disc to the plate was not correct.</v>
      </c>
    </row>
    <row r="15709">
      <c r="A15709" s="1">
        <v>5.0</v>
      </c>
      <c r="B15709" s="1" t="s">
        <v>15567</v>
      </c>
      <c r="C15709" t="str">
        <f>IFERROR(__xludf.DUMMYFUNCTION("GOOGLETRANSLATE(B15709, ""es"", ""en"")"),"Genial are perfect. They are original, the number is adequate (Skechers uses a number less than usual). Of good material and they arrived quickly. Have memory foam, they are very comfortable.")</f>
        <v>Genial are perfect. They are original, the number is adequate (Skechers uses a number less than usual). Of good material and they arrived quickly. Have memory foam, they are very comfortable.</v>
      </c>
    </row>
    <row r="15710">
      <c r="A15710" s="1">
        <v>5.0</v>
      </c>
      <c r="B15710" s="1" t="s">
        <v>15568</v>
      </c>
      <c r="C15710" t="str">
        <f>IFERROR(__xludf.DUMMYFUNCTION("GOOGLETRANSLATE(B15710, ""es"", ""en"")"),"Very good Micro A very good quality microphone. With the additional power supply you hear great. Phenomenal!!! The only thing I did not like was the miss I had to buy first the microphone and then the source because it comes in conjueto.")</f>
        <v>Very good Micro A very good quality microphone. With the additional power supply you hear great. Phenomenal!!! The only thing I did not like was the miss I had to buy first the microphone and then the source because it comes in conjueto.</v>
      </c>
    </row>
    <row r="15711">
      <c r="A15711" s="1">
        <v>5.0</v>
      </c>
      <c r="B15711" s="1" t="s">
        <v>15569</v>
      </c>
      <c r="C15711" t="str">
        <f>IFERROR(__xludf.DUMMYFUNCTION("GOOGLETRANSLATE(B15711, ""es"", ""en"")"),"They are comfortable pretty good article fits very well to foot the truth is that's a pretty good buy")</f>
        <v>They are comfortable pretty good article fits very well to foot the truth is that's a pretty good buy</v>
      </c>
    </row>
    <row r="15712">
      <c r="A15712" s="1">
        <v>5.0</v>
      </c>
      <c r="B15712" s="1" t="s">
        <v>15570</v>
      </c>
      <c r="C15712" t="str">
        <f>IFERROR(__xludf.DUMMYFUNCTION("GOOGLETRANSLATE(B15712, ""es"", ""en"")"),"Great site not occupied anything, lightweight, easy to use, load super fast and listen to perfection.")</f>
        <v>Great site not occupied anything, lightweight, easy to use, load super fast and listen to perfection.</v>
      </c>
    </row>
    <row r="15713">
      <c r="A15713" s="1">
        <v>5.0</v>
      </c>
      <c r="B15713" s="1" t="s">
        <v>15571</v>
      </c>
      <c r="C15713" t="str">
        <f>IFERROR(__xludf.DUMMYFUNCTION("GOOGLETRANSLATE(B15713, ""es"", ""en"")"),"Buenos pretty cheap I would have liked to catch them blank but these 3 pairs had a good deal. They are similar to those offered by other sports brands that unlike puma always better prices.")</f>
        <v>Buenos pretty cheap I would have liked to catch them blank but these 3 pairs had a good deal. They are similar to those offered by other sports brands that unlike puma always better prices.</v>
      </c>
    </row>
    <row r="15714">
      <c r="A15714" s="1">
        <v>5.0</v>
      </c>
      <c r="B15714" s="1" t="s">
        <v>15572</v>
      </c>
      <c r="C15714" t="str">
        <f>IFERROR(__xludf.DUMMYFUNCTION("GOOGLETRANSLATE(B15714, ""es"", ""en"")"),"The reliability of the brand What I like the multi band system 6, the belts are rather narrow by putting some sticks and used it to go casual or causal")</f>
        <v>The reliability of the brand What I like the multi band system 6, the belts are rather narrow by putting some sticks and used it to go casual or causal</v>
      </c>
    </row>
    <row r="15715">
      <c r="A15715" s="1">
        <v>5.0</v>
      </c>
      <c r="B15715" s="1" t="s">
        <v>15573</v>
      </c>
      <c r="C15715" t="str">
        <f>IFERROR(__xludf.DUMMYFUNCTION("GOOGLETRANSLATE(B15715, ""es"", ""en"")"),"Very good going much better than for example that of the Mercadona, which only collects dirt from the front. This mopping up in its entire width. The two mops the floor use on the same day in different spaces. See the difference in picture dirt collection"&amp;".")</f>
        <v>Very good going much better than for example that of the Mercadona, which only collects dirt from the front. This mopping up in its entire width. The two mops the floor use on the same day in different spaces. See the difference in picture dirt collection.</v>
      </c>
    </row>
    <row r="15716">
      <c r="A15716" s="1">
        <v>5.0</v>
      </c>
      <c r="B15716" s="1" t="s">
        <v>15574</v>
      </c>
      <c r="C15716" t="str">
        <f>IFERROR(__xludf.DUMMYFUNCTION("GOOGLETRANSLATE(B15716, ""es"", ""en"")"),"Nice quality and very noticeable quality good fabric")</f>
        <v>Nice quality and very noticeable quality good fabric</v>
      </c>
    </row>
    <row r="15717">
      <c r="A15717" s="1">
        <v>5.0</v>
      </c>
      <c r="B15717" s="1" t="s">
        <v>15575</v>
      </c>
      <c r="C15717" t="str">
        <f>IFERROR(__xludf.DUMMYFUNCTION("GOOGLETRANSLATE(B15717, ""es"", ""en"")"),"SMALL AND ECONOMIC chose this jar because it was the cheapest I found. I like to drink tea but I think that a kettle should not be expensive. perfectly fulfills its function and is practical because it has very good size. I am very happy with its function"&amp;"ality.")</f>
        <v>SMALL AND ECONOMIC chose this jar because it was the cheapest I found. I like to drink tea but I think that a kettle should not be expensive. perfectly fulfills its function and is practical because it has very good size. I am very happy with its functionality.</v>
      </c>
    </row>
    <row r="15718">
      <c r="A15718" s="1">
        <v>5.0</v>
      </c>
      <c r="B15718" s="1" t="s">
        <v>15576</v>
      </c>
      <c r="C15718" t="str">
        <f>IFERROR(__xludf.DUMMYFUNCTION("GOOGLETRANSLATE(B15718, ""es"", ""en"")"),"Very good buy Does the job perfectly. It looks pretty good to the side of the toaster to set. I liked the cover because it rises, it fits into a notch and there is still open and pulls out, it's safer.")</f>
        <v>Very good buy Does the job perfectly. It looks pretty good to the side of the toaster to set. I liked the cover because it rises, it fits into a notch and there is still open and pulls out, it's safer.</v>
      </c>
    </row>
    <row r="15719">
      <c r="A15719" s="1">
        <v>5.0</v>
      </c>
      <c r="B15719" s="1" t="s">
        <v>15577</v>
      </c>
      <c r="C15719" t="str">
        <f>IFERROR(__xludf.DUMMYFUNCTION("GOOGLETRANSLATE(B15719, ""es"", ""en"")"),"This is truly is a professional device, surpasses any other brand or quality, results in much less price. Worth more than it costs")</f>
        <v>This is truly is a professional device, surpasses any other brand or quality, results in much less price. Worth more than it costs</v>
      </c>
    </row>
    <row r="15720">
      <c r="A15720" s="1">
        <v>5.0</v>
      </c>
      <c r="B15720" s="1" t="s">
        <v>15578</v>
      </c>
      <c r="C15720" t="str">
        <f>IFERROR(__xludf.DUMMYFUNCTION("GOOGLETRANSLATE(B15720, ""es"", ""en"")"),"This blanket wonderful, great conford, quality and beautiful, very smooth Best of the world, beautiful, very warm, quality, heats quickly and evenly, turns off automatic but you can turn it on again. One of the best buys I've made in amazon and I have man"&amp;"y!")</f>
        <v>This blanket wonderful, great conford, quality and beautiful, very smooth Best of the world, beautiful, very warm, quality, heats quickly and evenly, turns off automatic but you can turn it on again. One of the best buys I've made in amazon and I have many!</v>
      </c>
    </row>
    <row r="15721">
      <c r="A15721" s="1">
        <v>5.0</v>
      </c>
      <c r="B15721" s="1" t="s">
        <v>15579</v>
      </c>
      <c r="C15721" t="str">
        <f>IFERROR(__xludf.DUMMYFUNCTION("GOOGLETRANSLATE(B15721, ""es"", ""en"")"),"A good pendant I expected a lot less than this necklace for its price, but the truth is very nice, Acerte with gift ^. ^")</f>
        <v>A good pendant I expected a lot less than this necklace for its price, but the truth is very nice, Acerte with gift ^. ^</v>
      </c>
    </row>
    <row r="15722">
      <c r="A15722" s="1">
        <v>5.0</v>
      </c>
      <c r="B15722" s="1" t="s">
        <v>15580</v>
      </c>
      <c r="C15722" t="str">
        <f>IFERROR(__xludf.DUMMYFUNCTION("GOOGLETRANSLATE(B15722, ""es"", ""en"")"),"Very good product Everything great")</f>
        <v>Very good product Everything great</v>
      </c>
    </row>
    <row r="15723">
      <c r="A15723" s="1">
        <v>5.0</v>
      </c>
      <c r="B15723" s="1" t="s">
        <v>15581</v>
      </c>
      <c r="C15723" t="str">
        <f>IFERROR(__xludf.DUMMYFUNCTION("GOOGLETRANSLATE(B15723, ""es"", ""en"")"),"Perfect are gorgeous and super practical to send them to your homemade smoothies cole")</f>
        <v>Perfect are gorgeous and super practical to send them to your homemade smoothies cole</v>
      </c>
    </row>
    <row r="15724">
      <c r="A15724" s="1">
        <v>5.0</v>
      </c>
      <c r="B15724" s="1" t="s">
        <v>15582</v>
      </c>
      <c r="C15724" t="str">
        <f>IFERROR(__xludf.DUMMYFUNCTION("GOOGLETRANSLATE(B15724, ""es"", ""en"")"),"It is very tough I liked its high capacity in small size")</f>
        <v>It is very tough I liked its high capacity in small size</v>
      </c>
    </row>
    <row r="15725">
      <c r="A15725" s="1">
        <v>5.0</v>
      </c>
      <c r="B15725" s="1" t="s">
        <v>15583</v>
      </c>
      <c r="C15725" t="str">
        <f>IFERROR(__xludf.DUMMYFUNCTION("GOOGLETRANSLATE(B15725, ""es"", ""en"")"),"GREAT !! They are original, does not ask for more than the number commonly used to foot the meter is like a glove. 100% recommended.")</f>
        <v>GREAT !! They are original, does not ask for more than the number commonly used to foot the meter is like a glove. 100% recommended.</v>
      </c>
    </row>
    <row r="15726">
      <c r="A15726" s="1">
        <v>5.0</v>
      </c>
      <c r="B15726" s="1" t="s">
        <v>15584</v>
      </c>
      <c r="C15726" t="str">
        <f>IFERROR(__xludf.DUMMYFUNCTION("GOOGLETRANSLATE(B15726, ""es"", ""en"")"),"I bought them good buy high as 8 times is just breaking for different reasons but good compar at a very affordable price, my recommendation is to buy 3 units.")</f>
        <v>I bought them good buy high as 8 times is just breaking for different reasons but good compar at a very affordable price, my recommendation is to buy 3 units.</v>
      </c>
    </row>
    <row r="15727">
      <c r="A15727" s="1">
        <v>5.0</v>
      </c>
      <c r="B15727" s="1" t="s">
        <v>15585</v>
      </c>
      <c r="C15727" t="str">
        <f>IFERROR(__xludf.DUMMYFUNCTION("GOOGLETRANSLATE(B15727, ""es"", ""en"")"),"Cool perfect stay and are super comfortable. Very happy with the purchase. The number is normally have.")</f>
        <v>Cool perfect stay and are super comfortable. Very happy with the purchase. The number is normally have.</v>
      </c>
    </row>
    <row r="15728">
      <c r="A15728" s="1">
        <v>2.0</v>
      </c>
      <c r="B15728" s="1" t="s">
        <v>15586</v>
      </c>
      <c r="C15728" t="str">
        <f>IFERROR(__xludf.DUMMYFUNCTION("GOOGLETRANSLATE(B15728, ""es"", ""en"")"),"Not as strong as it seems in principle is not too tough, he broke a month have bought it. A little disappointing.")</f>
        <v>Not as strong as it seems in principle is not too tough, he broke a month have bought it. A little disappointing.</v>
      </c>
    </row>
    <row r="15729">
      <c r="A15729" s="1">
        <v>3.0</v>
      </c>
      <c r="B15729" s="1" t="s">
        <v>15587</v>
      </c>
      <c r="C15729" t="str">
        <f>IFERROR(__xludf.DUMMYFUNCTION("GOOGLETRANSLATE(B15729, ""es"", ""en"")"),"It is clean bad and requires to be ahead &lt;div id = ""video-block-RM5RGUUEXPKTA"" class = ""a-section a-spacing-small a-spacing-top mini video-block""&gt; &lt;div tabindex = ""0"" class = ""airy airy-svg vmin-unsupported airy-skin-beacon"" style = ""background-c"&amp;"olor: rgb (0, 0, 0) position: relative; width: 100%; height: 100%; font-size: 0px; overflow: hidden; outline: none; ""&gt; &lt;div class ="" airy-renderer-container ""style ="" position: relative; height: 100%; width: 100%; ""&gt; &lt;video id ="" 7 ""preload ="" aut"&amp;"o ""src ="" https://images-eu.ssl-images-amazon.com/images/I/D1HghETI4fS.mp4 ""style ="" position: absolute; left: 0px; top: 0px; overflow: hidden; height: 1px; width: 1px; ""&gt; &lt;/ video&gt; &lt;/ div&gt; &lt;div id ="" airy-slate-preload ""style ="" background-color:"&amp;" rgb (0, 0, 0); background-image: url (&amp; quot ; https: //images-eu.ssl-images-amazon.com/images/I/81EKjqYdgoS.png&amp;quot;); background-size: Contain; background-position: center center; background-repeat: no-repeat; position: absolute; top: 0px; left: 0px; "&amp;"visibility: visible; width: 100%; height: 100%; ""&gt; &lt; / Div&gt; &lt;iframe scrolling = ""no"" frameborder = ""0"" src = ""about: blank"" style = ""display: none;""&gt; &lt;/ iframe&gt; &lt;div tabindex = ""- 1"" class = ""airy-Controls- container ""style ="" opacity: 0; vi"&amp;"sibility: hidden; ""&gt; &lt;div tabindex ="" - 1 ""class ="" airy-screen-size-toggle airy-fullscreen ""&gt; &lt;/ div&gt; &lt;div tabindex ="" - 1 ""class ="" airy-container-bottom "" &gt; &lt;div tabindex = ""- 1"" class = ""airy-track-bar-spacer-left"" style = ""width: 11px;"&amp;"""&gt; &lt;/ div&gt; &lt;div tabindex = ""- 1"" class = ""airy-play- airy toggle-play ""style ="" width: 12px; margin-right: 12px; ""&gt; &lt;/ div&gt; &lt;div tabindex ="" - 1 ""class ="" airy-audio-elements ""style ="" float: right; width: 34px; ""&gt; &lt;div tabindex ="" - 1 ""cla"&amp;"ss ="" airy-audio-toggle airy-on ""&gt; &lt;/ div&gt; &lt;div tabindex ="" - 1 ""class ="" airy-audio-container ""style = ""opacity: 0; visibility: hidden; ""&gt; &lt;div tabindex ="" - 1 ""class ="" airy-audio-track-bar ""style ="" height: 80%; ""&gt; &lt;div tabindex ="" - 1 "&amp;"""class ="" airy-audio- Scrubber-bar ""style ="" height: 85%; ""&gt; &lt;/ div&gt; &lt;div tabindex ="" - 1 ""class ="" airy-audio-scrubber ""style ="" height: 12px; bottom: 85% ""&gt; &lt;/ div&gt; &lt;/ div&gt; &lt;/ div&gt; &lt;/ div&gt; &lt;div tabindex ="" - 1 ""class ="" airy-duration-label"&amp;" ""style ="" float: right; width: 26px; margin-right: 4px; text-align: center; ""&gt; 2:39 &lt;/ div&gt; &lt;div tabindex ="" - 1 ""class ="" airy-track-bar-spacer-right ""style ="" float: right; width: 11px; ""&gt; &lt;/ div&gt; &lt;div tabindex ="" - 1 ""class ="" airy-track-b"&amp;"ar-container ""style ="" margin-left: 35px; margin-right: 75px; ""&gt; &lt;div tabindex ="" - 1 ""class ="" airy-airy-track-bar vertically-centering-table ""&gt; &lt;div tabindex ="" - 1 ""class ="" airy-Vertical-centering- table-cell ""&gt; &lt;div tabindex ="" - 1 ""clas"&amp;"s ="" airy-track-bar-elements ""&gt; &lt;div tabindex ="" - 1 ""class ="" airy-progress-bar ""style ="" width: 3.17296%; ""&gt; &lt;/ div&gt; &lt;div tabindex ="" - 1 ""class ="" airy-scrubber-bar ""&gt; &lt;/ div&gt; &lt;div tabindex ="" - 1 ""class ="" airy-scrubber ""&gt; &lt;div tabinde"&amp;"x ="" - 1 ""class ="" airy-scrubber-icon ""&gt; &lt;/ div&gt; &lt;div tabindex ="" - 1 ""class ="" airy-adjusted-AUI-tooltip ""style ="" opacity: 0; visibility: hidden; ""&gt; &lt;div tabindex ="" - 1 ""class ="" airy-adjusted-aui-tooltip-inner ""&gt; &lt;div tabindex ="" - 1 """&amp;"class ="" airy-current-time-label ""&gt; 0: 00 &lt;/ div&gt; &lt;/ div&gt; &lt;div tabindex = ""- 1"" class = ""airy-adjusted-AUI-arrow-border""&gt; &lt;div tabindex = ""- 1"" class = ""airy-adjusted-AUI-arrow"" &gt; &lt;/ div&gt; &lt;/ div&gt; &lt;/ div&gt; &lt;/ div&gt; &lt;/ div&gt; &lt;/ div&gt; &lt;/ div&gt; &lt;/ div&gt; &lt;"&amp;"/ div&gt; &lt;/ div&gt; &lt;div tabindex = ""- 1"" class = ""airy-age-gate airy-stage airy-Vertical-centering-table airy-dialog"" style = ""opacity: 0; visibility: hidden; ""&gt; &lt;div tabindex ="" - 1 ""class ="" airy-age-gate-Vertical-centering-table-cell airy-Vertical"&amp;"-centering-table-cell ""&gt; &lt;div tabindex ="" - 1 ""class = ""airy-Vertical-centering-wrapper airy-age-gate-elements-wrapper""&gt; &lt;div tabindex = ""- 1"" class = ""airy-age-gate-elements airy-dialog-elements""&gt; &lt;div tabindex = "" -1 ""class ="" airy-age-gate-"&amp;"prompt ""&gt; This video is not Intended for all audiences What date were you born &lt;/ div&gt; &lt;div tabindex =.?"" - 1 ""class ="" airy-age-gate -inputs airy-dialog-inner-elements ""&gt; &lt;select tabindex ="" - 1 ""class ="" airy-age-gate-month ""&gt; &lt;option value ="""&amp;" 1 ""&gt; January &lt;/ option&gt; &lt;option value ="" 2 ""&gt; February &lt;/ option&gt; &lt;option value ="" 3 ""&gt; March &lt;/ option&gt; &lt;option value ="" 4 ""&gt; April &lt;/ option&gt; &lt;option value ="" 5 ""&gt; May &lt;/ option&gt; &lt;option value = ""6""&gt; June &lt;/ option&gt; &lt;option value = ""7""&gt; Ju"&amp;"ly &lt;/ option&gt; &lt;option value = ""8""&gt; August &lt;/ option&gt; &lt;option value = ""9""&gt; September &lt;/ option&gt; &lt;option value = ""10""&gt; October &lt;/ option&gt; &lt;option value = ""11""&gt; November &lt;/ option&gt; &lt;option value = ""12""&gt; December &lt;/ option&gt; &lt;/ select&gt; &lt;select tabind"&amp;"ex = ""- 1"" class = ""airy-age-gate-day""&gt; &lt;opti on value = ""1""&gt; 1 &lt;/ option&gt; &lt;option value = ""2""&gt; 2 &lt;/ option&gt; &lt;option value = ""3""&gt; 3 &lt;/ option&gt; &lt;option value = ""4""&gt; 4 &lt;/ option &gt; &lt;option value = ""5""&gt; 5 &lt;/ option&gt; &lt;option value = ""6""&gt; 6 &lt;/ o"&amp;"ption&gt; &lt;option value = ""7""&gt; 7 &lt;/ option&gt; &lt;option value = ""8""&gt; 8 &lt; / option&gt; &lt;option value = ""9""&gt; 9 &lt;/ option&gt; &lt;option value = ""10""&gt; 10 &lt;/ option&gt; &lt;option value = ""11""&gt; 11 &lt;/ option&gt; &lt;option value = ""12""&gt; 12 &lt;/ option&gt; &lt;option value = ""13""&gt; 1"&amp;"3 &lt;/ option&gt; &lt;option value = ""14""&gt; 14 &lt;/ option&gt; &lt;option value = ""15""&gt; 15 &lt;/ option&gt; &lt;option value = ""16 ""&gt; 16 &lt;/ option&gt; &lt;option value ="" 17 ""&gt; 17 &lt;/ option&gt; &lt;option value ="" 18 ""&gt; 18 &lt;/ option&gt; &lt;option value ="" 19 ""&gt; 19 &lt;/ option&gt; &lt;option va"&amp;"lue = ""20""&gt; 20 &lt;/ option&gt; &lt;option value = ""21""&gt; 21 &lt;/ option&gt; &lt;option value = ""22""&gt; 22 &lt;/ option&gt; &lt;option value = ""23""&gt; 23 &lt;/ option&gt; &lt;option value = ""24""&gt; 24 &lt;/ option&gt; &lt;option value = ""25""&gt; 25 &lt;/ option&gt; &lt;option value = ""26""&gt; 26 &lt;/ option&gt;"&amp;" &lt;option value = ""27""&gt; 27 &lt;/ option&gt; &lt;option value = ""28""&gt; 28 &lt;/ option&gt; &lt;option value = ""29""&gt; 29 &lt;/ option&gt; &lt;option value = ""30""&gt; 30 &lt;/ option&gt; &lt;option value = ""31""&gt; 31 &lt;/ option&gt; &lt;/ select&gt; &lt;select tabindex = ""- 1"" class = ""airy-age-gate-ye"&amp;"ar""&gt; &lt;option value = ""2019""&gt; 2019 &lt;/ option&gt; &lt; option value = ""2018""&gt; 2018 &lt;/ option&gt; &lt;option value = ""2017""&gt; 2017 &lt;/ option&gt; &lt;option value = ""2016""&gt; ​​2016 &lt;/ option&gt; &lt;option value = ""2015""&gt; 2015 &lt;/ option &gt; &lt;option value = ""2014""&gt; 2014 &lt;/ o"&amp;"ption&gt; &lt;option value = ""2013""&gt; 2013 &lt;/ option&gt; &lt;option value = ""2012""&gt; 2012 &lt;/ option&gt; &lt;option value = ""2011""&gt; 2011 &lt; / option&gt; &lt;option value = ""2010""&gt; 2010 &lt;/ option&gt; &lt;option value = ""2009""&gt; 2009 &lt;/ option&gt; &lt;option value = ""2008""&gt; 2008 &lt;/ opt"&amp;"ion&gt; &lt;option value = ""2007""&gt; 2007 &lt;/ option&gt; &lt;option value = ""2006""&gt; 2006 &lt;/ option&gt; &lt;option value = ""2005""&gt; 2005 &lt;/ option&gt; &lt;option value = ""2004""&gt; 2004 &lt;/ option&gt; &lt;option value = ""2003 ""&gt; 2003 &lt;/ option&gt; &lt;option value ="" 2002 ""&gt; 2002 &lt;/ opti"&amp;"on&gt; &lt;option value ="" 2001 ""&gt; 2001 &lt;/ option&gt; &lt;option value ="" 2000 ""&gt; 2000 &lt;/ option&gt; &lt;option value = ""1999""&gt; 1999 &lt;/ option&gt; &lt;option value = ""1998""&gt; 1998 &lt;/ option&gt; &lt;option value = ""1997""&gt; 1997 &lt;/ option&gt; &lt;option value = ""1996""&gt; 1996 &lt;/ optio"&amp;"n&gt; &lt;option value = ""1995""&gt; 1995 &lt;/ option&gt; &lt;option value = ""1994""&gt; 1994 &lt;/ option&gt; &lt;option value = ""1993""&gt; 1993 &lt;/ option&gt; &lt;option value = ""1992""&gt; 1992 &lt;/ option&gt; &lt;option value = ""1991""&gt; 1991 &lt;/ option&gt; &lt;option value = ""1990""&gt; 1990 &lt;/ option&gt; "&amp;"&lt;option value = "" 1989 ""&gt; 1989 &lt;/ option&gt; &lt;option value ="" 1988 ""&gt; 1988 &lt;/ option&gt; &lt;option value ="" 1987 ""&gt; 1987 &lt;/ option&gt; &lt;option value ="" 1986 ""&gt; 1986 &lt;/ option&gt; &lt;value option = ""1985""&gt; 1985 &lt;/ option&gt; &lt;option value = ""1984""&gt; 1984 &lt;/ option"&amp;"&gt; &lt;option value = ""1983""&gt; 1983 &lt;/ option&gt; &lt;option value = ""1982""&gt; 1982 &lt;/ option&gt; &lt; option value = ""1981""&gt; 1981 &lt;/ option&gt; &lt;option value = ""1980""&gt; 1980 &lt;/ option&gt; &lt;option value = ""1979""&gt; 1979 &lt;/ option&gt; &lt;option value = ""1978""&gt; 1978 &lt;/ option &gt;"&amp;" &lt;option value = ""1977""&gt; 1977 &lt;/ option&gt; &lt;option value = ""1976""&gt; 1976 &lt;/ option&gt; &lt;option value = ""1975""&gt; 1975 &lt;/ option&gt; &lt;option value = ""1974""&gt; 1974 &lt; / option&gt; &lt;option value = ""1973""&gt; 1973 &lt;/ option&gt; &lt;option value = ""1972""&gt; 1972 &lt;/ option&gt; &lt;"&amp;"option value = ""1971""&gt; 1971 &lt;/ option&gt; &lt;option value = ""1970""&gt; 1970 &lt;/ option&gt; &lt;option value = ""1969""&gt; 1969 &lt;/ option&gt; &lt;option value = ""1968""&gt; 1968 &lt;/ option&gt; &lt;option value = ""1967""&gt; 1967 &lt;/ option&gt; &lt;option value = ""1966 ""&gt; 1966 &lt;/ option&gt; &lt;op"&amp;"tion value ="" 1965 ""&gt; 1965 &lt;/ option&gt; &lt;option value ="" 1964 ""&gt; 1964 &lt;/ option&gt; &lt;option value ="" 1963 ""&gt; 1963 &lt;/ option&gt; &lt;option value = ""1962""&gt; 1962 &lt;/ option&gt; &lt;option value = ""1961""&gt; 1961 &lt;/ option&gt; &lt;option value = ""1960""&gt; 1960 &lt;/ op tion&gt; &lt;o"&amp;"ption value = ""1959""&gt; 1959 &lt;/ option&gt; &lt;option value = ""1958""&gt; 1958 &lt;/ option&gt; &lt;option value = ""1957""&gt; 1957 &lt;/ option&gt; &lt;option value = ""1956""&gt; 1956 &lt;/ option&gt; &lt;option value = ""1955""&gt; 1955 &lt;/ option&gt; &lt;option value = ""1954""&gt; 1954 &lt;/ option&gt; &lt;opti"&amp;"on value = ""1953""&gt; 1953 &lt;/ option&gt; &lt;option value = ""1952"" &gt; 1952 &lt;/ option&gt; &lt;option value = ""1951""&gt; 1951 &lt;/ option&gt; &lt;option value = ""1950""&gt; 1950 &lt;/ option&gt; &lt;option value = ""1949""&gt; 1949 &lt;/ option&gt; &lt;option value = "" 1948 ""&gt; 1948 &lt;/ option&gt; &lt;opti"&amp;"on value ="" 1947 ""&gt; 1947 &lt;/ option&gt; &lt;option value ="" 1946 ""&gt; 1946 &lt;/ option&gt; &lt;option value ="" 1945 ""&gt; 1945 &lt;/ option&gt; &lt;value option = ""1944""&gt; 1944 &lt;/ option&gt; &lt;option value = ""1943""&gt; 1943 &lt;/ option&gt; &lt;option value = ""1942""&gt; 1942 &lt;/ option&gt; &lt;opti"&amp;"on value = ""1941""&gt; 1941 &lt;/ option&gt; &lt; option value = ""1940""&gt; 1940 &lt;/ option&gt; &lt;option value = ""1939""&gt; 1939 &lt;/ option&gt; &lt;option value = ""1938""&gt; 1938 &lt;/ option&gt; &lt;option value = ""1937""&gt; 1937 &lt;/ option &gt; &lt;option value = ""1936""&gt; 1936 &lt;/ option&gt; &lt;optio"&amp;"n value = ""1935""&gt; 1935 &lt;/ option&gt; &lt;option value = ""1934""&gt; 1934 &lt;/ option&gt; &lt;option value = ""1933""&gt; 1933 &lt; / option&gt; &lt;option value = ""1932""&gt; 1932 &lt;/ option&gt; &lt;option value = ""1931""&gt; 1931 &lt;/ option&gt; &lt;option v alue = ""1930""&gt; 1930 &lt;/ option&gt; &lt;option"&amp;" value = ""1929""&gt; 1929 &lt;/ option&gt; &lt;option value = ""1928""&gt; 1928 &lt;/ option&gt; &lt;option value = ""1927""&gt; 1927 &lt;/ option&gt; &lt;option value = ""1926""&gt; 1926 &lt;/ option&gt; &lt;option value = ""1925""&gt; 1925 &lt;/ option&gt; &lt;option value = ""1924""&gt; 1924 &lt;/ option&gt; &lt;option va"&amp;"lue = ""1923""&gt; 1923 &lt;/ option&gt; &lt;option value = ""1922""&gt; 1922 &lt;/ option&gt; &lt;option value = ""1921""&gt; 1921 &lt;/ option&gt; &lt;option value = ""1920""&gt; 1920 &lt;/ option&gt; &lt;option value = ""1919""&gt; 1919 &lt;/ option&gt; &lt;option value = ""1918""&gt; 1918 &lt;/ option&gt; &lt;option value"&amp;" = ""1917""&gt; 1917 &lt;/ option&gt; &lt;option value = ""1916""&gt; 1916 &lt;/ option&gt; &lt;option value = ""1915"" &gt; 1915 &lt;/ option&gt; &lt;option value = ""1914""&gt; 1914 &lt;/ option&gt; &lt;option value = ""1913""&gt; 1913 &lt;/ option&gt; &lt;option value = ""1912""&gt; 1912 &lt;/ option&gt; &lt;option value ="&amp;" "" 1911 ""&gt; 1911 &lt;/ option&gt; &lt;option value ="" 1910 ""&gt; 1910 &lt;/ option&gt; &lt;option value ="" 1909 ""&gt; 1909 &lt;/ option&gt; &lt;option value ="" 1908 ""&gt; 1908 &lt;/ option&gt; &lt;value option = ""1907""&gt; 1907 &lt;/ option&gt; &lt;option value = ""1906""&gt; 1906 &lt;/ option&gt; &lt;option value"&amp;" = ""1905""&gt; 1905 &lt;/ option&gt; &lt;option value = ""1904""&gt; 1904 &lt;/ option&gt; &lt; option value = ""1903""&gt; 1903 &lt;/ option&gt; &lt;option value = ""1902""&gt; 1902 &lt;/ option&gt; &lt;option value = ""1901""&gt; 19 01 &lt;/ option&gt; &lt;option value = ""1900""&gt; 1900 &lt;/ option&gt; &lt;/ select&gt; &lt;di"&amp;"v tabindex = ""- 1"" class = ""airy-age-gate-submit airy-submit-button airy airy-submit- disabled ""&gt; Submit &lt;/ div&gt; &lt;/ div&gt; &lt;/ div&gt; &lt;/ div&gt; &lt;/ div&gt; &lt;/ div&gt; &lt;div tabindex ="" - 1 ""class ="" airy-install-flash-dialog airy-stage airy -vertical-centering-ta"&amp;"ble-dialog airy airy-denied ""style ="" opacity: 0; visibility: hidden; ""&gt; &lt;div tabindex ="" - 1 ""class ="" airy-install-flash-Vertical-centering-table-cell airy-Vertical-centering-table-cell ""&gt; &lt;div tabindex ="" - 1 ""class = ""airy-Vertical-centering"&amp;"-wrapper airy-install-flash-elements-wrapper""&gt; &lt;div tabindex = ""- 1"" class = ""airy-install-flash-elements airy-dialog-elements""&gt; &lt;div tabindex = "" -1 ""class ="" airy-install-flash-prompt ""&gt; Adobe Flash Player is required to watch this video &lt;/ div"&amp;"&gt; &lt;div tabindex =."" - 1 ""class ="" airy-install-flash-button-wrapper airy -dialog-inner-elements ""&gt; &lt;div tabindex ="" - 1 ""class ="" airy-install-flash-button airy-button ""&gt; install Flash Player &lt;/ div&gt; &lt;/ div&gt; &lt;/ div&gt; &lt;/ div&gt; &lt;/ div&gt; &lt;/ div&gt; &lt;div ta"&amp;"bindex = ""- 1"" class = ""airy-video-unsupported-dialog airy-stage airy-Vertical-centering-table airy-dialog airy-denied"" style = ""opacity: 0; visibility: hidden; ""&gt; &lt;div tabindex ="" - 1 ""class ="" airy-video-unsupported-Vertical-centering-table-cel"&amp;"l airy-Vertical-centering-table-cell ""&gt; &lt;div tabindex ="" - 1 ""class = ""airy-Vertical-centering-wrapper airy-video-unsupported-elements-wrapper""&gt; &lt;div tabindex = ""- 1"" class = ""airy-video-unsupported-elements airy-dialog-elements""&gt; &lt;div tabindex ="&amp;" "" -1 ""class ="" airy-video-unsupported-prompt ""&gt; &lt;/ div&gt; &lt;/ div&gt; &lt;/ div&gt; &lt;/ div&gt; &lt;/ div&gt; &lt;div tabindex ="" - 1 ""class ="" airy-loading- spinner-stage airy-stage ""&gt; &lt;div tabindex ="" - 1 ""class ="" airy-loading-spinner-Vertical-centering-table-cell "&amp;"airy-Vertical-centering-table-cell ""&gt; &lt;div tabindex ="" - 1 ""class ="" airy-loading-spinner-container airy-scalable-hint-container ""&gt; &lt;div tabindex ="" - 1 ""class ="" airy-loading-spinner-dummy airy-scalable-dummy ""&gt; &lt;/ div&gt; &lt; div tabindex = ""- 1"" "&amp;"class = ""airy-loading-spinner airy-hint"" style = ""visibility: hidden;""&gt; &lt;/ div&gt; &lt;/ div&gt; &lt;/ div&gt; &lt;/ div&gt; &lt;div tabindex = ""- 1 ""class ="" airy-ads-screen-size-toggle airy-screen-size-toggle-fullscreen airy ""style ="" visibility: hidden; ""&gt; &lt;/ div&gt; &lt;"&amp;"div tabindex = ""-1"" class = ""airy-ad-prompt-container"" style = ""visibility: hidden;""&gt; &lt;div tabindex = ""- 1"" class = ""airy-ad-prompt-Vertical-centering-table-vertically airy centering-table ""&gt; &lt;div tabindex ="" - 1 ""class ="" airy-ad-prompt-Vert"&amp;"ical-centering-table-cell airy-Vertical-centering-table-cell ""&gt; &lt;div tabindex ="" - 1 ""class = ""airy-ad-prompt-label""&gt; &lt;/ div&gt; &lt;/ div&gt; &lt;/ div&gt; &lt;/ div&gt; &lt;div tabindex = ""- 1"" class = ""airy-ads-controls-container"" style = ""visibility: hidden; ""&gt; &lt;d"&amp;"iv tabindex ="" - 1 ""class ="" airy-ads-audio-toggle airy-audio-toggle airy-on ""style ="" visibility: hidden; ""&gt; &lt;/ div&gt; &lt;div tabindex ="" - 1 ""class ="" airy-time-remaining-label-container ""&gt; &lt;div tabindex ="" - 1 ""class ="" airy-time-remaining-Ver"&amp;"tical-centering-table airy-Vertical-centering-table ""&gt; &lt;div tabindex = ""- 1"" class = ""airy-time-remaining-Vertical-centering-table-cell airy-Vertical-centering-table-cell""&gt; &lt;div tabindex = ""- 1"" class = ""airy-Vertical-centering-wrapper airy-time-r"&amp;"emaining-label-wrapper ""&gt; &lt;div tabindex ="" - 1 ""class ="" airy-time-remaining-label ""style ="" visibility: hidden; ""&gt; &lt;/ div&gt; &lt;div tabi ndex = ""- 1"" class = ""airy-ad-skip"" style = ""visibility: hidden;""&gt; &lt;/ div&gt; &lt;div tabindex = ""- 1"" class = "&amp;"""airy-ad-end"" style = ""visibility: hidden ""&gt; &lt;/ div&gt; &lt;/ div&gt; &lt;/ div&gt; &lt;/ div&gt; &lt;/ div&gt; &lt;div tabindex ="" - 1 ""class ="" airy-learn-more ""style ="" visibility: hidden; ""&gt; &lt;/ div&gt; &lt;/ div&gt; &lt;div tabindex = ""- 1"" class = ""airy-play-toggle-hint-stage ai"&amp;"ry-stage airy-cursor""&gt; &lt;div tabindex = ""- 1"" class = ""airy-play -toggle-hint-Vertical-centering-table-cell airy-Vertical-centering-table-cell airy-cursor ""&gt; &lt;div tabindex ="" - 1 ""class ="" airy-play-toggle-hint-container airy-scalable- Hint-contain"&amp;"er ""&gt; &lt;div tabindex ="" - 1 ""class ="" airy-play-toggle-hint-dummy airy-scalable-dummy ""&gt; &lt;/ div&gt; &lt;div tabindex ="" - 1 ""class ="" airy-play -toggle-hint hint airy-airy-play-hint ""style ="" opacity: 1; visibility: visible; ""&gt; &lt;/ div&gt; &lt;/ div&gt; &lt;/ div&gt;"&amp;" &lt;/ div&gt; &lt;div tabindex ="" - 1 ""class ="" airy-replay-hint-stage airy-stage ""style ="" visibility: hidden ; ""&gt; &lt;div tabindex ="" - 1 ""class ="" airy-replay-hint-Vertical-centering-table-cell airy-Vertical-centering-table-cell airy-cursor ""&gt; &lt;div tabi"&amp;"ndex ="" - 1 ""class = ""airy-replay-hint-container airy-scalable-hint-container""&gt; &lt;div tabindex = ""- 1"" class = ""airy-replay-hint-dummy airy-scalable-dummy""&gt; &lt;/ div&gt; &lt;div tabindex = ""- 1"" class = ""airy-replay-hint airy-hint""&gt; &lt;/ div&gt; &lt;/ div&gt; &lt;/ "&amp;"div&gt; &lt;/ div&gt; &lt;div tabindex = ""- 1"" class = ""airy-autoplay-hint -stage airy-stage ""style ="" visibility: hidden; ""&gt; &lt;div tabindex ="" - 1 ""class ="" airy-autoplay-hint-Vertical-centering-table-cell airy-Vertical-centering-table-cell airy- cursor ""&gt; "&amp;"&lt;div tabindex ="" - 1 ""class ="" autoplay airy-airy-hint-container-scalable-hint-container ""&gt; &lt;div tabindex ="" - 1 ""class ="" airy-autoplay-hint-dummy airy- scalable-dummy ""&gt; &lt;/ div&gt; &lt;/ div&gt; &lt;/ div&gt; &lt;/ div&gt; &lt;/ div&gt; &lt;/ div&gt; &lt;input type ="" hidden ""na"&amp;"me ="" ""value ="" https: // images-eu .ssl-images-amazon.com / images / I / D1HghETI4fS.mp4 ""Class ="" video-url ""&gt; &lt;input type ="" hidden ""name ="" ""value ="" https://images-eu.ssl-images-amazon.com/images/I/81EKjqYdgoS.png ""class ="" video-slate-i"&amp;"mg-url ""&gt; &amp; nbsp; The toaster is notable for its design, spectacular. Proper operation and tuesta fast, allows slices large and to see the timer is a plus, but it has its drawbacks: - The first round the tuesta well in minute and a half, but the second i"&amp;"f you let time without touching it burn, this forces you to play with the timer in each round. The good news is that you can upload and take a look without stop, but forces you to be on top. - Cleans fatal, has a crumb that is not functional, with large e"&amp;"nough opening to collect crumbs, many stay inside and not go well. Do not get cleaned while you capsize move the toaster and also many of the crumbs out of the tray and just below the toaster. This to my opinion is the worst point. - Heat out, if you touc"&amp;"h comes to burn. What is Toasting Toasting and design is 10, but the points I mention they thought it was worth the outlay.")</f>
        <v>It is clean bad and requires to be ahead &lt;div id = "video-block-RM5RGUUEXPKTA" class = "a-section a-spacing-small a-spacing-top mini video-block"&gt; &lt;div tabindex = "0" class = "airy airy-svg vmin-unsupported airy-skin-beacon" style = "background-color: rgb (0, 0, 0) position: relative; width: 100%; height: 100%; font-size: 0px; overflow: hidden; outline: none; "&gt; &lt;div class =" airy-renderer-container "style =" position: relative; height: 100%; width: 100%; "&gt; &lt;video id =" 7 "preload =" auto "src =" https://images-eu.ssl-images-amazon.com/images/I/D1HghETI4fS.mp4 "style =" position: absolute; left: 0px; top: 0px; overflow: hidden; height: 1px; width: 1px; "&gt; &lt;/ video&gt; &lt;/ div&gt; &lt;div id =" airy-slate-preload "style =" background-color: rgb (0, 0, 0); background-image: url (&amp; quot ; https: //images-eu.ssl-images-amazon.com/images/I/81EKjqYdgoS.png&amp;quot;); background-size: Contain; background-position: center center; background-repeat: no-repeat; position: absolute; top: 0px; left: 0px; visibility: visible; width: 100%; height: 100%; "&gt; &lt; / Div&gt; &lt;iframe scrolling = "no" frameborder = "0" src = "about: blank" style = "display: none;"&gt; &lt;/ iframe&gt; &lt;div tabindex = "- 1" class = "airy-Controls- 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2:39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3.17296%;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D1HghETI4fS.mp4 "Class =" video-url "&gt; &lt;input type =" hidden "name =" "value =" https://images-eu.ssl-images-amazon.com/images/I/81EKjqYdgoS.png "class =" video-slate-img-url "&gt; &amp; nbsp; The toaster is notable for its design, spectacular. Proper operation and tuesta fast, allows slices large and to see the timer is a plus, but it has its drawbacks: - The first round the tuesta well in minute and a half, but the second if you let time without touching it burn, this forces you to play with the timer in each round. The good news is that you can upload and take a look without stop, but forces you to be on top. - Cleans fatal, has a crumb that is not functional, with large enough opening to collect crumbs, many stay inside and not go well. Do not get cleaned while you capsize move the toaster and also many of the crumbs out of the tray and just below the toaster. This to my opinion is the worst point. - Heat out, if you touch comes to burn. What is Toasting Toasting and design is 10, but the points I mention they thought it was worth the outlay.</v>
      </c>
    </row>
    <row r="15730">
      <c r="A15730" s="1">
        <v>1.0</v>
      </c>
      <c r="B15730" s="1" t="s">
        <v>15588</v>
      </c>
      <c r="C15730" t="str">
        <f>IFERROR(__xludf.DUMMYFUNCTION("GOOGLETRANSLATE(B15730, ""es"", ""en"")"),"Not recommend is of very poor quality. Much plastic very bright. In fact I have them to return. I do not recommend. a greeting")</f>
        <v>Not recommend is of very poor quality. Much plastic very bright. In fact I have them to return. I do not recommend. a greeting</v>
      </c>
    </row>
    <row r="15731">
      <c r="A15731" s="1">
        <v>1.0</v>
      </c>
      <c r="B15731" s="1" t="s">
        <v>15589</v>
      </c>
      <c r="C15731" t="str">
        <f>IFERROR(__xludf.DUMMYFUNCTION("GOOGLETRANSLATE(B15731, ""es"", ""en"")"),"Poor quality Very cheap and pretty but you'll quickly pica.")</f>
        <v>Poor quality Very cheap and pretty but you'll quickly pica.</v>
      </c>
    </row>
    <row r="15732">
      <c r="A15732" s="1">
        <v>1.0</v>
      </c>
      <c r="B15732" s="1" t="s">
        <v>15590</v>
      </c>
      <c r="C15732" t="str">
        <f>IFERROR(__xludf.DUMMYFUNCTION("GOOGLETRANSLATE(B15732, ""es"", ""en"")"),"Nefasto I bought it on sale in September as it was for Christmas gift to the opening works evil has a cracked and can no longer return speaker, lasted two days well.")</f>
        <v>Nefasto I bought it on sale in September as it was for Christmas gift to the opening works evil has a cracked and can no longer return speaker, lasted two days well.</v>
      </c>
    </row>
    <row r="15733">
      <c r="A15733" s="1">
        <v>4.0</v>
      </c>
      <c r="B15733" s="1" t="s">
        <v>15591</v>
      </c>
      <c r="C15733" t="str">
        <f>IFERROR(__xludf.DUMMYFUNCTION("GOOGLETRANSLATE(B15733, ""es"", ""en"")"),"Original and functional Not the typical mat and comfortable. It took a while to arrive, but with the price you satisfied.")</f>
        <v>Original and functional Not the typical mat and comfortable. It took a while to arrive, but with the price you satisfied.</v>
      </c>
    </row>
    <row r="15734">
      <c r="A15734" s="1">
        <v>4.0</v>
      </c>
      <c r="B15734" s="1" t="s">
        <v>15592</v>
      </c>
      <c r="C15734" t="str">
        <f>IFERROR(__xludf.DUMMYFUNCTION("GOOGLETRANSLATE(B15734, ""es"", ""en"")"),"Good velcro adheres well and lots of (length).")</f>
        <v>Good velcro adheres well and lots of (length).</v>
      </c>
    </row>
    <row r="15735">
      <c r="A15735" s="1">
        <v>4.0</v>
      </c>
      <c r="B15735" s="1" t="s">
        <v>15593</v>
      </c>
      <c r="C15735" t="str">
        <f>IFERROR(__xludf.DUMMYFUNCTION("GOOGLETRANSLATE(B15735, ""es"", ""en"")"),"I bought it fulfills its operation mainly by the memory of 200 laps of the timer and not disappointed has also lets you select which last record you want to delete and if you do not remove never crushes on older. Watch efficient and also with good aesthet"&amp;"ics.")</f>
        <v>I bought it fulfills its operation mainly by the memory of 200 laps of the timer and not disappointed has also lets you select which last record you want to delete and if you do not remove never crushes on older. Watch efficient and also with good aesthetics.</v>
      </c>
    </row>
    <row r="15736">
      <c r="A15736" s="1">
        <v>4.0</v>
      </c>
      <c r="B15736" s="1" t="s">
        <v>15594</v>
      </c>
      <c r="C15736" t="str">
        <f>IFERROR(__xludf.DUMMYFUNCTION("GOOGLETRANSLATE(B15736, ""es"", ""en"")"),"Good Very good results Used with iRig MIC FIELD, but too big for Such mic, but the only one Existing, so far.")</f>
        <v>Good Very good results Used with iRig MIC FIELD, but too big for Such mic, but the only one Existing, so far.</v>
      </c>
    </row>
    <row r="15737">
      <c r="A15737" s="1">
        <v>5.0</v>
      </c>
      <c r="B15737" s="1" t="s">
        <v>461</v>
      </c>
      <c r="C15737" t="str">
        <f>IFERROR(__xludf.DUMMYFUNCTION("GOOGLETRANSLATE(B15737, ""es"", ""en"")"),"excellent excellent")</f>
        <v>excellent excellent</v>
      </c>
    </row>
    <row r="15738">
      <c r="A15738" s="1">
        <v>5.0</v>
      </c>
      <c r="B15738" s="1" t="s">
        <v>932</v>
      </c>
      <c r="C15738" t="str">
        <f>IFERROR(__xludf.DUMMYFUNCTION("GOOGLETRANSLATE(B15738, ""es"", ""en"")"),"All right all right")</f>
        <v>All right all right</v>
      </c>
    </row>
    <row r="15739">
      <c r="A15739" s="1">
        <v>5.0</v>
      </c>
      <c r="B15739" s="1" t="s">
        <v>15595</v>
      </c>
      <c r="C15739" t="str">
        <f>IFERROR(__xludf.DUMMYFUNCTION("GOOGLETRANSLATE(B15739, ""es"", ""en"")"),"all very well everything perfect. good")</f>
        <v>all very well everything perfect. good</v>
      </c>
    </row>
    <row r="15740">
      <c r="A15740" s="1">
        <v>5.0</v>
      </c>
      <c r="B15740" s="1" t="s">
        <v>15596</v>
      </c>
      <c r="C15740" t="str">
        <f>IFERROR(__xludf.DUMMYFUNCTION("GOOGLETRANSLATE(B15740, ""es"", ""en"")"),"Perfect quality and robustness to separate the micro earpiece on the PC. quality and firmness with which is subject to noticeable components. good buy")</f>
        <v>Perfect quality and robustness to separate the micro earpiece on the PC. quality and firmness with which is subject to noticeable components. good buy</v>
      </c>
    </row>
    <row r="15741">
      <c r="A15741" s="1">
        <v>5.0</v>
      </c>
      <c r="B15741" s="1" t="s">
        <v>15597</v>
      </c>
      <c r="C15741" t="str">
        <f>IFERROR(__xludf.DUMMYFUNCTION("GOOGLETRANSLATE(B15741, ""es"", ""en"")"),"An ideal convenient for travel product. The only downside is clean, not very comfortable, but still happy!")</f>
        <v>An ideal convenient for travel product. The only downside is clean, not very comfortable, but still happy!</v>
      </c>
    </row>
    <row r="15742">
      <c r="A15742" s="1">
        <v>5.0</v>
      </c>
      <c r="B15742" s="1" t="s">
        <v>15598</v>
      </c>
      <c r="C15742" t="str">
        <f>IFERROR(__xludf.DUMMYFUNCTION("GOOGLETRANSLATE(B15742, ""es"", ""en"")"),"The set is great better than expected.")</f>
        <v>The set is great better than expected.</v>
      </c>
    </row>
    <row r="15743">
      <c r="A15743" s="1">
        <v>5.0</v>
      </c>
      <c r="B15743" s="1" t="s">
        <v>15599</v>
      </c>
      <c r="C15743" t="str">
        <f>IFERROR(__xludf.DUMMYFUNCTION("GOOGLETRANSLATE(B15743, ""es"", ""en"")"),"Very fast to really notice a change 4k write speed in the photos and especially looseness in the camera to record 4K. I can also dump all the info to PC much faster. The card I had before was very slow and high-resolution photos and videos were FullHD hel"&amp;"l to go to the pc.")</f>
        <v>Very fast to really notice a change 4k write speed in the photos and especially looseness in the camera to record 4K. I can also dump all the info to PC much faster. The card I had before was very slow and high-resolution photos and videos were FullHD hell to go to the pc.</v>
      </c>
    </row>
    <row r="15744">
      <c r="A15744" s="1">
        <v>5.0</v>
      </c>
      <c r="B15744" s="1" t="s">
        <v>15600</v>
      </c>
      <c r="C15744" t="str">
        <f>IFERROR(__xludf.DUMMYFUNCTION("GOOGLETRANSLATE(B15744, ""es"", ""en"")"),"Shoulder bag small size is ideal for everyday is tough and good quality has many compartments .I recommend it.")</f>
        <v>Shoulder bag small size is ideal for everyday is tough and good quality has many compartments .I recommend it.</v>
      </c>
    </row>
    <row r="15745">
      <c r="A15745" s="1">
        <v>5.0</v>
      </c>
      <c r="B15745" s="1" t="s">
        <v>15601</v>
      </c>
      <c r="C15745" t="str">
        <f>IFERROR(__xludf.DUMMYFUNCTION("GOOGLETRANSLATE(B15745, ""es"", ""en"")"),"Very good is as good as it looks. With all the comfort and quality promises. Thank you!")</f>
        <v>Very good is as good as it looks. With all the comfort and quality promises. Thank you!</v>
      </c>
    </row>
    <row r="15746">
      <c r="A15746" s="1">
        <v>5.0</v>
      </c>
      <c r="B15746" s="1" t="s">
        <v>15602</v>
      </c>
      <c r="C15746" t="str">
        <f>IFERROR(__xludf.DUMMYFUNCTION("GOOGLETRANSLATE(B15746, ""es"", ""en"")"),"Good quality great, nice and very comfortable, size Justito will recommend one more.")</f>
        <v>Good quality great, nice and very comfortable, size Justito will recommend one more.</v>
      </c>
    </row>
    <row r="15747">
      <c r="A15747" s="1">
        <v>5.0</v>
      </c>
      <c r="B15747" s="1" t="s">
        <v>15603</v>
      </c>
      <c r="C15747" t="str">
        <f>IFERROR(__xludf.DUMMYFUNCTION("GOOGLETRANSLATE(B15747, ""es"", ""en"")"),"Looks a lot It's very nice, I really was surprised by the result, for that price. I love!!!")</f>
        <v>Looks a lot It's very nice, I really was surprised by the result, for that price. I love!!!</v>
      </c>
    </row>
    <row r="15748">
      <c r="A15748" s="1">
        <v>5.0</v>
      </c>
      <c r="B15748" s="1" t="s">
        <v>11892</v>
      </c>
      <c r="C15748" t="str">
        <f>IFERROR(__xludf.DUMMYFUNCTION("GOOGLETRANSLATE(B15748, ""es"", ""en"")"),"excellent")</f>
        <v>excellent</v>
      </c>
    </row>
    <row r="15749">
      <c r="A15749" s="1">
        <v>5.0</v>
      </c>
      <c r="B15749" s="1" t="s">
        <v>15604</v>
      </c>
      <c r="C15749" t="str">
        <f>IFERROR(__xludf.DUMMYFUNCTION("GOOGLETRANSLATE(B15749, ""es"", ""en"")"),"Ease of use is the typical coffee to 15bares.Es as advertised and what is important, makes a cappuccino that has nothing to envy your coffee much more caras.Recomiendo the seller compra.Ademas been great, because I fix a problem with Correos")</f>
        <v>Ease of use is the typical coffee to 15bares.Es as advertised and what is important, makes a cappuccino that has nothing to envy your coffee much more caras.Recomiendo the seller compra.Ademas been great, because I fix a problem with Correos</v>
      </c>
    </row>
    <row r="15750">
      <c r="A15750" s="1">
        <v>5.0</v>
      </c>
      <c r="B15750" s="1" t="s">
        <v>15605</v>
      </c>
      <c r="C15750" t="str">
        <f>IFERROR(__xludf.DUMMYFUNCTION("GOOGLETRANSLATE(B15750, ""es"", ""en"")"),"Very good product very similar to the original in its closure and texture.")</f>
        <v>Very good product very similar to the original in its closure and texture.</v>
      </c>
    </row>
    <row r="15751">
      <c r="A15751" s="1">
        <v>5.0</v>
      </c>
      <c r="B15751" s="1" t="s">
        <v>15606</v>
      </c>
      <c r="C15751" t="str">
        <f>IFERROR(__xludf.DUMMYFUNCTION("GOOGLETRANSLATE(B15751, ""es"", ""en"")"),"Soft perfect durability and comfortable perfect for training.")</f>
        <v>Soft perfect durability and comfortable perfect for training.</v>
      </c>
    </row>
    <row r="15752">
      <c r="A15752" s="1">
        <v>5.0</v>
      </c>
      <c r="B15752" s="1" t="s">
        <v>15607</v>
      </c>
      <c r="C15752" t="str">
        <f>IFERROR(__xludf.DUMMYFUNCTION("GOOGLETRANSLATE(B15752, ""es"", ""en"")"),"For what they cost ... I cost 11 € when I see around 24 €, I have them for work and to see a movie with the tablet and that are phenomenal. I have also used hands-free with my mobile and listen to me and listen well. No use to listen to music so I will no"&amp;"t comment on its quality respect. On its construction, they seem puny, but that time I will tell. So they cost me very happy now.")</f>
        <v>For what they cost ... I cost 11 € when I see around 24 €, I have them for work and to see a movie with the tablet and that are phenomenal. I have also used hands-free with my mobile and listen to me and listen well. No use to listen to music so I will not comment on its quality respect. On its construction, they seem puny, but that time I will tell. So they cost me very happy now.</v>
      </c>
    </row>
    <row r="15753">
      <c r="A15753" s="1">
        <v>5.0</v>
      </c>
      <c r="B15753" s="1" t="s">
        <v>15608</v>
      </c>
      <c r="C15753" t="str">
        <f>IFERROR(__xludf.DUMMYFUNCTION("GOOGLETRANSLATE(B15753, ""es"", ""en"")"),"Simple and effective've been using this product about two weeks and am delighted, though it actually is delighted he is my son that every tomorrow a fruit smoothie is on the table when breakfast. It is simple to use and effective because in a few seconds "&amp;"transforms a few pieces of fruit and milk or orange juice into a delicious smoothie. In addition it is cleaned in a Pispas, so the value is superb. Product highly recommended.")</f>
        <v>Simple and effective've been using this product about two weeks and am delighted, though it actually is delighted he is my son that every tomorrow a fruit smoothie is on the table when breakfast. It is simple to use and effective because in a few seconds transforms a few pieces of fruit and milk or orange juice into a delicious smoothie. In addition it is cleaned in a Pispas, so the value is superb. Product highly recommended.</v>
      </c>
    </row>
    <row r="15754">
      <c r="A15754" s="1">
        <v>5.0</v>
      </c>
      <c r="B15754" s="1" t="s">
        <v>15609</v>
      </c>
      <c r="C15754" t="str">
        <f>IFERROR(__xludf.DUMMYFUNCTION("GOOGLETRANSLATE(B15754, ""es"", ""en"")"),"good quality and comfortable We liked the quality and comfort, is the third we buy and this is the best.")</f>
        <v>good quality and comfortable We liked the quality and comfort, is the third we buy and this is the best.</v>
      </c>
    </row>
    <row r="15755">
      <c r="A15755" s="1">
        <v>5.0</v>
      </c>
      <c r="B15755" s="1" t="s">
        <v>15610</v>
      </c>
      <c r="C15755" t="str">
        <f>IFERROR(__xludf.DUMMYFUNCTION("GOOGLETRANSLATE(B15755, ""es"", ""en"")"),"buy the best that I can be one of the best purchases I made in my life, thanks to her I no longer had to sweep or vacuum the house daily. Ideal for those with cats.")</f>
        <v>buy the best that I can be one of the best purchases I made in my life, thanks to her I no longer had to sweep or vacuum the house daily. Ideal for those with cats.</v>
      </c>
    </row>
    <row r="15756">
      <c r="A15756" s="1">
        <v>2.0</v>
      </c>
      <c r="B15756" s="1" t="s">
        <v>15611</v>
      </c>
      <c r="C15756" t="str">
        <f>IFERROR(__xludf.DUMMYFUNCTION("GOOGLETRANSLATE(B15756, ""es"", ""en"")"),"VALUATION cube liked me to the fact that carry 4 wheels and for that reason I asked because it was for my mother 73 years since for a health problem could not drag her mop bucket, so to the view that has 4 wheels so pedi.Pero however comfortable it is to "&amp;"carrying the wheels when you put the water and you'll scrub the drain the mop wringer is lowered while playing again with water and leaves soaked, so for my mother does not happen that you have to put a little water and change several times the water to t"&amp;"he bucket already obtado not spend more and who loses her having to be changing the water in the bucket several times for not being able to fill as touches touching the wringer in the agua.Creo they should have done a little bucket hondo.Es a shame becaus"&amp;"e if it were not for the failure of the wringer would be perfect for my mother.")</f>
        <v>VALUATION cube liked me to the fact that carry 4 wheels and for that reason I asked because it was for my mother 73 years since for a health problem could not drag her mop bucket, so to the view that has 4 wheels so pedi.Pero however comfortable it is to carrying the wheels when you put the water and you'll scrub the drain the mop wringer is lowered while playing again with water and leaves soaked, so for my mother does not happen that you have to put a little water and change several times the water to the bucket already obtado not spend more and who loses her having to be changing the water in the bucket several times for not being able to fill as touches touching the wringer in the agua.Creo they should have done a little bucket hondo.Es a shame because if it were not for the failure of the wringer would be perfect for my mother.</v>
      </c>
    </row>
    <row r="15757">
      <c r="A15757" s="1">
        <v>3.0</v>
      </c>
      <c r="B15757" s="1" t="s">
        <v>15612</v>
      </c>
      <c r="C15757" t="str">
        <f>IFERROR(__xludf.DUMMYFUNCTION("GOOGLETRANSLATE(B15757, ""es"", ""en"")"),"all ok It does wonders")</f>
        <v>all ok It does wonders</v>
      </c>
    </row>
    <row r="15758">
      <c r="A15758" s="1">
        <v>3.0</v>
      </c>
      <c r="B15758" s="1" t="s">
        <v>1577</v>
      </c>
      <c r="C15758" t="str">
        <f>IFERROR(__xludf.DUMMYFUNCTION("GOOGLETRANSLATE(B15758, ""es"", ""en"")"),"Small Too Small")</f>
        <v>Small Too Small</v>
      </c>
    </row>
    <row r="15759">
      <c r="A15759" s="1">
        <v>3.0</v>
      </c>
      <c r="B15759" s="1" t="s">
        <v>15613</v>
      </c>
      <c r="C15759" t="str">
        <f>IFERROR(__xludf.DUMMYFUNCTION("GOOGLETRANSLATE(B15759, ""es"", ""en"")"),"BREAKING FINISHES, like all good: Apparently very good quality, materials, finishes ... it shows the difference from other brands or models. The sound is excellent, really, I think I've rarely had such a good sound. The bad: when a little time has passed "&amp;"breaks, like all headphones. From where? Because of the cable from the jack begins to falter, what you're playing but it only hear the handset right. The truth is that bugged me a lot because I liked a lot and as I say, the sound excellent. Perhaps caring"&amp;" for a little unglued and pulls it last longer (I've tried to take care of, but nothing).")</f>
        <v>BREAKING FINISHES, like all good: Apparently very good quality, materials, finishes ... it shows the difference from other brands or models. The sound is excellent, really, I think I've rarely had such a good sound. The bad: when a little time has passed breaks, like all headphones. From where? Because of the cable from the jack begins to falter, what you're playing but it only hear the handset right. The truth is that bugged me a lot because I liked a lot and as I say, the sound excellent. Perhaps caring for a little unglued and pulls it last longer (I've tried to take care of, but nothing).</v>
      </c>
    </row>
    <row r="15760">
      <c r="A15760" s="1">
        <v>1.0</v>
      </c>
      <c r="B15760" s="1" t="s">
        <v>15614</v>
      </c>
      <c r="C15760" t="str">
        <f>IFERROR(__xludf.DUMMYFUNCTION("GOOGLETRANSLATE(B15760, ""es"", ""en"")"),"Broken. He did not like that got shattered sphere.")</f>
        <v>Broken. He did not like that got shattered sphere.</v>
      </c>
    </row>
    <row r="15761">
      <c r="A15761" s="1">
        <v>4.0</v>
      </c>
      <c r="B15761" s="1" t="s">
        <v>15615</v>
      </c>
      <c r="C15761" t="str">
        <f>IFERROR(__xludf.DUMMYFUNCTION("GOOGLETRANSLATE(B15761, ""es"", ""en"")"),"Great sound, not so good noise cancellation. I compared these MPOW H5 with Mxicder E8, which are about 15 euros more expensive and promise the same as these headphones. I put my impressions. Advantages: ✅ The main advantage of these MPOW H5 is its sound q"&amp;"uality, I liked it, even jogging noise canceling sound enhancement. They have a pretty decent and good quality low, middle and treble pretty good, compared to other high-end headphones I have not noticed quality down and that I loved. The Mixcder for me a"&amp;"re quite inferior in sound quality, with very paupers grave. ✅ The design of these MPOW H5 is really beautiful, really are super nice, finishes seem very good quality, and gummy plastic give an excellent touch. Plus they are pretty sneaky when you're wear"&amp;"ing, do not take up much left over head, besides weigh very little and do not call attention to the black one. This under my taste I love as I prefer small headphones. The Mixcder are too big for my taste and heavy and take up too much in the head, which "&amp;"means that call enough attention when wearing them. ✅ The battery is quite decent, taking 20 to 25 hours with ANC activated. The Mixcder on the other hand give 18 hours maybe stay a little shorter. Microphone ✅ decent for this price. The truth is that no "&amp;"wonder, I doubt acting well in noisy environments or outdoors, but at least in an inner quiet place voice is heard fairly well. By contrast Mixcder they have a horrible microphone, even indoors not recommended for low quality calls. ✅ are foldable, this m"&amp;"ay be silly ahead, but if we consider that the Mixcder are not folding, it is something to consider. Disadvantages: ❌ Noise cancellation truth is that not very noticeable, is very light. Cancellation of Mixcder is much better, but the downside is that you"&amp;" have a background murmur, like a noise that cause external microphones that I do not like anything. Luckily the noise cancellation MPOW not make any noise, the low background noise canceling does well. ❌ comfort. Eye! This put it in disadvantages in that"&amp;" are more uncomfortable than Mixcder, but not mean they are totally uncomfortable. They are well, the space of ear pads is very large (the space of Mixcder is smaller, but acceptable) is much like the way they Bose QC35 and that is very good, besides bein"&amp;"g very you comfortable. Only two problems, the first is that the top pad is too hard, and having headphones for several hours you top it hurts, the second is that the speakers are not placed obliquely, leaving background space for ears and that the outsid"&amp;"e of the helix does not rub against this (the Mixcder do have), and to the end of time is uncomfortable. In short, you can go longer with Mixcder, although these are not so bad. ❌ not bring hard carrying case, only one bag. The Mixcder bring hard carrying"&amp;" case, although I notice that is huge, so they are not folding. ❌ No multipoint. This headset to the Mixcder like, can not connect to two devices at once. So if you are looking for a headset that can connect to the computer and power while you take calls "&amp;"with your phone, neither is a good choice. ❌ not be loaded while listening to music. This can not do the Mixcder. ❌ The 90-degree turn to place them on the neck is upward, ie, the pads are exposed to the outside of your body, that I do not like as I prefe"&amp;"r to go to the back (yes when you put them on virtually neck tightened and are very comfortable). In addition they are not folding, hence its box so great. The Mixcder also have the turning outward, but are not collapsible and take up considerably more. I"&amp;"n short, I have like earphones that price are pretty good, so recommend. 👍 I have to say I've tried other noise canceling headphones that apart from being bad cancellation, the sound was horrible. These at the least have a great sound, and I would say th"&amp;"e cancellation is an added without much expectation. But I can not say it's ""super recommended"" because for my not having multipoint or can be loaded while listening to music, are things that should include. Yes, I recommend above Mixcder have a great n"&amp;"oise cancellation, but those whispers and strange sounds with speakers, leave a bad experience, plus they have a much worse sound. So I recommend these MPOW if you want to give the opportunity for noise cancellation and try it on a low-end, as the sound q"&amp;"uality is really good, they are fairly comfortable and they are beautiful. Value for money: 8 I hope you liked this analysis and helps you find it. A greeting!")</f>
        <v>Great sound, not so good noise cancellation. I compared these MPOW H5 with Mxicder E8, which are about 15 euros more expensive and promise the same as these headphones. I put my impressions. Advantages: ✅ The main advantage of these MPOW H5 is its sound quality, I liked it, even jogging noise canceling sound enhancement. They have a pretty decent and good quality low, middle and treble pretty good, compared to other high-end headphones I have not noticed quality down and that I loved. The Mixcder for me are quite inferior in sound quality, with very paupers grave. ✅ The design of these MPOW H5 is really beautiful, really are super nice, finishes seem very good quality, and gummy plastic give an excellent touch. Plus they are pretty sneaky when you're wearing, do not take up much left over head, besides weigh very little and do not call attention to the black one. This under my taste I love as I prefer small headphones. The Mixcder are too big for my taste and heavy and take up too much in the head, which means that call enough attention when wearing them. ✅ The battery is quite decent, taking 20 to 25 hours with ANC activated. The Mixcder on the other hand give 18 hours maybe stay a little shorter. Microphone ✅ decent for this price. The truth is that no wonder, I doubt acting well in noisy environments or outdoors, but at least in an inner quiet place voice is heard fairly well. By contrast Mixcder they have a horrible microphone, even indoors not recommended for low quality calls. ✅ are foldable, this may be silly ahead, but if we consider that the Mixcder are not folding, it is something to consider. Disadvantages: ❌ Noise cancellation truth is that not very noticeable, is very light. Cancellation of Mixcder is much better, but the downside is that you have a background murmur, like a noise that cause external microphones that I do not like anything. Luckily the noise cancellation MPOW not make any noise, the low background noise canceling does well. ❌ comfort. Eye! This put it in disadvantages in that are more uncomfortable than Mixcder, but not mean they are totally uncomfortable. They are well, the space of ear pads is very large (the space of Mixcder is smaller, but acceptable) is much like the way they Bose QC35 and that is very good, besides being very you comfortable. Only two problems, the first is that the top pad is too hard, and having headphones for several hours you top it hurts, the second is that the speakers are not placed obliquely, leaving background space for ears and that the outside of the helix does not rub against this (the Mixcder do have), and to the end of time is uncomfortable. In short, you can go longer with Mixcder, although these are not so bad. ❌ not bring hard carrying case, only one bag. The Mixcder bring hard carrying case, although I notice that is huge, so they are not folding. ❌ No multipoint. This headset to the Mixcder like, can not connect to two devices at once. So if you are looking for a headset that can connect to the computer and power while you take calls with your phone, neither is a good choice. ❌ not be loaded while listening to music. This can not do the Mixcder. ❌ The 90-degree turn to place them on the neck is upward, ie, the pads are exposed to the outside of your body, that I do not like as I prefer to go to the back (yes when you put them on virtually neck tightened and are very comfortable). In addition they are not folding, hence its box so great. The Mixcder also have the turning outward, but are not collapsible and take up considerably more. In short, I have like earphones that price are pretty good, so recommend. 👍 I have to say I've tried other noise canceling headphones that apart from being bad cancellation, the sound was horrible. These at the least have a great sound, and I would say the cancellation is an added without much expectation. But I can not say it's "super recommended" because for my not having multipoint or can be loaded while listening to music, are things that should include. Yes, I recommend above Mixcder have a great noise cancellation, but those whispers and strange sounds with speakers, leave a bad experience, plus they have a much worse sound. So I recommend these MPOW if you want to give the opportunity for noise cancellation and try it on a low-end, as the sound quality is really good, they are fairly comfortable and they are beautiful. Value for money: 8 I hope you liked this analysis and helps you find it. A greeting!</v>
      </c>
    </row>
    <row r="15762">
      <c r="A15762" s="1">
        <v>4.0</v>
      </c>
      <c r="B15762" s="1" t="s">
        <v>15616</v>
      </c>
      <c r="C15762" t="str">
        <f>IFERROR(__xludf.DUMMYFUNCTION("GOOGLETRANSLATE(B15762, ""es"", ""en"")"),"Very good product recommended. The truth is that it meets the expectations and works great.")</f>
        <v>Very good product recommended. The truth is that it meets the expectations and works great.</v>
      </c>
    </row>
    <row r="15763">
      <c r="A15763" s="1">
        <v>4.0</v>
      </c>
      <c r="B15763" s="1" t="s">
        <v>15617</v>
      </c>
      <c r="C15763" t="str">
        <f>IFERROR(__xludf.DUMMYFUNCTION("GOOGLETRANSLATE(B15763, ""es"", ""en"")"),"Not bad Okay, it works fine, but weighs just lacks power.")</f>
        <v>Not bad Okay, it works fine, but weighs just lacks power.</v>
      </c>
    </row>
    <row r="15764">
      <c r="A15764" s="1">
        <v>4.0</v>
      </c>
      <c r="B15764" s="1" t="s">
        <v>15618</v>
      </c>
      <c r="C15764" t="str">
        <f>IFERROR(__xludf.DUMMYFUNCTION("GOOGLETRANSLATE(B15764, ""es"", ""en"")"),"They may be worth depends Bota pa light and comfortable to work. Although I've had to put templates because they are very thin. Slipping with wet floor")</f>
        <v>They may be worth depends Bota pa light and comfortable to work. Although I've had to put templates because they are very thin. Slipping with wet floor</v>
      </c>
    </row>
    <row r="15765">
      <c r="A15765" s="1">
        <v>4.0</v>
      </c>
      <c r="B15765" s="1" t="s">
        <v>15619</v>
      </c>
      <c r="C15765" t="str">
        <f>IFERROR(__xludf.DUMMYFUNCTION("GOOGLETRANSLATE(B15765, ""es"", ""en"")"),"Does the job Purchased for use in a Nintendo Switch. I can only say that fulfills its function, load the games as if they cartridge, no slow loading times for the card. For the price it is the most recommended. SD adapter included.")</f>
        <v>Does the job Purchased for use in a Nintendo Switch. I can only say that fulfills its function, load the games as if they cartridge, no slow loading times for the card. For the price it is the most recommended. SD adapter included.</v>
      </c>
    </row>
    <row r="15766">
      <c r="A15766" s="1">
        <v>5.0</v>
      </c>
      <c r="B15766" s="1" t="s">
        <v>15620</v>
      </c>
      <c r="C15766" t="str">
        <f>IFERROR(__xludf.DUMMYFUNCTION("GOOGLETRANSLATE(B15766, ""es"", ""en"")"),"Which is a good invention. It is very convenient to clean the sliding guides.")</f>
        <v>Which is a good invention. It is very convenient to clean the sliding guides.</v>
      </c>
    </row>
    <row r="15767">
      <c r="A15767" s="1">
        <v>5.0</v>
      </c>
      <c r="B15767" s="1" t="s">
        <v>15621</v>
      </c>
      <c r="C15767" t="str">
        <f>IFERROR(__xludf.DUMMYFUNCTION("GOOGLETRANSLATE(B15767, ""es"", ""en"")"),"Good quality, comfortable and light good quality, comfortable and lightweight")</f>
        <v>Good quality, comfortable and light good quality, comfortable and lightweight</v>
      </c>
    </row>
    <row r="15768">
      <c r="A15768" s="1">
        <v>5.0</v>
      </c>
      <c r="B15768" s="1" t="s">
        <v>15622</v>
      </c>
      <c r="C15768" t="str">
        <f>IFERROR(__xludf.DUMMYFUNCTION("GOOGLETRANSLATE(B15768, ""es"", ""en"")"),"Very complete! We loved this mixer, it is very complete. We use it almost every day in different formats and containers have been helpful both mixer itself and for many other things. Recommended;)")</f>
        <v>Very complete! We loved this mixer, it is very complete. We use it almost every day in different formats and containers have been helpful both mixer itself and for many other things. Recommended;)</v>
      </c>
    </row>
    <row r="15769">
      <c r="A15769" s="1">
        <v>5.0</v>
      </c>
      <c r="B15769" s="1" t="s">
        <v>15623</v>
      </c>
      <c r="C15769" t="str">
        <f>IFERROR(__xludf.DUMMYFUNCTION("GOOGLETRANSLATE(B15769, ""es"", ""en"")"),"wear headphones to run this Bluetooth headset is not very expensive and have good audio quality, I like to bring to the corrir, securely attach the ear by a rubber band, and does not take much time to recharge.")</f>
        <v>wear headphones to run this Bluetooth headset is not very expensive and have good audio quality, I like to bring to the corrir, securely attach the ear by a rubber band, and does not take much time to recharge.</v>
      </c>
    </row>
    <row r="15770">
      <c r="A15770" s="1">
        <v>5.0</v>
      </c>
      <c r="B15770" s="1" t="s">
        <v>15624</v>
      </c>
      <c r="C15770" t="str">
        <f>IFERROR(__xludf.DUMMYFUNCTION("GOOGLETRANSLATE(B15770, ""es"", ""en"")"),"Listen to music I loved, I usually go biking, 3/4 hours, and terrific")</f>
        <v>Listen to music I loved, I usually go biking, 3/4 hours, and terrific</v>
      </c>
    </row>
    <row r="15771">
      <c r="A15771" s="1">
        <v>5.0</v>
      </c>
      <c r="B15771" s="1" t="s">
        <v>15625</v>
      </c>
      <c r="C15771" t="str">
        <f>IFERROR(__xludf.DUMMYFUNCTION("GOOGLETRANSLATE(B15771, ""es"", ""en"")"),"Excellent highly recommended product. With a breakthrough price, one does not expect to be so really good, comfortable and of such quality. The use every day to practice piano and I can only give praise for its operation.")</f>
        <v>Excellent highly recommended product. With a breakthrough price, one does not expect to be so really good, comfortable and of such quality. The use every day to practice piano and I can only give praise for its operation.</v>
      </c>
    </row>
    <row r="15772">
      <c r="A15772" s="1">
        <v>5.0</v>
      </c>
      <c r="B15772" s="1" t="s">
        <v>15626</v>
      </c>
      <c r="C15772" t="str">
        <f>IFERROR(__xludf.DUMMYFUNCTION("GOOGLETRANSLATE(B15772, ""es"", ""en"")"),"I really like I liked it, my daughter wants one like it, will order more models for me, for the girl, I'm afraid not hit with carving")</f>
        <v>I really like I liked it, my daughter wants one like it, will order more models for me, for the girl, I'm afraid not hit with carving</v>
      </c>
    </row>
    <row r="15773">
      <c r="A15773" s="1">
        <v>5.0</v>
      </c>
      <c r="B15773" s="1" t="s">
        <v>15627</v>
      </c>
      <c r="C15773" t="str">
        <f>IFERROR(__xludf.DUMMYFUNCTION("GOOGLETRANSLATE(B15773, ""es"", ""en"")"),"SOLVED arrived earlier than expected, I had to format the disk because it does not come with its ability to complete but once made perfect.")</f>
        <v>SOLVED arrived earlier than expected, I had to format the disk because it does not come with its ability to complete but once made perfect.</v>
      </c>
    </row>
    <row r="15774">
      <c r="A15774" s="1">
        <v>5.0</v>
      </c>
      <c r="B15774" s="1" t="s">
        <v>15628</v>
      </c>
      <c r="C15774" t="str">
        <f>IFERROR(__xludf.DUMMYFUNCTION("GOOGLETRANSLATE(B15774, ""es"", ""en"")"),"It's great dae very good quality")</f>
        <v>It's great dae very good quality</v>
      </c>
    </row>
    <row r="15775">
      <c r="A15775" s="1">
        <v>5.0</v>
      </c>
      <c r="B15775" s="1" t="s">
        <v>15629</v>
      </c>
      <c r="C15775" t="str">
        <f>IFERROR(__xludf.DUMMYFUNCTION("GOOGLETRANSLATE(B15775, ""es"", ""en"")"),"They have a good value good value, fit well and are as comfortable as the original Fitbit")</f>
        <v>They have a good value good value, fit well and are as comfortable as the original Fitbit</v>
      </c>
    </row>
    <row r="15776">
      <c r="A15776" s="1">
        <v>5.0</v>
      </c>
      <c r="B15776" s="1" t="s">
        <v>15630</v>
      </c>
      <c r="C15776" t="str">
        <f>IFERROR(__xludf.DUMMYFUNCTION("GOOGLETRANSLATE(B15776, ""es"", ""en"")"),"Ideal for sports I've loved these helmets because, first, I did not expect such a good aesthetic, they are precious. Besides, did not think the quality of audio to connect to the simply incredible mobile would be so good. It also has a very important aspe"&amp;"ct for me as is the ability to listen to the radio without antenna or connect it to a mobile. In addition, the battery lasts a lot and relatively quick load. It also supports, for example, sd cards. In short, it's perfect to carry the gym and exercising p"&amp;"ower without wires and nuisances and the Bluetooth connection is perfect. Very good buy.")</f>
        <v>Ideal for sports I've loved these helmets because, first, I did not expect such a good aesthetic, they are precious. Besides, did not think the quality of audio to connect to the simply incredible mobile would be so good. It also has a very important aspect for me as is the ability to listen to the radio without antenna or connect it to a mobile. In addition, the battery lasts a lot and relatively quick load. It also supports, for example, sd cards. In short, it's perfect to carry the gym and exercising power without wires and nuisances and the Bluetooth connection is perfect. Very good buy.</v>
      </c>
    </row>
    <row r="15777">
      <c r="A15777" s="1">
        <v>5.0</v>
      </c>
      <c r="B15777" s="1" t="s">
        <v>15631</v>
      </c>
      <c r="C15777" t="str">
        <f>IFERROR(__xludf.DUMMYFUNCTION("GOOGLETRANSLATE(B15777, ""es"", ""en"")"),"Perfect Truth is perfect, is super nice and looks very good quality, very happy with the purchase, I will repeat")</f>
        <v>Perfect Truth is perfect, is super nice and looks very good quality, very happy with the purchase, I will repeat</v>
      </c>
    </row>
    <row r="15778">
      <c r="A15778" s="1">
        <v>5.0</v>
      </c>
      <c r="B15778" s="1" t="s">
        <v>15632</v>
      </c>
      <c r="C15778" t="str">
        <f>IFERROR(__xludf.DUMMYFUNCTION("GOOGLETRANSLATE(B15778, ""es"", ""en"")"),"Sony helmets for this price Very good product and price, as always Sony perfect. Good quality materials and bright and great presence. Perfect for its price")</f>
        <v>Sony helmets for this price Very good product and price, as always Sony perfect. Good quality materials and bright and great presence. Perfect for its price</v>
      </c>
    </row>
    <row r="15779">
      <c r="A15779" s="1">
        <v>5.0</v>
      </c>
      <c r="B15779" s="1" t="s">
        <v>15633</v>
      </c>
      <c r="C15779" t="str">
        <f>IFERROR(__xludf.DUMMYFUNCTION("GOOGLETRANSLATE(B15779, ""es"", ""en"")"),"Fast, powerful. Ideal &lt;div id = ""video-block-REQOCLNY5PR7V"" class = ""a-section a-spacing-small a-spacing-top mini video-block""&gt; &lt;div tabindex = ""0"" class = ""airy airy-svg vmin -supported airy-skin-beacon ""style ="" background-color: rgb (0, 0, 0) "&amp;"position: relative; width: 100%; height: 100%; font-size: 0px; overflow: hidden; outline: none; ""&gt; &lt;div class ="" airy-renderer-container ""style ="" position: relative; height: 100%; width: 100%; ""&gt; &lt;video id ="" 15 ""preload ="" auto ""src ="" https :"&amp;" //images-eu.ssl-images-amazon.com/images/I/A1a0p+3zUhS.mp4 ""style ="" position: absolute; left: 0px; top: 0px; overflow: hidden; height: 1px; width: 1px; ""&gt; &lt;/ video&gt; &lt;/ div&gt; &lt;div id ="" airy-slate-preload ""style ="" background-color: rgb (0, 0, 0); b"&amp;"ackground-image: url (&amp; quot; https: / /images-eu.ssl-images-amazon.com/images/I/91qBqgSf2RS.png&amp;quot;); background-size: Contain; background-position: center center; background-repeat: no-repeat; position: absolute; top: 0px; left: 0px; visibility: visib"&amp;"le; width: 100%; height: 100%; ""&gt; &lt;/ div&gt; &lt;iframe scrolling ="" no ""FrameB order = ""0"" src = ""about: blank"" style = ""display: none;""&gt; &lt;/ iframe&gt; &lt;div tabindex = ""- 1"" class = ""airy-controls-container"" style = ""opacity: 0; visibility: hidden; "&amp;"""&gt; &lt;div tabindex ="" - 1 ""class ="" airy-screen-size-toggle airy-fullscreen ""&gt; &lt;/ div&gt; &lt;div tabindex ="" - 1 ""class ="" airy-container-bottom "" &gt; &lt;div tabindex = ""- 1"" class = ""airy-track-bar-spacer-left"" style = ""width: 11px;""&gt; &lt;/ div&gt; &lt;div ta"&amp;"bindex = ""- 1"" class = ""airy-play- airy toggle-play ""style ="" width: 12px; margin-right: 12px; ""&gt; &lt;/ div&gt; &lt;div tabindex ="" - 1 ""class ="" airy-audio-elements ""style ="" float: right; width: 34px; ""&gt; &lt;div tabindex ="" - 1 ""class ="" airy-audio-t"&amp;"oggle airy-on ""&gt; &lt;/ div&gt; &lt;div tabindex ="" - 1 ""class ="" airy-audio-container ""style = ""opacity: 0; visibility: hidden; ""&gt; &lt;div tabindex ="" - 1 ""class ="" airy-audio-track-bar ""style ="" height: 80%; ""&gt; &lt;div tabindex ="" - 1 ""class ="" airy-aud"&amp;"io- Scrubber-bar ""style ="" height: 85%; ""&gt; &lt;/ div&gt; &lt;div tabindex ="" - 1 ""class ="" airy-audio-scrubber ""style ="" height: 12px; bottom: 85% ""&gt; &lt;/ div&gt; &lt;/ div&gt; &lt;/ div&gt; &lt;/ div&gt; &lt;div tabindex ="" - 1 ""class ="" airy-duration-label ""style ="" float: "&amp;"right; width: 26px; margin-right: 4px; text-align: center; ""&gt; 0:29 &lt;/ div&gt; &lt;div tabindex ="" - 1 ""class ="" airy-track-bar-spacer-right ""style ="" float: right; width: 11px; ""&gt; &lt;/ div&gt; &lt;div tabindex ="" - 1 ""class ="" airy-track-bar-container ""style"&amp;" ="" margin-left: 35px; margin-right: 75px; ""&gt; &lt;div tabindex ="" - 1 ""class ="" airy-airy-track-bar vertically-centering-table ""&gt; &lt;div tabindex ="" - 1 ""class ="" airy-Vertical-centering- table-cell ""&gt; &lt;div tabindex ="" - 1 ""class ="" airy-track bar"&amp;"-elements ""&gt; &lt;div tabindex ="" - 1 ""class ="" airy-progress bar ""style ="" width: 100%; ""&gt; &lt;/ div&gt; &lt;div tabindex ="" - 1 ""class ="" airy-scrubber-bar ""&gt; &lt;/ div&gt; &lt;div tabindex ="" - 1 ""class ="" airy-scrubber ""&gt; &lt;div tabindex ="" - 1 ""class ="" ai"&amp;"ry-scrubber-icon ""&gt; &lt;/ div&gt; &lt;div tabindex ="" - 1 ""class ="" airy-adjusted-AUI-tooltip ""style ="" opacity: 0; visibility: hidden; ""&gt; &lt;div tabindex ="" - 1 ""class ="" airy-adjusted-aui-tooltip-inner ""&gt; &lt;div tabindex ="" - 1 ""class ="" airy-current-t"&amp;"ime-label ""&gt; 0: 00 &lt;/ div&gt; &lt;/ div&gt; &lt;div tabindex = ""- 1"" class = ""airy-adjusted-AUI-arrow-border""&gt; &lt;div tabindex = ""- 1"" class = ""airy-adjusted-AUI-arrow"" &gt; &lt;/ div&gt; &lt;/ div&gt; &lt;/ div&gt; &lt;/ div&gt; &lt;/ div&gt; &lt;/ div&gt; &lt;/ div&gt; &lt;/ div&gt; &lt;/ div&gt; &lt;/ div&gt; &lt;div tabi"&amp;"ndex = ""- 1"" class = ""airy-age-gate airy-stage airy-Vertical-centering-table airy-dialog"" style = ""opacity: 0; visibility: hidden; ""&gt; &lt;div tabindex ="" - 1 ""class ="" airy-age-gate-Vertical-centering-table-cell airy-Vertical-centering-table-cell """&amp;"&gt; &lt;div tabindex ="" - 1 ""class = ""airy-Vertical-centering-wrapper airy-age-gate-elements-wrapper""&gt; &lt;div tabindex = ""- 1"" class = ""airy-age-gate-elements airy-dialog-elements""&gt; &lt;div tabindex = "" -1 ""class ="" airy-age-gate-prompt ""&gt; This video is"&amp;" not Intended for all audiences What date were you born &lt;/ div&gt; &lt;div tabindex =.?"" - 1 ""class ="" airy-age-gate -inputs airy-dialog-inner-elements ""&gt; &lt;select tabindex ="" - 1 ""class ="" airy-age-gate-month ""&gt; &lt;option value ="" 1 ""&gt; January &lt;/ option"&amp;"&gt; &lt;option value ="" 2 ""&gt; February &lt;/ option&gt; &lt;option value ="" 3 ""&gt; March &lt;/ option&gt; &lt;option value ="" 4 ""&gt; April &lt;/ option&gt; &lt;option value ="" 5 ""&gt; May &lt;/ option&gt; &lt;option value = ""6""&gt; June &lt;/ option&gt; &lt;option value = ""7""&gt; July &lt;/ option&gt; &lt;option va"&amp;"lue = ""8""&gt; August &lt;/ option&gt; &lt;option value = ""9""&gt; September &lt;/ option&gt; &lt;option value = ""10""&gt; October &lt;/ option&gt; &lt;option value = ""11""&gt; November &lt;/ option&gt; &lt;option value = ""12""&gt; December &lt;/ option&gt; &lt;/ select&gt; &lt;select tabindex = ""- 1"" class = ""a"&amp;"iry-age-gate-day""&gt; &lt;opti on value = ""1""&gt; 1 &lt;/ option&gt; &lt;option value = ""2""&gt; 2 &lt;/ option&gt; &lt;option value = ""3""&gt; 3 &lt;/ option&gt; &lt;option value = ""4""&gt; 4 &lt;/ option &gt; &lt;option value = ""5""&gt; 5 &lt;/ option&gt; &lt;option value = ""6""&gt; 6 &lt;/ option&gt; &lt;option value = "&amp;"""7""&gt; 7 &lt;/ option&gt; &lt;option value = ""8""&gt; 8 &lt; / option&gt; &lt;option value = ""9""&gt; 9 &lt;/ option&gt; &lt;option value = ""10""&gt; 10 &lt;/ option&gt; &lt;option value = ""11""&gt; 11 &lt;/ option&gt; &lt;option value = ""12""&gt; 12 &lt;/ option&gt; &lt;option value = ""13""&gt; 13 &lt;/ option&gt; &lt;option va"&amp;"lue = ""14""&gt; 14 &lt;/ option&gt; &lt;option value = ""15""&gt; 15 &lt;/ option&gt; &lt;option value = ""16 ""&gt; 16 &lt;/ option&gt; &lt;option value ="" 17 ""&gt; 17 &lt;/ option&gt; &lt;option value ="" 18 ""&gt; 18 &lt;/ option&gt; &lt;option value ="" 19 ""&gt; 19 &lt;/ option&gt; &lt;option value = ""20""&gt; 20 &lt;/ opt"&amp;"ion&gt; &lt;option value = ""21""&gt; 21 &lt;/ option&gt; &lt;option value = ""22""&gt; 22 &lt;/ option&gt; &lt;option value = ""23""&gt; 23 &lt;/ option&gt; &lt;option value = ""24""&gt; 24 &lt;/ option&gt; &lt;option value = ""25""&gt; 25 &lt;/ option&gt; &lt;option value = ""26""&gt; 26 &lt;/ option&gt; &lt;option value = ""27"""&amp;"&gt; 27 &lt;/ option&gt; &lt;option value = ""28""&gt; 28 &lt;/ option&gt; &lt;option value = ""29""&gt; 29 &lt;/ option&gt; &lt;option value = ""30""&gt; 30 &lt;/ option&gt; &lt;option value = ""31""&gt; 31 &lt;/ option&gt; &lt;/ select&gt; &lt;select tabindex = ""- 1"" class = ""airy-age-gate-year""&gt; &lt;option value = "&amp;"""2019""&gt; 2019 &lt;/ option&gt; &lt; option value = ""2018""&gt; 2018 &lt;/ option&gt; &lt;option value = ""2017""&gt; 2017 &lt;/ option&gt; &lt;option value = ""2016""&gt; ​​2016 &lt;/ option&gt; &lt;option value = ""2015""&gt; 2015 &lt;/ option &gt; &lt;option value = ""2014""&gt; 2014 &lt;/ option&gt; &lt;option value ="&amp;" ""2013""&gt; 2013 &lt;/ option&gt; &lt;option value = ""2012""&gt; 2012 &lt;/ option&gt; &lt;option value = ""2011""&gt; 2011 &lt; / option&gt; &lt;option value = ""2010""&gt; 2010 &lt;/ option&gt; &lt;option value = ""2009""&gt; 2009 &lt;/ option&gt; &lt;option value = ""2008""&gt; 2008 &lt;/ option&gt; &lt;option value = "&amp;"""2007""&gt; 2007 &lt;/ option&gt; &lt;option value = ""2006""&gt; 2006 &lt;/ option&gt; &lt;option value = ""2005""&gt; 2005 &lt;/ option&gt; &lt;option value = ""2004""&gt; 2004 &lt;/ option&gt; &lt;option value = ""2003 ""&gt; 2003 &lt;/ option&gt; &lt;option value ="" 2002 ""&gt; 2002 &lt;/ option&gt; &lt;option value ="""&amp;" 2001 ""&gt; 2001 &lt;/ option&gt; &lt;option value ="" 2000 ""&gt; 2000 &lt;/ option&gt; &lt;option value = ""1999""&gt; 1999 &lt;/ option&gt; &lt;option value = ""1998""&gt; 1998 &lt;/ option&gt; &lt;option value = ""1997""&gt; 1997 &lt;/ option&gt; &lt;option value = ""1996""&gt; 1996 &lt;/ option&gt; &lt;option value = """&amp;"1995""&gt; 1995 &lt;/ option&gt; &lt;option value = ""1994""&gt; 1994 &lt;/ option&gt; &lt;option value = ""1993""&gt; 1993 &lt;/ option&gt; &lt;option value = ""1992""&gt; 1992 &lt;/ option&gt; &lt;option value = ""1991""&gt; 1991 &lt;/ option&gt; &lt;option value = ""1990""&gt; 1990 &lt;/ option&gt; &lt;option value = "" 19"&amp;"89 ""&gt; 1989 &lt;/ option&gt; &lt;option value ="" 1988 ""&gt; 1988 &lt;/ option&gt; &lt;option value ="" 1987 ""&gt; 1987 &lt;/ option&gt; &lt;option value ="" 1986 ""&gt; 1986 &lt;/ option&gt; &lt;value option = ""1985""&gt; 1985 &lt;/ option&gt; &lt;option value = ""1984""&gt; 1984 &lt;/ option&gt; &lt;option value = ""1"&amp;"983""&gt; 1983 &lt;/ option&gt; &lt;option value = ""1982""&gt; 1982 &lt;/ option&gt; &lt; option value = ""1981""&gt; 1981 &lt;/ option&gt; &lt;option value = ""1980""&gt; 1980 &lt;/ option&gt; &lt;option value = ""1979""&gt; 1979 &lt;/ option&gt; &lt;option value = ""1978""&gt; 1978 &lt;/ option &gt; &lt;option value = ""19"&amp;"77""&gt; 1977 &lt;/ option&gt; &lt;option value = ""1976""&gt; 1976 &lt;/ option&gt; &lt;option value = ""1975""&gt; 1975 &lt;/ option&gt; &lt;option value = ""1974""&gt; 1974 &lt; / option&gt; &lt;option value = ""1973""&gt; 1973 &lt;/ option&gt; &lt;option value = ""1972""&gt; 1972 &lt;/ option&gt; &lt;option value = ""1971"&amp;"""&gt; 1971 &lt;/ option&gt; &lt;option value = ""1970""&gt; 1970 &lt;/ option&gt; &lt;option value = ""1969""&gt; 1969 &lt;/ option&gt; &lt;option value = ""1968""&gt; 1968 &lt;/ option&gt; &lt;option value = ""1967""&gt; 1967 &lt;/ option&gt; &lt;option value = ""1966 ""&gt; 1966 &lt;/ option&gt; &lt;option value ="" 1965 "&amp;"""&gt; 1965 &lt;/ option&gt; &lt;option value ="" 1964 ""&gt; 1964 &lt;/ option&gt; &lt;option value ="" 1963 ""&gt; 1963 &lt;/ option&gt; &lt;option value = ""1962""&gt; 1962 &lt;/ option&gt; &lt;option value = ""1961""&gt; 1961 &lt;/ option&gt; &lt;option value = ""1960""&gt; 1960 &lt;/ op tion&gt; &lt;option value = ""1959"&amp;"""&gt; 1959 &lt;/ option&gt; &lt;option value = ""1958""&gt; 1958 &lt;/ option&gt; &lt;option value = ""1957""&gt; 1957 &lt;/ option&gt; &lt;option value = ""1956""&gt; 1956 &lt;/ option&gt; &lt;option value = ""1955""&gt; 1955 &lt;/ option&gt; &lt;option value = ""1954""&gt; 1954 &lt;/ option&gt; &lt;option value = ""1953""&gt;"&amp;" 1953 &lt;/ option&gt; &lt;option value = ""1952"" &gt; 1952 &lt;/ option&gt; &lt;option value = ""1951""&gt; 1951 &lt;/ option&gt; &lt;option value = ""1950""&gt; 1950 &lt;/ option&gt; &lt;option value = ""1949""&gt; 1949 &lt;/ option&gt; &lt;option value = "" 1948 ""&gt; 1948 &lt;/ option&gt; &lt;option value ="" 1947 """&amp;"&gt; 1947 &lt;/ option&gt; &lt;option value ="" 1946 ""&gt; 1946 &lt;/ option&gt; &lt;option value ="" 1945 ""&gt; 1945 &lt;/ option&gt; &lt;value option = ""1944""&gt; 1944 &lt;/ option&gt; &lt;option value = ""1943""&gt; 1943 &lt;/ option&gt; &lt;option value = ""1942""&gt; 1942 &lt;/ option&gt; &lt;option value = ""1941""&gt;"&amp;" 1941 &lt;/ option&gt; &lt; option value = ""1940""&gt; 1940 &lt;/ option&gt; &lt;option value = ""1939""&gt; 1939 &lt;/ option&gt; &lt;option value = ""1938""&gt; 1938 &lt;/ option&gt; &lt;option value = ""1937""&gt; 1937 &lt;/ option &gt; &lt;option value = ""1936""&gt; 1936 &lt;/ option&gt; &lt;option value = ""1935""&gt; "&amp;"1935 &lt;/ option&gt; &lt;option value = ""1934""&gt; 1934 &lt;/ option&gt; &lt;option value = ""1933""&gt; 1933 &lt; / option&gt; &lt;option value = ""1932""&gt; 1932 &lt;/ option&gt; &lt;option value = ""1931""&gt; 1931 &lt;/ option&gt; &lt;option v alue = ""1930""&gt; 1930 &lt;/ option&gt; &lt;option value = ""1929""&gt; 1"&amp;"929 &lt;/ option&gt; &lt;option value = ""1928""&gt; 1928 &lt;/ option&gt; &lt;option value = ""1927""&gt; 1927 &lt;/ option&gt; &lt;option value = ""1926""&gt; 1926 &lt;/ option&gt; &lt;option value = ""1925""&gt; 1925 &lt;/ option&gt; &lt;option value = ""1924""&gt; 1924 &lt;/ option&gt; &lt;option value = ""1923""&gt; 1923"&amp;" &lt;/ option&gt; &lt;option value = ""1922""&gt; 1922 &lt;/ option&gt; &lt;option value = ""1921""&gt; 1921 &lt;/ option&gt; &lt;option value = ""1920""&gt; 1920 &lt;/ option&gt; &lt;option value = ""1919""&gt; 1919 &lt;/ option&gt; &lt;option value = ""1918""&gt; 1918 &lt;/ option&gt; &lt;option value = ""1917""&gt; 1917 &lt;/"&amp;" option&gt; &lt;option value = ""1916""&gt; 1916 &lt;/ option&gt; &lt;option value = ""1915"" &gt; 1915 &lt;/ option&gt; &lt;option value = ""1914""&gt; 1914 &lt;/ option&gt; &lt;option value = ""1913""&gt; 1913 &lt;/ option&gt; &lt;option value = ""1912""&gt; 1912 &lt;/ option&gt; &lt;option value = "" 1911 ""&gt; 1911 &lt;/"&amp;" option&gt; &lt;option value ="" 1910 ""&gt; 1910 &lt;/ option&gt; &lt;option value ="" 1909 ""&gt; 1909 &lt;/ option&gt; &lt;option value ="" 1908 ""&gt; 1908 &lt;/ option&gt; &lt;value option = ""1907""&gt; 1907 &lt;/ option&gt; &lt;option value = ""1906""&gt; 1906 &lt;/ option&gt; &lt;option value = ""1905""&gt; 1905 &lt;/"&amp;" option&gt; &lt;option value = ""1904""&gt; 1904 &lt;/ option&gt; &lt; option value = ""1903""&gt; 1903 &lt;/ option&gt; &lt;option value = ""1902""&gt; 1902 &lt;/ option&gt; &lt;option value = ""1901""&gt; 19 01 &lt;/ option&gt; &lt;option value = ""1900""&gt; 1900 &lt;/ option&gt; &lt;/ select&gt; &lt;div tabindex = ""- 1"""&amp;" class = ""airy-age-gate-submit airy-submit-button airy airy-submit- disabled ""&gt; Submit &lt;/ div&gt; &lt;/ div&gt; &lt;/ div&gt; &lt;/ div&gt; &lt;/ div&gt; &lt;/ div&gt; &lt;div tabindex ="" - 1 ""class ="" airy-install-flash-dialog airy-stage airy -vertical-centering-table-dialog airy airy"&amp;"-denied ""style ="" opacity: 0; visibility: hidden; ""&gt; &lt;div tabindex ="" - 1 ""class ="" airy-install-flash-Vertical-centering-table-cell airy-Vertical-centering-table-cell ""&gt; &lt;div tabindex ="" - 1 ""class = ""airy-Vertical-centering-wrapper airy-instal"&amp;"l-flash-elements-wrapper""&gt; &lt;div tabindex = ""- 1"" class = ""airy-install-flash-elements airy-dialog-elements""&gt; &lt;div tabindex = "" -1 ""class ="" airy-install-flash-prompt ""&gt; Adobe Flash Player is required to watch this video &lt;/ div&gt; &lt;div tabindex =."""&amp;" - 1 ""class ="" airy-install-flash-button-wrapper airy -dialog-inner-elements ""&gt; &lt;div tabindex ="" - 1 ""class ="" airy-install-flash-button airy-button ""&gt; install Flash Player &lt;/ div&gt; &lt;/ div&gt; &lt;/ div&gt; &lt;/ div&gt; &lt;/ div&gt; &lt;/ div&gt; &lt;div tabindex = ""- 1"" cla"&amp;"ss = ""airy-video-unsupported-dialog airy-stage airy-Vertical-centering-table airy-dialog airy-denied"" style = ""opacity: 0; visibility: hidden; ""&gt; &lt;div tabindex ="" - 1 ""class ="" airy-video-unsupported-Vertical-centering-table-cell airy-Vertical-cent"&amp;"ering-table-cell ""&gt; &lt;div tabindex ="" - 1 ""class = ""airy-Vertical-centering-wrapper airy-video-unsupported-elements-wrapper""&gt; &lt;div tabindex = ""- 1"" class = ""airy-video-unsupported-elements airy-dialog-elements""&gt; &lt;div tabindex = "" -1 ""class ="" a"&amp;"iry-video-unsupported-prompt ""&gt; &lt;/ div&gt; &lt;/ div&gt; &lt;/ div&gt; &lt;/ div&gt; &lt;/ div&gt; &lt;div tabindex ="" - 1 ""class ="" airy-loading- spinner-stage airy-stage ""&gt; &lt;div tabindex ="" - 1 ""class ="" airy-loading-spinner-Vertical-centering-table-cell airy-Vertical-center"&amp;"ing-table-cell ""&gt; &lt;div tabindex ="" - 1 ""class ="" airy-loading-spinner-container airy-scalable-hint-container ""&gt; &lt;div tabindex ="" - 1 ""class ="" airy-loading-spinner-dummy airy-scalable-dummy ""&gt; &lt;/ div&gt; &lt; div tabindex = ""- 1"" class = ""airy-loadi"&amp;"ng-spinner airy-hint"" style = ""visibility: hidden;""&gt; &lt;/ div&gt; &lt;/ div&gt; &lt;/ div&gt; &lt;/ div&gt; &lt;div tabindex = ""- 1 ""class ="" airy-ads-screen-size-toggle airy-screen-size-toggle-fullscreen airy ""style ="" visibility: hidden; ""&gt; &lt;/ div&gt; &lt;div tabindex = ""-1"&amp;""" class = ""airy-ad-prompt-container"" style = ""visibility: hidden;""&gt; &lt;div tabindex = ""- 1"" class = ""airy-ad-prompt-Vertical-centering-table-vertically airy centering-table ""&gt; &lt;div tabindex ="" - 1 ""class ="" airy-ad-prompt-Vertical-centering-tabl"&amp;"e-cell airy-Vertical-centering-table-cell ""&gt; &lt;div tabindex ="" - 1 ""class = ""airy-ad-prompt-label""&gt; &lt;/ div&gt; &lt;/ div&gt; &lt;/ div&gt; &lt;/ div&gt; &lt;div tabindex = ""- 1"" class = ""airy-ads-controls-container"" style = ""visibility: hidden; ""&gt; &lt;div tabindex ="" - 1"&amp;" ""class ="" airy-ads-audio-toggle airy-audio-toggle airy-on ""style ="" visibility: hidden; ""&gt; &lt;/ div&gt; &lt;div tabindex ="" - 1 ""class ="" airy-time-remaining-label-container ""&gt; &lt;div tabindex ="" - 1 ""class ="" airy-time-remaining-Vertical-centering-tab"&amp;"le airy-Vertical-centering-table ""&gt; &lt;div tabindex = ""- 1"" class = ""airy-time-remaining-Vertical-centering-table-cell airy-Vertical-centering-table-cell""&gt; &lt;div tabindex = ""- 1"" class = ""airy-Vertical-centering-wrapper airy-time-remaining-label-wrap"&amp;"per ""&gt; &lt;div tabindex ="" - 1 ""class ="" airy-time-remaining-label ""style ="" visibility: hidden; ""&gt; &lt;/ div&gt; &lt;div tabi ndex = ""- 1"" class = ""airy-ad-skip"" style = ""visibility: hidden;""&gt; &lt;/ div&gt; &lt;div tabindex = ""- 1"" class = ""airy-ad-end"" styl"&amp;"e = ""visibility: hidden ""&gt; &lt;/ div&gt; &lt;/ div&gt; &lt;/ div&gt; &lt;/ div&gt; &lt;/ div&gt; &lt;div tabindex ="" - 1 ""class ="" airy-learn-more ""style ="" visibility: hidden; ""&gt; &lt;/ div&gt; &lt;/ div&gt; &lt;div tabindex = ""- 1"" class = ""airy-play-toggle-hint-stage airy-stage airy-cursor"&amp;"""&gt; &lt;div tabindex = ""- 1"" class = ""airy-play -toggle-hint-Vertical-centering-table-cell airy-Vertical-centering-table-cell airy-cursor ""&gt; &lt;div tabindex ="" - 1 ""class ="" airy-play-toggle-hint-container airy-scalable- Hint-container ""&gt; &lt;div tabindex"&amp;" ="" - 1 ""class ="" airy-play-toggle-hint-dummy airy-scalable-dummy ""&gt; &lt;/ div&gt; &lt;div tabindex ="" - 1 ""class ="" airy-play -toggle-hint hint airy-airy-play-hint ""style ="" opacity: 1; visibility: visible ""&gt; &lt;/ div&gt; &lt;/ div&gt; &lt;/ div&gt; &lt;/ div&gt; &lt;div tabinde"&amp;"x ="" - 1 ""class ="" airy-replay-hint-stage airy-stage ""style ="" visibility: hidden ; ""&gt; &lt;div tabindex ="" - 1 ""class ="" airy-replay-hint-Vertical-centering-table-cell airy-Vertical-centering-table-cell airy-cursor ""&gt; &lt;div tabindex ="" - 1 ""class "&amp;"= ""airy-replay-hint-container airy-scalable-hint-container""&gt; &lt;div tabindex = ""- 1"" class = ""airy-replay-hint-dummy airy-scalable-dummy""&gt; &lt;/ div&gt; &lt;div tabindex = ""- 1"" class = ""airy-replay-hint airy-hint""&gt; &lt;/ div&gt; &lt;/ div&gt; &lt;/ div&gt; &lt;/ div&gt; &lt;div tab"&amp;"index = ""- 1"" class = ""airy-autoplay-hint -stage airy-stage ""style ="" visibility: hidden; ""&gt; &lt;div tabindex ="" - 1 ""class ="" airy-autoplay-hint-Vertical-centering-table-cell airy-Vertical-centering-table-cell airy- cursor ""&gt; &lt;div tabindex ="" - 1"&amp;" ""class ="" autoplay airy-airy-hint-container-scalable-hint-container ""&gt; &lt;div tabindex ="" - 1 ""class ="" airy-autoplay-hint-dummy airy- scalable-dummy ""&gt; &lt;/ div&gt; &lt;/ div&gt; &lt;/ div&gt; &lt;/ div&gt; &lt;/ div&gt; &lt;/ div&gt; &lt;input type ="" hidden ""name ="" ""value ="" ht"&amp;"tps: // images-eu .ssl-images-amazon.com / images / I / A1a0p + 3zUhS.mp4 ""Class ="" video-url ""&gt; &lt;input type ="" hidden ""name ="" ""value ="" https://images-eu.ssl-images-amazon.com/images/I/91qBqgSf2RS.png ""class ="" video-slate-img-url ""&gt; &amp; nbsp; "&amp;"good mixer at a great price (if you get an offer). It is quick and powerful. Ideal for fruit, easy to use and very comfortable boats with lid to drink directly. Attached a photo to view the size (it does not occupy much). I waited to get a deal (less than"&amp;" 25 €) and worth because other products, private label cost 20 € and do not come with so much and have so much power. Highly recommended.")</f>
        <v>Fast, powerful. Ideal &lt;div id = "video-block-REQOCLNY5PR7V" class = "a-section a-spacing-small a-spacing-top mini video-block"&gt; &lt;div tabindex = "0" class = "airy airy-svg vmin -supported airy-skin-beacon "style =" background-color: rgb (0, 0, 0) position: relative; width: 100%; height: 100%; font-size: 0px; overflow: hidden; outline: none; "&gt; &lt;div class =" airy-renderer-container "style =" position: relative; height: 100%; width: 100%; "&gt; &lt;video id =" 15 "preload =" auto "src =" https : //images-eu.ssl-images-amazon.com/images/I/A1a0p+3zUhS.mp4 "style =" position: absolute; left: 0px; top: 0px; overflow: hidden; height: 1px; width: 1px; "&gt; &lt;/ video&gt; &lt;/ div&gt; &lt;div id =" airy-slate-preload "style =" background-color: rgb (0, 0, 0); background-image: url (&amp; quot; https: / /images-eu.ssl-images-amazon.com/images/I/91qBqgSf2RS.png&amp;quot;); background-size: Contain; background-position: center center; background-repeat: no-repeat; position: absolute; top: 0px; left: 0px; visibility: visible; width: 100%; height: 100%; "&gt; &lt;/ div&gt; &lt;iframe scrolling =" no "FrameB 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0:29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 bar-elements "&gt; &lt;div tabindex =" - 1 "class =" airy-progress bar "style =" width: 100%;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A1a0p + 3zUhS.mp4 "Class =" video-url "&gt; &lt;input type =" hidden "name =" "value =" https://images-eu.ssl-images-amazon.com/images/I/91qBqgSf2RS.png "class =" video-slate-img-url "&gt; &amp; nbsp; good mixer at a great price (if you get an offer). It is quick and powerful. Ideal for fruit, easy to use and very comfortable boats with lid to drink directly. Attached a photo to view the size (it does not occupy much). I waited to get a deal (less than 25 €) and worth because other products, private label cost 20 € and do not come with so much and have so much power. Highly recommended.</v>
      </c>
    </row>
    <row r="15780">
      <c r="A15780" s="1">
        <v>5.0</v>
      </c>
      <c r="B15780" s="1" t="s">
        <v>15634</v>
      </c>
      <c r="C15780" t="str">
        <f>IFERROR(__xludf.DUMMYFUNCTION("GOOGLETRANSLATE(B15780, ""es"", ""en"")"),"He needed a soft and warm thick socks for my trip to Patagonia Argentina and these have succeeded a lot. They are very warm and perfectly fit the foot. The fabric is very soft and gives wear them like cold weather. It also appears that stand up well washe"&amp;"d. Very good buy")</f>
        <v>He needed a soft and warm thick socks for my trip to Patagonia Argentina and these have succeeded a lot. They are very warm and perfectly fit the foot. The fabric is very soft and gives wear them like cold weather. It also appears that stand up well washed. Very good buy</v>
      </c>
    </row>
    <row r="15781">
      <c r="A15781" s="1">
        <v>5.0</v>
      </c>
      <c r="B15781" s="1" t="s">
        <v>15635</v>
      </c>
      <c r="C15781" t="str">
        <f>IFERROR(__xludf.DUMMYFUNCTION("GOOGLETRANSLATE(B15781, ""es"", ""en"")"),"Terrific ... both great shipping, as the product itself. The shoes are beautiful.")</f>
        <v>Terrific ... both great shipping, as the product itself. The shoes are beautiful.</v>
      </c>
    </row>
    <row r="15782">
      <c r="A15782" s="1">
        <v>5.0</v>
      </c>
      <c r="B15782" s="1" t="s">
        <v>15636</v>
      </c>
      <c r="C15782" t="str">
        <f>IFERROR(__xludf.DUMMYFUNCTION("GOOGLETRANSLATE(B15782, ""es"", ""en"")"),"Very comfortable cushioning shoes highly recommended")</f>
        <v>Very comfortable cushioning shoes highly recommended</v>
      </c>
    </row>
    <row r="15783">
      <c r="A15783" s="1">
        <v>5.0</v>
      </c>
      <c r="B15783" s="1" t="s">
        <v>15637</v>
      </c>
      <c r="C15783" t="str">
        <f>IFERROR(__xludf.DUMMYFUNCTION("GOOGLETRANSLATE(B15783, ""es"", ""en"")"),"putty great craft work, I use them for fixed window sills of warhammer in a cork and so to paint more comfortably")</f>
        <v>putty great craft work, I use them for fixed window sills of warhammer in a cork and so to paint more comfortably</v>
      </c>
    </row>
    <row r="15784">
      <c r="A15784" s="1">
        <v>2.0</v>
      </c>
      <c r="B15784" s="1" t="s">
        <v>15638</v>
      </c>
      <c r="C15784" t="str">
        <f>IFERROR(__xludf.DUMMYFUNCTION("GOOGLETRANSLATE(B15784, ""es"", ""en"")"),"Not according to the description is not the SPANISH-ENGLISH version as specified the description of the item. I came in the French-English version.")</f>
        <v>Not according to the description is not the SPANISH-ENGLISH version as specified the description of the item. I came in the French-English version.</v>
      </c>
    </row>
    <row r="15785">
      <c r="A15785" s="1">
        <v>3.0</v>
      </c>
      <c r="B15785" s="1" t="s">
        <v>15639</v>
      </c>
      <c r="C15785" t="str">
        <f>IFERROR(__xludf.DUMMYFUNCTION("GOOGLETRANSLATE(B15785, ""es"", ""en"")"),"Regular is very nice, but in a month already unpicked me")</f>
        <v>Regular is very nice, but in a month already unpicked me</v>
      </c>
    </row>
    <row r="15786">
      <c r="A15786" s="1">
        <v>1.0</v>
      </c>
      <c r="B15786" s="1" t="s">
        <v>15640</v>
      </c>
      <c r="C15786" t="str">
        <f>IFERROR(__xludf.DUMMYFUNCTION("GOOGLETRANSLATE(B15786, ""es"", ""en"")"),"Marius not stick properly adjusted even using machines this thickness. The watermark of tramnsparencia does not disappear after plasticizing.")</f>
        <v>Marius not stick properly adjusted even using machines this thickness. The watermark of tramnsparencia does not disappear after plasticizing.</v>
      </c>
    </row>
    <row r="15787">
      <c r="A15787" s="1">
        <v>1.0</v>
      </c>
      <c r="B15787" s="1" t="s">
        <v>15641</v>
      </c>
      <c r="C15787" t="str">
        <f>IFERROR(__xludf.DUMMYFUNCTION("GOOGLETRANSLATE(B15787, ""es"", ""en"")"),"Poor quality did not last even a week")</f>
        <v>Poor quality did not last even a week</v>
      </c>
    </row>
    <row r="15788">
      <c r="A15788" s="1">
        <v>1.0</v>
      </c>
      <c r="B15788" s="1" t="s">
        <v>15642</v>
      </c>
      <c r="C15788" t="str">
        <f>IFERROR(__xludf.DUMMYFUNCTION("GOOGLETRANSLATE(B15788, ""es"", ""en"")"),"DO NOT CONFORM TO THE DESCRIPTION In the description of l product put something I did think it was a tough material ""Eyelashes and edge coated durable plastic"" never thought when they were paper, that is not even cardboard. Very unhappy.")</f>
        <v>DO NOT CONFORM TO THE DESCRIPTION In the description of l product put something I did think it was a tough material "Eyelashes and edge coated durable plastic" never thought when they were paper, that is not even cardboard. Very unhappy.</v>
      </c>
    </row>
    <row r="15789">
      <c r="A15789" s="1">
        <v>4.0</v>
      </c>
      <c r="B15789" s="1" t="s">
        <v>15643</v>
      </c>
      <c r="C15789" t="str">
        <f>IFERROR(__xludf.DUMMYFUNCTION("GOOGLETRANSLATE(B15789, ""es"", ""en"")"),"I was surprised by quality / comfort I was pleasantly surprised by the quality and comfort of the pants do not know come the cold but I'll act watching.")</f>
        <v>I was surprised by quality / comfort I was pleasantly surprised by the quality and comfort of the pants do not know come the cold but I'll act watching.</v>
      </c>
    </row>
    <row r="15790">
      <c r="A15790" s="1">
        <v>4.0</v>
      </c>
      <c r="B15790" s="1" t="s">
        <v>15644</v>
      </c>
      <c r="C15790" t="str">
        <f>IFERROR(__xludf.DUMMYFUNCTION("GOOGLETRANSLATE(B15790, ""es"", ""en"")"),"Got Smart card holder")</f>
        <v>Got Smart card holder</v>
      </c>
    </row>
    <row r="15791">
      <c r="A15791" s="1">
        <v>4.0</v>
      </c>
      <c r="B15791" s="1" t="s">
        <v>15645</v>
      </c>
      <c r="C15791" t="str">
        <f>IFERROR(__xludf.DUMMYFUNCTION("GOOGLETRANSLATE(B15791, ""es"", ""en"")"),"Fulfill their function For the price they deserve it, although on occasion I have received a version of the headset cable that is thinner than usual.")</f>
        <v>Fulfill their function For the price they deserve it, although on occasion I have received a version of the headset cable that is thinner than usual.</v>
      </c>
    </row>
    <row r="15792">
      <c r="A15792" s="1">
        <v>4.0</v>
      </c>
      <c r="B15792" s="1" t="s">
        <v>15646</v>
      </c>
      <c r="C15792" t="str">
        <f>IFERROR(__xludf.DUMMYFUNCTION("GOOGLETRANSLATE(B15792, ""es"", ""en"")"),"improvable Normal")</f>
        <v>improvable Normal</v>
      </c>
    </row>
    <row r="15793">
      <c r="A15793" s="1">
        <v>4.0</v>
      </c>
      <c r="B15793" s="1" t="s">
        <v>15647</v>
      </c>
      <c r="C15793" t="str">
        <f>IFERROR(__xludf.DUMMYFUNCTION("GOOGLETRANSLATE(B15793, ""es"", ""en"")"),"Meets expectations Good size and quality.")</f>
        <v>Meets expectations Good size and quality.</v>
      </c>
    </row>
    <row r="15794">
      <c r="A15794" s="1">
        <v>5.0</v>
      </c>
      <c r="B15794" s="1" t="s">
        <v>15648</v>
      </c>
      <c r="C15794" t="str">
        <f>IFERROR(__xludf.DUMMYFUNCTION("GOOGLETRANSLATE(B15794, ""es"", ""en"")"),"Super fast running very fast heats up very little, good price for its features.")</f>
        <v>Super fast running very fast heats up very little, good price for its features.</v>
      </c>
    </row>
    <row r="15795">
      <c r="A15795" s="1">
        <v>5.0</v>
      </c>
      <c r="B15795" s="1" t="s">
        <v>15649</v>
      </c>
      <c r="C15795" t="str">
        <f>IFERROR(__xludf.DUMMYFUNCTION("GOOGLETRANSLATE(B15795, ""es"", ""en"")"),"Very comfortable for me is the most comfortable and better support option. I bought a M and I really pushed the edge of white elastic, but at 3-4 and put a couple of washes hands and is perfect. I will buy more of these.")</f>
        <v>Very comfortable for me is the most comfortable and better support option. I bought a M and I really pushed the edge of white elastic, but at 3-4 and put a couple of washes hands and is perfect. I will buy more of these.</v>
      </c>
    </row>
    <row r="15796">
      <c r="A15796" s="1">
        <v>5.0</v>
      </c>
      <c r="B15796" s="1" t="s">
        <v>15650</v>
      </c>
      <c r="C15796" t="str">
        <f>IFERROR(__xludf.DUMMYFUNCTION("GOOGLETRANSLATE(B15796, ""es"", ""en"")"),"Perfect promised meets perfectly heated bed, buy more for other rooms. I recommend it. Each side can be turned on or off individually without changing the temperature to the person you have at the side")</f>
        <v>Perfect promised meets perfectly heated bed, buy more for other rooms. I recommend it. Each side can be turned on or off individually without changing the temperature to the person you have at the side</v>
      </c>
    </row>
    <row r="15797">
      <c r="A15797" s="1">
        <v>5.0</v>
      </c>
      <c r="B15797" s="1" t="s">
        <v>15651</v>
      </c>
      <c r="C15797" t="str">
        <f>IFERROR(__xludf.DUMMYFUNCTION("GOOGLETRANSLATE(B15797, ""es"", ""en"")"),"PERFECT I have many lecterns. Finally, one can calibrate it correctly and not the overwhelming majority that the degree of inclination is close to 90 degrees, which is very keen the book. Is the designer of this product has read books.")</f>
        <v>PERFECT I have many lecterns. Finally, one can calibrate it correctly and not the overwhelming majority that the degree of inclination is close to 90 degrees, which is very keen the book. Is the designer of this product has read books.</v>
      </c>
    </row>
    <row r="15798">
      <c r="A15798" s="1">
        <v>5.0</v>
      </c>
      <c r="B15798" s="1" t="s">
        <v>15652</v>
      </c>
      <c r="C15798" t="str">
        <f>IFERROR(__xludf.DUMMYFUNCTION("GOOGLETRANSLATE(B15798, ""es"", ""en"")"),"Good article I use it for daily work very well. Not use all the features, but the little I have used without problems.")</f>
        <v>Good article I use it for daily work very well. Not use all the features, but the little I have used without problems.</v>
      </c>
    </row>
    <row r="15799">
      <c r="A15799" s="1">
        <v>5.0</v>
      </c>
      <c r="B15799" s="1" t="s">
        <v>15653</v>
      </c>
      <c r="C15799" t="str">
        <f>IFERROR(__xludf.DUMMYFUNCTION("GOOGLETRANSLATE(B15799, ""es"", ""en"")"),"Perfect to test this type of headphones I made me want to try a Bluetooth headset that were good, but without spending much, so I started researching online: Choose a range of simple prices, and look for models with good quality at that price. In this ran"&amp;"ge are the famous Xiaomi, the Haylou, and these, QCY. In the opinion the three brands are manufactured in the same factory, and although the last two are not well known in Spain, it is quality products. In the end I bought these because they did not have "&amp;"the Haylou stock (I saved the decision) and redmi airdots not just convince me for several reasons. Things to note / different: - The box has no lid. Van subjects with a magnet and do not fall, and so should not be opening and closing. Cons: You can enter"&amp;" more scab. (Photo) In this they differ from most Bluetooth headsets I've seen. - Weigh very little, with box butt load. (Photo scale) - Supports SBC codecs and AAC (better audio quality than redmi) - In my case it was them out, connect BT, paired with th"&amp;"e phone, and I was listening to music. - The buttons are physical, ie, pressing a little. Have the following options: One press = play / pause two beats = skip songs. Pressure two seconds = is activated mobile assistant. - last about 3.5 hours on a charge"&amp;". The box has a capacity of 380mAh, and slow to load a complete about 2 short hours. - They bring IPX4 protection, spill-resistant or sweat, no problem if you will use to run. - They are somewhat thicker than other models. To me they fit me perfect and th"&amp;"ese days I've been running I have not fallen even once (which feared a lot). (Lace photo) this can also influence the external noise cancellation, you notice a lot. - The little I used with videos, which I appreciated is a slight lag, maybe a second, to g"&amp;"et the audio. - They bring built-in microphone for hands-free use. The caller will hear regularly, since the micro is far from the mouth this way they bring. - You can use both two handsets at once, as only one (no matter what) It is one can be used conne"&amp;"cted to a mobile, and the other connected to another mobile. I have not seen this option on other models and brands, and I find it very handy in case I do not make them, to use them as Bluetooth conversations. Going ahead I'm not one of those people who y"&amp;"ou spend € 150 on a headset, either the Apple or a BOSE, by brand or audio performance. I have the ear so fine to me with that sound good enough for me. And these sound good, bring basic functions buttons (you add up / down volume, but can be done from th"&amp;"e miband), and serve in pairs or one by one. I look very good option to try this in the airpods, and to take them daily in the backpack without having to embitter if I lose. I am aware that there are other places where you can get something cheaper, but I"&amp;" preferred to pay some more for the guarantee given amazon me that they are original, and if there is any mishap that answer.")</f>
        <v>Perfect to test this type of headphones I made me want to try a Bluetooth headset that were good, but without spending much, so I started researching online: Choose a range of simple prices, and look for models with good quality at that price. In this range are the famous Xiaomi, the Haylou, and these, QCY. In the opinion the three brands are manufactured in the same factory, and although the last two are not well known in Spain, it is quality products. In the end I bought these because they did not have the Haylou stock (I saved the decision) and redmi airdots not just convince me for several reasons. Things to note / different: - The box has no lid. Van subjects with a magnet and do not fall, and so should not be opening and closing. Cons: You can enter more scab. (Photo) In this they differ from most Bluetooth headsets I've seen. - Weigh very little, with box butt load. (Photo scale) - Supports SBC codecs and AAC (better audio quality than redmi) - In my case it was them out, connect BT, paired with the phone, and I was listening to music. - The buttons are physical, ie, pressing a little. Have the following options: One press = play / pause two beats = skip songs. Pressure two seconds = is activated mobile assistant. - last about 3.5 hours on a charge. The box has a capacity of 380mAh, and slow to load a complete about 2 short hours. - They bring IPX4 protection, spill-resistant or sweat, no problem if you will use to run. - They are somewhat thicker than other models. To me they fit me perfect and these days I've been running I have not fallen even once (which feared a lot). (Lace photo) this can also influence the external noise cancellation, you notice a lot. - The little I used with videos, which I appreciated is a slight lag, maybe a second, to get the audio. - They bring built-in microphone for hands-free use. The caller will hear regularly, since the micro is far from the mouth this way they bring. - You can use both two handsets at once, as only one (no matter what) It is one can be used connected to a mobile, and the other connected to another mobile. I have not seen this option on other models and brands, and I find it very handy in case I do not make them, to use them as Bluetooth conversations. Going ahead I'm not one of those people who you spend € 150 on a headset, either the Apple or a BOSE, by brand or audio performance. I have the ear so fine to me with that sound good enough for me. And these sound good, bring basic functions buttons (you add up / down volume, but can be done from the miband), and serve in pairs or one by one. I look very good option to try this in the airpods, and to take them daily in the backpack without having to embitter if I lose. I am aware that there are other places where you can get something cheaper, but I preferred to pay some more for the guarantee given amazon me that they are original, and if there is any mishap that answer.</v>
      </c>
    </row>
    <row r="15800">
      <c r="A15800" s="1">
        <v>5.0</v>
      </c>
      <c r="B15800" s="1" t="s">
        <v>15654</v>
      </c>
      <c r="C15800" t="str">
        <f>IFERROR(__xludf.DUMMYFUNCTION("GOOGLETRANSLATE(B15800, ""es"", ""en"")"),"Cool Highly recommended are very nice. 4 and each come with a picture of an animal. They are very easy to use, complete and clean. The bottom where open is completely closed and not leaking any product. They are very comfortable for fruit or porridge and "&amp;"stain much less than giving spoon. I recommend, I would have loved")</f>
        <v>Cool Highly recommended are very nice. 4 and each come with a picture of an animal. They are very easy to use, complete and clean. The bottom where open is completely closed and not leaking any product. They are very comfortable for fruit or porridge and stain much less than giving spoon. I recommend, I would have loved</v>
      </c>
    </row>
    <row r="15801">
      <c r="A15801" s="1">
        <v>5.0</v>
      </c>
      <c r="B15801" s="1" t="s">
        <v>15655</v>
      </c>
      <c r="C15801" t="str">
        <f>IFERROR(__xludf.DUMMYFUNCTION("GOOGLETRANSLATE(B15801, ""es"", ""en"")"),"Very good! Tal Cual as in the image. Very comfortable very good buy")</f>
        <v>Very good! Tal Cual as in the image. Very comfortable very good buy</v>
      </c>
    </row>
    <row r="15802">
      <c r="A15802" s="1">
        <v>5.0</v>
      </c>
      <c r="B15802" s="1" t="s">
        <v>15656</v>
      </c>
      <c r="C15802" t="str">
        <f>IFERROR(__xludf.DUMMYFUNCTION("GOOGLETRANSLATE(B15802, ""es"", ""en"")"),"The noise absorbing the noise of the optional top. Value very good")</f>
        <v>The noise absorbing the noise of the optional top. Value very good</v>
      </c>
    </row>
    <row r="15803">
      <c r="A15803" s="1">
        <v>5.0</v>
      </c>
      <c r="B15803" s="1" t="s">
        <v>15657</v>
      </c>
      <c r="C15803" t="str">
        <f>IFERROR(__xludf.DUMMYFUNCTION("GOOGLETRANSLATE(B15803, ""es"", ""en"")"),"Good quality looks good quality, will not show a white, soft feeling and somewhat flexible. L size is perfect for me that I measure with 64kg 1,84. No is set, it looks great both wide and long.")</f>
        <v>Good quality looks good quality, will not show a white, soft feeling and somewhat flexible. L size is perfect for me that I measure with 64kg 1,84. No is set, it looks great both wide and long.</v>
      </c>
    </row>
    <row r="15804">
      <c r="A15804" s="1">
        <v>5.0</v>
      </c>
      <c r="B15804" s="1" t="s">
        <v>15658</v>
      </c>
      <c r="C15804" t="str">
        <f>IFERROR(__xludf.DUMMYFUNCTION("GOOGLETRANSLATE(B15804, ""es"", ""en"")"),"Sujeccion good size and adequate With the size we were right. Is a model that my partner had used under the chest straps that help hold she is satisfied so they must be good and be comfortable")</f>
        <v>Sujeccion good size and adequate With the size we were right. Is a model that my partner had used under the chest straps that help hold she is satisfied so they must be good and be comfortable</v>
      </c>
    </row>
    <row r="15805">
      <c r="A15805" s="1">
        <v>5.0</v>
      </c>
      <c r="B15805" s="1" t="s">
        <v>15659</v>
      </c>
      <c r="C15805" t="str">
        <f>IFERROR(__xludf.DUMMYFUNCTION("GOOGLETRANSLATE(B15805, ""es"", ""en"")"),"Quality and design Original Adidas Adidas A classic design that never goes out of style.")</f>
        <v>Quality and design Original Adidas Adidas A classic design that never goes out of style.</v>
      </c>
    </row>
    <row r="15806">
      <c r="A15806" s="1">
        <v>5.0</v>
      </c>
      <c r="B15806" s="1" t="s">
        <v>15660</v>
      </c>
      <c r="C15806" t="str">
        <f>IFERROR(__xludf.DUMMYFUNCTION("GOOGLETRANSLATE(B15806, ""es"", ""en"")"),"Good buy are very comfortable")</f>
        <v>Good buy are very comfortable</v>
      </c>
    </row>
    <row r="15807">
      <c r="A15807" s="1">
        <v>5.0</v>
      </c>
      <c r="B15807" s="1" t="s">
        <v>7465</v>
      </c>
      <c r="C15807" t="str">
        <f>IFERROR(__xludf.DUMMYFUNCTION("GOOGLETRANSLATE(B15807, ""es"", ""en"")"),"Comfort Food, flexible, nice. It is very combinable. I've put template winter to keep warm. They are more for spring")</f>
        <v>Comfort Food, flexible, nice. It is very combinable. I've put template winter to keep warm. They are more for spring</v>
      </c>
    </row>
    <row r="15808">
      <c r="A15808" s="1">
        <v>5.0</v>
      </c>
      <c r="B15808" s="1" t="s">
        <v>15661</v>
      </c>
      <c r="C15808" t="str">
        <f>IFERROR(__xludf.DUMMYFUNCTION("GOOGLETRANSLATE(B15808, ""es"", ""en"")"),"High quality. Very good product, good packaging and quality materials. The brush needle is a high added friendlier, a concise instructions for use.")</f>
        <v>High quality. Very good product, good packaging and quality materials. The brush needle is a high added friendlier, a concise instructions for use.</v>
      </c>
    </row>
    <row r="15809">
      <c r="A15809" s="1">
        <v>5.0</v>
      </c>
      <c r="B15809" s="1" t="s">
        <v>15662</v>
      </c>
      <c r="C15809" t="str">
        <f>IFERROR(__xludf.DUMMYFUNCTION("GOOGLETRANSLATE(B15809, ""es"", ""en"")"),"Great overall it has been a great buy. We have not tried all the accessories but the whip and rod arm are great. Very easy to regulate the speed.")</f>
        <v>Great overall it has been a great buy. We have not tried all the accessories but the whip and rod arm are great. Very easy to regulate the speed.</v>
      </c>
    </row>
    <row r="15810">
      <c r="A15810" s="1">
        <v>5.0</v>
      </c>
      <c r="B15810" s="1" t="s">
        <v>15663</v>
      </c>
      <c r="C15810" t="str">
        <f>IFERROR(__xludf.DUMMYFUNCTION("GOOGLETRANSLATE(B15810, ""es"", ""en"")"),"Material Quiromasaje good to massage.")</f>
        <v>Material Quiromasaje good to massage.</v>
      </c>
    </row>
    <row r="15811">
      <c r="A15811" s="1">
        <v>5.0</v>
      </c>
      <c r="B15811" s="1" t="s">
        <v>15664</v>
      </c>
      <c r="C15811" t="str">
        <f>IFERROR(__xludf.DUMMYFUNCTION("GOOGLETRANSLATE(B15811, ""es"", ""en"")"),"Good sound quality Very happy with headphones. They have a sleek design and are comfortable once set. Perfectly synchronized with the mobile. The sound quality is good, it is heard quite well. Google allows the assistant to invoke what you do not need acc"&amp;"ess to the phone in your pocket if we make a call for example. The cargo box has a battery indicator. The headphones have a touch button for use. In the box also comes type cable C to load")</f>
        <v>Good sound quality Very happy with headphones. They have a sleek design and are comfortable once set. Perfectly synchronized with the mobile. The sound quality is good, it is heard quite well. Google allows the assistant to invoke what you do not need access to the phone in your pocket if we make a call for example. The cargo box has a battery indicator. The headphones have a touch button for use. In the box also comes type cable C to load</v>
      </c>
    </row>
    <row r="15812">
      <c r="A15812" s="1">
        <v>5.0</v>
      </c>
      <c r="B15812" s="1" t="s">
        <v>15665</v>
      </c>
      <c r="C15812" t="str">
        <f>IFERROR(__xludf.DUMMYFUNCTION("GOOGLETRANSLATE(B15812, ""es"", ""en"")"),"Good product quickly and adheres well")</f>
        <v>Good product quickly and adheres well</v>
      </c>
    </row>
    <row r="15813">
      <c r="A15813" s="1">
        <v>2.0</v>
      </c>
      <c r="B15813" s="1" t="s">
        <v>15666</v>
      </c>
      <c r="C15813" t="str">
        <f>IFERROR(__xludf.DUMMYFUNCTION("GOOGLETRANSLATE(B15813, ""es"", ""en"")"),"They are not comfortable I were small. I usually have 38/39 but this one threw me fingers forward. did not have good stability and I were not very comfortable. Therefore, the I returned.")</f>
        <v>They are not comfortable I were small. I usually have 38/39 but this one threw me fingers forward. did not have good stability and I were not very comfortable. Therefore, the I returned.</v>
      </c>
    </row>
    <row r="15814">
      <c r="A15814" s="1">
        <v>3.0</v>
      </c>
      <c r="B15814" s="1" t="s">
        <v>15667</v>
      </c>
      <c r="C15814" t="str">
        <f>IFERROR(__xludf.DUMMYFUNCTION("GOOGLETRANSLATE(B15814, ""es"", ""en"")"),"are good quality, consider the price ... They look good and the fabric is soft Well, well consider the precio.La fabric is soft and pleasing to the tacto.Quedan pretty good little puestos.Un transport, but not a lot")</f>
        <v>are good quality, consider the price ... They look good and the fabric is soft Well, well consider the precio.La fabric is soft and pleasing to the tacto.Quedan pretty good little puestos.Un transport, but not a lot</v>
      </c>
    </row>
    <row r="15815">
      <c r="A15815" s="1">
        <v>3.0</v>
      </c>
      <c r="B15815" s="1" t="s">
        <v>15668</v>
      </c>
      <c r="C15815" t="str">
        <f>IFERROR(__xludf.DUMMYFUNCTION("GOOGLETRANSLATE(B15815, ""es"", ""en"")"),"Nice quality over price. Do not cheat. It is elegant for a special occasion. It has a very nice shine in flashes of sizes")</f>
        <v>Nice quality over price. Do not cheat. It is elegant for a special occasion. It has a very nice shine in flashes of sizes</v>
      </c>
    </row>
    <row r="15816">
      <c r="A15816" s="1">
        <v>1.0</v>
      </c>
      <c r="B15816" s="1" t="s">
        <v>15669</v>
      </c>
      <c r="C15816" t="str">
        <f>IFERROR(__xludf.DUMMYFUNCTION("GOOGLETRANSLATE(B15816, ""es"", ""en"")"),"Color is not electric blue is navy blue color is not the same as seen in the photo, is dark blue almost negro👎🏽")</f>
        <v>Color is not electric blue is navy blue color is not the same as seen in the photo, is dark blue almost negro👎🏽</v>
      </c>
    </row>
    <row r="15817">
      <c r="A15817" s="1">
        <v>1.0</v>
      </c>
      <c r="B15817" s="1" t="s">
        <v>15670</v>
      </c>
      <c r="C15817" t="str">
        <f>IFERROR(__xludf.DUMMYFUNCTION("GOOGLETRANSLATE(B15817, ""es"", ""en"")"),"Poor quality sports puma, has joined the heel and the foot is twisted.")</f>
        <v>Poor quality sports puma, has joined the heel and the foot is twisted.</v>
      </c>
    </row>
    <row r="15818">
      <c r="A15818" s="1">
        <v>4.0</v>
      </c>
      <c r="B15818" s="1" t="s">
        <v>15671</v>
      </c>
      <c r="C15818" t="str">
        <f>IFERROR(__xludf.DUMMYFUNCTION("GOOGLETRANSLATE(B15818, ""es"", ""en"")"),"PERFECT Perfectas, as put in the picture and description, came fast, I loved.")</f>
        <v>PERFECT Perfectas, as put in the picture and description, came fast, I loved.</v>
      </c>
    </row>
    <row r="15819">
      <c r="A15819" s="1">
        <v>4.0</v>
      </c>
      <c r="B15819" s="1" t="s">
        <v>15672</v>
      </c>
      <c r="C15819" t="str">
        <f>IFERROR(__xludf.DUMMYFUNCTION("GOOGLETRANSLATE(B15819, ""es"", ""en"")"),"All right all right all")</f>
        <v>All right all right all</v>
      </c>
    </row>
    <row r="15820">
      <c r="A15820" s="1">
        <v>4.0</v>
      </c>
      <c r="B15820" s="1" t="s">
        <v>15673</v>
      </c>
      <c r="C15820" t="str">
        <f>IFERROR(__xludf.DUMMYFUNCTION("GOOGLETRANSLATE(B15820, ""es"", ""en"")"),"Good value for money. For the price you can not expect anything from the other world, but still does just fine. I am happy.")</f>
        <v>Good value for money. For the price you can not expect anything from the other world, but still does just fine. I am happy.</v>
      </c>
    </row>
    <row r="15821">
      <c r="A15821" s="1">
        <v>4.0</v>
      </c>
      <c r="B15821" s="1" t="s">
        <v>15674</v>
      </c>
      <c r="C15821" t="str">
        <f>IFERROR(__xludf.DUMMYFUNCTION("GOOGLETRANSLATE(B15821, ""es"", ""en"")"),"Good product for the price they have far everything OK. The quality of materials is not too good, the sound is right for sporadic use, and comfort is good. For the price they are worth")</f>
        <v>Good product for the price they have far everything OK. The quality of materials is not too good, the sound is right for sporadic use, and comfort is good. For the price they are worth</v>
      </c>
    </row>
    <row r="15822">
      <c r="A15822" s="1">
        <v>5.0</v>
      </c>
      <c r="B15822" s="1" t="s">
        <v>15675</v>
      </c>
      <c r="C15822" t="str">
        <f>IFERROR(__xludf.DUMMYFUNCTION("GOOGLETRANSLATE(B15822, ""es"", ""en"")"),"Recommended When water butt is quiet, but as the water is running out, there is noise drip sleeping can be annoying. Very easy to use. It works very well with essential oils. The lights have are very nice.")</f>
        <v>Recommended When water butt is quiet, but as the water is running out, there is noise drip sleeping can be annoying. Very easy to use. It works very well with essential oils. The lights have are very nice.</v>
      </c>
    </row>
    <row r="15823">
      <c r="A15823" s="1">
        <v>5.0</v>
      </c>
      <c r="B15823" s="1" t="s">
        <v>15676</v>
      </c>
      <c r="C15823" t="str">
        <f>IFERROR(__xludf.DUMMYFUNCTION("GOOGLETRANSLATE(B15823, ""es"", ""en"")"),"Recommended. Cool sneakers are super comfortable, very blanditas and calentitas and they have a very nice color both inside and out. I am delighted with them and they are not expensive. Great purchase.")</f>
        <v>Recommended. Cool sneakers are super comfortable, very blanditas and calentitas and they have a very nice color both inside and out. I am delighted with them and they are not expensive. Great purchase.</v>
      </c>
    </row>
    <row r="15824">
      <c r="A15824" s="1">
        <v>5.0</v>
      </c>
      <c r="B15824" s="1" t="s">
        <v>15677</v>
      </c>
      <c r="C15824" t="str">
        <f>IFERROR(__xludf.DUMMYFUNCTION("GOOGLETRANSLATE(B15824, ""es"", ""en"")"),"The best hearing aids for money I seem excellent headphones, the price very comfortable, the sound seems to me amazing. The cargo box good works you for a week of daily training with an average of 2 and a half hours per session, not out of sync at all and"&amp;" synchronization with mobile is automatically nothing to the out of the box load (light previously synchronized with the mobile). Calls are perfectly listen, it is best to upload them to your computer, to avoid overloading the spoils in my case and recomm"&amp;"end buying the newest version with which the cargo box brings lid and is safer to avoid it you can lose or mess. In short a past hearing aids, I recommend it.")</f>
        <v>The best hearing aids for money I seem excellent headphones, the price very comfortable, the sound seems to me amazing. The cargo box good works you for a week of daily training with an average of 2 and a half hours per session, not out of sync at all and synchronization with mobile is automatically nothing to the out of the box load (light previously synchronized with the mobile). Calls are perfectly listen, it is best to upload them to your computer, to avoid overloading the spoils in my case and recommend buying the newest version with which the cargo box brings lid and is safer to avoid it you can lose or mess. In short a past hearing aids, I recommend it.</v>
      </c>
    </row>
    <row r="15825">
      <c r="A15825" s="1">
        <v>5.0</v>
      </c>
      <c r="B15825" s="1" t="s">
        <v>15678</v>
      </c>
      <c r="C15825" t="str">
        <f>IFERROR(__xludf.DUMMYFUNCTION("GOOGLETRANSLATE(B15825, ""es"", ""en"")"),"Very good very comfortable and soft")</f>
        <v>Very good very comfortable and soft</v>
      </c>
    </row>
    <row r="15826">
      <c r="A15826" s="1">
        <v>5.0</v>
      </c>
      <c r="B15826" s="1" t="s">
        <v>15679</v>
      </c>
      <c r="C15826" t="str">
        <f>IFERROR(__xludf.DUMMYFUNCTION("GOOGLETRANSLATE(B15826, ""es"", ""en"")"),"PERFECT are great, as expected. My size, are comfortable and a good price.")</f>
        <v>PERFECT are great, as expected. My size, are comfortable and a good price.</v>
      </c>
    </row>
    <row r="15827">
      <c r="A15827" s="1">
        <v>5.0</v>
      </c>
      <c r="B15827" s="1" t="s">
        <v>15680</v>
      </c>
      <c r="C15827" t="str">
        <f>IFERROR(__xludf.DUMMYFUNCTION("GOOGLETRANSLATE(B15827, ""es"", ""en"")"),"Lovely I loved")</f>
        <v>Lovely I loved</v>
      </c>
    </row>
    <row r="15828">
      <c r="A15828" s="1">
        <v>5.0</v>
      </c>
      <c r="B15828" s="1" t="s">
        <v>15681</v>
      </c>
      <c r="C15828" t="str">
        <f>IFERROR(__xludf.DUMMYFUNCTION("GOOGLETRANSLATE(B15828, ""es"", ""en"")"),"Very nice luxury remain are precious")</f>
        <v>Very nice luxury remain are precious</v>
      </c>
    </row>
    <row r="15829">
      <c r="A15829" s="1">
        <v>5.0</v>
      </c>
      <c r="B15829" s="1" t="s">
        <v>15682</v>
      </c>
      <c r="C15829" t="str">
        <f>IFERROR(__xludf.DUMMYFUNCTION("GOOGLETRANSLATE(B15829, ""es"", ""en"")"),"Good sound I bought mainly for listening to the radio and the sound is very good. They are comfortable and are very complete. I have also tried to talk to them by phone and microphone also doing very well.")</f>
        <v>Good sound I bought mainly for listening to the radio and the sound is very good. They are comfortable and are very complete. I have also tried to talk to them by phone and microphone also doing very well.</v>
      </c>
    </row>
    <row r="15830">
      <c r="A15830" s="1">
        <v>5.0</v>
      </c>
      <c r="B15830" s="1" t="s">
        <v>15683</v>
      </c>
      <c r="C15830" t="str">
        <f>IFERROR(__xludf.DUMMYFUNCTION("GOOGLETRANSLATE(B15830, ""es"", ""en"")"),"Genial A watch beautiful, elegant and prepared for sport, perhaps the least liked was that the time is not so bright the screen like the picture, moreover, a clock passes for high-end to a excellent price.")</f>
        <v>Genial A watch beautiful, elegant and prepared for sport, perhaps the least liked was that the time is not so bright the screen like the picture, moreover, a clock passes for high-end to a excellent price.</v>
      </c>
    </row>
    <row r="15831">
      <c r="A15831" s="1">
        <v>5.0</v>
      </c>
      <c r="B15831" s="1" t="s">
        <v>15684</v>
      </c>
      <c r="C15831" t="str">
        <f>IFERROR(__xludf.DUMMYFUNCTION("GOOGLETRANSLATE(B15831, ""es"", ""en"")"),"Quality adhesive label printing laser is good, as it seems it is also the quality of the adhesive. I hope the adhesive lasts. APLI old labels had to throw them out because after a while the adhesive was gone.")</f>
        <v>Quality adhesive label printing laser is good, as it seems it is also the quality of the adhesive. I hope the adhesive lasts. APLI old labels had to throw them out because after a while the adhesive was gone.</v>
      </c>
    </row>
    <row r="15832">
      <c r="A15832" s="1">
        <v>5.0</v>
      </c>
      <c r="B15832" s="1" t="s">
        <v>15685</v>
      </c>
      <c r="C15832" t="str">
        <f>IFERROR(__xludf.DUMMYFUNCTION("GOOGLETRANSLATE(B15832, ""es"", ""en"")"),"Encantada 😊 These headphones din for my son and the truth is happy. I arrived today and began to load and could only afternoon the premiere has and is happy 😃 The sound is very good and the best no cables. And I loved the ear sponges are of different si"&amp;"ze and thus choose where your ear need. A product 10 and I love my son more 😂😂😂")</f>
        <v>Encantada 😊 These headphones din for my son and the truth is happy. I arrived today and began to load and could only afternoon the premiere has and is happy 😃 The sound is very good and the best no cables. And I loved the ear sponges are of different size and thus choose where your ear need. A product 10 and I love my son more 😂😂😂</v>
      </c>
    </row>
    <row r="15833">
      <c r="A15833" s="1">
        <v>5.0</v>
      </c>
      <c r="B15833" s="1" t="s">
        <v>15686</v>
      </c>
      <c r="C15833" t="str">
        <f>IFERROR(__xludf.DUMMYFUNCTION("GOOGLETRANSLATE(B15833, ""es"", ""en"")"),"Well I gusta.es too finite but well.The price seems a bit high.")</f>
        <v>Well I gusta.es too finite but well.The price seems a bit high.</v>
      </c>
    </row>
    <row r="15834">
      <c r="A15834" s="1">
        <v>5.0</v>
      </c>
      <c r="B15834" s="1" t="s">
        <v>15687</v>
      </c>
      <c r="C15834" t="str">
        <f>IFERROR(__xludf.DUMMYFUNCTION("GOOGLETRANSLATE(B15834, ""es"", ""en"")"),"Original Headphones with lights, colorful call their attention. I loved the internal battery that indicates the amount of charge. They adapt very well to the ear, it comes with 3 different types of silicones to better suit the type of ear of each person. "&amp;"Perfect for sports activities. Good sound quality and perfect reception. Large capacity battery. Good gift.")</f>
        <v>Original Headphones with lights, colorful call their attention. I loved the internal battery that indicates the amount of charge. They adapt very well to the ear, it comes with 3 different types of silicones to better suit the type of ear of each person. Perfect for sports activities. Good sound quality and perfect reception. Large capacity battery. Good gift.</v>
      </c>
    </row>
    <row r="15835">
      <c r="A15835" s="1">
        <v>5.0</v>
      </c>
      <c r="B15835" s="1" t="s">
        <v>15688</v>
      </c>
      <c r="C15835" t="str">
        <f>IFERROR(__xludf.DUMMYFUNCTION("GOOGLETRANSLATE(B15835, ""es"", ""en"")"),"Great product Good quality")</f>
        <v>Great product Good quality</v>
      </c>
    </row>
    <row r="15836">
      <c r="A15836" s="1">
        <v>5.0</v>
      </c>
      <c r="B15836" s="1" t="s">
        <v>15689</v>
      </c>
      <c r="C15836" t="str">
        <f>IFERROR(__xludf.DUMMYFUNCTION("GOOGLETRANSLATE(B15836, ""es"", ""en"")"),"Aesthetically a success clock is fine. Great value for money as usual in Casio. I bought it for collecting and the end has become one of my watches everyday. It could be improved if the box was metal but obviously can not ask for anything for that price. "&amp;"We will see that it works with the passage of time, the moment a good buy.")</f>
        <v>Aesthetically a success clock is fine. Great value for money as usual in Casio. I bought it for collecting and the end has become one of my watches everyday. It could be improved if the box was metal but obviously can not ask for anything for that price. We will see that it works with the passage of time, the moment a good buy.</v>
      </c>
    </row>
    <row r="15837">
      <c r="A15837" s="1">
        <v>5.0</v>
      </c>
      <c r="B15837" s="1" t="s">
        <v>15690</v>
      </c>
      <c r="C15837" t="str">
        <f>IFERROR(__xludf.DUMMYFUNCTION("GOOGLETRANSLATE(B15837, ""es"", ""en"")"),"Noedue Love")</f>
        <v>Noedue Love</v>
      </c>
    </row>
    <row r="15838">
      <c r="A15838" s="1">
        <v>5.0</v>
      </c>
      <c r="B15838" s="1" t="s">
        <v>15691</v>
      </c>
      <c r="C15838" t="str">
        <f>IFERROR(__xludf.DUMMYFUNCTION("GOOGLETRANSLATE(B15838, ""es"", ""en"")"),"Best Value headphones best headphones I've ever had. I bought the previous version to this and I must say that the wires were thicker and had the appearance of durability. With this new model took 4 months and despite this nuance any problems. I usually s"&amp;"leep with them to the risk involved and wiring these and the previous never failed me. If you have to buy others will surely miss it because")</f>
        <v>Best Value headphones best headphones I've ever had. I bought the previous version to this and I must say that the wires were thicker and had the appearance of durability. With this new model took 4 months and despite this nuance any problems. I usually sleep with them to the risk involved and wiring these and the previous never failed me. If you have to buy others will surely miss it because</v>
      </c>
    </row>
    <row r="15839">
      <c r="A15839" s="1">
        <v>5.0</v>
      </c>
      <c r="B15839" s="1" t="s">
        <v>15692</v>
      </c>
      <c r="C15839" t="str">
        <f>IFERROR(__xludf.DUMMYFUNCTION("GOOGLETRANSLATE(B15839, ""es"", ""en"")"),"That is nothing better for the price that has perfectly fulfills its purpose, does not weigh too much, the blades cut well. In short, for the price it is a great buy")</f>
        <v>That is nothing better for the price that has perfectly fulfills its purpose, does not weigh too much, the blades cut well. In short, for the price it is a great buy</v>
      </c>
    </row>
    <row r="15840">
      <c r="A15840" s="1">
        <v>5.0</v>
      </c>
      <c r="B15840" s="1" t="s">
        <v>15693</v>
      </c>
      <c r="C15840" t="str">
        <f>IFERROR(__xludf.DUMMYFUNCTION("GOOGLETRANSLATE(B15840, ""es"", ""en"")"),"Well Microfono")</f>
        <v>Well Microfono</v>
      </c>
    </row>
    <row r="15841">
      <c r="A15841" s="1">
        <v>2.0</v>
      </c>
      <c r="B15841" s="1" t="s">
        <v>15694</v>
      </c>
      <c r="C15841" t="str">
        <f>IFERROR(__xludf.DUMMYFUNCTION("GOOGLETRANSLATE(B15841, ""es"", ""en"")"),"Bonito is a good gift for a girl, beautiful, it is equal to the photo. It has broken the pendant to the little use, but of course the price is that you can not ask for much.")</f>
        <v>Bonito is a good gift for a girl, beautiful, it is equal to the photo. It has broken the pendant to the little use, but of course the price is that you can not ask for much.</v>
      </c>
    </row>
    <row r="15842">
      <c r="A15842" s="1">
        <v>3.0</v>
      </c>
      <c r="B15842" s="1" t="s">
        <v>15695</v>
      </c>
      <c r="C15842" t="str">
        <f>IFERROR(__xludf.DUMMYFUNCTION("GOOGLETRANSLATE(B15842, ""es"", ""en"")"),"Something thin fabric thin, not fat or strong. I have a 34/36 pants and I was fine, except that front has the highest shot. And I have to add a wide rubber grip and better. And another thing now that I washed the black clear color and smeared me pink ...."&amp;" to see how it looks when dry!")</f>
        <v>Something thin fabric thin, not fat or strong. I have a 34/36 pants and I was fine, except that front has the highest shot. And I have to add a wide rubber grip and better. And another thing now that I washed the black clear color and smeared me pink .... to see how it looks when dry!</v>
      </c>
    </row>
    <row r="15843">
      <c r="A15843" s="1">
        <v>3.0</v>
      </c>
      <c r="B15843" s="1" t="s">
        <v>15696</v>
      </c>
      <c r="C15843" t="str">
        <f>IFERROR(__xludf.DUMMYFUNCTION("GOOGLETRANSLATE(B15843, ""es"", ""en"")"),"Just practice as described, however it is observed that not very good zippers and the shooter broke four days")</f>
        <v>Just practice as described, however it is observed that not very good zippers and the shooter broke four days</v>
      </c>
    </row>
    <row r="15844">
      <c r="A15844" s="1">
        <v>1.0</v>
      </c>
      <c r="B15844" s="1" t="s">
        <v>15697</v>
      </c>
      <c r="C15844" t="str">
        <f>IFERROR(__xludf.DUMMYFUNCTION("GOOGLETRANSLATE(B15844, ""es"", ""en"")"),"Extreme sluggishness is a shame that a product that claims to have USB 3.0 transfer some lower results at 20 MB / sec. The worst thing is that when the disc is already more than 80% is going clip and has fallen to 5 6MB. It is saved by its high capacity a"&amp;"nd portability but little solvent for professional work. I have the same 2GB model, and is considerably less stable transfers.")</f>
        <v>Extreme sluggishness is a shame that a product that claims to have USB 3.0 transfer some lower results at 20 MB / sec. The worst thing is that when the disc is already more than 80% is going clip and has fallen to 5 6MB. It is saved by its high capacity and portability but little solvent for professional work. I have the same 2GB model, and is considerably less stable transfers.</v>
      </c>
    </row>
    <row r="15845">
      <c r="A15845" s="1">
        <v>1.0</v>
      </c>
      <c r="B15845" s="1" t="s">
        <v>15698</v>
      </c>
      <c r="C15845" t="str">
        <f>IFERROR(__xludf.DUMMYFUNCTION("GOOGLETRANSLATE(B15845, ""es"", ""en"")"),"Fatal. Enters water with minimal contact. Very bad !! It's great design and price is fine. But the Invicta fatal mark allowing the entry of water into this watch. It indicates that it is resistant to water. I to wash your hands and you go. I returned it a"&amp;"nd ordered another defect thinking it was mine and airtight two weeks will enter the new well. A turd this house that has disappointed me a lot and not buy any watch more.")</f>
        <v>Fatal. Enters water with minimal contact. Very bad !! It's great design and price is fine. But the Invicta fatal mark allowing the entry of water into this watch. It indicates that it is resistant to water. I to wash your hands and you go. I returned it and ordered another defect thinking it was mine and airtight two weeks will enter the new well. A turd this house that has disappointed me a lot and not buy any watch more.</v>
      </c>
    </row>
    <row r="15846">
      <c r="A15846" s="1">
        <v>4.0</v>
      </c>
      <c r="B15846" s="1" t="s">
        <v>15699</v>
      </c>
      <c r="C15846" t="str">
        <f>IFERROR(__xludf.DUMMYFUNCTION("GOOGLETRANSLATE(B15846, ""es"", ""en"")"),"This great product works great external hard drive. Its speed writing and reading are amazing, has a blue LED on top indicates whether you are using and remember that is not powered by USB, you have to plug it into electricity.")</f>
        <v>This great product works great external hard drive. Its speed writing and reading are amazing, has a blue LED on top indicates whether you are using and remember that is not powered by USB, you have to plug it into electricity.</v>
      </c>
    </row>
    <row r="15847">
      <c r="A15847" s="1">
        <v>4.0</v>
      </c>
      <c r="B15847" s="1" t="s">
        <v>15700</v>
      </c>
      <c r="C15847" t="str">
        <f>IFERROR(__xludf.DUMMYFUNCTION("GOOGLETRANSLATE(B15847, ""es"", ""en"")"),"Belen Cool, very good genre and comfortable")</f>
        <v>Belen Cool, very good genre and comfortable</v>
      </c>
    </row>
    <row r="15848">
      <c r="A15848" s="1">
        <v>4.0</v>
      </c>
      <c r="B15848" s="1" t="s">
        <v>15701</v>
      </c>
      <c r="C15848" t="str">
        <f>IFERROR(__xludf.DUMMYFUNCTION("GOOGLETRANSLATE(B15848, ""es"", ""en"")"),"We use almost everything right little, still not bad. The bad: my daughters grasp the nipple and deform or push, and milk comes out. More traditional bottles that we do not pass. But we spend less with those who are white (compared with turquoise).")</f>
        <v>We use almost everything right little, still not bad. The bad: my daughters grasp the nipple and deform or push, and milk comes out. More traditional bottles that we do not pass. But we spend less with those who are white (compared with turquoise).</v>
      </c>
    </row>
    <row r="15849">
      <c r="A15849" s="1">
        <v>4.0</v>
      </c>
      <c r="B15849" s="1" t="s">
        <v>15702</v>
      </c>
      <c r="C15849" t="str">
        <f>IFERROR(__xludf.DUMMYFUNCTION("GOOGLETRANSLATE(B15849, ""es"", ""en"")"),"I have love I am delighted with these auricolares, are very comfortable to wear every day, I use to go to class while in the library or classroom technician do drawing industrial or design because insulate very well, do not isolate the perfection but have"&amp;" a good insulation. The pads do not bother with glasses nor with them, are grandecillas, but being skin ... O semipiel ... I do not know the material is a synthetic but the truth in the summer will give a lot of heat but not over . Well but I to buying a "&amp;"headset fixed me in sound quality, and the truth they are very good've had a lot more expensive best headphones but these Sennheiser HD 4.40 BT will face many headphones plant, are not the best in the world but they are very good. The battery lasts a lot "&amp;"about WONDER about 24 hours of use, and loaded very quickly. Will summarize Pros and Cons: Pros: - Battery - range scope (Bluetooth) (Depends on the device) - Sound quality - including accessories (fabric cover, USB charging cable and 3.5mm to 2.5mm Jack)"&amp;" - Discreet - Quality / Price - Construction Cons: - Does not include hard case - does not include spare pads - few low (VA tastes, has good bass, but like to listen to me somewhat low, but solved with an equalizer) in short helmets are great, they are no"&amp;"t studio quality but they are very proficient even better than many more expensive headphones. Have a quality / great price (I bought them for about 64 €) would have paid a lot more for them. At the beginning many of them doubt but once I tried it I fell "&amp;"in love. If you want a Bluetooth headset with very good sound quality and discrete not hesitate are amazing. 9/10 Fran")</f>
        <v>I have love I am delighted with these auricolares, are very comfortable to wear every day, I use to go to class while in the library or classroom technician do drawing industrial or design because insulate very well, do not isolate the perfection but have a good insulation. The pads do not bother with glasses nor with them, are grandecillas, but being skin ... O semipiel ... I do not know the material is a synthetic but the truth in the summer will give a lot of heat but not over . Well but I to buying a headset fixed me in sound quality, and the truth they are very good've had a lot more expensive best headphones but these Sennheiser HD 4.40 BT will face many headphones plant, are not the best in the world but they are very good. The battery lasts a lot about WONDER about 24 hours of use, and loaded very quickly. Will summarize Pros and Cons: Pros: - Battery - range scope (Bluetooth) (Depends on the device) - Sound quality - including accessories (fabric cover, USB charging cable and 3.5mm to 2.5mm Jack) - Discreet - Quality / Price - Construction Cons: - Does not include hard case - does not include spare pads - few low (VA tastes, has good bass, but like to listen to me somewhat low, but solved with an equalizer) in short helmets are great, they are not studio quality but they are very proficient even better than many more expensive headphones. Have a quality / great price (I bought them for about 64 €) would have paid a lot more for them. At the beginning many of them doubt but once I tried it I fell in love. If you want a Bluetooth headset with very good sound quality and discrete not hesitate are amazing. 9/10 Fran</v>
      </c>
    </row>
    <row r="15850">
      <c r="A15850" s="1">
        <v>4.0</v>
      </c>
      <c r="B15850" s="1" t="s">
        <v>15703</v>
      </c>
      <c r="C15850" t="str">
        <f>IFERROR(__xludf.DUMMYFUNCTION("GOOGLETRANSLATE(B15850, ""es"", ""en"")"),"Birthday is perfect. value right")</f>
        <v>Birthday is perfect. value right</v>
      </c>
    </row>
    <row r="15851">
      <c r="A15851" s="1">
        <v>5.0</v>
      </c>
      <c r="B15851" s="1" t="s">
        <v>15704</v>
      </c>
      <c r="C15851" t="str">
        <f>IFERROR(__xludf.DUMMYFUNCTION("GOOGLETRANSLATE(B15851, ""es"", ""en"")"),"Quality cable. High quality cable, although the 4 mm is quite big and may not enter many outlets amp or speaker input. I recommend a lower section.")</f>
        <v>Quality cable. High quality cable, although the 4 mm is quite big and may not enter many outlets amp or speaker input. I recommend a lower section.</v>
      </c>
    </row>
    <row r="15852">
      <c r="A15852" s="1">
        <v>5.0</v>
      </c>
      <c r="B15852" s="1" t="s">
        <v>15705</v>
      </c>
      <c r="C15852" t="str">
        <f>IFERROR(__xludf.DUMMYFUNCTION("GOOGLETRANSLATE(B15852, ""es"", ""en"")"),"Something big floor using a 43 in other brands, and knowing that talk usually given size ordered a 42.5. Yet I had to return them and ask for a 42. Therefore I recommend taking a number less than the one you heap up. The rest perfect, the shoe is authenti"&amp;"c, leather and quality always converse.")</f>
        <v>Something big floor using a 43 in other brands, and knowing that talk usually given size ordered a 42.5. Yet I had to return them and ask for a 42. Therefore I recommend taking a number less than the one you heap up. The rest perfect, the shoe is authentic, leather and quality always converse.</v>
      </c>
    </row>
    <row r="15853">
      <c r="A15853" s="1">
        <v>5.0</v>
      </c>
      <c r="B15853" s="1" t="s">
        <v>15706</v>
      </c>
      <c r="C15853" t="str">
        <f>IFERROR(__xludf.DUMMYFUNCTION("GOOGLETRANSLATE(B15853, ""es"", ""en"")"),"Best I have spent many years buying and verbatim value for money are the best. I do not fault any.")</f>
        <v>Best I have spent many years buying and verbatim value for money are the best. I do not fault any.</v>
      </c>
    </row>
    <row r="15854">
      <c r="A15854" s="1">
        <v>5.0</v>
      </c>
      <c r="B15854" s="1" t="s">
        <v>15707</v>
      </c>
      <c r="C15854" t="str">
        <f>IFERROR(__xludf.DUMMYFUNCTION("GOOGLETRANSLATE(B15854, ""es"", ""en"")"),"Very practical and pretty much use I give the thermos and this has delighted me, design is super nice, in addition to its velvety touch. Otherwise it is an ordinary thermos")</f>
        <v>Very practical and pretty much use I give the thermos and this has delighted me, design is super nice, in addition to its velvety touch. Otherwise it is an ordinary thermos</v>
      </c>
    </row>
    <row r="15855">
      <c r="A15855" s="1">
        <v>5.0</v>
      </c>
      <c r="B15855" s="1" t="s">
        <v>15708</v>
      </c>
      <c r="C15855" t="str">
        <f>IFERROR(__xludf.DUMMYFUNCTION("GOOGLETRANSLATE(B15855, ""es"", ""en"")"),"Very good price good cheap headphones and economic")</f>
        <v>Very good price good cheap headphones and economic</v>
      </c>
    </row>
    <row r="15856">
      <c r="A15856" s="1">
        <v>5.0</v>
      </c>
      <c r="B15856" s="1" t="s">
        <v>15709</v>
      </c>
      <c r="C15856" t="str">
        <f>IFERROR(__xludf.DUMMYFUNCTION("GOOGLETRANSLATE(B15856, ""es"", ""en"")"),"Sound quality and Bose sound cancellation is both sound and quality materials, the battery lasts quite enough for everyday use flight or you want to give. If you folded a little more would not hurt cancellation sound is perfect whenever a noise more or le"&amp;"ss constant, if is highly variable costs more but it does successfully")</f>
        <v>Sound quality and Bose sound cancellation is both sound and quality materials, the battery lasts quite enough for everyday use flight or you want to give. If you folded a little more would not hurt cancellation sound is perfect whenever a noise more or less constant, if is highly variable costs more but it does successfully</v>
      </c>
    </row>
    <row r="15857">
      <c r="A15857" s="1">
        <v>5.0</v>
      </c>
      <c r="B15857" s="1" t="s">
        <v>15710</v>
      </c>
      <c r="C15857" t="str">
        <f>IFERROR(__xludf.DUMMYFUNCTION("GOOGLETRANSLATE(B15857, ""es"", ""en"")"),"Comfortable and good sound is convenient and practical")</f>
        <v>Comfortable and good sound is convenient and practical</v>
      </c>
    </row>
    <row r="15858">
      <c r="A15858" s="1">
        <v>5.0</v>
      </c>
      <c r="B15858" s="1" t="s">
        <v>15711</v>
      </c>
      <c r="C15858" t="str">
        <f>IFERROR(__xludf.DUMMYFUNCTION("GOOGLETRANSLATE(B15858, ""es"", ""en"")"),"Perfect for my use are perfect for what I need, fit around about 50 sheets, even some more, plastic is good quality. I repeat purchase when you need more.")</f>
        <v>Perfect for my use are perfect for what I need, fit around about 50 sheets, even some more, plastic is good quality. I repeat purchase when you need more.</v>
      </c>
    </row>
    <row r="15859">
      <c r="A15859" s="1">
        <v>5.0</v>
      </c>
      <c r="B15859" s="1" t="s">
        <v>15712</v>
      </c>
      <c r="C15859" t="str">
        <f>IFERROR(__xludf.DUMMYFUNCTION("GOOGLETRANSLATE(B15859, ""es"", ""en"")"),"Very nice design. Brown belt thought it would be more clearly, but no. The bezel of the watch is black fucking steel. It gives you a premium price to a demure look. Personally I think not wet because the strap being imitation hair may become dirty or wear"&amp;".")</f>
        <v>Very nice design. Brown belt thought it would be more clearly, but no. The bezel of the watch is black fucking steel. It gives you a premium price to a demure look. Personally I think not wet because the strap being imitation hair may become dirty or wear.</v>
      </c>
    </row>
    <row r="15860">
      <c r="A15860" s="1">
        <v>5.0</v>
      </c>
      <c r="B15860" s="1" t="s">
        <v>15713</v>
      </c>
      <c r="C15860" t="str">
        <f>IFERROR(__xludf.DUMMYFUNCTION("GOOGLETRANSLATE(B15860, ""es"", ""en"")"),"ALL Embálalo 396 meters from duct tape reasonable quality. If you need duct tape this is your product: 66 meters x 6 units, which make up the number of the beast for the best packaging.")</f>
        <v>ALL Embálalo 396 meters from duct tape reasonable quality. If you need duct tape this is your product: 66 meters x 6 units, which make up the number of the beast for the best packaging.</v>
      </c>
    </row>
    <row r="15861">
      <c r="A15861" s="1">
        <v>5.0</v>
      </c>
      <c r="B15861" s="1" t="s">
        <v>15714</v>
      </c>
      <c r="C15861" t="str">
        <f>IFERROR(__xludf.DUMMYFUNCTION("GOOGLETRANSLATE(B15861, ""es"", ""en"")"),"10 A great buy, comfortable and good quality")</f>
        <v>10 A great buy, comfortable and good quality</v>
      </c>
    </row>
    <row r="15862">
      <c r="A15862" s="1">
        <v>5.0</v>
      </c>
      <c r="B15862" s="1" t="s">
        <v>15715</v>
      </c>
      <c r="C15862" t="str">
        <f>IFERROR(__xludf.DUMMYFUNCTION("GOOGLETRANSLATE(B15862, ""es"", ""en"")"),"I love've used with Variflow teats. It is easy to wash and assembly. In my case, my baby was exclusively breastfed until 6 months, I use it after that time and its design made it easier to adapt quickly without rejecting. Probe before with other bottles a"&amp;"nd this was the most liked.")</f>
        <v>I love've used with Variflow teats. It is easy to wash and assembly. In my case, my baby was exclusively breastfed until 6 months, I use it after that time and its design made it easier to adapt quickly without rejecting. Probe before with other bottles and this was the most liked.</v>
      </c>
    </row>
    <row r="15863">
      <c r="A15863" s="1">
        <v>5.0</v>
      </c>
      <c r="B15863" s="1" t="s">
        <v>15716</v>
      </c>
      <c r="C15863" t="str">
        <f>IFERROR(__xludf.DUMMYFUNCTION("GOOGLETRANSLATE(B15863, ""es"", ""en"")"),"Super-comfortable very good, very good quality and good price. 100x100 recommended")</f>
        <v>Super-comfortable very good, very good quality and good price. 100x100 recommended</v>
      </c>
    </row>
    <row r="15864">
      <c r="A15864" s="1">
        <v>5.0</v>
      </c>
      <c r="B15864" s="1" t="s">
        <v>15717</v>
      </c>
      <c r="C15864" t="str">
        <f>IFERROR(__xludf.DUMMYFUNCTION("GOOGLETRANSLATE(B15864, ""es"", ""en"")"),"Prmetido complies Good article, I comfortable as it is not heavy and does not cause sweat contact with the ears, the quality is acceptable and clearly convey the range of about 70 meters after crossing a wall of 14 cm. and an enclosure of 40 cm .. satisfi"&amp;"ed with purchase. I recommend this product.")</f>
        <v>Prmetido complies Good article, I comfortable as it is not heavy and does not cause sweat contact with the ears, the quality is acceptable and clearly convey the range of about 70 meters after crossing a wall of 14 cm. and an enclosure of 40 cm .. satisfied with purchase. I recommend this product.</v>
      </c>
    </row>
    <row r="15865">
      <c r="A15865" s="1">
        <v>5.0</v>
      </c>
      <c r="B15865" s="1" t="s">
        <v>15718</v>
      </c>
      <c r="C15865" t="str">
        <f>IFERROR(__xludf.DUMMYFUNCTION("GOOGLETRANSLATE(B15865, ""es"", ""en"")"),"It's like waiting! Is beautiful!")</f>
        <v>It's like waiting! Is beautiful!</v>
      </c>
    </row>
    <row r="15866">
      <c r="A15866" s="1">
        <v>5.0</v>
      </c>
      <c r="B15866" s="1" t="s">
        <v>15719</v>
      </c>
      <c r="C15866" t="str">
        <f>IFERROR(__xludf.DUMMYFUNCTION("GOOGLETRANSLATE(B15866, ""es"", ""en"")"),"Space and reliability at a good price I've coupled to the computer I use studio video editing and sound recording. I finally will not have space problems for copies of security-")</f>
        <v>Space and reliability at a good price I've coupled to the computer I use studio video editing and sound recording. I finally will not have space problems for copies of security-</v>
      </c>
    </row>
    <row r="15867">
      <c r="A15867" s="1">
        <v>5.0</v>
      </c>
      <c r="B15867" s="1" t="s">
        <v>15720</v>
      </c>
      <c r="C15867" t="str">
        <f>IFERROR(__xludf.DUMMYFUNCTION("GOOGLETRANSLATE(B15867, ""es"", ""en"")"),"Nice, comfortable and very breathable He was looking for a shoe to give them to my mother when out walking in the morning and at the end I decided on this because she wore with such sole but a very famous brand that would great and I thought you would lik"&amp;"e these. I have not the slightest wrong because it says they are super comfortable, they are very light and they do not have to worry about tying t grudges because it puts them in a jiffy. Tissue type which are made breathable mesh is super another point "&amp;"in its favor. And finally its design is nice and unobtrusive ideal for my mother who does not like to call her attention. In short she is delighted with her new shoes and yp more knowledge you liked so much.")</f>
        <v>Nice, comfortable and very breathable He was looking for a shoe to give them to my mother when out walking in the morning and at the end I decided on this because she wore with such sole but a very famous brand that would great and I thought you would like these. I have not the slightest wrong because it says they are super comfortable, they are very light and they do not have to worry about tying t grudges because it puts them in a jiffy. Tissue type which are made breathable mesh is super another point in its favor. And finally its design is nice and unobtrusive ideal for my mother who does not like to call her attention. In short she is delighted with her new shoes and yp more knowledge you liked so much.</v>
      </c>
    </row>
    <row r="15868">
      <c r="A15868" s="1">
        <v>5.0</v>
      </c>
      <c r="B15868" s="1" t="s">
        <v>15721</v>
      </c>
      <c r="C15868" t="str">
        <f>IFERROR(__xludf.DUMMYFUNCTION("GOOGLETRANSLATE(B15868, ""es"", ""en"")"),"Excellent Good solar clock time with handcuffs is well read. The digital display is useful and easy to use. Lighting is only on display and in my little opinion.")</f>
        <v>Excellent Good solar clock time with handcuffs is well read. The digital display is useful and easy to use. Lighting is only on display and in my little opinion.</v>
      </c>
    </row>
    <row r="15869">
      <c r="A15869" s="1">
        <v>2.0</v>
      </c>
      <c r="B15869" s="1" t="s">
        <v>15722</v>
      </c>
      <c r="C15869" t="str">
        <f>IFERROR(__xludf.DUMMYFUNCTION("GOOGLETRANSLATE(B15869, ""es"", ""en"")"),"Basic earrings earrings very simple. I bought pink color and is quite off, the emboltorio they bring is very basic, according to a product of 10 euros. They put them on sale every now and then. Buy them for 10 euros but said the original price was 99 euro"&amp;"s. Since I bought one month alone I have seen the original price 2 days after Black Friday ago. If you want earrings 10 euros this is a product of that category. I decided to put this view when I saw that the trick of saying worth 99 euros is used when ac"&amp;"tually would not pay more than 10 euros for them")</f>
        <v>Basic earrings earrings very simple. I bought pink color and is quite off, the emboltorio they bring is very basic, according to a product of 10 euros. They put them on sale every now and then. Buy them for 10 euros but said the original price was 99 euros. Since I bought one month alone I have seen the original price 2 days after Black Friday ago. If you want earrings 10 euros this is a product of that category. I decided to put this view when I saw that the trick of saying worth 99 euros is used when actually would not pay more than 10 euros for them</v>
      </c>
    </row>
    <row r="15870">
      <c r="A15870" s="1">
        <v>3.0</v>
      </c>
      <c r="B15870" s="1" t="s">
        <v>15723</v>
      </c>
      <c r="C15870" t="str">
        <f>IFERROR(__xludf.DUMMYFUNCTION("GOOGLETRANSLATE(B15870, ""es"", ""en"")"),"I still hope that you will remove duplicity Mouse decidedly average quality. A wound coming stays curved. After a still hope that will remove the curvature. Keyboard pad falls short on a keyboard with numeric keys block. For compact well.")</f>
        <v>I still hope that you will remove duplicity Mouse decidedly average quality. A wound coming stays curved. After a still hope that will remove the curvature. Keyboard pad falls short on a keyboard with numeric keys block. For compact well.</v>
      </c>
    </row>
    <row r="15871">
      <c r="A15871" s="1">
        <v>1.0</v>
      </c>
      <c r="B15871" s="1" t="s">
        <v>15724</v>
      </c>
      <c r="C15871" t="str">
        <f>IFERROR(__xludf.DUMMYFUNCTION("GOOGLETRANSLATE(B15871, ""es"", ""en"")"),"5 days For that, only lasted five days. Tuesday started to use it and this Saturday morning I notice that the screen displays illegible numbers and does not answer any buttons. At the time, screen off, then returns to look a little unreadable numbers and "&amp;"later returns the screen to turn off everything. The weekend without a clock, buy a stack Monday, 2 €, placed it and everything works again. No use or alarms or lighting of the clock, so I provoked little consumption. Casio web for this model puts it: ""1"&amp;"0 Years - 1 Battery Thanks to an innovative electronic system, power consumption is much lower.."" Or the system this is rubbish, or stack that brings (Panasonic) is another trash, or Casio watches do not already know, or there is a typo and mean that the"&amp;" battery lasts only 10 days.")</f>
        <v>5 days For that, only lasted five days. Tuesday started to use it and this Saturday morning I notice that the screen displays illegible numbers and does not answer any buttons. At the time, screen off, then returns to look a little unreadable numbers and later returns the screen to turn off everything. The weekend without a clock, buy a stack Monday, 2 €, placed it and everything works again. No use or alarms or lighting of the clock, so I provoked little consumption. Casio web for this model puts it: "10 Years - 1 Battery Thanks to an innovative electronic system, power consumption is much lower.." Or the system this is rubbish, or stack that brings (Panasonic) is another trash, or Casio watches do not already know, or there is a typo and mean that the battery lasts only 10 days.</v>
      </c>
    </row>
    <row r="15872">
      <c r="A15872" s="1">
        <v>1.0</v>
      </c>
      <c r="B15872" s="1" t="s">
        <v>15725</v>
      </c>
      <c r="C15872" t="str">
        <f>IFERROR(__xludf.DUMMYFUNCTION("GOOGLETRANSLATE(B15872, ""es"", ""en"")"),"Very small sizing sizing")</f>
        <v>Very small sizing sizing</v>
      </c>
    </row>
    <row r="15873">
      <c r="A15873" s="1">
        <v>4.0</v>
      </c>
      <c r="B15873" s="1" t="s">
        <v>15726</v>
      </c>
      <c r="C15873" t="str">
        <f>IFERROR(__xludf.DUMMYFUNCTION("GOOGLETRANSLATE(B15873, ""es"", ""en"")"),"This beautifully shines brightly finished you will not see failures, draws attention to what Billa, I gave it to my wife and was very happy and if she is glad I live better.")</f>
        <v>This beautifully shines brightly finished you will not see failures, draws attention to what Billa, I gave it to my wife and was very happy and if she is glad I live better.</v>
      </c>
    </row>
    <row r="15874">
      <c r="A15874" s="1">
        <v>4.0</v>
      </c>
      <c r="B15874" s="1" t="s">
        <v>15727</v>
      </c>
      <c r="C15874" t="str">
        <f>IFERROR(__xludf.DUMMYFUNCTION("GOOGLETRANSLATE(B15874, ""es"", ""en"")"),"It is all very pretty OK")</f>
        <v>It is all very pretty OK</v>
      </c>
    </row>
    <row r="15875">
      <c r="A15875" s="1">
        <v>4.0</v>
      </c>
      <c r="B15875" s="1" t="s">
        <v>15728</v>
      </c>
      <c r="C15875" t="str">
        <f>IFERROR(__xludf.DUMMYFUNCTION("GOOGLETRANSLATE(B15875, ""es"", ""en"")"),"The best headphones gaming value Headphones match what the seller puts you, but if I can get something bad is that the volume control and pause the microphone is not compatible with IOS but everything else is 100% recommended .")</f>
        <v>The best headphones gaming value Headphones match what the seller puts you, but if I can get something bad is that the volume control and pause the microphone is not compatible with IOS but everything else is 100% recommended .</v>
      </c>
    </row>
    <row r="15876">
      <c r="A15876" s="1">
        <v>4.0</v>
      </c>
      <c r="B15876" s="1" t="s">
        <v>15729</v>
      </c>
      <c r="C15876" t="str">
        <f>IFERROR(__xludf.DUMMYFUNCTION("GOOGLETRANSLATE(B15876, ""es"", ""en"")"),"I bought comfort especially before another Amazon it is in pink, too calvin Klein. A Receiving this one blue noticed the tissue varied slightly, it was like a cotton less quality, less smooth. I do not know ... just be by blue dye that gives color. I'm st"&amp;"ill happy.")</f>
        <v>I bought comfort especially before another Amazon it is in pink, too calvin Klein. A Receiving this one blue noticed the tissue varied slightly, it was like a cotton less quality, less smooth. I do not know ... just be by blue dye that gives color. I'm still happy.</v>
      </c>
    </row>
    <row r="15877">
      <c r="A15877" s="1">
        <v>4.0</v>
      </c>
      <c r="B15877" s="1" t="s">
        <v>15730</v>
      </c>
      <c r="C15877" t="str">
        <f>IFERROR(__xludf.DUMMYFUNCTION("GOOGLETRANSLATE(B15877, ""es"", ""en"")"),"Useful does the job")</f>
        <v>Useful does the job</v>
      </c>
    </row>
    <row r="15878">
      <c r="A15878" s="1">
        <v>5.0</v>
      </c>
      <c r="B15878" s="1" t="s">
        <v>15731</v>
      </c>
      <c r="C15878" t="str">
        <f>IFERROR(__xludf.DUMMYFUNCTION("GOOGLETRANSLATE(B15878, ""es"", ""en"")"),"Best wireless headphones &lt;div id = ""video-block-R3926FP8AP6CQ5"" class = ""a-section a-spacing-small a-spacing-top mini video-block""&gt; &lt;div tabindex = ""0"" class = ""airy airy -svg vmin-unsupported airy-skin-beacon ""style ="" background-color: rgb (0, "&amp;"0, 0) position: relative; width: 100%; height: 100%; font-size: 0px; overflow: hidden ; outline: none; ""&gt; &lt;div class ="" airy-renderer-container ""style ="" position: relative; height: 100%; width: 100%; ""&gt; &lt;video id ="" 118 ""preload ="" auto ""src = "&amp;"""https://images-eu.ssl-images-amazon.com/images/I/E1cQ0+BqjfS.mp4"" style = ""position: absolute; left: 0px; top: 0px; overflow: hidden; height: 1px ; width: 1px; ""&gt; &lt;/ video&gt; &lt;/ div&gt; &lt;div id ="" airy-slate-preload ""style ="" background-color: rgb (0, "&amp;"0, 0); background-image: url (&amp; quot; https://images-eu.ssl-images-amazon.com/images/I/A1RlhBJdLOS.png&amp;quot;); background-size: Contain; background-position: center center; background-repeat: no-repeat; position: absolute ; top: 0px; left: 0px; visibility"&amp;": visible; width: 100%; height: 100%; "" &gt; &lt;/ Div&gt; &lt;iframe scrolling = ""no"" frameborder = ""0"" src = ""about: blank"" style = ""display: none;""&gt; &lt;/ iframe&gt; &lt;div tabindex = ""- 1"" class = ""airy- controls-container ""style ="" opacity: 0; visibility: "&amp;"hidden; ""&gt; &lt;div tabindex ="" - 1 ""class ="" airy-screen-size-toggle airy-fullscreen ""&gt; &lt;/ div&gt; &lt;div tabindex ="" - 1 ""class ="" airy-container-bottom "" &gt; &lt;div tabindex = ""- 1"" class = ""airy-track-bar-spacer-left"" style = ""width: 11px;""&gt; &lt;/ div&gt;"&amp;" &lt;div tabindex = ""- 1"" class = ""airy-play- airy toggle-play ""style ="" width: 12px; margin-right: 12px; ""&gt; &lt;/ div&gt; &lt;div tabindex ="" - 1 ""class ="" airy-audio-elements ""style ="" float: right; width: 34px; ""&gt; &lt;div tabindex ="" - 1 ""class ="" airy"&amp;"-audio-toggle airy-on ""&gt; &lt;/ div&gt; &lt;div tabindex ="" - 1 ""class ="" airy-audio-container ""style = ""opacity: 0; visibility: hidden; ""&gt; &lt;div tabindex ="" - 1 ""class ="" airy-audio-track-bar ""style ="" height: 80%; ""&gt; &lt;div tabindex ="" - 1 ""class ="" "&amp;"airy-audio- Scrubber-bar ""style ="" height: 85%; ""&gt; &lt;/ div&gt; &lt;div tabindex ="" - 1 ""class ="" airy-audio-scrubber ""style ="" height: 12px; bottom: 85% ""&gt; &lt;/ div&gt; &lt;/ div&gt; &lt;/ div&gt; &lt;/ div&gt; &lt;div tabindex ="" - 1 ""class ="" airy-duration-label ""style ="""&amp;" float: right; width: 26px; margin-right: 4px; text-align: center; ""&gt; 0:00 &lt;/ div&gt; &lt;div tabindex ="" - 1 ""class ="" airy-track-bar-spacer-right ""style ="" float: right; width: 11px; ""&gt; &lt;/ div&gt; &lt;div tabindex ="" - 1 ""class ="" airy-track-bar-container"&amp;" ""style ="" margin-left: 35px; margin-right: 75px; ""&gt; &lt;div tabindex ="" - 1 ""class ="" airy-airy-track-bar vertically-centering-table ""&gt; &lt;div tabindex ="" - 1 ""class ="" airy-Vertical-centering- table-cell ""&gt; &lt;div tabindex ="" - 1 ""class ="" airy-t"&amp;"rack-bar-elements ""&gt; &lt;div tabindex ="" - 1 ""class ="" airy-progress-bar ""&gt; &lt;/ div&gt; &lt;div tabindex = ""- 1"" class = ""airy-scrubber-bar""&gt; &lt;/ div&gt; &lt;div tabindex = ""- 1"" class = ""airy-scrubber""&gt; &lt;div tabindex = ""- 1"" class = ""airy-scrubber- icon "&amp;"""&gt; &lt;/ div&gt; &lt;div tabindex ="" - 1 ""class ="" airy-adjusted-AUI-tooltip ""style ="" opacity: 0; visibility: hidden; ""&gt; &lt;div tabindex ="" - 1 ""class ="" airy-adjusted-aui-tooltip-inner ""&gt; &lt;div tabindex ="" - 1 ""class ="" airy-current-time-label ""&gt; 0: "&amp;"00 &lt;/ div&gt; &lt;/ div&gt; &lt;div tabindex = ""- 1"" class = ""airy-adjusted-AUI-arrow-border""&gt; &lt;div tabindex = ""- 1"" class = ""airy-adjusted-AUI-arrow"" &gt; &lt;/ div&gt; &lt;/ div&gt; &lt;/ div&gt; &lt;/ div&gt; &lt;/ div&gt; &lt;/ div&gt; &lt;/ div&gt; &lt;/ div&gt; &lt;/ div&gt; &lt;/ div&gt; &lt;div tabindex = ""- 1"" cl"&amp;"ass = ""airy-age-gate airy-stage airy-Vertical-centering-table airy-dialog"" style = ""opacity: 0; visibility: hidden; ""&gt; &lt;div tabindex ="" - 1 ""class ="" airy-age-gate-Vertical-centering-table-cell airy-Vertical-centering-table-cell ""&gt; &lt;div tabindex ="&amp;""" - 1 ""class = ""airy-Vertical-centering-wrapper airy-age-gate-elements-wrapper""&gt; &lt;div tabindex = ""- 1"" class = ""airy-age-gate-elements airy-dialog-elements""&gt; &lt;div tabindex = "" -1 ""class ="" airy-age-gate-prompt ""&gt; This video is not Intended for"&amp;" all audiences What date were you born &lt;/ div&gt; &lt;div tabindex =.?"" - 1 ""class ="" airy-age-gate -inputs airy-dialog-inner-elements ""&gt; &lt;select tabindex ="" - 1 ""class ="" airy-age-gate-month ""&gt; &lt;option value ="" 1 ""&gt; January &lt;/ option&gt; &lt;option value ="&amp;""" 2 ""&gt; February &lt;/ option&gt; &lt;option value ="" 3 ""&gt; March &lt;/ option&gt; &lt;option value ="" 4 ""&gt; April &lt;/ option&gt; &lt;option value ="" 5 ""&gt; May &lt;/ option&gt; &lt;option value = ""6""&gt; June &lt;/ option&gt; &lt;option value = ""7""&gt; July &lt;/ option&gt; &lt;option value = ""8""&gt; Augu"&amp;"st &lt;/ option&gt; &lt;option value = ""9""&gt; September &lt;/ option&gt; &lt;option value = ""10""&gt; October &lt;/ option&gt; &lt;option value = ""11""&gt; November &lt;/ option&gt; &lt;option value = ""12""&gt; December &lt;/ option&gt; &lt;/ select&gt; &lt;select tabindex = ""- 1"" class = ""airy-age-gate-day"&amp;"""&gt; &lt;opti on value = ""1""&gt; 1 &lt;/ option&gt; &lt;option value = ""2""&gt; 2 &lt;/ option&gt; &lt;option value = ""3""&gt; 3 &lt;/ option&gt; &lt;option value = ""4""&gt; 4 &lt;/ option &gt; &lt;option value = ""5""&gt; 5 &lt;/ option&gt; &lt;option value = ""6""&gt; 6 &lt;/ option&gt; &lt;option value = ""7""&gt; 7 &lt;/ optio"&amp;"n&gt; &lt;option value = ""8""&gt; 8 &lt; / option&gt; &lt;option value = ""9""&gt; 9 &lt;/ option&gt; &lt;option value = ""10""&gt; 10 &lt;/ option&gt; &lt;option value = ""11""&gt; 11 &lt;/ option&gt; &lt;option value = ""12""&gt; 12 &lt;/ option&gt; &lt;option value = ""13""&gt; 13 &lt;/ option&gt; &lt;option value = ""14""&gt; 14 "&amp;"&lt;/ option&gt; &lt;option value = ""15""&gt; 15 &lt;/ option&gt; &lt;option value = ""16 ""&gt; 16 &lt;/ option&gt; &lt;option value ="" 17 ""&gt; 17 &lt;/ option&gt; &lt;option value ="" 18 ""&gt; 18 &lt;/ option&gt; &lt;option value ="" 19 ""&gt; 19 &lt;/ option&gt; &lt;option value = ""20""&gt; 20 &lt;/ option&gt; &lt;option valu"&amp;"e = ""21""&gt; 21 &lt;/ option&gt; &lt;option value = ""22""&gt; 22 &lt;/ option&gt; &lt;option value = ""23""&gt; 23 &lt;/ option&gt; &lt;option value = ""24""&gt; 24 &lt;/ option&gt; &lt;option value = ""25""&gt; 25 &lt;/ option&gt; &lt;option value = ""26""&gt; 26 &lt;/ option&gt; &lt;option value = ""27""&gt; 27 &lt;/ option&gt; &lt;"&amp;"option value = ""28""&gt; 28 &lt;/ option&gt; &lt;option value = ""29""&gt; 29 &lt;/ option&gt; &lt;option value = ""30""&gt; 30 &lt;/ option&gt; &lt;option value = ""31""&gt; 31 &lt;/ option&gt; &lt;/ select&gt; &lt;select tabindex = ""- 1"" class = ""airy-age-gate-year""&gt; &lt;option value = ""2019""&gt; 2019 &lt;/ "&amp;"option&gt; &lt; option value = ""2018""&gt; 2018 &lt;/ option&gt; &lt;option value = ""2017""&gt; 2017 &lt;/ option&gt; &lt;option value = ""2016""&gt; ​​2016 &lt;/ option&gt; &lt;option value = ""2015""&gt; 2015 &lt;/ option &gt; &lt;option value = ""2014""&gt; 2014 &lt;/ option&gt; &lt;option value = ""2013""&gt; 2013 &lt;/"&amp;" option&gt; &lt;option value = ""2012""&gt; 2012 &lt;/ option&gt; &lt;option value = ""2011""&gt; 2011 &lt; / option&gt; &lt;option value = ""2010""&gt; 2010 &lt;/ option&gt; &lt;option value = ""2009""&gt; 2009 &lt;/ option&gt; &lt;option value = ""2008""&gt; 2008 &lt;/ option&gt; &lt;option value = ""2007""&gt; 2007 &lt;/ o"&amp;"ption&gt; &lt;option value = ""2006""&gt; 2006 &lt;/ option&gt; &lt;option value = ""2005""&gt; 2005 &lt;/ option&gt; &lt;option value = ""2004""&gt; 2004 &lt;/ option&gt; &lt;option value = ""2003 ""&gt; 2003 &lt;/ option&gt; &lt;option value ="" 2002 ""&gt; 2002 &lt;/ option&gt; &lt;option value ="" 2001 ""&gt; 2001 &lt;/ o"&amp;"ption&gt; &lt;option value ="" 2000 ""&gt; 2000 &lt;/ option&gt; &lt;option value = ""1999""&gt; 1999 &lt;/ option&gt; &lt;option value = ""1998""&gt; 1998 &lt;/ option&gt; &lt;option value = ""1997""&gt; 1997 &lt;/ option&gt; &lt;option value = ""1996""&gt; 1996 &lt;/ option&gt; &lt;option value = ""1995""&gt; 1995 &lt;/ opt"&amp;"ion&gt; &lt;option value = ""1994""&gt; 1994 &lt;/ option&gt; &lt;option value = ""1993""&gt; 1993 &lt;/ option&gt; &lt;option value = ""1992""&gt; 1992 &lt;/ option&gt; &lt;option value = ""1991""&gt; 1991 &lt;/ option&gt; &lt;option value = ""1990""&gt; 1990 &lt;/ option&gt; &lt;option value = "" 1989 ""&gt; 1989 &lt;/ opti"&amp;"on&gt; &lt;option value ="" 1988 ""&gt; 1988 &lt;/ option&gt; &lt;option value ="" 1987 ""&gt; 1987 &lt;/ option&gt; &lt;option value ="" 1986 ""&gt; 1986 &lt;/ option&gt; &lt;value option = ""1985""&gt; 1985 &lt;/ option&gt; &lt;option value = ""1984""&gt; 1984 &lt;/ option&gt; &lt;option value = ""1983""&gt; 1983 &lt;/ opti"&amp;"on&gt; &lt;option value = ""1982""&gt; 1982 &lt;/ option&gt; &lt; option value = ""1981""&gt; 1981 &lt;/ option&gt; &lt;option value = ""1980""&gt; 1980 &lt;/ option&gt; &lt;option value = ""1979""&gt; 1979 &lt;/ option&gt; &lt;option value = ""1978""&gt; 1978 &lt;/ option &gt; &lt;option value = ""1977""&gt; 1977 &lt;/ optio"&amp;"n&gt; &lt;option value = ""1976""&gt; 1976 &lt;/ option&gt; &lt;option value = ""1975""&gt; 1975 &lt;/ option&gt; &lt;option value = ""1974""&gt; 1974 &lt; / option&gt; &lt;option value = ""1973""&gt; 1973 &lt;/ option&gt; &lt;option value = ""1972""&gt; 1972 &lt;/ option&gt; &lt;option value = ""1971""&gt; 1971 &lt;/ option&gt;"&amp;" &lt;option value = ""1970""&gt; 1970 &lt;/ option&gt; &lt;option value = ""1969""&gt; 1969 &lt;/ option&gt; &lt;option value = ""1968""&gt; 1968 &lt;/ option&gt; &lt;option value = ""1967""&gt; 1967 &lt;/ option&gt; &lt;option value = ""1966 ""&gt; 1966 &lt;/ option&gt; &lt;option value ="" 1965 ""&gt; 1965 &lt;/ option&gt; "&amp;"&lt;option value ="" 1964 ""&gt; 1964 &lt;/ option&gt; &lt;option value ="" 1963 ""&gt; 1963 &lt;/ option&gt; &lt;option value = ""1962""&gt; 1962 &lt;/ option&gt; &lt;option value = ""1961""&gt; 1961 &lt;/ option&gt; &lt;option value = ""1960""&gt; 1960 &lt;/ op tion&gt; &lt;option value = ""1959""&gt; 1959 &lt;/ option&gt; "&amp;"&lt;option value = ""1958""&gt; 1958 &lt;/ option&gt; &lt;option value = ""1957""&gt; 1957 &lt;/ option&gt; &lt;option value = ""1956""&gt; 1956 &lt;/ option&gt; &lt;option value = ""1955""&gt; 1955 &lt;/ option&gt; &lt;option value = ""1954""&gt; 1954 &lt;/ option&gt; &lt;option value = ""1953""&gt; 1953 &lt;/ option&gt; &lt;op"&amp;"tion value = ""1952"" &gt; 1952 &lt;/ option&gt; &lt;option value = ""1951""&gt; 1951 &lt;/ option&gt; &lt;option value = ""1950""&gt; 1950 &lt;/ option&gt; &lt;option value = ""1949""&gt; 1949 &lt;/ option&gt; &lt;option value = "" 1948 ""&gt; 1948 &lt;/ option&gt; &lt;option value ="" 1947 ""&gt; 1947 &lt;/ option&gt; &lt;o"&amp;"ption value ="" 1946 ""&gt; 1946 &lt;/ option&gt; &lt;option value ="" 1945 ""&gt; 1945 &lt;/ option&gt; &lt;value option = ""1944""&gt; 1944 &lt;/ option&gt; &lt;option value = ""1943""&gt; 1943 &lt;/ option&gt; &lt;option value = ""1942""&gt; 1942 &lt;/ option&gt; &lt;option value = ""1941""&gt; 1941 &lt;/ option&gt; &lt; o"&amp;"ption value = ""1940""&gt; 1940 &lt;/ option&gt; &lt;option value = ""1939""&gt; 1939 &lt;/ option&gt; &lt;option value = ""1938""&gt; 1938 &lt;/ option&gt; &lt;option value = ""1937""&gt; 1937 &lt;/ option &gt; &lt;option value = ""1936""&gt; 1936 &lt;/ option&gt; &lt;option value = ""1935""&gt; 1935 &lt;/ option&gt; &lt;opt"&amp;"ion value = ""1934""&gt; 1934 &lt;/ option&gt; &lt;option value = ""1933""&gt; 1933 &lt; / option&gt; &lt;option value = ""1932""&gt; 1932 &lt;/ option&gt; &lt;option value = ""1931""&gt; 1931 &lt;/ option&gt; &lt;option v alue = ""1930""&gt; 1930 &lt;/ option&gt; &lt;option value = ""1929""&gt; 1929 &lt;/ option&gt; &lt;opti"&amp;"on value = ""1928""&gt; 1928 &lt;/ option&gt; &lt;option value = ""1927""&gt; 1927 &lt;/ option&gt; &lt;option value = ""1926""&gt; 1926 &lt;/ option&gt; &lt;option value = ""1925""&gt; 1925 &lt;/ option&gt; &lt;option value = ""1924""&gt; 1924 &lt;/ option&gt; &lt;option value = ""1923""&gt; 1923 &lt;/ option&gt; &lt;option "&amp;"value = ""1922""&gt; 1922 &lt;/ option&gt; &lt;option value = ""1921""&gt; 1921 &lt;/ option&gt; &lt;option value = ""1920""&gt; 1920 &lt;/ option&gt; &lt;option value = ""1919""&gt; 1919 &lt;/ option&gt; &lt;option value = ""1918""&gt; 1918 &lt;/ option&gt; &lt;option value = ""1917""&gt; 1917 &lt;/ option&gt; &lt;option val"&amp;"ue = ""1916""&gt; 1916 &lt;/ option&gt; &lt;option value = ""1915"" &gt; 1915 &lt;/ option&gt; &lt;option value = ""1914""&gt; 1914 &lt;/ option&gt; &lt;option value = ""1913""&gt; 1913 &lt;/ option&gt; &lt;option value = ""1912""&gt; 1912 &lt;/ option&gt; &lt;option value = "" 1911 ""&gt; 1911 &lt;/ option&gt; &lt;option val"&amp;"ue ="" 1910 ""&gt; 1910 &lt;/ option&gt; &lt;option value ="" 1909 ""&gt; 1909 &lt;/ option&gt; &lt;option value ="" 1908 ""&gt; 1908 &lt;/ option&gt; &lt;value option = ""1907""&gt; 1907 &lt;/ option&gt; &lt;option value = ""1906""&gt; 1906 &lt;/ option&gt; &lt;option value = ""1905""&gt; 1905 &lt;/ option&gt; &lt;option val"&amp;"ue = ""1904""&gt; 1904 &lt;/ option&gt; &lt; option value = ""1903""&gt; 1903 &lt;/ option&gt; &lt;option value = ""1902""&gt; 1902 &lt;/ option&gt; &lt;option value = ""1901""&gt; 19 01 &lt;/ option&gt; &lt;option value = ""1900""&gt; 1900 &lt;/ option&gt; &lt;/ select&gt; &lt;div tabindex = ""- 1"" class = ""airy-age-"&amp;"gate-submit airy-submit-button airy airy-submit- disabled ""&gt; Submit &lt;/ div&gt; &lt;/ div&gt; &lt;/ div&gt; &lt;/ div&gt; &lt;/ div&gt; &lt;/ div&gt; &lt;div tabindex ="" - 1 ""class ="" airy-install-flash-dialog airy-stage airy -vertical-centering-table-dialog airy airy-denied ""style ="" "&amp;"opacity: 0; visibility: hidden; ""&gt; &lt;div tabindex ="" - 1 ""class ="" airy-install-flash-Vertical-centering-table-cell airy-Vertical-centering-table-cell ""&gt; &lt;div tabindex ="" - 1 ""class = ""airy-Vertical-centering-wrapper airy-install-flash-elements-wra"&amp;"pper""&gt; &lt;div tabindex = ""- 1"" class = ""airy-install-flash-elements airy-dialog-elements""&gt; &lt;div tabindex = "" -1 ""class ="" airy-install-flash-prompt ""&gt; Adobe Flash Player is required to watch this video &lt;/ div&gt; &lt;div tabindex =."" - 1 ""class ="" air"&amp;"y-install-flash-button-wrapper airy -dialog-inner-elements ""&gt; &lt;div tabindex ="" - 1 ""class ="" airy-install-flash-button airy-button ""&gt; install Flash Player &lt;/ div&gt; &lt;/ div&gt; &lt;/ div&gt; &lt;/ div&gt; &lt;/ div&gt; &lt;/ div&gt; &lt;div tabindex = ""- 1"" class = ""airy-video-un"&amp;"supported-dialog airy-stage airy-Vertical-centering-table airy-dialog airy-denied"" style = ""opacity: 0; visibility: hidden; ""&gt; &lt;div tabindex ="" - 1 ""class ="" airy-video-unsupported-Vertical-centering-table-cell airy-Vertical-centering-table-cell ""&gt;"&amp;" &lt;div tabindex ="" - 1 ""class = ""airy-Vertical-centering-wrapper airy-video-unsupported-elements-wrapper""&gt; &lt;div tabindex = ""- 1"" class = ""airy-video-unsupported-elements airy-dialog-elements""&gt; &lt;div tabindex = "" -1 ""class ="" airy-video-unsupporte"&amp;"d-prompt ""&gt; &lt;/ div&gt; &lt;/ div&gt; &lt;/ div&gt; &lt;/ div&gt; &lt;/ div&gt; &lt;div tabindex ="" - 1 ""class ="" airy-loading- spinner-stage airy-stage ""&gt; &lt;div tabindex ="" - 1 ""class ="" airy-loading-spinner-Vertical-centering-table-cell airy-Vertical-centering-table-cell ""&gt; &lt;"&amp;"div tabindex ="" - 1 ""class ="" airy-loading-spinner-container airy-scalable-hint-container ""&gt; &lt;div tabindex ="" - 1 ""class ="" airy-loading-spinner-dummy airy-scalable-dummy ""&gt; &lt;/ div&gt; &lt; div tabindex = ""- 1"" class = ""airy-loading-spinner airy-hint"&amp;""" style = ""visibility: hidden;""&gt; &lt;/ div&gt; &lt;/ div&gt; &lt;/ div&gt; &lt;/ div&gt; &lt;div tabindex = ""- 1 ""class ="" airy-ads-screen-size-toggle airy-screen-size-toggle-fullscreen airy ""style ="" visibility: hidden; ""&gt; &lt;/ div&gt; &lt;div tabindex = ""-1"" class = ""airy-ad-"&amp;"prompt-container"" style = ""visibility: hidden;""&gt; &lt;div tabindex = ""- 1"" class = ""airy-ad-prompt-Vertical-centering-table-vertically airy centering-table ""&gt; &lt;div tabindex ="" - 1 ""class ="" airy-ad-prompt-Vertical-centering-table-cell airy-Vertical-"&amp;"centering-table-cell ""&gt; &lt;div tabindex ="" - 1 ""class = ""airy-ad-prompt-label""&gt; &lt;/ div&gt; &lt;/ div&gt; &lt;/ div&gt; &lt;/ div&gt; &lt;div tabindex = ""- 1"" class = ""airy-ads-controls-container"" style = ""visibility: hidden; ""&gt; &lt;div tabindex ="" - 1 ""class ="" airy-ads"&amp;"-audio-toggle airy-audio-toggle airy-on ""style ="" visibility: hidden; ""&gt; &lt;/ div&gt; &lt;div tabindex ="" - 1 ""class ="" airy-time-remaining-label-container ""&gt; &lt;div tabindex ="" - 1 ""class ="" airy-time-remaining-Vertical-centering-table airy-Vertical-cent"&amp;"ering-table ""&gt; &lt;div tabindex = ""- 1"" class = ""airy-time-remaining-Vertical-centering-table-cell airy-Vertical-centering-table-cell""&gt; &lt;div tabindex = ""- 1"" class = ""airy-Vertical-centering-wrapper airy-time-remaining-label-wrapper ""&gt; &lt;div tabindex"&amp;" ="" - 1 ""class ="" airy-time-remaining-label ""style ="" visibility: hidden; ""&gt; &lt;/ div&gt; &lt;div tabi ndex = ""- 1"" class = ""airy-ad-skip"" style = ""visibility: hidden;""&gt; &lt;/ div&gt; &lt;div tabindex = ""- 1"" class = ""airy-ad-end"" style = ""visibility: hid"&amp;"den ""&gt; &lt;/ div&gt; &lt;/ div&gt; &lt;/ div&gt; &lt;/ div&gt; &lt;/ div&gt; &lt;div tabindex ="" - 1 ""class ="" airy-learn-more ""style ="" visibility: hidden; ""&gt; &lt;/ div&gt; &lt;/ div&gt; &lt;div tabindex = ""- 1"" class = ""airy-play-toggle-hint-stage airy-stage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-toggle-hint hint airy-airy-play-hint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images-eu ."&amp;"ssl-images-amazon.com / images / I / E1cQ0 + BqjfS.mp4 ""Class ="" video-url ""&gt; &lt;input type ="" hidden ""name ="" ""value ="" https://images-eu.ssl-images-amazon.com/images/I/A1RlhBJdLOS.png ""class ="" video-slate-img-url ""&gt; &amp; nbsp; I really liked thei"&amp;"r sound quality for the little ones that they are really good enough for the price, recommended 100%")</f>
        <v>Best wireless headphones &lt;div id = "video-block-R3926FP8AP6CQ5" class = "a-section a-spacing-small a-spacing-top mini video-block"&gt; &lt;div tabindex = "0" class = "airy airy -svg vmin-unsupported airy-skin-beacon "style =" background-color: rgb (0, 0, 0) position: relative; width: 100%; height: 100%; font-size: 0px; overflow: hidden ; outline: none; "&gt; &lt;div class =" airy-renderer-container "style =" position: relative; height: 100%; width: 100%; "&gt; &lt;video id =" 118 "preload =" auto "src = "https://images-eu.ssl-images-amazon.com/images/I/E1cQ0+BqjfS.mp4" style = "position: absolute; left: 0px; top: 0px; overflow: hidden; height: 1px ; width: 1px; "&gt; &lt;/ video&gt; &lt;/ div&gt; &lt;div id =" airy-slate-preload "style =" background-color: rgb (0, 0, 0); background-image: url (&amp; quot; https://images-eu.ssl-images-amazon.com/images/I/A1RlhBJdLOS.png&amp;quot;); background-size: Contain; background-position: center center; background-repeat: no-repeat; position: absolute ; top: 0px; left: 0px; visibility: visible; width: 100%; height: 100%; " &gt; &lt;/ Div&gt; &lt;iframe scrolling = "no" frameborder = "0" src = "about: blank" style = "display: none;"&gt; &lt;/ iframe&gt; &lt;div tabindex = "- 1" class = "airy- 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E1cQ0 + BqjfS.mp4 "Class =" video-url "&gt; &lt;input type =" hidden "name =" "value =" https://images-eu.ssl-images-amazon.com/images/I/A1RlhBJdLOS.png "class =" video-slate-img-url "&gt; &amp; nbsp; I really liked their sound quality for the little ones that they are really good enough for the price, recommended 100%</v>
      </c>
    </row>
    <row r="15879">
      <c r="A15879" s="1">
        <v>5.0</v>
      </c>
      <c r="B15879" s="1" t="s">
        <v>15732</v>
      </c>
      <c r="C15879" t="str">
        <f>IFERROR(__xludf.DUMMYFUNCTION("GOOGLETRANSLATE(B15879, ""es"", ""en"")"),"Good quality materials and good price. First desdtacr the finish of the traps is very good. The cuts are precise and perfectly straight. Foam traps perceived good quality and good density. Without more professional medidad if I can say that the foam is no"&amp;"t typical of the Chinese but the consistency and texture are palpated firm. As for the result, with only two placed in the top corners of the room on the wall opposite the speakers I have noticed a major change to the point that previously had to cover wi"&amp;"th foam bass reflex boxes now not because the ball severe that formed not formed. They are aesthetically quite spectacular. Very happy with the purchase.")</f>
        <v>Good quality materials and good price. First desdtacr the finish of the traps is very good. The cuts are precise and perfectly straight. Foam traps perceived good quality and good density. Without more professional medidad if I can say that the foam is not typical of the Chinese but the consistency and texture are palpated firm. As for the result, with only two placed in the top corners of the room on the wall opposite the speakers I have noticed a major change to the point that previously had to cover with foam bass reflex boxes now not because the ball severe that formed not formed. They are aesthetically quite spectacular. Very happy with the purchase.</v>
      </c>
    </row>
    <row r="15880">
      <c r="A15880" s="1">
        <v>5.0</v>
      </c>
      <c r="B15880" s="1" t="s">
        <v>15733</v>
      </c>
      <c r="C15880" t="str">
        <f>IFERROR(__xludf.DUMMYFUNCTION("GOOGLETRANSLATE(B15880, ""es"", ""en"")"),"As in the description Good product, all ok")</f>
        <v>As in the description Good product, all ok</v>
      </c>
    </row>
    <row r="15881">
      <c r="A15881" s="1">
        <v>5.0</v>
      </c>
      <c r="B15881" s="1" t="s">
        <v>15734</v>
      </c>
      <c r="C15881" t="str">
        <f>IFERROR(__xludf.DUMMYFUNCTION("GOOGLETRANSLATE(B15881, ""es"", ""en"")"),"Underpants I have several of this brand and leveraging that were on offer made the purchase and have been satisfied. I recommend this product to customers.")</f>
        <v>Underpants I have several of this brand and leveraging that were on offer made the purchase and have been satisfied. I recommend this product to customers.</v>
      </c>
    </row>
    <row r="15882">
      <c r="A15882" s="1">
        <v>5.0</v>
      </c>
      <c r="B15882" s="1" t="s">
        <v>15735</v>
      </c>
      <c r="C15882" t="str">
        <f>IFERROR(__xludf.DUMMYFUNCTION("GOOGLETRANSLATE(B15882, ""es"", ""en"")"),"I recommend that price and quality as expected, very comfortable.")</f>
        <v>I recommend that price and quality as expected, very comfortable.</v>
      </c>
    </row>
    <row r="15883">
      <c r="A15883" s="1">
        <v>5.0</v>
      </c>
      <c r="B15883" s="1" t="s">
        <v>15736</v>
      </c>
      <c r="C15883" t="str">
        <f>IFERROR(__xludf.DUMMYFUNCTION("GOOGLETRANSLATE(B15883, ""es"", ""en"")"),"Perfect Very good quality and better delivery than expected")</f>
        <v>Perfect Very good quality and better delivery than expected</v>
      </c>
    </row>
    <row r="15884">
      <c r="A15884" s="1">
        <v>5.0</v>
      </c>
      <c r="B15884" s="1" t="s">
        <v>15737</v>
      </c>
      <c r="C15884" t="str">
        <f>IFERROR(__xludf.DUMMYFUNCTION("GOOGLETRANSLATE(B15884, ""es"", ""en"")"),"I expected I know my size in Asics and they have not disappointed")</f>
        <v>I expected I know my size in Asics and they have not disappointed</v>
      </c>
    </row>
    <row r="15885">
      <c r="A15885" s="1">
        <v>5.0</v>
      </c>
      <c r="B15885" s="1" t="s">
        <v>15738</v>
      </c>
      <c r="C15885" t="str">
        <f>IFERROR(__xludf.DUMMYFUNCTION("GOOGLETRANSLATE(B15885, ""es"", ""en"")"),"Perfect 100% recommended")</f>
        <v>Perfect 100% recommended</v>
      </c>
    </row>
    <row r="15886">
      <c r="A15886" s="1">
        <v>5.0</v>
      </c>
      <c r="B15886" s="1" t="s">
        <v>15739</v>
      </c>
      <c r="C15886" t="str">
        <f>IFERROR(__xludf.DUMMYFUNCTION("GOOGLETRANSLATE(B15886, ""es"", ""en"")"),"Good value for money is the second case I buy. The use for a hard drive WD 2TB and fits the USB cable perfecincluido")</f>
        <v>Good value for money is the second case I buy. The use for a hard drive WD 2TB and fits the USB cable perfecincluido</v>
      </c>
    </row>
    <row r="15887">
      <c r="A15887" s="1">
        <v>5.0</v>
      </c>
      <c r="B15887" s="1" t="s">
        <v>15740</v>
      </c>
      <c r="C15887" t="str">
        <f>IFERROR(__xludf.DUMMYFUNCTION("GOOGLETRANSLATE(B15887, ""es"", ""en"")"),"They sound very good very quickly came to the opening the box I constuccion du note that your quality is. It is perfectly linked with mobil as lmpuse music was in awe. Excellent sound and have the phone microphone can speak clearly. I recom 100x100")</f>
        <v>They sound very good very quickly came to the opening the box I constuccion du note that your quality is. It is perfectly linked with mobil as lmpuse music was in awe. Excellent sound and have the phone microphone can speak clearly. I recom 100x100</v>
      </c>
    </row>
    <row r="15888">
      <c r="A15888" s="1">
        <v>5.0</v>
      </c>
      <c r="B15888" s="1" t="s">
        <v>15741</v>
      </c>
      <c r="C15888" t="str">
        <f>IFERROR(__xludf.DUMMYFUNCTION("GOOGLETRANSLATE(B15888, ""es"", ""en"")"),"Excellent heat is great and super fast !!!")</f>
        <v>Excellent heat is great and super fast !!!</v>
      </c>
    </row>
    <row r="15889">
      <c r="A15889" s="1">
        <v>5.0</v>
      </c>
      <c r="B15889" s="1" t="s">
        <v>15742</v>
      </c>
      <c r="C15889" t="str">
        <f>IFERROR(__xludf.DUMMYFUNCTION("GOOGLETRANSLATE(B15889, ""es"", ""en"")"),"Nice design very comfortable, very good material and super comfortable.")</f>
        <v>Nice design very comfortable, very good material and super comfortable.</v>
      </c>
    </row>
    <row r="15890">
      <c r="A15890" s="1">
        <v>5.0</v>
      </c>
      <c r="B15890" s="1" t="s">
        <v>15743</v>
      </c>
      <c r="C15890" t="str">
        <f>IFERROR(__xludf.DUMMYFUNCTION("GOOGLETRANSLATE(B15890, ""es"", ""en"")"),"Great practical, light and easy to use. If I recommend it.")</f>
        <v>Great practical, light and easy to use. If I recommend it.</v>
      </c>
    </row>
    <row r="15891">
      <c r="A15891" s="1">
        <v>5.0</v>
      </c>
      <c r="B15891" s="1" t="s">
        <v>15744</v>
      </c>
      <c r="C15891" t="str">
        <f>IFERROR(__xludf.DUMMYFUNCTION("GOOGLETRANSLATE(B15891, ""es"", ""en"")"),"Smart is perfect for day to day city, light, comfortable, functional and elegant. It is very good material and has three options hitch at the rear, to take as you like")</f>
        <v>Smart is perfect for day to day city, light, comfortable, functional and elegant. It is very good material and has three options hitch at the rear, to take as you like</v>
      </c>
    </row>
    <row r="15892">
      <c r="A15892" s="1">
        <v>5.0</v>
      </c>
      <c r="B15892" s="1" t="s">
        <v>15745</v>
      </c>
      <c r="C15892" t="str">
        <f>IFERROR(__xludf.DUMMYFUNCTION("GOOGLETRANSLATE(B15892, ""es"", ""en"")"),"You will not regret it! 😊 I decided to buy this kettle by the amount of good opinions I had this and the overall brand. I've been using a few weeks before writing my opinion and I can say it is amazing 👌🏼. Very easy to use, yet it comes with instructio"&amp;"ns that you explained very well operation and care. Certainly I recommend it 100%, you will not regret.")</f>
        <v>You will not regret it! 😊 I decided to buy this kettle by the amount of good opinions I had this and the overall brand. I've been using a few weeks before writing my opinion and I can say it is amazing 👌🏼. Very easy to use, yet it comes with instructions that you explained very well operation and care. Certainly I recommend it 100%, you will not regret.</v>
      </c>
    </row>
    <row r="15893">
      <c r="A15893" s="1">
        <v>5.0</v>
      </c>
      <c r="B15893" s="1" t="s">
        <v>15746</v>
      </c>
      <c r="C15893" t="str">
        <f>IFERROR(__xludf.DUMMYFUNCTION("GOOGLETRANSLATE(B15893, ""es"", ""en"")"),"Eselente Very nice")</f>
        <v>Eselente Very nice</v>
      </c>
    </row>
    <row r="15894">
      <c r="A15894" s="1">
        <v>5.0</v>
      </c>
      <c r="B15894" s="1" t="s">
        <v>15747</v>
      </c>
      <c r="C15894" t="str">
        <f>IFERROR(__xludf.DUMMYFUNCTION("GOOGLETRANSLATE(B15894, ""es"", ""en"")"),"Earrings Very nice")</f>
        <v>Earrings Very nice</v>
      </c>
    </row>
    <row r="15895">
      <c r="A15895" s="1">
        <v>5.0</v>
      </c>
      <c r="B15895" s="1" t="s">
        <v>15748</v>
      </c>
      <c r="C15895" t="str">
        <f>IFERROR(__xludf.DUMMYFUNCTION("GOOGLETRANSLATE(B15895, ""es"", ""en"")"),"Very good quality XLR connectors I bought these because I have an external recorder Zoom H4n, which has two inputs of the same type. Sometimes record short and connected to a Rode NTG-2. Cable very well built and quality grade. Three meter cable that come"&amp;"s in handy when used with a pole.")</f>
        <v>Very good quality XLR connectors I bought these because I have an external recorder Zoom H4n, which has two inputs of the same type. Sometimes record short and connected to a Rode NTG-2. Cable very well built and quality grade. Three meter cable that comes in handy when used with a pole.</v>
      </c>
    </row>
    <row r="15896">
      <c r="A15896" s="1">
        <v>5.0</v>
      </c>
      <c r="B15896" s="1" t="s">
        <v>15749</v>
      </c>
      <c r="C15896" t="str">
        <f>IFERROR(__xludf.DUMMYFUNCTION("GOOGLETRANSLATE(B15896, ""es"", ""en"")"),"Very practical very good finish and very practical. It has the ideal size for a tablet of 9.7 ""and has enough compartments.")</f>
        <v>Very practical very good finish and very practical. It has the ideal size for a tablet of 9.7 "and has enough compartments.</v>
      </c>
    </row>
    <row r="15897">
      <c r="A15897" s="1">
        <v>2.0</v>
      </c>
      <c r="B15897" s="1" t="s">
        <v>15750</v>
      </c>
      <c r="C15897" t="str">
        <f>IFERROR(__xludf.DUMMYFUNCTION("GOOGLETRANSLATE(B15897, ""es"", ""en"")"),"It makes noise I've used two months of very little use and has started making noise. Should I contact warranty?")</f>
        <v>It makes noise I've used two months of very little use and has started making noise. Should I contact warranty?</v>
      </c>
    </row>
    <row r="15898">
      <c r="A15898" s="1">
        <v>3.0</v>
      </c>
      <c r="B15898" s="1" t="s">
        <v>15751</v>
      </c>
      <c r="C15898" t="str">
        <f>IFERROR(__xludf.DUMMYFUNCTION("GOOGLETRANSLATE(B15898, ""es"", ""en"")"),"Do not expect good cloths are of good quality. But they do their job. Buenos cloths. Maybe if washed become softer ... I do not know")</f>
        <v>Do not expect good cloths are of good quality. But they do their job. Buenos cloths. Maybe if washed become softer ... I do not know</v>
      </c>
    </row>
    <row r="15899">
      <c r="A15899" s="1">
        <v>3.0</v>
      </c>
      <c r="B15899" s="1" t="s">
        <v>15752</v>
      </c>
      <c r="C15899" t="str">
        <f>IFERROR(__xludf.DUMMYFUNCTION("GOOGLETRANSLATE(B15899, ""es"", ""en"")"),"Pour the liquid I used a second time and although well ajuatado to the start liquefy liquid spilled and into the base and out the liquid below. Now I have to see if it works when you use it again. Take care not exceed the maximum line")</f>
        <v>Pour the liquid I used a second time and although well ajuatado to the start liquefy liquid spilled and into the base and out the liquid below. Now I have to see if it works when you use it again. Take care not exceed the maximum line</v>
      </c>
    </row>
    <row r="15900">
      <c r="A15900" s="1">
        <v>1.0</v>
      </c>
      <c r="B15900" s="1" t="s">
        <v>15753</v>
      </c>
      <c r="C15900" t="str">
        <f>IFERROR(__xludf.DUMMYFUNCTION("GOOGLETRANSLATE(B15900, ""es"", ""en"")"),"CRISTINA Good afternoon, according to the description of this product had to ask Brazil 35-36 corresponding to 38 Spanish and I have outgrown. Can you do something about it???. Thank you")</f>
        <v>CRISTINA Good afternoon, according to the description of this product had to ask Brazil 35-36 corresponding to 38 Spanish and I have outgrown. Can you do something about it???. Thank you</v>
      </c>
    </row>
    <row r="15901">
      <c r="A15901" s="1">
        <v>1.0</v>
      </c>
      <c r="B15901" s="1" t="s">
        <v>15754</v>
      </c>
      <c r="C15901" t="str">
        <f>IFERROR(__xludf.DUMMYFUNCTION("GOOGLETRANSLATE(B15901, ""es"", ""en"")"),"They do not say but is not compatible with OLEDs based firm did not say but is not compatible with OLEDs firm base. I have not reached even open. Returned")</f>
        <v>They do not say but is not compatible with OLEDs based firm did not say but is not compatible with OLEDs firm base. I have not reached even open. Returned</v>
      </c>
    </row>
    <row r="15902">
      <c r="A15902" s="1">
        <v>1.0</v>
      </c>
      <c r="B15902" s="1" t="s">
        <v>15755</v>
      </c>
      <c r="C15902" t="str">
        <f>IFERROR(__xludf.DUMMYFUNCTION("GOOGLETRANSLATE(B15902, ""es"", ""en"")"),"Bad, very bad. In choosing a new teapot I have sought a mark which was known. I chose this model and has been a disappointment. Its shape does not allow the water comes out well, and the clip tip pressure is released after a few months.")</f>
        <v>Bad, very bad. In choosing a new teapot I have sought a mark which was known. I chose this model and has been a disappointment. Its shape does not allow the water comes out well, and the clip tip pressure is released after a few months.</v>
      </c>
    </row>
    <row r="15903">
      <c r="A15903" s="1">
        <v>4.0</v>
      </c>
      <c r="B15903" s="1" t="s">
        <v>15756</v>
      </c>
      <c r="C15903" t="str">
        <f>IFERROR(__xludf.DUMMYFUNCTION("GOOGLETRANSLATE(B15903, ""es"", ""en"")"),"They give a lot of size are the original Converse undoubtedly worse if it is for a girl or woman with thin skin care because carve very high, very wide")</f>
        <v>They give a lot of size are the original Converse undoubtedly worse if it is for a girl or woman with thin skin care because carve very high, very wide</v>
      </c>
    </row>
    <row r="15904">
      <c r="A15904" s="1">
        <v>4.0</v>
      </c>
      <c r="B15904" s="1" t="s">
        <v>15757</v>
      </c>
      <c r="C15904" t="str">
        <f>IFERROR(__xludf.DUMMYFUNCTION("GOOGLETRANSLATE(B15904, ""es"", ""en"")"),"Useful for clothing and school materials useful as a marker replacement clothes. So we should not buy the whole score again")</f>
        <v>Useful for clothing and school materials useful as a marker replacement clothes. So we should not buy the whole score again</v>
      </c>
    </row>
    <row r="15905">
      <c r="A15905" s="1">
        <v>4.0</v>
      </c>
      <c r="B15905" s="1" t="s">
        <v>15758</v>
      </c>
      <c r="C15905" t="str">
        <f>IFERROR(__xludf.DUMMYFUNCTION("GOOGLETRANSLATE(B15905, ""es"", ""en"")"),"It works great and is very quick look at your hard drive this is just to have the windows and start in less than 30 seconds. What I have put into this computer 15 years ago (todabia brings ide hard drives but also s-ata) and now'll quickly turn it on. And"&amp;" best for a ridiculous price. That if you do not expect or manually insturciones or anything like that. Hard drive comes in a cardboard box and now.")</f>
        <v>It works great and is very quick look at your hard drive this is just to have the windows and start in less than 30 seconds. What I have put into this computer 15 years ago (todabia brings ide hard drives but also s-ata) and now'll quickly turn it on. And best for a ridiculous price. That if you do not expect or manually insturciones or anything like that. Hard drive comes in a cardboard box and now.</v>
      </c>
    </row>
    <row r="15906">
      <c r="A15906" s="1">
        <v>4.0</v>
      </c>
      <c r="B15906" s="1" t="s">
        <v>15759</v>
      </c>
      <c r="C15906" t="str">
        <f>IFERROR(__xludf.DUMMYFUNCTION("GOOGLETRANSLATE(B15906, ""es"", ""en"")"),"Shoe comfortable and beautifully designed. It is a comfortable shoe suitable for walking. It has a wide width and a very soft sole. The chosen color is gorgeous and very practical and beautiful design. The only qualification is advisable means perdir numb"&amp;"er over which was commonly used as they give little size.")</f>
        <v>Shoe comfortable and beautifully designed. It is a comfortable shoe suitable for walking. It has a wide width and a very soft sole. The chosen color is gorgeous and very practical and beautiful design. The only qualification is advisable means perdir number over which was commonly used as they give little size.</v>
      </c>
    </row>
    <row r="15907">
      <c r="A15907" s="1">
        <v>4.0</v>
      </c>
      <c r="B15907" s="1" t="s">
        <v>15760</v>
      </c>
      <c r="C15907" t="str">
        <f>IFERROR(__xludf.DUMMYFUNCTION("GOOGLETRANSLATE(B15907, ""es"", ""en"")"),"Carmenchu. They are fine, or fine or coarse, I wish they were all of the same color, yet I will buy more.")</f>
        <v>Carmenchu. They are fine, or fine or coarse, I wish they were all of the same color, yet I will buy more.</v>
      </c>
    </row>
    <row r="15908">
      <c r="A15908" s="1">
        <v>5.0</v>
      </c>
      <c r="B15908" s="1" t="s">
        <v>15761</v>
      </c>
      <c r="C15908" t="str">
        <f>IFERROR(__xludf.DUMMYFUNCTION("GOOGLETRANSLATE(B15908, ""es"", ""en"")"),"Nice and colorful Very nice and fast shipping")</f>
        <v>Nice and colorful Very nice and fast shipping</v>
      </c>
    </row>
    <row r="15909">
      <c r="A15909" s="1">
        <v>5.0</v>
      </c>
      <c r="B15909" s="1" t="s">
        <v>15762</v>
      </c>
      <c r="C15909" t="str">
        <f>IFERROR(__xludf.DUMMYFUNCTION("GOOGLETRANSLATE(B15909, ""es"", ""en"")"),"They are not the first to have good price and superb presentation of the product with fat sponge and spare laces, arrived in the estimated time, recommend")</f>
        <v>They are not the first to have good price and superb presentation of the product with fat sponge and spare laces, arrived in the estimated time, recommend</v>
      </c>
    </row>
    <row r="15910">
      <c r="A15910" s="1">
        <v>5.0</v>
      </c>
      <c r="B15910" s="1" t="s">
        <v>15763</v>
      </c>
      <c r="C15910" t="str">
        <f>IFERROR(__xludf.DUMMYFUNCTION("GOOGLETRANSLATE(B15910, ""es"", ""en"")"),"Originals comfortable for daily and very comfortable")</f>
        <v>Originals comfortable for daily and very comfortable</v>
      </c>
    </row>
    <row r="15911">
      <c r="A15911" s="1">
        <v>5.0</v>
      </c>
      <c r="B15911" s="1" t="s">
        <v>15764</v>
      </c>
      <c r="C15911" t="str">
        <f>IFERROR(__xludf.DUMMYFUNCTION("GOOGLETRANSLATE(B15911, ""es"", ""en"")"),"Great satisfied. Very satisfied. I use it to see the details of my coin collection. I recommend both beginners and professionals.")</f>
        <v>Great satisfied. Very satisfied. I use it to see the details of my coin collection. I recommend both beginners and professionals.</v>
      </c>
    </row>
    <row r="15912">
      <c r="A15912" s="1">
        <v>5.0</v>
      </c>
      <c r="B15912" s="1" t="s">
        <v>15765</v>
      </c>
      <c r="C15912" t="str">
        <f>IFERROR(__xludf.DUMMYFUNCTION("GOOGLETRANSLATE(B15912, ""es"", ""en"")"),"comfort and speed much")</f>
        <v>comfort and speed much</v>
      </c>
    </row>
    <row r="15913">
      <c r="A15913" s="1">
        <v>5.0</v>
      </c>
      <c r="B15913" s="1" t="s">
        <v>15766</v>
      </c>
      <c r="C15913" t="str">
        <f>IFERROR(__xludf.DUMMYFUNCTION("GOOGLETRANSLATE(B15913, ""es"", ""en"")"),"The model I was looking for was the same as in the picture")</f>
        <v>The model I was looking for was the same as in the picture</v>
      </c>
    </row>
    <row r="15914">
      <c r="A15914" s="1">
        <v>5.0</v>
      </c>
      <c r="B15914" s="1" t="s">
        <v>15767</v>
      </c>
      <c r="C15914" t="str">
        <f>IFERROR(__xludf.DUMMYFUNCTION("GOOGLETRANSLATE(B15914, ""es"", ""en"")"),"Fast and convenient it arrived super early and it works great!")</f>
        <v>Fast and convenient it arrived super early and it works great!</v>
      </c>
    </row>
    <row r="15915">
      <c r="A15915" s="1">
        <v>5.0</v>
      </c>
      <c r="B15915" s="1" t="s">
        <v>15768</v>
      </c>
      <c r="C15915" t="str">
        <f>IFERROR(__xludf.DUMMYFUNCTION("GOOGLETRANSLATE(B15915, ""es"", ""en"")"),"I will buy good watch for a friend and after several months you are running and what more can you ask worth it")</f>
        <v>I will buy good watch for a friend and after several months you are running and what more can you ask worth it</v>
      </c>
    </row>
    <row r="15916">
      <c r="A15916" s="1">
        <v>5.0</v>
      </c>
      <c r="B15916" s="1" t="s">
        <v>15769</v>
      </c>
      <c r="C15916" t="str">
        <f>IFERROR(__xludf.DUMMYFUNCTION("GOOGLETRANSLATE(B15916, ""es"", ""en"")"),"Perfect for PS4. Perfect to replace that of a play station 4. works perfectly in a PS4 time on a laptop I did not try. Recommended for PS4 ... The reconditioned and passed through again.")</f>
        <v>Perfect for PS4. Perfect to replace that of a play station 4. works perfectly in a PS4 time on a laptop I did not try. Recommended for PS4 ... The reconditioned and passed through again.</v>
      </c>
    </row>
    <row r="15917">
      <c r="A15917" s="1">
        <v>5.0</v>
      </c>
      <c r="B15917" s="1" t="s">
        <v>15770</v>
      </c>
      <c r="C15917" t="str">
        <f>IFERROR(__xludf.DUMMYFUNCTION("GOOGLETRANSLATE(B15917, ""es"", ""en"")"),"Nice design Nice design, a touch of distinction, easy to adjust and good indoor service, a very good choice unless I get my tablet not")</f>
        <v>Nice design Nice design, a touch of distinction, easy to adjust and good indoor service, a very good choice unless I get my tablet not</v>
      </c>
    </row>
    <row r="15918">
      <c r="A15918" s="1">
        <v>5.0</v>
      </c>
      <c r="B15918" s="1" t="s">
        <v>15771</v>
      </c>
      <c r="C15918" t="str">
        <f>IFERROR(__xludf.DUMMYFUNCTION("GOOGLETRANSLATE(B15918, ""es"", ""en"")"),"Very good degreaser. An excellent product. I use to clean a professional iron, and eliminates fat in an extraordinary way. I am very happy with the purchase.")</f>
        <v>Very good degreaser. An excellent product. I use to clean a professional iron, and eliminates fat in an extraordinary way. I am very happy with the purchase.</v>
      </c>
    </row>
    <row r="15919">
      <c r="A15919" s="1">
        <v>5.0</v>
      </c>
      <c r="B15919" s="1" t="s">
        <v>15772</v>
      </c>
      <c r="C15919" t="str">
        <f>IFERROR(__xludf.DUMMYFUNCTION("GOOGLETRANSLATE(B15919, ""es"", ""en"")"),"Quality and style I bought this watch to give to my boyfriend for Reyes. (Although I think I wear it well.) The truth is I loved the retro style and options you have. For me Casio is a trusted brand and durability, is not the first thing. Is a clock that "&amp;"holds the trot of the day with a nice design. A total success !!")</f>
        <v>Quality and style I bought this watch to give to my boyfriend for Reyes. (Although I think I wear it well.) The truth is I loved the retro style and options you have. For me Casio is a trusted brand and durability, is not the first thing. Is a clock that holds the trot of the day with a nice design. A total success !!</v>
      </c>
    </row>
    <row r="15920">
      <c r="A15920" s="1">
        <v>5.0</v>
      </c>
      <c r="B15920" s="1" t="s">
        <v>15773</v>
      </c>
      <c r="C15920" t="str">
        <f>IFERROR(__xludf.DUMMYFUNCTION("GOOGLETRANSLATE(B15920, ""es"", ""en"")"),"I love small and powerful. Before I had a big one and no more was needed. This is small and cute, looks nice in the kitchen, and heats the water very fast.")</f>
        <v>I love small and powerful. Before I had a big one and no more was needed. This is small and cute, looks nice in the kitchen, and heats the water very fast.</v>
      </c>
    </row>
    <row r="15921">
      <c r="A15921" s="1">
        <v>5.0</v>
      </c>
      <c r="B15921" s="1" t="s">
        <v>15774</v>
      </c>
      <c r="C15921" t="str">
        <f>IFERROR(__xludf.DUMMYFUNCTION("GOOGLETRANSLATE(B15921, ""es"", ""en"")"),"The perfect quality is good. It corresponds to the description. The originals are priced a little lower than in stores")</f>
        <v>The perfect quality is good. It corresponds to the description. The originals are priced a little lower than in stores</v>
      </c>
    </row>
    <row r="15922">
      <c r="A15922" s="1">
        <v>5.0</v>
      </c>
      <c r="B15922" s="1" t="s">
        <v>15775</v>
      </c>
      <c r="C15922" t="str">
        <f>IFERROR(__xludf.DUMMYFUNCTION("GOOGLETRANSLATE(B15922, ""es"", ""en"")"),"exfoliant fantastic I loved! leaves the skin soft")</f>
        <v>exfoliant fantastic I loved! leaves the skin soft</v>
      </c>
    </row>
    <row r="15923">
      <c r="A15923" s="1">
        <v>5.0</v>
      </c>
      <c r="B15923" s="1" t="s">
        <v>15776</v>
      </c>
      <c r="C15923" t="str">
        <f>IFERROR(__xludf.DUMMYFUNCTION("GOOGLETRANSLATE(B15923, ""es"", ""en"")"),"A necklace silver necklace very nice, fine and dandy")</f>
        <v>A necklace silver necklace very nice, fine and dandy</v>
      </c>
    </row>
    <row r="15924">
      <c r="A15924" s="1">
        <v>5.0</v>
      </c>
      <c r="B15924" s="1" t="s">
        <v>15777</v>
      </c>
      <c r="C15924" t="str">
        <f>IFERROR(__xludf.DUMMYFUNCTION("GOOGLETRANSLATE(B15924, ""es"", ""en"")"),"good quality good quality glass bottle, and the teat silicone rubber rather good anatomy. no toxic BPA-TPU plastic ....")</f>
        <v>good quality good quality glass bottle, and the teat silicone rubber rather good anatomy. no toxic BPA-TPU plastic ....</v>
      </c>
    </row>
    <row r="15925">
      <c r="A15925" s="1">
        <v>5.0</v>
      </c>
      <c r="B15925" s="1" t="s">
        <v>15778</v>
      </c>
      <c r="C15925" t="str">
        <f>IFERROR(__xludf.DUMMYFUNCTION("GOOGLETRANSLATE(B15925, ""es"", ""en"")"),"A stunning headphones product of a very good quality is perceived nothing unwrap it. Regarding the audio, very pleasantly surprised because the bass are heard very well. I deserved corduroy purchase")</f>
        <v>A stunning headphones product of a very good quality is perceived nothing unwrap it. Regarding the audio, very pleasantly surprised because the bass are heard very well. I deserved corduroy purchase</v>
      </c>
    </row>
    <row r="15926">
      <c r="A15926" s="1">
        <v>5.0</v>
      </c>
      <c r="B15926" s="1" t="s">
        <v>238</v>
      </c>
      <c r="C15926" t="str">
        <f>IFERROR(__xludf.DUMMYFUNCTION("GOOGLETRANSLATE(B15926, ""es"", ""en"")"),"perfect perfect")</f>
        <v>perfect perfect</v>
      </c>
    </row>
    <row r="15927">
      <c r="A15927" s="1">
        <v>2.0</v>
      </c>
      <c r="B15927" s="1" t="s">
        <v>15779</v>
      </c>
      <c r="C15927" t="str">
        <f>IFERROR(__xludf.DUMMYFUNCTION("GOOGLETRANSLATE(B15927, ""es"", ""en"")"),"Very little is not good ... in the picture is not so small brian")</f>
        <v>Very little is not good ... in the picture is not so small brian</v>
      </c>
    </row>
    <row r="15928">
      <c r="A15928" s="1">
        <v>3.0</v>
      </c>
      <c r="B15928" s="1" t="s">
        <v>15780</v>
      </c>
      <c r="C15928" t="str">
        <f>IFERROR(__xludf.DUMMYFUNCTION("GOOGLETRANSLATE(B15928, ""es"", ""en"")"),"Okay okay, but I expected it to be a little more compact. Is very thin so it easily folded.")</f>
        <v>Okay okay, but I expected it to be a little more compact. Is very thin so it easily folded.</v>
      </c>
    </row>
    <row r="15929">
      <c r="A15929" s="1">
        <v>3.0</v>
      </c>
      <c r="B15929" s="1" t="s">
        <v>15781</v>
      </c>
      <c r="C15929" t="str">
        <f>IFERROR(__xludf.DUMMYFUNCTION("GOOGLETRANSLATE(B15929, ""es"", ""en"")"),"Anax took a week taking my pills because I liked him a lot of hair, I do not know if the start of the fall and the truth is that it seems that is working. two capsules daily I take one in the morning and at noon are taken.")</f>
        <v>Anax took a week taking my pills because I liked him a lot of hair, I do not know if the start of the fall and the truth is that it seems that is working. two capsules daily I take one in the morning and at noon are taken.</v>
      </c>
    </row>
    <row r="15930">
      <c r="A15930" s="1">
        <v>1.0</v>
      </c>
      <c r="B15930" s="1" t="s">
        <v>15782</v>
      </c>
      <c r="C15930" t="str">
        <f>IFERROR(__xludf.DUMMYFUNCTION("GOOGLETRANSLATE(B15930, ""es"", ""en"")"),"Disappointment Over half are useless. You expels them from the recorder with a message introducing blank cd")</f>
        <v>Disappointment Over half are useless. You expels them from the recorder with a message introducing blank cd</v>
      </c>
    </row>
    <row r="15931">
      <c r="A15931" s="1">
        <v>1.0</v>
      </c>
      <c r="B15931" s="1" t="s">
        <v>15783</v>
      </c>
      <c r="C15931" t="str">
        <f>IFERROR(__xludf.DUMMYFUNCTION("GOOGLETRANSLATE(B15931, ""es"", ""en"")"),"acceptable quality if you do not get into water !! The quality is pretty good, but the waterproof water is very bad because water gets inside. I am not satisfied with that because it should be water tight. After the cold is going too quickly and strain wi"&amp;"th frozen pier.")</f>
        <v>acceptable quality if you do not get into water !! The quality is pretty good, but the waterproof water is very bad because water gets inside. I am not satisfied with that because it should be water tight. After the cold is going too quickly and strain with frozen pier.</v>
      </c>
    </row>
    <row r="15932">
      <c r="A15932" s="1">
        <v>4.0</v>
      </c>
      <c r="B15932" s="1" t="s">
        <v>15784</v>
      </c>
      <c r="C15932" t="str">
        <f>IFERROR(__xludf.DUMMYFUNCTION("GOOGLETRANSLATE(B15932, ""es"", ""en"")"),"It is exactly what I expected exactly what I was expecting when I received the watch. I like the contrast of the black dial and yellow numbers. perhaps a tad bigger but I knew measures. For this price it's pretty good.")</f>
        <v>It is exactly what I expected exactly what I was expecting when I received the watch. I like the contrast of the black dial and yellow numbers. perhaps a tad bigger but I knew measures. For this price it's pretty good.</v>
      </c>
    </row>
    <row r="15933">
      <c r="A15933" s="1">
        <v>4.0</v>
      </c>
      <c r="B15933" s="1" t="s">
        <v>15785</v>
      </c>
      <c r="C15933" t="str">
        <f>IFERROR(__xludf.DUMMYFUNCTION("GOOGLETRANSLATE(B15933, ""es"", ""en"")"),"A great success is tiny and easy to handle")</f>
        <v>A great success is tiny and easy to handle</v>
      </c>
    </row>
    <row r="15934">
      <c r="A15934" s="1">
        <v>4.0</v>
      </c>
      <c r="B15934" s="1" t="s">
        <v>15786</v>
      </c>
      <c r="C15934" t="str">
        <f>IFERROR(__xludf.DUMMYFUNCTION("GOOGLETRANSLATE(B15934, ""es"", ""en"")"),"Clamp cable broke the cable clip the first time the place")</f>
        <v>Clamp cable broke the cable clip the first time the place</v>
      </c>
    </row>
    <row r="15935">
      <c r="A15935" s="1">
        <v>4.0</v>
      </c>
      <c r="B15935" s="1" t="s">
        <v>15787</v>
      </c>
      <c r="C15935" t="str">
        <f>IFERROR(__xludf.DUMMYFUNCTION("GOOGLETRANSLATE(B15935, ""es"", ""en"")"),"As they describe. They are fine as they are described. Nor hint of allergy. I had a little problem that I did not come and I wrote to the seller. The first told me to wait more (they had already spent more than two weeks). The second time, nearly two week"&amp;"s later told me he sent them back and it was. Month and a half after the purchase they got me.")</f>
        <v>As they describe. They are fine as they are described. Nor hint of allergy. I had a little problem that I did not come and I wrote to the seller. The first told me to wait more (they had already spent more than two weeks). The second time, nearly two weeks later told me he sent them back and it was. Month and a half after the purchase they got me.</v>
      </c>
    </row>
    <row r="15936">
      <c r="A15936" s="1">
        <v>5.0</v>
      </c>
      <c r="B15936" s="1" t="s">
        <v>15788</v>
      </c>
      <c r="C15936" t="str">
        <f>IFERROR(__xludf.DUMMYFUNCTION("GOOGLETRANSLATE(B15936, ""es"", ""en"")"),"Fun and easy gift fun and easy to assemble")</f>
        <v>Fun and easy gift fun and easy to assemble</v>
      </c>
    </row>
    <row r="15937">
      <c r="A15937" s="1">
        <v>5.0</v>
      </c>
      <c r="B15937" s="1" t="s">
        <v>15789</v>
      </c>
      <c r="C15937" t="str">
        <f>IFERROR(__xludf.DUMMYFUNCTION("GOOGLETRANSLATE(B15937, ""es"", ""en"")"),"Good Product Price and Quality 10")</f>
        <v>Good Product Price and Quality 10</v>
      </c>
    </row>
    <row r="15938">
      <c r="A15938" s="1">
        <v>5.0</v>
      </c>
      <c r="B15938" s="1" t="s">
        <v>15790</v>
      </c>
      <c r="C15938" t="str">
        <f>IFERROR(__xludf.DUMMYFUNCTION("GOOGLETRANSLATE(B15938, ""es"", ""en"")"),"Very good. always ended with the wrists pain and I finally solved. soft touch and just padding. Those many hours with keyboard and mouse will thank you. Very happy.")</f>
        <v>Very good. always ended with the wrists pain and I finally solved. soft touch and just padding. Those many hours with keyboard and mouse will thank you. Very happy.</v>
      </c>
    </row>
    <row r="15939">
      <c r="A15939" s="1">
        <v>5.0</v>
      </c>
      <c r="B15939" s="1" t="s">
        <v>15791</v>
      </c>
      <c r="C15939" t="str">
        <f>IFERROR(__xludf.DUMMYFUNCTION("GOOGLETRANSLATE(B15939, ""es"", ""en"")"),"It is good (a month of use) Investigate various vacuum cleaners of this style and ended up buying this. In my opinion it meets what I needed. Aspira: Hairs dogs, small stones, leaves, weeds, dust and breadcrumbs. As for the battery, hard me to clean the e"&amp;"ntire floor (small apartment). I recommend you read the instructions before using it and put it to charge the recommended hours. Took a month of use, the time has 5 stars.")</f>
        <v>It is good (a month of use) Investigate various vacuum cleaners of this style and ended up buying this. In my opinion it meets what I needed. Aspira: Hairs dogs, small stones, leaves, weeds, dust and breadcrumbs. As for the battery, hard me to clean the entire floor (small apartment). I recommend you read the instructions before using it and put it to charge the recommended hours. Took a month of use, the time has 5 stars.</v>
      </c>
    </row>
    <row r="15940">
      <c r="A15940" s="1">
        <v>5.0</v>
      </c>
      <c r="B15940" s="1" t="s">
        <v>15792</v>
      </c>
      <c r="C15940" t="str">
        <f>IFERROR(__xludf.DUMMYFUNCTION("GOOGLETRANSLATE(B15940, ""es"", ""en"")"),"Such beautiful and as expected, look great and they got there ahead of time")</f>
        <v>Such beautiful and as expected, look great and they got there ahead of time</v>
      </c>
    </row>
    <row r="15941">
      <c r="A15941" s="1">
        <v>5.0</v>
      </c>
      <c r="B15941" s="1" t="s">
        <v>15793</v>
      </c>
      <c r="C15941" t="str">
        <f>IFERROR(__xludf.DUMMYFUNCTION("GOOGLETRANSLATE(B15941, ""es"", ""en"")"),"Quality Highly recommended. Good quality and finishes. It is very broad.")</f>
        <v>Quality Highly recommended. Good quality and finishes. It is very broad.</v>
      </c>
    </row>
    <row r="15942">
      <c r="A15942" s="1">
        <v>5.0</v>
      </c>
      <c r="B15942" s="1" t="s">
        <v>15794</v>
      </c>
      <c r="C15942" t="str">
        <f>IFERROR(__xludf.DUMMYFUNCTION("GOOGLETRANSLATE(B15942, ""es"", ""en"")"),"Shoes very warm slippers piping hot house have pelillo inside that gives a lot of heat are very comfortable because the rubber cushioning soles much have a portion of fabric that can bend and down stop ankle not upload above that entertains plus . Very ha"&amp;"ppy with them.")</f>
        <v>Shoes very warm slippers piping hot house have pelillo inside that gives a lot of heat are very comfortable because the rubber cushioning soles much have a portion of fabric that can bend and down stop ankle not upload above that entertains plus . Very happy with them.</v>
      </c>
    </row>
    <row r="15943">
      <c r="A15943" s="1">
        <v>5.0</v>
      </c>
      <c r="B15943" s="1" t="s">
        <v>15795</v>
      </c>
      <c r="C15943" t="str">
        <f>IFERROR(__xludf.DUMMYFUNCTION("GOOGLETRANSLATE(B15943, ""es"", ""en"")"),"It is he likes my baby have tried other bottles and this is the only one who likes my baby keeps breastfeeding work but sometimes you have to take it.")</f>
        <v>It is he likes my baby have tried other bottles and this is the only one who likes my baby keeps breastfeeding work but sometimes you have to take it.</v>
      </c>
    </row>
    <row r="15944">
      <c r="A15944" s="1">
        <v>5.0</v>
      </c>
      <c r="B15944" s="1" t="s">
        <v>15796</v>
      </c>
      <c r="C15944" t="str">
        <f>IFERROR(__xludf.DUMMYFUNCTION("GOOGLETRANSLATE(B15944, ""es"", ""en"")"),"Encantada very comfortable with the purchase, are very comfortable. I have only to say that carve a little big, but I bought some templates and have solved.")</f>
        <v>Encantada very comfortable with the purchase, are very comfortable. I have only to say that carve a little big, but I bought some templates and have solved.</v>
      </c>
    </row>
    <row r="15945">
      <c r="A15945" s="1">
        <v>5.0</v>
      </c>
      <c r="B15945" s="1" t="s">
        <v>748</v>
      </c>
      <c r="C15945" t="str">
        <f>IFERROR(__xludf.DUMMYFUNCTION("GOOGLETRANSLATE(B15945, ""es"", ""en"")"),"perfect Great")</f>
        <v>perfect Great</v>
      </c>
    </row>
    <row r="15946">
      <c r="A15946" s="1">
        <v>5.0</v>
      </c>
      <c r="B15946" s="1" t="s">
        <v>15797</v>
      </c>
      <c r="C15946" t="str">
        <f>IFERROR(__xludf.DUMMYFUNCTION("GOOGLETRANSLATE(B15946, ""es"", ""en"")"),"These perfect not caught at first because the shipping charges were very expensive. I returned other puma bad that I had changed and these and the difference is very noticeable. Comfortable, aesthetic, light, strong, correct size (I wouldnt advise you nor"&amp;"mally usais). The only problem (which really is not) is that the instep is a little tight.")</f>
        <v>These perfect not caught at first because the shipping charges were very expensive. I returned other puma bad that I had changed and these and the difference is very noticeable. Comfortable, aesthetic, light, strong, correct size (I wouldnt advise you normally usais). The only problem (which really is not) is that the instep is a little tight.</v>
      </c>
    </row>
    <row r="15947">
      <c r="A15947" s="1">
        <v>5.0</v>
      </c>
      <c r="B15947" s="1" t="s">
        <v>15798</v>
      </c>
      <c r="C15947" t="str">
        <f>IFERROR(__xludf.DUMMYFUNCTION("GOOGLETRANSLATE(B15947, ""es"", ""en"")"),"It was comfortable for a gift and has been a success. The only thing to note that is not for a person with thin wrist because the bracelet is wide.")</f>
        <v>It was comfortable for a gift and has been a success. The only thing to note that is not for a person with thin wrist because the bracelet is wide.</v>
      </c>
    </row>
    <row r="15948">
      <c r="A15948" s="1">
        <v>5.0</v>
      </c>
      <c r="B15948" s="1" t="s">
        <v>15799</v>
      </c>
      <c r="C15948" t="str">
        <f>IFERROR(__xludf.DUMMYFUNCTION("GOOGLETRANSLATE(B15948, ""es"", ""en"")"),"It WORKS PERFECTLY AS THE ORIGINAL. VERY RCOMENDABLE. It WORKS PERFECTLY AS THE ORIGINAL. HIGHLY RECOMMENDED COLORS AND GOOD PRECIO.VARIOS to distinguish ROTULACION.UTIL and fast shipping THE HASSLE.")</f>
        <v>It WORKS PERFECTLY AS THE ORIGINAL. VERY RCOMENDABLE. It WORKS PERFECTLY AS THE ORIGINAL. HIGHLY RECOMMENDED COLORS AND GOOD PRECIO.VARIOS to distinguish ROTULACION.UTIL and fast shipping THE HASSLE.</v>
      </c>
    </row>
    <row r="15949">
      <c r="A15949" s="1">
        <v>5.0</v>
      </c>
      <c r="B15949" s="1" t="s">
        <v>15800</v>
      </c>
      <c r="C15949" t="str">
        <f>IFERROR(__xludf.DUMMYFUNCTION("GOOGLETRANSLATE(B15949, ""es"", ""en"")"),"Good and elegant helmets What I really liked is that these do not have the typical appearance gaming with everyone was looking for something right and I have found these helmets. As for the sound quality it is very good is also helped by almuadillas that "&amp;"isolate very well and that helps it look like it has a quality and superior sound. The micro is decent is not the best I've tasted okay but nothing that quejares think it has a good relationship between quality and price.")</f>
        <v>Good and elegant helmets What I really liked is that these do not have the typical appearance gaming with everyone was looking for something right and I have found these helmets. As for the sound quality it is very good is also helped by almuadillas that isolate very well and that helps it look like it has a quality and superior sound. The micro is decent is not the best I've tasted okay but nothing that quejares think it has a good relationship between quality and price.</v>
      </c>
    </row>
    <row r="15950">
      <c r="A15950" s="1">
        <v>5.0</v>
      </c>
      <c r="B15950" s="1" t="s">
        <v>15801</v>
      </c>
      <c r="C15950" t="str">
        <f>IFERROR(__xludf.DUMMYFUNCTION("GOOGLETRANSLATE(B15950, ""es"", ""en"")"),"Quiet and fast The album was fairly easy and simple to install, once installed, give a partition that Windows recognizes it, and we already have working. I've spent a crystal disk mark and the results have been pretty good, it gives twice as fast in both "&amp;"writing and reading, comparing with my old hard drive (WD 500GB). Recommendable. The next packaging is quite simple, thought it could have been damaged in shipment, but has been good.")</f>
        <v>Quiet and fast The album was fairly easy and simple to install, once installed, give a partition that Windows recognizes it, and we already have working. I've spent a crystal disk mark and the results have been pretty good, it gives twice as fast in both writing and reading, comparing with my old hard drive (WD 500GB). Recommendable. The next packaging is quite simple, thought it could have been damaged in shipment, but has been good.</v>
      </c>
    </row>
    <row r="15951">
      <c r="A15951" s="1">
        <v>5.0</v>
      </c>
      <c r="B15951" s="1" t="s">
        <v>15802</v>
      </c>
      <c r="C15951" t="str">
        <f>IFERROR(__xludf.DUMMYFUNCTION("GOOGLETRANSLATE(B15951, ""es"", ""en"")"),"As he expected. Quite fine. Fine quality textiles. High-waisted. Very good rubber waist and perforations on the sides. type mesh fabric. They are a little above the knee.")</f>
        <v>As he expected. Quite fine. Fine quality textiles. High-waisted. Very good rubber waist and perforations on the sides. type mesh fabric. They are a little above the knee.</v>
      </c>
    </row>
    <row r="15952">
      <c r="A15952" s="1">
        <v>5.0</v>
      </c>
      <c r="B15952" s="1" t="s">
        <v>15803</v>
      </c>
      <c r="C15952" t="str">
        <f>IFERROR(__xludf.DUMMYFUNCTION("GOOGLETRANSLATE(B15952, ""es"", ""en"")"),"Quality &lt;div id = ""video-block-R244DPNVGKE488"" class = ""a-section a-spacing-small a-spacing-top mini video-block""&gt; &lt;/ div&gt; &lt;input type = ""hidden"" name = """" value = ""https://images-eu.ssl-images-amazon.com/images/I/9127kps0zpS.mp4"" class = ""vide"&amp;"o-url""&gt; &lt;input type = ""hidden"" name = """" value = ""https : //images-eu.ssl-images-amazon.com/images/I/91sYp6WUxbS.png ""class ="" video-slate-img-url ""&gt; &amp; nbsp; is fine. For newborn I see great! Many gracis!")</f>
        <v>Quality &lt;div id = "video-block-R244DPNVGKE488" class = "a-section a-spacing-small a-spacing-top mini video-block"&gt; &lt;/ div&gt; &lt;input type = "hidden" name = "" value = "https://images-eu.ssl-images-amazon.com/images/I/9127kps0zpS.mp4" class = "video-url"&gt; &lt;input type = "hidden" name = "" value = "https : //images-eu.ssl-images-amazon.com/images/I/91sYp6WUxbS.png "class =" video-slate-img-url "&gt; &amp; nbsp; is fine. For newborn I see great! Many gracis!</v>
      </c>
    </row>
    <row r="15953">
      <c r="A15953" s="1">
        <v>5.0</v>
      </c>
      <c r="B15953" s="1" t="s">
        <v>15804</v>
      </c>
      <c r="C15953" t="str">
        <f>IFERROR(__xludf.DUMMYFUNCTION("GOOGLETRANSLATE(B15953, ""es"", ""en"")"),"Comfortably Warm calentitas")</f>
        <v>Comfortably Warm calentitas</v>
      </c>
    </row>
    <row r="15954">
      <c r="A15954" s="1">
        <v>2.0</v>
      </c>
      <c r="B15954" s="1" t="s">
        <v>15805</v>
      </c>
      <c r="C15954" t="str">
        <f>IFERROR(__xludf.DUMMYFUNCTION("GOOGLETRANSLATE(B15954, ""es"", ""en"")"),"Poor quality and are not heard on the one hand very poor quality, especially materials and above on the one hand not heard")</f>
        <v>Poor quality and are not heard on the one hand very poor quality, especially materials and above on the one hand not heard</v>
      </c>
    </row>
    <row r="15955">
      <c r="A15955" s="1">
        <v>3.0</v>
      </c>
      <c r="B15955" s="1" t="s">
        <v>15806</v>
      </c>
      <c r="C15955" t="str">
        <f>IFERROR(__xludf.DUMMYFUNCTION("GOOGLETRANSLATE(B15955, ""es"", ""en"")"),"Rozan some are fine, and are as they are, but just bordering on the upper outside of both feet. Without walking a lot and rub")</f>
        <v>Rozan some are fine, and are as they are, but just bordering on the upper outside of both feet. Without walking a lot and rub</v>
      </c>
    </row>
    <row r="15956">
      <c r="A15956" s="1">
        <v>3.0</v>
      </c>
      <c r="B15956" s="1" t="s">
        <v>15807</v>
      </c>
      <c r="C15956" t="str">
        <f>IFERROR(__xludf.DUMMYFUNCTION("GOOGLETRANSLATE(B15956, ""es"", ""en"")"),"... Price is lying and running is comfortable. That if my use and to the third started with problems, the sound is continually interrupted and the volume is not much scope ...")</f>
        <v>... Price is lying and running is comfortable. That if my use and to the third started with problems, the sound is continually interrupted and the volume is not much scope ...</v>
      </c>
    </row>
    <row r="15957">
      <c r="A15957" s="1">
        <v>1.0</v>
      </c>
      <c r="B15957" s="1" t="s">
        <v>15808</v>
      </c>
      <c r="C15957" t="str">
        <f>IFERROR(__xludf.DUMMYFUNCTION("GOOGLETRANSLATE(B15957, ""es"", ""en"")"),"One would not buy me shoes and broken seeds came out. Although he had not been broken, I did not feel very good quality. I have returned. high price for what it is.")</f>
        <v>One would not buy me shoes and broken seeds came out. Although he had not been broken, I did not feel very good quality. I have returned. high price for what it is.</v>
      </c>
    </row>
    <row r="15958">
      <c r="A15958" s="1">
        <v>1.0</v>
      </c>
      <c r="B15958" s="1" t="s">
        <v>15809</v>
      </c>
      <c r="C15958" t="str">
        <f>IFERROR(__xludf.DUMMYFUNCTION("GOOGLETRANSLATE(B15958, ""es"", ""en"")"),"Returns caution not support returns, not advise and since we have not had to be the sole is off, disgusting")</f>
        <v>Returns caution not support returns, not advise and since we have not had to be the sole is off, disgusting</v>
      </c>
    </row>
    <row r="15959">
      <c r="A15959" s="1">
        <v>4.0</v>
      </c>
      <c r="B15959" s="1" t="s">
        <v>15810</v>
      </c>
      <c r="C15959" t="str">
        <f>IFERROR(__xludf.DUMMYFUNCTION("GOOGLETRANSLATE(B15959, ""es"", ""en"")"),"Ideal Case Large, comfortable and light. Although the color is green, not black and I was disappointed when I received.")</f>
        <v>Ideal Case Large, comfortable and light. Although the color is green, not black and I was disappointed when I received.</v>
      </c>
    </row>
    <row r="15960">
      <c r="A15960" s="1">
        <v>4.0</v>
      </c>
      <c r="B15960" s="1" t="s">
        <v>15811</v>
      </c>
      <c r="C15960" t="str">
        <f>IFERROR(__xludf.DUMMYFUNCTION("GOOGLETRANSLATE(B15960, ""es"", ""en"")"),"Nice quality, a little expensive complies perfectly with the request. right quality, price slightly above complies with realidad.pero offered. ultimately, the product is good and the price is offset by asuminos.Lo perfect service delivery, not websites.")</f>
        <v>Nice quality, a little expensive complies perfectly with the request. right quality, price slightly above complies with realidad.pero offered. ultimately, the product is good and the price is offset by asuminos.Lo perfect service delivery, not websites.</v>
      </c>
    </row>
    <row r="15961">
      <c r="A15961" s="1">
        <v>4.0</v>
      </c>
      <c r="B15961" s="1" t="s">
        <v>15812</v>
      </c>
      <c r="C15961" t="str">
        <f>IFERROR(__xludf.DUMMYFUNCTION("GOOGLETRANSLATE(B15961, ""es"", ""en"")"),"Horma largest recommend getting one or half size smaller than normally used because, otherwise, are quite large.")</f>
        <v>Horma largest recommend getting one or half size smaller than normally used because, otherwise, are quite large.</v>
      </c>
    </row>
    <row r="15962">
      <c r="A15962" s="1">
        <v>4.0</v>
      </c>
      <c r="B15962" s="1" t="s">
        <v>15813</v>
      </c>
      <c r="C15962" t="str">
        <f>IFERROR(__xludf.DUMMYFUNCTION("GOOGLETRANSLATE(B15962, ""es"", ""en"")"),"Good value for money. Poor packaging. The board performs well with its function is not very heavy, it is easy to install with the 4 plugs and 4 screws come, painted and cleared well in it and is magnetic. The star that is on the packaging. The first unit "&amp;"arrived I requested departure as a carton is all that ""protects"" a product as complicated to manipulate its size.")</f>
        <v>Good value for money. Poor packaging. The board performs well with its function is not very heavy, it is easy to install with the 4 plugs and 4 screws come, painted and cleared well in it and is magnetic. The star that is on the packaging. The first unit arrived I requested departure as a carton is all that "protects" a product as complicated to manipulate its size.</v>
      </c>
    </row>
    <row r="15963">
      <c r="A15963" s="1">
        <v>4.0</v>
      </c>
      <c r="B15963" s="1" t="s">
        <v>15814</v>
      </c>
      <c r="C15963" t="str">
        <f>IFERROR(__xludf.DUMMYFUNCTION("GOOGLETRANSLATE(B15963, ""es"", ""en"")"),"comfortable and good price satisfied with the purchase, has arrived in good condition, they are comfortable and light")</f>
        <v>comfortable and good price satisfied with the purchase, has arrived in good condition, they are comfortable and light</v>
      </c>
    </row>
    <row r="15964">
      <c r="A15964" s="1">
        <v>5.0</v>
      </c>
      <c r="B15964" s="1" t="s">
        <v>15815</v>
      </c>
      <c r="C15964" t="str">
        <f>IFERROR(__xludf.DUMMYFUNCTION("GOOGLETRANSLATE(B15964, ""es"", ""en"")"),"Fantastic! Fantastic!")</f>
        <v>Fantastic! Fantastic!</v>
      </c>
    </row>
    <row r="15965">
      <c r="A15965" s="1">
        <v>5.0</v>
      </c>
      <c r="B15965" s="1" t="s">
        <v>15816</v>
      </c>
      <c r="C15965" t="str">
        <f>IFERROR(__xludf.DUMMYFUNCTION("GOOGLETRANSLATE(B15965, ""es"", ""en"")"),"It is very easy to clean and very powerful for pureeing")</f>
        <v>It is very easy to clean and very powerful for pureeing</v>
      </c>
    </row>
    <row r="15966">
      <c r="A15966" s="1">
        <v>5.0</v>
      </c>
      <c r="B15966" s="1" t="s">
        <v>15817</v>
      </c>
      <c r="C15966" t="str">
        <f>IFERROR(__xludf.DUMMYFUNCTION("GOOGLETRANSLATE(B15966, ""es"", ""en"")"),"Bluetooth headsets &lt;div id = ""video-block-R2AQXLHINS99X3"" class = ""a-section a-spacing-small a-spacing-top mini video-block""&gt; &lt;div tabindex = ""0"" class = ""airy airy-svg vmin-unsupported airy-skin-beacon ""style ="" background-color: rgb (0, 0, 0) p"&amp;"osition: relative; width: 100%; height: 100%; font-size: 0px; overflow: hidden; outline : none; ""&gt; &lt;div class ="" airy-renderer-container ""style ="" position: relative; height: 100%; width: 100%; ""&gt; &lt;video id ="" 23 ""preload ="" auto ""src ="" https:/"&amp;"/images-eu.ssl-images-amazon.com/images/I/81maB3wsGkS.mp4 ""style ="" position: absolute; left: 0px; top: 0px; overflow: hidden; height: 1px; width: 1px ; ""&gt; &lt;/ video&gt; &lt;/ div&gt; &lt;div id ="" airy-slate-preload ""style ="" background-color: rgb (0, 0, 0); ba"&amp;"ckground-image: url (&amp; quot; https: // images-eu.ssl-images-amazon.com/images/I/A1dV8An+7tS.png&amp;quot;); background-size: Contain; background-position: center center; background-repeat: no-repeat; position: absolute; top : 0px; left: 0px; visibility: visib"&amp;"le; width: 100%; height: 100%; ""&gt; &lt;/ div&gt; &lt;iframe sc rolling = ""no"" frameborder = ""0"" src = ""about: blank"" style = ""display: none;""&gt; &lt;/ iframe&gt; &lt;div tabindex = ""- 1"" class = ""airy-controls-container"" style = "" opacity: 0; visibility: hidden;"&amp;" ""&gt; &lt;div tabindex ="" - 1 ""class ="" airy-screen-size-toggle airy-fullscreen ""&gt; &lt;/ div&gt; &lt;div tabindex ="" - 1 ""class ="" airy-container-bottom "" &gt; &lt;div tabindex = ""- 1"" class = ""airy-track-bar-spacer-left"" style = ""width: 11px;""&gt; &lt;/ div&gt; &lt;div t"&amp;"abindex = ""- 1"" class = ""airy-play- airy toggle-play ""style ="" width: 12px; margin-right: 12px; ""&gt; &lt;/ div&gt; &lt;div tabindex ="" - 1 ""class ="" airy-audio-elements ""style ="" float: right; width: 34px; ""&gt; &lt;div tabindex ="" - 1 ""class ="" airy-audio-"&amp;"toggle airy-on ""&gt; &lt;/ div&gt; &lt;div tabindex ="" - 1 ""class ="" airy-audio-container ""style = ""opacity: 0; visibility: hidden; ""&gt; &lt;div tabindex ="" - 1 ""class ="" airy-audio-track-bar ""style ="" height: 80%; ""&gt; &lt;div tabindex ="" - 1 ""class ="" airy-au"&amp;"dio- Scrubber-bar ""style ="" height: 85%; ""&gt; &lt;/ div&gt; &lt;div tabindex ="" - 1 ""class ="" airy-audio-scrubber ""style ="" height: 12px; bottom: 85% ""&gt; &lt;/ div&gt; &lt;/ div&gt; &lt;/ div&gt; &lt;/ div&gt; &lt;div tabindex ="" - 1 ""class ="" airy-duration-label ""style ="" float:"&amp;" right; width: 26px; margin-right: 4px; text-align: center; ""&gt; 0:00 &lt;/ div&gt; &lt;div tabindex ="" - 1 ""class ="" airy-track-bar-spacer-right ""style ="" float: right; width: 11px; ""&gt; &lt;/ div&gt; &lt;div tabindex ="" - 1 ""class ="" airy-track-bar-container ""styl"&amp;"e ="" margin-left: 35px; margin-right: 75px; ""&gt; &lt;div tabindex ="" - 1 ""class ="" airy-airy-track-bar vertically-centering-table ""&gt; &lt;div tabindex ="" - 1 ""class ="" airy-Vertical-centering- table-cell ""&gt; &lt;div tabindex ="" - 1 ""class ="" airy-track-ba"&amp;"r-elements ""&gt; &lt;div tabindex ="" - 1 ""class ="" airy-progress-bar ""&gt; &lt;/ div&gt; &lt;div tabindex = ""- 1"" class = ""airy-scrubber-bar""&gt; &lt;/ div&gt; &lt;div tabindex = ""- 1"" class = ""airy-scrubber""&gt; &lt;div tabindex = ""- 1"" class = ""airy-scrubber- icon ""&gt; &lt;/ d"&amp;"iv&gt; &lt;div tabindex ="" - 1 ""class ="" airy-adjusted-AUI-tooltip ""style ="" opacity: 0; visibility: hidden; ""&gt; &lt;div tabindex ="" - 1 ""class ="" airy-adjusted-aui-tooltip-inner ""&gt; &lt;div tabindex ="" - 1 ""class ="" airy-current-time-label ""&gt; 0: 00 &lt;/ di"&amp;"v&gt; &lt;/ div&gt; &lt;div tabindex = ""- 1"" class = ""airy-adjusted-AUI-arrow-border""&gt; &lt;div tabindex = ""- 1"" class = ""airy-adjusted-AUI-arrow"" &gt; &lt;/ div&gt; &lt;/ div&gt; &lt;/ div&gt; &lt;/ div&gt; &lt;/ div&gt; &lt;/ div&gt; &lt;/ div&gt; &lt;/ div&gt; &lt;/ div&gt; &lt;/ div&gt; &lt;div tabindex = ""- 1"" class = """&amp;"airy-age-gate airy-stage airy-Vertical-centering-table airy-dialog"" style = ""opacity: 0; visibility: hidden; ""&gt; &lt;div tabindex ="" - 1 ""class ="" airy-age-gate-Vertical-centering-table-cell airy-Vertical-centering-table-cell ""&gt; &lt;div tabindex ="" - 1 "&amp;"""class = ""airy-Vertical-centering-wrapper airy-age-gate-elements-wrapper""&gt; &lt;div tabindex = ""- 1"" class = ""airy-age-gate-elements airy-dialog-elements""&gt; &lt;div tabindex = "" -1 ""class ="" airy-age-gate-prompt ""&gt; This video is not Intended for all au"&amp;"diences What date were you born &lt;/ div&gt; &lt;div tabindex =.?"" - 1 ""class ="" airy-age-gate -inputs airy-dialog-inner-elements ""&gt; &lt;select tabindex ="" - 1 ""class ="" airy-age-gate-month ""&gt; &lt;option value ="" 1 ""&gt; January &lt;/ option&gt; &lt;option value ="" 2 """&amp;"&gt; February &lt;/ option&gt; &lt;option value ="" 3 ""&gt; March &lt;/ option&gt; &lt;option value ="" 4 ""&gt; April &lt;/ option&gt; &lt;option value ="" 5 ""&gt; May &lt;/ option&gt; &lt;option value = ""6""&gt; June &lt;/ option&gt; &lt;option value = ""7""&gt; July &lt;/ option&gt; &lt;option value = ""8""&gt; August &lt;/ o"&amp;"ption&gt; &lt;option value = ""9""&gt; September &lt;/ option&gt; &lt;option value = ""10""&gt; October &lt;/ option&gt; &lt;option value = ""11""&gt; November &lt;/ option&gt; &lt;option value = ""12""&gt; December &lt;/ option&gt; &lt;/ select&gt; &lt;select tabindex = ""- 1"" class = ""airy-age-gate-day""&gt; &lt;opt"&amp;"i on value = ""1""&gt; 1 &lt;/ option&gt; &lt;option value = ""2""&gt; 2 &lt;/ option&gt; &lt;option value = ""3""&gt; 3 &lt;/ option&gt; &lt;option value = ""4""&gt; 4 &lt;/ option &gt; &lt;option value = ""5""&gt; 5 &lt;/ option&gt; &lt;option value = ""6""&gt; 6 &lt;/ option&gt; &lt;option value = ""7""&gt; 7 &lt;/ option&gt; &lt;opti"&amp;"on value = ""8""&gt; 8 &lt; / option&gt; &lt;option value = ""9""&gt; 9 &lt;/ option&gt; &lt;option value = ""10""&gt; 10 &lt;/ option&gt; &lt;option value = ""11""&gt; 11 &lt;/ option&gt; &lt;option value = ""12""&gt; 12 &lt;/ option&gt; &lt;option value = ""13""&gt; 13 &lt;/ option&gt; &lt;option value = ""14""&gt; 14 &lt;/ optio"&amp;"n&gt; &lt;option value = ""15""&gt; 15 &lt;/ option&gt; &lt;option value = ""16 ""&gt; 16 &lt;/ option&gt; &lt;option value ="" 17 ""&gt; 17 &lt;/ option&gt; &lt;option value ="" 18 ""&gt; 18 &lt;/ option&gt; &lt;option value ="" 19 ""&gt; 19 &lt;/ option&gt; &lt;option value = ""20""&gt; 20 &lt;/ option&gt; &lt;option value = ""21"&amp;"""&gt; 21 &lt;/ option&gt; &lt;option value = ""22""&gt; 22 &lt;/ option&gt; &lt;option value = ""23""&gt; 23 &lt;/ option&gt; &lt;option value = ""24""&gt; 24 &lt;/ option&gt; &lt;option value = ""25""&gt; 25 &lt;/ option&gt; &lt;option value = ""26""&gt; 26 &lt;/ option&gt; &lt;option value = ""27""&gt; 27 &lt;/ option&gt; &lt;option v"&amp;"alue = ""28""&gt; 28 &lt;/ option&gt; &lt;option value = ""29""&gt; 29 &lt;/ option&gt; &lt;option value = ""30""&gt; 30 &lt;/ option&gt; &lt;option value = ""31""&gt; 31 &lt;/ option&gt; &lt;/ select&gt; &lt;select tabindex = ""- 1"" class = ""airy-age-gate-year""&gt; &lt;option value = ""2019""&gt; 2019 &lt;/ option&gt; "&amp;"&lt; option value = ""2018""&gt; 2018 &lt;/ option&gt; &lt;option value = ""2017""&gt; 2017 &lt;/ option&gt; &lt;option value = ""2016""&gt; ​​2016 &lt;/ option&gt; &lt;option value = ""2015""&gt; 2015 &lt;/ option &gt; &lt;option value = ""2014""&gt; 2014 &lt;/ option&gt; &lt;option value = ""2013""&gt; 2013 &lt;/ option&gt;"&amp;" &lt;option value = ""2012""&gt; 2012 &lt;/ option&gt; &lt;option value = ""2011""&gt; 2011 &lt; / option&gt; &lt;option value = ""2010""&gt; 2010 &lt;/ option&gt; &lt;option value = ""2009""&gt; 2009 &lt;/ option&gt; &lt;option value = ""2008""&gt; 2008 &lt;/ option&gt; &lt;option value = ""2007""&gt; 2007 &lt;/ option&gt; &lt;"&amp;"option value = ""2006""&gt; 2006 &lt;/ option&gt; &lt;option value = ""2005""&gt; 2005 &lt;/ option&gt; &lt;option value = ""2004""&gt; 2004 &lt;/ option&gt; &lt;option value = ""2003 ""&gt; 2003 &lt;/ option&gt; &lt;option value ="" 2002 ""&gt; 2002 &lt;/ option&gt; &lt;option value ="" 2001 ""&gt; 2001 &lt;/ option&gt; &lt;"&amp;"option value ="" 2000 ""&gt; 2000 &lt;/ option&gt; &lt;option value = ""1999""&gt; 1999 &lt;/ option&gt; &lt;option value = ""1998""&gt; 1998 &lt;/ option&gt; &lt;option value = ""1997""&gt; 1997 &lt;/ option&gt; &lt;option value = ""1996""&gt; 1996 &lt;/ option&gt; &lt;option value = ""1995""&gt; 1995 &lt;/ option&gt; &lt;op"&amp;"tion value = ""1994""&gt; 1994 &lt;/ option&gt; &lt;option value = ""1993""&gt; 1993 &lt;/ option&gt; &lt;option value = ""1992""&gt; 1992 &lt;/ option&gt; &lt;option value = ""1991""&gt; 1991 &lt;/ option&gt; &lt;option value = ""1990""&gt; 1990 &lt;/ option&gt; &lt;option value = "" 1989 ""&gt; 1989 &lt;/ option&gt; &lt;opt"&amp;"ion value ="" 1988 ""&gt; 1988 &lt;/ option&gt; &lt;option value ="" 1987 ""&gt; 1987 &lt;/ option&gt; &lt;option value ="" 1986 ""&gt; 1986 &lt;/ option&gt; &lt;value option = ""1985""&gt; 1985 &lt;/ option&gt; &lt;option value = ""1984""&gt; 1984 &lt;/ option&gt; &lt;option value = ""1983""&gt; 1983 &lt;/ option&gt; &lt;opt"&amp;"ion value = ""1982""&gt; 1982 &lt;/ option&gt; &lt; option value = ""1981""&gt; 1981 &lt;/ option&gt; &lt;option value = ""1980""&gt; 1980 &lt;/ option&gt; &lt;option value = ""1979""&gt; 1979 &lt;/ option&gt; &lt;option value = ""1978""&gt; 1978 &lt;/ option &gt; &lt;option value = ""1977""&gt; 1977 &lt;/ option&gt; &lt;opti"&amp;"on value = ""1976""&gt; 1976 &lt;/ option&gt; &lt;option value = ""1975""&gt; 1975 &lt;/ option&gt; &lt;option value = ""1974""&gt; 1974 &lt; / option&gt; &lt;option value = ""1973""&gt; 1973 &lt;/ option&gt; &lt;option value = ""1972""&gt; 1972 &lt;/ option&gt; &lt;option value = ""1971""&gt; 1971 &lt;/ option&gt; &lt;option"&amp;" value = ""1970""&gt; 1970 &lt;/ option&gt; &lt;option value = ""1969""&gt; 1969 &lt;/ option&gt; &lt;option value = ""1968""&gt; 1968 &lt;/ option&gt; &lt;option value = ""1967""&gt; 1967 &lt;/ option&gt; &lt;option value = ""1966 ""&gt; 1966 &lt;/ option&gt; &lt;option value ="" 1965 ""&gt; 1965 &lt;/ option&gt; &lt;option "&amp;"value ="" 1964 ""&gt; 1964 &lt;/ option&gt; &lt;option value ="" 1963 ""&gt; 1963 &lt;/ option&gt; &lt;option value = ""1962""&gt; 1962 &lt;/ option&gt; &lt;option value = ""1961""&gt; 1961 &lt;/ option&gt; &lt;option value = ""1960""&gt; 1960 &lt;/ op tion&gt; &lt;option value = ""1959""&gt; 1959 &lt;/ option&gt; &lt;option "&amp;"value = ""1958""&gt; 1958 &lt;/ option&gt; &lt;option value = ""1957""&gt; 1957 &lt;/ option&gt; &lt;option value = ""1956""&gt; 1956 &lt;/ option&gt; &lt;option value = ""1955""&gt; 1955 &lt;/ option&gt; &lt;option value = ""1954""&gt; 1954 &lt;/ option&gt; &lt;option value = ""1953""&gt; 1953 &lt;/ option&gt; &lt;option val"&amp;"ue = ""1952"" &gt; 1952 &lt;/ option&gt; &lt;option value = ""1951""&gt; 1951 &lt;/ option&gt; &lt;option value = ""1950""&gt; 1950 &lt;/ option&gt; &lt;option value = ""1949""&gt; 1949 &lt;/ option&gt; &lt;option value = "" 1948 ""&gt; 1948 &lt;/ option&gt; &lt;option value ="" 1947 ""&gt; 1947 &lt;/ option&gt; &lt;option va"&amp;"lue ="" 1946 ""&gt; 1946 &lt;/ option&gt; &lt;option value ="" 1945 ""&gt; 1945 &lt;/ option&gt; &lt;value option = ""1944""&gt; 1944 &lt;/ option&gt; &lt;option value = ""1943""&gt; 1943 &lt;/ option&gt; &lt;option value = ""1942""&gt; 1942 &lt;/ option&gt; &lt;option value = ""1941""&gt; 1941 &lt;/ option&gt; &lt; option va"&amp;"lue = ""1940""&gt; 1940 &lt;/ option&gt; &lt;option value = ""1939""&gt; 1939 &lt;/ option&gt; &lt;option value = ""1938""&gt; 1938 &lt;/ option&gt; &lt;option value = ""1937""&gt; 1937 &lt;/ option &gt; &lt;option value = ""1936""&gt; 1936 &lt;/ option&gt; &lt;option value = ""1935""&gt; 1935 &lt;/ option&gt; &lt;option valu"&amp;"e = ""1934""&gt; 1934 &lt;/ option&gt; &lt;option value = ""1933""&gt; 1933 &lt; / option&gt; &lt;option value = ""1932""&gt; 1932 &lt;/ option&gt; &lt;option value = ""1931""&gt; 1931 &lt;/ option&gt; &lt;option v alue = ""1930""&gt; 1930 &lt;/ option&gt; &lt;option value = ""1929""&gt; 1929 &lt;/ option&gt; &lt;option value"&amp;" = ""1928""&gt; 1928 &lt;/ option&gt; &lt;option value = ""1927""&gt; 1927 &lt;/ option&gt; &lt;option value = ""1926""&gt; 1926 &lt;/ option&gt; &lt;option value = ""1925""&gt; 1925 &lt;/ option&gt; &lt;option value = ""1924""&gt; 1924 &lt;/ option&gt; &lt;option value = ""1923""&gt; 1923 &lt;/ option&gt; &lt;option value = "&amp;"""1922""&gt; 1922 &lt;/ option&gt; &lt;option value = ""1921""&gt; 1921 &lt;/ option&gt; &lt;option value = ""1920""&gt; 1920 &lt;/ option&gt; &lt;option value = ""1919""&gt; 1919 &lt;/ option&gt; &lt;option value = ""1918""&gt; 1918 &lt;/ option&gt; &lt;option value = ""1917""&gt; 1917 &lt;/ option&gt; &lt;option value = ""1"&amp;"916""&gt; 1916 &lt;/ option&gt; &lt;option value = ""1915"" &gt; 1915 &lt;/ option&gt; &lt;option value = ""1914""&gt; 1914 &lt;/ option&gt; &lt;option value = ""1913""&gt; 1913 &lt;/ option&gt; &lt;option value = ""1912""&gt; 1912 &lt;/ option&gt; &lt;option value = "" 1911 ""&gt; 1911 &lt;/ option&gt; &lt;option value ="" 1"&amp;"910 ""&gt; 1910 &lt;/ option&gt; &lt;option value ="" 1909 ""&gt; 1909 &lt;/ option&gt; &lt;option value ="" 1908 ""&gt; 1908 &lt;/ option&gt; &lt;value option = ""1907""&gt; 1907 &lt;/ option&gt; &lt;option value = ""1906""&gt; 1906 &lt;/ option&gt; &lt;option value = ""1905""&gt; 1905 &lt;/ option&gt; &lt;option value = ""1"&amp;"904""&gt; 1904 &lt;/ option&gt; &lt; option value = ""1903""&gt; 1903 &lt;/ option&gt; &lt;option value = ""1902""&gt; 1902 &lt;/ option&gt; &lt;option value = ""1901""&gt; 19 01 &lt;/ option&gt; &lt;option value = ""1900""&gt; 1900 &lt;/ option&gt; &lt;/ select&gt; &lt;div tabindex = ""- 1"" class = ""airy-age-gate-sub"&amp;"mit airy-submit-button airy airy-submit- disabled ""&gt; Submit &lt;/ div&gt; &lt;/ div&gt; &lt;/ div&gt; &lt;/ div&gt; &lt;/ div&gt; &lt;/ div&gt; &lt;div tabindex ="" - 1 ""class ="" airy-install-flash-dialog airy-stage airy -vertical-centering-table-dialog airy airy-denied ""style ="" opacity:"&amp;" 0; visibility: hidden; ""&gt; &lt;div tabindex ="" - 1 ""class ="" airy-install-flash-Vertical-centering-table-cell airy-Vertical-centering-table-cell ""&gt; &lt;div tabindex ="" - 1 ""class = ""airy-Vertical-centering-wrapper airy-install-flash-elements-wrapper""&gt; "&amp;"&lt;div tabindex = ""- 1"" class = ""airy-install-flash-elements airy-dialog-elements""&gt; &lt;div tabindex = "" -1 ""class ="" airy-install-flash-prompt ""&gt; Adobe Flash Player is required to watch this video &lt;/ div&gt; &lt;div tabindex =."" - 1 ""class ="" airy-instal"&amp;"l-flash-button-wrapper airy -dialog-inner-elements ""&gt; &lt;div tabindex ="" - 1 ""class ="" airy-install-flash-button airy-button ""&gt; install Flash Player &lt;/ div&gt; &lt;/ div&gt; &lt;/ div&gt; &lt;/ div&gt; &lt;/ div&gt; &lt;/ div&gt; &lt;div tabindex = ""- 1"" class = ""airy-video-unsupporte"&amp;"d-dialog airy-stage airy-Vertical-centering-table airy-dialog airy-denied"" style = ""opacity: 0; visibility: hidden; ""&gt; &lt;div tabindex ="" - 1 ""class ="" airy-video-unsupported-Vertical-centering-table-cell airy-Vertical-centering-table-cell ""&gt; &lt;div ta"&amp;"bindex ="" - 1 ""class = ""airy-Vertical-centering-wrapper airy-video-unsupported-elements-wrapper""&gt; &lt;div tabindex = ""- 1"" class = ""airy-video-unsupported-elements airy-dialog-elements""&gt; &lt;div tabindex = "" -1 ""class ="" airy-video-unsupported-prompt"&amp;" ""&gt; &lt;/ div&gt; &lt;/ div&gt; &lt;/ div&gt; &lt;/ div&gt; &lt;/ div&gt; &lt;div tabindex ="" - 1 ""class ="" airy-loading- spinner-stage airy-stage ""&gt; &lt;div tabindex ="" - 1 ""class ="" airy-loading-spinner-Vertical-centering-table-cell airy-Vertical-centering-table-cell ""&gt; &lt;div tabi"&amp;"ndex ="" - 1 ""class ="" airy-loading-spinner-container airy-scalable-hint-container ""&gt; &lt;div tabindex ="" - 1 ""class ="" airy-loading-spinner-dummy airy-scalable-dummy ""&gt; &lt;/ div&gt; &lt; div tabindex = ""- 1"" class = ""airy-loading-spinner airy-hint"" style"&amp;" = ""visibility: hidden;""&gt; &lt;/ div&gt; &lt;/ div&gt; &lt;/ div&gt; &lt;/ div&gt; &lt;div tabindex = ""- 1 ""class ="" airy-ads-screen-size-toggle airy-screen-size-toggle-fullscreen airy ""style ="" visibility: hidden; ""&gt; &lt;/ div&gt; &lt;div tabindex = ""-1"" class = ""airy-ad-prompt-c"&amp;"ontainer"" style = ""visibility: hidden;""&gt; &lt;div tabindex = ""- 1"" class = ""airy-ad-prompt-Vertical-centering-table-vertically airy centering-table ""&gt; &lt;div tabindex ="" - 1 ""class ="" airy-ad-prompt-Vertical-centering-table-cell airy-Vertical-centerin"&amp;"g-table-cell ""&gt; &lt;div tabindex ="" - 1 ""class = ""airy-ad-prompt-label""&gt; &lt;/ div&gt; &lt;/ div&gt; &lt;/ div&gt; &lt;/ div&gt; &lt;div tabindex = ""- 1"" class = ""airy-ads-controls-container"" style = ""visibility: hidden; ""&gt; &lt;div tabindex ="" - 1 ""class ="" airy-ads-audio-t"&amp;"oggle airy-audio-toggle airy-on ""style ="" visibility: hidden; ""&gt; &lt;/ div&gt; &lt;div tabindex ="" - 1 ""class ="" airy-time-remaining-label-container ""&gt; &lt;div tabindex ="" - 1 ""class ="" airy-time-remaining-Vertical-centering-table airy-Vertical-centering-ta"&amp;"ble ""&gt; &lt;div tabindex = ""- 1"" class = ""airy-time-remaining-Vertical-centering-table-cell airy-Vertical-centering-table-cell""&gt; &lt;div tabindex = ""- 1"" class = ""airy-Vertical-centering-wrapper airy-time-remaining-label-wrapper ""&gt; &lt;div tabindex ="" - 1"&amp;" ""class ="" airy-time-remaining-label ""style ="" visibility: hidden; ""&gt; &lt;/ div&gt; &lt;div tabi ndex = ""- 1"" class = ""airy-ad-skip"" style = ""visibility: hidden;""&gt; &lt;/ div&gt; &lt;div tabindex = ""- 1"" class = ""airy-ad-end"" style = ""visibility: hidden ""&gt; "&amp;"&lt;/ div&gt; &lt;/ div&gt; &lt;/ div&gt; &lt;/ div&gt; &lt;/ div&gt; &lt;div tabindex ="" - 1 ""class ="" airy-learn-more ""style ="" visibility: hidden; ""&gt; &lt;/ div&gt; &lt;/ div&gt; &lt;div tabindex = ""- 1"" class = ""airy-play-toggle-hint-stage airy-stage airy-cursor""&gt; &lt;div tabindex = ""- 1"" c"&amp;"lass = ""airy-play -toggle-hint-Vertical-centering-table-cell airy-Vertical-centering-table-cell airy-cursor ""&gt; &lt;div tabindex ="" - 1 ""class ="" airy-play-toggle-hint-container airy-scalable- Hint-container ""&gt; &lt;div tabindex ="" - 1 ""class ="" airy-pla"&amp;"y-toggle-hint-dummy airy-scalable-dummy ""&gt; &lt;/ div&gt; &lt;div tabindex ="" - 1 ""class ="" airy-play -toggle-hint hint airy-airy-play-hint ""style ="" opacity: 1; visibility: visible; ""&gt; &lt;/ div&gt; &lt;/ div&gt; &lt;/ div&gt; &lt;/ div&gt; &lt;div tabindex ="" - 1 ""class ="" airy-r"&amp;"eplay-hint-stage airy-stage ""style ="" visibility: hidden ; ""&gt; &lt;div tabindex ="" - 1 ""class ="" airy-replay-hint-Vertical-centering-table-cell airy-Vertical-centering-table-cell airy-cursor ""&gt; &lt;div tabindex ="" - 1 ""class = ""airy-replay-hint-contain"&amp;"er airy-scalable-hint-container""&gt; &lt;div tabindex = ""- 1"" class = ""airy-replay-hint-dummy airy-scalable-dummy""&gt; &lt;/ div&gt; &lt;div tabindex = ""- 1"" class = ""airy-replay-hint airy-hint""&gt; &lt;/ div&gt; &lt;/ div&gt; &lt;/ div&gt; &lt;/ div&gt; &lt;div tabindex = ""- 1"" class = ""ai"&amp;"ry-autoplay-hint -stage airy-stage ""style ="" visibility: hidden; ""&gt; &lt;div tabindex ="" - 1 ""class ="" airy-autoplay-hint-Vertical-centering-table-cell airy-Vertical-centering-table-cell airy- cursor ""&gt; &lt;div tabindex ="" - 1 ""class ="" autoplay airy-a"&amp;"iry-hint-container-scalable-hint-container ""&gt; &lt;div tabindex ="" - 1 ""class ="" airy-autoplay-hint-dummy airy- scalable-dummy ""&gt; &lt;/ div&gt; &lt;/ div&gt; &lt;/ div&gt; &lt;/ div&gt; &lt;/ div&gt; &lt;/ div&gt; &lt;input type ="" hidden ""name ="" ""value ="" https: // images-eu .ssl-image"&amp;"s-amazon.com / images / I / 81maB3wsGkS.mp4 ""Class ="" url video ""&gt; &lt;input type ="" hidden ""name ="" ""value ="" https://images-eu.ssl-images-amazon.com/images/I/A1dV8An+7tS.png 'class = ""video-slate-img-url""&gt; &amp; nbsp; auricales Bluetooth, sound very "&amp;"good when I wear it not heard any noise from the outside, and fits perfectly in your ears, thanks")</f>
        <v>Bluetooth headsets &lt;div id = "video-block-R2AQXLHINS99X3"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23 "preload =" auto "src =" https://images-eu.ssl-images-amazon.com/images/I/81maB3wsGkS.mp4 "style =" position: absolute; left: 0px; top: 0px; overflow: hidden; height: 1px; width: 1px ; "&gt; &lt;/ video&gt; &lt;/ div&gt; &lt;div id =" airy-slate-preload "style =" background-color: rgb (0, 0, 0); background-image: url (&amp; quot; https: // images-eu.ssl-images-amazon.com/images/I/A1dV8An+7tS.png&amp;quot;); background-size: Contain; background-position: center center; background-repeat: no-repeat; position: absolute; top : 0px; left: 0px; visibility: visible; width: 100%; height: 100%; "&gt; &lt;/ div&gt; &lt;iframe sc rolling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81maB3wsGkS.mp4 "Class =" url video "&gt; &lt;input type =" hidden "name =" "value =" https://images-eu.ssl-images-amazon.com/images/I/A1dV8An+7tS.png 'class = "video-slate-img-url"&gt; &amp; nbsp; auricales Bluetooth, sound very good when I wear it not heard any noise from the outside, and fits perfectly in your ears, thanks</v>
      </c>
    </row>
    <row r="15967">
      <c r="A15967" s="1">
        <v>5.0</v>
      </c>
      <c r="B15967" s="1" t="s">
        <v>15818</v>
      </c>
      <c r="C15967" t="str">
        <f>IFERROR(__xludf.DUMMYFUNCTION("GOOGLETRANSLATE(B15967, ""es"", ""en"")"),"I bought this mat excellent to test as I have always had of the other, normal lifetime. So to see clearly noticeable input greater comfort. The quality of the carpet because apparently is good, we'll see what hard with the passage of time. So far the summ"&amp;"ary is that I believe it is one that any other normal mouse highly recommended and better option than not bring the surface keeps the upper hand. Purchase highly satisfactory.")</f>
        <v>I bought this mat excellent to test as I have always had of the other, normal lifetime. So to see clearly noticeable input greater comfort. The quality of the carpet because apparently is good, we'll see what hard with the passage of time. So far the summary is that I believe it is one that any other normal mouse highly recommended and better option than not bring the surface keeps the upper hand. Purchase highly satisfactory.</v>
      </c>
    </row>
    <row r="15968">
      <c r="A15968" s="1">
        <v>5.0</v>
      </c>
      <c r="B15968" s="1" t="s">
        <v>15819</v>
      </c>
      <c r="C15968" t="str">
        <f>IFERROR(__xludf.DUMMYFUNCTION("GOOGLETRANSLATE(B15968, ""es"", ""en"")"),"I like good shoes, good aesthetically, either in terms of comfort. The way around the heel is somewhat unusual, they are very low. I imagine they did so to remove them and put them to easily without untying the laces. It's something you have to get used t"&amp;"o, because the short edge Asi is something not very common, but in no way affects the efficiency that: no escape from the heel or anything like that. They are quite damped, especially at heel - on the end opposite to the sole is very thin. But overall I l"&amp;"ook very soft. Highly breathable, indeed winter comes cold air. In short: I like them, I find them very comfortable and beautiful, but recognize that there are some features you might or less depending on the person.")</f>
        <v>I like good shoes, good aesthetically, either in terms of comfort. The way around the heel is somewhat unusual, they are very low. I imagine they did so to remove them and put them to easily without untying the laces. It's something you have to get used to, because the short edge Asi is something not very common, but in no way affects the efficiency that: no escape from the heel or anything like that. They are quite damped, especially at heel - on the end opposite to the sole is very thin. But overall I look very soft. Highly breathable, indeed winter comes cold air. In short: I like them, I find them very comfortable and beautiful, but recognize that there are some features you might or less depending on the person.</v>
      </c>
    </row>
    <row r="15969">
      <c r="A15969" s="1">
        <v>5.0</v>
      </c>
      <c r="B15969" s="1" t="s">
        <v>15820</v>
      </c>
      <c r="C15969" t="str">
        <f>IFERROR(__xludf.DUMMYFUNCTION("GOOGLETRANSLATE(B15969, ""es"", ""en"")"),"Everything is perfect Perfect")</f>
        <v>Everything is perfect Perfect</v>
      </c>
    </row>
    <row r="15970">
      <c r="A15970" s="1">
        <v>5.0</v>
      </c>
      <c r="B15970" s="1" t="s">
        <v>15821</v>
      </c>
      <c r="C15970" t="str">
        <f>IFERROR(__xludf.DUMMYFUNCTION("GOOGLETRANSLATE(B15970, ""es"", ""en"")"),"Incredible delivery could not be better, very fast. As for the opinion of the product, after trying and I consider the fanciest more money on another product, it works spectacularly, even in a low voice and background noise. It also comes with a bag of a "&amp;"very good material for reservation of dust and save after use. Clip clip is good, not flimsy, and cable with enough length to move along the desktop.")</f>
        <v>Incredible delivery could not be better, very fast. As for the opinion of the product, after trying and I consider the fanciest more money on another product, it works spectacularly, even in a low voice and background noise. It also comes with a bag of a very good material for reservation of dust and save after use. Clip clip is good, not flimsy, and cable with enough length to move along the desktop.</v>
      </c>
    </row>
    <row r="15971">
      <c r="A15971" s="1">
        <v>5.0</v>
      </c>
      <c r="B15971" s="1" t="s">
        <v>15822</v>
      </c>
      <c r="C15971" t="str">
        <f>IFERROR(__xludf.DUMMYFUNCTION("GOOGLETRANSLATE(B15971, ""es"", ""en"")"),"Effective, comfortable and cheap. PERFECT! The best at the best price! I have 3 cats without it is impossible to remove all the hairs. I bought everything and rolls these are the best and certainly very comfortable taking off the papers used by your syste"&amp;"m zigzag. They are also the cheapest of all. That's why I keep buying. PERFECT!")</f>
        <v>Effective, comfortable and cheap. PERFECT! The best at the best price! I have 3 cats without it is impossible to remove all the hairs. I bought everything and rolls these are the best and certainly very comfortable taking off the papers used by your system zigzag. They are also the cheapest of all. That's why I keep buying. PERFECT!</v>
      </c>
    </row>
    <row r="15972">
      <c r="A15972" s="1">
        <v>5.0</v>
      </c>
      <c r="B15972" s="1" t="s">
        <v>15823</v>
      </c>
      <c r="C15972" t="str">
        <f>IFERROR(__xludf.DUMMYFUNCTION("GOOGLETRANSLATE(B15972, ""es"", ""en"")"),"Good quality / price ratio I use it for mobile")</f>
        <v>Good quality / price ratio I use it for mobile</v>
      </c>
    </row>
    <row r="15973">
      <c r="A15973" s="1">
        <v>5.0</v>
      </c>
      <c r="B15973" s="1" t="s">
        <v>15824</v>
      </c>
      <c r="C15973" t="str">
        <f>IFERROR(__xludf.DUMMYFUNCTION("GOOGLETRANSLATE(B15973, ""es"", ""en"")"),"Good gift came in perfect condition, perhaps the corner of the box a little damaged but what is hanging in very good condition. PS: The pendant is silver, has his signature behind this.")</f>
        <v>Good gift came in perfect condition, perhaps the corner of the box a little damaged but what is hanging in very good condition. PS: The pendant is silver, has his signature behind this.</v>
      </c>
    </row>
    <row r="15974">
      <c r="A15974" s="1">
        <v>5.0</v>
      </c>
      <c r="B15974" s="1" t="s">
        <v>15825</v>
      </c>
      <c r="C15974" t="str">
        <f>IFERROR(__xludf.DUMMYFUNCTION("GOOGLETRANSLATE(B15974, ""es"", ""en"")"),"flash memory 32GB Memory works perfectly and at the right speed. I have no complaints. By putting a defect ... that has no LED read-write (and if so, does not work ...) so I do not know when data is being transmitted or not to remove it safely. Also it ha"&amp;"s another defect, or advantage, depending how you look ... and is its size so small that if you do not put something like a cord or something ... we can easily lose. I carry in my purse, because in my pocket ... I lose insurance. And I put a piece of shoe"&amp;"lace fluorescent orange, to view easily. I loaded a complete operating system with autostart, and various auxiliary and configuration programs and has done very well. Would you recommend your purchase? Yes, sure. (Although they could do color, because if "&amp;"you have several, not a distinguish from one another).")</f>
        <v>flash memory 32GB Memory works perfectly and at the right speed. I have no complaints. By putting a defect ... that has no LED read-write (and if so, does not work ...) so I do not know when data is being transmitted or not to remove it safely. Also it has another defect, or advantage, depending how you look ... and is its size so small that if you do not put something like a cord or something ... we can easily lose. I carry in my purse, because in my pocket ... I lose insurance. And I put a piece of shoelace fluorescent orange, to view easily. I loaded a complete operating system with autostart, and various auxiliary and configuration programs and has done very well. Would you recommend your purchase? Yes, sure. (Although they could do color, because if you have several, not a distinguish from one another).</v>
      </c>
    </row>
    <row r="15975">
      <c r="A15975" s="1">
        <v>5.0</v>
      </c>
      <c r="B15975" s="1" t="s">
        <v>15826</v>
      </c>
      <c r="C15975" t="str">
        <f>IFERROR(__xludf.DUMMYFUNCTION("GOOGLETRANSLATE(B15975, ""es"", ""en"")"),"The speed notice a lot is very easy to install, the most difficult is to move the entire operating system to this new disk. Otherwise, very good.")</f>
        <v>The speed notice a lot is very easy to install, the most difficult is to move the entire operating system to this new disk. Otherwise, very good.</v>
      </c>
    </row>
    <row r="15976">
      <c r="A15976" s="1">
        <v>5.0</v>
      </c>
      <c r="B15976" s="1" t="s">
        <v>15827</v>
      </c>
      <c r="C15976" t="str">
        <f>IFERROR(__xludf.DUMMYFUNCTION("GOOGLETRANSLATE(B15976, ""es"", ""en"")"),"Very nice shoes. It is an excellent footwear. Very comfortable and fully recommended. It is a real pleasure to walk with him. I'll have this brand in mind for the future.")</f>
        <v>Very nice shoes. It is an excellent footwear. Very comfortable and fully recommended. It is a real pleasure to walk with him. I'll have this brand in mind for the future.</v>
      </c>
    </row>
    <row r="15977">
      <c r="A15977" s="1">
        <v>5.0</v>
      </c>
      <c r="B15977" s="1" t="s">
        <v>15828</v>
      </c>
      <c r="C15977" t="str">
        <f>IFERROR(__xludf.DUMMYFUNCTION("GOOGLETRANSLATE(B15977, ""es"", ""en"")"),"Worth it for the price tracksuit between time. Take one size smaller! I recommend it")</f>
        <v>Worth it for the price tracksuit between time. Take one size smaller! I recommend it</v>
      </c>
    </row>
    <row r="15978">
      <c r="A15978" s="1">
        <v>5.0</v>
      </c>
      <c r="B15978" s="1" t="s">
        <v>15829</v>
      </c>
      <c r="C15978" t="str">
        <f>IFERROR(__xludf.DUMMYFUNCTION("GOOGLETRANSLATE(B15978, ""es"", ""en"")"),"Of all those who have tasted the best. All I've tried, certainly I prefer this (and I've tried many of the Amazon selling). The amount of steam is very good (and adjustable) and the reservoir is pretty good too. To fill simply remove the trim and remove t"&amp;"he cover. I have used with essential oils, but also can be used with oils for burners (available in Chinese) or a little colony. VA fenonenal. The noise made by the appliance is correct. I recommend Edito: A December 2, the device has stopped working for "&amp;"no apparent reason.")</f>
        <v>Of all those who have tasted the best. All I've tried, certainly I prefer this (and I've tried many of the Amazon selling). The amount of steam is very good (and adjustable) and the reservoir is pretty good too. To fill simply remove the trim and remove the cover. I have used with essential oils, but also can be used with oils for burners (available in Chinese) or a little colony. VA fenonenal. The noise made by the appliance is correct. I recommend Edito: A December 2, the device has stopped working for no apparent reason.</v>
      </c>
    </row>
    <row r="15979">
      <c r="A15979" s="1">
        <v>5.0</v>
      </c>
      <c r="B15979" s="1" t="s">
        <v>15830</v>
      </c>
      <c r="C15979" t="str">
        <f>IFERROR(__xludf.DUMMYFUNCTION("GOOGLETRANSLATE(B15979, ""es"", ""en"")"),"They smell pretty well essential oils of bergamot except he did not intuit much the smell in the diffuser")</f>
        <v>They smell pretty well essential oils of bergamot except he did not intuit much the smell in the diffuser</v>
      </c>
    </row>
    <row r="15980">
      <c r="A15980" s="1">
        <v>5.0</v>
      </c>
      <c r="B15980" s="1" t="s">
        <v>15831</v>
      </c>
      <c r="C15980" t="str">
        <f>IFERROR(__xludf.DUMMYFUNCTION("GOOGLETRANSLATE(B15980, ""es"", ""en"")"),"Excellent quality great but there is always to ask for another number. For example, for a 42 need to ask for a 42-43. Other way are small. They are very comfortable and foot grateful.")</f>
        <v>Excellent quality great but there is always to ask for another number. For example, for a 42 need to ask for a 42-43. Other way are small. They are very comfortable and foot grateful.</v>
      </c>
    </row>
    <row r="15981">
      <c r="A15981" s="1">
        <v>5.0</v>
      </c>
      <c r="B15981" s="1" t="s">
        <v>15832</v>
      </c>
      <c r="C15981" t="str">
        <f>IFERROR(__xludf.DUMMYFUNCTION("GOOGLETRANSLATE(B15981, ""es"", ""en"")"),"A little gem. This automatic Seiko also allows loading or manual lift with a Seiko caliber 4R39 own manufacturing simple but effective, it is, in my view, a delicacy design at the same time sturdy. With a diameter of 40.5 mm sphere, also has a great thick"&amp;"ness and a large crown box calling attention by blunt, but without the vagaries now being carried ... The details of the sphere and the circle Central textured, color and special volume of the needles, along with the mechanism seen in both the front and r"&amp;"ear lid, make together pass not unnoticed this little gem, elegant and classic at the same time sporty and current, as it indicated by its name: SSA231K1 Neo Classic. Only you put two faults: the main glass is mineral and not sapphire scratch much less an"&amp;"d is more suited to the category of the clock and the other, less important to me but one I can throw at fault, it is that has no luminescent point in the field, even needles.")</f>
        <v>A little gem. This automatic Seiko also allows loading or manual lift with a Seiko caliber 4R39 own manufacturing simple but effective, it is, in my view, a delicacy design at the same time sturdy. With a diameter of 40.5 mm sphere, also has a great thickness and a large crown box calling attention by blunt, but without the vagaries now being carried ... The details of the sphere and the circle Central textured, color and special volume of the needles, along with the mechanism seen in both the front and rear lid, make together pass not unnoticed this little gem, elegant and classic at the same time sporty and current, as it indicated by its name: SSA231K1 Neo Classic. Only you put two faults: the main glass is mineral and not sapphire scratch much less and is more suited to the category of the clock and the other, less important to me but one I can throw at fault, it is that has no luminescent point in the field, even needles.</v>
      </c>
    </row>
    <row r="15982">
      <c r="A15982" s="1">
        <v>5.0</v>
      </c>
      <c r="B15982" s="1" t="s">
        <v>15833</v>
      </c>
      <c r="C15982" t="str">
        <f>IFERROR(__xludf.DUMMYFUNCTION("GOOGLETRANSLATE(B15982, ""es"", ""en"")"),"That can withstand an object of up to 5kg. Very good tape 5M recommend it to 100%.")</f>
        <v>That can withstand an object of up to 5kg. Very good tape 5M recommend it to 100%.</v>
      </c>
    </row>
    <row r="15983">
      <c r="A15983" s="1">
        <v>2.0</v>
      </c>
      <c r="B15983" s="1" t="s">
        <v>15834</v>
      </c>
      <c r="C15983" t="str">
        <f>IFERROR(__xludf.DUMMYFUNCTION("GOOGLETRANSLATE(B15983, ""es"", ""en"")"),"It worked for me recently. The device itself is robust, looks good. But I've used it once, almost to a liter of orange juice. And he began to smell of burning and then no longer works!")</f>
        <v>It worked for me recently. The device itself is robust, looks good. But I've used it once, almost to a liter of orange juice. And he began to smell of burning and then no longer works!</v>
      </c>
    </row>
    <row r="15984">
      <c r="A15984" s="1">
        <v>3.0</v>
      </c>
      <c r="B15984" s="1" t="s">
        <v>15835</v>
      </c>
      <c r="C15984" t="str">
        <f>IFERROR(__xludf.DUMMYFUNCTION("GOOGLETRANSLATE(B15984, ""es"", ""en"")"),"Not very good The inner rubber band has started to break little use. I neither wet nor has given the sun .... Anyway.")</f>
        <v>Not very good The inner rubber band has started to break little use. I neither wet nor has given the sun .... Anyway.</v>
      </c>
    </row>
    <row r="15985">
      <c r="A15985" s="1">
        <v>3.0</v>
      </c>
      <c r="B15985" s="1" t="s">
        <v>15836</v>
      </c>
      <c r="C15985" t="str">
        <f>IFERROR(__xludf.DUMMYFUNCTION("GOOGLETRANSLATE(B15985, ""es"", ""en"")"),"Polar As for its quality fleece is a bit exaggerated. It's just nice to the body but does not warm. However it is not bad.")</f>
        <v>Polar As for its quality fleece is a bit exaggerated. It's just nice to the body but does not warm. However it is not bad.</v>
      </c>
    </row>
    <row r="15986">
      <c r="A15986" s="1">
        <v>1.0</v>
      </c>
      <c r="B15986" s="1" t="s">
        <v>15837</v>
      </c>
      <c r="C15986" t="str">
        <f>IFERROR(__xludf.DUMMYFUNCTION("GOOGLETRANSLATE(B15986, ""es"", ""en"")"),"Slimes oara I wanted to read in a q slimes comment was served to me has not worked for me: (also very very very very very small, it does not appear in the photo")</f>
        <v>Slimes oara I wanted to read in a q slimes comment was served to me has not worked for me: (also very very very very very small, it does not appear in the photo</v>
      </c>
    </row>
    <row r="15987">
      <c r="A15987" s="1">
        <v>1.0</v>
      </c>
      <c r="B15987" s="1" t="s">
        <v>15838</v>
      </c>
      <c r="C15987" t="str">
        <f>IFERROR(__xludf.DUMMYFUNCTION("GOOGLETRANSLATE(B15987, ""es"", ""en"")"),"That's not what I expected. I not liked anything, well packaged and presented, but very bad product, it does not smell that publicizes.")</f>
        <v>That's not what I expected. I not liked anything, well packaged and presented, but very bad product, it does not smell that publicizes.</v>
      </c>
    </row>
    <row r="15988">
      <c r="A15988" s="1">
        <v>4.0</v>
      </c>
      <c r="B15988" s="1" t="s">
        <v>15839</v>
      </c>
      <c r="C15988" t="str">
        <f>IFERROR(__xludf.DUMMYFUNCTION("GOOGLETRANSLATE(B15988, ""es"", ""en"")"),"Well right size, very comfortable to wear and many beautiful colors to choose, I recommend it, all right, the fabric shrinks nose if just one poco.por comments")</f>
        <v>Well right size, very comfortable to wear and many beautiful colors to choose, I recommend it, all right, the fabric shrinks nose if just one poco.por comments</v>
      </c>
    </row>
    <row r="15989">
      <c r="A15989" s="1">
        <v>4.0</v>
      </c>
      <c r="B15989" s="1" t="s">
        <v>15840</v>
      </c>
      <c r="C15989" t="str">
        <f>IFERROR(__xludf.DUMMYFUNCTION("GOOGLETRANSLATE(B15989, ""es"", ""en"")"),"Excellent quality. I've used it a few times but I'm happy, it's comfortable to use and makes little noise compared with other more expensive. It has a large power supcion, and that is where put the only ""but"", is so powerful that the broom head closely "&amp;"adheres to the floor and sometimes peels away from the tube, is not to be a major drawback but should engage a more fixed form. Otherwise I am very happy with the purchase.")</f>
        <v>Excellent quality. I've used it a few times but I'm happy, it's comfortable to use and makes little noise compared with other more expensive. It has a large power supcion, and that is where put the only "but", is so powerful that the broom head closely adheres to the floor and sometimes peels away from the tube, is not to be a major drawback but should engage a more fixed form. Otherwise I am very happy with the purchase.</v>
      </c>
    </row>
    <row r="15990">
      <c r="A15990" s="1">
        <v>4.0</v>
      </c>
      <c r="B15990" s="1" t="s">
        <v>15841</v>
      </c>
      <c r="C15990" t="str">
        <f>IFERROR(__xludf.DUMMYFUNCTION("GOOGLETRANSLATE(B15990, ""es"", ""en"")"),"It works well. I use it very often, it costs a little nibble on bread.")</f>
        <v>It works well. I use it very often, it costs a little nibble on bread.</v>
      </c>
    </row>
    <row r="15991">
      <c r="A15991" s="1">
        <v>4.0</v>
      </c>
      <c r="B15991" s="1" t="s">
        <v>15842</v>
      </c>
      <c r="C15991" t="str">
        <f>IFERROR(__xludf.DUMMYFUNCTION("GOOGLETRANSLATE(B15991, ""es"", ""en"")"),"Good buy or not llevases is nothing but the same time you feel protected. They are very comfortable.")</f>
        <v>Good buy or not llevases is nothing but the same time you feel protected. They are very comfortable.</v>
      </c>
    </row>
    <row r="15992">
      <c r="A15992" s="1">
        <v>4.0</v>
      </c>
      <c r="B15992" s="1" t="s">
        <v>15843</v>
      </c>
      <c r="C15992" t="str">
        <f>IFERROR(__xludf.DUMMYFUNCTION("GOOGLETRANSLATE(B15992, ""es"", ""en"")"),"It was what I wanted typical black casio with numbers in yellow, it was what I wanted and perfect. transport and delivery of perfect goods.")</f>
        <v>It was what I wanted typical black casio with numbers in yellow, it was what I wanted and perfect. transport and delivery of perfect goods.</v>
      </c>
    </row>
    <row r="15993">
      <c r="A15993" s="1">
        <v>5.0</v>
      </c>
      <c r="B15993" s="1" t="s">
        <v>15844</v>
      </c>
      <c r="C15993" t="str">
        <f>IFERROR(__xludf.DUMMYFUNCTION("GOOGLETRANSLATE(B15993, ""es"", ""en"")"),"Better than expected for the price you have, I expected a sound worse, but above all, the battery life is much higher than I had thought, I do not think it loads fast charge but fairly quickly. As for comfort are very blanditos which facilitates wearing g"&amp;"lasses, isolated sounds good and is easy to handle.")</f>
        <v>Better than expected for the price you have, I expected a sound worse, but above all, the battery life is much higher than I had thought, I do not think it loads fast charge but fairly quickly. As for comfort are very blanditos which facilitates wearing glasses, isolated sounds good and is easy to handle.</v>
      </c>
    </row>
    <row r="15994">
      <c r="A15994" s="1">
        <v>5.0</v>
      </c>
      <c r="B15994" s="1" t="s">
        <v>15845</v>
      </c>
      <c r="C15994" t="str">
        <f>IFERROR(__xludf.DUMMYFUNCTION("GOOGLETRANSLATE(B15994, ""es"", ""en"")"),"Good price came fast and the colors are exactly the same")</f>
        <v>Good price came fast and the colors are exactly the same</v>
      </c>
    </row>
    <row r="15995">
      <c r="A15995" s="1">
        <v>5.0</v>
      </c>
      <c r="B15995" s="1" t="s">
        <v>15846</v>
      </c>
      <c r="C15995" t="str">
        <f>IFERROR(__xludf.DUMMYFUNCTION("GOOGLETRANSLATE(B15995, ""es"", ""en"")"),"Comfort Very good and comfortable. I use them often and are like new")</f>
        <v>Comfort Very good and comfortable. I use them often and are like new</v>
      </c>
    </row>
    <row r="15996">
      <c r="A15996" s="1">
        <v>5.0</v>
      </c>
      <c r="B15996" s="1" t="s">
        <v>15847</v>
      </c>
      <c r="C15996" t="str">
        <f>IFERROR(__xludf.DUMMYFUNCTION("GOOGLETRANSLATE(B15996, ""es"", ""en"")"),"excellent quality / price good product that meets expectations in terms of quality / price refers. Recommended for use common home")</f>
        <v>excellent quality / price good product that meets expectations in terms of quality / price refers. Recommended for use common home</v>
      </c>
    </row>
    <row r="15997">
      <c r="A15997" s="1">
        <v>5.0</v>
      </c>
      <c r="B15997" s="1" t="s">
        <v>15848</v>
      </c>
      <c r="C15997" t="str">
        <f>IFERROR(__xludf.DUMMYFUNCTION("GOOGLETRANSLATE(B15997, ""es"", ""en"")"),"Perfect summer! Being are beautiful and very comfortable. I decided to buy them because I was looking forward last summer. There was rated the product until now because I also happened to me that I hurt between his fingers, pulling even staying slightly l"&amp;"arger. This week I used every day and happened to me as to others, the material gives a little and stop bothering and adapts to your foot. The sole is very thin but it looks in the picture. I am delighted. I find them very wearable for day to day, of cour"&amp;"se, according styles. To me fit me.")</f>
        <v>Perfect summer! Being are beautiful and very comfortable. I decided to buy them because I was looking forward last summer. There was rated the product until now because I also happened to me that I hurt between his fingers, pulling even staying slightly larger. This week I used every day and happened to me as to others, the material gives a little and stop bothering and adapts to your foot. The sole is very thin but it looks in the picture. I am delighted. I find them very wearable for day to day, of course, according styles. To me fit me.</v>
      </c>
    </row>
    <row r="15998">
      <c r="A15998" s="1">
        <v>5.0</v>
      </c>
      <c r="B15998" s="1" t="s">
        <v>15849</v>
      </c>
      <c r="C15998" t="str">
        <f>IFERROR(__xludf.DUMMYFUNCTION("GOOGLETRANSLATE(B15998, ""es"", ""en"")"),"Very good quality fine but very comfortable, right size and pockets very important to me.")</f>
        <v>Very good quality fine but very comfortable, right size and pockets very important to me.</v>
      </c>
    </row>
    <row r="15999">
      <c r="A15999" s="1">
        <v>5.0</v>
      </c>
      <c r="B15999" s="1" t="s">
        <v>15850</v>
      </c>
      <c r="C15999" t="str">
        <f>IFERROR(__xludf.DUMMYFUNCTION("GOOGLETRANSLATE(B15999, ""es"", ""en"")"),"covers These covers are fine. I like them very much. And its price is very competitive. I recommend it s all they buy.")</f>
        <v>covers These covers are fine. I like them very much. And its price is very competitive. I recommend it s all they buy.</v>
      </c>
    </row>
    <row r="16000">
      <c r="A16000" s="1">
        <v>5.0</v>
      </c>
      <c r="B16000" s="1" t="s">
        <v>15851</v>
      </c>
      <c r="C16000" t="str">
        <f>IFERROR(__xludf.DUMMYFUNCTION("GOOGLETRANSLATE(B16000, ""es"", ""en"")"),"The versatility of the product and its multiple utilities This beautifully designed and is very useful")</f>
        <v>The versatility of the product and its multiple utilities This beautifully designed and is very useful</v>
      </c>
    </row>
    <row r="16001">
      <c r="A16001" s="1">
        <v>5.0</v>
      </c>
      <c r="B16001" s="1" t="s">
        <v>15852</v>
      </c>
      <c r="C16001" t="str">
        <f>IFERROR(__xludf.DUMMYFUNCTION("GOOGLETRANSLATE(B16001, ""es"", ""en"")"),"It's very nice gift I bought it and liked it. It is very nice, looks beautiful with light, the quality of the ore is very well appreciated. A success very economical. Asks you the delivered by hand to not miss.")</f>
        <v>It's very nice gift I bought it and liked it. It is very nice, looks beautiful with light, the quality of the ore is very well appreciated. A success very economical. Asks you the delivered by hand to not miss.</v>
      </c>
    </row>
    <row r="16002">
      <c r="A16002" s="1">
        <v>5.0</v>
      </c>
      <c r="B16002" s="1" t="s">
        <v>15853</v>
      </c>
      <c r="C16002" t="str">
        <f>IFERROR(__xludf.DUMMYFUNCTION("GOOGLETRANSLATE(B16002, ""es"", ""en"")"),"Very comfortable good thing is they are very comfortable to stand long hours working in pastry. I would not recommend for those who have to walk ends up hurting the arch of the foot because it is closed and is flat, but to stand if it serves. They opened "&amp;"the holes in the drawing is down and so passes the air and not much foot perspires. So overall, it was very positive for me buying. The delivery took quite, but I guess it could have been an exception.")</f>
        <v>Very comfortable good thing is they are very comfortable to stand long hours working in pastry. I would not recommend for those who have to walk ends up hurting the arch of the foot because it is closed and is flat, but to stand if it serves. They opened the holes in the drawing is down and so passes the air and not much foot perspires. So overall, it was very positive for me buying. The delivery took quite, but I guess it could have been an exception.</v>
      </c>
    </row>
    <row r="16003">
      <c r="A16003" s="1">
        <v>5.0</v>
      </c>
      <c r="B16003" s="1" t="s">
        <v>15854</v>
      </c>
      <c r="C16003" t="str">
        <f>IFERROR(__xludf.DUMMYFUNCTION("GOOGLETRANSLATE(B16003, ""es"", ""en"")"),"Good sound quality and very accomplished design headphones because they had returned the pitiful sound in bass and treble. I wrote several emails to clarify the issue and have sent me new ones. Those just get me sound great, powerful bass and treble defin"&amp;"ed, nothing to do with those who returned, so I understand that previous were defective unit.")</f>
        <v>Good sound quality and very accomplished design headphones because they had returned the pitiful sound in bass and treble. I wrote several emails to clarify the issue and have sent me new ones. Those just get me sound great, powerful bass and treble defined, nothing to do with those who returned, so I understand that previous were defective unit.</v>
      </c>
    </row>
    <row r="16004">
      <c r="A16004" s="1">
        <v>5.0</v>
      </c>
      <c r="B16004" s="1" t="s">
        <v>15855</v>
      </c>
      <c r="C16004" t="str">
        <f>IFERROR(__xludf.DUMMYFUNCTION("GOOGLETRANSLATE(B16004, ""es"", ""en"")"),"S Love")</f>
        <v>S Love</v>
      </c>
    </row>
    <row r="16005">
      <c r="A16005" s="1">
        <v>5.0</v>
      </c>
      <c r="B16005" s="1" t="s">
        <v>15856</v>
      </c>
      <c r="C16005" t="str">
        <f>IFERROR(__xludf.DUMMYFUNCTION("GOOGLETRANSLATE(B16005, ""es"", ""en"")"),"Very good, better than expected cleans very well and effortlessly tested on monitors and tv with various types of screen.")</f>
        <v>Very good, better than expected cleans very well and effortlessly tested on monitors and tv with various types of screen.</v>
      </c>
    </row>
    <row r="16006">
      <c r="A16006" s="1">
        <v>5.0</v>
      </c>
      <c r="B16006" s="1" t="s">
        <v>15857</v>
      </c>
      <c r="C16006" t="str">
        <f>IFERROR(__xludf.DUMMYFUNCTION("GOOGLETRANSLATE(B16006, ""es"", ""en"")"),"Banba I gustaro much")</f>
        <v>Banba I gustaro much</v>
      </c>
    </row>
    <row r="16007">
      <c r="A16007" s="1">
        <v>5.0</v>
      </c>
      <c r="B16007" s="1" t="s">
        <v>15858</v>
      </c>
      <c r="C16007" t="str">
        <f>IFERROR(__xludf.DUMMYFUNCTION("GOOGLETRANSLATE(B16007, ""es"", ""en"")"),"Just what I was looking was looking for a hard disk, and among those who had, this had a good deal for 4TB, so I decided to buy it. After several months of using it, still working properly. Very happy with the purchase.")</f>
        <v>Just what I was looking was looking for a hard disk, and among those who had, this had a good deal for 4TB, so I decided to buy it. After several months of using it, still working properly. Very happy with the purchase.</v>
      </c>
    </row>
    <row r="16008">
      <c r="A16008" s="1">
        <v>5.0</v>
      </c>
      <c r="B16008" s="1" t="s">
        <v>15859</v>
      </c>
      <c r="C16008" t="str">
        <f>IFERROR(__xludf.DUMMYFUNCTION("GOOGLETRANSLATE(B16008, ""es"", ""en"")"),"It Works The first removes the hairs of my cat really.")</f>
        <v>It Works The first removes the hairs of my cat really.</v>
      </c>
    </row>
    <row r="16009">
      <c r="A16009" s="1">
        <v>5.0</v>
      </c>
      <c r="B16009" s="1" t="s">
        <v>15860</v>
      </c>
      <c r="C16009" t="str">
        <f>IFERROR(__xludf.DUMMYFUNCTION("GOOGLETRANSLATE(B16009, ""es"", ""en"")"),"All good buy according to expected delivery times and sneakers are super comfortable ... I had heard of this brand but had not yet had the pleasure to try them ... Very highly recommended")</f>
        <v>All good buy according to expected delivery times and sneakers are super comfortable ... I had heard of this brand but had not yet had the pleasure to try them ... Very highly recommended</v>
      </c>
    </row>
    <row r="16010">
      <c r="A16010" s="1">
        <v>5.0</v>
      </c>
      <c r="B16010" s="1" t="s">
        <v>15861</v>
      </c>
      <c r="C16010" t="str">
        <f>IFERROR(__xludf.DUMMYFUNCTION("GOOGLETRANSLATE(B16010, ""es"", ""en"")"),"Beautiful and elegant nice and good quality, fits perfectly, buy it to wear everyday, colorful and beautiful, I love it becomes transparent fabric is the same as in the picture, certainly a good buy.")</f>
        <v>Beautiful and elegant nice and good quality, fits perfectly, buy it to wear everyday, colorful and beautiful, I love it becomes transparent fabric is the same as in the picture, certainly a good buy.</v>
      </c>
    </row>
    <row r="16011">
      <c r="A16011" s="1">
        <v>5.0</v>
      </c>
      <c r="B16011" s="1" t="s">
        <v>15862</v>
      </c>
      <c r="C16011" t="str">
        <f>IFERROR(__xludf.DUMMYFUNCTION("GOOGLETRANSLATE(B16011, ""es"", ""en"")"),"I arrived perfect are for a Latin dance party, are very comfortable and very nice as is in the photo")</f>
        <v>I arrived perfect are for a Latin dance party, are very comfortable and very nice as is in the photo</v>
      </c>
    </row>
    <row r="16012">
      <c r="A16012" s="1">
        <v>2.0</v>
      </c>
      <c r="B16012" s="1" t="s">
        <v>15863</v>
      </c>
      <c r="C16012" t="str">
        <f>IFERROR(__xludf.DUMMYFUNCTION("GOOGLETRANSLATE(B16012, ""es"", ""en"")"),"I do not like cable buy less price much higher quality in a music store, the cable parese a power cord is not gummy like I used to buy and more lijero")</f>
        <v>I do not like cable buy less price much higher quality in a music store, the cable parese a power cord is not gummy like I used to buy and more lijero</v>
      </c>
    </row>
    <row r="16013">
      <c r="A16013" s="1">
        <v>3.0</v>
      </c>
      <c r="B16013" s="1" t="s">
        <v>15864</v>
      </c>
      <c r="C16013" t="str">
        <f>IFERROR(__xludf.DUMMYFUNCTION("GOOGLETRANSLATE(B16013, ""es"", ""en"")"),"The watch is well in the photo appears to be much illuminated but at the least mine, the numbers are almost no distinction.")</f>
        <v>The watch is well in the photo appears to be much illuminated but at the least mine, the numbers are almost no distinction.</v>
      </c>
    </row>
    <row r="16014">
      <c r="A16014" s="1">
        <v>1.0</v>
      </c>
      <c r="B16014" s="1" t="s">
        <v>15865</v>
      </c>
      <c r="C16014" t="str">
        <f>IFERROR(__xludf.DUMMYFUNCTION("GOOGLETRANSLATE(B16014, ""es"", ""en"")"),"Sound fatal for less than 3 € was hard to get loudspeakers worse than RENFE .... Reto achieved. It's a shame because the bluetooth works well, there is a blue LED flashes like a beacon ... he recommended to hear voices (podcast, discussion, etc.) and not "&amp;"for music.")</f>
        <v>Sound fatal for less than 3 € was hard to get loudspeakers worse than RENFE .... Reto achieved. It's a shame because the bluetooth works well, there is a blue LED flashes like a beacon ... he recommended to hear voices (podcast, discussion, etc.) and not for music.</v>
      </c>
    </row>
    <row r="16015">
      <c r="A16015" s="1">
        <v>1.0</v>
      </c>
      <c r="B16015" s="1" t="s">
        <v>15866</v>
      </c>
      <c r="C16015" t="str">
        <f>IFERROR(__xludf.DUMMYFUNCTION("GOOGLETRANSLATE(B16015, ""es"", ""en"")"),"Article No sound bad")</f>
        <v>Article No sound bad</v>
      </c>
    </row>
    <row r="16016">
      <c r="A16016" s="1">
        <v>1.0</v>
      </c>
      <c r="B16016" s="1" t="s">
        <v>15867</v>
      </c>
      <c r="C16016" t="str">
        <f>IFERROR(__xludf.DUMMYFUNCTION("GOOGLETRANSLATE(B16016, ""es"", ""en"")"),"Metal spots Hello, I bought the shoes a few months and really makes've given little use, because normally I use shoes. After use ""at times"" this summer without wetting them at any time, metal holes have begun to stain all black shoe. I find it fatal tha"&amp;"t a brand like this ""stain his image"" by using low quality materials.")</f>
        <v>Metal spots Hello, I bought the shoes a few months and really makes've given little use, because normally I use shoes. After use "at times" this summer without wetting them at any time, metal holes have begun to stain all black shoe. I find it fatal that a brand like this "stain his image" by using low quality materials.</v>
      </c>
    </row>
    <row r="16017">
      <c r="A16017" s="1">
        <v>4.0</v>
      </c>
      <c r="B16017" s="1" t="s">
        <v>15868</v>
      </c>
      <c r="C16017" t="str">
        <f>IFERROR(__xludf.DUMMYFUNCTION("GOOGLETRANSLATE(B16017, ""es"", ""en"")"),"Fast and discreet I like the gizmo is discreet, fast and fulfills its function very well. The only but it is that the cable is a bit short for my taste, just open the lid to fill it. But really worth.")</f>
        <v>Fast and discreet I like the gizmo is discreet, fast and fulfills its function very well. The only but it is that the cable is a bit short for my taste, just open the lid to fill it. But really worth.</v>
      </c>
    </row>
    <row r="16018">
      <c r="A16018" s="1">
        <v>4.0</v>
      </c>
      <c r="B16018" s="1" t="s">
        <v>15869</v>
      </c>
      <c r="C16018" t="str">
        <f>IFERROR(__xludf.DUMMYFUNCTION("GOOGLETRANSLATE(B16018, ""es"", ""en"")"),"OK but ... A little charros but worth it q can not expect pears elm ... I'll use ever")</f>
        <v>OK but ... A little charros but worth it q can not expect pears elm ... I'll use ever</v>
      </c>
    </row>
    <row r="16019">
      <c r="A16019" s="1">
        <v>4.0</v>
      </c>
      <c r="B16019" s="1" t="s">
        <v>15870</v>
      </c>
      <c r="C16019" t="str">
        <f>IFERROR(__xludf.DUMMYFUNCTION("GOOGLETRANSLATE(B16019, ""es"", ""en"")"),"Comfortable I bought for the car and the truth is that it is quite comfortable as it does not protrude from the dashboard and the risk of breakage of a punch and stay inside part does not run. I got to the top of music and still has loads of free space. I"&amp;"t comes with a lid to protect the head from dirt, if you have to carry in a pocket or purse.")</f>
        <v>Comfortable I bought for the car and the truth is that it is quite comfortable as it does not protrude from the dashboard and the risk of breakage of a punch and stay inside part does not run. I got to the top of music and still has loads of free space. It comes with a lid to protect the head from dirt, if you have to carry in a pocket or purse.</v>
      </c>
    </row>
    <row r="16020">
      <c r="A16020" s="1">
        <v>4.0</v>
      </c>
      <c r="B16020" s="1" t="s">
        <v>15871</v>
      </c>
      <c r="C16020" t="str">
        <f>IFERROR(__xludf.DUMMYFUNCTION("GOOGLETRANSLATE(B16020, ""es"", ""en"")"),"Beautiful. As in the picture is very light, nice and bright but please for the price that has to be silver despite having the seal 925 on the hitch, it may be the only thing if it is silver. I recommend it")</f>
        <v>Beautiful. As in the picture is very light, nice and bright but please for the price that has to be silver despite having the seal 925 on the hitch, it may be the only thing if it is silver. I recommend it</v>
      </c>
    </row>
    <row r="16021">
      <c r="A16021" s="1">
        <v>5.0</v>
      </c>
      <c r="B16021" s="1" t="s">
        <v>15872</v>
      </c>
      <c r="C16021" t="str">
        <f>IFERROR(__xludf.DUMMYFUNCTION("GOOGLETRANSLATE(B16021, ""es"", ""en"")"),"practices are not what I expected. What is not liked me that the holes in the sole lead all pises small stones are stuck and have to stop to remove them to avoid irregular support")</f>
        <v>practices are not what I expected. What is not liked me that the holes in the sole lead all pises small stones are stuck and have to stop to remove them to avoid irregular support</v>
      </c>
    </row>
    <row r="16022">
      <c r="A16022" s="1">
        <v>5.0</v>
      </c>
      <c r="B16022" s="1" t="s">
        <v>15873</v>
      </c>
      <c r="C16022" t="str">
        <f>IFERROR(__xludf.DUMMYFUNCTION("GOOGLETRANSLATE(B16022, ""es"", ""en"")"),"I was looking for exactly what I was looking for. It is a small boat, 50ml, but spreads enough, and works for many things. Certainly a great buy. It came to me in good condition and fast to avoid paying shipping charges.")</f>
        <v>I was looking for exactly what I was looking for. It is a small boat, 50ml, but spreads enough, and works for many things. Certainly a great buy. It came to me in good condition and fast to avoid paying shipping charges.</v>
      </c>
    </row>
    <row r="16023">
      <c r="A16023" s="1">
        <v>5.0</v>
      </c>
      <c r="B16023" s="1" t="s">
        <v>15874</v>
      </c>
      <c r="C16023" t="str">
        <f>IFERROR(__xludf.DUMMYFUNCTION("GOOGLETRANSLATE(B16023, ""es"", ""en"")"),"Price / quality is very good with all the corners in perfect condition, the fact that it is self-adhesive greatly facilitates placement and bonding is also consistent even heat zones. I recommend 100/100")</f>
        <v>Price / quality is very good with all the corners in perfect condition, the fact that it is self-adhesive greatly facilitates placement and bonding is also consistent even heat zones. I recommend 100/100</v>
      </c>
    </row>
    <row r="16024">
      <c r="A16024" s="1">
        <v>5.0</v>
      </c>
      <c r="B16024" s="1" t="s">
        <v>15875</v>
      </c>
      <c r="C16024" t="str">
        <f>IFERROR(__xludf.DUMMYFUNCTION("GOOGLETRANSLATE(B16024, ""es"", ""en"")"),"It feels good. Very good garment.")</f>
        <v>It feels good. Very good garment.</v>
      </c>
    </row>
    <row r="16025">
      <c r="A16025" s="1">
        <v>5.0</v>
      </c>
      <c r="B16025" s="1" t="s">
        <v>15876</v>
      </c>
      <c r="C16025" t="str">
        <f>IFERROR(__xludf.DUMMYFUNCTION("GOOGLETRANSLATE(B16025, ""es"", ""en"")"),"On the one hand helmets do not adhere well to the ear (bad) and heard another good not great because there are better but listen well to being a simple helmets (the good)")</f>
        <v>On the one hand helmets do not adhere well to the ear (bad) and heard another good not great because there are better but listen well to being a simple helmets (the good)</v>
      </c>
    </row>
    <row r="16026">
      <c r="A16026" s="1">
        <v>5.0</v>
      </c>
      <c r="B16026" s="1" t="s">
        <v>15877</v>
      </c>
      <c r="C16026" t="str">
        <f>IFERROR(__xludf.DUMMYFUNCTION("GOOGLETRANSLATE(B16026, ""es"", ""en"")"),"Good feeling I have just arrived and I tried the first contact has been very good. Excel.lente comfortable with a tread. The design and colors (green and yellow in my case) fantastic. Solomon is my second, very pleased with the brand.")</f>
        <v>Good feeling I have just arrived and I tried the first contact has been very good. Excel.lente comfortable with a tread. The design and colors (green and yellow in my case) fantastic. Solomon is my second, very pleased with the brand.</v>
      </c>
    </row>
    <row r="16027">
      <c r="A16027" s="1">
        <v>5.0</v>
      </c>
      <c r="B16027" s="1" t="s">
        <v>15878</v>
      </c>
      <c r="C16027" t="str">
        <f>IFERROR(__xludf.DUMMYFUNCTION("GOOGLETRANSLATE(B16027, ""es"", ""en"")"),"The comfortable at a good price I bought at a great price. Comfortable, perfect for summer days without rain. In my case the sizing is correct.")</f>
        <v>The comfortable at a good price I bought at a great price. Comfortable, perfect for summer days without rain. In my case the sizing is correct.</v>
      </c>
    </row>
    <row r="16028">
      <c r="A16028" s="1">
        <v>5.0</v>
      </c>
      <c r="B16028" s="1" t="s">
        <v>15879</v>
      </c>
      <c r="C16028" t="str">
        <f>IFERROR(__xludf.DUMMYFUNCTION("GOOGLETRANSLATE(B16028, ""es"", ""en"")"),"Perfect Very good quality / price, perhaps distorted bass when the volume climb but considering I bought the one to use when I run I do not think you heard wrong. They fit well into my ear with small pads and do not fall off me.")</f>
        <v>Perfect Very good quality / price, perhaps distorted bass when the volume climb but considering I bought the one to use when I run I do not think you heard wrong. They fit well into my ear with small pads and do not fall off me.</v>
      </c>
    </row>
    <row r="16029">
      <c r="A16029" s="1">
        <v>5.0</v>
      </c>
      <c r="B16029" s="1" t="s">
        <v>15880</v>
      </c>
      <c r="C16029" t="str">
        <f>IFERROR(__xludf.DUMMYFUNCTION("GOOGLETRANSLATE(B16029, ""es"", ""en"")"),"plastic closures I bought them for Suso closures bracelets girls and perfect ...")</f>
        <v>plastic closures I bought them for Suso closures bracelets girls and perfect ...</v>
      </c>
    </row>
    <row r="16030">
      <c r="A16030" s="1">
        <v>5.0</v>
      </c>
      <c r="B16030" s="1" t="s">
        <v>15881</v>
      </c>
      <c r="C16030" t="str">
        <f>IFERROR(__xludf.DUMMYFUNCTION("GOOGLETRANSLATE(B16030, ""es"", ""en"")"),"I am delighted super comfortable very comfortable shoes to work standing up are great, I am very happy with the purchase, I asked for my number and I recommend them is perfect")</f>
        <v>I am delighted super comfortable very comfortable shoes to work standing up are great, I am very happy with the purchase, I asked for my number and I recommend them is perfect</v>
      </c>
    </row>
    <row r="16031">
      <c r="A16031" s="1">
        <v>5.0</v>
      </c>
      <c r="B16031" s="1" t="s">
        <v>12371</v>
      </c>
      <c r="C16031" t="str">
        <f>IFERROR(__xludf.DUMMYFUNCTION("GOOGLETRANSLATE(B16031, ""es"", ""en"")"),"Very nice Beautiful")</f>
        <v>Very nice Beautiful</v>
      </c>
    </row>
    <row r="16032">
      <c r="A16032" s="1">
        <v>5.0</v>
      </c>
      <c r="B16032" s="1" t="s">
        <v>15882</v>
      </c>
      <c r="C16032" t="str">
        <f>IFERROR(__xludf.DUMMYFUNCTION("GOOGLETRANSLATE(B16032, ""es"", ""en"")"),"Good value and fun good microphone, you hear very well and has USB, aux and sd card to play music. Ideal for kids who are giving good use and pass it great. It is easy to use, comes with a manual that explains the function of each button. It is very good "&amp;"that does not have batteries, you save having to be changing every few days, in your work place with a rechargeable battery and hard enough with the microphone in full operation.")</f>
        <v>Good value and fun good microphone, you hear very well and has USB, aux and sd card to play music. Ideal for kids who are giving good use and pass it great. It is easy to use, comes with a manual that explains the function of each button. It is very good that does not have batteries, you save having to be changing every few days, in your work place with a rechargeable battery and hard enough with the microphone in full operation.</v>
      </c>
    </row>
    <row r="16033">
      <c r="A16033" s="1">
        <v>5.0</v>
      </c>
      <c r="B16033" s="1" t="s">
        <v>15883</v>
      </c>
      <c r="C16033" t="str">
        <f>IFERROR(__xludf.DUMMYFUNCTION("GOOGLETRANSLATE(B16033, ""es"", ""en"")"),"Good stuff, good buy Perfecto👍🏻")</f>
        <v>Good stuff, good buy Perfecto👍🏻</v>
      </c>
    </row>
    <row r="16034">
      <c r="A16034" s="1">
        <v>5.0</v>
      </c>
      <c r="B16034" s="1" t="s">
        <v>15884</v>
      </c>
      <c r="C16034" t="str">
        <f>IFERROR(__xludf.DUMMYFUNCTION("GOOGLETRANSLATE(B16034, ""es"", ""en"")"),"soft, soothing and long lasting scent I've been using it since it came to me on Sunday, 3 days ago and the humidor that I 90ml water I threw as 6 drops or more and the smell remains, is a gentle lemon scent reminds me much leaves lemons, is not a strong s"&amp;"mell of those who put you in the nostrils and leave you not breathe, is rather the opposite is true, relaxes you even say I totally recommend if you like the natural lemon scent.")</f>
        <v>soft, soothing and long lasting scent I've been using it since it came to me on Sunday, 3 days ago and the humidor that I 90ml water I threw as 6 drops or more and the smell remains, is a gentle lemon scent reminds me much leaves lemons, is not a strong smell of those who put you in the nostrils and leave you not breathe, is rather the opposite is true, relaxes you even say I totally recommend if you like the natural lemon scent.</v>
      </c>
    </row>
    <row r="16035">
      <c r="A16035" s="1">
        <v>5.0</v>
      </c>
      <c r="B16035" s="1" t="s">
        <v>15885</v>
      </c>
      <c r="C16035" t="str">
        <f>IFERROR(__xludf.DUMMYFUNCTION("GOOGLETRANSLATE(B16035, ""es"", ""en"")"),"Good product is adjustable in height and looks good")</f>
        <v>Good product is adjustable in height and looks good</v>
      </c>
    </row>
    <row r="16036">
      <c r="A16036" s="1">
        <v>5.0</v>
      </c>
      <c r="B16036" s="1" t="s">
        <v>15886</v>
      </c>
      <c r="C16036" t="str">
        <f>IFERROR(__xludf.DUMMYFUNCTION("GOOGLETRANSLATE(B16036, ""es"", ""en"")"),"Great sound quality These helmets have a great sound: the bass are tight, and they are easy to pair with your mobile phone. Also to be fairly light, there is no problem with that you fall while exercising or any activity because they adapt perfectly to th"&amp;"e ear. The battery case has a very cool design, and also can use it to charge your phone or other devices, which makes it a perfect companion for traveling.")</f>
        <v>Great sound quality These helmets have a great sound: the bass are tight, and they are easy to pair with your mobile phone. Also to be fairly light, there is no problem with that you fall while exercising or any activity because they adapt perfectly to the ear. The battery case has a very cool design, and also can use it to charge your phone or other devices, which makes it a perfect companion for traveling.</v>
      </c>
    </row>
    <row r="16037">
      <c r="A16037" s="1">
        <v>5.0</v>
      </c>
      <c r="B16037" s="1" t="s">
        <v>15887</v>
      </c>
      <c r="C16037" t="str">
        <f>IFERROR(__xludf.DUMMYFUNCTION("GOOGLETRANSLATE(B16037, ""es"", ""en"")"),"Beautiful, elegant, colorful. They are beautiful, very colorful and very stylish. They feel very well and are very original. Very cheap. I hope the result is also giving good and durable. ideal size. Very satisfied with the purchase.")</f>
        <v>Beautiful, elegant, colorful. They are beautiful, very colorful and very stylish. They feel very well and are very original. Very cheap. I hope the result is also giving good and durable. ideal size. Very satisfied with the purchase.</v>
      </c>
    </row>
    <row r="16038">
      <c r="A16038" s="1">
        <v>5.0</v>
      </c>
      <c r="B16038" s="1" t="s">
        <v>15888</v>
      </c>
      <c r="C16038" t="str">
        <f>IFERROR(__xludf.DUMMYFUNCTION("GOOGLETRANSLATE(B16038, ""es"", ""en"")"),"Maximum speed I bought this card because I use a camera 360 and needs a lot of writing speed, other brands give the same rates but writing practice are peak speeds and can not sustain them. This card is the fastest there and meets speeds.")</f>
        <v>Maximum speed I bought this card because I use a camera 360 and needs a lot of writing speed, other brands give the same rates but writing practice are peak speeds and can not sustain them. This card is the fastest there and meets speeds.</v>
      </c>
    </row>
    <row r="16039">
      <c r="A16039" s="1">
        <v>2.0</v>
      </c>
      <c r="B16039" s="1" t="s">
        <v>15889</v>
      </c>
      <c r="C16039" t="str">
        <f>IFERROR(__xludf.DUMMYFUNCTION("GOOGLETRANSLATE(B16039, ""es"", ""en"")"),"Oil Essentials me not like the smell, for the money I took a disappointment")</f>
        <v>Oil Essentials me not like the smell, for the money I took a disappointment</v>
      </c>
    </row>
    <row r="16040">
      <c r="A16040" s="1">
        <v>3.0</v>
      </c>
      <c r="B16040" s="1" t="s">
        <v>15890</v>
      </c>
      <c r="C16040" t="str">
        <f>IFERROR(__xludf.DUMMYFUNCTION("GOOGLETRANSLATE(B16040, ""es"", ""en"")"),"Eva Very good shoes, I bought several pairs of other models over several years and always great, super comfortable and light. In this particular model the shape is narrower and the mouth shut so hard to put the foot, I've returned, a shame because they ar"&amp;"e very nice.")</f>
        <v>Eva Very good shoes, I bought several pairs of other models over several years and always great, super comfortable and light. In this particular model the shape is narrower and the mouth shut so hard to put the foot, I've returned, a shame because they are very nice.</v>
      </c>
    </row>
    <row r="16041">
      <c r="A16041" s="1">
        <v>3.0</v>
      </c>
      <c r="B16041" s="1" t="s">
        <v>15891</v>
      </c>
      <c r="C16041" t="str">
        <f>IFERROR(__xludf.DUMMYFUNCTION("GOOGLETRANSLATE(B16041, ""es"", ""en"")"),"Pretty good cable! It truly is a fairly normal cable. Noted for its color. You should have taken a longer cable, but I will perfect, if I had left over I would not have minded.")</f>
        <v>Pretty good cable! It truly is a fairly normal cable. Noted for its color. You should have taken a longer cable, but I will perfect, if I had left over I would not have minded.</v>
      </c>
    </row>
    <row r="16042">
      <c r="A16042" s="1">
        <v>3.0</v>
      </c>
      <c r="B16042" s="1" t="s">
        <v>15892</v>
      </c>
      <c r="C16042" t="str">
        <f>IFERROR(__xludf.DUMMYFUNCTION("GOOGLETRANSLATE(B16042, ""es"", ""en"")"),"No ice serves snacks. The materials are not the best")</f>
        <v>No ice serves snacks. The materials are not the best</v>
      </c>
    </row>
    <row r="16043">
      <c r="A16043" s="1">
        <v>1.0</v>
      </c>
      <c r="B16043" s="1" t="s">
        <v>15893</v>
      </c>
      <c r="C16043" t="str">
        <f>IFERROR(__xludf.DUMMYFUNCTION("GOOGLETRANSLATE(B16043, ""es"", ""en"")"),"Pedi blue and looks like a gray blue sucii yvencima one unstitched bolsilo Komo Not pictured far")</f>
        <v>Pedi blue and looks like a gray blue sucii yvencima one unstitched bolsilo Komo Not pictured far</v>
      </c>
    </row>
    <row r="16044">
      <c r="A16044" s="1">
        <v>1.0</v>
      </c>
      <c r="B16044" s="1" t="s">
        <v>15894</v>
      </c>
      <c r="C16044" t="str">
        <f>IFERROR(__xludf.DUMMYFUNCTION("GOOGLETRANSLATE(B16044, ""es"", ""en"")"),"False. Poor quality materials rather bad, are smaller than q and q is supposed to their size. They are Adidas and it shows as soon as you have on hand. Falsísimas")</f>
        <v>False. Poor quality materials rather bad, are smaller than q and q is supposed to their size. They are Adidas and it shows as soon as you have on hand. Falsísimas</v>
      </c>
    </row>
    <row r="16045">
      <c r="A16045" s="1">
        <v>4.0</v>
      </c>
      <c r="B16045" s="1" t="s">
        <v>15895</v>
      </c>
      <c r="C16045" t="str">
        <f>IFERROR(__xludf.DUMMYFUNCTION("GOOGLETRANSLATE(B16045, ""es"", ""en"")"),"A good product Good quality - price. Without a star product fulfills its function perfectly and I am satisfied with the purchase. The base of the microphone is sufficiently wide and the height that allows the microphone has allowed me to improve the quali"&amp;"ty of the audio. Recommend buying for who does not want to force your budget ....")</f>
        <v>A good product Good quality - price. Without a star product fulfills its function perfectly and I am satisfied with the purchase. The base of the microphone is sufficiently wide and the height that allows the microphone has allowed me to improve the quality of the audio. Recommend buying for who does not want to force your budget ....</v>
      </c>
    </row>
    <row r="16046">
      <c r="A16046" s="1">
        <v>4.0</v>
      </c>
      <c r="B16046" s="1" t="s">
        <v>15896</v>
      </c>
      <c r="C16046" t="str">
        <f>IFERROR(__xludf.DUMMYFUNCTION("GOOGLETRANSLATE(B16046, ""es"", ""en"")"),"Perfect for yoga came before the date esperada.Es ideal for yoga.Parece small but is very elastic and not spare much bajo.La fabric is very happy with the purchase suave.Estoy")</f>
        <v>Perfect for yoga came before the date esperada.Es ideal for yoga.Parece small but is very elastic and not spare much bajo.La fabric is very happy with the purchase suave.Estoy</v>
      </c>
    </row>
    <row r="16047">
      <c r="A16047" s="1">
        <v>4.0</v>
      </c>
      <c r="B16047" s="1" t="s">
        <v>15897</v>
      </c>
      <c r="C16047" t="str">
        <f>IFERROR(__xludf.DUMMYFUNCTION("GOOGLETRANSLATE(B16047, ""es"", ""en"")"),"Well not delayed, the battery lasts longer than one year and not notice malote to touch or sight. I recommend it.")</f>
        <v>Well not delayed, the battery lasts longer than one year and not notice malote to touch or sight. I recommend it.</v>
      </c>
    </row>
    <row r="16048">
      <c r="A16048" s="1">
        <v>4.0</v>
      </c>
      <c r="B16048" s="1" t="s">
        <v>15898</v>
      </c>
      <c r="C16048" t="str">
        <f>IFERROR(__xludf.DUMMYFUNCTION("GOOGLETRANSLATE(B16048, ""es"", ""en"")"),"DeskTop data disk Mainly value for money. There are other devices of the same capacity and more speed, but the price increases because they are oriented video games. In this case, data used for personal folders that need to be available throughout the ses"&amp;"sion.")</f>
        <v>DeskTop data disk Mainly value for money. There are other devices of the same capacity and more speed, but the price increases because they are oriented video games. In this case, data used for personal folders that need to be available throughout the session.</v>
      </c>
    </row>
    <row r="16049">
      <c r="A16049" s="1">
        <v>4.0</v>
      </c>
      <c r="B16049" s="1" t="s">
        <v>15899</v>
      </c>
      <c r="C16049" t="str">
        <f>IFERROR(__xludf.DUMMYFUNCTION("GOOGLETRANSLATE(B16049, ""es"", ""en"")"),"Good product This duct tape is that I like, because it makes that noise horrendous that do usually tapes and adherence in principle is pretty good, but when you spend a little time, like most, tends to peel off. Normal.")</f>
        <v>Good product This duct tape is that I like, because it makes that noise horrendous that do usually tapes and adherence in principle is pretty good, but when you spend a little time, like most, tends to peel off. Normal.</v>
      </c>
    </row>
    <row r="16050">
      <c r="A16050" s="1">
        <v>5.0</v>
      </c>
      <c r="B16050" s="1" t="s">
        <v>15900</v>
      </c>
      <c r="C16050" t="str">
        <f>IFERROR(__xludf.DUMMYFUNCTION("GOOGLETRANSLATE(B16050, ""es"", ""en"")"),"Blenders Solac BA 5602 (rod-800W). He was another of the same brand and has lasted me many years. Therefore, I repeated the same brand and type. easily work performed, has power and clean well.")</f>
        <v>Blenders Solac BA 5602 (rod-800W). He was another of the same brand and has lasted me many years. Therefore, I repeated the same brand and type. easily work performed, has power and clean well.</v>
      </c>
    </row>
    <row r="16051">
      <c r="A16051" s="1">
        <v>5.0</v>
      </c>
      <c r="B16051" s="1" t="s">
        <v>15901</v>
      </c>
      <c r="C16051" t="str">
        <f>IFERROR(__xludf.DUMMYFUNCTION("GOOGLETRANSLATE(B16051, ""es"", ""en"")"),"I look great all liked")</f>
        <v>I look great all liked</v>
      </c>
    </row>
    <row r="16052">
      <c r="A16052" s="1">
        <v>5.0</v>
      </c>
      <c r="B16052" s="1" t="s">
        <v>15902</v>
      </c>
      <c r="C16052" t="str">
        <f>IFERROR(__xludf.DUMMYFUNCTION("GOOGLETRANSLATE(B16052, ""es"", ""en"")"),"Very happy with purchase great buy, comes each bottle with the nipple for newborn, part 2 retinas come to +6 months each bottle includes a small tube to clean inside the tube.")</f>
        <v>Very happy with purchase great buy, comes each bottle with the nipple for newborn, part 2 retinas come to +6 months each bottle includes a small tube to clean inside the tube.</v>
      </c>
    </row>
    <row r="16053">
      <c r="A16053" s="1">
        <v>5.0</v>
      </c>
      <c r="B16053" s="1" t="s">
        <v>15903</v>
      </c>
      <c r="C16053" t="str">
        <f>IFERROR(__xludf.DUMMYFUNCTION("GOOGLETRANSLATE(B16053, ""es"", ""en"")"),"Really nice I put the maximum score because I was surprised. I was waiting small and therefore not very showy, but despite being small (they are) the design is really nice and caring. Input allows some light gives it a very suitable brightness even though"&amp;" the stones are cubic zirconia. Perfect packaging comes in a case where the slopes are sealed. Honestly, I was surprised for good. I recommend it for any kind of casual detail.")</f>
        <v>Really nice I put the maximum score because I was surprised. I was waiting small and therefore not very showy, but despite being small (they are) the design is really nice and caring. Input allows some light gives it a very suitable brightness even though the stones are cubic zirconia. Perfect packaging comes in a case where the slopes are sealed. Honestly, I was surprised for good. I recommend it for any kind of casual detail.</v>
      </c>
    </row>
    <row r="16054">
      <c r="A16054" s="1">
        <v>5.0</v>
      </c>
      <c r="B16054" s="1" t="s">
        <v>15904</v>
      </c>
      <c r="C16054" t="str">
        <f>IFERROR(__xludf.DUMMYFUNCTION("GOOGLETRANSLATE(B16054, ""es"", ""en"")"),"I have a fast PC gaming, so here wanted aprobechar to the maximum its possibilities, and for that I bought this SSD. The fact that the computer is turned a little faster than before, to the have Windows installed on, but little else. having so much power "&amp;"on a computer, it shows little difference. These SSD serve them more a little older or less powerful computers, and to give them more life. In the install I've gone a little crazy, since installing the SSD, I stopped working the 1TB HDD, and after countle"&amp;"ss hours fiddling with the BIOS, and test cables, I got fix it. And of course it includes screw, I had to look for one around the house to serve.")</f>
        <v>I have a fast PC gaming, so here wanted aprobechar to the maximum its possibilities, and for that I bought this SSD. The fact that the computer is turned a little faster than before, to the have Windows installed on, but little else. having so much power on a computer, it shows little difference. These SSD serve them more a little older or less powerful computers, and to give them more life. In the install I've gone a little crazy, since installing the SSD, I stopped working the 1TB HDD, and after countless hours fiddling with the BIOS, and test cables, I got fix it. And of course it includes screw, I had to look for one around the house to serve.</v>
      </c>
    </row>
    <row r="16055">
      <c r="A16055" s="1">
        <v>5.0</v>
      </c>
      <c r="B16055" s="1" t="s">
        <v>15905</v>
      </c>
      <c r="C16055" t="str">
        <f>IFERROR(__xludf.DUMMYFUNCTION("GOOGLETRANSLATE(B16055, ""es"", ""en"")"),"Great sound good recording microphone. I've been amazed at how a microphone as low can give as good performance. Sound crisp and clear. It comes with all accessories for installation, support, cables, etc. It has a cable to plug directly into the computer"&amp;".")</f>
        <v>Great sound good recording microphone. I've been amazed at how a microphone as low can give as good performance. Sound crisp and clear. It comes with all accessories for installation, support, cables, etc. It has a cable to plug directly into the computer.</v>
      </c>
    </row>
    <row r="16056">
      <c r="A16056" s="1">
        <v>5.0</v>
      </c>
      <c r="B16056" s="1" t="s">
        <v>15906</v>
      </c>
      <c r="C16056" t="str">
        <f>IFERROR(__xludf.DUMMYFUNCTION("GOOGLETRANSLATE(B16056, ""es"", ""en"")"),"The best bottles cool the market, especially if you want to carry out the mixed breastfeeding, combining chest with bottles.")</f>
        <v>The best bottles cool the market, especially if you want to carry out the mixed breastfeeding, combining chest with bottles.</v>
      </c>
    </row>
    <row r="16057">
      <c r="A16057" s="1">
        <v>5.0</v>
      </c>
      <c r="B16057" s="1" t="s">
        <v>15907</v>
      </c>
      <c r="C16057" t="str">
        <f>IFERROR(__xludf.DUMMYFUNCTION("GOOGLETRANSLATE(B16057, ""es"", ""en"")"),"Great boots is too early to judge the product, but input has met my expectations, and considers it a good buy")</f>
        <v>Great boots is too early to judge the product, but input has met my expectations, and considers it a good buy</v>
      </c>
    </row>
    <row r="16058">
      <c r="A16058" s="1">
        <v>5.0</v>
      </c>
      <c r="B16058" s="1" t="s">
        <v>15908</v>
      </c>
      <c r="C16058" t="str">
        <f>IFERROR(__xludf.DUMMYFUNCTION("GOOGLETRANSLATE(B16058, ""es"", ""en"")"),"Hard perfect to have on your desktop disk. I have a hard drive like this, only a year older than this. This new version brings a stronger USB connection (the side of the hard drive) than the previous one, since the old version was flimsy and I did not ins"&amp;"pire much confidence. The read / write are more or less decent for the price and overall I think it is a good buy. Note: These hard drives have no power on / off, so if you want to have all day on hard drive, use a small strip (the transformer is medium, "&amp;"so careful to put 2 or 3 closer to a power strip jacks few). Some may wonder s box turns off automatically hard drive and if it does (because the heads aparcandose heard), but still the case is still on and still current spending, so I think the council s"&amp;"trip becomes effective .")</f>
        <v>Hard perfect to have on your desktop disk. I have a hard drive like this, only a year older than this. This new version brings a stronger USB connection (the side of the hard drive) than the previous one, since the old version was flimsy and I did not inspire much confidence. The read / write are more or less decent for the price and overall I think it is a good buy. Note: These hard drives have no power on / off, so if you want to have all day on hard drive, use a small strip (the transformer is medium, so careful to put 2 or 3 closer to a power strip jacks few). Some may wonder s box turns off automatically hard drive and if it does (because the heads aparcandose heard), but still the case is still on and still current spending, so I think the council strip becomes effective .</v>
      </c>
    </row>
    <row r="16059">
      <c r="A16059" s="1">
        <v>5.0</v>
      </c>
      <c r="B16059" s="1" t="s">
        <v>15909</v>
      </c>
      <c r="C16059" t="str">
        <f>IFERROR(__xludf.DUMMYFUNCTION("GOOGLETRANSLATE(B16059, ""es"", ""en"")"),"Super recommended sound spectacular, even taking it in his pocket with a jacket over. As a regular USB, easy to find the recorded file.")</f>
        <v>Super recommended sound spectacular, even taking it in his pocket with a jacket over. As a regular USB, easy to find the recorded file.</v>
      </c>
    </row>
    <row r="16060">
      <c r="A16060" s="1">
        <v>5.0</v>
      </c>
      <c r="B16060" s="1" t="s">
        <v>850</v>
      </c>
      <c r="C16060" t="str">
        <f>IFERROR(__xludf.DUMMYFUNCTION("GOOGLETRANSLATE(B16060, ""es"", ""en"")"),"👍 👍")</f>
        <v>👍 👍</v>
      </c>
    </row>
    <row r="16061">
      <c r="A16061" s="1">
        <v>5.0</v>
      </c>
      <c r="B16061" s="1" t="s">
        <v>15910</v>
      </c>
      <c r="C16061" t="str">
        <f>IFERROR(__xludf.DUMMYFUNCTION("GOOGLETRANSLATE(B16061, ""es"", ""en"")"),"Just what q perfect classifier sought to organize. It is strong and durable.")</f>
        <v>Just what q perfect classifier sought to organize. It is strong and durable.</v>
      </c>
    </row>
    <row r="16062">
      <c r="A16062" s="1">
        <v>5.0</v>
      </c>
      <c r="B16062" s="1" t="s">
        <v>15911</v>
      </c>
      <c r="C16062" t="str">
        <f>IFERROR(__xludf.DUMMYFUNCTION("GOOGLETRANSLATE(B16062, ""es"", ""en"")"),"Very good buy'm very happy with this purchase because the mixer perfectly fulfills its function. I have tried with fruit and have to say has already loved that leaves no misstep fruit in the batter has two bottles with two lids and are perfect to take us "&amp;"where we want churning as they close very well. It takes up very little space and is easy to clean.")</f>
        <v>Very good buy'm very happy with this purchase because the mixer perfectly fulfills its function. I have tried with fruit and have to say has already loved that leaves no misstep fruit in the batter has two bottles with two lids and are perfect to take us where we want churning as they close very well. It takes up very little space and is easy to clean.</v>
      </c>
    </row>
    <row r="16063">
      <c r="A16063" s="1">
        <v>5.0</v>
      </c>
      <c r="B16063" s="1" t="s">
        <v>15912</v>
      </c>
      <c r="C16063" t="str">
        <f>IFERROR(__xludf.DUMMYFUNCTION("GOOGLETRANSLATE(B16063, ""es"", ""en"")"),"Clock World Time Clock armis metal that looks very good. The box on the contrary is painted resin. Lighter but prone to wear. Stack includes 10 years duration. The best is the world time, of which five allows quick access. Casio comes in original box and "&amp;"includes instruction manual.")</f>
        <v>Clock World Time Clock armis metal that looks very good. The box on the contrary is painted resin. Lighter but prone to wear. Stack includes 10 years duration. The best is the world time, of which five allows quick access. Casio comes in original box and includes instruction manual.</v>
      </c>
    </row>
    <row r="16064">
      <c r="A16064" s="1">
        <v>5.0</v>
      </c>
      <c r="B16064" s="1" t="s">
        <v>15913</v>
      </c>
      <c r="C16064" t="str">
        <f>IFERROR(__xludf.DUMMYFUNCTION("GOOGLETRANSLATE(B16064, ""es"", ""en"")"),"Tremendous! Because very recently I bought a Bluetooth headset round (without the stick) and was happy with them the truth. I bought this as a birthday gift for my sister and I made the ""mistake"" to test (to verify that worked well etc) when I arrived. "&amp;"Bugs these sound 3 times better than mine! I ended up buying them again for me. It was not a supporter of headphones stick (Airpod type) and I still prefer the aesthetics of the round, but these sound death. Low are infinitely better, sharper and hear the"&amp;" battery life is slightly better (the above were not anything wrong with that). One thing that could no longer live is with touch function. With the above, to the press the button to switch songs so you clavas ear ... which is annoying; a touch that is en"&amp;"ough simply to enable this feature. Wonderful in money.")</f>
        <v>Tremendous! Because very recently I bought a Bluetooth headset round (without the stick) and was happy with them the truth. I bought this as a birthday gift for my sister and I made the "mistake" to test (to verify that worked well etc) when I arrived. Bugs these sound 3 times better than mine! I ended up buying them again for me. It was not a supporter of headphones stick (Airpod type) and I still prefer the aesthetics of the round, but these sound death. Low are infinitely better, sharper and hear the battery life is slightly better (the above were not anything wrong with that). One thing that could no longer live is with touch function. With the above, to the press the button to switch songs so you clavas ear ... which is annoying; a touch that is enough simply to enable this feature. Wonderful in money.</v>
      </c>
    </row>
    <row r="16065">
      <c r="A16065" s="1">
        <v>5.0</v>
      </c>
      <c r="B16065" s="1" t="s">
        <v>15914</v>
      </c>
      <c r="C16065" t="str">
        <f>IFERROR(__xludf.DUMMYFUNCTION("GOOGLETRANSLATE(B16065, ""es"", ""en"")"),"Is perfect is perfect")</f>
        <v>Is perfect is perfect</v>
      </c>
    </row>
    <row r="16066">
      <c r="A16066" s="1">
        <v>5.0</v>
      </c>
      <c r="B16066" s="1" t="s">
        <v>15915</v>
      </c>
      <c r="C16066" t="str">
        <f>IFERROR(__xludf.DUMMYFUNCTION("GOOGLETRANSLATE(B16066, ""es"", ""en"")"),"Beautiful and striking was a gift for my mother. It arrived in perfect condition in its case. The chain is thin and medium, makes the left hanging just above the neckline.")</f>
        <v>Beautiful and striking was a gift for my mother. It arrived in perfect condition in its case. The chain is thin and medium, makes the left hanging just above the neckline.</v>
      </c>
    </row>
    <row r="16067">
      <c r="A16067" s="1">
        <v>5.0</v>
      </c>
      <c r="B16067" s="1" t="s">
        <v>15916</v>
      </c>
      <c r="C16067" t="str">
        <f>IFERROR(__xludf.DUMMYFUNCTION("GOOGLETRANSLATE(B16067, ""es"", ""en"")"),"Fantastico texture")</f>
        <v>Fantastico texture</v>
      </c>
    </row>
    <row r="16068">
      <c r="A16068" s="1">
        <v>5.0</v>
      </c>
      <c r="B16068" s="1" t="s">
        <v>15917</v>
      </c>
      <c r="C16068" t="str">
        <f>IFERROR(__xludf.DUMMYFUNCTION("GOOGLETRANSLATE(B16068, ""es"", ""en"")"),"Clean all clever cook baby")</f>
        <v>Clean all clever cook baby</v>
      </c>
    </row>
    <row r="16069">
      <c r="A16069" s="1">
        <v>2.0</v>
      </c>
      <c r="B16069" s="1" t="s">
        <v>15918</v>
      </c>
      <c r="C16069" t="str">
        <f>IFERROR(__xludf.DUMMYFUNCTION("GOOGLETRANSLATE(B16069, ""es"", ""en"")"),"Nice but unreliable After a few months of use the unit was blocked write and can not change the content. After trying every possible way there is no way to use it, from the beginning was a connection problem to which I gave no importance. Aesthetically ve"&amp;"ry nice but for the price you have other more reliable products.")</f>
        <v>Nice but unreliable After a few months of use the unit was blocked write and can not change the content. After trying every possible way there is no way to use it, from the beginning was a connection problem to which I gave no importance. Aesthetically very nice but for the price you have other more reliable products.</v>
      </c>
    </row>
    <row r="16070">
      <c r="A16070" s="1">
        <v>3.0</v>
      </c>
      <c r="B16070" s="1" t="s">
        <v>15919</v>
      </c>
      <c r="C16070" t="str">
        <f>IFERROR(__xludf.DUMMYFUNCTION("GOOGLETRANSLATE(B16070, ""es"", ""en"")"),"battery indicator is pretty good overall, all buttons but the battery indicator does not work work. It is a detail that would give more quality to the product but overall I'm happy with the product")</f>
        <v>battery indicator is pretty good overall, all buttons but the battery indicator does not work work. It is a detail that would give more quality to the product but overall I'm happy with the product</v>
      </c>
    </row>
    <row r="16071">
      <c r="A16071" s="1">
        <v>1.0</v>
      </c>
      <c r="B16071" s="1" t="s">
        <v>15920</v>
      </c>
      <c r="C16071" t="str">
        <f>IFERROR(__xludf.DUMMYFUNCTION("GOOGLETRANSLATE(B16071, ""es"", ""en"")"),"simple bad sweatshirt, size large, I will not ask for this brand")</f>
        <v>simple bad sweatshirt, size large, I will not ask for this brand</v>
      </c>
    </row>
    <row r="16072">
      <c r="A16072" s="1">
        <v>1.0</v>
      </c>
      <c r="B16072" s="1" t="s">
        <v>15921</v>
      </c>
      <c r="C16072" t="str">
        <f>IFERROR(__xludf.DUMMYFUNCTION("GOOGLETRANSLATE(B16072, ""es"", ""en"")"),"I was a career lasted only get one star for not putting least 5, bad socks, premiered for a mountain marathon and finish with fingers broken out by SOCK, poor quality, do not recommend at all.")</f>
        <v>I was a career lasted only get one star for not putting least 5, bad socks, premiered for a mountain marathon and finish with fingers broken out by SOCK, poor quality, do not recommend at all.</v>
      </c>
    </row>
    <row r="16073">
      <c r="A16073" s="1">
        <v>4.0</v>
      </c>
      <c r="B16073" s="1" t="s">
        <v>15922</v>
      </c>
      <c r="C16073" t="str">
        <f>IFERROR(__xludf.DUMMYFUNCTION("GOOGLETRANSLATE(B16073, ""es"", ""en"")"),"Good Very good")</f>
        <v>Good Very good</v>
      </c>
    </row>
    <row r="16074">
      <c r="A16074" s="1">
        <v>4.0</v>
      </c>
      <c r="B16074" s="1" t="s">
        <v>15923</v>
      </c>
      <c r="C16074" t="str">
        <f>IFERROR(__xludf.DUMMYFUNCTION("GOOGLETRANSLATE(B16074, ""es"", ""en"")"),"The aesthetics of the watch is beautiful. The clock is aesthetically my taste, so I'm happy with the purchase. By putting some but I have to confirm the comment that the needle of the timepiece presents some difficulty viewing. I believe they have not com"&amp;"pletely successful with its design, which is too narrow, far more than the hour hand. But it's still a valid clock. I do not regret your purchase.")</f>
        <v>The aesthetics of the watch is beautiful. The clock is aesthetically my taste, so I'm happy with the purchase. By putting some but I have to confirm the comment that the needle of the timepiece presents some difficulty viewing. I believe they have not completely successful with its design, which is too narrow, far more than the hour hand. But it's still a valid clock. I do not regret your purchase.</v>
      </c>
    </row>
    <row r="16075">
      <c r="A16075" s="1">
        <v>4.0</v>
      </c>
      <c r="B16075" s="1" t="s">
        <v>15924</v>
      </c>
      <c r="C16075" t="str">
        <f>IFERROR(__xludf.DUMMYFUNCTION("GOOGLETRANSLATE(B16075, ""es"", ""en"")"),"Pretty necklace. very combinable a necklace, a little big, but quality and a great price.")</f>
        <v>Pretty necklace. very combinable a necklace, a little big, but quality and a great price.</v>
      </c>
    </row>
    <row r="16076">
      <c r="A16076" s="1">
        <v>4.0</v>
      </c>
      <c r="B16076" s="1" t="s">
        <v>15925</v>
      </c>
      <c r="C16076" t="str">
        <f>IFERROR(__xludf.DUMMYFUNCTION("GOOGLETRANSLATE(B16076, ""es"", ""en"")"),"Great price and transfer speed !!! All good, very cut price and at that price there is no better option, even when using virtual machines loading times are slow and sometimes fail despite their high rates of transfer YET RECOMENDABLE 100%")</f>
        <v>Great price and transfer speed !!! All good, very cut price and at that price there is no better option, even when using virtual machines loading times are slow and sometimes fail despite their high rates of transfer YET RECOMENDABLE 100%</v>
      </c>
    </row>
    <row r="16077">
      <c r="A16077" s="1">
        <v>4.0</v>
      </c>
      <c r="B16077" s="1" t="s">
        <v>15926</v>
      </c>
      <c r="C16077" t="str">
        <f>IFERROR(__xludf.DUMMYFUNCTION("GOOGLETRANSLATE(B16077, ""es"", ""en"")"),"Regular Hello good but sometimes fails and asks reformatting")</f>
        <v>Regular Hello good but sometimes fails and asks reformatting</v>
      </c>
    </row>
    <row r="16078">
      <c r="A16078" s="1">
        <v>5.0</v>
      </c>
      <c r="B16078" s="1" t="s">
        <v>15927</v>
      </c>
      <c r="C16078" t="str">
        <f>IFERROR(__xludf.DUMMYFUNCTION("GOOGLETRANSLATE(B16078, ""es"", ""en"")"),"Good watch good watch")</f>
        <v>Good watch good watch</v>
      </c>
    </row>
    <row r="16079">
      <c r="A16079" s="1">
        <v>5.0</v>
      </c>
      <c r="B16079" s="1" t="s">
        <v>15928</v>
      </c>
      <c r="C16079" t="str">
        <f>IFERROR(__xludf.DUMMYFUNCTION("GOOGLETRANSLATE(B16079, ""es"", ""en"")"),"Kids headphones good product for children. Little heavy and small. Quality for a child more than enough. A good price. My children 6 to 9 years use it without problems for language lessons.")</f>
        <v>Kids headphones good product for children. Little heavy and small. Quality for a child more than enough. A good price. My children 6 to 9 years use it without problems for language lessons.</v>
      </c>
    </row>
    <row r="16080">
      <c r="A16080" s="1">
        <v>5.0</v>
      </c>
      <c r="B16080" s="1" t="s">
        <v>15929</v>
      </c>
      <c r="C16080" t="str">
        <f>IFERROR(__xludf.DUMMYFUNCTION("GOOGLETRANSLATE(B16080, ""es"", ""en"")"),"Variety at a good price are very relaxing and acclimate the room. I bought them to test them to see how they are with my new humidifier. As I'll use still hot enough so I bought this pack are several and so have for a few days and go alternating. Family a"&amp;"nd guests stay relaxed when plugged hehe")</f>
        <v>Variety at a good price are very relaxing and acclimate the room. I bought them to test them to see how they are with my new humidifier. As I'll use still hot enough so I bought this pack are several and so have for a few days and go alternating. Family and guests stay relaxed when plugged hehe</v>
      </c>
    </row>
    <row r="16081">
      <c r="A16081" s="1">
        <v>5.0</v>
      </c>
      <c r="B16081" s="1" t="s">
        <v>15930</v>
      </c>
      <c r="C16081" t="str">
        <f>IFERROR(__xludf.DUMMYFUNCTION("GOOGLETRANSLATE(B16081, ""es"", ""en"")"),"For difficult areas to clean Use the brush to clean computer keyboards. It has been slow in coming but the after-sales service works very well. A claim them immediately told me they sent me another. It arrived today and just write to nullify the new shipm"&amp;"ent.")</f>
        <v>For difficult areas to clean Use the brush to clean computer keyboards. It has been slow in coming but the after-sales service works very well. A claim them immediately told me they sent me another. It arrived today and just write to nullify the new shipment.</v>
      </c>
    </row>
    <row r="16082">
      <c r="A16082" s="1">
        <v>5.0</v>
      </c>
      <c r="B16082" s="1" t="s">
        <v>15931</v>
      </c>
      <c r="C16082" t="str">
        <f>IFERROR(__xludf.DUMMYFUNCTION("GOOGLETRANSLATE(B16082, ""es"", ""en"")"),"Bonito We have very little time for now perfect")</f>
        <v>Bonito We have very little time for now perfect</v>
      </c>
    </row>
    <row r="16083">
      <c r="A16083" s="1">
        <v>5.0</v>
      </c>
      <c r="B16083" s="1" t="s">
        <v>15932</v>
      </c>
      <c r="C16083" t="str">
        <f>IFERROR(__xludf.DUMMYFUNCTION("GOOGLETRANSLATE(B16083, ""es"", ""en"")"),"Perfect was expected. All right.")</f>
        <v>Perfect was expected. All right.</v>
      </c>
    </row>
    <row r="16084">
      <c r="A16084" s="1">
        <v>5.0</v>
      </c>
      <c r="B16084" s="1" t="s">
        <v>15933</v>
      </c>
      <c r="C16084" t="str">
        <f>IFERROR(__xludf.DUMMYFUNCTION("GOOGLETRANSLATE(B16084, ""es"", ""en"")"),"The shoulder is good product as it looks in the picture, it is nice and comfortable, I am very happy with the purchase. Thank seller")</f>
        <v>The shoulder is good product as it looks in the picture, it is nice and comfortable, I am very happy with the purchase. Thank seller</v>
      </c>
    </row>
    <row r="16085">
      <c r="A16085" s="1">
        <v>5.0</v>
      </c>
      <c r="B16085" s="1" t="s">
        <v>15934</v>
      </c>
      <c r="C16085" t="str">
        <f>IFERROR(__xludf.DUMMYFUNCTION("GOOGLETRANSLATE(B16085, ""es"", ""en"")"),"Fabric soft and comfortable'm delighted, it's always a risk to buy clothes online but I found such a good price and so cute the model that threw me and the truth is that it is a success overall, both in the shaping (ignoring the table) and the fabric is s"&amp;"o comfortable and smooth. very good")</f>
        <v>Fabric soft and comfortable'm delighted, it's always a risk to buy clothes online but I found such a good price and so cute the model that threw me and the truth is that it is a success overall, both in the shaping (ignoring the table) and the fabric is so comfortable and smooth. very good</v>
      </c>
    </row>
    <row r="16086">
      <c r="A16086" s="1">
        <v>5.0</v>
      </c>
      <c r="B16086" s="1" t="s">
        <v>15935</v>
      </c>
      <c r="C16086" t="str">
        <f>IFERROR(__xludf.DUMMYFUNCTION("GOOGLETRANSLATE(B16086, ""es"", ""en"")"),"Very useful Very useful and does a lot of pressure to relieve contractures")</f>
        <v>Very useful Very useful and does a lot of pressure to relieve contractures</v>
      </c>
    </row>
    <row r="16087">
      <c r="A16087" s="1">
        <v>5.0</v>
      </c>
      <c r="B16087" s="1" t="s">
        <v>15936</v>
      </c>
      <c r="C16087" t="str">
        <f>IFERROR(__xludf.DUMMYFUNCTION("GOOGLETRANSLATE(B16087, ""es"", ""en"")"),"Very comfortable very comfortable. Light and very soft walking.")</f>
        <v>Very comfortable very comfortable. Light and very soft walking.</v>
      </c>
    </row>
    <row r="16088">
      <c r="A16088" s="1">
        <v>5.0</v>
      </c>
      <c r="B16088" s="1" t="s">
        <v>15937</v>
      </c>
      <c r="C16088" t="str">
        <f>IFERROR(__xludf.DUMMYFUNCTION("GOOGLETRANSLATE(B16088, ""es"", ""en"")"),"I've loved compact headphones. The box size is the smallest I've seen. You can carry in your pocket no matter how small this. The convenience of touch it is especially noticeable when you do not have to press inwards and the headset do not squeeze the ear"&amp;". You have a sound quality and weigh so little that you forget you're wearing.")</f>
        <v>I've loved compact headphones. The box size is the smallest I've seen. You can carry in your pocket no matter how small this. The convenience of touch it is especially noticeable when you do not have to press inwards and the headset do not squeeze the ear. You have a sound quality and weigh so little that you forget you're wearing.</v>
      </c>
    </row>
    <row r="16089">
      <c r="A16089" s="1">
        <v>5.0</v>
      </c>
      <c r="B16089" s="1" t="s">
        <v>15938</v>
      </c>
      <c r="C16089" t="str">
        <f>IFERROR(__xludf.DUMMYFUNCTION("GOOGLETRANSLATE(B16089, ""es"", ""en"")"),"So comfortable I love, comfortable, it's like going barefoot, and they are cute. The perfect delivery very happy with purchase")</f>
        <v>So comfortable I love, comfortable, it's like going barefoot, and they are cute. The perfect delivery very happy with purchase</v>
      </c>
    </row>
    <row r="16090">
      <c r="A16090" s="1">
        <v>5.0</v>
      </c>
      <c r="B16090" s="1" t="s">
        <v>15939</v>
      </c>
      <c r="C16090" t="str">
        <f>IFERROR(__xludf.DUMMYFUNCTION("GOOGLETRANSLATE(B16090, ""es"", ""en"")"),"Precious My mother would have loved. fine and elegant with matching pendant are the set is incredible gift.")</f>
        <v>Precious My mother would have loved. fine and elegant with matching pendant are the set is incredible gift.</v>
      </c>
    </row>
    <row r="16091">
      <c r="A16091" s="1">
        <v>5.0</v>
      </c>
      <c r="B16091" s="1" t="s">
        <v>15940</v>
      </c>
      <c r="C16091" t="str">
        <f>IFERROR(__xludf.DUMMYFUNCTION("GOOGLETRANSLATE(B16091, ""es"", ""en"")"),"It was like a gift and liked it a lot.")</f>
        <v>It was like a gift and liked it a lot.</v>
      </c>
    </row>
    <row r="16092">
      <c r="A16092" s="1">
        <v>5.0</v>
      </c>
      <c r="B16092" s="1" t="s">
        <v>15941</v>
      </c>
      <c r="C16092" t="str">
        <f>IFERROR(__xludf.DUMMYFUNCTION("GOOGLETRANSLATE(B16092, ""es"", ""en"")"),"Good After weeks of product use, everything is in place, in very good condition. The only drawback is that not being rigid, depending on the arrangement of objects that goals can not encajarte well.")</f>
        <v>Good After weeks of product use, everything is in place, in very good condition. The only drawback is that not being rigid, depending on the arrangement of objects that goals can not encajarte well.</v>
      </c>
    </row>
    <row r="16093">
      <c r="A16093" s="1">
        <v>5.0</v>
      </c>
      <c r="B16093" s="1" t="s">
        <v>15942</v>
      </c>
      <c r="C16093" t="str">
        <f>IFERROR(__xludf.DUMMYFUNCTION("GOOGLETRANSLATE(B16093, ""es"", ""en"")"),"This comfortable My mother liked him has. I see a little expensive.")</f>
        <v>This comfortable My mother liked him has. I see a little expensive.</v>
      </c>
    </row>
    <row r="16094">
      <c r="A16094" s="1">
        <v>5.0</v>
      </c>
      <c r="B16094" s="1" t="s">
        <v>15943</v>
      </c>
      <c r="C16094" t="str">
        <f>IFERROR(__xludf.DUMMYFUNCTION("GOOGLETRANSLATE(B16094, ""es"", ""en"")"),"Very nice meets expectations. gift")</f>
        <v>Very nice meets expectations. gift</v>
      </c>
    </row>
    <row r="16095">
      <c r="A16095" s="1">
        <v>5.0</v>
      </c>
      <c r="B16095" s="1" t="s">
        <v>15944</v>
      </c>
      <c r="C16095" t="str">
        <f>IFERROR(__xludf.DUMMYFUNCTION("GOOGLETRANSLATE(B16095, ""es"", ""en"")"),"The shoes pretty comfortable, very comfortable and perfectly match the size, I use a 46. I've been wearing Vans shoes quite some time and never disappoints.")</f>
        <v>The shoes pretty comfortable, very comfortable and perfectly match the size, I use a 46. I've been wearing Vans shoes quite some time and never disappoints.</v>
      </c>
    </row>
    <row r="16096">
      <c r="A16096" s="1">
        <v>5.0</v>
      </c>
      <c r="B16096" s="1" t="s">
        <v>15945</v>
      </c>
      <c r="C16096" t="str">
        <f>IFERROR(__xludf.DUMMYFUNCTION("GOOGLETRANSLATE(B16096, ""es"", ""en"")"),"Very beautiful are beautiful. I have given it my mother and I have loved. They are of good quality and are held quite well in the ears. They can be combined with anything. In addition they come in a gift box.")</f>
        <v>Very beautiful are beautiful. I have given it my mother and I have loved. They are of good quality and are held quite well in the ears. They can be combined with anything. In addition they come in a gift box.</v>
      </c>
    </row>
    <row r="16097">
      <c r="A16097" s="1">
        <v>2.0</v>
      </c>
      <c r="B16097" s="1" t="s">
        <v>15946</v>
      </c>
      <c r="C16097" t="str">
        <f>IFERROR(__xludf.DUMMYFUNCTION("GOOGLETRANSLATE(B16097, ""es"", ""en"")"),"They do not adapt, tighten Los returned. For my taste lack elasticity and adapt. I was nailed seam under the knee and cut off circulation. It's a shame, but I was looking for a quality Siberia expedition in 15 days, because Merino Wool being what is sough"&amp;"t is q last long and can be used the same number of days. I ended up buying a good brand in specialty shop, and no color ... now it costs me 50 € clear.")</f>
        <v>They do not adapt, tighten Los returned. For my taste lack elasticity and adapt. I was nailed seam under the knee and cut off circulation. It's a shame, but I was looking for a quality Siberia expedition in 15 days, because Merino Wool being what is sought is q last long and can be used the same number of days. I ended up buying a good brand in specialty shop, and no color ... now it costs me 50 € clear.</v>
      </c>
    </row>
    <row r="16098">
      <c r="A16098" s="1">
        <v>3.0</v>
      </c>
      <c r="B16098" s="1" t="s">
        <v>15947</v>
      </c>
      <c r="C16098" t="str">
        <f>IFERROR(__xludf.DUMMYFUNCTION("GOOGLETRANSLATE(B16098, ""es"", ""en"")"),"Right As always, impeccable service Amazon, although the shipment came from China, has come up with several days in advance. The product itself correct. A draft for the board. Fulfills its demure. The only bad thing: It smells a little bad, like tar. I gu"&amp;"ess eventually you will smell.")</f>
        <v>Right As always, impeccable service Amazon, although the shipment came from China, has come up with several days in advance. The product itself correct. A draft for the board. Fulfills its demure. The only bad thing: It smells a little bad, like tar. I guess eventually you will smell.</v>
      </c>
    </row>
    <row r="16099">
      <c r="A16099" s="1">
        <v>3.0</v>
      </c>
      <c r="B16099" s="1" t="s">
        <v>15948</v>
      </c>
      <c r="C16099" t="str">
        <f>IFERROR(__xludf.DUMMYFUNCTION("GOOGLETRANSLATE(B16099, ""es"", ""en"")"),"Well relative to its price can not ask for more for this price. They do not distort but not reproduce bass so not much where distort ... If you want some cheap headphones, you can assert but do not expect quality above price.")</f>
        <v>Well relative to its price can not ask for more for this price. They do not distort but not reproduce bass so not much where distort ... If you want some cheap headphones, you can assert but do not expect quality above price.</v>
      </c>
    </row>
    <row r="16100">
      <c r="A16100" s="1">
        <v>1.0</v>
      </c>
      <c r="B16100" s="1" t="s">
        <v>15949</v>
      </c>
      <c r="C16100" t="str">
        <f>IFERROR(__xludf.DUMMYFUNCTION("GOOGLETRANSLATE(B16100, ""es"", ""en"")"),"Bad, very bad Gutres ... is an understatement. Because they give you in a hotel. poor quality")</f>
        <v>Bad, very bad Gutres ... is an understatement. Because they give you in a hotel. poor quality</v>
      </c>
    </row>
    <row r="16101">
      <c r="A16101" s="1">
        <v>1.0</v>
      </c>
      <c r="B16101" s="1" t="s">
        <v>15950</v>
      </c>
      <c r="C16101" t="str">
        <f>IFERROR(__xludf.DUMMYFUNCTION("GOOGLETRANSLATE(B16101, ""es"", ""en"")"),"The product is lousy lousy and lousy return.")</f>
        <v>The product is lousy lousy and lousy return.</v>
      </c>
    </row>
    <row r="16102">
      <c r="A16102" s="1">
        <v>4.0</v>
      </c>
      <c r="B16102" s="1" t="s">
        <v>15951</v>
      </c>
      <c r="C16102" t="str">
        <f>IFERROR(__xludf.DUMMYFUNCTION("GOOGLETRANSLATE(B16102, ""es"", ""en"")"),"Aromas to create atmosphere The housing diffuser is discreet size and is very quiet. Total comes with four loads diffusers 20 ml. capacity unit. It powered by 3 AA batteries of the type. It has a selector of intensity, and duration of the charge will be i"&amp;"n line with the chosen mode. Given its size, its effect is most noticeable in small spaces, providing a cooling sensation.")</f>
        <v>Aromas to create atmosphere The housing diffuser is discreet size and is very quiet. Total comes with four loads diffusers 20 ml. capacity unit. It powered by 3 AA batteries of the type. It has a selector of intensity, and duration of the charge will be in line with the chosen mode. Given its size, its effect is most noticeable in small spaces, providing a cooling sensation.</v>
      </c>
    </row>
    <row r="16103">
      <c r="A16103" s="1">
        <v>4.0</v>
      </c>
      <c r="B16103" s="1" t="s">
        <v>15952</v>
      </c>
      <c r="C16103" t="str">
        <f>IFERROR(__xludf.DUMMYFUNCTION("GOOGLETRANSLATE(B16103, ""es"", ""en"")"),"Powerful and practical searched the same brand we already knew, did not let us down in the midst of so much material very fragile which is what seems to offer some robustness abounds")</f>
        <v>Powerful and practical searched the same brand we already knew, did not let us down in the midst of so much material very fragile which is what seems to offer some robustness abounds</v>
      </c>
    </row>
    <row r="16104">
      <c r="A16104" s="1">
        <v>4.0</v>
      </c>
      <c r="B16104" s="1" t="s">
        <v>15953</v>
      </c>
      <c r="C16104" t="str">
        <f>IFERROR(__xludf.DUMMYFUNCTION("GOOGLETRANSLATE(B16104, ""es"", ""en"")"),"Carving a large tad right, I'll get the next number less.")</f>
        <v>Carving a large tad right, I'll get the next number less.</v>
      </c>
    </row>
    <row r="16105">
      <c r="A16105" s="1">
        <v>4.0</v>
      </c>
      <c r="B16105" s="1" t="s">
        <v>15954</v>
      </c>
      <c r="C16105" t="str">
        <f>IFERROR(__xludf.DUMMYFUNCTION("GOOGLETRANSLATE(B16105, ""es"", ""en"")"),"The style of the product was for a gift and the person has not been able to use it, so it has been returned.")</f>
        <v>The style of the product was for a gift and the person has not been able to use it, so it has been returned.</v>
      </c>
    </row>
    <row r="16106">
      <c r="A16106" s="1">
        <v>4.0</v>
      </c>
      <c r="B16106" s="1" t="s">
        <v>15955</v>
      </c>
      <c r="C16106" t="str">
        <f>IFERROR(__xludf.DUMMYFUNCTION("GOOGLETRANSLATE(B16106, ""es"", ""en"")"),"At the beginning are comfortable hurt me soles! However with the passing of the days I look comfortable")</f>
        <v>At the beginning are comfortable hurt me soles! However with the passing of the days I look comfortable</v>
      </c>
    </row>
    <row r="16107">
      <c r="A16107" s="1">
        <v>5.0</v>
      </c>
      <c r="B16107" s="1" t="s">
        <v>15956</v>
      </c>
      <c r="C16107" t="str">
        <f>IFERROR(__xludf.DUMMYFUNCTION("GOOGLETRANSLATE(B16107, ""es"", ""en"")"),"Perfect perfect. Like the originals.")</f>
        <v>Perfect perfect. Like the originals.</v>
      </c>
    </row>
    <row r="16108">
      <c r="A16108" s="1">
        <v>5.0</v>
      </c>
      <c r="B16108" s="1" t="s">
        <v>15957</v>
      </c>
      <c r="C16108" t="str">
        <f>IFERROR(__xludf.DUMMYFUNCTION("GOOGLETRANSLATE(B16108, ""es"", ""en"")"),"100% recommended the beginning the feeling was strange, but as time passed and days was feeling like my back relaxed and pain is relieved. 100% recommendable.")</f>
        <v>100% recommended the beginning the feeling was strange, but as time passed and days was feeling like my back relaxed and pain is relieved. 100% recommendable.</v>
      </c>
    </row>
    <row r="16109">
      <c r="A16109" s="1">
        <v>5.0</v>
      </c>
      <c r="B16109" s="1" t="s">
        <v>15958</v>
      </c>
      <c r="C16109" t="str">
        <f>IFERROR(__xludf.DUMMYFUNCTION("GOOGLETRANSLATE(B16109, ""es"", ""en"")"),"Good solution to the cold product. As it described. Ideally use for bed or couch, not to hang out with them because they would be uncomfortable.")</f>
        <v>Good solution to the cold product. As it described. Ideally use for bed or couch, not to hang out with them because they would be uncomfortable.</v>
      </c>
    </row>
    <row r="16110">
      <c r="A16110" s="1">
        <v>5.0</v>
      </c>
      <c r="B16110" s="1" t="s">
        <v>15959</v>
      </c>
      <c r="C16110" t="str">
        <f>IFERROR(__xludf.DUMMYFUNCTION("GOOGLETRANSLATE(B16110, ""es"", ""en"")"),"All right tremendous. Fast shipping, item in prefect condition and running at 100% and good quality")</f>
        <v>All right tremendous. Fast shipping, item in prefect condition and running at 100% and good quality</v>
      </c>
    </row>
    <row r="16111">
      <c r="A16111" s="1">
        <v>5.0</v>
      </c>
      <c r="B16111" s="1" t="s">
        <v>15960</v>
      </c>
      <c r="C16111" t="str">
        <f>IFERROR(__xludf.DUMMYFUNCTION("GOOGLETRANSLATE(B16111, ""es"", ""en"")"),"I needed a case expected porta-all and with this model have not failed. Ability to have collected 6 and 20 fluorescent markers. And spare capacity.")</f>
        <v>I needed a case expected porta-all and with this model have not failed. Ability to have collected 6 and 20 fluorescent markers. And spare capacity.</v>
      </c>
    </row>
    <row r="16112">
      <c r="A16112" s="1">
        <v>5.0</v>
      </c>
      <c r="B16112" s="1" t="s">
        <v>15961</v>
      </c>
      <c r="C16112" t="str">
        <f>IFERROR(__xludf.DUMMYFUNCTION("GOOGLETRANSLATE(B16112, ""es"", ""en"")"),"The best sports bra I use this brand for some time and is definitely the best bra for sports. Reliable and durable, durable and comfortable.")</f>
        <v>The best sports bra I use this brand for some time and is definitely the best bra for sports. Reliable and durable, durable and comfortable.</v>
      </c>
    </row>
    <row r="16113">
      <c r="A16113" s="1">
        <v>5.0</v>
      </c>
      <c r="B16113" s="1" t="s">
        <v>15962</v>
      </c>
      <c r="C16113" t="str">
        <f>IFERROR(__xludf.DUMMYFUNCTION("GOOGLETRANSLATE(B16113, ""es"", ""en"")"),"Useful removes make you perfect. Hot water and spend a little. Rinse and then again warm water and rinse. When you end the wipe wash, dry and put it ready for the next day. If I would not come with plastic packaging")</f>
        <v>Useful removes make you perfect. Hot water and spend a little. Rinse and then again warm water and rinse. When you end the wipe wash, dry and put it ready for the next day. If I would not come with plastic packaging</v>
      </c>
    </row>
    <row r="16114">
      <c r="A16114" s="1">
        <v>5.0</v>
      </c>
      <c r="B16114" s="1" t="s">
        <v>15963</v>
      </c>
      <c r="C16114" t="str">
        <f>IFERROR(__xludf.DUMMYFUNCTION("GOOGLETRANSLATE(B16114, ""es"", ""en"")"),"Good insulation - UPDATE The subject is very good and the insulation offered is quite remarkable. The quality of the audio, in my case, is not particularly good, with something metallic and sharp background white noise instead of silence. Bluetooth connec"&amp;"tion on the other hand is very fast. Regarding quality, the cable shows a little plasticky, but helmets if they have good touch and finish. the rigid case in coming appreciated. - ACTUALIZACIÓN-- I managed to find a solution that has resulted in a signifi"&amp;"cant improvement in audio. At the look on my mobile, to increase the volume from the hulls not turn up the volume master the phone, but subsequently amplifies the signal so that it was in a poor sound and noisy. Lowering the sound amplification from the h"&amp;"eadphones and using only the buttons on the phone listening much better, the same volume and without noise. Now if I can say I have a very good insulation and a sound quality to match.")</f>
        <v>Good insulation - UPDATE The subject is very good and the insulation offered is quite remarkable. The quality of the audio, in my case, is not particularly good, with something metallic and sharp background white noise instead of silence. Bluetooth connection on the other hand is very fast. Regarding quality, the cable shows a little plasticky, but helmets if they have good touch and finish. the rigid case in coming appreciated. - ACTUALIZACIÓN-- I managed to find a solution that has resulted in a significant improvement in audio. At the look on my mobile, to increase the volume from the hulls not turn up the volume master the phone, but subsequently amplifies the signal so that it was in a poor sound and noisy. Lowering the sound amplification from the headphones and using only the buttons on the phone listening much better, the same volume and without noise. Now if I can say I have a very good insulation and a sound quality to match.</v>
      </c>
    </row>
    <row r="16115">
      <c r="A16115" s="1">
        <v>5.0</v>
      </c>
      <c r="B16115" s="1" t="s">
        <v>15964</v>
      </c>
      <c r="C16115" t="str">
        <f>IFERROR(__xludf.DUMMYFUNCTION("GOOGLETRANSLATE(B16115, ""es"", ""en"")"),"Correct sizing These shoes are cool a lot.")</f>
        <v>Correct sizing These shoes are cool a lot.</v>
      </c>
    </row>
    <row r="16116">
      <c r="A16116" s="1">
        <v>5.0</v>
      </c>
      <c r="B16116" s="1" t="s">
        <v>15965</v>
      </c>
      <c r="C16116" t="str">
        <f>IFERROR(__xludf.DUMMYFUNCTION("GOOGLETRANSLATE(B16116, ""es"", ""en"")"),"Perfect very good quality album. It's perfect for gift on special occasions, because it is very elegant and has plenty of capacity. I totally recommend.")</f>
        <v>Perfect very good quality album. It's perfect for gift on special occasions, because it is very elegant and has plenty of capacity. I totally recommend.</v>
      </c>
    </row>
    <row r="16117">
      <c r="A16117" s="1">
        <v>5.0</v>
      </c>
      <c r="B16117" s="1" t="s">
        <v>15966</v>
      </c>
      <c r="C16117" t="str">
        <f>IFERROR(__xludf.DUMMYFUNCTION("GOOGLETRANSLATE(B16117, ""es"", ""en"")"),"Great value / price needed about 5. Unfortunately where SOLAI purchase individually and not working. It's a shame that no smaller packages. but value for money is second to none. It is also something that you never know for sure when you go science and le"&amp;"aves need not take up much if you have a reserved space for things stationery")</f>
        <v>Great value / price needed about 5. Unfortunately where SOLAI purchase individually and not working. It's a shame that no smaller packages. but value for money is second to none. It is also something that you never know for sure when you go science and leaves need not take up much if you have a reserved space for things stationery</v>
      </c>
    </row>
    <row r="16118">
      <c r="A16118" s="1">
        <v>5.0</v>
      </c>
      <c r="B16118" s="1" t="s">
        <v>15967</v>
      </c>
      <c r="C16118" t="str">
        <f>IFERROR(__xludf.DUMMYFUNCTION("GOOGLETRANSLATE(B16118, ""es"", ""en"")"),"They are a cucada silver earrings, is what I was expecting, also they do not give allergy. I like them!!! I recommend are fantastic. Cheer up")</f>
        <v>They are a cucada silver earrings, is what I was expecting, also they do not give allergy. I like them!!! I recommend are fantastic. Cheer up</v>
      </c>
    </row>
    <row r="16119">
      <c r="A16119" s="1">
        <v>5.0</v>
      </c>
      <c r="B16119" s="1" t="s">
        <v>748</v>
      </c>
      <c r="C16119" t="str">
        <f>IFERROR(__xludf.DUMMYFUNCTION("GOOGLETRANSLATE(B16119, ""es"", ""en"")"),"perfect Great")</f>
        <v>perfect Great</v>
      </c>
    </row>
    <row r="16120">
      <c r="A16120" s="1">
        <v>5.0</v>
      </c>
      <c r="B16120" s="1" t="s">
        <v>15968</v>
      </c>
      <c r="C16120" t="str">
        <f>IFERROR(__xludf.DUMMYFUNCTION("GOOGLETRANSLATE(B16120, ""es"", ""en"")"),"WIRE excellent quality / price I was surprised how well it transmits sound these cable they are not overly expensive. Fully recommended.")</f>
        <v>WIRE excellent quality / price I was surprised how well it transmits sound these cable they are not overly expensive. Fully recommended.</v>
      </c>
    </row>
    <row r="16121">
      <c r="A16121" s="1">
        <v>5.0</v>
      </c>
      <c r="B16121" s="1" t="s">
        <v>15969</v>
      </c>
      <c r="C16121" t="str">
        <f>IFERROR(__xludf.DUMMYFUNCTION("GOOGLETRANSLATE(B16121, ""es"", ""en"")"),"Value All")</f>
        <v>Value All</v>
      </c>
    </row>
    <row r="16122">
      <c r="A16122" s="1">
        <v>5.0</v>
      </c>
      <c r="B16122" s="1" t="s">
        <v>15970</v>
      </c>
      <c r="C16122" t="str">
        <f>IFERROR(__xludf.DUMMYFUNCTION("GOOGLETRANSLATE(B16122, ""es"", ""en"")"),"Perfect are perfect. Hear well. I've been using them for quite some time and I have had no problems. Recommended.")</f>
        <v>Perfect are perfect. Hear well. I've been using them for quite some time and I have had no problems. Recommended.</v>
      </c>
    </row>
    <row r="16123">
      <c r="A16123" s="1">
        <v>5.0</v>
      </c>
      <c r="B16123" s="1" t="s">
        <v>238</v>
      </c>
      <c r="C16123" t="str">
        <f>IFERROR(__xludf.DUMMYFUNCTION("GOOGLETRANSLATE(B16123, ""es"", ""en"")"),"perfect perfect")</f>
        <v>perfect perfect</v>
      </c>
    </row>
    <row r="16124">
      <c r="A16124" s="1">
        <v>5.0</v>
      </c>
      <c r="B16124" s="1" t="s">
        <v>15971</v>
      </c>
      <c r="C16124" t="str">
        <f>IFERROR(__xludf.DUMMYFUNCTION("GOOGLETRANSLATE(B16124, ""es"", ""en"")"),"Perfect, like the picture I got good, well packaged and on schedule delivery. Recomendable.Volvería to buy from this seller again.")</f>
        <v>Perfect, like the picture I got good, well packaged and on schedule delivery. Recomendable.Volvería to buy from this seller again.</v>
      </c>
    </row>
    <row r="16125">
      <c r="A16125" s="1">
        <v>2.0</v>
      </c>
      <c r="B16125" s="1" t="s">
        <v>15972</v>
      </c>
      <c r="C16125" t="str">
        <f>IFERROR(__xludf.DUMMYFUNCTION("GOOGLETRANSLATE(B16125, ""es"", ""en"")"),"To me I did not like Not me gustó.Lo I've returned because I was bigger than I thought. I liked it better in the photo since. I returned without any kind of problem")</f>
        <v>To me I did not like Not me gustó.Lo I've returned because I was bigger than I thought. I liked it better in the photo since. I returned without any kind of problem</v>
      </c>
    </row>
    <row r="16126">
      <c r="A16126" s="1">
        <v>3.0</v>
      </c>
      <c r="B16126" s="1" t="s">
        <v>15973</v>
      </c>
      <c r="C16126" t="str">
        <f>IFERROR(__xludf.DUMMYFUNCTION("GOOGLETRANSLATE(B16126, ""es"", ""en"")"),"Go to the very beginning A little something is stuck somewhere and does not aspire. For liemoiarla is not very vien")</f>
        <v>Go to the very beginning A little something is stuck somewhere and does not aspire. For liemoiarla is not very vien</v>
      </c>
    </row>
    <row r="16127">
      <c r="A16127" s="1">
        <v>3.0</v>
      </c>
      <c r="B16127" s="1" t="s">
        <v>15974</v>
      </c>
      <c r="C16127" t="str">
        <f>IFERROR(__xludf.DUMMYFUNCTION("GOOGLETRANSLATE(B16127, ""es"", ""en"")"),"Precio.Producto average value suitable connects seamlessly with the microphone, but the right terminals where the inserted cable with the jack, are very fragile, the cable is quite flexible. Given the value it seems an average product. As we shall take to"&amp;" fail")</f>
        <v>Precio.Producto average value suitable connects seamlessly with the microphone, but the right terminals where the inserted cable with the jack, are very fragile, the cable is quite flexible. Given the value it seems an average product. As we shall take to fail</v>
      </c>
    </row>
    <row r="16128">
      <c r="A16128" s="1">
        <v>1.0</v>
      </c>
      <c r="B16128" s="1" t="s">
        <v>15975</v>
      </c>
      <c r="C16128" t="str">
        <f>IFERROR(__xludf.DUMMYFUNCTION("GOOGLETRANSLATE(B16128, ""es"", ""en"")"),"Poor quality Very poor quality for sports. Two uses a pair and already has appeared a hole in the heel. No reinforcement in heel and toes, don very tinos. Perhaps for normal use but worth walking, running or other aggressive activity they are not suitable"&amp;". Totally not recommended")</f>
        <v>Poor quality Very poor quality for sports. Two uses a pair and already has appeared a hole in the heel. No reinforcement in heel and toes, don very tinos. Perhaps for normal use but worth walking, running or other aggressive activity they are not suitable. Totally not recommended</v>
      </c>
    </row>
    <row r="16129">
      <c r="A16129" s="1">
        <v>1.0</v>
      </c>
      <c r="B16129" s="1" t="s">
        <v>15976</v>
      </c>
      <c r="C16129" t="str">
        <f>IFERROR(__xludf.DUMMYFUNCTION("GOOGLETRANSLATE(B16129, ""es"", ""en"")"),"He died at 4 months estabacontento until after 4 months has died. It does not recognize neither the computer nor the camera. You can not format ... luckily had already overturned the work ... the card is dead. Rest in peace. I bought 2 equal. The second w"&amp;"as still running, has died today. They have not reached the year of use. And the use they have had has been very moderate. Do not even think buy.")</f>
        <v>He died at 4 months estabacontento until after 4 months has died. It does not recognize neither the computer nor the camera. You can not format ... luckily had already overturned the work ... the card is dead. Rest in peace. I bought 2 equal. The second was still running, has died today. They have not reached the year of use. And the use they have had has been very moderate. Do not even think buy.</v>
      </c>
    </row>
    <row r="16130">
      <c r="A16130" s="1">
        <v>1.0</v>
      </c>
      <c r="B16130" s="1" t="s">
        <v>15977</v>
      </c>
      <c r="C16130" t="str">
        <f>IFERROR(__xludf.DUMMYFUNCTION("GOOGLETRANSLATE(B16130, ""es"", ""en"")"),"It was late not liked the size. it's too small")</f>
        <v>It was late not liked the size. it's too small</v>
      </c>
    </row>
    <row r="16131">
      <c r="A16131" s="1">
        <v>4.0</v>
      </c>
      <c r="B16131" s="1" t="s">
        <v>15978</v>
      </c>
      <c r="C16131" t="str">
        <f>IFERROR(__xludf.DUMMYFUNCTION("GOOGLETRANSLATE(B16131, ""es"", ""en"")"),"It is what it seems comes with a pouch to store the frame and a box with all lenses. Since the saddle is protected little not having cash is complicated ensure their duration if you want to have them in the toolbox")</f>
        <v>It is what it seems comes with a pouch to store the frame and a box with all lenses. Since the saddle is protected little not having cash is complicated ensure their duration if you want to have them in the toolbox</v>
      </c>
    </row>
    <row r="16132">
      <c r="A16132" s="1">
        <v>4.0</v>
      </c>
      <c r="B16132" s="1" t="s">
        <v>15979</v>
      </c>
      <c r="C16132" t="str">
        <f>IFERROR(__xludf.DUMMYFUNCTION("GOOGLETRANSLATE(B16132, ""es"", ""en"")"),"No weigh weigh nothing, Velcro could be a little longer")</f>
        <v>No weigh weigh nothing, Velcro could be a little longer</v>
      </c>
    </row>
    <row r="16133">
      <c r="A16133" s="1">
        <v>4.0</v>
      </c>
      <c r="B16133" s="1" t="s">
        <v>15980</v>
      </c>
      <c r="C16133" t="str">
        <f>IFERROR(__xludf.DUMMYFUNCTION("GOOGLETRANSLATE(B16133, ""es"", ""en"")"),"Warm and comfortable boot design and comfort is good, the only downside is that wet road sliding a little, although it is assumed that it is not their land but comfortable and are used daily")</f>
        <v>Warm and comfortable boot design and comfort is good, the only downside is that wet road sliding a little, although it is assumed that it is not their land but comfortable and are used daily</v>
      </c>
    </row>
    <row r="16134">
      <c r="A16134" s="1">
        <v>4.0</v>
      </c>
      <c r="B16134" s="1" t="s">
        <v>15981</v>
      </c>
      <c r="C16134" t="str">
        <f>IFERROR(__xludf.DUMMYFUNCTION("GOOGLETRANSLATE(B16134, ""es"", ""en"")"),"Eaten caludad price and good value for money. Durability wait and see. Of course a first impression, either. recommended")</f>
        <v>Eaten caludad price and good value for money. Durability wait and see. Of course a first impression, either. recommended</v>
      </c>
    </row>
    <row r="16135">
      <c r="A16135" s="1">
        <v>5.0</v>
      </c>
      <c r="B16135" s="1" t="s">
        <v>15982</v>
      </c>
      <c r="C16135" t="str">
        <f>IFERROR(__xludf.DUMMYFUNCTION("GOOGLETRANSLATE(B16135, ""es"", ""en"")"),"You can not not buy this wonder! Wonderful, the quality is amazing, shines a lot and with the passage of time is like the first day. My wife is contentíssima, I would never have expected this quality and price ... I like more than several hundred jewelry")</f>
        <v>You can not not buy this wonder! Wonderful, the quality is amazing, shines a lot and with the passage of time is like the first day. My wife is contentíssima, I would never have expected this quality and price ... I like more than several hundred jewelry</v>
      </c>
    </row>
    <row r="16136">
      <c r="A16136" s="1">
        <v>5.0</v>
      </c>
      <c r="B16136" s="1" t="s">
        <v>15983</v>
      </c>
      <c r="C16136" t="str">
        <f>IFERROR(__xludf.DUMMYFUNCTION("GOOGLETRANSLATE(B16136, ""es"", ""en"")"),"Correct power and good safety function switches itself off at 3 o'clock. Buenos power levels. Cable, round and fat, annoying a bit, the next will be a whole bed. Good buy.")</f>
        <v>Correct power and good safety function switches itself off at 3 o'clock. Buenos power levels. Cable, round and fat, annoying a bit, the next will be a whole bed. Good buy.</v>
      </c>
    </row>
    <row r="16137">
      <c r="A16137" s="1">
        <v>5.0</v>
      </c>
      <c r="B16137" s="1" t="s">
        <v>15984</v>
      </c>
      <c r="C16137" t="str">
        <f>IFERROR(__xludf.DUMMYFUNCTION("GOOGLETRANSLATE(B16137, ""es"", ""en"")"),"It is good nice and cheap hard disk WD Elements 2.5 ""without unnecessary gaps which adequately protects and looks nice. For that, for that price you can not ask for more.")</f>
        <v>It is good nice and cheap hard disk WD Elements 2.5 "without unnecessary gaps which adequately protects and looks nice. For that, for that price you can not ask for more.</v>
      </c>
    </row>
    <row r="16138">
      <c r="A16138" s="1">
        <v>5.0</v>
      </c>
      <c r="B16138" s="1" t="s">
        <v>15985</v>
      </c>
      <c r="C16138" t="str">
        <f>IFERROR(__xludf.DUMMYFUNCTION("GOOGLETRANSLATE(B16138, ""es"", ""en"")"),"Very good watch The watch is beautiful, comfortable and light, although it is less fine than it appears since then. Solar recharging is fantastic, you forget the batteries. The metal strap allows it wet. The glass is scratch resistant. The main drawback i"&amp;"s that it is fine is the minute hand is not seen in low light and phosphorescent numbers are not in the dark.")</f>
        <v>Very good watch The watch is beautiful, comfortable and light, although it is less fine than it appears since then. Solar recharging is fantastic, you forget the batteries. The metal strap allows it wet. The glass is scratch resistant. The main drawback is that it is fine is the minute hand is not seen in low light and phosphorescent numbers are not in the dark.</v>
      </c>
    </row>
    <row r="16139">
      <c r="A16139" s="1">
        <v>5.0</v>
      </c>
      <c r="B16139" s="1" t="s">
        <v>15986</v>
      </c>
      <c r="C16139" t="str">
        <f>IFERROR(__xludf.DUMMYFUNCTION("GOOGLETRANSLATE(B16139, ""es"", ""en"")"),"Very pretty warm. Winter or autumn are quite warm in summer. Number 43 with socks average thickness is adjusted me.")</f>
        <v>Very pretty warm. Winter or autumn are quite warm in summer. Number 43 with socks average thickness is adjusted me.</v>
      </c>
    </row>
    <row r="16140">
      <c r="A16140" s="1">
        <v>5.0</v>
      </c>
      <c r="B16140" s="1" t="s">
        <v>15987</v>
      </c>
      <c r="C16140" t="str">
        <f>IFERROR(__xludf.DUMMYFUNCTION("GOOGLETRANSLATE(B16140, ""es"", ""en"")"),"Very comfortable comfortable pants Article and quality. Perfect for my months ago and much much heat or cold.")</f>
        <v>Very comfortable comfortable pants Article and quality. Perfect for my months ago and much much heat or cold.</v>
      </c>
    </row>
    <row r="16141">
      <c r="A16141" s="1">
        <v>5.0</v>
      </c>
      <c r="B16141" s="1" t="s">
        <v>15988</v>
      </c>
      <c r="C16141" t="str">
        <f>IFERROR(__xludf.DUMMYFUNCTION("GOOGLETRANSLATE(B16141, ""es"", ""en"")"),"Good buy. All good. It works very well with a great power. To take one but shipping is not packed in the original box, so you see what you bought, I hope this can be resolved and it is the second product that comes CECOTEC same.")</f>
        <v>Good buy. All good. It works very well with a great power. To take one but shipping is not packed in the original box, so you see what you bought, I hope this can be resolved and it is the second product that comes CECOTEC same.</v>
      </c>
    </row>
    <row r="16142">
      <c r="A16142" s="1">
        <v>5.0</v>
      </c>
      <c r="B16142" s="1" t="s">
        <v>15989</v>
      </c>
      <c r="C16142" t="str">
        <f>IFERROR(__xludf.DUMMYFUNCTION("GOOGLETRANSLATE(B16142, ""es"", ""en"")"),"A wonder he did not know Accustomed to the quality and warmth of my Sennheiser, was afraid to try these headphones. A discovery, clear mixture without exaggerated bass or treble strident. Recomendadísimo.")</f>
        <v>A wonder he did not know Accustomed to the quality and warmth of my Sennheiser, was afraid to try these headphones. A discovery, clear mixture without exaggerated bass or treble strident. Recomendadísimo.</v>
      </c>
    </row>
    <row r="16143">
      <c r="A16143" s="1">
        <v>5.0</v>
      </c>
      <c r="B16143" s="1" t="s">
        <v>15990</v>
      </c>
      <c r="C16143" t="str">
        <f>IFERROR(__xludf.DUMMYFUNCTION("GOOGLETRANSLATE(B16143, ""es"", ""en"")"),"Super comfortable !!! Blender is the most comfortable I've ever had, it's very fast and very light. It's super easy to clean and the two cup sizes makes me everything easier. highly recommended")</f>
        <v>Super comfortable !!! Blender is the most comfortable I've ever had, it's very fast and very light. It's super easy to clean and the two cup sizes makes me everything easier. highly recommended</v>
      </c>
    </row>
    <row r="16144">
      <c r="A16144" s="1">
        <v>5.0</v>
      </c>
      <c r="B16144" s="1" t="s">
        <v>15991</v>
      </c>
      <c r="C16144" t="str">
        <f>IFERROR(__xludf.DUMMYFUNCTION("GOOGLETRANSLATE(B16144, ""es"", ""en"")"),"Perfect compralo not hesitate !!!!! The churroa and truncheons ideals come !!!! Good product at a good price")</f>
        <v>Perfect compralo not hesitate !!!!! The churroa and truncheons ideals come !!!! Good product at a good price</v>
      </c>
    </row>
    <row r="16145">
      <c r="A16145" s="1">
        <v>5.0</v>
      </c>
      <c r="B16145" s="1" t="s">
        <v>15992</v>
      </c>
      <c r="C16145" t="str">
        <f>IFERROR(__xludf.DUMMYFUNCTION("GOOGLETRANSLATE(B16145, ""es"", ""en"")"),"CD no longer see. Little need be said, they are of excellent quality and are a very good price and little used but we like the music CD, thanks to remain for sale.")</f>
        <v>CD no longer see. Little need be said, they are of excellent quality and are a very good price and little used but we like the music CD, thanks to remain for sale.</v>
      </c>
    </row>
    <row r="16146">
      <c r="A16146" s="1">
        <v>5.0</v>
      </c>
      <c r="B16146" s="1" t="s">
        <v>15993</v>
      </c>
      <c r="C16146" t="str">
        <f>IFERROR(__xludf.DUMMYFUNCTION("GOOGLETRANSLATE(B16146, ""es"", ""en"")"),"Very nice, is an ideal gift was a birthday present for a friend and I found it very nice box with coming, all very nice and the pendant is what really reflected in the photo. So all ideal.")</f>
        <v>Very nice, is an ideal gift was a birthday present for a friend and I found it very nice box with coming, all very nice and the pendant is what really reflected in the photo. So all ideal.</v>
      </c>
    </row>
    <row r="16147">
      <c r="A16147" s="1">
        <v>5.0</v>
      </c>
      <c r="B16147" s="1" t="s">
        <v>15994</v>
      </c>
      <c r="C16147" t="str">
        <f>IFERROR(__xludf.DUMMYFUNCTION("GOOGLETRANSLATE(B16147, ""es"", ""en"")"),"Great works quick and easy use")</f>
        <v>Great works quick and easy use</v>
      </c>
    </row>
    <row r="16148">
      <c r="A16148" s="1">
        <v>5.0</v>
      </c>
      <c r="B16148" s="1" t="s">
        <v>15995</v>
      </c>
      <c r="C16148" t="str">
        <f>IFERROR(__xludf.DUMMYFUNCTION("GOOGLETRANSLATE(B16148, ""es"", ""en"")"),"perfect can not say much will be the perfect ride a friend and happy")</f>
        <v>perfect can not say much will be the perfect ride a friend and happy</v>
      </c>
    </row>
    <row r="16149">
      <c r="A16149" s="1">
        <v>5.0</v>
      </c>
      <c r="B16149" s="1" t="s">
        <v>15996</v>
      </c>
      <c r="C16149" t="str">
        <f>IFERROR(__xludf.DUMMYFUNCTION("GOOGLETRANSLATE(B16149, ""es"", ""en"")"),"Inclus convenient to everything running I liked everything")</f>
        <v>Inclus convenient to everything running I liked everything</v>
      </c>
    </row>
    <row r="16150">
      <c r="A16150" s="1">
        <v>5.0</v>
      </c>
      <c r="B16150" s="1" t="s">
        <v>15997</v>
      </c>
      <c r="C16150" t="str">
        <f>IFERROR(__xludf.DUMMYFUNCTION("GOOGLETRANSLATE(B16150, ""es"", ""en"")"),"Excellent I managed to organize all my documentation of the curriculum and I was still space, very good filer recommend it to anyone who wishes to use")</f>
        <v>Excellent I managed to organize all my documentation of the curriculum and I was still space, very good filer recommend it to anyone who wishes to use</v>
      </c>
    </row>
    <row r="16151">
      <c r="A16151" s="1">
        <v>5.0</v>
      </c>
      <c r="B16151" s="1" t="s">
        <v>15998</v>
      </c>
      <c r="C16151" t="str">
        <f>IFERROR(__xludf.DUMMYFUNCTION("GOOGLETRANSLATE(B16151, ""es"", ""en"")"),"Sound quality condenser microphone that has nothing to envy to others with more name. Erecting. Quality finishes. Convenient to use. Good buy.")</f>
        <v>Sound quality condenser microphone that has nothing to envy to others with more name. Erecting. Quality finishes. Convenient to use. Good buy.</v>
      </c>
    </row>
    <row r="16152">
      <c r="A16152" s="1">
        <v>5.0</v>
      </c>
      <c r="B16152" s="1" t="s">
        <v>15999</v>
      </c>
      <c r="C16152" t="str">
        <f>IFERROR(__xludf.DUMMYFUNCTION("GOOGLETRANSLATE(B16152, ""es"", ""en"")"),"As described Perfect size, if I hold the brighter the best purchase you've made.")</f>
        <v>As described Perfect size, if I hold the brighter the best purchase you've made.</v>
      </c>
    </row>
    <row r="16153">
      <c r="A16153" s="1">
        <v>5.0</v>
      </c>
      <c r="B16153" s="1" t="s">
        <v>16000</v>
      </c>
      <c r="C16153" t="str">
        <f>IFERROR(__xludf.DUMMYFUNCTION("GOOGLETRANSLATE(B16153, ""es"", ""en"")"),"Very good indeed, I did not think it would be so good, recommended 100%")</f>
        <v>Very good indeed, I did not think it would be so good, recommended 100%</v>
      </c>
    </row>
    <row r="16154">
      <c r="A16154" s="1">
        <v>2.0</v>
      </c>
      <c r="B16154" s="1" t="s">
        <v>16001</v>
      </c>
      <c r="C16154" t="str">
        <f>IFERROR(__xludf.DUMMYFUNCTION("GOOGLETRANSLATE(B16154, ""es"", ""en"")"),"12 weeks 85 days is what I have finally gone on these helmets, leaving the left atrial listening without possible solution. Honestly expected duration was somewhat higher, but it has not even reached three months. He used it mostly for my portable mp3 pla"&amp;"yer, about 1 hour to the day (going, returning from work, etc ..). Nor he treated them like gold whenever he kept nor maltraba simply have given normal use. A sound level I saw it right, with quality more or less expected. Designing my helmets I was perfe"&amp;"ct, although it is true that it is a tad larger than usual, so it might be somewhat uncomfortable for some. They should really coining the concept of throwaway headphones.")</f>
        <v>12 weeks 85 days is what I have finally gone on these helmets, leaving the left atrial listening without possible solution. Honestly expected duration was somewhat higher, but it has not even reached three months. He used it mostly for my portable mp3 player, about 1 hour to the day (going, returning from work, etc ..). Nor he treated them like gold whenever he kept nor maltraba simply have given normal use. A sound level I saw it right, with quality more or less expected. Designing my helmets I was perfect, although it is true that it is a tad larger than usual, so it might be somewhat uncomfortable for some. They should really coining the concept of throwaway headphones.</v>
      </c>
    </row>
    <row r="16155">
      <c r="A16155" s="1">
        <v>3.0</v>
      </c>
      <c r="B16155" s="1" t="s">
        <v>16002</v>
      </c>
      <c r="C16155" t="str">
        <f>IFERROR(__xludf.DUMMYFUNCTION("GOOGLETRANSLATE(B16155, ""es"", ""en"")"),"What cheap is expensive? The rod being out of the handle to the second week, but anything that does not fix the loctite. Otherwise I can not complain because the comments read are true but the price is very tight.")</f>
        <v>What cheap is expensive? The rod being out of the handle to the second week, but anything that does not fix the loctite. Otherwise I can not complain because the comments read are true but the price is very tight.</v>
      </c>
    </row>
    <row r="16156">
      <c r="A16156" s="1">
        <v>3.0</v>
      </c>
      <c r="B16156" s="1" t="s">
        <v>16003</v>
      </c>
      <c r="C16156" t="str">
        <f>IFERROR(__xludf.DUMMYFUNCTION("GOOGLETRANSLATE(B16156, ""es"", ""en"")"),"Maybe they not hold much is because I ordered very large. I use a 100-J bra, I ordered the largest size, and the least I can spare 2/3 sizes. I do not know if in smaller subject better.")</f>
        <v>Maybe they not hold much is because I ordered very large. I use a 100-J bra, I ordered the largest size, and the least I can spare 2/3 sizes. I do not know if in smaller subject better.</v>
      </c>
    </row>
    <row r="16157">
      <c r="A16157" s="1">
        <v>1.0</v>
      </c>
      <c r="B16157" s="1" t="s">
        <v>16004</v>
      </c>
      <c r="C16157" t="str">
        <f>IFERROR(__xludf.DUMMYFUNCTION("GOOGLETRANSLATE(B16157, ""es"", ""en"")"),"It does not work in English and Spanish. We buy this thermal pad Imetec, E08A1 model. We used it two or three times before they stop working. will no longer light up. The control light flashes blue. The pad does not heat. This was expensive now, we no ava"&amp;"il. We could not locate a customer service for a replacement. Our money was wasted. We bought esta Imetec heating pad, model E08A1. We used it two or three times before it stopped working. It will not turn on anymore. The light flashes blue Control's. The"&amp;" pad does not heat. This was expensive. Now, it is of no use to us. We Could not locate a customer service for a replacement. Our money was wasted.")</f>
        <v>It does not work in English and Spanish. We buy this thermal pad Imetec, E08A1 model. We used it two or three times before they stop working. will no longer light up. The control light flashes blue. The pad does not heat. This was expensive now, we no avail. We could not locate a customer service for a replacement. Our money was wasted. We bought esta Imetec heating pad, model E08A1. We used it two or three times before it stopped working. It will not turn on anymore. The light flashes blue Control's. The pad does not heat. This was expensive. Now, it is of no use to us. We Could not locate a customer service for a replacement. Our money was wasted.</v>
      </c>
    </row>
    <row r="16158">
      <c r="A16158" s="1">
        <v>1.0</v>
      </c>
      <c r="B16158" s="1" t="s">
        <v>16005</v>
      </c>
      <c r="C16158" t="str">
        <f>IFERROR(__xludf.DUMMYFUNCTION("GOOGLETRANSLATE(B16158, ""es"", ""en"")"),".. Poor quality is not as pictured. A material very bad. Above the sizes do not match")</f>
        <v>.. Poor quality is not as pictured. A material very bad. Above the sizes do not match</v>
      </c>
    </row>
    <row r="16159">
      <c r="A16159" s="1">
        <v>4.0</v>
      </c>
      <c r="B16159" s="1" t="s">
        <v>16006</v>
      </c>
      <c r="C16159" t="str">
        <f>IFERROR(__xludf.DUMMYFUNCTION("GOOGLETRANSLATE(B16159, ""es"", ""en"")"),"Brutal I bought it for a gift has delighted and has several functions of vibration and the lowest intensity is quite high. The battery takes while to load (about 1 hour) and has 2-3 hours of battery life. A good buy that I definitely recommend. The only d"&amp;"ownside is that I put the undercurrent is strong enough, otherwise 10. It also includes the cable for charging (USB - minijack)")</f>
        <v>Brutal I bought it for a gift has delighted and has several functions of vibration and the lowest intensity is quite high. The battery takes while to load (about 1 hour) and has 2-3 hours of battery life. A good buy that I definitely recommend. The only downside is that I put the undercurrent is strong enough, otherwise 10. It also includes the cable for charging (USB - minijack)</v>
      </c>
    </row>
    <row r="16160">
      <c r="A16160" s="1">
        <v>4.0</v>
      </c>
      <c r="B16160" s="1" t="s">
        <v>16007</v>
      </c>
      <c r="C16160" t="str">
        <f>IFERROR(__xludf.DUMMYFUNCTION("GOOGLETRANSLATE(B16160, ""es"", ""en"")"),"Very comfortable. Comfortable and soft. It maintains very hot feet.")</f>
        <v>Very comfortable. Comfortable and soft. It maintains very hot feet.</v>
      </c>
    </row>
    <row r="16161">
      <c r="A16161" s="1">
        <v>4.0</v>
      </c>
      <c r="B16161" s="1" t="s">
        <v>16008</v>
      </c>
      <c r="C16161" t="str">
        <f>IFERROR(__xludf.DUMMYFUNCTION("GOOGLETRANSLATE(B16161, ""es"", ""en"")"),"I recommend Very elegant")</f>
        <v>I recommend Very elegant</v>
      </c>
    </row>
    <row r="16162">
      <c r="A16162" s="1">
        <v>4.0</v>
      </c>
      <c r="B16162" s="1" t="s">
        <v>16009</v>
      </c>
      <c r="C16162" t="str">
        <f>IFERROR(__xludf.DUMMYFUNCTION("GOOGLETRANSLATE(B16162, ""es"", ""en"")"),"At the height of the brand great success! It is very comfortable slippers. Materials besides being very light appear to be very strong. realize good standard of quality of this brand. Very elegant and very good finishes. In short, I am delighted with the "&amp;"acquisition. I've given 4 stars and 5 because they do not come with the typical label on one of the two shoes.")</f>
        <v>At the height of the brand great success! It is very comfortable slippers. Materials besides being very light appear to be very strong. realize good standard of quality of this brand. Very elegant and very good finishes. In short, I am delighted with the acquisition. I've given 4 stars and 5 because they do not come with the typical label on one of the two shoes.</v>
      </c>
    </row>
    <row r="16163">
      <c r="A16163" s="1">
        <v>4.0</v>
      </c>
      <c r="B16163" s="1" t="s">
        <v>16010</v>
      </c>
      <c r="C16163" t="str">
        <f>IFERROR(__xludf.DUMMYFUNCTION("GOOGLETRANSLATE(B16163, ""es"", ""en"")"),"Beware the number, you have to take a greater r lqcion The money is very good. They are well finished and comfortable. The only downside is that, as well other people say, you have to take a number greater than the usual. Otherwise I think an excellent bu"&amp;"y")</f>
        <v>Beware the number, you have to take a greater r lqcion The money is very good. They are well finished and comfortable. The only downside is that, as well other people say, you have to take a number greater than the usual. Otherwise I think an excellent buy</v>
      </c>
    </row>
    <row r="16164">
      <c r="A16164" s="1">
        <v>5.0</v>
      </c>
      <c r="B16164" s="1" t="s">
        <v>16011</v>
      </c>
      <c r="C16164" t="str">
        <f>IFERROR(__xludf.DUMMYFUNCTION("GOOGLETRANSLATE(B16164, ""es"", ""en"")"),"Perfect good shoes, good brand")</f>
        <v>Perfect good shoes, good brand</v>
      </c>
    </row>
    <row r="16165">
      <c r="A16165" s="1">
        <v>5.0</v>
      </c>
      <c r="B16165" s="1" t="s">
        <v>16012</v>
      </c>
      <c r="C16165" t="str">
        <f>IFERROR(__xludf.DUMMYFUNCTION("GOOGLETRANSLATE(B16165, ""es"", ""en"")"),"Nike average expect quality to be better quality but are quite nice, comfortable, stylize a lot, and playing sports are well adapted to the body.")</f>
        <v>Nike average expect quality to be better quality but are quite nice, comfortable, stylize a lot, and playing sports are well adapted to the body.</v>
      </c>
    </row>
    <row r="16166">
      <c r="A16166" s="1">
        <v>5.0</v>
      </c>
      <c r="B16166" s="1" t="s">
        <v>16013</v>
      </c>
      <c r="C16166" t="str">
        <f>IFERROR(__xludf.DUMMYFUNCTION("GOOGLETRANSLATE(B16166, ""es"", ""en"")"),"PERFECT A perfume very nice and solves the problem of external itching.")</f>
        <v>PERFECT A perfume very nice and solves the problem of external itching.</v>
      </c>
    </row>
    <row r="16167">
      <c r="A16167" s="1">
        <v>5.0</v>
      </c>
      <c r="B16167" s="1" t="s">
        <v>16014</v>
      </c>
      <c r="C16167" t="str">
        <f>IFERROR(__xludf.DUMMYFUNCTION("GOOGLETRANSLATE(B16167, ""es"", ""en"")"),"If you want a huge speed ssd, with which the computer starts faster, play games at high speeds or need to use the Adobe package at high speed, here's a good ssd. Buy recommended.")</f>
        <v>If you want a huge speed ssd, with which the computer starts faster, play games at high speeds or need to use the Adobe package at high speed, here's a good ssd. Buy recommended.</v>
      </c>
    </row>
    <row r="16168">
      <c r="A16168" s="1">
        <v>5.0</v>
      </c>
      <c r="B16168" s="1" t="s">
        <v>16015</v>
      </c>
      <c r="C16168" t="str">
        <f>IFERROR(__xludf.DUMMYFUNCTION("GOOGLETRANSLATE(B16168, ""es"", ""en"")"),"many accessories has good power for tritutar and to make many recipes, I use it mainly to grind and make pancakes and oatmeal works without too many problems also bring accessories to expand its functions.")</f>
        <v>many accessories has good power for tritutar and to make many recipes, I use it mainly to grind and make pancakes and oatmeal works without too many problems also bring accessories to expand its functions.</v>
      </c>
    </row>
    <row r="16169">
      <c r="A16169" s="1">
        <v>5.0</v>
      </c>
      <c r="B16169" s="1" t="s">
        <v>16016</v>
      </c>
      <c r="C16169" t="str">
        <f>IFERROR(__xludf.DUMMYFUNCTION("GOOGLETRANSLATE(B16169, ""es"", ""en"")"),"Good product The clock works perfect, no hits")</f>
        <v>Good product The clock works perfect, no hits</v>
      </c>
    </row>
    <row r="16170">
      <c r="A16170" s="1">
        <v>5.0</v>
      </c>
      <c r="B16170" s="1" t="s">
        <v>16017</v>
      </c>
      <c r="C16170" t="str">
        <f>IFERROR(__xludf.DUMMYFUNCTION("GOOGLETRANSLATE(B16170, ""es"", ""en"")"),"Looks good. I like the design.")</f>
        <v>Looks good. I like the design.</v>
      </c>
    </row>
    <row r="16171">
      <c r="A16171" s="1">
        <v>5.0</v>
      </c>
      <c r="B16171" s="1" t="s">
        <v>16018</v>
      </c>
      <c r="C16171" t="str">
        <f>IFERROR(__xludf.DUMMYFUNCTION("GOOGLETRANSLATE(B16171, ""es"", ""en"")"),"The Quality! It is perfectly !!! Good Quality! Wash well in washing machine")</f>
        <v>The Quality! It is perfectly !!! Good Quality! Wash well in washing machine</v>
      </c>
    </row>
    <row r="16172">
      <c r="A16172" s="1">
        <v>5.0</v>
      </c>
      <c r="B16172" s="1" t="s">
        <v>16019</v>
      </c>
      <c r="C16172" t="str">
        <f>IFERROR(__xludf.DUMMYFUNCTION("GOOGLETRANSLATE(B16172, ""es"", ""en"")"),"PRODUCT recommended are comfortable, comfortable to wear without falling. Both sound quality and microphone. They bring different silicone plugs to fit the ear. Bag to carry in your handbag. Delivery time as indicated by the seller.")</f>
        <v>PRODUCT recommended are comfortable, comfortable to wear without falling. Both sound quality and microphone. They bring different silicone plugs to fit the ear. Bag to carry in your handbag. Delivery time as indicated by the seller.</v>
      </c>
    </row>
    <row r="16173">
      <c r="A16173" s="1">
        <v>5.0</v>
      </c>
      <c r="B16173" s="1" t="s">
        <v>16020</v>
      </c>
      <c r="C16173" t="str">
        <f>IFERROR(__xludf.DUMMYFUNCTION("GOOGLETRANSLATE(B16173, ""es"", ""en"")"),"very good buy! Very comfortable to wear long periods of time, connect easy to mobile via bluetooth, they are handled very easy just by touching the buttons on one of the handsets, which is appreciated if I'm walking with my son shopping. They fold down to"&amp;" save power in the bag. They have current and modern look, plus an extra cable if you want to bring connected mobile cable and not wireless")</f>
        <v>very good buy! Very comfortable to wear long periods of time, connect easy to mobile via bluetooth, they are handled very easy just by touching the buttons on one of the handsets, which is appreciated if I'm walking with my son shopping. They fold down to save power in the bag. They have current and modern look, plus an extra cable if you want to bring connected mobile cable and not wireless</v>
      </c>
    </row>
    <row r="16174">
      <c r="A16174" s="1">
        <v>5.0</v>
      </c>
      <c r="B16174" s="1" t="s">
        <v>16021</v>
      </c>
      <c r="C16174" t="str">
        <f>IFERROR(__xludf.DUMMYFUNCTION("GOOGLETRANSLATE(B16174, ""es"", ""en"")"),"Cable connector long, strong and thick. A deploying the product, it keeps the shape and fulfills its function perfectly.")</f>
        <v>Cable connector long, strong and thick. A deploying the product, it keeps the shape and fulfills its function perfectly.</v>
      </c>
    </row>
    <row r="16175">
      <c r="A16175" s="1">
        <v>5.0</v>
      </c>
      <c r="B16175" s="1" t="s">
        <v>16022</v>
      </c>
      <c r="C16175" t="str">
        <f>IFERROR(__xludf.DUMMYFUNCTION("GOOGLETRANSLATE(B16175, ""es"", ""en"")"),"I was looking Perfect for what I need. well it is plasticized and the expected thickness. Recommended for home use. 10")</f>
        <v>I was looking Perfect for what I need. well it is plasticized and the expected thickness. Recommended for home use. 10</v>
      </c>
    </row>
    <row r="16176">
      <c r="A16176" s="1">
        <v>5.0</v>
      </c>
      <c r="B16176" s="1" t="s">
        <v>16023</v>
      </c>
      <c r="C16176" t="str">
        <f>IFERROR(__xludf.DUMMYFUNCTION("GOOGLETRANSLATE(B16176, ""es"", ""en"")"),"Product quality and cheap quality and cheap compared to other more expensive brands. I noticed the difference except in price. I would buy. I recommend it.")</f>
        <v>Product quality and cheap quality and cheap compared to other more expensive brands. I noticed the difference except in price. I would buy. I recommend it.</v>
      </c>
    </row>
    <row r="16177">
      <c r="A16177" s="1">
        <v>5.0</v>
      </c>
      <c r="B16177" s="1" t="s">
        <v>16024</v>
      </c>
      <c r="C16177" t="str">
        <f>IFERROR(__xludf.DUMMYFUNCTION("GOOGLETRANSLATE(B16177, ""es"", ""en"")"),"Hello spectacular set is a set that saw too much for a young person, but as for my mother feel you are stupendously large crystals which make it more beautiful still, people with light eyes make them very attractive.")</f>
        <v>Hello spectacular set is a set that saw too much for a young person, but as for my mother feel you are stupendously large crystals which make it more beautiful still, people with light eyes make them very attractive.</v>
      </c>
    </row>
    <row r="16178">
      <c r="A16178" s="1">
        <v>5.0</v>
      </c>
      <c r="B16178" s="1" t="s">
        <v>16025</v>
      </c>
      <c r="C16178" t="str">
        <f>IFERROR(__xludf.DUMMYFUNCTION("GOOGLETRANSLATE(B16178, ""es"", ""en"")"),"It works perfectly perfect, has 8 levels of intensity of the heat and is perfect for neck problems")</f>
        <v>It works perfectly perfect, has 8 levels of intensity of the heat and is perfect for neck problems</v>
      </c>
    </row>
    <row r="16179">
      <c r="A16179" s="1">
        <v>5.0</v>
      </c>
      <c r="B16179" s="1" t="s">
        <v>16026</v>
      </c>
      <c r="C16179" t="str">
        <f>IFERROR(__xludf.DUMMYFUNCTION("GOOGLETRANSLATE(B16179, ""es"", ""en"")"),"Very good product already kllevo uns days with them. I am delighted, soft and comfortable but with good tread. She looks great and are durable. The only but is that part of the heel I find a little low, but also recommend")</f>
        <v>Very good product already kllevo uns days with them. I am delighted, soft and comfortable but with good tread. She looks great and are durable. The only but is that part of the heel I find a little low, but also recommend</v>
      </c>
    </row>
    <row r="16180">
      <c r="A16180" s="1">
        <v>5.0</v>
      </c>
      <c r="B16180" s="1" t="s">
        <v>16027</v>
      </c>
      <c r="C16180" t="str">
        <f>IFERROR(__xludf.DUMMYFUNCTION("GOOGLETRANSLATE(B16180, ""es"", ""en"")"),"The initial Flamenco wanted to start a flamenco, and I can very well, I asked for the size that corresponds me and this perfect. They have not hurt me anywhere and on time shipment has arrived")</f>
        <v>The initial Flamenco wanted to start a flamenco, and I can very well, I asked for the size that corresponds me and this perfect. They have not hurt me anywhere and on time shipment has arrived</v>
      </c>
    </row>
    <row r="16181">
      <c r="A16181" s="1">
        <v>5.0</v>
      </c>
      <c r="B16181" s="1" t="s">
        <v>16028</v>
      </c>
      <c r="C16181" t="str">
        <f>IFERROR(__xludf.DUMMYFUNCTION("GOOGLETRANSLATE(B16181, ""es"", ""en"")"),"good watch The watch is amazing, it is robust but bearable on the wrist, plus white light LED which provides recommend")</f>
        <v>good watch The watch is amazing, it is robust but bearable on the wrist, plus white light LED which provides recommend</v>
      </c>
    </row>
    <row r="16182">
      <c r="A16182" s="1">
        <v>5.0</v>
      </c>
      <c r="B16182" s="1" t="s">
        <v>16029</v>
      </c>
      <c r="C16182" t="str">
        <f>IFERROR(__xludf.DUMMYFUNCTION("GOOGLETRANSLATE(B16182, ""es"", ""en"")"),"correct items. For me it is a product I've used a lot in my profession optic polisher and is good par anteojeria this purpose.")</f>
        <v>correct items. For me it is a product I've used a lot in my profession optic polisher and is good par anteojeria this purpose.</v>
      </c>
    </row>
    <row r="16183">
      <c r="A16183" s="1">
        <v>2.0</v>
      </c>
      <c r="B16183" s="1" t="s">
        <v>16030</v>
      </c>
      <c r="C16183" t="str">
        <f>IFERROR(__xludf.DUMMYFUNCTION("GOOGLETRANSLATE(B16183, ""es"", ""en"")"),"Which are the various products and reach tienpo I did not like it because everything is repeated above the globe and dragonfly")</f>
        <v>Which are the various products and reach tienpo I did not like it because everything is repeated above the globe and dragonfly</v>
      </c>
    </row>
    <row r="16184">
      <c r="A16184" s="1">
        <v>3.0</v>
      </c>
      <c r="B16184" s="1" t="s">
        <v>16031</v>
      </c>
      <c r="C16184" t="str">
        <f>IFERROR(__xludf.DUMMYFUNCTION("GOOGLETRANSLATE(B16184, ""es"", ""en"")"),"ORMA is very wide Long is normal, but the ORMA is quite wide, I have a narrow foot and I had to return.")</f>
        <v>ORMA is very wide Long is normal, but the ORMA is quite wide, I have a narrow foot and I had to return.</v>
      </c>
    </row>
    <row r="16185">
      <c r="A16185" s="1">
        <v>3.0</v>
      </c>
      <c r="B16185" s="1" t="s">
        <v>16032</v>
      </c>
      <c r="C16185" t="str">
        <f>IFERROR(__xludf.DUMMYFUNCTION("GOOGLETRANSLATE(B16185, ""es"", ""en"")"),"Good value for money. They are a little big.")</f>
        <v>Good value for money. They are a little big.</v>
      </c>
    </row>
    <row r="16186">
      <c r="A16186" s="1">
        <v>1.0</v>
      </c>
      <c r="B16186" s="1" t="s">
        <v>16033</v>
      </c>
      <c r="C16186" t="str">
        <f>IFERROR(__xludf.DUMMYFUNCTION("GOOGLETRANSLATE(B16186, ""es"", ""en"")"),"Failure to 5 seconds. In the first use five seconds broke the glass and elice of the interior was blocked, how power failure. A disappointment appliance. I hope it is only defective.")</f>
        <v>Failure to 5 seconds. In the first use five seconds broke the glass and elice of the interior was blocked, how power failure. A disappointment appliance. I hope it is only defective.</v>
      </c>
    </row>
    <row r="16187">
      <c r="A16187" s="1">
        <v>1.0</v>
      </c>
      <c r="B16187" s="1" t="s">
        <v>16034</v>
      </c>
      <c r="C16187" t="str">
        <f>IFERROR(__xludf.DUMMYFUNCTION("GOOGLETRANSLATE(B16187, ""es"", ""en"")"),"A super bad product appealing aesthetic, the two Medea duration ...... I took off the corners of the shoe, without giving an exaggerated use. I do not advise your purchase, as it is investing to have shoes for two months")</f>
        <v>A super bad product appealing aesthetic, the two Medea duration ...... I took off the corners of the shoe, without giving an exaggerated use. I do not advise your purchase, as it is investing to have shoes for two months</v>
      </c>
    </row>
    <row r="16188">
      <c r="A16188" s="1">
        <v>4.0</v>
      </c>
      <c r="B16188" s="1" t="s">
        <v>16035</v>
      </c>
      <c r="C16188" t="str">
        <f>IFERROR(__xludf.DUMMYFUNCTION("GOOGLETRANSLATE(B16188, ""es"", ""en"")"),"The rear right, this little got to the only cover part of the mechanism and not the entire back of the clock.")</f>
        <v>The rear right, this little got to the only cover part of the mechanism and not the entire back of the clock.</v>
      </c>
    </row>
    <row r="16189">
      <c r="A16189" s="1">
        <v>4.0</v>
      </c>
      <c r="B16189" s="1" t="s">
        <v>16036</v>
      </c>
      <c r="C16189" t="str">
        <f>IFERROR(__xludf.DUMMYFUNCTION("GOOGLETRANSLATE(B16189, ""es"", ""en"")"),"Low capacity, good price. Buy this SSD to see if the laptop improved performance, which it has. For this price, you do not expect any wonders: it is affordable and low capacity (although this is relative, of course). For equipment with mechanical hard dri"&amp;"ve, you're going to notice a difference in more than remarkable speed. I put 4 stars because, knowing full well that I bought and at what price, something that obviously accepted, reliability / durability is pending.")</f>
        <v>Low capacity, good price. Buy this SSD to see if the laptop improved performance, which it has. For this price, you do not expect any wonders: it is affordable and low capacity (although this is relative, of course). For equipment with mechanical hard drive, you're going to notice a difference in more than remarkable speed. I put 4 stars because, knowing full well that I bought and at what price, something that obviously accepted, reliability / durability is pending.</v>
      </c>
    </row>
    <row r="16190">
      <c r="A16190" s="1">
        <v>4.0</v>
      </c>
      <c r="B16190" s="1" t="s">
        <v>16037</v>
      </c>
      <c r="C16190" t="str">
        <f>IFERROR(__xludf.DUMMYFUNCTION("GOOGLETRANSLATE(B16190, ""es"", ""en"")"),"While sending a card with no more")</f>
        <v>While sending a card with no more</v>
      </c>
    </row>
    <row r="16191">
      <c r="A16191" s="1">
        <v>4.0</v>
      </c>
      <c r="B16191" s="1" t="s">
        <v>16038</v>
      </c>
      <c r="C16191" t="str">
        <f>IFERROR(__xludf.DUMMYFUNCTION("GOOGLETRANSLATE(B16191, ""es"", ""en"")"),"Bad smell, but very good cleaning smells a little bad, but clean very well")</f>
        <v>Bad smell, but very good cleaning smells a little bad, but clean very well</v>
      </c>
    </row>
    <row r="16192">
      <c r="A16192" s="1">
        <v>4.0</v>
      </c>
      <c r="B16192" s="1" t="s">
        <v>16039</v>
      </c>
      <c r="C16192" t="str">
        <f>IFERROR(__xludf.DUMMYFUNCTION("GOOGLETRANSLATE(B16192, ""es"", ""en"")"),"Satifecho 100x100 bn exa good buy and I like")</f>
        <v>Satifecho 100x100 bn exa good buy and I like</v>
      </c>
    </row>
    <row r="16193">
      <c r="A16193" s="1">
        <v>5.0</v>
      </c>
      <c r="B16193" s="1" t="s">
        <v>16040</v>
      </c>
      <c r="C16193" t="str">
        <f>IFERROR(__xludf.DUMMYFUNCTION("GOOGLETRANSLATE(B16193, ""es"", ""en"")"),"Very good treatment by the seller. A few months ago I wrote my opinion and was delighted with the product, it was everything I wanted, but unfortunately one of the pieces (the large pitcher) broke the engagement with the blade was not going well and I had"&amp;" to contact the seller. To my surprise I can say I am now even more delighted, treatment of the seller and excellent quality service to the customer left me very satisfied, were very friendly and fast .. I solved the problem and now I have the new piece, "&amp;"I hope not fail again because I have great faith in this product, I find it very versatile in my kitchen!")</f>
        <v>Very good treatment by the seller. A few months ago I wrote my opinion and was delighted with the product, it was everything I wanted, but unfortunately one of the pieces (the large pitcher) broke the engagement with the blade was not going well and I had to contact the seller. To my surprise I can say I am now even more delighted, treatment of the seller and excellent quality service to the customer left me very satisfied, were very friendly and fast .. I solved the problem and now I have the new piece, I hope not fail again because I have great faith in this product, I find it very versatile in my kitchen!</v>
      </c>
    </row>
    <row r="16194">
      <c r="A16194" s="1">
        <v>5.0</v>
      </c>
      <c r="B16194" s="1" t="s">
        <v>16041</v>
      </c>
      <c r="C16194" t="str">
        <f>IFERROR(__xludf.DUMMYFUNCTION("GOOGLETRANSLATE(B16194, ""es"", ""en"")"),"the best of the market is the best SSD hard drives you can find OJO! price / quality ratio, while it is true that much faster, are also more expensive, this model of Kingston, to me going great, I have mounted on portable, fixed computers, all with no pro"&amp;"blem and rate transfer having both writing and reading is above average for the price they have and offer more flash usually get several times, it is the best choice if you do not want to spend much money. Did you return to buy? Yes, in fact I've already "&amp;"bought several this year, as I say to repair or expand performance on older computers of family and friends.")</f>
        <v>the best of the market is the best SSD hard drives you can find OJO! price / quality ratio, while it is true that much faster, are also more expensive, this model of Kingston, to me going great, I have mounted on portable, fixed computers, all with no problem and rate transfer having both writing and reading is above average for the price they have and offer more flash usually get several times, it is the best choice if you do not want to spend much money. Did you return to buy? Yes, in fact I've already bought several this year, as I say to repair or expand performance on older computers of family and friends.</v>
      </c>
    </row>
    <row r="16195">
      <c r="A16195" s="1">
        <v>5.0</v>
      </c>
      <c r="B16195" s="1" t="s">
        <v>16042</v>
      </c>
      <c r="C16195" t="str">
        <f>IFERROR(__xludf.DUMMYFUNCTION("GOOGLETRANSLATE(B16195, ""es"", ""en"")"),"A capacity USB really fast to transfer large files and good capacity (64GB). I am happy.")</f>
        <v>A capacity USB really fast to transfer large files and good capacity (64GB). I am happy.</v>
      </c>
    </row>
    <row r="16196">
      <c r="A16196" s="1">
        <v>5.0</v>
      </c>
      <c r="B16196" s="1" t="s">
        <v>16043</v>
      </c>
      <c r="C16196" t="str">
        <f>IFERROR(__xludf.DUMMYFUNCTION("GOOGLETRANSLATE(B16196, ""es"", ""en"")"),"It is very good fabric is perfect, the fabric is strong and looks great waist, I have a 36/38 and I ordered a M")</f>
        <v>It is very good fabric is perfect, the fabric is strong and looks great waist, I have a 36/38 and I ordered a M</v>
      </c>
    </row>
    <row r="16197">
      <c r="A16197" s="1">
        <v>5.0</v>
      </c>
      <c r="B16197" s="1" t="s">
        <v>16044</v>
      </c>
      <c r="C16197" t="str">
        <f>IFERROR(__xludf.DUMMYFUNCTION("GOOGLETRANSLATE(B16197, ""es"", ""en"")"),"It was a perfect gift and really liked")</f>
        <v>It was a perfect gift and really liked</v>
      </c>
    </row>
    <row r="16198">
      <c r="A16198" s="1">
        <v>5.0</v>
      </c>
      <c r="B16198" s="1" t="s">
        <v>16045</v>
      </c>
      <c r="C16198" t="str">
        <f>IFERROR(__xludf.DUMMYFUNCTION("GOOGLETRANSLATE(B16198, ""es"", ""en"")"),"Satisfied satisfied with the purchase. I expected the typical massager with vibration and this is mejor.Su vibration operation if it relaxes the area and I have sent gustado.El has been rapid and has come all very well in perfect condition. It takes sever"&amp;"al heads for different areas that come in handy and different ways")</f>
        <v>Satisfied satisfied with the purchase. I expected the typical massager with vibration and this is mejor.Su vibration operation if it relaxes the area and I have sent gustado.El has been rapid and has come all very well in perfect condition. It takes several heads for different areas that come in handy and different ways</v>
      </c>
    </row>
    <row r="16199">
      <c r="A16199" s="1">
        <v>5.0</v>
      </c>
      <c r="B16199" s="1" t="s">
        <v>16046</v>
      </c>
      <c r="C16199" t="str">
        <f>IFERROR(__xludf.DUMMYFUNCTION("GOOGLETRANSLATE(B16199, ""es"", ""en"")"),"Bandolier functionality has quite separate pocket so it is very últil.")</f>
        <v>Bandolier functionality has quite separate pocket so it is very últil.</v>
      </c>
    </row>
    <row r="16200">
      <c r="A16200" s="1">
        <v>5.0</v>
      </c>
      <c r="B16200" s="1" t="s">
        <v>16047</v>
      </c>
      <c r="C16200" t="str">
        <f>IFERROR(__xludf.DUMMYFUNCTION("GOOGLETRANSLATE(B16200, ""es"", ""en"")"),"comfortable shoes very comfortable and lightweight materials look good. Will have to see how long they last with normal use. recommended product")</f>
        <v>comfortable shoes very comfortable and lightweight materials look good. Will have to see how long they last with normal use. recommended product</v>
      </c>
    </row>
    <row r="16201">
      <c r="A16201" s="1">
        <v>5.0</v>
      </c>
      <c r="B16201" s="1" t="s">
        <v>16048</v>
      </c>
      <c r="C16201" t="str">
        <f>IFERROR(__xludf.DUMMYFUNCTION("GOOGLETRANSLATE(B16201, ""es"", ""en"")"),"Thick and comfortable. It is a thick winter socks, which also are quite comfortable, although now still too hot to use. I bought them was my husband for departures we make to the field. In the receiving them gave me the impression that would be small, but"&amp;" the try them were perfect. They are elastic and conform to the foot without bother. They are ideal for use with boots. Aesthetically I like.")</f>
        <v>Thick and comfortable. It is a thick winter socks, which also are quite comfortable, although now still too hot to use. I bought them was my husband for departures we make to the field. In the receiving them gave me the impression that would be small, but the try them were perfect. They are elastic and conform to the foot without bother. They are ideal for use with boots. Aesthetically I like.</v>
      </c>
    </row>
    <row r="16202">
      <c r="A16202" s="1">
        <v>5.0</v>
      </c>
      <c r="B16202" s="1" t="s">
        <v>16049</v>
      </c>
      <c r="C16202" t="str">
        <f>IFERROR(__xludf.DUMMYFUNCTION("GOOGLETRANSLATE(B16202, ""es"", ""en"")"),"Professional Cable Cable 3 meters with robust gold-plated straight head, professional quality. I've connected my guitar, but can be used with bass, keyboard ... I can say that the use makes no noise, giving a clean sound. Bring Velcro cord wrap when you'r"&amp;"e going to save. Another highlight is the good presentation because it comes packaged in plastic bag (apart from bringing cardboard specifications), other cables are unprotected and often grating ... Very happy with purchase, very good value- price. Has b"&amp;"een a revelation and a wise move, the next time you need a cable longer resort to marking.")</f>
        <v>Professional Cable Cable 3 meters with robust gold-plated straight head, professional quality. I've connected my guitar, but can be used with bass, keyboard ... I can say that the use makes no noise, giving a clean sound. Bring Velcro cord wrap when you're going to save. Another highlight is the good presentation because it comes packaged in plastic bag (apart from bringing cardboard specifications), other cables are unprotected and often grating ... Very happy with purchase, very good value- price. Has been a revelation and a wise move, the next time you need a cable longer resort to marking.</v>
      </c>
    </row>
    <row r="16203">
      <c r="A16203" s="1">
        <v>5.0</v>
      </c>
      <c r="B16203" s="1" t="s">
        <v>16050</v>
      </c>
      <c r="C16203" t="str">
        <f>IFERROR(__xludf.DUMMYFUNCTION("GOOGLETRANSLATE(B16203, ""es"", ""en"")"),"Good quality. Beautiful and very good quality, I expected a little more spacious inside, I use many fluorescent and me but falls a bit short in terms of aesthetics and finishes on October 1")</f>
        <v>Good quality. Beautiful and very good quality, I expected a little more spacious inside, I use many fluorescent and me but falls a bit short in terms of aesthetics and finishes on October 1</v>
      </c>
    </row>
    <row r="16204">
      <c r="A16204" s="1">
        <v>5.0</v>
      </c>
      <c r="B16204" s="1" t="s">
        <v>16051</v>
      </c>
      <c r="C16204" t="str">
        <f>IFERROR(__xludf.DUMMYFUNCTION("GOOGLETRANSLATE(B16204, ""es"", ""en"")"),"EASE OF USE, DO NOT NEED TO BE CONNECTED TO THE ELECTRIC POWER AND EASY TO CLEAN This blender / portable wringer does what it promises and it does very well, is very fast and act with astonishing precision when grinding fruit, container glass can be remov"&amp;"ed easily and take it from one place to another and even use of glass. It can be cleaned easily, and its use is not complex. Bring a battery that is charged via USB, and lasts for about 20 to 25 applications which is pretty good, for the convenience of us"&amp;"e without needing an outlet nearby. A product that in my opinion is value great price. If you have proved useful my comment please let them know about pressing the appropriate button, thank you.")</f>
        <v>EASE OF USE, DO NOT NEED TO BE CONNECTED TO THE ELECTRIC POWER AND EASY TO CLEAN This blender / portable wringer does what it promises and it does very well, is very fast and act with astonishing precision when grinding fruit, container glass can be removed easily and take it from one place to another and even use of glass. It can be cleaned easily, and its use is not complex. Bring a battery that is charged via USB, and lasts for about 20 to 25 applications which is pretty good, for the convenience of use without needing an outlet nearby. A product that in my opinion is value great price. If you have proved useful my comment please let them know about pressing the appropriate button, thank you.</v>
      </c>
    </row>
    <row r="16205">
      <c r="A16205" s="1">
        <v>5.0</v>
      </c>
      <c r="B16205" s="1" t="s">
        <v>16052</v>
      </c>
      <c r="C16205" t="str">
        <f>IFERROR(__xludf.DUMMYFUNCTION("GOOGLETRANSLATE(B16205, ""es"", ""en"")"),"Perfect shoe size perfect. Good material and very comfortable")</f>
        <v>Perfect shoe size perfect. Good material and very comfortable</v>
      </c>
    </row>
    <row r="16206">
      <c r="A16206" s="1">
        <v>5.0</v>
      </c>
      <c r="B16206" s="1" t="s">
        <v>16053</v>
      </c>
      <c r="C16206" t="str">
        <f>IFERROR(__xludf.DUMMYFUNCTION("GOOGLETRANSLATE(B16206, ""es"", ""en"")"),"Good design, comfortable wanted a bracelet activity that did not have an exorbitant price and was pretty to look at and comfortable to wear, as it was for a gift, and I think it meets expectations. So far everything works perfect, I've tried to check befo"&amp;"re handing his future mistress and everything ok, the screen looks perfectly and is easy to use. So I could test properly measured, and fast loading. What I was looking for a good bracelet!")</f>
        <v>Good design, comfortable wanted a bracelet activity that did not have an exorbitant price and was pretty to look at and comfortable to wear, as it was for a gift, and I think it meets expectations. So far everything works perfect, I've tried to check before handing his future mistress and everything ok, the screen looks perfectly and is easy to use. So I could test properly measured, and fast loading. What I was looking for a good bracelet!</v>
      </c>
    </row>
    <row r="16207">
      <c r="A16207" s="1">
        <v>5.0</v>
      </c>
      <c r="B16207" s="1" t="s">
        <v>16054</v>
      </c>
      <c r="C16207" t="str">
        <f>IFERROR(__xludf.DUMMYFUNCTION("GOOGLETRANSLATE(B16207, ""es"", ""en"")"),"A perfect case very strong and robust. Good quality price")</f>
        <v>A perfect case very strong and robust. Good quality price</v>
      </c>
    </row>
    <row r="16208">
      <c r="A16208" s="1">
        <v>5.0</v>
      </c>
      <c r="B16208" s="1" t="s">
        <v>16055</v>
      </c>
      <c r="C16208" t="str">
        <f>IFERROR(__xludf.DUMMYFUNCTION("GOOGLETRANSLATE(B16208, ""es"", ""en"")"),"Good quality division intelligente perfect division. Color well especially jeans and dark clothes")</f>
        <v>Good quality division intelligente perfect division. Color well especially jeans and dark clothes</v>
      </c>
    </row>
    <row r="16209">
      <c r="A16209" s="1">
        <v>5.0</v>
      </c>
      <c r="B16209" s="1" t="s">
        <v>16056</v>
      </c>
      <c r="C16209" t="str">
        <f>IFERROR(__xludf.DUMMYFUNCTION("GOOGLETRANSLATE(B16209, ""es"", ""en"")"),"VERY NICE AND GOOD Aesthetically is beautiful. Also works very well, it has much ability and hisses hard to hear if you're not in the kitchen. The only negative is that inside the box did not come maintenance instructions (when outside the box indicating "&amp;"so), but can be downloaded from the Internet. Between sending and also very well.")</f>
        <v>VERY NICE AND GOOD Aesthetically is beautiful. Also works very well, it has much ability and hisses hard to hear if you're not in the kitchen. The only negative is that inside the box did not come maintenance instructions (when outside the box indicating so), but can be downloaded from the Internet. Between sending and also very well.</v>
      </c>
    </row>
    <row r="16210">
      <c r="A16210" s="1">
        <v>5.0</v>
      </c>
      <c r="B16210" s="1" t="s">
        <v>16057</v>
      </c>
      <c r="C16210" t="str">
        <f>IFERROR(__xludf.DUMMYFUNCTION("GOOGLETRANSLATE(B16210, ""es"", ""en"")"),"Just what I asked right, right. Shipments to the recipient please not to any neighbor that lends itself should be personalized, for that you pay.")</f>
        <v>Just what I asked right, right. Shipments to the recipient please not to any neighbor that lends itself should be personalized, for that you pay.</v>
      </c>
    </row>
    <row r="16211">
      <c r="A16211" s="1">
        <v>2.0</v>
      </c>
      <c r="B16211" s="1" t="s">
        <v>16058</v>
      </c>
      <c r="C16211" t="str">
        <f>IFERROR(__xludf.DUMMYFUNCTION("GOOGLETRANSLATE(B16211, ""es"", ""en"")"),"I not worth Headphones are beautiful and are well constructed with good quality materials. I can only comment on the quality of the sound. The problem is that nothing ergonomic to being rigid arch that must rest on the ear. I can not hold and are complete"&amp;"ly loose, seem made for a giant ear.")</f>
        <v>I not worth Headphones are beautiful and are well constructed with good quality materials. I can only comment on the quality of the sound. The problem is that nothing ergonomic to being rigid arch that must rest on the ear. I can not hold and are completely loose, seem made for a giant ear.</v>
      </c>
    </row>
    <row r="16212">
      <c r="A16212" s="1">
        <v>3.0</v>
      </c>
      <c r="B16212" s="1" t="s">
        <v>16059</v>
      </c>
      <c r="C16212" t="str">
        <f>IFERROR(__xludf.DUMMYFUNCTION("GOOGLETRANSLATE(B16212, ""es"", ""en"")"),"Value somewhat high functional Kettle, can not be faulted running, and quite beautiful. A match other appliances in the same range of the brand. Maybe the less I like best of all. It works properly and is quite fast carrying water to boiling level. Price "&amp;"somewhat high for a kettle.")</f>
        <v>Value somewhat high functional Kettle, can not be faulted running, and quite beautiful. A match other appliances in the same range of the brand. Maybe the less I like best of all. It works properly and is quite fast carrying water to boiling level. Price somewhat high for a kettle.</v>
      </c>
    </row>
    <row r="16213">
      <c r="A16213" s="1">
        <v>1.0</v>
      </c>
      <c r="B16213" s="1" t="s">
        <v>16060</v>
      </c>
      <c r="C16213" t="str">
        <f>IFERROR(__xludf.DUMMYFUNCTION("GOOGLETRANSLATE(B16213, ""es"", ""en"")"),"you do not get as pictured and look fake not have liked nothing compared with the first purchase I wanted to reach me but this time I was disappointed Amaozon")</f>
        <v>you do not get as pictured and look fake not have liked nothing compared with the first purchase I wanted to reach me but this time I was disappointed Amaozon</v>
      </c>
    </row>
    <row r="16214">
      <c r="A16214" s="1">
        <v>1.0</v>
      </c>
      <c r="B16214" s="1" t="s">
        <v>16061</v>
      </c>
      <c r="C16214" t="str">
        <f>IFERROR(__xludf.DUMMYFUNCTION("GOOGLETRANSLATE(B16214, ""es"", ""en"")"),"Crappy quality. Not worth these Toe Washes only once in cold water, a 43-46 have been a very bad quality and 32. it is not able to return because they have used")</f>
        <v>Crappy quality. Not worth these Toe Washes only once in cold water, a 43-46 have been a very bad quality and 32. it is not able to return because they have used</v>
      </c>
    </row>
    <row r="16215">
      <c r="A16215" s="1">
        <v>4.0</v>
      </c>
      <c r="B16215" s="1" t="s">
        <v>16062</v>
      </c>
      <c r="C16215" t="str">
        <f>IFERROR(__xludf.DUMMYFUNCTION("GOOGLETRANSLATE(B16215, ""es"", ""en"")"),"Well it meets expectations. Recommended for fans of hunting, fishing and hiking. And in general, anyone who likes the mountain.")</f>
        <v>Well it meets expectations. Recommended for fans of hunting, fishing and hiking. And in general, anyone who likes the mountain.</v>
      </c>
    </row>
    <row r="16216">
      <c r="A16216" s="1">
        <v>4.0</v>
      </c>
      <c r="B16216" s="1" t="s">
        <v>16063</v>
      </c>
      <c r="C16216" t="str">
        <f>IFERROR(__xludf.DUMMYFUNCTION("GOOGLETRANSLATE(B16216, ""es"", ""en"")"),"good appearance is beautiful, elegant and sober, he has convinced me pleasantly and is recommended only hope attractive certainly have that result gives the golden box")</f>
        <v>good appearance is beautiful, elegant and sober, he has convinced me pleasantly and is recommended only hope attractive certainly have that result gives the golden box</v>
      </c>
    </row>
    <row r="16217">
      <c r="A16217" s="1">
        <v>4.0</v>
      </c>
      <c r="B16217" s="1" t="s">
        <v>16064</v>
      </c>
      <c r="C16217" t="str">
        <f>IFERROR(__xludf.DUMMYFUNCTION("GOOGLETRANSLATE(B16217, ""es"", ""en"")"),"SSD with good speed but not for extreme use is a well-known SSD Toshiba brand, although it is good, does not impress in their speeds. I bought it to revitalize the laptop my wife's parents and has given good results without being great. The computer takes"&amp;" light a minute less than before, but have tried other faster SSD. For the price worth it, but if you want something more upscale, it is not for you.")</f>
        <v>SSD with good speed but not for extreme use is a well-known SSD Toshiba brand, although it is good, does not impress in their speeds. I bought it to revitalize the laptop my wife's parents and has given good results without being great. The computer takes light a minute less than before, but have tried other faster SSD. For the price worth it, but if you want something more upscale, it is not for you.</v>
      </c>
    </row>
    <row r="16218">
      <c r="A16218" s="1">
        <v>4.0</v>
      </c>
      <c r="B16218" s="1" t="s">
        <v>16065</v>
      </c>
      <c r="C16218" t="str">
        <f>IFERROR(__xludf.DUMMYFUNCTION("GOOGLETRANSLATE(B16218, ""es"", ""en"")"),"If I like very nice Bonito")</f>
        <v>If I like very nice Bonito</v>
      </c>
    </row>
    <row r="16219">
      <c r="A16219" s="1">
        <v>5.0</v>
      </c>
      <c r="B16219" s="1" t="s">
        <v>16066</v>
      </c>
      <c r="C16219" t="str">
        <f>IFERROR(__xludf.DUMMYFUNCTION("GOOGLETRANSLATE(B16219, ""es"", ""en"")"),"Reliability and security is the second time I bought here, and very good product")</f>
        <v>Reliability and security is the second time I bought here, and very good product</v>
      </c>
    </row>
    <row r="16220">
      <c r="A16220" s="1">
        <v>5.0</v>
      </c>
      <c r="B16220" s="1" t="s">
        <v>16067</v>
      </c>
      <c r="C16220" t="str">
        <f>IFERROR(__xludf.DUMMYFUNCTION("GOOGLETRANSLATE(B16220, ""es"", ""en"")"),"Perfect for psvita perfect, I start with the micro SD 128GB and enjoying the psvita")</f>
        <v>Perfect for psvita perfect, I start with the micro SD 128GB and enjoying the psvita</v>
      </c>
    </row>
    <row r="16221">
      <c r="A16221" s="1">
        <v>5.0</v>
      </c>
      <c r="B16221" s="1" t="s">
        <v>16068</v>
      </c>
      <c r="C16221" t="str">
        <f>IFERROR(__xludf.DUMMYFUNCTION("GOOGLETRANSLATE(B16221, ""es"", ""en"")"),"Okay You can not ask for more for that price")</f>
        <v>Okay You can not ask for more for that price</v>
      </c>
    </row>
    <row r="16222">
      <c r="A16222" s="1">
        <v>5.0</v>
      </c>
      <c r="B16222" s="1" t="s">
        <v>16069</v>
      </c>
      <c r="C16222" t="str">
        <f>IFERROR(__xludf.DUMMYFUNCTION("GOOGLETRANSLATE(B16222, ""es"", ""en"")"),"Perfect !! Spectacular how well they feel and how comfortable they are !!")</f>
        <v>Perfect !! Spectacular how well they feel and how comfortable they are !!</v>
      </c>
    </row>
    <row r="16223">
      <c r="A16223" s="1">
        <v>5.0</v>
      </c>
      <c r="B16223" s="1" t="s">
        <v>16070</v>
      </c>
      <c r="C16223" t="str">
        <f>IFERROR(__xludf.DUMMYFUNCTION("GOOGLETRANSLATE(B16223, ""es"", ""en"")"),"It was very cool for a gift, really he enjoyed it, it shows good quality. I am satisfied with the purchase and will buy.")</f>
        <v>It was very cool for a gift, really he enjoyed it, it shows good quality. I am satisfied with the purchase and will buy.</v>
      </c>
    </row>
    <row r="16224">
      <c r="A16224" s="1">
        <v>5.0</v>
      </c>
      <c r="B16224" s="1" t="s">
        <v>16071</v>
      </c>
      <c r="C16224" t="str">
        <f>IFERROR(__xludf.DUMMYFUNCTION("GOOGLETRANSLATE(B16224, ""es"", ""en"")"),"Always right in the meetings I was spoiled me a pointer / Red presenter and was looking for a new one, but what little sick of red lasers are, wanted a green one. Then I found this thinking it would be one chusquero for the price but I'm more than surpris"&amp;"ed with. The point is that the vast majority are red, green and there are considerably more expensive. This however is super cheap, and I host a pointer the size of a pen. And what's more, I thought it would work with a standard battery, when I saw that c"&amp;"arries an internal rechargeable battery. Of course connecting the integrated USB on a computer that has the slides pass works as it should. I'm happy, really.")</f>
        <v>Always right in the meetings I was spoiled me a pointer / Red presenter and was looking for a new one, but what little sick of red lasers are, wanted a green one. Then I found this thinking it would be one chusquero for the price but I'm more than surprised with. The point is that the vast majority are red, green and there are considerably more expensive. This however is super cheap, and I host a pointer the size of a pen. And what's more, I thought it would work with a standard battery, when I saw that carries an internal rechargeable battery. Of course connecting the integrated USB on a computer that has the slides pass works as it should. I'm happy, really.</v>
      </c>
    </row>
    <row r="16225">
      <c r="A16225" s="1">
        <v>5.0</v>
      </c>
      <c r="B16225" s="1" t="s">
        <v>16072</v>
      </c>
      <c r="C16225" t="str">
        <f>IFERROR(__xludf.DUMMYFUNCTION("GOOGLETRANSLATE(B16225, ""es"", ""en"")"),"Good quality / price I was looking for a cheap headset to use at work and the truth is that I was surprised presenting headphones and quality in materials and finish of the most conflictive areas where they often damage the headphones. The sound is very g"&amp;"ood and I love the bass without noticeable destorsionar with respect to other headphones I've used before, for the same price. They come in a bag for transport and the various sizes of tires to adapt the handset to your ear.")</f>
        <v>Good quality / price I was looking for a cheap headset to use at work and the truth is that I was surprised presenting headphones and quality in materials and finish of the most conflictive areas where they often damage the headphones. The sound is very good and I love the bass without noticeable destorsionar with respect to other headphones I've used before, for the same price. They come in a bag for transport and the various sizes of tires to adapt the handset to your ear.</v>
      </c>
    </row>
    <row r="16226">
      <c r="A16226" s="1">
        <v>5.0</v>
      </c>
      <c r="B16226" s="1" t="s">
        <v>16073</v>
      </c>
      <c r="C16226" t="str">
        <f>IFERROR(__xludf.DUMMYFUNCTION("GOOGLETRANSLATE(B16226, ""es"", ""en"")"),"Stan Sastifechoo super good")</f>
        <v>Stan Sastifechoo super good</v>
      </c>
    </row>
    <row r="16227">
      <c r="A16227" s="1">
        <v>5.0</v>
      </c>
      <c r="B16227" s="1" t="s">
        <v>16074</v>
      </c>
      <c r="C16227" t="str">
        <f>IFERROR(__xludf.DUMMYFUNCTION("GOOGLETRANSLATE(B16227, ""es"", ""en"")"),"All fine and dandy right")</f>
        <v>All fine and dandy right</v>
      </c>
    </row>
    <row r="16228">
      <c r="A16228" s="1">
        <v>5.0</v>
      </c>
      <c r="B16228" s="1" t="s">
        <v>16075</v>
      </c>
      <c r="C16228" t="str">
        <f>IFERROR(__xludf.DUMMYFUNCTION("GOOGLETRANSLATE(B16228, ""es"", ""en"")"),"Very comfortable very comfortable")</f>
        <v>Very comfortable very comfortable</v>
      </c>
    </row>
    <row r="16229">
      <c r="A16229" s="1">
        <v>5.0</v>
      </c>
      <c r="B16229" s="1" t="s">
        <v>16076</v>
      </c>
      <c r="C16229" t="str">
        <f>IFERROR(__xludf.DUMMYFUNCTION("GOOGLETRANSLATE(B16229, ""es"", ""en"")"),"They are comfortable with a great staff, very comfortable to work several hours standing. A great spot for being ""leatherette"" for people who do not use real leather.")</f>
        <v>They are comfortable with a great staff, very comfortable to work several hours standing. A great spot for being "leatherette" for people who do not use real leather.</v>
      </c>
    </row>
    <row r="16230">
      <c r="A16230" s="1">
        <v>5.0</v>
      </c>
      <c r="B16230" s="1" t="s">
        <v>16077</v>
      </c>
      <c r="C16230" t="str">
        <f>IFERROR(__xludf.DUMMYFUNCTION("GOOGLETRANSLATE(B16230, ""es"", ""en"")"),"As expected the product arrived on time and in perfect condition. And he had tested at a store so I can say they are the same shoe. I recommend it")</f>
        <v>As expected the product arrived on time and in perfect condition. And he had tested at a store so I can say they are the same shoe. I recommend it</v>
      </c>
    </row>
    <row r="16231">
      <c r="A16231" s="1">
        <v>5.0</v>
      </c>
      <c r="B16231" s="1" t="s">
        <v>16078</v>
      </c>
      <c r="C16231" t="str">
        <f>IFERROR(__xludf.DUMMYFUNCTION("GOOGLETRANSLATE(B16231, ""es"", ""en"")"),"very nice shoes. My daughter wanted these shoes because some companions wore his high school and liked very much. Palencia in stores did not have their number, forty; if you put 39 thronged him and if you put 41 were loose. So we decided to buy online but"&amp;" the price was a little older, two euros and fifty. They arrived the next day and it's all perfect! the number 40 was his number. My daughter is delighted with them.")</f>
        <v>very nice shoes. My daughter wanted these shoes because some companions wore his high school and liked very much. Palencia in stores did not have their number, forty; if you put 39 thronged him and if you put 41 were loose. So we decided to buy online but the price was a little older, two euros and fifty. They arrived the next day and it's all perfect! the number 40 was his number. My daughter is delighted with them.</v>
      </c>
    </row>
    <row r="16232">
      <c r="A16232" s="1">
        <v>5.0</v>
      </c>
      <c r="B16232" s="1" t="s">
        <v>16079</v>
      </c>
      <c r="C16232" t="str">
        <f>IFERROR(__xludf.DUMMYFUNCTION("GOOGLETRANSLATE(B16232, ""es"", ""en"")"),"Good quality and difficult to size sweatshirt is of very good quality and very good impression. Generally it complies with expectations although the sizing is quite complicated, even following the recommendations of the seller I had to replace it with a s"&amp;"maller size and although just the difference between sizes is ""Stranger"" ;-)")</f>
        <v>Good quality and difficult to size sweatshirt is of very good quality and very good impression. Generally it complies with expectations although the sizing is quite complicated, even following the recommendations of the seller I had to replace it with a smaller size and although just the difference between sizes is "Stranger" ;-)</v>
      </c>
    </row>
    <row r="16233">
      <c r="A16233" s="1">
        <v>5.0</v>
      </c>
      <c r="B16233" s="1" t="s">
        <v>16080</v>
      </c>
      <c r="C16233" t="str">
        <f>IFERROR(__xludf.DUMMYFUNCTION("GOOGLETRANSLATE(B16233, ""es"", ""en"")"),"Contenta I love it! Sheltered and quality. Good finish.")</f>
        <v>Contenta I love it! Sheltered and quality. Good finish.</v>
      </c>
    </row>
    <row r="16234">
      <c r="A16234" s="1">
        <v>5.0</v>
      </c>
      <c r="B16234" s="1" t="s">
        <v>16081</v>
      </c>
      <c r="C16234" t="str">
        <f>IFERROR(__xludf.DUMMYFUNCTION("GOOGLETRANSLATE(B16234, ""es"", ""en"")"),"COMFORTABLE beautiful and practical")</f>
        <v>COMFORTABLE beautiful and practical</v>
      </c>
    </row>
    <row r="16235">
      <c r="A16235" s="1">
        <v>5.0</v>
      </c>
      <c r="B16235" s="1" t="s">
        <v>16082</v>
      </c>
      <c r="C16235" t="str">
        <f>IFERROR(__xludf.DUMMYFUNCTION("GOOGLETRANSLATE(B16235, ""es"", ""en"")"),"Excellent value for money excellent product. This quality finishes, soft, does not bend and shape mantine perfectly. I support very comfortable if you have to spend hours using the mouse. It is easily cleaned with a damp cloth. I recommend purchase at 100"&amp;"%.")</f>
        <v>Excellent value for money excellent product. This quality finishes, soft, does not bend and shape mantine perfectly. I support very comfortable if you have to spend hours using the mouse. It is easily cleaned with a damp cloth. I recommend purchase at 100%.</v>
      </c>
    </row>
    <row r="16236">
      <c r="A16236" s="1">
        <v>5.0</v>
      </c>
      <c r="B16236" s="1" t="s">
        <v>16083</v>
      </c>
      <c r="C16236" t="str">
        <f>IFERROR(__xludf.DUMMYFUNCTION("GOOGLETRANSLATE(B16236, ""es"", ""en"")"),"The three B works very well, makes some noise, but normal. Good product at a good price.")</f>
        <v>The three B works very well, makes some noise, but normal. Good product at a good price.</v>
      </c>
    </row>
    <row r="16237">
      <c r="A16237" s="1">
        <v>5.0</v>
      </c>
      <c r="B16237" s="1" t="s">
        <v>16084</v>
      </c>
      <c r="C16237" t="str">
        <f>IFERROR(__xludf.DUMMYFUNCTION("GOOGLETRANSLATE(B16237, ""es"", ""en"")"),"Lectern to book. My son plays the piano and there was no way to securely hold the book and sheet music to play. I bought this stand and now my son can perfectly read his book piano while playing. fully satisfied")</f>
        <v>Lectern to book. My son plays the piano and there was no way to securely hold the book and sheet music to play. I bought this stand and now my son can perfectly read his book piano while playing. fully satisfied</v>
      </c>
    </row>
    <row r="16238">
      <c r="A16238" s="1">
        <v>2.0</v>
      </c>
      <c r="B16238" s="1" t="s">
        <v>16085</v>
      </c>
      <c r="C16238" t="str">
        <f>IFERROR(__xludf.DUMMYFUNCTION("GOOGLETRANSLATE(B16238, ""es"", ""en"")"),"Are a bit narrow and small are large; they are very light and the other well; other shoes the same brand that I have; are the same number are smaller .... that's what surprises me")</f>
        <v>Are a bit narrow and small are large; they are very light and the other well; other shoes the same brand that I have; are the same number are smaller .... that's what surprises me</v>
      </c>
    </row>
    <row r="16239">
      <c r="A16239" s="1">
        <v>3.0</v>
      </c>
      <c r="B16239" s="1" t="s">
        <v>16086</v>
      </c>
      <c r="C16239" t="str">
        <f>IFERROR(__xludf.DUMMYFUNCTION("GOOGLETRANSLATE(B16239, ""es"", ""en"")"),"Economic RCP good but the box is very thick.")</f>
        <v>Economic RCP good but the box is very thick.</v>
      </c>
    </row>
    <row r="16240">
      <c r="A16240" s="1">
        <v>3.0</v>
      </c>
      <c r="B16240" s="1" t="s">
        <v>16087</v>
      </c>
      <c r="C16240" t="str">
        <f>IFERROR(__xludf.DUMMYFUNCTION("GOOGLETRANSLATE(B16240, ""es"", ""en"")"),"To exit step Malillos well they are good but not worth so they can ask for more.")</f>
        <v>To exit step Malillos well they are good but not worth so they can ask for more.</v>
      </c>
    </row>
    <row r="16241">
      <c r="A16241" s="1">
        <v>1.0</v>
      </c>
      <c r="B16241" s="1" t="s">
        <v>16088</v>
      </c>
      <c r="C16241" t="str">
        <f>IFERROR(__xludf.DUMMYFUNCTION("GOOGLETRANSLATE(B16241, ""es"", ""en"")"),"Do not last a month of use I do not know whether they will or not original, but after a month of use no longer works the left hull. The seller which was Amazon I bought it so I doubt they are not original, so if it's sure are not the same helmets that bri"&amp;"ng Samsung Galaxy. Helmets from the first day they noticed that were not those of the Galaxy, at the slightest touch that has the connector jack with output that got a horrible noise, but it is acceptable (but a nuisance to carry the phone in your pocket "&amp;"while walking) but breaking a month of use .... My recommendation: Spend a little more and buy something better because it is more than 10 euros pull away")</f>
        <v>Do not last a month of use I do not know whether they will or not original, but after a month of use no longer works the left hull. The seller which was Amazon I bought it so I doubt they are not original, so if it's sure are not the same helmets that bring Samsung Galaxy. Helmets from the first day they noticed that were not those of the Galaxy, at the slightest touch that has the connector jack with output that got a horrible noise, but it is acceptable (but a nuisance to carry the phone in your pocket while walking) but breaking a month of use .... My recommendation: Spend a little more and buy something better because it is more than 10 euros pull away</v>
      </c>
    </row>
    <row r="16242">
      <c r="A16242" s="1">
        <v>1.0</v>
      </c>
      <c r="B16242" s="1" t="s">
        <v>16089</v>
      </c>
      <c r="C16242" t="str">
        <f>IFERROR(__xludf.DUMMYFUNCTION("GOOGLETRANSLATE(B16242, ""es"", ""en"")"),"This serves not serve no product golden flaxseed.")</f>
        <v>This serves not serve no product golden flaxseed.</v>
      </c>
    </row>
    <row r="16243">
      <c r="A16243" s="1">
        <v>4.0</v>
      </c>
      <c r="B16243" s="1" t="s">
        <v>16090</v>
      </c>
      <c r="C16243" t="str">
        <f>IFERROR(__xludf.DUMMYFUNCTION("GOOGLETRANSLATE(B16243, ""es"", ""en"")"),"Elena I liked, is as suponía.las benefits are marking the web.y the price adecuado.muy happy with the")</f>
        <v>Elena I liked, is as suponía.las benefits are marking the web.y the price adecuado.muy happy with the</v>
      </c>
    </row>
    <row r="16244">
      <c r="A16244" s="1">
        <v>4.0</v>
      </c>
      <c r="B16244" s="1" t="s">
        <v>16091</v>
      </c>
      <c r="C16244" t="str">
        <f>IFERROR(__xludf.DUMMYFUNCTION("GOOGLETRANSLATE(B16244, ""es"", ""en"")"),"wrist rest helps I received the mouse pad with pad uns days ago so I can not comment on durability or long-term effectiveness. For now I can say it's comfortable, pleasant to the touch and does not slip on the surface of the table so that it meets the sho"&amp;"rt-term expectations.")</f>
        <v>wrist rest helps I received the mouse pad with pad uns days ago so I can not comment on durability or long-term effectiveness. For now I can say it's comfortable, pleasant to the touch and does not slip on the surface of the table so that it meets the short-term expectations.</v>
      </c>
    </row>
    <row r="16245">
      <c r="A16245" s="1">
        <v>4.0</v>
      </c>
      <c r="B16245" s="1" t="s">
        <v>16092</v>
      </c>
      <c r="C16245" t="str">
        <f>IFERROR(__xludf.DUMMYFUNCTION("GOOGLETRANSLATE(B16245, ""es"", ""en"")"),"Fast shipping and good product is not the same color photo or has the same little picture, but for the price we must not go very fast nada.envio")</f>
        <v>Fast shipping and good product is not the same color photo or has the same little picture, but for the price we must not go very fast nada.envio</v>
      </c>
    </row>
    <row r="16246">
      <c r="A16246" s="1">
        <v>4.0</v>
      </c>
      <c r="B16246" s="1" t="s">
        <v>16093</v>
      </c>
      <c r="C16246" t="str">
        <f>IFERROR(__xludf.DUMMYFUNCTION("GOOGLETRANSLATE(B16246, ""es"", ""en"")"),"It is very comfortable very well and enhances the figure. Yes, for which long-limbed os som ... cms few more would be nice")</f>
        <v>It is very comfortable very well and enhances the figure. Yes, for which long-limbed os som ... cms few more would be nice</v>
      </c>
    </row>
    <row r="16247">
      <c r="A16247" s="1">
        <v>4.0</v>
      </c>
      <c r="B16247" s="1" t="s">
        <v>16094</v>
      </c>
      <c r="C16247" t="str">
        <f>IFERROR(__xludf.DUMMYFUNCTION("GOOGLETRANSLATE(B16247, ""es"", ""en"")"),"Good reputable brand card, with good reading and writing. I use it for recording so that 32Gb is somewhat small, but more capacity is too expensive yet. The only drawback is the price, otherwise very happy")</f>
        <v>Good reputable brand card, with good reading and writing. I use it for recording so that 32Gb is somewhat small, but more capacity is too expensive yet. The only drawback is the price, otherwise very happy</v>
      </c>
    </row>
    <row r="16248">
      <c r="A16248" s="1">
        <v>5.0</v>
      </c>
      <c r="B16248" s="1" t="s">
        <v>16095</v>
      </c>
      <c r="C16248" t="str">
        <f>IFERROR(__xludf.DUMMYFUNCTION("GOOGLETRANSLATE(B16248, ""es"", ""en"")"),"Good cable around the house good cable, Tangle and coming perfect to play at home. Something fine for what I am used to seeing on a jack guitar cable.")</f>
        <v>Good cable around the house good cable, Tangle and coming perfect to play at home. Something fine for what I am used to seeing on a jack guitar cable.</v>
      </c>
    </row>
    <row r="16249">
      <c r="A16249" s="1">
        <v>5.0</v>
      </c>
      <c r="B16249" s="1" t="s">
        <v>16096</v>
      </c>
      <c r="C16249" t="str">
        <f>IFERROR(__xludf.DUMMYFUNCTION("GOOGLETRANSLATE(B16249, ""es"", ""en"")"),"quick and pretty fantastic. Very comfortable temperature gauge. It's a little expensive but I think worth it if you can pay.")</f>
        <v>quick and pretty fantastic. Very comfortable temperature gauge. It's a little expensive but I think worth it if you can pay.</v>
      </c>
    </row>
    <row r="16250">
      <c r="A16250" s="1">
        <v>5.0</v>
      </c>
      <c r="B16250" s="1" t="s">
        <v>16097</v>
      </c>
      <c r="C16250" t="str">
        <f>IFERROR(__xludf.DUMMYFUNCTION("GOOGLETRANSLATE(B16250, ""es"", ""en"")"),"Recommendable. Good product.")</f>
        <v>Recommendable. Good product.</v>
      </c>
    </row>
    <row r="16251">
      <c r="A16251" s="1">
        <v>5.0</v>
      </c>
      <c r="B16251" s="1" t="s">
        <v>16098</v>
      </c>
      <c r="C16251" t="str">
        <f>IFERROR(__xludf.DUMMYFUNCTION("GOOGLETRANSLATE(B16251, ""es"", ""en"")"),"Perfect Excellent product. Super fast delivery. fully recommended")</f>
        <v>Perfect Excellent product. Super fast delivery. fully recommended</v>
      </c>
    </row>
    <row r="16252">
      <c r="A16252" s="1">
        <v>5.0</v>
      </c>
      <c r="B16252" s="1" t="s">
        <v>16099</v>
      </c>
      <c r="C16252" t="str">
        <f>IFERROR(__xludf.DUMMYFUNCTION("GOOGLETRANSLATE(B16252, ""es"", ""en"")"),"Excellent black bag but without leather is very resistant to scuffs without damage unlike any of and excellent handbag that although leather is not properly resists scratches without deterioration also gives it a rather elegant")</f>
        <v>Excellent black bag but without leather is very resistant to scuffs without damage unlike any of and excellent handbag that although leather is not properly resists scratches without deterioration also gives it a rather elegant</v>
      </c>
    </row>
    <row r="16253">
      <c r="A16253" s="1">
        <v>5.0</v>
      </c>
      <c r="B16253" s="1" t="s">
        <v>16100</v>
      </c>
      <c r="C16253" t="str">
        <f>IFERROR(__xludf.DUMMYFUNCTION("GOOGLETRANSLATE(B16253, ""es"", ""en"")"),"Original Very good anniversary gift. As it is shown in the picture.")</f>
        <v>Original Very good anniversary gift. As it is shown in the picture.</v>
      </c>
    </row>
    <row r="16254">
      <c r="A16254" s="1">
        <v>5.0</v>
      </c>
      <c r="B16254" s="1" t="s">
        <v>16101</v>
      </c>
      <c r="C16254" t="str">
        <f>IFERROR(__xludf.DUMMYFUNCTION("GOOGLETRANSLATE(B16254, ""es"", ""en"")"),"They say a great brand like levis sweatshirt comes with its perfect size or bigger or smaller high-quality fabric and after several washes still intact thing is expected of a great brand as it is")</f>
        <v>They say a great brand like levis sweatshirt comes with its perfect size or bigger or smaller high-quality fabric and after several washes still intact thing is expected of a great brand as it is</v>
      </c>
    </row>
    <row r="16255">
      <c r="A16255" s="1">
        <v>5.0</v>
      </c>
      <c r="B16255" s="1" t="s">
        <v>16102</v>
      </c>
      <c r="C16255" t="str">
        <f>IFERROR(__xludf.DUMMYFUNCTION("GOOGLETRANSLATE(B16255, ""es"", ""en"")"),"Menoría great little USB memory USB wanted a medium capacity for forografías save. Leaving me by the comments and Kingston's reputation I decided me for this. Unable to find a memory of this quality, all-metal, for a lower price. Completely satisfied with"&amp;" the purchase.")</f>
        <v>Menoría great little USB memory USB wanted a medium capacity for forografías save. Leaving me by the comments and Kingston's reputation I decided me for this. Unable to find a memory of this quality, all-metal, for a lower price. Completely satisfied with the purchase.</v>
      </c>
    </row>
    <row r="16256">
      <c r="A16256" s="1">
        <v>5.0</v>
      </c>
      <c r="B16256" s="1" t="s">
        <v>16103</v>
      </c>
      <c r="C16256" t="str">
        <f>IFERROR(__xludf.DUMMYFUNCTION("GOOGLETRANSLATE(B16256, ""es"", ""en"")"),"Perfect quality and ease of installation capacity. In addition, its adaptation for a NAS system makes it tougher for intensive use in RAID 1 volumes")</f>
        <v>Perfect quality and ease of installation capacity. In addition, its adaptation for a NAS system makes it tougher for intensive use in RAID 1 volumes</v>
      </c>
    </row>
    <row r="16257">
      <c r="A16257" s="1">
        <v>5.0</v>
      </c>
      <c r="B16257" s="1" t="s">
        <v>16104</v>
      </c>
      <c r="C16257" t="str">
        <f>IFERROR(__xludf.DUMMYFUNCTION("GOOGLETRANSLATE(B16257, ""es"", ""en"")"),"Good quality I like having a pair of headphones cable when I have to break the application. And these are just bought good quality. The cable is thicker than others I've had. I like the quality of the sound. Bass are good. You can adjust the volume from t"&amp;"he headset itself. And take calls. They come with a carrying case for storage. Every detail. The plug is inserted into the phone / radio sets which is gold plated. He looks good.")</f>
        <v>Good quality I like having a pair of headphones cable when I have to break the application. And these are just bought good quality. The cable is thicker than others I've had. I like the quality of the sound. Bass are good. You can adjust the volume from the headset itself. And take calls. They come with a carrying case for storage. Every detail. The plug is inserted into the phone / radio sets which is gold plated. He looks good.</v>
      </c>
    </row>
    <row r="16258">
      <c r="A16258" s="1">
        <v>5.0</v>
      </c>
      <c r="B16258" s="1" t="s">
        <v>16105</v>
      </c>
      <c r="C16258" t="str">
        <f>IFERROR(__xludf.DUMMYFUNCTION("GOOGLETRANSLATE(B16258, ""es"", ""en"")"),"Conga great for me this was a liberation. My wife and I do not have much time to be cleaning the whole house, so if you want to forget sweeping and vacuuming, this option is fabulous. There are many Youtube videos where they give their opinion widely afte"&amp;"r several months of use, although some are quite critical of it. I've been using it 2 or 3 months and as I say has made me a release. It is true that ever has been shredded with maps (very timely) and be careful with the cables you leave there because you"&amp;" can engage with them, but I created areas which can not pass through app, which is super complete, and problem solved. With the app from where you can schedule, start, stop, control where to go, etc. I can not complain at all of this robot vacuum cleaner"&amp;". Function mop to scrub have not yet used, and I do not know if I will, as I have every two weeks parquet and scrub it all manually, but cleaning everyday Conga this is great. Personally, I would recommend an additional accessory to clean, such a portable"&amp;" vacuum cleaner or something, because there are places where there is no, because the furniture, nor under couches or beds that are at ground level. Would you purchase this Conga, which is also of Spanish brand and as I have seen in comparative has nothin"&amp;"g to envy the competition.")</f>
        <v>Conga great for me this was a liberation. My wife and I do not have much time to be cleaning the whole house, so if you want to forget sweeping and vacuuming, this option is fabulous. There are many Youtube videos where they give their opinion widely after several months of use, although some are quite critical of it. I've been using it 2 or 3 months and as I say has made me a release. It is true that ever has been shredded with maps (very timely) and be careful with the cables you leave there because you can engage with them, but I created areas which can not pass through app, which is super complete, and problem solved. With the app from where you can schedule, start, stop, control where to go, etc. I can not complain at all of this robot vacuum cleaner. Function mop to scrub have not yet used, and I do not know if I will, as I have every two weeks parquet and scrub it all manually, but cleaning everyday Conga this is great. Personally, I would recommend an additional accessory to clean, such a portable vacuum cleaner or something, because there are places where there is no, because the furniture, nor under couches or beds that are at ground level. Would you purchase this Conga, which is also of Spanish brand and as I have seen in comparative has nothing to envy the competition.</v>
      </c>
    </row>
    <row r="16259">
      <c r="A16259" s="1">
        <v>5.0</v>
      </c>
      <c r="B16259" s="1" t="s">
        <v>16106</v>
      </c>
      <c r="C16259" t="str">
        <f>IFERROR(__xludf.DUMMYFUNCTION("GOOGLETRANSLATE(B16259, ""es"", ""en"")"),"Very good very happy with the shoes, are very cheap and the quality is very good. They are very nice and can be used both for sport and for everyday. Sizes are correct, very comfortable with variety of colors.")</f>
        <v>Very good very happy with the shoes, are very cheap and the quality is very good. They are very nice and can be used both for sport and for everyday. Sizes are correct, very comfortable with variety of colors.</v>
      </c>
    </row>
    <row r="16260">
      <c r="A16260" s="1">
        <v>5.0</v>
      </c>
      <c r="B16260" s="1" t="s">
        <v>16107</v>
      </c>
      <c r="C16260" t="str">
        <f>IFERROR(__xludf.DUMMYFUNCTION("GOOGLETRANSLATE(B16260, ""es"", ""en"")"),"A good buy A lovely and perfectly sized bag, I love it.")</f>
        <v>A good buy A lovely and perfectly sized bag, I love it.</v>
      </c>
    </row>
    <row r="16261">
      <c r="A16261" s="1">
        <v>5.0</v>
      </c>
      <c r="B16261" s="1" t="s">
        <v>16108</v>
      </c>
      <c r="C16261" t="str">
        <f>IFERROR(__xludf.DUMMYFUNCTION("GOOGLETRANSLATE(B16261, ""es"", ""en"")"),"They are perfect as is the description, very comfortable. They arrived before the estimated time.")</f>
        <v>They are perfect as is the description, very comfortable. They arrived before the estimated time.</v>
      </c>
    </row>
    <row r="16262">
      <c r="A16262" s="1">
        <v>5.0</v>
      </c>
      <c r="B16262" s="1" t="s">
        <v>16109</v>
      </c>
      <c r="C16262" t="str">
        <f>IFERROR(__xludf.DUMMYFUNCTION("GOOGLETRANSLATE(B16262, ""es"", ""en"")"),"Helmets ideal for home studio, very comfortable, great sound. AKG K702 headphones are a flat open frequencies perfect for mixing and mastering recordings for home study. They are the most comfortable headphones I've used so far, can use them for hours you"&amp;" will not disturb the ears by pressure as earmuffs are soft and gentle, in addition to being open not going to hurt your ears if you listen to music during long time. As I told frequency being flat are perfect for home studio, though perhaps not so much t"&amp;"o record because they could filter some feedback sound. If you are concerned that are not suitable to play or listen to music casually you lack bass, simply can use integrated Windows or any application equalizer to obtain a high quality sound for music o"&amp;"r video games equalizer. Do not include microphone so if you want to play you will have to purchase one separately. As for external amplifiers I need not see, I've been using helmets from an audio interface and directly from your computer and have more th"&amp;"an enough volume. The highly I recommend one of the best I've ever used helmets.")</f>
        <v>Helmets ideal for home studio, very comfortable, great sound. AKG K702 headphones are a flat open frequencies perfect for mixing and mastering recordings for home study. They are the most comfortable headphones I've used so far, can use them for hours you will not disturb the ears by pressure as earmuffs are soft and gentle, in addition to being open not going to hurt your ears if you listen to music during long time. As I told frequency being flat are perfect for home studio, though perhaps not so much to record because they could filter some feedback sound. If you are concerned that are not suitable to play or listen to music casually you lack bass, simply can use integrated Windows or any application equalizer to obtain a high quality sound for music or video games equalizer. Do not include microphone so if you want to play you will have to purchase one separately. As for external amplifiers I need not see, I've been using helmets from an audio interface and directly from your computer and have more than enough volume. The highly I recommend one of the best I've ever used helmets.</v>
      </c>
    </row>
    <row r="16263">
      <c r="A16263" s="1">
        <v>5.0</v>
      </c>
      <c r="B16263" s="1" t="s">
        <v>16110</v>
      </c>
      <c r="C16263" t="str">
        <f>IFERROR(__xludf.DUMMYFUNCTION("GOOGLETRANSLATE(B16263, ""es"", ""en"")"),"I love very helpful helpful")</f>
        <v>I love very helpful helpful</v>
      </c>
    </row>
    <row r="16264">
      <c r="A16264" s="1">
        <v>5.0</v>
      </c>
      <c r="B16264" s="1" t="s">
        <v>16111</v>
      </c>
      <c r="C16264" t="str">
        <f>IFERROR(__xludf.DUMMYFUNCTION("GOOGLETRANSLATE(B16264, ""es"", ""en"")"),"Bue helmets original product 100 * 100")</f>
        <v>Bue helmets original product 100 * 100</v>
      </c>
    </row>
    <row r="16265">
      <c r="A16265" s="1">
        <v>5.0</v>
      </c>
      <c r="B16265" s="1" t="s">
        <v>16112</v>
      </c>
      <c r="C16265" t="str">
        <f>IFERROR(__xludf.DUMMYFUNCTION("GOOGLETRANSLATE(B16265, ""es"", ""en"")"),"Jacket recommended highly recommended the only downside is I put him sleeves with inner lining are somewhat narrow otherwise a 10")</f>
        <v>Jacket recommended highly recommended the only downside is I put him sleeves with inner lining are somewhat narrow otherwise a 10</v>
      </c>
    </row>
    <row r="16266">
      <c r="A16266" s="1">
        <v>5.0</v>
      </c>
      <c r="B16266" s="1" t="s">
        <v>16113</v>
      </c>
      <c r="C16266" t="str">
        <f>IFERROR(__xludf.DUMMYFUNCTION("GOOGLETRANSLATE(B16266, ""es"", ""en"")"),"Jose All superior.Buena perfect sound quality karaoke for fun with friends and familia.Facil of usar.Lo connect to a 700 SPL amplifier and is a joy")</f>
        <v>Jose All superior.Buena perfect sound quality karaoke for fun with friends and familia.Facil of usar.Lo connect to a 700 SPL amplifier and is a joy</v>
      </c>
    </row>
    <row r="16267">
      <c r="A16267" s="1">
        <v>2.0</v>
      </c>
      <c r="B16267" s="1" t="s">
        <v>16114</v>
      </c>
      <c r="C16267" t="str">
        <f>IFERROR(__xludf.DUMMYFUNCTION("GOOGLETRANSLATE(B16267, ""es"", ""en"")"),"Zero quality I fie of opinions, but it looks pretty low quality ... especially the pink stone q is plastic and it took note. I do not recommend it...")</f>
        <v>Zero quality I fie of opinions, but it looks pretty low quality ... especially the pink stone q is plastic and it took note. I do not recommend it...</v>
      </c>
    </row>
    <row r="16268">
      <c r="A16268" s="1">
        <v>3.0</v>
      </c>
      <c r="B16268" s="1" t="s">
        <v>16115</v>
      </c>
      <c r="C16268" t="str">
        <f>IFERROR(__xludf.DUMMYFUNCTION("GOOGLETRANSLATE(B16268, ""es"", ""en"")"),"Care must be taken to the them out as the system to take detach the adhesive is not right for everything, you are separated in a strip below the box that scooping often leave several or released, otherwise they look carefully")</f>
        <v>Care must be taken to the them out as the system to take detach the adhesive is not right for everything, you are separated in a strip below the box that scooping often leave several or released, otherwise they look carefully</v>
      </c>
    </row>
    <row r="16269">
      <c r="A16269" s="1">
        <v>3.0</v>
      </c>
      <c r="B16269" s="1" t="s">
        <v>16116</v>
      </c>
      <c r="C16269" t="str">
        <f>IFERROR(__xludf.DUMMYFUNCTION("GOOGLETRANSLATE(B16269, ""es"", ""en"")"),"Lake lack quality. Quality suitable price, perhaps you are missing something more quality, but depending on the offer adquiráis deserve more worthwhile or not.")</f>
        <v>Lake lack quality. Quality suitable price, perhaps you are missing something more quality, but depending on the offer adquiráis deserve more worthwhile or not.</v>
      </c>
    </row>
    <row r="16270">
      <c r="A16270" s="1">
        <v>1.0</v>
      </c>
      <c r="B16270" s="1" t="s">
        <v>16117</v>
      </c>
      <c r="C16270" t="str">
        <f>IFERROR(__xludf.DUMMYFUNCTION("GOOGLETRANSLATE(B16270, ""es"", ""en"")"),"No negative experience is comfortable to wear or configure. He also broke with very few uses, so I do not think it worth it worth inviertir")</f>
        <v>No negative experience is comfortable to wear or configure. He also broke with very few uses, so I do not think it worth it worth inviertir</v>
      </c>
    </row>
    <row r="16271">
      <c r="A16271" s="1">
        <v>1.0</v>
      </c>
      <c r="B16271" s="1" t="s">
        <v>16118</v>
      </c>
      <c r="C16271" t="str">
        <f>IFERROR(__xludf.DUMMYFUNCTION("GOOGLETRANSLATE(B16271, ""es"", ""en"")"),"A 2XL is a normal M Lo Joma has no name. A Spanish company waisted clothing and China is shame, a 2XL corresponds to a size M Nike and the worst is that as manufacture larger sizes which are not skinny but we also can not wear sports clothes. I will not b"&amp;"uy more Joma nothing but lose weight.")</f>
        <v>A 2XL is a normal M Lo Joma has no name. A Spanish company waisted clothing and China is shame, a 2XL corresponds to a size M Nike and the worst is that as manufacture larger sizes which are not skinny but we also can not wear sports clothes. I will not buy more Joma nothing but lose weight.</v>
      </c>
    </row>
    <row r="16272">
      <c r="A16272" s="1">
        <v>4.0</v>
      </c>
      <c r="B16272" s="1" t="s">
        <v>16119</v>
      </c>
      <c r="C16272" t="str">
        <f>IFERROR(__xludf.DUMMYFUNCTION("GOOGLETRANSLATE(B16272, ""es"", ""en"")"),"Francisco Garcia looks good, the value looks good even have not tried either, which is not like me has no instruction manual, so to touch buttons until you learn to use it")</f>
        <v>Francisco Garcia looks good, the value looks good even have not tried either, which is not like me has no instruction manual, so to touch buttons until you learn to use it</v>
      </c>
    </row>
    <row r="16273">
      <c r="A16273" s="1">
        <v>4.0</v>
      </c>
      <c r="B16273" s="1" t="s">
        <v>16120</v>
      </c>
      <c r="C16273" t="str">
        <f>IFERROR(__xludf.DUMMYFUNCTION("GOOGLETRANSLATE(B16273, ""es"", ""en"")"),"Comfort are fine, but something big")</f>
        <v>Comfort are fine, but something big</v>
      </c>
    </row>
    <row r="16274">
      <c r="A16274" s="1">
        <v>4.0</v>
      </c>
      <c r="B16274" s="1" t="s">
        <v>16121</v>
      </c>
      <c r="C16274" t="str">
        <f>IFERROR(__xludf.DUMMYFUNCTION("GOOGLETRANSLATE(B16274, ""es"", ""en"")"),"Verbatim 43551 - 16X DVD + R 4.7GB Spindle 100 Advanced Not even I have installed, therefore I can not give an opinion about this product based on utilization and employment.")</f>
        <v>Verbatim 43551 - 16X DVD + R 4.7GB Spindle 100 Advanced Not even I have installed, therefore I can not give an opinion about this product based on utilization and employment.</v>
      </c>
    </row>
    <row r="16275">
      <c r="A16275" s="1">
        <v>4.0</v>
      </c>
      <c r="B16275" s="1" t="s">
        <v>16122</v>
      </c>
      <c r="C16275" t="str">
        <f>IFERROR(__xludf.DUMMYFUNCTION("GOOGLETRANSLATE(B16275, ""es"", ""en"")"),"Very good value for money I liked the watch together. Mine, the unit you buy ahead 1 minute, everything else is fine.")</f>
        <v>Very good value for money I liked the watch together. Mine, the unit you buy ahead 1 minute, everything else is fine.</v>
      </c>
    </row>
    <row r="16276">
      <c r="A16276" s="1">
        <v>4.0</v>
      </c>
      <c r="B16276" s="1" t="s">
        <v>16123</v>
      </c>
      <c r="C16276" t="str">
        <f>IFERROR(__xludf.DUMMYFUNCTION("GOOGLETRANSLATE(B16276, ""es"", ""en"")"),"its function to be hand Actually makes, I never had one hand and after vacuuming the car several times, my opinion is that is not bad, absorption has is pretty good, has quality appearance, stick only to I would put it at the moment, it is that you have t"&amp;"o take the two filters to suck the car and clean them very often because they are very small and entaponan very quickly with dust and lint and does not suck well, after shaking and clean again aspire phenomenal otherwise fine, I can not say what does the "&amp;"battery because after 10 or 15 minutes and I have the job done and get back to load, but if they recommend it.")</f>
        <v>its function to be hand Actually makes, I never had one hand and after vacuuming the car several times, my opinion is that is not bad, absorption has is pretty good, has quality appearance, stick only to I would put it at the moment, it is that you have to take the two filters to suck the car and clean them very often because they are very small and entaponan very quickly with dust and lint and does not suck well, after shaking and clean again aspire phenomenal otherwise fine, I can not say what does the battery because after 10 or 15 minutes and I have the job done and get back to load, but if they recommend it.</v>
      </c>
    </row>
    <row r="16277">
      <c r="A16277" s="1">
        <v>5.0</v>
      </c>
      <c r="B16277" s="1" t="s">
        <v>16124</v>
      </c>
      <c r="C16277" t="str">
        <f>IFERROR(__xludf.DUMMYFUNCTION("GOOGLETRANSLATE(B16277, ""es"", ""en"")"),"I recommend Very soft and good")</f>
        <v>I recommend Very soft and good</v>
      </c>
    </row>
    <row r="16278">
      <c r="A16278" s="1">
        <v>5.0</v>
      </c>
      <c r="B16278" s="1" t="s">
        <v>16125</v>
      </c>
      <c r="C16278" t="str">
        <f>IFERROR(__xludf.DUMMYFUNCTION("GOOGLETRANSLATE(B16278, ""es"", ""en"")"),"So comfortable !! They are very comfortable tights for sports or walking in the mountains. The waist fits perfectly without effect ""muffin top"".")</f>
        <v>So comfortable !! They are very comfortable tights for sports or walking in the mountains. The waist fits perfectly without effect "muffin top".</v>
      </c>
    </row>
    <row r="16279">
      <c r="A16279" s="1">
        <v>5.0</v>
      </c>
      <c r="B16279" s="1" t="s">
        <v>16126</v>
      </c>
      <c r="C16279" t="str">
        <f>IFERROR(__xludf.DUMMYFUNCTION("GOOGLETRANSLATE(B16279, ""es"", ""en"")"),"Fully recommended've been impressed by the quality in every way. The cargo box is very pretty. the cover is slightly translucent so you can see if the headphones are charging. do not wear buttons, it is touch. Te tra c cable type and output for recarcarlo"&amp;" USB to recharge the phone in case of emergency (I did a full reload and left thereof for charging the headset). Also brings a bag. you can use them together or separately both the left and the right. Spanish instructions. digital indicator of the amount "&amp;"of charge remaining. Very happy.")</f>
        <v>Fully recommended've been impressed by the quality in every way. The cargo box is very pretty. the cover is slightly translucent so you can see if the headphones are charging. do not wear buttons, it is touch. Te tra c cable type and output for recarcarlo USB to recharge the phone in case of emergency (I did a full reload and left thereof for charging the headset). Also brings a bag. you can use them together or separately both the left and the right. Spanish instructions. digital indicator of the amount of charge remaining. Very happy.</v>
      </c>
    </row>
    <row r="16280">
      <c r="A16280" s="1">
        <v>5.0</v>
      </c>
      <c r="B16280" s="1" t="s">
        <v>16127</v>
      </c>
      <c r="C16280" t="str">
        <f>IFERROR(__xludf.DUMMYFUNCTION("GOOGLETRANSLATE(B16280, ""es"", ""en"")"),"Blender rod useful and good price to make any kind of shake, mahonesa to use from time to time in the kitchen.")</f>
        <v>Blender rod useful and good price to make any kind of shake, mahonesa to use from time to time in the kitchen.</v>
      </c>
    </row>
    <row r="16281">
      <c r="A16281" s="1">
        <v>5.0</v>
      </c>
      <c r="B16281" s="1" t="s">
        <v>16128</v>
      </c>
      <c r="C16281" t="str">
        <f>IFERROR(__xludf.DUMMYFUNCTION("GOOGLETRANSLATE(B16281, ""es"", ""en"")"),"Very comfortable I love it! They are super comfortable and comfortable, I can walk with them all day on your feet and not also tired me'm wearing to work and are more comfortable there. And they're very nice, classic, and stay well with everything! They r"&amp;"ecommend, there will regret it!")</f>
        <v>Very comfortable I love it! They are super comfortable and comfortable, I can walk with them all day on your feet and not also tired me'm wearing to work and are more comfortable there. And they're very nice, classic, and stay well with everything! They recommend, there will regret it!</v>
      </c>
    </row>
    <row r="16282">
      <c r="A16282" s="1">
        <v>5.0</v>
      </c>
      <c r="B16282" s="1" t="s">
        <v>16129</v>
      </c>
      <c r="C16282" t="str">
        <f>IFERROR(__xludf.DUMMYFUNCTION("GOOGLETRANSLATE(B16282, ""es"", ""en"")"),"Perfect Actually I was quite surprised when I saw the box was disappointed. As it is a normalita cardboard box. Quilted inside. But a little ""just average"". At the open you see a hanging well presented. With a good finish. His zircons shine a lot, it gi"&amp;"ves a sense of a much more expensive product than it really is ,. To this day after two months of use. Still like the first day")</f>
        <v>Perfect Actually I was quite surprised when I saw the box was disappointed. As it is a normalita cardboard box. Quilted inside. But a little "just average". At the open you see a hanging well presented. With a good finish. His zircons shine a lot, it gives a sense of a much more expensive product than it really is ,. To this day after two months of use. Still like the first day</v>
      </c>
    </row>
    <row r="16283">
      <c r="A16283" s="1">
        <v>5.0</v>
      </c>
      <c r="B16283" s="1" t="s">
        <v>16130</v>
      </c>
      <c r="C16283" t="str">
        <f>IFERROR(__xludf.DUMMYFUNCTION("GOOGLETRANSLATE(B16283, ""es"", ""en"")"),"Resistant and highly recommended. Hi all . What I can say is that it is a purchase acertada.Antes had a plastic bottle (Chico) and always at lunchtime lloraba.Desde when we empiezado use this bottle to mourn stopped .What recommend everyone.")</f>
        <v>Resistant and highly recommended. Hi all . What I can say is that it is a purchase acertada.Antes had a plastic bottle (Chico) and always at lunchtime lloraba.Desde when we empiezado use this bottle to mourn stopped .What recommend everyone.</v>
      </c>
    </row>
    <row r="16284">
      <c r="A16284" s="1">
        <v>5.0</v>
      </c>
      <c r="B16284" s="1" t="s">
        <v>16131</v>
      </c>
      <c r="C16284" t="str">
        <f>IFERROR(__xludf.DUMMYFUNCTION("GOOGLETRANSLATE(B16284, ""es"", ""en"")"),"Amazon responded superbly If not fail again, well I hope it was a one-time mistake, Amazon very well")</f>
        <v>Amazon responded superbly If not fail again, well I hope it was a one-time mistake, Amazon very well</v>
      </c>
    </row>
    <row r="16285">
      <c r="A16285" s="1">
        <v>5.0</v>
      </c>
      <c r="B16285" s="1" t="s">
        <v>16132</v>
      </c>
      <c r="C16285" t="str">
        <f>IFERROR(__xludf.DUMMYFUNCTION("GOOGLETRANSLATE(B16285, ""es"", ""en"")"),"All ok comfortable and beautiful")</f>
        <v>All ok comfortable and beautiful</v>
      </c>
    </row>
    <row r="16286">
      <c r="A16286" s="1">
        <v>5.0</v>
      </c>
      <c r="B16286" s="1" t="s">
        <v>16133</v>
      </c>
      <c r="C16286" t="str">
        <f>IFERROR(__xludf.DUMMYFUNCTION("GOOGLETRANSLATE(B16286, ""es"", ""en"")"),"Very comfortable and very Roll: P are great, comfortable, nice and with that special roll that only they have. I love. I had to change the number by half less, since it is true that carve large, moreover, all perfect.")</f>
        <v>Very comfortable and very Roll: P are great, comfortable, nice and with that special roll that only they have. I love. I had to change the number by half less, since it is true that carve large, moreover, all perfect.</v>
      </c>
    </row>
    <row r="16287">
      <c r="A16287" s="1">
        <v>5.0</v>
      </c>
      <c r="B16287" s="1" t="s">
        <v>16134</v>
      </c>
      <c r="C16287" t="str">
        <f>IFERROR(__xludf.DUMMYFUNCTION("GOOGLETRANSLATE(B16287, ""es"", ""en"")"),"Practical and decorative Delighted with purchase .. it is very fast, very comfortable and decorative by design. I bought it in blue and has a beautiful color.")</f>
        <v>Practical and decorative Delighted with purchase .. it is very fast, very comfortable and decorative by design. I bought it in blue and has a beautiful color.</v>
      </c>
    </row>
    <row r="16288">
      <c r="A16288" s="1">
        <v>5.0</v>
      </c>
      <c r="B16288" s="1" t="s">
        <v>16135</v>
      </c>
      <c r="C16288" t="str">
        <f>IFERROR(__xludf.DUMMYFUNCTION("GOOGLETRANSLATE(B16288, ""es"", ""en"")"),"Great I am delighted with the product. It adapts to the foot phenomenal. The same use them to bathe in the river for a walk. A highly recommended purchase")</f>
        <v>Great I am delighted with the product. It adapts to the foot phenomenal. The same use them to bathe in the river for a walk. A highly recommended purchase</v>
      </c>
    </row>
    <row r="16289">
      <c r="A16289" s="1">
        <v>5.0</v>
      </c>
      <c r="B16289" s="1" t="s">
        <v>16136</v>
      </c>
      <c r="C16289" t="str">
        <f>IFERROR(__xludf.DUMMYFUNCTION("GOOGLETRANSLATE(B16289, ""es"", ""en"")"),"crochet markers have received perfect scores before the estimated time, so very happy. They are as photo and I came some more. They are resilient and are well.")</f>
        <v>crochet markers have received perfect scores before the estimated time, so very happy. They are as photo and I came some more. They are resilient and are well.</v>
      </c>
    </row>
    <row r="16290">
      <c r="A16290" s="1">
        <v>5.0</v>
      </c>
      <c r="B16290" s="1" t="s">
        <v>16137</v>
      </c>
      <c r="C16290" t="str">
        <f>IFERROR(__xludf.DUMMYFUNCTION("GOOGLETRANSLATE(B16290, ""es"", ""en"")"),"Try it and you will not regret and spectacular Great adherence, resistance and washing")</f>
        <v>Try it and you will not regret and spectacular Great adherence, resistance and washing</v>
      </c>
    </row>
    <row r="16291">
      <c r="A16291" s="1">
        <v>5.0</v>
      </c>
      <c r="B16291" s="1" t="s">
        <v>16138</v>
      </c>
      <c r="C16291" t="str">
        <f>IFERROR(__xludf.DUMMYFUNCTION("GOOGLETRANSLATE(B16291, ""es"", ""en"")"),"Backpack ideal lot for a laptop and other have another backpack for the laptop, but is smaller and does not go around the laptop, buy this for when I make short trips to cram more stuff in the backpack has plenty of capacity, and also It has a very nice d"&amp;"esign. It is very durable and comfortable, I recommend buying")</f>
        <v>Backpack ideal lot for a laptop and other have another backpack for the laptop, but is smaller and does not go around the laptop, buy this for when I make short trips to cram more stuff in the backpack has plenty of capacity, and also It has a very nice design. It is very durable and comfortable, I recommend buying</v>
      </c>
    </row>
    <row r="16292">
      <c r="A16292" s="1">
        <v>5.0</v>
      </c>
      <c r="B16292" s="1" t="s">
        <v>16139</v>
      </c>
      <c r="C16292" t="str">
        <f>IFERROR(__xludf.DUMMYFUNCTION("GOOGLETRANSLATE(B16292, ""es"", ""en"")"),"Ideal easy to use and practical")</f>
        <v>Ideal easy to use and practical</v>
      </c>
    </row>
    <row r="16293">
      <c r="A16293" s="1">
        <v>5.0</v>
      </c>
      <c r="B16293" s="1" t="s">
        <v>16140</v>
      </c>
      <c r="C16293" t="str">
        <f>IFERROR(__xludf.DUMMYFUNCTION("GOOGLETRANSLATE(B16293, ""es"", ""en"")"),"Real and correct product at a good price")</f>
        <v>Real and correct product at a good price</v>
      </c>
    </row>
    <row r="16294">
      <c r="A16294" s="1">
        <v>5.0</v>
      </c>
      <c r="B16294" s="1" t="s">
        <v>16141</v>
      </c>
      <c r="C16294" t="str">
        <f>IFERROR(__xludf.DUMMYFUNCTION("GOOGLETRANSLATE(B16294, ""es"", ""en"")"),"It's nice to bring them ... I've been a crazy day with headphones, are premium (from the box to the headphones themselves), they sound great and are encouraging me to go running with them. The detail of the coupling of the ear makes me have decided, so I "&amp;"recommend it to those who like me, they like the convenience of a Bluetooth headset without having to constantly ajustándotelos because you fall. Ah ... and they linked very fast, and with USB Type C, which is the best in the world. TOP buying.")</f>
        <v>It's nice to bring them ... I've been a crazy day with headphones, are premium (from the box to the headphones themselves), they sound great and are encouraging me to go running with them. The detail of the coupling of the ear makes me have decided, so I recommend it to those who like me, they like the convenience of a Bluetooth headset without having to constantly ajustándotelos because you fall. Ah ... and they linked very fast, and with USB Type C, which is the best in the world. TOP buying.</v>
      </c>
    </row>
    <row r="16295">
      <c r="A16295" s="1">
        <v>2.0</v>
      </c>
      <c r="B16295" s="1" t="s">
        <v>16142</v>
      </c>
      <c r="C16295" t="str">
        <f>IFERROR(__xludf.DUMMYFUNCTION("GOOGLETRANSLATE(B16295, ""es"", ""en"")"),"Waaaay overpriced for what it is The title says it all. It's okay but it will cost half. In addition I had to put a large cardboard pages and study because they did not fit well.")</f>
        <v>Waaaay overpriced for what it is The title says it all. It's okay but it will cost half. In addition I had to put a large cardboard pages and study because they did not fit well.</v>
      </c>
    </row>
    <row r="16296">
      <c r="A16296" s="1">
        <v>3.0</v>
      </c>
      <c r="B16296" s="1" t="s">
        <v>16143</v>
      </c>
      <c r="C16296" t="str">
        <f>IFERROR(__xludf.DUMMYFUNCTION("GOOGLETRANSLATE(B16296, ""es"", ""en"")"),"Good quality but extremely small fasteners are well but I had to return them and ask for more than 3 sizes to use !!")</f>
        <v>Good quality but extremely small fasteners are well but I had to return them and ask for more than 3 sizes to use !!</v>
      </c>
    </row>
    <row r="16297">
      <c r="A16297" s="1">
        <v>1.0</v>
      </c>
      <c r="B16297" s="1" t="s">
        <v>16144</v>
      </c>
      <c r="C16297" t="str">
        <f>IFERROR(__xludf.DUMMYFUNCTION("GOOGLETRANSLATE(B16297, ""es"", ""en"")"),"serious problems with right atrial Build quality is quite good. The sound is not bad but lacks power in the bass. It is something that could accept considering the price, if not because the law is constantly headset off, as when a cable is tronza in tradi"&amp;"tional headphones.")</f>
        <v>serious problems with right atrial Build quality is quite good. The sound is not bad but lacks power in the bass. It is something that could accept considering the price, if not because the law is constantly headset off, as when a cable is tronza in traditional headphones.</v>
      </c>
    </row>
    <row r="16298">
      <c r="A16298" s="1">
        <v>1.0</v>
      </c>
      <c r="B16298" s="1" t="s">
        <v>16145</v>
      </c>
      <c r="C16298" t="str">
        <f>IFERROR(__xludf.DUMMYFUNCTION("GOOGLETRANSLATE(B16298, ""es"", ""en"")"),"It did not work I had to return. At first I loved, but in 10 days has stopped working! What a pity...")</f>
        <v>It did not work I had to return. At first I loved, but in 10 days has stopped working! What a pity...</v>
      </c>
    </row>
    <row r="16299">
      <c r="A16299" s="1">
        <v>1.0</v>
      </c>
      <c r="B16299" s="1" t="s">
        <v>16146</v>
      </c>
      <c r="C16299" t="str">
        <f>IFERROR(__xludf.DUMMYFUNCTION("GOOGLETRANSLATE(B16299, ""es"", ""en"")"),"Yellow is I got a little wet on the same day that debuts and toe I has been completely yellow. That disillusionment with what I liked.")</f>
        <v>Yellow is I got a little wet on the same day that debuts and toe I has been completely yellow. That disillusionment with what I liked.</v>
      </c>
    </row>
    <row r="16300">
      <c r="A16300" s="1">
        <v>4.0</v>
      </c>
      <c r="B16300" s="1" t="s">
        <v>16147</v>
      </c>
      <c r="C16300" t="str">
        <f>IFERROR(__xludf.DUMMYFUNCTION("GOOGLETRANSLATE(B16300, ""es"", ""en"")"),"Excellent comes in a super large box but everything to protect that right without hitting llege and so is, is in perfect condition and working properly.")</f>
        <v>Excellent comes in a super large box but everything to protect that right without hitting llege and so is, is in perfect condition and working properly.</v>
      </c>
    </row>
    <row r="16301">
      <c r="A16301" s="1">
        <v>4.0</v>
      </c>
      <c r="B16301" s="1" t="s">
        <v>16148</v>
      </c>
      <c r="C16301" t="str">
        <f>IFERROR(__xludf.DUMMYFUNCTION("GOOGLETRANSLATE(B16301, ""es"", ""en"")"),"Unwrapped already had a product like, so I repeated. I lasted 8 years. As stated in other reviews, it is unwrapped. Only the pillow case. You do not understand.")</f>
        <v>Unwrapped already had a product like, so I repeated. I lasted 8 years. As stated in other reviews, it is unwrapped. Only the pillow case. You do not understand.</v>
      </c>
    </row>
    <row r="16302">
      <c r="A16302" s="1">
        <v>4.0</v>
      </c>
      <c r="B16302" s="1" t="s">
        <v>16149</v>
      </c>
      <c r="C16302" t="str">
        <f>IFERROR(__xludf.DUMMYFUNCTION("GOOGLETRANSLATE(B16302, ""es"", ""en"")"),"Nice and discreet necklace ChicSilver")</f>
        <v>Nice and discreet necklace ChicSilver</v>
      </c>
    </row>
    <row r="16303">
      <c r="A16303" s="1">
        <v>4.0</v>
      </c>
      <c r="B16303" s="1" t="s">
        <v>16150</v>
      </c>
      <c r="C16303" t="str">
        <f>IFERROR(__xludf.DUMMYFUNCTION("GOOGLETRANSLATE(B16303, ""es"", ""en"")"),"Easily meets Excellent sound quality. Crisp sound. Good frequency range (bass appreciate correctly). Durability could be much better; They are third parties who buy me. It bothers me not because they are not expensive. I still few lasted more than three y"&amp;"ears. The twice that marred happened that stopped listening to one side. Comfortable (no exercise) I look best in-ear headphones quality / price ratio. If this time break down in a short time I will have to choose others.")</f>
        <v>Easily meets Excellent sound quality. Crisp sound. Good frequency range (bass appreciate correctly). Durability could be much better; They are third parties who buy me. It bothers me not because they are not expensive. I still few lasted more than three years. The twice that marred happened that stopped listening to one side. Comfortable (no exercise) I look best in-ear headphones quality / price ratio. If this time break down in a short time I will have to choose others.</v>
      </c>
    </row>
    <row r="16304">
      <c r="A16304" s="1">
        <v>5.0</v>
      </c>
      <c r="B16304" s="1" t="s">
        <v>16151</v>
      </c>
      <c r="C16304" t="str">
        <f>IFERROR(__xludf.DUMMYFUNCTION("GOOGLETRANSLATE(B16304, ""es"", ""en"")"),"Very good! Serves as a humidifier and essential oils is great for home, clean scent gives me q encanta.Producto 100% recommended.")</f>
        <v>Very good! Serves as a humidifier and essential oils is great for home, clean scent gives me q encanta.Producto 100% recommended.</v>
      </c>
    </row>
    <row r="16305">
      <c r="A16305" s="1">
        <v>5.0</v>
      </c>
      <c r="B16305" s="1" t="s">
        <v>16152</v>
      </c>
      <c r="C16305" t="str">
        <f>IFERROR(__xludf.DUMMYFUNCTION("GOOGLETRANSLATE(B16305, ""es"", ""en"")"),"Perfectos.para perfect mobile and the computer. Good sound quality. Samsung never disappoints. Very good price for them.")</f>
        <v>Perfectos.para perfect mobile and the computer. Good sound quality. Samsung never disappoints. Very good price for them.</v>
      </c>
    </row>
    <row r="16306">
      <c r="A16306" s="1">
        <v>5.0</v>
      </c>
      <c r="B16306" s="1" t="s">
        <v>16153</v>
      </c>
      <c r="C16306" t="str">
        <f>IFERROR(__xludf.DUMMYFUNCTION("GOOGLETRANSLATE(B16306, ""es"", ""en"")"),"👍 Tot ok")</f>
        <v>👍 Tot ok</v>
      </c>
    </row>
    <row r="16307">
      <c r="A16307" s="1">
        <v>5.0</v>
      </c>
      <c r="B16307" s="1" t="s">
        <v>15430</v>
      </c>
      <c r="C16307" t="str">
        <f>IFERROR(__xludf.DUMMYFUNCTION("GOOGLETRANSLATE(B16307, ""es"", ""en"")"),"Perfect very comfortable")</f>
        <v>Perfect very comfortable</v>
      </c>
    </row>
    <row r="16308">
      <c r="A16308" s="1">
        <v>5.0</v>
      </c>
      <c r="B16308" s="1" t="s">
        <v>16154</v>
      </c>
      <c r="C16308" t="str">
        <f>IFERROR(__xludf.DUMMYFUNCTION("GOOGLETRANSLATE(B16308, ""es"", ""en"")"),"Pack good bottles two bottles of 330 ml each. Tetina bring it to number 3 from 3 months (three holes) My baby loves these teats. After trying many, we are tested and stayed with her.")</f>
        <v>Pack good bottles two bottles of 330 ml each. Tetina bring it to number 3 from 3 months (three holes) My baby loves these teats. After trying many, we are tested and stayed with her.</v>
      </c>
    </row>
    <row r="16309">
      <c r="A16309" s="1">
        <v>5.0</v>
      </c>
      <c r="B16309" s="1" t="s">
        <v>16155</v>
      </c>
      <c r="C16309" t="str">
        <f>IFERROR(__xludf.DUMMYFUNCTION("GOOGLETRANSLATE(B16309, ""es"", ""en"")"),"Very nice shiny earrings, the incredible price I have come perfect I am delighted.")</f>
        <v>Very nice shiny earrings, the incredible price I have come perfect I am delighted.</v>
      </c>
    </row>
    <row r="16310">
      <c r="A16310" s="1">
        <v>5.0</v>
      </c>
      <c r="B16310" s="1" t="s">
        <v>16156</v>
      </c>
      <c r="C16310" t="str">
        <f>IFERROR(__xludf.DUMMYFUNCTION("GOOGLETRANSLATE(B16310, ""es"", ""en"")"),"It works perfectly is a compact, elegant and easy to use product. I suffer from a lot of allergies and due to living in the city airways dry out a lot. In using this humidifier with a few drops of eucalyptus oil in half an hour and noticed improvement. Fo"&amp;"r now I recommend 100%.")</f>
        <v>It works perfectly is a compact, elegant and easy to use product. I suffer from a lot of allergies and due to living in the city airways dry out a lot. In using this humidifier with a few drops of eucalyptus oil in half an hour and noticed improvement. For now I recommend 100%.</v>
      </c>
    </row>
    <row r="16311">
      <c r="A16311" s="1">
        <v>5.0</v>
      </c>
      <c r="B16311" s="1" t="s">
        <v>16157</v>
      </c>
      <c r="C16311" t="str">
        <f>IFERROR(__xludf.DUMMYFUNCTION("GOOGLETRANSLATE(B16311, ""es"", ""en"")"),"Perfect Gift")</f>
        <v>Perfect Gift</v>
      </c>
    </row>
    <row r="16312">
      <c r="A16312" s="1">
        <v>5.0</v>
      </c>
      <c r="B16312" s="1" t="s">
        <v>16158</v>
      </c>
      <c r="C16312" t="str">
        <f>IFERROR(__xludf.DUMMYFUNCTION("GOOGLETRANSLATE(B16312, ""es"", ""en"")"),"Better than I expected The truth is that even hoping to acquire a mini keyboard to get out of step with some extra features, its performance was pleasantly surprised. My Daw has recognized perfectly without even installing software or drivers. the keys ar"&amp;"e somewhat narrow though it was something I knew already given format device that is even allows you several octaves. Something very positive is that despite its light weight, firmly grasps any surface to prevent it from moving or shifting. I have to keep"&amp;" analyzing it to take full potential.")</f>
        <v>Better than I expected The truth is that even hoping to acquire a mini keyboard to get out of step with some extra features, its performance was pleasantly surprised. My Daw has recognized perfectly without even installing software or drivers. the keys are somewhat narrow though it was something I knew already given format device that is even allows you several octaves. Something very positive is that despite its light weight, firmly grasps any surface to prevent it from moving or shifting. I have to keep analyzing it to take full potential.</v>
      </c>
    </row>
    <row r="16313">
      <c r="A16313" s="1">
        <v>5.0</v>
      </c>
      <c r="B16313" s="1" t="s">
        <v>16159</v>
      </c>
      <c r="C16313" t="str">
        <f>IFERROR(__xludf.DUMMYFUNCTION("GOOGLETRANSLATE(B16313, ""es"", ""en"")"),"significantly increases the quality of recordings The recording microphone that is integrated iPhone is not bad but needed some better quality and this micro reaches it. Preserves the more serious nitided and balance. A part is the convenience of not havi"&amp;"ng to be aware of the position of the phone thanks to the length of the cable.")</f>
        <v>significantly increases the quality of recordings The recording microphone that is integrated iPhone is not bad but needed some better quality and this micro reaches it. Preserves the more serious nitided and balance. A part is the convenience of not having to be aware of the position of the phone thanks to the length of the cable.</v>
      </c>
    </row>
    <row r="16314">
      <c r="A16314" s="1">
        <v>5.0</v>
      </c>
      <c r="B16314" s="1" t="s">
        <v>16160</v>
      </c>
      <c r="C16314" t="str">
        <f>IFERROR(__xludf.DUMMYFUNCTION("GOOGLETRANSLATE(B16314, ""es"", ""en"")"),"A durable and practical kids love it for its resemblance to natural. Very easy to clean.")</f>
        <v>A durable and practical kids love it for its resemblance to natural. Very easy to clean.</v>
      </c>
    </row>
    <row r="16315">
      <c r="A16315" s="1">
        <v>5.0</v>
      </c>
      <c r="B16315" s="1" t="s">
        <v>16161</v>
      </c>
      <c r="C16315" t="str">
        <f>IFERROR(__xludf.DUMMYFUNCTION("GOOGLETRANSLATE(B16315, ""es"", ""en"")"),"Dani san Good quality. A useful product that I've finally found. It comes beautifully presented and packaged to be a simple cable adapter.")</f>
        <v>Dani san Good quality. A useful product that I've finally found. It comes beautifully presented and packaged to be a simple cable adapter.</v>
      </c>
    </row>
    <row r="16316">
      <c r="A16316" s="1">
        <v>5.0</v>
      </c>
      <c r="B16316" s="1" t="s">
        <v>16162</v>
      </c>
      <c r="C16316" t="str">
        <f>IFERROR(__xludf.DUMMYFUNCTION("GOOGLETRANSLATE(B16316, ""es"", ""en"")"),"Unobtrusive and recording quality Meets the role as a working tool. Very discreet to use.")</f>
        <v>Unobtrusive and recording quality Meets the role as a working tool. Very discreet to use.</v>
      </c>
    </row>
    <row r="16317">
      <c r="A16317" s="1">
        <v>5.0</v>
      </c>
      <c r="B16317" s="1" t="s">
        <v>16163</v>
      </c>
      <c r="C16317" t="str">
        <f>IFERROR(__xludf.DUMMYFUNCTION("GOOGLETRANSLATE(B16317, ""es"", ""en"")"),"Operating expected. Casio quality. Construction apparently very strong. Something big, but not excessive considering the functionality and expected resistance of the watch. Very good buy and more considering the price of the same.")</f>
        <v>Operating expected. Casio quality. Construction apparently very strong. Something big, but not excessive considering the functionality and expected resistance of the watch. Very good buy and more considering the price of the same.</v>
      </c>
    </row>
    <row r="16318">
      <c r="A16318" s="1">
        <v>5.0</v>
      </c>
      <c r="B16318" s="1" t="s">
        <v>16164</v>
      </c>
      <c r="C16318" t="str">
        <f>IFERROR(__xludf.DUMMYFUNCTION("GOOGLETRANSLATE(B16318, ""es"", ""en"")"),"Good product quality")</f>
        <v>Good product quality</v>
      </c>
    </row>
    <row r="16319">
      <c r="A16319" s="1">
        <v>5.0</v>
      </c>
      <c r="B16319" s="1" t="s">
        <v>16165</v>
      </c>
      <c r="C16319" t="str">
        <f>IFERROR(__xludf.DUMMYFUNCTION("GOOGLETRANSLATE(B16319, ""es"", ""en"")"),"Excellent convenient and simple to mark the clothes of my sin. I forgot always mark it with a marker or sewing the fabric strip. Now according to plancho I am marking. The moment has not been erased and is easy to use. Very happy. ☺️")</f>
        <v>Excellent convenient and simple to mark the clothes of my sin. I forgot always mark it with a marker or sewing the fabric strip. Now according to plancho I am marking. The moment has not been erased and is easy to use. Very happy. ☺️</v>
      </c>
    </row>
    <row r="16320">
      <c r="A16320" s="1">
        <v>5.0</v>
      </c>
      <c r="B16320" s="1" t="s">
        <v>16166</v>
      </c>
      <c r="C16320" t="str">
        <f>IFERROR(__xludf.DUMMYFUNCTION("GOOGLETRANSLATE(B16320, ""es"", ""en"")"),"The best in value and wonderful work great for storage box that makes powerbank and providing them broad autonomy. They were matched to my mobile Meizu M6 Note no problem and I am more than satisfied with them. I recommend it.")</f>
        <v>The best in value and wonderful work great for storage box that makes powerbank and providing them broad autonomy. They were matched to my mobile Meizu M6 Note no problem and I am more than satisfied with them. I recommend it.</v>
      </c>
    </row>
    <row r="16321">
      <c r="A16321" s="1">
        <v>5.0</v>
      </c>
      <c r="B16321" s="1" t="s">
        <v>16167</v>
      </c>
      <c r="C16321" t="str">
        <f>IFERROR(__xludf.DUMMYFUNCTION("GOOGLETRANSLATE(B16321, ""es"", ""en"")"),"Good quality, good product. It is a good buy. I knew what I was buying. It is true that there are better, but the quality price, I think is second to none. Recommendable.")</f>
        <v>Good quality, good product. It is a good buy. I knew what I was buying. It is true that there are better, but the quality price, I think is second to none. Recommendable.</v>
      </c>
    </row>
    <row r="16322">
      <c r="A16322" s="1">
        <v>5.0</v>
      </c>
      <c r="B16322" s="1" t="s">
        <v>16168</v>
      </c>
      <c r="C16322" t="str">
        <f>IFERROR(__xludf.DUMMYFUNCTION("GOOGLETRANSLATE(B16322, ""es"", ""en"")"),"ORIGINALS CONVERSE anteriorment As I described, they are original and numbering matched the request. Overall happy with the purchase. Good seller.")</f>
        <v>ORIGINALS CONVERSE anteriorment As I described, they are original and numbering matched the request. Overall happy with the purchase. Good seller.</v>
      </c>
    </row>
    <row r="16323">
      <c r="A16323" s="1">
        <v>2.0</v>
      </c>
      <c r="B16323" s="1" t="s">
        <v>16169</v>
      </c>
      <c r="C16323" t="str">
        <f>IFERROR(__xludf.DUMMYFUNCTION("GOOGLETRANSLATE(B16323, ""es"", ""en"")"),"Rota arrived broken")</f>
        <v>Rota arrived broken</v>
      </c>
    </row>
    <row r="16324">
      <c r="A16324" s="1">
        <v>3.0</v>
      </c>
      <c r="B16324" s="1" t="s">
        <v>16170</v>
      </c>
      <c r="C16324" t="str">
        <f>IFERROR(__xludf.DUMMYFUNCTION("GOOGLETRANSLATE(B16324, ""es"", ""en"")"),"Headphones for cole My daughter is 6 years old and has to stretch a bit. The color is beautiful, as in the image and are very comfortable. BUT I am outraged that some colors are worth more than others")</f>
        <v>Headphones for cole My daughter is 6 years old and has to stretch a bit. The color is beautiful, as in the image and are very comfortable. BUT I am outraged that some colors are worth more than others</v>
      </c>
    </row>
    <row r="16325">
      <c r="A16325" s="1">
        <v>3.0</v>
      </c>
      <c r="B16325" s="1" t="s">
        <v>16171</v>
      </c>
      <c r="C16325" t="str">
        <f>IFERROR(__xludf.DUMMYFUNCTION("GOOGLETRANSLATE(B16325, ""es"", ""en"")"),"Molt correcte millor if Pogues desmuntar. I és netejar not bother to tea gaire power. Bé per fer salses or grinding verdures cuites i tallades.")</f>
        <v>Molt correcte millor if Pogues desmuntar. I és netejar not bother to tea gaire power. Bé per fer salses or grinding verdures cuites i tallades.</v>
      </c>
    </row>
    <row r="16326">
      <c r="A16326" s="1">
        <v>3.0</v>
      </c>
      <c r="B16326" s="1" t="s">
        <v>16172</v>
      </c>
      <c r="C16326" t="str">
        <f>IFERROR(__xludf.DUMMYFUNCTION("GOOGLETRANSLATE(B16326, ""es"", ""en"")"),"Nice and very cheap price worth ....")</f>
        <v>Nice and very cheap price worth ....</v>
      </c>
    </row>
    <row r="16327">
      <c r="A16327" s="1">
        <v>1.0</v>
      </c>
      <c r="B16327" s="1" t="s">
        <v>16173</v>
      </c>
      <c r="C16327" t="str">
        <f>IFERROR(__xludf.DUMMYFUNCTION("GOOGLETRANSLATE(B16327, ""es"", ""en"")"),"Discontent is appreciated sleazy and should not last long before breaking. I do not recommend.")</f>
        <v>Discontent is appreciated sleazy and should not last long before breaking. I do not recommend.</v>
      </c>
    </row>
    <row r="16328">
      <c r="A16328" s="1">
        <v>1.0</v>
      </c>
      <c r="B16328" s="1" t="s">
        <v>16174</v>
      </c>
      <c r="C16328" t="str">
        <f>IFERROR(__xludf.DUMMYFUNCTION("GOOGLETRANSLATE(B16328, ""es"", ""en"")"),"I do not like misleading picture nada.no is as shown in the photo.")</f>
        <v>I do not like misleading picture nada.no is as shown in the photo.</v>
      </c>
    </row>
    <row r="16329">
      <c r="A16329" s="1">
        <v>4.0</v>
      </c>
      <c r="B16329" s="1" t="s">
        <v>16175</v>
      </c>
      <c r="C16329" t="str">
        <f>IFERROR(__xludf.DUMMYFUNCTION("GOOGLETRANSLATE(B16329, ""es"", ""en"")"),"good buy is a good product, good quality and good accessories. definitely a good buy good quality recommended")</f>
        <v>good buy is a good product, good quality and good accessories. definitely a good buy good quality recommended</v>
      </c>
    </row>
    <row r="16330">
      <c r="A16330" s="1">
        <v>4.0</v>
      </c>
      <c r="B16330" s="1" t="s">
        <v>16176</v>
      </c>
      <c r="C16330" t="str">
        <f>IFERROR(__xludf.DUMMYFUNCTION("GOOGLETRANSLATE(B16330, ""es"", ""en"")"),"I like pretty rings I look very good quality, it cleaned them and nonblack positions since nothing has. I'm surprised, quite I surprised I was expecting worse at that price")</f>
        <v>I like pretty rings I look very good quality, it cleaned them and nonblack positions since nothing has. I'm surprised, quite I surprised I was expecting worse at that price</v>
      </c>
    </row>
    <row r="16331">
      <c r="A16331" s="1">
        <v>4.0</v>
      </c>
      <c r="B16331" s="1" t="s">
        <v>16177</v>
      </c>
      <c r="C16331" t="str">
        <f>IFERROR(__xludf.DUMMYFUNCTION("GOOGLETRANSLATE(B16331, ""es"", ""en"")"),"Good buy good jacket. The jacket is good quality although I was a little big. The color is a little grayer than the photo shows.")</f>
        <v>Good buy good jacket. The jacket is good quality although I was a little big. The color is a little grayer than the photo shows.</v>
      </c>
    </row>
    <row r="16332">
      <c r="A16332" s="1">
        <v>4.0</v>
      </c>
      <c r="B16332" s="1" t="s">
        <v>16178</v>
      </c>
      <c r="C16332" t="str">
        <f>IFERROR(__xludf.DUMMYFUNCTION("GOOGLETRANSLATE(B16332, ""es"", ""en"")"),"Excellent quality Havachan very comfortable and adaptable I recommend greetings jose")</f>
        <v>Excellent quality Havachan very comfortable and adaptable I recommend greetings jose</v>
      </c>
    </row>
    <row r="16333">
      <c r="A16333" s="1">
        <v>4.0</v>
      </c>
      <c r="B16333" s="1" t="s">
        <v>16179</v>
      </c>
      <c r="C16333" t="str">
        <f>IFERROR(__xludf.DUMMYFUNCTION("GOOGLETRANSLATE(B16333, ""es"", ""en"")"),"A completely fulfilled my expectations I am fond of spearfishing and wanted a low cost clock I could take me fishing and diving soportase (shallow). I have something more than a month using it and so far without any problems and very happy with it.")</f>
        <v>A completely fulfilled my expectations I am fond of spearfishing and wanted a low cost clock I could take me fishing and diving soportase (shallow). I have something more than a month using it and so far without any problems and very happy with it.</v>
      </c>
    </row>
    <row r="16334">
      <c r="A16334" s="1">
        <v>5.0</v>
      </c>
      <c r="B16334" s="1" t="s">
        <v>16180</v>
      </c>
      <c r="C16334" t="str">
        <f>IFERROR(__xludf.DUMMYFUNCTION("GOOGLETRANSLATE(B16334, ""es"", ""en"")"),"The ultimate solution for labeling clothing There is no better solution for marking clothes the kids in the store. It is as fast and durable, depending on the tissue can be erased, but hard enough washings. If you delete ... it redials and ready. Infinite"&amp;"ly better than the strips are ironed and finished peeling, etc.")</f>
        <v>The ultimate solution for labeling clothing There is no better solution for marking clothes the kids in the store. It is as fast and durable, depending on the tissue can be erased, but hard enough washings. If you delete ... it redials and ready. Infinitely better than the strips are ironed and finished peeling, etc.</v>
      </c>
    </row>
    <row r="16335">
      <c r="A16335" s="1">
        <v>5.0</v>
      </c>
      <c r="B16335" s="1" t="s">
        <v>16181</v>
      </c>
      <c r="C16335" t="str">
        <f>IFERROR(__xludf.DUMMYFUNCTION("GOOGLETRANSLATE(B16335, ""es"", ""en"")"),"As pictured !!! As in the photo takes only 24 hours to send and perfect is mui mui listen well and adapts well to a 7 year old girl")</f>
        <v>As pictured !!! As in the photo takes only 24 hours to send and perfect is mui mui listen well and adapts well to a 7 year old girl</v>
      </c>
    </row>
    <row r="16336">
      <c r="A16336" s="1">
        <v>5.0</v>
      </c>
      <c r="B16336" s="1" t="s">
        <v>16182</v>
      </c>
      <c r="C16336" t="str">
        <f>IFERROR(__xludf.DUMMYFUNCTION("GOOGLETRANSLATE(B16336, ""es"", ""en"")"),"Clock quality of high-quality retro clock. It is a watch that after 20 years will pile been upon him for another 20. Very convenient, nice aesthetically. I expected wider belt. I see more womens although I had was wider and all a matter of getting used")</f>
        <v>Clock quality of high-quality retro clock. It is a watch that after 20 years will pile been upon him for another 20. Very convenient, nice aesthetically. I expected wider belt. I see more womens although I had was wider and all a matter of getting used</v>
      </c>
    </row>
    <row r="16337">
      <c r="A16337" s="1">
        <v>5.0</v>
      </c>
      <c r="B16337" s="1" t="s">
        <v>16183</v>
      </c>
      <c r="C16337" t="str">
        <f>IFERROR(__xludf.DUMMYFUNCTION("GOOGLETRANSLATE(B16337, ""es"", ""en"")"),"I remain perfect. It's what I expected. Already knew the product because the former are of the same brand.")</f>
        <v>I remain perfect. It's what I expected. Already knew the product because the former are of the same brand.</v>
      </c>
    </row>
    <row r="16338">
      <c r="A16338" s="1">
        <v>5.0</v>
      </c>
      <c r="B16338" s="1" t="s">
        <v>16184</v>
      </c>
      <c r="C16338" t="str">
        <f>IFERROR(__xludf.DUMMYFUNCTION("GOOGLETRANSLATE(B16338, ""es"", ""en"")"),"Good buy'm happy with the product I play correctp")</f>
        <v>Good buy'm happy with the product I play correctp</v>
      </c>
    </row>
    <row r="16339">
      <c r="A16339" s="1">
        <v>5.0</v>
      </c>
      <c r="B16339" s="1" t="s">
        <v>16185</v>
      </c>
      <c r="C16339" t="str">
        <f>IFERROR(__xludf.DUMMYFUNCTION("GOOGLETRANSLATE(B16339, ""es"", ""en"")"),"Good buy. The same as in the image. Comfortable and light.")</f>
        <v>Good buy. The same as in the image. Comfortable and light.</v>
      </c>
    </row>
    <row r="16340">
      <c r="A16340" s="1">
        <v>5.0</v>
      </c>
      <c r="B16340" s="1" t="s">
        <v>2074</v>
      </c>
      <c r="C16340" t="str">
        <f>IFERROR(__xludf.DUMMYFUNCTION("GOOGLETRANSLATE(B16340, ""es"", ""en"")"),"ok ok")</f>
        <v>ok ok</v>
      </c>
    </row>
    <row r="16341">
      <c r="A16341" s="1">
        <v>5.0</v>
      </c>
      <c r="B16341" s="1" t="s">
        <v>16186</v>
      </c>
      <c r="C16341" t="str">
        <f>IFERROR(__xludf.DUMMYFUNCTION("GOOGLETRANSLATE(B16341, ""es"", ""en"")"),"Ideal size Ideal thick i")</f>
        <v>Ideal size Ideal thick i</v>
      </c>
    </row>
    <row r="16342">
      <c r="A16342" s="1">
        <v>5.0</v>
      </c>
      <c r="B16342" s="1" t="s">
        <v>16187</v>
      </c>
      <c r="C16342" t="str">
        <f>IFERROR(__xludf.DUMMYFUNCTION("GOOGLETRANSLATE(B16342, ""es"", ""en"")"),"Versatile and autonomous Last one. You can record perfectly anywhere. You can get an entry while you record by micros. Many possibilities and high quality.")</f>
        <v>Versatile and autonomous Last one. You can record perfectly anywhere. You can get an entry while you record by micros. Many possibilities and high quality.</v>
      </c>
    </row>
    <row r="16343">
      <c r="A16343" s="1">
        <v>5.0</v>
      </c>
      <c r="B16343" s="1" t="s">
        <v>16188</v>
      </c>
      <c r="C16343" t="str">
        <f>IFERROR(__xludf.DUMMYFUNCTION("GOOGLETRANSLATE(B16343, ""es"", ""en"")"),"well satisfied. good buy")</f>
        <v>well satisfied. good buy</v>
      </c>
    </row>
    <row r="16344">
      <c r="A16344" s="1">
        <v>5.0</v>
      </c>
      <c r="B16344" s="1" t="s">
        <v>16189</v>
      </c>
      <c r="C16344" t="str">
        <f>IFERROR(__xludf.DUMMYFUNCTION("GOOGLETRANSLATE(B16344, ""es"", ""en"")"),"L elegant bracelet is very elegant, it's nothing ordinary, very fine. It has a charm of the tree of life and a very decorative stone diamond shaped well polished. What I like most is that it fits any wrist. I also like the blue box that brings case and el"&amp;"egance. If I could ask for anything more, it would be that I could choose the thickness of the bracelet in various options.")</f>
        <v>L elegant bracelet is very elegant, it's nothing ordinary, very fine. It has a charm of the tree of life and a very decorative stone diamond shaped well polished. What I like most is that it fits any wrist. I also like the blue box that brings case and elegance. If I could ask for anything more, it would be that I could choose the thickness of the bracelet in various options.</v>
      </c>
    </row>
    <row r="16345">
      <c r="A16345" s="1">
        <v>5.0</v>
      </c>
      <c r="B16345" s="1" t="s">
        <v>16190</v>
      </c>
      <c r="C16345" t="str">
        <f>IFERROR(__xludf.DUMMYFUNCTION("GOOGLETRANSLATE(B16345, ""es"", ""en"")"),"excellent great article")</f>
        <v>excellent great article</v>
      </c>
    </row>
    <row r="16346">
      <c r="A16346" s="1">
        <v>5.0</v>
      </c>
      <c r="B16346" s="1" t="s">
        <v>16191</v>
      </c>
      <c r="C16346" t="str">
        <f>IFERROR(__xludf.DUMMYFUNCTION("GOOGLETRANSLATE(B16346, ""es"", ""en"")"),"Practical. I like it because it is very practical and you clean every corner without leaving anything of the map, not leave it as a mop but very clean, I do not like that the wifi signal is going as which sites and hook it to the mobile not just any route"&amp;"r.")</f>
        <v>Practical. I like it because it is very practical and you clean every corner without leaving anything of the map, not leave it as a mop but very clean, I do not like that the wifi signal is going as which sites and hook it to the mobile not just any router.</v>
      </c>
    </row>
    <row r="16347">
      <c r="A16347" s="1">
        <v>5.0</v>
      </c>
      <c r="B16347" s="1" t="s">
        <v>16192</v>
      </c>
      <c r="C16347" t="str">
        <f>IFERROR(__xludf.DUMMYFUNCTION("GOOGLETRANSLATE(B16347, ""es"", ""en"")"),"The best brand perfect for breastfeeding and bottle at a time")</f>
        <v>The best brand perfect for breastfeeding and bottle at a time</v>
      </c>
    </row>
    <row r="16348">
      <c r="A16348" s="1">
        <v>5.0</v>
      </c>
      <c r="B16348" s="1" t="s">
        <v>16193</v>
      </c>
      <c r="C16348" t="str">
        <f>IFERROR(__xludf.DUMMYFUNCTION("GOOGLETRANSLATE(B16348, ""es"", ""en"")"),"Although very useful cover something else appears in the photos, is what we needed, a price quite affordable, and gives us versatility not need a single outlet to charge the phone with two USB included. Placed on a table leg, weighs nothing. Recommendable"&amp;".")</f>
        <v>Although very useful cover something else appears in the photos, is what we needed, a price quite affordable, and gives us versatility not need a single outlet to charge the phone with two USB included. Placed on a table leg, weighs nothing. Recommendable.</v>
      </c>
    </row>
    <row r="16349">
      <c r="A16349" s="1">
        <v>5.0</v>
      </c>
      <c r="B16349" s="1" t="s">
        <v>16194</v>
      </c>
      <c r="C16349" t="str">
        <f>IFERROR(__xludf.DUMMYFUNCTION("GOOGLETRANSLATE(B16349, ""es"", ""en"")"),"Comfort Very comfortable, soft and elastic fabric. It is very nice to the body. They are ideal for jogging, exercising, or for use in any occasion. I recommend")</f>
        <v>Comfort Very comfortable, soft and elastic fabric. It is very nice to the body. They are ideal for jogging, exercising, or for use in any occasion. I recommend</v>
      </c>
    </row>
    <row r="16350">
      <c r="A16350" s="1">
        <v>5.0</v>
      </c>
      <c r="B16350" s="1" t="s">
        <v>16195</v>
      </c>
      <c r="C16350" t="str">
        <f>IFERROR(__xludf.DUMMYFUNCTION("GOOGLETRANSLATE(B16350, ""es"", ""en"")"),"Very good FM radio headphones for design go very well because you will not fall like other ear headphones. It has FM radio and Bluetooth to connect a device to your headphones. Very comfortable and good value for money")</f>
        <v>Very good FM radio headphones for design go very well because you will not fall like other ear headphones. It has FM radio and Bluetooth to connect a device to your headphones. Very comfortable and good value for money</v>
      </c>
    </row>
    <row r="16351">
      <c r="A16351" s="1">
        <v>5.0</v>
      </c>
      <c r="B16351" s="1" t="s">
        <v>16196</v>
      </c>
      <c r="C16351" t="str">
        <f>IFERROR(__xludf.DUMMYFUNCTION("GOOGLETRANSLATE(B16351, ""es"", ""en"")"),"The heavy mixer power mixer shows. Weighs glass tumbler with the engine the result is a heavy mixer. She was lost looking for juicers, I chose the Taurus but it was not clear volts. You have to think you're going to use it because I usually use for gazpac"&amp;"ho and creams and I do not need the 1200 w.")</f>
        <v>The heavy mixer power mixer shows. Weighs glass tumbler with the engine the result is a heavy mixer. She was lost looking for juicers, I chose the Taurus but it was not clear volts. You have to think you're going to use it because I usually use for gazpacho and creams and I do not need the 1200 w.</v>
      </c>
    </row>
    <row r="16352">
      <c r="A16352" s="1">
        <v>5.0</v>
      </c>
      <c r="B16352" s="1" t="s">
        <v>16197</v>
      </c>
      <c r="C16352" t="str">
        <f>IFERROR(__xludf.DUMMYFUNCTION("GOOGLETRANSLATE(B16352, ""es"", ""en"")"),"Originality and usefulness has a USB charging port behind and a button battery to keep the settings. It can also be used as lamp because the light can turn on by pressing a button. According to the scheduled alarm time, the light begins to ignite and beco"&amp;"me more intense during the half-hour antes.Manuales in several languages ​​including Spanish and. LED lights may be changing in tone and is quite relaxing. Very happy with the purchase")</f>
        <v>Originality and usefulness has a USB charging port behind and a button battery to keep the settings. It can also be used as lamp because the light can turn on by pressing a button. According to the scheduled alarm time, the light begins to ignite and become more intense during the half-hour antes.Manuales in several languages ​​including Spanish and. LED lights may be changing in tone and is quite relaxing. Very happy with the purchase</v>
      </c>
    </row>
    <row r="16353">
      <c r="A16353" s="1">
        <v>2.0</v>
      </c>
      <c r="B16353" s="1" t="s">
        <v>16198</v>
      </c>
      <c r="C16353" t="str">
        <f>IFERROR(__xludf.DUMMYFUNCTION("GOOGLETRANSLATE(B16353, ""es"", ""en"")"),"... Sole very hard, missing amortiguacion")</f>
        <v>... Sole very hard, missing amortiguacion</v>
      </c>
    </row>
    <row r="16354">
      <c r="A16354" s="1">
        <v>3.0</v>
      </c>
      <c r="B16354" s="1" t="s">
        <v>16199</v>
      </c>
      <c r="C16354" t="str">
        <f>IFERROR(__xludf.DUMMYFUNCTION("GOOGLETRANSLATE(B16354, ""es"", ""en"")"),"Are of very low quality and no comfortable size if it is fair that says however are made of very poor quality and it shows much they are plastic ... I do not think last long.")</f>
        <v>Are of very low quality and no comfortable size if it is fair that says however are made of very poor quality and it shows much they are plastic ... I do not think last long.</v>
      </c>
    </row>
    <row r="16355">
      <c r="A16355" s="1">
        <v>1.0</v>
      </c>
      <c r="B16355" s="1" t="s">
        <v>16200</v>
      </c>
      <c r="C16355" t="str">
        <f>IFERROR(__xludf.DUMMYFUNCTION("GOOGLETRANSLATE(B16355, ""es"", ""en"")"),"the thermometer did not come only 1 week and has taken up the kit includes the thermometer display screen and an external sensor to see on the screen inside the outdoor temperature sensor outside, THEN CAME NOT DISPLAY, only the external sensor. A fiasco.")</f>
        <v>the thermometer did not come only 1 week and has taken up the kit includes the thermometer display screen and an external sensor to see on the screen inside the outdoor temperature sensor outside, THEN CAME NOT DISPLAY, only the external sensor. A fiasco.</v>
      </c>
    </row>
    <row r="16356">
      <c r="A16356" s="1">
        <v>1.0</v>
      </c>
      <c r="B16356" s="1" t="s">
        <v>16201</v>
      </c>
      <c r="C16356" t="str">
        <f>IFERROR(__xludf.DUMMYFUNCTION("GOOGLETRANSLATE(B16356, ""es"", ""en"")"),"Poor quality. Would not buy or crazy in the first washing lose color and are as well worn. The material is not good, poor quality. A disappointment because I expected more of this product")</f>
        <v>Poor quality. Would not buy or crazy in the first washing lose color and are as well worn. The material is not good, poor quality. A disappointment because I expected more of this product</v>
      </c>
    </row>
    <row r="16357">
      <c r="A16357" s="1">
        <v>4.0</v>
      </c>
      <c r="B16357" s="1" t="s">
        <v>16202</v>
      </c>
      <c r="C16357" t="str">
        <f>IFERROR(__xludf.DUMMYFUNCTION("GOOGLETRANSLATE(B16357, ""es"", ""en"")"),"Good value for money is a pack with soft aromas and quite delicate, ideal for broadcasters if you do not want too odor. The case, well presented and sealed, although one of the bottles had lost something by not being tightly closed.")</f>
        <v>Good value for money is a pack with soft aromas and quite delicate, ideal for broadcasters if you do not want too odor. The case, well presented and sealed, although one of the bottles had lost something by not being tightly closed.</v>
      </c>
    </row>
    <row r="16358">
      <c r="A16358" s="1">
        <v>4.0</v>
      </c>
      <c r="B16358" s="1" t="s">
        <v>16203</v>
      </c>
      <c r="C16358" t="str">
        <f>IFERROR(__xludf.DUMMYFUNCTION("GOOGLETRANSLATE(B16358, ""es"", ""en"")"),"Drawing classes begin the first steps for technical drawing")</f>
        <v>Drawing classes begin the first steps for technical drawing</v>
      </c>
    </row>
    <row r="16359">
      <c r="A16359" s="1">
        <v>4.0</v>
      </c>
      <c r="B16359" s="1" t="s">
        <v>16204</v>
      </c>
      <c r="C16359" t="str">
        <f>IFERROR(__xludf.DUMMYFUNCTION("GOOGLETRANSLATE(B16359, ""es"", ""en"")"),"Good gift came days earlier than expected. Perfect for kings. He is very happy with the product. He says it's very manageable and perfect weight and height.")</f>
        <v>Good gift came days earlier than expected. Perfect for kings. He is very happy with the product. He says it's very manageable and perfect weight and height.</v>
      </c>
    </row>
    <row r="16360">
      <c r="A16360" s="1">
        <v>4.0</v>
      </c>
      <c r="B16360" s="1" t="s">
        <v>16205</v>
      </c>
      <c r="C16360" t="str">
        <f>IFERROR(__xludf.DUMMYFUNCTION("GOOGLETRANSLATE(B16360, ""es"", ""en"")"),"Very good is very simple, it works very well and keeps you warm without spoiling or melt even put you forget more than 24 hours")</f>
        <v>Very good is very simple, it works very well and keeps you warm without spoiling or melt even put you forget more than 24 hours</v>
      </c>
    </row>
    <row r="16361">
      <c r="A16361" s="1">
        <v>4.0</v>
      </c>
      <c r="B16361" s="1" t="s">
        <v>16206</v>
      </c>
      <c r="C16361" t="str">
        <f>IFERROR(__xludf.DUMMYFUNCTION("GOOGLETRANSLATE(B16361, ""es"", ""en"")"),"Very good Do not put 5 stars because for me the red light indicating that the pitcher is on should be more visible, but it is an excellent product")</f>
        <v>Very good Do not put 5 stars because for me the red light indicating that the pitcher is on should be more visible, but it is an excellent product</v>
      </c>
    </row>
    <row r="16362">
      <c r="A16362" s="1">
        <v>5.0</v>
      </c>
      <c r="B16362" s="1" t="s">
        <v>16207</v>
      </c>
      <c r="C16362" t="str">
        <f>IFERROR(__xludf.DUMMYFUNCTION("GOOGLETRANSLATE(B16362, ""es"", ""en"")"),"very well, they are simply serving their purpose staples")</f>
        <v>very well, they are simply serving their purpose staples</v>
      </c>
    </row>
    <row r="16363">
      <c r="A16363" s="1">
        <v>5.0</v>
      </c>
      <c r="B16363" s="1" t="s">
        <v>16208</v>
      </c>
      <c r="C16363" t="str">
        <f>IFERROR(__xludf.DUMMYFUNCTION("GOOGLETRANSLATE(B16363, ""es"", ""en"")"),"Quality USB memory 64GB bought one and now looking for another to give both me not to go up in price, so I chose this. Memory is super tiny and lightweight, to put it on the phone recognized it immediately (which I had taken other) and 32gb are real. We u"&amp;"se it to copy photos from your phone when you do not have time to use a computer or do not have on hand. So far it has not given any problems, so very happy with the purchase.")</f>
        <v>Quality USB memory 64GB bought one and now looking for another to give both me not to go up in price, so I chose this. Memory is super tiny and lightweight, to put it on the phone recognized it immediately (which I had taken other) and 32gb are real. We use it to copy photos from your phone when you do not have time to use a computer or do not have on hand. So far it has not given any problems, so very happy with the purchase.</v>
      </c>
    </row>
    <row r="16364">
      <c r="A16364" s="1">
        <v>5.0</v>
      </c>
      <c r="B16364" s="1" t="s">
        <v>16209</v>
      </c>
      <c r="C16364" t="str">
        <f>IFERROR(__xludf.DUMMYFUNCTION("GOOGLETRANSLATE(B16364, ""es"", ""en"")"),"Miguel Oliva is an original product of great brand and top quality in its original box, for 100% reliable sellers.")</f>
        <v>Miguel Oliva is an original product of great brand and top quality in its original box, for 100% reliable sellers.</v>
      </c>
    </row>
    <row r="16365">
      <c r="A16365" s="1">
        <v>5.0</v>
      </c>
      <c r="B16365" s="1" t="s">
        <v>16210</v>
      </c>
      <c r="C16365" t="str">
        <f>IFERROR(__xludf.DUMMYFUNCTION("GOOGLETRANSLATE(B16365, ""es"", ""en"")"),"Such expectations and meets as expected. It works perfectly with my Medela breast pumps. I bought it because the bottles that came by were small")</f>
        <v>Such expectations and meets as expected. It works perfectly with my Medela breast pumps. I bought it because the bottles that came by were small</v>
      </c>
    </row>
    <row r="16366">
      <c r="A16366" s="1">
        <v>5.0</v>
      </c>
      <c r="B16366" s="1" t="s">
        <v>16211</v>
      </c>
      <c r="C16366" t="str">
        <f>IFERROR(__xludf.DUMMYFUNCTION("GOOGLETRANSLATE(B16366, ""es"", ""en"")"),"Does the job Clean, protects and orders")</f>
        <v>Does the job Clean, protects and orders</v>
      </c>
    </row>
    <row r="16367">
      <c r="A16367" s="1">
        <v>5.0</v>
      </c>
      <c r="B16367" s="1" t="s">
        <v>16212</v>
      </c>
      <c r="C16367" t="str">
        <f>IFERROR(__xludf.DUMMYFUNCTION("GOOGLETRANSLATE(B16367, ""es"", ""en"")"),"Buenísimo very good quality after months of use this impeccable")</f>
        <v>Buenísimo very good quality after months of use this impeccable</v>
      </c>
    </row>
    <row r="16368">
      <c r="A16368" s="1">
        <v>5.0</v>
      </c>
      <c r="B16368" s="1" t="s">
        <v>16213</v>
      </c>
      <c r="C16368" t="str">
        <f>IFERROR(__xludf.DUMMYFUNCTION("GOOGLETRANSLATE(B16368, ""es"", ""en"")"),"Magnifico wonderful aroma it out really well without noise is wonderful, is 400ml hard as lat 12 hours so I recommend 100%")</f>
        <v>Magnifico wonderful aroma it out really well without noise is wonderful, is 400ml hard as lat 12 hours so I recommend 100%</v>
      </c>
    </row>
    <row r="16369">
      <c r="A16369" s="1">
        <v>5.0</v>
      </c>
      <c r="B16369" s="1" t="s">
        <v>16214</v>
      </c>
      <c r="C16369" t="str">
        <f>IFERROR(__xludf.DUMMYFUNCTION("GOOGLETRANSLATE(B16369, ""es"", ""en"")"),"Good quality good quality and performance")</f>
        <v>Good quality good quality and performance</v>
      </c>
    </row>
    <row r="16370">
      <c r="A16370" s="1">
        <v>5.0</v>
      </c>
      <c r="B16370" s="1" t="s">
        <v>16215</v>
      </c>
      <c r="C16370" t="str">
        <f>IFERROR(__xludf.DUMMYFUNCTION("GOOGLETRANSLATE(B16370, ""es"", ""en"")"),"Saucony Jazz Original- T / 39 great fit and super comfortable. Fit well, asking the usual number.")</f>
        <v>Saucony Jazz Original- T / 39 great fit and super comfortable. Fit well, asking the usual number.</v>
      </c>
    </row>
    <row r="16371">
      <c r="A16371" s="1">
        <v>5.0</v>
      </c>
      <c r="B16371" s="1" t="s">
        <v>16216</v>
      </c>
      <c r="C16371" t="str">
        <f>IFERROR(__xludf.DUMMYFUNCTION("GOOGLETRANSLATE(B16371, ""es"", ""en"")"),"SI SI SI Newcomers return them because I chock 45, I asked 46 by the problem of them and remove them (I have one of the 46 that cost twice euros and the second and last time I put them almost have to cut to take them off ). I come overbroad. Followed me b"&amp;"uy one of the 45 that will put me enough amplias.Se and remove easily.")</f>
        <v>SI SI SI Newcomers return them because I chock 45, I asked 46 by the problem of them and remove them (I have one of the 46 that cost twice euros and the second and last time I put them almost have to cut to take them off ). I come overbroad. Followed me buy one of the 45 that will put me enough amplias.Se and remove easily.</v>
      </c>
    </row>
    <row r="16372">
      <c r="A16372" s="1">
        <v>5.0</v>
      </c>
      <c r="B16372" s="1" t="s">
        <v>16217</v>
      </c>
      <c r="C16372" t="str">
        <f>IFERROR(__xludf.DUMMYFUNCTION("GOOGLETRANSLATE(B16372, ""es"", ""en"")"),"The comfort I ordered number 37, q is my number, and m was very fair. X I q return another number. 38 perfect. Highly comfortable. It met my expectations")</f>
        <v>The comfort I ordered number 37, q is my number, and m was very fair. X I q return another number. 38 perfect. Highly comfortable. It met my expectations</v>
      </c>
    </row>
    <row r="16373">
      <c r="A16373" s="1">
        <v>5.0</v>
      </c>
      <c r="B16373" s="1" t="s">
        <v>16218</v>
      </c>
      <c r="C16373" t="str">
        <f>IFERROR(__xludf.DUMMYFUNCTION("GOOGLETRANSLATE(B16373, ""es"", ""en"")"),"Gift gift, the person who received it is delighted")</f>
        <v>Gift gift, the person who received it is delighted</v>
      </c>
    </row>
    <row r="16374">
      <c r="A16374" s="1">
        <v>5.0</v>
      </c>
      <c r="B16374" s="1" t="s">
        <v>16219</v>
      </c>
      <c r="C16374" t="str">
        <f>IFERROR(__xludf.DUMMYFUNCTION("GOOGLETRANSLATE(B16374, ""es"", ""en"")"),"Unbeatable value for money. PURCHASED IN JULY 2019 FOR 10 €. I have long wanted to renovate an old micro sd, and took time seeing the prices and now was the time. Without going into too much technical detail explaining letters, acronyms, sdxc megs, I will"&amp;" give my opinion on this card. To start and increased security is that it is original SanDisk. Has a lot of speed writing and reading, means that it is very quick saving the data and reading them, does not matter whether photos, videos or documents. Consu"&amp;"mes very little. Something important because some cards in the process of recording, read and delete consume a lot of battery, and that will never give importance, but the difference is a good card to another. And now, in July 2019, it has a great price-q"&amp;"uality capacity and the brand has, of course. For 99% of users, this card is more than enough. A few months ago was the cutting edge and cost much more expensive. I'm going to use my mobile huawei, to store road maps and use them in the browser GPS applic"&amp;"ation, with no connection to the network. In addition to almacenarme the pictures you take while traveling.")</f>
        <v>Unbeatable value for money. PURCHASED IN JULY 2019 FOR 10 €. I have long wanted to renovate an old micro sd, and took time seeing the prices and now was the time. Without going into too much technical detail explaining letters, acronyms, sdxc megs, I will give my opinion on this card. To start and increased security is that it is original SanDisk. Has a lot of speed writing and reading, means that it is very quick saving the data and reading them, does not matter whether photos, videos or documents. Consumes very little. Something important because some cards in the process of recording, read and delete consume a lot of battery, and that will never give importance, but the difference is a good card to another. And now, in July 2019, it has a great price-quality capacity and the brand has, of course. For 99% of users, this card is more than enough. A few months ago was the cutting edge and cost much more expensive. I'm going to use my mobile huawei, to store road maps and use them in the browser GPS application, with no connection to the network. In addition to almacenarme the pictures you take while traveling.</v>
      </c>
    </row>
    <row r="16375">
      <c r="A16375" s="1">
        <v>5.0</v>
      </c>
      <c r="B16375" s="1" t="s">
        <v>16220</v>
      </c>
      <c r="C16375" t="str">
        <f>IFERROR(__xludf.DUMMYFUNCTION("GOOGLETRANSLATE(B16375, ""es"", ""en"")"),"No sumun pretty good quality, but not bad.")</f>
        <v>No sumun pretty good quality, but not bad.</v>
      </c>
    </row>
    <row r="16376">
      <c r="A16376" s="1">
        <v>5.0</v>
      </c>
      <c r="B16376" s="1" t="s">
        <v>16221</v>
      </c>
      <c r="C16376" t="str">
        <f>IFERROR(__xludf.DUMMYFUNCTION("GOOGLETRANSLATE(B16376, ""es"", ""en"")"),"Very good buy perfect size, neither too big nor too small, I have the little doll, but I wanted a watch with a little large numbers, and this casio is perfect for that.")</f>
        <v>Very good buy perfect size, neither too big nor too small, I have the little doll, but I wanted a watch with a little large numbers, and this casio is perfect for that.</v>
      </c>
    </row>
    <row r="16377">
      <c r="A16377" s="1">
        <v>5.0</v>
      </c>
      <c r="B16377" s="1" t="s">
        <v>16222</v>
      </c>
      <c r="C16377" t="str">
        <f>IFERROR(__xludf.DUMMYFUNCTION("GOOGLETRANSLATE(B16377, ""es"", ""en"")"),"For studies. They needed a compass for drawing subjects of ESO and after trying 2 other cheaper models, which did not allow proper management, they look for this in such a recognized brand as Faber-Castell. Moment is very pleased and says he can draw much"&amp;" better than before.")</f>
        <v>For studies. They needed a compass for drawing subjects of ESO and after trying 2 other cheaper models, which did not allow proper management, they look for this in such a recognized brand as Faber-Castell. Moment is very pleased and says he can draw much better than before.</v>
      </c>
    </row>
    <row r="16378">
      <c r="A16378" s="1">
        <v>5.0</v>
      </c>
      <c r="B16378" s="1" t="s">
        <v>16223</v>
      </c>
      <c r="C16378" t="str">
        <f>IFERROR(__xludf.DUMMYFUNCTION("GOOGLETRANSLATE(B16378, ""es"", ""en"")"),"A good product ..... Good product and very nice .... at a good price .... is a great gift and very good quality ..... I recommend .... If you give it away, you'll be fine ....")</f>
        <v>A good product ..... Good product and very nice .... at a good price .... is a great gift and very good quality ..... I recommend .... If you give it away, you'll be fine ....</v>
      </c>
    </row>
    <row r="16379">
      <c r="A16379" s="1">
        <v>5.0</v>
      </c>
      <c r="B16379" s="1" t="s">
        <v>16224</v>
      </c>
      <c r="C16379" t="str">
        <f>IFERROR(__xludf.DUMMYFUNCTION("GOOGLETRANSLATE(B16379, ""es"", ""en"")"),"Great quality and very good quality, spacious and comfortable. Great value for money. Very happy")</f>
        <v>Great quality and very good quality, spacious and comfortable. Great value for money. Very happy</v>
      </c>
    </row>
    <row r="16380">
      <c r="A16380" s="1">
        <v>2.0</v>
      </c>
      <c r="B16380" s="1" t="s">
        <v>16225</v>
      </c>
      <c r="C16380" t="str">
        <f>IFERROR(__xludf.DUMMYFUNCTION("GOOGLETRANSLATE(B16380, ""es"", ""en"")"),"Only low quality allow a write speed of 52x. They are of very low quality and have poor durability. In my case they did not fulfill their purpose.")</f>
        <v>Only low quality allow a write speed of 52x. They are of very low quality and have poor durability. In my case they did not fulfill their purpose.</v>
      </c>
    </row>
    <row r="16381">
      <c r="A16381" s="1">
        <v>3.0</v>
      </c>
      <c r="B16381" s="1" t="s">
        <v>16226</v>
      </c>
      <c r="C16381" t="str">
        <f>IFERROR(__xludf.DUMMYFUNCTION("GOOGLETRANSLATE(B16381, ""es"", ""en"")"),"its function does not bad")</f>
        <v>its function does not bad</v>
      </c>
    </row>
    <row r="16382">
      <c r="A16382" s="1">
        <v>3.0</v>
      </c>
      <c r="B16382" s="1" t="s">
        <v>16227</v>
      </c>
      <c r="C16382" t="str">
        <f>IFERROR(__xludf.DUMMYFUNCTION("GOOGLETRANSLATE(B16382, ""es"", ""en"")"),"Just watch")</f>
        <v>Just watch</v>
      </c>
    </row>
    <row r="16383">
      <c r="A16383" s="1">
        <v>1.0</v>
      </c>
      <c r="B16383" s="1" t="s">
        <v>16228</v>
      </c>
      <c r="C16383" t="str">
        <f>IFERROR(__xludf.DUMMYFUNCTION("GOOGLETRANSLATE(B16383, ""es"", ""en"")"),"I drop did not help. He did not stick. At the time the box fell and broke.")</f>
        <v>I drop did not help. He did not stick. At the time the box fell and broke.</v>
      </c>
    </row>
    <row r="16384">
      <c r="A16384" s="1">
        <v>1.0</v>
      </c>
      <c r="B16384" s="1" t="s">
        <v>16229</v>
      </c>
      <c r="C16384" t="str">
        <f>IFERROR(__xludf.DUMMYFUNCTION("GOOGLETRANSLATE(B16384, ""es"", ""en"")"),"You get wet I bought feet this model in ECI, for the month took them because despite the just Goretex walking on wet grass calaba, sent them to Germany to analyze, the month I was told they gave me new ones but in another color, accepted and they ocurrs t"&amp;"he same. Not recommend")</f>
        <v>You get wet I bought feet this model in ECI, for the month took them because despite the just Goretex walking on wet grass calaba, sent them to Germany to analyze, the month I was told they gave me new ones but in another color, accepted and they ocurrs the same. Not recommend</v>
      </c>
    </row>
    <row r="16385">
      <c r="A16385" s="1">
        <v>4.0</v>
      </c>
      <c r="B16385" s="1" t="s">
        <v>16230</v>
      </c>
      <c r="C16385" t="str">
        <f>IFERROR(__xludf.DUMMYFUNCTION("GOOGLETRANSLATE(B16385, ""es"", ""en"")"),"The price is a robust and easy to use device")</f>
        <v>The price is a robust and easy to use device</v>
      </c>
    </row>
    <row r="16386">
      <c r="A16386" s="1">
        <v>4.0</v>
      </c>
      <c r="B16386" s="1" t="s">
        <v>16231</v>
      </c>
      <c r="C16386" t="str">
        <f>IFERROR(__xludf.DUMMYFUNCTION("GOOGLETRANSLATE(B16386, ""es"", ""en"")"),"Comfortable and nice since I buy them are the ones that led to the gym, I was always sports brand Nike, assics, etc but now I'll look over at Amazon I do not know if these catch me in another color or try other")</f>
        <v>Comfortable and nice since I buy them are the ones that led to the gym, I was always sports brand Nike, assics, etc but now I'll look over at Amazon I do not know if these catch me in another color or try other</v>
      </c>
    </row>
    <row r="16387">
      <c r="A16387" s="1">
        <v>4.0</v>
      </c>
      <c r="B16387" s="1" t="s">
        <v>16232</v>
      </c>
      <c r="C16387" t="str">
        <f>IFERROR(__xludf.DUMMYFUNCTION("GOOGLETRANSLATE(B16387, ""es"", ""en"")"),"Good product good product are of good quality and pretty thick to withstand more.")</f>
        <v>Good product good product are of good quality and pretty thick to withstand more.</v>
      </c>
    </row>
    <row r="16388">
      <c r="A16388" s="1">
        <v>4.0</v>
      </c>
      <c r="B16388" s="1" t="s">
        <v>16233</v>
      </c>
      <c r="C16388" t="str">
        <f>IFERROR(__xludf.DUMMYFUNCTION("GOOGLETRANSLATE(B16388, ""es"", ""en"")"),"durable lasting odor smell, with 1/2 drops in a half-liter tank is more than enough. I recommend not used to small rooms or office desks (this or any oil), because it is very hard if you have one nearby. The smell is pleasant")</f>
        <v>durable lasting odor smell, with 1/2 drops in a half-liter tank is more than enough. I recommend not used to small rooms or office desks (this or any oil), because it is very hard if you have one nearby. The smell is pleasant</v>
      </c>
    </row>
    <row r="16389">
      <c r="A16389" s="1">
        <v>5.0</v>
      </c>
      <c r="B16389" s="1" t="s">
        <v>16234</v>
      </c>
      <c r="C16389" t="str">
        <f>IFERROR(__xludf.DUMMYFUNCTION("GOOGLETRANSLATE(B16389, ""es"", ""en"")"),"Impermeability and comfort What I liked most is its versatility and comfort. What I would like to implement if any, as the large backpack of the same model, a zipper to keep cards handy. Thank you very much.")</f>
        <v>Impermeability and comfort What I liked most is its versatility and comfort. What I would like to implement if any, as the large backpack of the same model, a zipper to keep cards handy. Thank you very much.</v>
      </c>
    </row>
    <row r="16390">
      <c r="A16390" s="1">
        <v>5.0</v>
      </c>
      <c r="B16390" s="1" t="s">
        <v>16235</v>
      </c>
      <c r="C16390" t="str">
        <f>IFERROR(__xludf.DUMMYFUNCTION("GOOGLETRANSLATE(B16390, ""es"", ""en"")"),"Meets requirements arrived very early and is beautiful")</f>
        <v>Meets requirements arrived very early and is beautiful</v>
      </c>
    </row>
    <row r="16391">
      <c r="A16391" s="1">
        <v>5.0</v>
      </c>
      <c r="B16391" s="1" t="s">
        <v>16236</v>
      </c>
      <c r="C16391" t="str">
        <f>IFERROR(__xludf.DUMMYFUNCTION("GOOGLETRANSLATE(B16391, ""es"", ""en"")"),"Functional My husband loves to prepare your coffee and cola cao to Foam ..")</f>
        <v>Functional My husband loves to prepare your coffee and cola cao to Foam ..</v>
      </c>
    </row>
    <row r="16392">
      <c r="A16392" s="1">
        <v>5.0</v>
      </c>
      <c r="B16392" s="1" t="s">
        <v>16237</v>
      </c>
      <c r="C16392" t="str">
        <f>IFERROR(__xludf.DUMMYFUNCTION("GOOGLETRANSLATE(B16392, ""es"", ""en"")"),"Comfortable shoes very nice and super comfortable, no laces yet so far the elastic system is working well. Identical to the photo and carve perfect")</f>
        <v>Comfortable shoes very nice and super comfortable, no laces yet so far the elastic system is working well. Identical to the photo and carve perfect</v>
      </c>
    </row>
    <row r="16393">
      <c r="A16393" s="1">
        <v>5.0</v>
      </c>
      <c r="B16393" s="1" t="s">
        <v>16238</v>
      </c>
      <c r="C16393" t="str">
        <f>IFERROR(__xludf.DUMMYFUNCTION("GOOGLETRANSLATE(B16393, ""es"", ""en"")"),"Excellent product excellent product are comfortable and good")</f>
        <v>Excellent product excellent product are comfortable and good</v>
      </c>
    </row>
    <row r="16394">
      <c r="A16394" s="1">
        <v>5.0</v>
      </c>
      <c r="B16394" s="1" t="s">
        <v>16239</v>
      </c>
      <c r="C16394" t="str">
        <f>IFERROR(__xludf.DUMMYFUNCTION("GOOGLETRANSLATE(B16394, ""es"", ""en"")"),"Yolanda I love is super comfortable for everyday use was a gift for a friend, because he loved mine who gave me 6 years ago and I'll ask for another and I use it daily and have super-hit of the job. A complete success")</f>
        <v>Yolanda I love is super comfortable for everyday use was a gift for a friend, because he loved mine who gave me 6 years ago and I'll ask for another and I use it daily and have super-hit of the job. A complete success</v>
      </c>
    </row>
    <row r="16395">
      <c r="A16395" s="1">
        <v>5.0</v>
      </c>
      <c r="B16395" s="1" t="s">
        <v>16240</v>
      </c>
      <c r="C16395" t="str">
        <f>IFERROR(__xludf.DUMMYFUNCTION("GOOGLETRANSLATE(B16395, ""es"", ""en"")"),"So comfortable shoes, very happy with the purchase. It is a shoe super comfortable, both the sole and the staff makes you have a nice feeling in every step. Buy a size 39 which is mine and I was usually enormous. The seller offered me a change of size and"&amp;" returned it 39 and they sent the 38 without problems. I might also have been well 38.5, I have been to, especially if I wanted to put socks.")</f>
        <v>So comfortable shoes, very happy with the purchase. It is a shoe super comfortable, both the sole and the staff makes you have a nice feeling in every step. Buy a size 39 which is mine and I was usually enormous. The seller offered me a change of size and returned it 39 and they sent the 38 without problems. I might also have been well 38.5, I have been to, especially if I wanted to put socks.</v>
      </c>
    </row>
    <row r="16396">
      <c r="A16396" s="1">
        <v>5.0</v>
      </c>
      <c r="B16396" s="1" t="s">
        <v>16241</v>
      </c>
      <c r="C16396" t="str">
        <f>IFERROR(__xludf.DUMMYFUNCTION("GOOGLETRANSLATE(B16396, ""es"", ""en"")"),"It is beautiful, rasca well what to metal being you can not squeeze much because you're hurting.")</f>
        <v>It is beautiful, rasca well what to metal being you can not squeeze much because you're hurting.</v>
      </c>
    </row>
    <row r="16397">
      <c r="A16397" s="1">
        <v>5.0</v>
      </c>
      <c r="B16397" s="1" t="s">
        <v>16242</v>
      </c>
      <c r="C16397" t="str">
        <f>IFERROR(__xludf.DUMMYFUNCTION("GOOGLETRANSLATE(B16397, ""es"", ""en"")"),"This handsome Good gift for fans of the series, the necklace itself is not very functional, but as decoration is very nice")</f>
        <v>This handsome Good gift for fans of the series, the necklace itself is not very functional, but as decoration is very nice</v>
      </c>
    </row>
    <row r="16398">
      <c r="A16398" s="1">
        <v>5.0</v>
      </c>
      <c r="B16398" s="1" t="s">
        <v>16243</v>
      </c>
      <c r="C16398" t="str">
        <f>IFERROR(__xludf.DUMMYFUNCTION("GOOGLETRANSLATE(B16398, ""es"", ""en"")"),"It is perfect as it appears in the description and photos. As a note to add, the box it came in had some scratches that luckily did not damage the clock")</f>
        <v>It is perfect as it appears in the description and photos. As a note to add, the box it came in had some scratches that luckily did not damage the clock</v>
      </c>
    </row>
    <row r="16399">
      <c r="A16399" s="1">
        <v>5.0</v>
      </c>
      <c r="B16399" s="1" t="s">
        <v>16244</v>
      </c>
      <c r="C16399" t="str">
        <f>IFERROR(__xludf.DUMMYFUNCTION("GOOGLETRANSLATE(B16399, ""es"", ""en"")"),"Good quantity / price IHEREBYORDER lighting at the rear of the TV and computer, this product helps to arrange the wiring, avoiding wires hanging look and giving a cleaner look. Bring good deal for the price you have, on the other hand, looks very good qua"&amp;"lity.")</f>
        <v>Good quantity / price IHEREBYORDER lighting at the rear of the TV and computer, this product helps to arrange the wiring, avoiding wires hanging look and giving a cleaner look. Bring good deal for the price you have, on the other hand, looks very good quality.</v>
      </c>
    </row>
    <row r="16400">
      <c r="A16400" s="1">
        <v>5.0</v>
      </c>
      <c r="B16400" s="1" t="s">
        <v>16245</v>
      </c>
      <c r="C16400" t="str">
        <f>IFERROR(__xludf.DUMMYFUNCTION("GOOGLETRANSLATE(B16400, ""es"", ""en"")"),"The product is as shown in the image and is described in detail. The product is as shown in the image and is described in detail. The price corresponds with the product.")</f>
        <v>The product is as shown in the image and is described in detail. The product is as shown in the image and is described in detail. The price corresponds with the product.</v>
      </c>
    </row>
    <row r="16401">
      <c r="A16401" s="1">
        <v>5.0</v>
      </c>
      <c r="B16401" s="1" t="s">
        <v>16246</v>
      </c>
      <c r="C16401" t="str">
        <f>IFERROR(__xludf.DUMMYFUNCTION("GOOGLETRANSLATE(B16401, ""es"", ""en"")"),"1l 1l antipinchazos liquid at a great price, highly liquid but after reading several reviews I decided to buy it, to see the result")</f>
        <v>1l 1l antipinchazos liquid at a great price, highly liquid but after reading several reviews I decided to buy it, to see the result</v>
      </c>
    </row>
    <row r="16402">
      <c r="A16402" s="1">
        <v>5.0</v>
      </c>
      <c r="B16402" s="1" t="s">
        <v>16247</v>
      </c>
      <c r="C16402" t="str">
        <f>IFERROR(__xludf.DUMMYFUNCTION("GOOGLETRANSLATE(B16402, ""es"", ""en"")"),"Great, so far not a fault with the purchase Encantado, a comfortable tennis and beautiful, great for the gym. Best of all, after-sales service. I made the change in size within 48 hours having a holiday in the middle. Cane.")</f>
        <v>Great, so far not a fault with the purchase Encantado, a comfortable tennis and beautiful, great for the gym. Best of all, after-sales service. I made the change in size within 48 hours having a holiday in the middle. Cane.</v>
      </c>
    </row>
    <row r="16403">
      <c r="A16403" s="1">
        <v>5.0</v>
      </c>
      <c r="B16403" s="1" t="s">
        <v>16248</v>
      </c>
      <c r="C16403" t="str">
        <f>IFERROR(__xludf.DUMMYFUNCTION("GOOGLETRANSLATE(B16403, ""es"", ""en"")"),"Serve their purpose to spare Discreet and light, it is good listening and connect quickly. It's a shame they do not exist in white. Also I miss having charge indicator for quick know the remaining battery.")</f>
        <v>Serve their purpose to spare Discreet and light, it is good listening and connect quickly. It's a shame they do not exist in white. Also I miss having charge indicator for quick know the remaining battery.</v>
      </c>
    </row>
    <row r="16404">
      <c r="A16404" s="1">
        <v>5.0</v>
      </c>
      <c r="B16404" s="1" t="s">
        <v>16249</v>
      </c>
      <c r="C16404" t="str">
        <f>IFERROR(__xludf.DUMMYFUNCTION("GOOGLETRANSLATE(B16404, ""es"", ""en"")"),"Ok clock")</f>
        <v>Ok clock</v>
      </c>
    </row>
    <row r="16405">
      <c r="A16405" s="1">
        <v>5.0</v>
      </c>
      <c r="B16405" s="1" t="s">
        <v>16250</v>
      </c>
      <c r="C16405" t="str">
        <f>IFERROR(__xludf.DUMMYFUNCTION("GOOGLETRANSLATE(B16405, ""es"", ""en"")"),"Super comfortable than chandal so comfortable fabric has a super nice, very warm. I've tried and super contencta stays very cool and above all is very comfortable. The pants come with pockets, the waist is rubber and rope brings finessed and ending legs a"&amp;"re rubber too. The size comes in handy because I have a 42 and I ordered the xl but because I like orgero. I'm super happy with my tracksuit.")</f>
        <v>Super comfortable than chandal so comfortable fabric has a super nice, very warm. I've tried and super contencta stays very cool and above all is very comfortable. The pants come with pockets, the waist is rubber and rope brings finessed and ending legs are rubber too. The size comes in handy because I have a 42 and I ordered the xl but because I like orgero. I'm super happy with my tracksuit.</v>
      </c>
    </row>
    <row r="16406">
      <c r="A16406" s="1">
        <v>5.0</v>
      </c>
      <c r="B16406" s="1" t="s">
        <v>16251</v>
      </c>
      <c r="C16406" t="str">
        <f>IFERROR(__xludf.DUMMYFUNCTION("GOOGLETRANSLATE(B16406, ""es"", ""en"")"),"Functional and inexpensive Mini electric blanket with a superb touch on both sides, very soft. Has six temperature levels but is too much, 2 or 3 is more than enough, and if too hot it turns itself off. Heats very quickly, in less than 1 minute. Good subs"&amp;"tituent of the bag term to relieve &amp; nbsp; back pain as the blanket covers more body. With the elastic belt can hold the blanket around the waist and back and you can knock down smoothly. Washable puts it but I have not yet tried, bastabte the cable is lo"&amp;"ng and easy to use from the command.")</f>
        <v>Functional and inexpensive Mini electric blanket with a superb touch on both sides, very soft. Has six temperature levels but is too much, 2 or 3 is more than enough, and if too hot it turns itself off. Heats very quickly, in less than 1 minute. Good substituent of the bag term to relieve &amp; nbsp; back pain as the blanket covers more body. With the elastic belt can hold the blanket around the waist and back and you can knock down smoothly. Washable puts it but I have not yet tried, bastabte the cable is long and easy to use from the command.</v>
      </c>
    </row>
    <row r="16407">
      <c r="A16407" s="1">
        <v>5.0</v>
      </c>
      <c r="B16407" s="1" t="s">
        <v>16252</v>
      </c>
      <c r="C16407" t="str">
        <f>IFERROR(__xludf.DUMMYFUNCTION("GOOGLETRANSLATE(B16407, ""es"", ""en"")"),"Great but makes noise Bigger than I imagined. The colors are beautiful and freshens the whole dining room. A drawback is the noise, I have seen many comments made no noise and mine if you do. Otherwise. I love")</f>
        <v>Great but makes noise Bigger than I imagined. The colors are beautiful and freshens the whole dining room. A drawback is the noise, I have seen many comments made no noise and mine if you do. Otherwise. I love</v>
      </c>
    </row>
    <row r="16408">
      <c r="A16408" s="1">
        <v>2.0</v>
      </c>
      <c r="B16408" s="1" t="s">
        <v>16253</v>
      </c>
      <c r="C16408" t="str">
        <f>IFERROR(__xludf.DUMMYFUNCTION("GOOGLETRANSLATE(B16408, ""es"", ""en"")"),"Regular are very thin wires and 8 euros note that the quality is low. But for now I am using and have not given me noise or anything. Hopefully last. I would not buy if you are a professional musician.")</f>
        <v>Regular are very thin wires and 8 euros note that the quality is low. But for now I am using and have not given me noise or anything. Hopefully last. I would not buy if you are a professional musician.</v>
      </c>
    </row>
    <row r="16409">
      <c r="A16409" s="1">
        <v>3.0</v>
      </c>
      <c r="B16409" s="1" t="s">
        <v>16254</v>
      </c>
      <c r="C16409" t="str">
        <f>IFERROR(__xludf.DUMMYFUNCTION("GOOGLETRANSLATE(B16409, ""es"", ""en"")"),"Perfect blender for smoothies very fast shipping and great product. It is a perfect vessel blender smoothies! I'm delighted !! Besides the cover bearing the transport vessel makes it great !!! I wanted a second glass and wrote to the seller and answer me "&amp;"quickly that your website can get.")</f>
        <v>Perfect blender for smoothies very fast shipping and great product. It is a perfect vessel blender smoothies! I'm delighted !! Besides the cover bearing the transport vessel makes it great !!! I wanted a second glass and wrote to the seller and answer me quickly that your website can get.</v>
      </c>
    </row>
    <row r="16410">
      <c r="A16410" s="1">
        <v>1.0</v>
      </c>
      <c r="B16410" s="1" t="s">
        <v>16255</v>
      </c>
      <c r="C16410" t="str">
        <f>IFERROR(__xludf.DUMMYFUNCTION("GOOGLETRANSLATE(B16410, ""es"", ""en"")"),"Very slow in printing and heavy set Many software to install, very slow and then having to investigate for myself how to scan (another new software to install). And I start to scan and fatal, played to get into settings and tweak things. Then I start to s"&amp;"low print and no, the following (in addition to loud). In the end I decided to return it, a thousand times better my old Epson.")</f>
        <v>Very slow in printing and heavy set Many software to install, very slow and then having to investigate for myself how to scan (another new software to install). And I start to scan and fatal, played to get into settings and tweak things. Then I start to slow print and no, the following (in addition to loud). In the end I decided to return it, a thousand times better my old Epson.</v>
      </c>
    </row>
    <row r="16411">
      <c r="A16411" s="1">
        <v>1.0</v>
      </c>
      <c r="B16411" s="1" t="s">
        <v>16256</v>
      </c>
      <c r="C16411" t="str">
        <f>IFERROR(__xludf.DUMMYFUNCTION("GOOGLETRANSLATE(B16411, ""es"", ""en"")"),"Poor quality Decepcion")</f>
        <v>Poor quality Decepcion</v>
      </c>
    </row>
    <row r="16412">
      <c r="A16412" s="1">
        <v>4.0</v>
      </c>
      <c r="B16412" s="1" t="s">
        <v>16257</v>
      </c>
      <c r="C16412" t="str">
        <f>IFERROR(__xludf.DUMMYFUNCTION("GOOGLETRANSLATE(B16412, ""es"", ""en"")"),"Would definitely buy them I love them, they are elastic, fabric texture pirria me and are the size you use usually means that great")</f>
        <v>Would definitely buy them I love them, they are elastic, fabric texture pirria me and are the size you use usually means that great</v>
      </c>
    </row>
    <row r="16413">
      <c r="A16413" s="1">
        <v>4.0</v>
      </c>
      <c r="B16413" s="1" t="s">
        <v>16258</v>
      </c>
      <c r="C16413" t="str">
        <f>IFERROR(__xludf.DUMMYFUNCTION("GOOGLETRANSLATE(B16413, ""es"", ""en"")"),"Value acceptable are very comfortable and well transpire! The perfect toe, but I think q will soon spend the sole, a couple of months q I have them and go a little worn thing q other had not noticed so much .. in DEPEND q soil if wet slip a bit x otherwis"&amp;"e well")</f>
        <v>Value acceptable are very comfortable and well transpire! The perfect toe, but I think q will soon spend the sole, a couple of months q I have them and go a little worn thing q other had not noticed so much .. in DEPEND q soil if wet slip a bit x otherwise well</v>
      </c>
    </row>
    <row r="16414">
      <c r="A16414" s="1">
        <v>4.0</v>
      </c>
      <c r="B16414" s="1" t="s">
        <v>16259</v>
      </c>
      <c r="C16414" t="str">
        <f>IFERROR(__xludf.DUMMYFUNCTION("GOOGLETRANSLATE(B16414, ""es"", ""en"")"),"While shoes are good but give a little big")</f>
        <v>While shoes are good but give a little big</v>
      </c>
    </row>
    <row r="16415">
      <c r="A16415" s="1">
        <v>4.0</v>
      </c>
      <c r="B16415" s="1" t="s">
        <v>16260</v>
      </c>
      <c r="C16415" t="str">
        <f>IFERROR(__xludf.DUMMYFUNCTION("GOOGLETRANSLATE(B16415, ""es"", ""en"")"),"I do not like data transfer, go slow. He wore using the 64GB model for a year, and opt for change by one of more storage space. And what was my surprise that the 128GB model works worse than I already had. Capacity is the correct data transfer but leaves "&amp;"much to be desired, stutters and not just on a computer've tried several.")</f>
        <v>I do not like data transfer, go slow. He wore using the 64GB model for a year, and opt for change by one of more storage space. And what was my surprise that the 128GB model works worse than I already had. Capacity is the correct data transfer but leaves much to be desired, stutters and not just on a computer've tried several.</v>
      </c>
    </row>
    <row r="16416">
      <c r="A16416" s="1">
        <v>4.0</v>
      </c>
      <c r="B16416" s="1" t="s">
        <v>16261</v>
      </c>
      <c r="C16416" t="str">
        <f>IFERROR(__xludf.DUMMYFUNCTION("GOOGLETRANSLATE(B16416, ""es"", ""en"")"),"Pendrive good, fast and good price Realizing speed tests have not reached the 150 MB / s but has been close to 135 which is good reading for its size and price. It does not heat just something that happens with micro sandisk pen drives coming to burn. Rec"&amp;"ommended if you do not want something Ultrafast or very small.")</f>
        <v>Pendrive good, fast and good price Realizing speed tests have not reached the 150 MB / s but has been close to 135 which is good reading for its size and price. It does not heat just something that happens with micro sandisk pen drives coming to burn. Recommended if you do not want something Ultrafast or very small.</v>
      </c>
    </row>
    <row r="16417">
      <c r="A16417" s="1">
        <v>5.0</v>
      </c>
      <c r="B16417" s="1" t="s">
        <v>16262</v>
      </c>
      <c r="C16417" t="str">
        <f>IFERROR(__xludf.DUMMYFUNCTION("GOOGLETRANSLATE(B16417, ""es"", ""en"")"),"I'm relieved much convenient neck pain. Although I bought for me, as you can see in the pictures my cat has made his hehe. When it's cold even put my legs like a stove and going great, and the size is perfect. The good news is that you can program, so if "&amp;"you put it at night I worry not fall asleep. It also has a very soft touch, and the black being is not dirty easily, and instructions puts you can get into the washing machine. Very good buy indeed.")</f>
        <v>I'm relieved much convenient neck pain. Although I bought for me, as you can see in the pictures my cat has made his hehe. When it's cold even put my legs like a stove and going great, and the size is perfect. The good news is that you can program, so if you put it at night I worry not fall asleep. It also has a very soft touch, and the black being is not dirty easily, and instructions puts you can get into the washing machine. Very good buy indeed.</v>
      </c>
    </row>
    <row r="16418">
      <c r="A16418" s="1">
        <v>5.0</v>
      </c>
      <c r="B16418" s="1" t="s">
        <v>16263</v>
      </c>
      <c r="C16418" t="str">
        <f>IFERROR(__xludf.DUMMYFUNCTION("GOOGLETRANSLATE(B16418, ""es"", ""en"")"),"Perfect perfect buy, value for money very well, I have not had any problems and work perfectly.")</f>
        <v>Perfect perfect buy, value for money very well, I have not had any problems and work perfectly.</v>
      </c>
    </row>
    <row r="16419">
      <c r="A16419" s="1">
        <v>5.0</v>
      </c>
      <c r="B16419" s="1" t="s">
        <v>16264</v>
      </c>
      <c r="C16419" t="str">
        <f>IFERROR(__xludf.DUMMYFUNCTION("GOOGLETRANSLATE(B16419, ""es"", ""en"")"),"I love works very well and with power, easy cleaning and little noisy")</f>
        <v>I love works very well and with power, easy cleaning and little noisy</v>
      </c>
    </row>
    <row r="16420">
      <c r="A16420" s="1">
        <v>5.0</v>
      </c>
      <c r="B16420" s="1" t="s">
        <v>16265</v>
      </c>
      <c r="C16420" t="str">
        <f>IFERROR(__xludf.DUMMYFUNCTION("GOOGLETRANSLATE(B16420, ""es"", ""en"")"),"It is an iconic and reliable clock For this price, you have a clock for almost 40 years with reliability more than demonstrated. Well, nice (if you like) and cheap.")</f>
        <v>It is an iconic and reliable clock For this price, you have a clock for almost 40 years with reliability more than demonstrated. Well, nice (if you like) and cheap.</v>
      </c>
    </row>
    <row r="16421">
      <c r="A16421" s="1">
        <v>5.0</v>
      </c>
      <c r="B16421" s="1" t="s">
        <v>16266</v>
      </c>
      <c r="C16421" t="str">
        <f>IFERROR(__xludf.DUMMYFUNCTION("GOOGLETRANSLATE(B16421, ""es"", ""en"")"),"GENIALES amazing! By elmprecio buy, I say see I get for 1,09 €! ..... They are great! I take them from day one, not me off not to sleep or to shower !!! Neither wants so that took notice. Great buy .... Totally recommended ...")</f>
        <v>GENIALES amazing! By elmprecio buy, I say see I get for 1,09 €! ..... They are great! I take them from day one, not me off not to sleep or to shower !!! Neither wants so that took notice. Great buy .... Totally recommended ...</v>
      </c>
    </row>
    <row r="16422">
      <c r="A16422" s="1">
        <v>5.0</v>
      </c>
      <c r="B16422" s="1" t="s">
        <v>16267</v>
      </c>
      <c r="C16422" t="str">
        <f>IFERROR(__xludf.DUMMYFUNCTION("GOOGLETRANSLATE(B16422, ""es"", ""en"")"),"perfect quality materials .. no fault no zipper and after 3 months of daily use is like new")</f>
        <v>perfect quality materials .. no fault no zipper and after 3 months of daily use is like new</v>
      </c>
    </row>
    <row r="16423">
      <c r="A16423" s="1">
        <v>5.0</v>
      </c>
      <c r="B16423" s="1" t="s">
        <v>16268</v>
      </c>
      <c r="C16423" t="str">
        <f>IFERROR(__xludf.DUMMYFUNCTION("GOOGLETRANSLATE(B16423, ""es"", ""en"")"),"Hoodie Lion bought for a gift and the I end to buy two more as they are not removed or to shower, very good stuff, sheltering more than enough and perfect color, as shown in foto.logo therefore the obverse and the reverse.")</f>
        <v>Hoodie Lion bought for a gift and the I end to buy two more as they are not removed or to shower, very good stuff, sheltering more than enough and perfect color, as shown in foto.logo therefore the obverse and the reverse.</v>
      </c>
    </row>
    <row r="16424">
      <c r="A16424" s="1">
        <v>5.0</v>
      </c>
      <c r="B16424" s="1" t="s">
        <v>16269</v>
      </c>
      <c r="C16424" t="str">
        <f>IFERROR(__xludf.DUMMYFUNCTION("GOOGLETRANSLATE(B16424, ""es"", ""en"")"),"Slippers spectacular classic classic, and they never went out of fashion. The only flaw is that the color shown in the photos does not match what then sent. Amazon's problem the shoes itself. I have no doubt about their authenticity.")</f>
        <v>Slippers spectacular classic classic, and they never went out of fashion. The only flaw is that the color shown in the photos does not match what then sent. Amazon's problem the shoes itself. I have no doubt about their authenticity.</v>
      </c>
    </row>
    <row r="16425">
      <c r="A16425" s="1">
        <v>5.0</v>
      </c>
      <c r="B16425" s="1" t="s">
        <v>16270</v>
      </c>
      <c r="C16425" t="str">
        <f>IFERROR(__xludf.DUMMYFUNCTION("GOOGLETRANSLATE(B16425, ""es"", ""en"")"),"The best technology to run. I've spent years using these shoes. For runners above 75kg and pronation support. Those without pronation also can use them. So comfortable like a glove. The best that exists today for running races on asphalt or flat trails. T"&amp;"hey not even need to shoot. They are not about any zapas, have the best technology in terms of many different components that bears that are always evolving.")</f>
        <v>The best technology to run. I've spent years using these shoes. For runners above 75kg and pronation support. Those without pronation also can use them. So comfortable like a glove. The best that exists today for running races on asphalt or flat trails. They not even need to shoot. They are not about any zapas, have the best technology in terms of many different components that bears that are always evolving.</v>
      </c>
    </row>
    <row r="16426">
      <c r="A16426" s="1">
        <v>5.0</v>
      </c>
      <c r="B16426" s="1" t="s">
        <v>16271</v>
      </c>
      <c r="C16426" t="str">
        <f>IFERROR(__xludf.DUMMYFUNCTION("GOOGLETRANSLATE(B16426, ""es"", ""en"")"),"Excellent hard drive for backup The Seagate hard drive is excellent for making backups of your computer. It has 2 TB that can store data that you want at a great speed reading and response. The finish and quality materials are; very satisfied with the pur"&amp;"chase made.")</f>
        <v>Excellent hard drive for backup The Seagate hard drive is excellent for making backups of your computer. It has 2 TB that can store data that you want at a great speed reading and response. The finish and quality materials are; very satisfied with the purchase made.</v>
      </c>
    </row>
    <row r="16427">
      <c r="A16427" s="1">
        <v>5.0</v>
      </c>
      <c r="B16427" s="1" t="s">
        <v>16272</v>
      </c>
      <c r="C16427" t="str">
        <f>IFERROR(__xludf.DUMMYFUNCTION("GOOGLETRANSLATE(B16427, ""es"", ""en"")"),"It is not hard infinite holes punch of my dreams, had never felt so much power making holes in my sheets, a past ... has a guide to make the right holes where you want, as inconvenient cargo tank overflows easily , but nothing important.")</f>
        <v>It is not hard infinite holes punch of my dreams, had never felt so much power making holes in my sheets, a past ... has a guide to make the right holes where you want, as inconvenient cargo tank overflows easily , but nothing important.</v>
      </c>
    </row>
    <row r="16428">
      <c r="A16428" s="1">
        <v>5.0</v>
      </c>
      <c r="B16428" s="1" t="s">
        <v>16273</v>
      </c>
      <c r="C16428" t="str">
        <f>IFERROR(__xludf.DUMMYFUNCTION("GOOGLETRANSLATE(B16428, ""es"", ""en"")"),"A fantastic toy A keyboard adapted at an early age that allows them to reproduce melodies without adult help. To have fun while developing the visual and auditory memory I loved!")</f>
        <v>A fantastic toy A keyboard adapted at an early age that allows them to reproduce melodies without adult help. To have fun while developing the visual and auditory memory I loved!</v>
      </c>
    </row>
    <row r="16429">
      <c r="A16429" s="1">
        <v>5.0</v>
      </c>
      <c r="B16429" s="1" t="s">
        <v>16274</v>
      </c>
      <c r="C16429" t="str">
        <f>IFERROR(__xludf.DUMMYFUNCTION("GOOGLETRANSLATE(B16429, ""es"", ""en"")"),"The Produto Quality Good as was on the internet. Good price-Quality")</f>
        <v>The Produto Quality Good as was on the internet. Good price-Quality</v>
      </c>
    </row>
    <row r="16430">
      <c r="A16430" s="1">
        <v>5.0</v>
      </c>
      <c r="B16430" s="1" t="s">
        <v>16275</v>
      </c>
      <c r="C16430" t="str">
        <f>IFERROR(__xludf.DUMMYFUNCTION("GOOGLETRANSLATE(B16430, ""es"", ""en"")"),"Very comfortable is very comfortable and has a good hold, especially considering that the use I give it to the gym. Good quality fabric.")</f>
        <v>Very comfortable is very comfortable and has a good hold, especially considering that the use I give it to the gym. Good quality fabric.</v>
      </c>
    </row>
    <row r="16431">
      <c r="A16431" s="1">
        <v>5.0</v>
      </c>
      <c r="B16431" s="1" t="s">
        <v>16276</v>
      </c>
      <c r="C16431" t="str">
        <f>IFERROR(__xludf.DUMMYFUNCTION("GOOGLETRANSLATE(B16431, ""es"", ""en"")"),"Fast and useful This pretty well and boil fast, also has a very nice design, I find very useful because it leads to a colander to boil tea or Chinese herbs now he makes me really need. Highly recommended, but do not touch the glass burning.")</f>
        <v>Fast and useful This pretty well and boil fast, also has a very nice design, I find very useful because it leads to a colander to boil tea or Chinese herbs now he makes me really need. Highly recommended, but do not touch the glass burning.</v>
      </c>
    </row>
    <row r="16432">
      <c r="A16432" s="1">
        <v>5.0</v>
      </c>
      <c r="B16432" s="1" t="s">
        <v>16277</v>
      </c>
      <c r="C16432" t="str">
        <f>IFERROR(__xludf.DUMMYFUNCTION("GOOGLETRANSLATE(B16432, ""es"", ""en"")"),"Everything perfect all perfect as described.")</f>
        <v>Everything perfect all perfect as described.</v>
      </c>
    </row>
    <row r="16433">
      <c r="A16433" s="1">
        <v>5.0</v>
      </c>
      <c r="B16433" s="1" t="s">
        <v>16278</v>
      </c>
      <c r="C16433" t="str">
        <f>IFERROR(__xludf.DUMMYFUNCTION("GOOGLETRANSLATE(B16433, ""es"", ""en"")"),"I took very good opacity only give crystals with a cloth and finger, perfect for small jobs s")</f>
        <v>I took very good opacity only give crystals with a cloth and finger, perfect for small jobs s</v>
      </c>
    </row>
    <row r="16434">
      <c r="A16434" s="1">
        <v>5.0</v>
      </c>
      <c r="B16434" s="1" t="s">
        <v>16279</v>
      </c>
      <c r="C16434" t="str">
        <f>IFERROR(__xludf.DUMMYFUNCTION("GOOGLETRANSLATE(B16434, ""es"", ""en"")"),"Great Great Cream that gives you a relaxation in the miss after your workouts. I put it when I outputs long and the next day new coo, to recommend")</f>
        <v>Great Great Cream that gives you a relaxation in the miss after your workouts. I put it when I outputs long and the next day new coo, to recommend</v>
      </c>
    </row>
    <row r="16435">
      <c r="A16435" s="1">
        <v>5.0</v>
      </c>
      <c r="B16435" s="1" t="s">
        <v>16280</v>
      </c>
      <c r="C16435" t="str">
        <f>IFERROR(__xludf.DUMMYFUNCTION("GOOGLETRANSLATE(B16435, ""es"", ""en"")"),"A classic ... Value unbeatable price. I bought it because I was tired of each clock which will change the battery ceases to be tight (to do so must be left a pretty penny). From now on, he spent battery, or new Casio F91 W59 and ready.")</f>
        <v>A classic ... Value unbeatable price. I bought it because I was tired of each clock which will change the battery ceases to be tight (to do so must be left a pretty penny). From now on, he spent battery, or new Casio F91 W59 and ready.</v>
      </c>
    </row>
    <row r="16436">
      <c r="A16436" s="1">
        <v>2.0</v>
      </c>
      <c r="B16436" s="1" t="s">
        <v>16281</v>
      </c>
      <c r="C16436" t="str">
        <f>IFERROR(__xludf.DUMMYFUNCTION("GOOGLETRANSLATE(B16436, ""es"", ""en"")"),"Short is considerably shorter than the picture, so it is not at all well.")</f>
        <v>Short is considerably shorter than the picture, so it is not at all well.</v>
      </c>
    </row>
    <row r="16437">
      <c r="A16437" s="1">
        <v>3.0</v>
      </c>
      <c r="B16437" s="1" t="s">
        <v>16282</v>
      </c>
      <c r="C16437" t="str">
        <f>IFERROR(__xludf.DUMMYFUNCTION("GOOGLETRANSLATE(B16437, ""es"", ""en"")"),"No desace not blend smoothly with the skin, all the salt stays glued to the body and you have to remove the towel. Like I touched my shrimp.")</f>
        <v>No desace not blend smoothly with the skin, all the salt stays glued to the body and you have to remove the towel. Like I touched my shrimp.</v>
      </c>
    </row>
    <row r="16438">
      <c r="A16438" s="1">
        <v>3.0</v>
      </c>
      <c r="B16438" s="1" t="s">
        <v>16283</v>
      </c>
      <c r="C16438" t="str">
        <f>IFERROR(__xludf.DUMMYFUNCTION("GOOGLETRANSLATE(B16438, ""es"", ""en"")"),"Regulin by talla_ojo I have received no yellow laces but questions answered by the seller and says that this consignment does not carry yellow laces ....... very fair number, pedi 38 after reading all the reviews and I come ..... just they are a bit narro"&amp;"w and not as loose size as discussed in general. Otherwise I'm delighted. Devuelví it not pq is a tremendous mess")</f>
        <v>Regulin by talla_ojo I have received no yellow laces but questions answered by the seller and says that this consignment does not carry yellow laces ....... very fair number, pedi 38 after reading all the reviews and I come ..... just they are a bit narrow and not as loose size as discussed in general. Otherwise I'm delighted. Devuelví it not pq is a tremendous mess</v>
      </c>
    </row>
    <row r="16439">
      <c r="A16439" s="1">
        <v>1.0</v>
      </c>
      <c r="B16439" s="1" t="s">
        <v>16284</v>
      </c>
      <c r="C16439" t="str">
        <f>IFERROR(__xludf.DUMMYFUNCTION("GOOGLETRANSLATE(B16439, ""es"", ""en"")"),"It lasted only two months. I lasted two months, one day a noise using it sounded like when they jump fuses and began to smell of burning, not returning to work.")</f>
        <v>It lasted only two months. I lasted two months, one day a noise using it sounded like when they jump fuses and began to smell of burning, not returning to work.</v>
      </c>
    </row>
    <row r="16440">
      <c r="A16440" s="1">
        <v>1.0</v>
      </c>
      <c r="B16440" s="1" t="s">
        <v>16285</v>
      </c>
      <c r="C16440" t="str">
        <f>IFERROR(__xludf.DUMMYFUNCTION("GOOGLETRANSLATE(B16440, ""es"", ""en"")"),"Timo k It has nothing to do with what pedi, we hideous")</f>
        <v>Timo k It has nothing to do with what pedi, we hideous</v>
      </c>
    </row>
    <row r="16441">
      <c r="A16441" s="1">
        <v>1.0</v>
      </c>
      <c r="B16441" s="1" t="s">
        <v>16286</v>
      </c>
      <c r="C16441" t="str">
        <f>IFERROR(__xludf.DUMMYFUNCTION("GOOGLETRANSLATE(B16441, ""es"", ""en"")"),"The first disappointment is that the 8.8 m cable that promise, no nothing; 7.5m needed and the product that I have commanded over 6 m. misleading advertising. The second is that brush is articulated, so always plane relative to the ground, and how to put "&amp;"the cells to hard ground, if there is something on the floor with a size larger than a speck of dust, making it it will not drag and aspirated. My angiguo aspirator was stiff and the forward pass could raise some front, and instead move to the back. The t"&amp;"hird is the weight of the more tube brush set, it is impossible to raise the slightest from the ground. The fourth is the system handle having to grip the tube, it is difficult to handle, and brush takes the direction that he wants. For a product that is "&amp;"not cheap, this very bad idea; and of the cable .......")</f>
        <v>The first disappointment is that the 8.8 m cable that promise, no nothing; 7.5m needed and the product that I have commanded over 6 m. misleading advertising. The second is that brush is articulated, so always plane relative to the ground, and how to put the cells to hard ground, if there is something on the floor with a size larger than a speck of dust, making it it will not drag and aspirated. My angiguo aspirator was stiff and the forward pass could raise some front, and instead move to the back. The third is the weight of the more tube brush set, it is impossible to raise the slightest from the ground. The fourth is the system handle having to grip the tube, it is difficult to handle, and brush takes the direction that he wants. For a product that is not cheap, this very bad idea; and of the cable .......</v>
      </c>
    </row>
    <row r="16442">
      <c r="A16442" s="1">
        <v>4.0</v>
      </c>
      <c r="B16442" s="1" t="s">
        <v>16287</v>
      </c>
      <c r="C16442" t="str">
        <f>IFERROR(__xludf.DUMMYFUNCTION("GOOGLETRANSLATE(B16442, ""es"", ""en"")"),"Vnas Authentic black and white My third pair of Vans Authentic are very comfortable though not usually last me a lot, always in my Amazon purchase and shipping it is perfect and at an unbeatable price. Recommended.")</f>
        <v>Vnas Authentic black and white My third pair of Vans Authentic are very comfortable though not usually last me a lot, always in my Amazon purchase and shipping it is perfect and at an unbeatable price. Recommended.</v>
      </c>
    </row>
    <row r="16443">
      <c r="A16443" s="1">
        <v>4.0</v>
      </c>
      <c r="B16443" s="1" t="s">
        <v>16288</v>
      </c>
      <c r="C16443" t="str">
        <f>IFERROR(__xludf.DUMMYFUNCTION("GOOGLETRANSLATE(B16443, ""es"", ""en"")"),"They have pretty good presentation and have served to make a gift")</f>
        <v>They have pretty good presentation and have served to make a gift</v>
      </c>
    </row>
    <row r="16444">
      <c r="A16444" s="1">
        <v>4.0</v>
      </c>
      <c r="B16444" s="1" t="s">
        <v>16289</v>
      </c>
      <c r="C16444" t="str">
        <f>IFERROR(__xludf.DUMMYFUNCTION("GOOGLETRANSLATE(B16444, ""es"", ""en"")"),"Comfortable and recommended hook makes you not drop and are quite comfortable, for the price they are very good.")</f>
        <v>Comfortable and recommended hook makes you not drop and are quite comfortable, for the price they are very good.</v>
      </c>
    </row>
    <row r="16445">
      <c r="A16445" s="1">
        <v>4.0</v>
      </c>
      <c r="B16445" s="1" t="s">
        <v>16290</v>
      </c>
      <c r="C16445" t="str">
        <f>IFERROR(__xludf.DUMMYFUNCTION("GOOGLETRANSLATE(B16445, ""es"", ""en"")"),"Practice to clean Very practical to clean, because the bottom is removed and is very comfortable. Good buy and zz")</f>
        <v>Practice to clean Very practical to clean, because the bottom is removed and is very comfortable. Good buy and zz</v>
      </c>
    </row>
    <row r="16446">
      <c r="A16446" s="1">
        <v>4.0</v>
      </c>
      <c r="B16446" s="1" t="s">
        <v>16291</v>
      </c>
      <c r="C16446" t="str">
        <f>IFERROR(__xludf.DUMMYFUNCTION("GOOGLETRANSLATE(B16446, ""es"", ""en"")"),"Good product good product and very good price")</f>
        <v>Good product good product and very good price</v>
      </c>
    </row>
    <row r="16447">
      <c r="A16447" s="1">
        <v>5.0</v>
      </c>
      <c r="B16447" s="1" t="s">
        <v>16292</v>
      </c>
      <c r="C16447" t="str">
        <f>IFERROR(__xludf.DUMMYFUNCTION("GOOGLETRANSLATE(B16447, ""es"", ""en"")"),"Quite comfortable shoes excellent practice for the running")</f>
        <v>Quite comfortable shoes excellent practice for the running</v>
      </c>
    </row>
    <row r="16448">
      <c r="A16448" s="1">
        <v>5.0</v>
      </c>
      <c r="B16448" s="1" t="s">
        <v>16293</v>
      </c>
      <c r="C16448" t="str">
        <f>IFERROR(__xludf.DUMMYFUNCTION("GOOGLETRANSLATE(B16448, ""es"", ""en"")"),"Perfect jacket")</f>
        <v>Perfect jacket</v>
      </c>
    </row>
    <row r="16449">
      <c r="A16449" s="1">
        <v>5.0</v>
      </c>
      <c r="B16449" s="1" t="s">
        <v>16294</v>
      </c>
      <c r="C16449" t="str">
        <f>IFERROR(__xludf.DUMMYFUNCTION("GOOGLETRANSLATE(B16449, ""es"", ""en"")"),"Perfect size Bracelet")</f>
        <v>Perfect size Bracelet</v>
      </c>
    </row>
    <row r="16450">
      <c r="A16450" s="1">
        <v>5.0</v>
      </c>
      <c r="B16450" s="1" t="s">
        <v>16295</v>
      </c>
      <c r="C16450" t="str">
        <f>IFERROR(__xludf.DUMMYFUNCTION("GOOGLETRANSLATE(B16450, ""es"", ""en"")"),"128GB USB 3.0 pretty fast after reading many opinions of people who said it was false, so i was thinking of me, but if so it back by Amazon and ready. I has arrived and is original *, are 128GB x 0.9313 = 119,20GB (who I have 115,50GB) thing I can not exp"&amp;"lain the write speed is 47MB / s connected to a USB 3.0 port subendo files 3 to 4GB and the stick formatted in nTFS, would be more optimized exfat. Screen printing has put DataTraveler 100G3 128GB (top) and KINGSTON (bottom) hand comes with a partition un"&amp;"allocated 60MB to remove and then had no access to the USB flash drive, download the official website of Kingston (Kington Format Utility) and I could format (in my ntfs case) it is true that the insert this flash drive to the PC should of the Kingston lo"&amp;"go and not as a USB drive appear, but it is also true that if you reformat directly leave it well, which is not important * Pros: Price per GB, any problems takes over Amazon Cons: the speeds given capacity are not real, because if you should bring 119,20"&amp;"GB 128GB minimum and not 115,50GB. Speeds reading and writing are not indicated in the ad that puts 100 reading and 10 writing (it has more write speed and less reading) I've got 113GB of a series with no problem, actual capacity has, it works perfectly")</f>
        <v>128GB USB 3.0 pretty fast after reading many opinions of people who said it was false, so i was thinking of me, but if so it back by Amazon and ready. I has arrived and is original *, are 128GB x 0.9313 = 119,20GB (who I have 115,50GB) thing I can not explain the write speed is 47MB / s connected to a USB 3.0 port subendo files 3 to 4GB and the stick formatted in nTFS, would be more optimized exfat. Screen printing has put DataTraveler 100G3 128GB (top) and KINGSTON (bottom) hand comes with a partition unallocated 60MB to remove and then had no access to the USB flash drive, download the official website of Kingston (Kington Format Utility) and I could format (in my ntfs case) it is true that the insert this flash drive to the PC should of the Kingston logo and not as a USB drive appear, but it is also true that if you reformat directly leave it well, which is not important * Pros: Price per GB, any problems takes over Amazon Cons: the speeds given capacity are not real, because if you should bring 119,20GB 128GB minimum and not 115,50GB. Speeds reading and writing are not indicated in the ad that puts 100 reading and 10 writing (it has more write speed and less reading) I've got 113GB of a series with no problem, actual capacity has, it works perfectly</v>
      </c>
    </row>
    <row r="16451">
      <c r="A16451" s="1">
        <v>5.0</v>
      </c>
      <c r="B16451" s="1" t="s">
        <v>16296</v>
      </c>
      <c r="C16451" t="str">
        <f>IFERROR(__xludf.DUMMYFUNCTION("GOOGLETRANSLATE(B16451, ""es"", ""en"")"),"Good quality had to order one size smaller because if they give a lot. In the use they are super comfortable, the nipple is not seen and is very nice. I was delighted ask another gift.")</f>
        <v>Good quality had to order one size smaller because if they give a lot. In the use they are super comfortable, the nipple is not seen and is very nice. I was delighted ask another gift.</v>
      </c>
    </row>
    <row r="16452">
      <c r="A16452" s="1">
        <v>5.0</v>
      </c>
      <c r="B16452" s="1" t="s">
        <v>16297</v>
      </c>
      <c r="C16452" t="str">
        <f>IFERROR(__xludf.DUMMYFUNCTION("GOOGLETRANSLATE(B16452, ""es"", ""en"")"),"As is the description. We have used to make toys for our baby and we liked it.")</f>
        <v>As is the description. We have used to make toys for our baby and we liked it.</v>
      </c>
    </row>
    <row r="16453">
      <c r="A16453" s="1">
        <v>5.0</v>
      </c>
      <c r="B16453" s="1" t="s">
        <v>16298</v>
      </c>
      <c r="C16453" t="str">
        <f>IFERROR(__xludf.DUMMYFUNCTION("GOOGLETRANSLATE(B16453, ""es"", ""en"")"),"Brilliant brilliant! Fast and very nice !!")</f>
        <v>Brilliant brilliant! Fast and very nice !!</v>
      </c>
    </row>
    <row r="16454">
      <c r="A16454" s="1">
        <v>5.0</v>
      </c>
      <c r="B16454" s="1" t="s">
        <v>16299</v>
      </c>
      <c r="C16454" t="str">
        <f>IFERROR(__xludf.DUMMYFUNCTION("GOOGLETRANSLATE(B16454, ""es"", ""en"")"),"I love practice. My baby uses it a lot and it's great for autonomy. He also ordered the replacement nozzle that does not leak. Thus my baby alone drink your water or milk.")</f>
        <v>I love practice. My baby uses it a lot and it's great for autonomy. He also ordered the replacement nozzle that does not leak. Thus my baby alone drink your water or milk.</v>
      </c>
    </row>
    <row r="16455">
      <c r="A16455" s="1">
        <v>5.0</v>
      </c>
      <c r="B16455" s="1" t="s">
        <v>16300</v>
      </c>
      <c r="C16455" t="str">
        <f>IFERROR(__xludf.DUMMYFUNCTION("GOOGLETRANSLATE(B16455, ""es"", ""en"")"),"Goprohero 4 for use for GoPro Hero 4 and is luxurious. No cuts or anything like 4K recordings")</f>
        <v>Goprohero 4 for use for GoPro Hero 4 and is luxurious. No cuts or anything like 4K recordings</v>
      </c>
    </row>
    <row r="16456">
      <c r="A16456" s="1">
        <v>5.0</v>
      </c>
      <c r="B16456" s="1" t="s">
        <v>16301</v>
      </c>
      <c r="C16456" t="str">
        <f>IFERROR(__xludf.DUMMYFUNCTION("GOOGLETRANSLATE(B16456, ""es"", ""en"")"),"Good rstado good buy and in good condition miy")</f>
        <v>Good rstado good buy and in good condition miy</v>
      </c>
    </row>
    <row r="16457">
      <c r="A16457" s="1">
        <v>5.0</v>
      </c>
      <c r="B16457" s="1" t="s">
        <v>16302</v>
      </c>
      <c r="C16457" t="str">
        <f>IFERROR(__xludf.DUMMYFUNCTION("GOOGLETRANSLATE(B16457, ""es"", ""en"")"),"Comfort and safety are super comfortable and weigh nothing feet seem gloves")</f>
        <v>Comfort and safety are super comfortable and weigh nothing feet seem gloves</v>
      </c>
    </row>
    <row r="16458">
      <c r="A16458" s="1">
        <v>5.0</v>
      </c>
      <c r="B16458" s="1" t="s">
        <v>16303</v>
      </c>
      <c r="C16458" t="str">
        <f>IFERROR(__xludf.DUMMYFUNCTION("GOOGLETRANSLATE(B16458, ""es"", ""en"")"),"Comodos quality at a good price. Good price. Quality")</f>
        <v>Comodos quality at a good price. Good price. Quality</v>
      </c>
    </row>
    <row r="16459">
      <c r="A16459" s="1">
        <v>5.0</v>
      </c>
      <c r="B16459" s="1" t="s">
        <v>16304</v>
      </c>
      <c r="C16459" t="str">
        <f>IFERROR(__xludf.DUMMYFUNCTION("GOOGLETRANSLATE(B16459, ""es"", ""en"")"),"not out of place I thought that microphone so outgoing that bring would cause it might fall on your site but no, do not cause despite imbalance protruding therefore understand then that the battery's lead in the roundest part it is near the ear and the we"&amp;"ight is concentrated there. I really like how they sound and how easy it is to match them because they do themselves right out of the box, that is, if you get both make you work them, you can not get one, to be a while and then take another, so you have t"&amp;"wo loose on the list of bluetooth. Very quick to recharge in the coming season, which certainly protects them well in case of falls, and more than 3h blaring performance, good buy.")</f>
        <v>not out of place I thought that microphone so outgoing that bring would cause it might fall on your site but no, do not cause despite imbalance protruding therefore understand then that the battery's lead in the roundest part it is near the ear and the weight is concentrated there. I really like how they sound and how easy it is to match them because they do themselves right out of the box, that is, if you get both make you work them, you can not get one, to be a while and then take another, so you have two loose on the list of bluetooth. Very quick to recharge in the coming season, which certainly protects them well in case of falls, and more than 3h blaring performance, good buy.</v>
      </c>
    </row>
    <row r="16460">
      <c r="A16460" s="1">
        <v>5.0</v>
      </c>
      <c r="B16460" s="1" t="s">
        <v>16305</v>
      </c>
      <c r="C16460" t="str">
        <f>IFERROR(__xludf.DUMMYFUNCTION("GOOGLETRANSLATE(B16460, ""es"", ""en"")"),"Complies with product described Good")</f>
        <v>Complies with product described Good</v>
      </c>
    </row>
    <row r="16461">
      <c r="A16461" s="1">
        <v>5.0</v>
      </c>
      <c r="B16461" s="1" t="s">
        <v>16306</v>
      </c>
      <c r="C16461" t="str">
        <f>IFERROR(__xludf.DUMMYFUNCTION("GOOGLETRANSLATE(B16461, ""es"", ""en"")"),"Very good robot vacuum cleaner works perfectly with a low noise level compared to the Roomba. Enough suction power and so far no hitches")</f>
        <v>Very good robot vacuum cleaner works perfectly with a low noise level compared to the Roomba. Enough suction power and so far no hitches</v>
      </c>
    </row>
    <row r="16462">
      <c r="A16462" s="1">
        <v>5.0</v>
      </c>
      <c r="B16462" s="1" t="s">
        <v>16307</v>
      </c>
      <c r="C16462" t="str">
        <f>IFERROR(__xludf.DUMMYFUNCTION("GOOGLETRANSLATE(B16462, ""es"", ""en"")"),"Very good buy comfortable and beautiful")</f>
        <v>Very good buy comfortable and beautiful</v>
      </c>
    </row>
    <row r="16463">
      <c r="A16463" s="1">
        <v>5.0</v>
      </c>
      <c r="B16463" s="1" t="s">
        <v>16308</v>
      </c>
      <c r="C16463" t="str">
        <f>IFERROR(__xludf.DUMMYFUNCTION("GOOGLETRANSLATE(B16463, ""es"", ""en"")"),"Zapatiilas comfort comfortable. As I expected")</f>
        <v>Zapatiilas comfort comfortable. As I expected</v>
      </c>
    </row>
    <row r="16464">
      <c r="A16464" s="1">
        <v>5.0</v>
      </c>
      <c r="B16464" s="1" t="s">
        <v>16309</v>
      </c>
      <c r="C16464" t="str">
        <f>IFERROR(__xludf.DUMMYFUNCTION("GOOGLETRANSLATE(B16464, ""es"", ""en"")"),"All right. Fast shipping mrca I think makes paying too much but I go well i are comfortable. It might be lowered")</f>
        <v>All right. Fast shipping mrca I think makes paying too much but I go well i are comfortable. It might be lowered</v>
      </c>
    </row>
    <row r="16465">
      <c r="A16465" s="1">
        <v>2.0</v>
      </c>
      <c r="B16465" s="1" t="s">
        <v>16310</v>
      </c>
      <c r="C16465" t="str">
        <f>IFERROR(__xludf.DUMMYFUNCTION("GOOGLETRANSLATE(B16465, ""es"", ""en"")"),"Problem template &lt;div id = ""video-block-R2VGV103T1J76O"" class = ""a-section a-spacing-small a-spacing-top mini video-block""&gt; &lt;/ div&gt; &lt;input type = ""hidden"" name = """" value = ""https://images-eu.ssl-images-amazon.com/images/I/91AbXfSSVJS.mp4"" class"&amp;" = ""video-url""&gt; &lt;input type = ""hidden"" name = """" value = ""https://images-eu.ssl-images-amazon.com/images/I/A1rlXJRXwmS.png"" class = ""video-slate-img-url""&gt; &amp; nbsp; not quite two months had made the purchase and he was pleased with the comfort, in"&amp;" fact they were like a glove, and suddenly a super annoying ajujero emerged in the template of the two shoes that bothers me so much that I can not use. And something similar happened to me with other shoes of the same brand but the holes emerged after a "&amp;"year at least.")</f>
        <v>Problem template &lt;div id = "video-block-R2VGV103T1J76O" class = "a-section a-spacing-small a-spacing-top mini video-block"&gt; &lt;/ div&gt; &lt;input type = "hidden" name = "" value = "https://images-eu.ssl-images-amazon.com/images/I/91AbXfSSVJS.mp4" class = "video-url"&gt; &lt;input type = "hidden" name = "" value = "https://images-eu.ssl-images-amazon.com/images/I/A1rlXJRXwmS.png" class = "video-slate-img-url"&gt; &amp; nbsp; not quite two months had made the purchase and he was pleased with the comfort, in fact they were like a glove, and suddenly a super annoying ajujero emerged in the template of the two shoes that bothers me so much that I can not use. And something similar happened to me with other shoes of the same brand but the holes emerged after a year at least.</v>
      </c>
    </row>
    <row r="16466">
      <c r="A16466" s="1">
        <v>3.0</v>
      </c>
      <c r="B16466" s="1" t="s">
        <v>16311</v>
      </c>
      <c r="C16466" t="str">
        <f>IFERROR(__xludf.DUMMYFUNCTION("GOOGLETRANSLATE(B16466, ""es"", ""en"")"),"It is highly recommended so that it appears in the photo and is very nice")</f>
        <v>It is highly recommended so that it appears in the photo and is very nice</v>
      </c>
    </row>
    <row r="16467">
      <c r="A16467" s="1">
        <v>3.0</v>
      </c>
      <c r="B16467" s="1" t="s">
        <v>16312</v>
      </c>
      <c r="C16467" t="str">
        <f>IFERROR(__xludf.DUMMYFUNCTION("GOOGLETRANSLATE(B16467, ""es"", ""en"")"),"one mazacote too large boot, too rigid. Not a comfortable boot and I left over 3 finger tip and 1 wide. I had to return them.")</f>
        <v>one mazacote too large boot, too rigid. Not a comfortable boot and I left over 3 finger tip and 1 wide. I had to return them.</v>
      </c>
    </row>
    <row r="16468">
      <c r="A16468" s="1">
        <v>3.0</v>
      </c>
      <c r="B16468" s="1" t="s">
        <v>16313</v>
      </c>
      <c r="C16468" t="str">
        <f>IFERROR(__xludf.DUMMYFUNCTION("GOOGLETRANSLATE(B16468, ""es"", ""en"")"),"Are comfortable to wear size it is fine. But the ""pebbles"" look very artificial. For the price it's fine.")</f>
        <v>Are comfortable to wear size it is fine. But the "pebbles" look very artificial. For the price it's fine.</v>
      </c>
    </row>
    <row r="16469">
      <c r="A16469" s="1">
        <v>1.0</v>
      </c>
      <c r="B16469" s="1" t="s">
        <v>16314</v>
      </c>
      <c r="C16469" t="str">
        <f>IFERROR(__xludf.DUMMYFUNCTION("GOOGLETRANSLATE(B16469, ""es"", ""en"")"),"Poor quality Very bad, so good they say they are ... milk comes off the teat and is a joke !!! Do not buy more of this brand. The best are the NUK glass")</f>
        <v>Poor quality Very bad, so good they say they are ... milk comes off the teat and is a joke !!! Do not buy more of this brand. The best are the NUK glass</v>
      </c>
    </row>
    <row r="16470">
      <c r="A16470" s="1">
        <v>1.0</v>
      </c>
      <c r="B16470" s="1" t="s">
        <v>16315</v>
      </c>
      <c r="C16470" t="str">
        <f>IFERROR(__xludf.DUMMYFUNCTION("GOOGLETRANSLATE(B16470, ""es"", ""en"")"),"The numbers do not see a damn !!! As out of the box could not see the digits, or anything, for that you put the watch avoiding glare and light enough, even with the inner light that brings not seen or cake else .... I have not come to try it because it go"&amp;"es back to the store !!!!")</f>
        <v>The numbers do not see a damn !!! As out of the box could not see the digits, or anything, for that you put the watch avoiding glare and light enough, even with the inner light that brings not seen or cake else .... I have not come to try it because it goes back to the store !!!!</v>
      </c>
    </row>
    <row r="16471">
      <c r="A16471" s="1">
        <v>4.0</v>
      </c>
      <c r="B16471" s="1" t="s">
        <v>16316</v>
      </c>
      <c r="C16471" t="str">
        <f>IFERROR(__xludf.DUMMYFUNCTION("GOOGLETRANSLATE(B16471, ""es"", ""en"")"),"Comfort, support and adaptation Very comfortable and good grip.")</f>
        <v>Comfort, support and adaptation Very comfortable and good grip.</v>
      </c>
    </row>
    <row r="16472">
      <c r="A16472" s="1">
        <v>4.0</v>
      </c>
      <c r="B16472" s="1" t="s">
        <v>16317</v>
      </c>
      <c r="C16472" t="str">
        <f>IFERROR(__xludf.DUMMYFUNCTION("GOOGLETRANSLATE(B16472, ""es"", ""en"")"),"Good Value")</f>
        <v>Good Value</v>
      </c>
    </row>
    <row r="16473">
      <c r="A16473" s="1">
        <v>4.0</v>
      </c>
      <c r="B16473" s="1" t="s">
        <v>16318</v>
      </c>
      <c r="C16473" t="str">
        <f>IFERROR(__xludf.DUMMYFUNCTION("GOOGLETRANSLATE(B16473, ""es"", ""en"")"),"They are nice but expensive sneakers with laces that have good finishes and good quality. They are made of canvas very breathable, also they have a good tread and the seams seem strong, which is important for me to look at this type of slippers, because t"&amp;"he use daily and usually peel off over time. The design is simple but beautiful, fit well with any look summery. The've used several days already and are very comfortable. What I disliked is the price as it seems excessive for a cloth slippers, though as "&amp;"yet paid the mark.")</f>
        <v>They are nice but expensive sneakers with laces that have good finishes and good quality. They are made of canvas very breathable, also they have a good tread and the seams seem strong, which is important for me to look at this type of slippers, because the use daily and usually peel off over time. The design is simple but beautiful, fit well with any look summery. The've used several days already and are very comfortable. What I disliked is the price as it seems excessive for a cloth slippers, though as yet paid the mark.</v>
      </c>
    </row>
    <row r="16474">
      <c r="A16474" s="1">
        <v>4.0</v>
      </c>
      <c r="B16474" s="1" t="s">
        <v>16319</v>
      </c>
      <c r="C16474" t="str">
        <f>IFERROR(__xludf.DUMMYFUNCTION("GOOGLETRANSLATE(B16474, ""es"", ""en"")"),"Comfortable and good bought it, I used another pair equally well adidas and I lasted many years, I have several models almost all offers from Amazon and my son is growing now it worth yours, I bought the result as I got good and if they last like previous"&amp;" ones, will lay the almost certain.")</f>
        <v>Comfortable and good bought it, I used another pair equally well adidas and I lasted many years, I have several models almost all offers from Amazon and my son is growing now it worth yours, I bought the result as I got good and if they last like previous ones, will lay the almost certain.</v>
      </c>
    </row>
    <row r="16475">
      <c r="A16475" s="1">
        <v>4.0</v>
      </c>
      <c r="B16475" s="1" t="s">
        <v>16320</v>
      </c>
      <c r="C16475" t="str">
        <f>IFERROR(__xludf.DUMMYFUNCTION("GOOGLETRANSLATE(B16475, ""es"", ""en"")"),"Comfort are very comfortable")</f>
        <v>Comfort are very comfortable</v>
      </c>
    </row>
    <row r="16476">
      <c r="A16476" s="1">
        <v>5.0</v>
      </c>
      <c r="B16476" s="1" t="s">
        <v>16321</v>
      </c>
      <c r="C16476" t="str">
        <f>IFERROR(__xludf.DUMMYFUNCTION("GOOGLETRANSLATE(B16476, ""es"", ""en"")"),"Great! Ideal to carry all your stuff on holiday.")</f>
        <v>Great! Ideal to carry all your stuff on holiday.</v>
      </c>
    </row>
    <row r="16477">
      <c r="A16477" s="1">
        <v>5.0</v>
      </c>
      <c r="B16477" s="1" t="s">
        <v>16322</v>
      </c>
      <c r="C16477" t="str">
        <f>IFERROR(__xludf.DUMMYFUNCTION("GOOGLETRANSLATE(B16477, ""es"", ""en"")"),"ALL PERFECT shipping fast as committed. Product in perfect condition, as was expected.")</f>
        <v>ALL PERFECT shipping fast as committed. Product in perfect condition, as was expected.</v>
      </c>
    </row>
    <row r="16478">
      <c r="A16478" s="1">
        <v>5.0</v>
      </c>
      <c r="B16478" s="1" t="s">
        <v>16323</v>
      </c>
      <c r="C16478" t="str">
        <f>IFERROR(__xludf.DUMMYFUNCTION("GOOGLETRANSLATE(B16478, ""es"", ""en"")"),"Super cool'm very happy with the product")</f>
        <v>Super cool'm very happy with the product</v>
      </c>
    </row>
    <row r="16479">
      <c r="A16479" s="1">
        <v>5.0</v>
      </c>
      <c r="B16479" s="1" t="s">
        <v>16324</v>
      </c>
      <c r="C16479" t="str">
        <f>IFERROR(__xludf.DUMMYFUNCTION("GOOGLETRANSLATE(B16479, ""es"", ""en"")"),"It is comfortable. Has weight, which is good because it prevents from moving too much, the quality of materials is very good especially for the price it has.")</f>
        <v>It is comfortable. Has weight, which is good because it prevents from moving too much, the quality of materials is very good especially for the price it has.</v>
      </c>
    </row>
    <row r="16480">
      <c r="A16480" s="1">
        <v>5.0</v>
      </c>
      <c r="B16480" s="1" t="s">
        <v>16325</v>
      </c>
      <c r="C16480" t="str">
        <f>IFERROR(__xludf.DUMMYFUNCTION("GOOGLETRANSLATE(B16480, ""es"", ""en"")"),"Quality / price ratio Excellent quality and price. Punctuality and correct size according to table description.")</f>
        <v>Quality / price ratio Excellent quality and price. Punctuality and correct size according to table description.</v>
      </c>
    </row>
    <row r="16481">
      <c r="A16481" s="1">
        <v>5.0</v>
      </c>
      <c r="B16481" s="1" t="s">
        <v>16326</v>
      </c>
      <c r="C16481" t="str">
        <f>IFERROR(__xludf.DUMMYFUNCTION("GOOGLETRANSLATE(B16481, ""es"", ""en"")"),"A very good quality, although look a little dull, when you use are completely transparent. I tried other and how are you none are left, from the most recommended")</f>
        <v>A very good quality, although look a little dull, when you use are completely transparent. I tried other and how are you none are left, from the most recommended</v>
      </c>
    </row>
    <row r="16482">
      <c r="A16482" s="1">
        <v>5.0</v>
      </c>
      <c r="B16482" s="1" t="s">
        <v>16327</v>
      </c>
      <c r="C16482" t="str">
        <f>IFERROR(__xludf.DUMMYFUNCTION("GOOGLETRANSLATE(B16482, ""es"", ""en"")"),"Good Value Good Value. He did not need much storage capacity so I opted for something small and inexpensive and it does its job at a good price. The metallic finish is pretty cool")</f>
        <v>Good Value Good Value. He did not need much storage capacity so I opted for something small and inexpensive and it does its job at a good price. The metallic finish is pretty cool</v>
      </c>
    </row>
    <row r="16483">
      <c r="A16483" s="1">
        <v>5.0</v>
      </c>
      <c r="B16483" s="1" t="s">
        <v>16328</v>
      </c>
      <c r="C16483" t="str">
        <f>IFERROR(__xludf.DUMMYFUNCTION("GOOGLETRANSLATE(B16483, ""es"", ""en"")"),"coffee is rich riquisimo The coffee is tiny and does not espacio.Me encanta.Y leaves a scent riquísimo.Con bosch never go wrong is the best I've had.")</f>
        <v>coffee is rich riquisimo The coffee is tiny and does not espacio.Me encanta.Y leaves a scent riquísimo.Con bosch never go wrong is the best I've had.</v>
      </c>
    </row>
    <row r="16484">
      <c r="A16484" s="1">
        <v>5.0</v>
      </c>
      <c r="B16484" s="1" t="s">
        <v>16329</v>
      </c>
      <c r="C16484" t="str">
        <f>IFERROR(__xludf.DUMMYFUNCTION("GOOGLETRANSLATE(B16484, ""es"", ""en"")"),"Nice but small and shopped for Christmas is nice but smaller than I thought")</f>
        <v>Nice but small and shopped for Christmas is nice but smaller than I thought</v>
      </c>
    </row>
    <row r="16485">
      <c r="A16485" s="1">
        <v>5.0</v>
      </c>
      <c r="B16485" s="1" t="s">
        <v>16330</v>
      </c>
      <c r="C16485" t="str">
        <f>IFERROR(__xludf.DUMMYFUNCTION("GOOGLETRANSLATE(B16485, ""es"", ""en"")"),"PERFECT FOR CLEAN CRYSTALS COMFORTABLY DIFFICULT TO GET WHAT HE PUT ON THE POLE, AND VA PHENOMENAL, practical, comfortable, easy to clean, and drag it very well by the glass.")</f>
        <v>PERFECT FOR CLEAN CRYSTALS COMFORTABLY DIFFICULT TO GET WHAT HE PUT ON THE POLE, AND VA PHENOMENAL, practical, comfortable, easy to clean, and drag it very well by the glass.</v>
      </c>
    </row>
    <row r="16486">
      <c r="A16486" s="1">
        <v>5.0</v>
      </c>
      <c r="B16486" s="1" t="s">
        <v>16331</v>
      </c>
      <c r="C16486" t="str">
        <f>IFERROR(__xludf.DUMMYFUNCTION("GOOGLETRANSLATE(B16486, ""es"", ""en"")"),"Encntado I really liked the blender is very practical and you can take the bottle anywhere. Esty very sastifecho")</f>
        <v>Encntado I really liked the blender is very practical and you can take the bottle anywhere. Esty very sastifecho</v>
      </c>
    </row>
    <row r="16487">
      <c r="A16487" s="1">
        <v>5.0</v>
      </c>
      <c r="B16487" s="1" t="s">
        <v>16332</v>
      </c>
      <c r="C16487" t="str">
        <f>IFERROR(__xludf.DUMMYFUNCTION("GOOGLETRANSLATE(B16487, ""es"", ""en"")"),"Quality unbeatable price Very nice and simple")</f>
        <v>Quality unbeatable price Very nice and simple</v>
      </c>
    </row>
    <row r="16488">
      <c r="A16488" s="1">
        <v>5.0</v>
      </c>
      <c r="B16488" s="1" t="s">
        <v>16333</v>
      </c>
      <c r="C16488" t="str">
        <f>IFERROR(__xludf.DUMMYFUNCTION("GOOGLETRANSLATE(B16488, ""es"", ""en"")"),"From ""does not work"" ""Love it!"" When I received this product did not work, it does not set in motion. Amazon wrote a commentary explaining and seller (poweradd) contacted me to offer me a new product I received two days. Now, after trying the blender "&amp;"several times I can say that now works perfectly and I really like. I use it to make smoothies and are perfect. I like how easy it is, texture with smoothies and you can put everything in the dishwasher. I want to highlight the excellent attention to the "&amp;"client poweradd. They wanted to make sure I had a good experience with the product and have ensured that. Certainly they have earned my trust. This was the first message I wrote, I leave it so you can see all history. ""I just follow the procedure to retu"&amp;"rn this product because it does not work, it just does not get up to the spin the wheel to select speed, this mixer moves but not started. we've tried different plugs just in case but did not work in either. in a few days will come to pick her up. """)</f>
        <v>From "does not work" "Love it!" When I received this product did not work, it does not set in motion. Amazon wrote a commentary explaining and seller (poweradd) contacted me to offer me a new product I received two days. Now, after trying the blender several times I can say that now works perfectly and I really like. I use it to make smoothies and are perfect. I like how easy it is, texture with smoothies and you can put everything in the dishwasher. I want to highlight the excellent attention to the client poweradd. They wanted to make sure I had a good experience with the product and have ensured that. Certainly they have earned my trust. This was the first message I wrote, I leave it so you can see all history. "I just follow the procedure to return this product because it does not work, it just does not get up to the spin the wheel to select speed, this mixer moves but not started. we've tried different plugs just in case but did not work in either. in a few days will come to pick her up. "</v>
      </c>
    </row>
    <row r="16489">
      <c r="A16489" s="1">
        <v>5.0</v>
      </c>
      <c r="B16489" s="1" t="s">
        <v>16334</v>
      </c>
      <c r="C16489" t="str">
        <f>IFERROR(__xludf.DUMMYFUNCTION("GOOGLETRANSLATE(B16489, ""es"", ""en"")"),"Perfect is a very good product and Amazon has it at a great price!")</f>
        <v>Perfect is a very good product and Amazon has it at a great price!</v>
      </c>
    </row>
    <row r="16490">
      <c r="A16490" s="1">
        <v>5.0</v>
      </c>
      <c r="B16490" s="1" t="s">
        <v>16335</v>
      </c>
      <c r="C16490" t="str">
        <f>IFERROR(__xludf.DUMMYFUNCTION("GOOGLETRANSLATE(B16490, ""es"", ""en"")"),"Perfect Glue very bueba quality, really strong glue.")</f>
        <v>Perfect Glue very bueba quality, really strong glue.</v>
      </c>
    </row>
    <row r="16491">
      <c r="A16491" s="1">
        <v>5.0</v>
      </c>
      <c r="B16491" s="1" t="s">
        <v>16336</v>
      </c>
      <c r="C16491" t="str">
        <f>IFERROR(__xludf.DUMMYFUNCTION("GOOGLETRANSLATE(B16491, ""es"", ""en"")"),"The perfect sound more desirable sound is great! Both bass and sound in general; plus noise cancellation is very good. Finishing headphones also very good. Very useful to indicate charging base (of the two headphones separately). It is possible to load se"&amp;"veral times and the battery lasts enough. They fit very well to the ear. / Quality very good price; so far the best I've had")</f>
        <v>The perfect sound more desirable sound is great! Both bass and sound in general; plus noise cancellation is very good. Finishing headphones also very good. Very useful to indicate charging base (of the two headphones separately). It is possible to load several times and the battery lasts enough. They fit very well to the ear. / Quality very good price; so far the best I've had</v>
      </c>
    </row>
    <row r="16492">
      <c r="A16492" s="1">
        <v>5.0</v>
      </c>
      <c r="B16492" s="1" t="s">
        <v>16337</v>
      </c>
      <c r="C16492" t="str">
        <f>IFERROR(__xludf.DUMMYFUNCTION("GOOGLETRANSLATE(B16492, ""es"", ""en"")"),"Light Product price unbeatable quality, lightweight waterproof shelters")</f>
        <v>Light Product price unbeatable quality, lightweight waterproof shelters</v>
      </c>
    </row>
    <row r="16493">
      <c r="A16493" s="1">
        <v>5.0</v>
      </c>
      <c r="B16493" s="1" t="s">
        <v>16338</v>
      </c>
      <c r="C16493" t="str">
        <f>IFERROR(__xludf.DUMMYFUNCTION("GOOGLETRANSLATE(B16493, ""es"", ""en"")"),"Very good very comfortable but fresh Son are not. Winter luxury.")</f>
        <v>Very good very comfortable but fresh Son are not. Winter luxury.</v>
      </c>
    </row>
    <row r="16494">
      <c r="A16494" s="1">
        <v>5.0</v>
      </c>
      <c r="B16494" s="1" t="s">
        <v>16339</v>
      </c>
      <c r="C16494" t="str">
        <f>IFERROR(__xludf.DUMMYFUNCTION("GOOGLETRANSLATE(B16494, ""es"", ""en"")"),"👍 Very good")</f>
        <v>👍 Very good</v>
      </c>
    </row>
    <row r="16495">
      <c r="A16495" s="1">
        <v>2.0</v>
      </c>
      <c r="B16495" s="1" t="s">
        <v>16340</v>
      </c>
      <c r="C16495" t="str">
        <f>IFERROR(__xludf.DUMMYFUNCTION("GOOGLETRANSLATE(B16495, ""es"", ""en"")"),"Nothing! Nothing you comfortable, sorry")</f>
        <v>Nothing! Nothing you comfortable, sorry</v>
      </c>
    </row>
    <row r="16496">
      <c r="A16496" s="1">
        <v>3.0</v>
      </c>
      <c r="B16496" s="1" t="s">
        <v>16341</v>
      </c>
      <c r="C16496" t="str">
        <f>IFERROR(__xludf.DUMMYFUNCTION("GOOGLETRANSLATE(B16496, ""es"", ""en"")"),"Sizes As always Salomon Salomon small size very small. You have to ask at least one more number than usual, or maybe two more numbers to bring a comfortable shoes. Otherwise good shoes.")</f>
        <v>Sizes As always Salomon Salomon small size very small. You have to ask at least one more number than usual, or maybe two more numbers to bring a comfortable shoes. Otherwise good shoes.</v>
      </c>
    </row>
    <row r="16497">
      <c r="A16497" s="1">
        <v>1.0</v>
      </c>
      <c r="B16497" s="1" t="s">
        <v>16342</v>
      </c>
      <c r="C16497" t="str">
        <f>IFERROR(__xludf.DUMMYFUNCTION("GOOGLETRANSLATE(B16497, ""es"", ""en"")"),"Poor quality guile turns black in two days")</f>
        <v>Poor quality guile turns black in two days</v>
      </c>
    </row>
    <row r="16498">
      <c r="A16498" s="1">
        <v>1.0</v>
      </c>
      <c r="B16498" s="1" t="s">
        <v>16343</v>
      </c>
      <c r="C16498" t="str">
        <f>IFERROR(__xludf.DUMMYFUNCTION("GOOGLETRANSLATE(B16498, ""es"", ""en"")"),"Fatal leaking a lot. I bought them because the range and glass I will fine but these 3 uses drip and stain to the baby. Trickles while there q switch to the whole baby clothes. Very bad experience")</f>
        <v>Fatal leaking a lot. I bought them because the range and glass I will fine but these 3 uses drip and stain to the baby. Trickles while there q switch to the whole baby clothes. Very bad experience</v>
      </c>
    </row>
    <row r="16499">
      <c r="A16499" s="1">
        <v>4.0</v>
      </c>
      <c r="B16499" s="1" t="s">
        <v>16344</v>
      </c>
      <c r="C16499" t="str">
        <f>IFERROR(__xludf.DUMMYFUNCTION("GOOGLETRANSLATE(B16499, ""es"", ""en"")"),"Good value and price is good quality and well finished. Accessories are useful in the assembly. I was satisfied with the purchase.")</f>
        <v>Good value and price is good quality and well finished. Accessories are useful in the assembly. I was satisfied with the purchase.</v>
      </c>
    </row>
    <row r="16500">
      <c r="A16500" s="1">
        <v>4.0</v>
      </c>
      <c r="B16500" s="1" t="s">
        <v>16345</v>
      </c>
      <c r="C16500" t="str">
        <f>IFERROR(__xludf.DUMMYFUNCTION("GOOGLETRANSLATE(B16500, ""es"", ""en"")"),"Okay utility product for the price.")</f>
        <v>Okay utility product for the price.</v>
      </c>
    </row>
    <row r="16501">
      <c r="A16501" s="1">
        <v>4.0</v>
      </c>
      <c r="B16501" s="1" t="s">
        <v>16346</v>
      </c>
      <c r="C16501" t="str">
        <f>IFERROR(__xludf.DUMMYFUNCTION("GOOGLETRANSLATE(B16501, ""es"", ""en"")"),"Quiet and fast I liked the size and speed silence. They should support insttalalo as a support for internal disk and not have to make another purchase. With the price you have the disk and what it costs might well include support for the purchase. The pri"&amp;"ce is correct. Please do not ask me to rate the product 5 times as they have done with other products I bought!")</f>
        <v>Quiet and fast I liked the size and speed silence. They should support insttalalo as a support for internal disk and not have to make another purchase. With the price you have the disk and what it costs might well include support for the purchase. The price is correct. Please do not ask me to rate the product 5 times as they have done with other products I bought!</v>
      </c>
    </row>
    <row r="16502">
      <c r="A16502" s="1">
        <v>4.0</v>
      </c>
      <c r="B16502" s="1" t="s">
        <v>16347</v>
      </c>
      <c r="C16502" t="str">
        <f>IFERROR(__xludf.DUMMYFUNCTION("GOOGLETRANSLATE(B16502, ""es"", ""en"")"),"Simplicity Easy to use")</f>
        <v>Simplicity Easy to use</v>
      </c>
    </row>
    <row r="16503">
      <c r="A16503" s="1">
        <v>5.0</v>
      </c>
      <c r="B16503" s="1" t="s">
        <v>16348</v>
      </c>
      <c r="C16503" t="str">
        <f>IFERROR(__xludf.DUMMYFUNCTION("GOOGLETRANSLATE(B16503, ""es"", ""en"")"),"Perfect! Very elegant and above all very comfortable.")</f>
        <v>Perfect! Very elegant and above all very comfortable.</v>
      </c>
    </row>
    <row r="16504">
      <c r="A16504" s="1">
        <v>5.0</v>
      </c>
      <c r="B16504" s="1" t="s">
        <v>16349</v>
      </c>
      <c r="C16504" t="str">
        <f>IFERROR(__xludf.DUMMYFUNCTION("GOOGLETRANSLATE(B16504, ""es"", ""en"")"),"It works excellent buy for xiaomi mibox.Muy perfeccón good speed, not low at all performance. I recommend it without any hesitation.")</f>
        <v>It works excellent buy for xiaomi mibox.Muy perfeccón good speed, not low at all performance. I recommend it without any hesitation.</v>
      </c>
    </row>
    <row r="16505">
      <c r="A16505" s="1">
        <v>5.0</v>
      </c>
      <c r="B16505" s="1" t="s">
        <v>16350</v>
      </c>
      <c r="C16505" t="str">
        <f>IFERROR(__xludf.DUMMYFUNCTION("GOOGLETRANSLATE(B16505, ""es"", ""en"")"),"A true classic I bought a pair for my dwarves. They are delighted with their watches for over half a year ago and, as is usual with these Casio, probably for a few years. No problem.")</f>
        <v>A true classic I bought a pair for my dwarves. They are delighted with their watches for over half a year ago and, as is usual with these Casio, probably for a few years. No problem.</v>
      </c>
    </row>
    <row r="16506">
      <c r="A16506" s="1">
        <v>5.0</v>
      </c>
      <c r="B16506" s="1" t="s">
        <v>16351</v>
      </c>
      <c r="C16506" t="str">
        <f>IFERROR(__xludf.DUMMYFUNCTION("GOOGLETRANSLATE(B16506, ""es"", ""en"")"),"Very good wanted a blender for fruit smoothies me to take me to the gym is great because I biene 2 glasses brings you to always have one clean are very comfortable and very light for my perfect blade cut very well momento.Me like quite.")</f>
        <v>Very good wanted a blender for fruit smoothies me to take me to the gym is great because I biene 2 glasses brings you to always have one clean are very comfortable and very light for my perfect blade cut very well momento.Me like quite.</v>
      </c>
    </row>
    <row r="16507">
      <c r="A16507" s="1">
        <v>5.0</v>
      </c>
      <c r="B16507" s="1" t="s">
        <v>16352</v>
      </c>
      <c r="C16507" t="str">
        <f>IFERROR(__xludf.DUMMYFUNCTION("GOOGLETRANSLATE(B16507, ""es"", ""en"")"),"I love great capacity. I usually travel a lot by train and always carry with me both work and leisure. In my iPad it works perfectly and application has never given me problems. In addition I love the design!")</f>
        <v>I love great capacity. I usually travel a lot by train and always carry with me both work and leisure. In my iPad it works perfectly and application has never given me problems. In addition I love the design!</v>
      </c>
    </row>
    <row r="16508">
      <c r="A16508" s="1">
        <v>5.0</v>
      </c>
      <c r="B16508" s="1" t="s">
        <v>16353</v>
      </c>
      <c r="C16508" t="str">
        <f>IFERROR(__xludf.DUMMYFUNCTION("GOOGLETRANSLATE(B16508, ""es"", ""en"")"),"product quality and speed of delivery is a good shoe fits me well")</f>
        <v>product quality and speed of delivery is a good shoe fits me well</v>
      </c>
    </row>
    <row r="16509">
      <c r="A16509" s="1">
        <v>5.0</v>
      </c>
      <c r="B16509" s="1" t="s">
        <v>16354</v>
      </c>
      <c r="C16509" t="str">
        <f>IFERROR(__xludf.DUMMYFUNCTION("GOOGLETRANSLATE(B16509, ""es"", ""en"")"),"Chandal very nice I like very much. It's perfect for this time since it is fine. It is very nice place. The jacket is the cortitas and I like how it fits looks good fabric. Sizes come in handy. I still perfect")</f>
        <v>Chandal very nice I like very much. It's perfect for this time since it is fine. It is very nice place. The jacket is the cortitas and I like how it fits looks good fabric. Sizes come in handy. I still perfect</v>
      </c>
    </row>
    <row r="16510">
      <c r="A16510" s="1">
        <v>5.0</v>
      </c>
      <c r="B16510" s="1" t="s">
        <v>16355</v>
      </c>
      <c r="C16510" t="str">
        <f>IFERROR(__xludf.DUMMYFUNCTION("GOOGLETRANSLATE(B16510, ""es"", ""en"")"),"The size is perfect for my use zippers are strong, I use it to carry the wallet and mobile, no need más.No wanted a large size, with this I basta.No is leather, but of a strong fabric and test the water.")</f>
        <v>The size is perfect for my use zippers are strong, I use it to carry the wallet and mobile, no need más.No wanted a large size, with this I basta.No is leather, but of a strong fabric and test the water.</v>
      </c>
    </row>
    <row r="16511">
      <c r="A16511" s="1">
        <v>5.0</v>
      </c>
      <c r="B16511" s="1" t="s">
        <v>16356</v>
      </c>
      <c r="C16511" t="str">
        <f>IFERROR(__xludf.DUMMYFUNCTION("GOOGLETRANSLATE(B16511, ""es"", ""en"")"),"Quality, Safety, works Size, quality manufacturing. Baby adaptation.")</f>
        <v>Quality, Safety, works Size, quality manufacturing. Baby adaptation.</v>
      </c>
    </row>
    <row r="16512">
      <c r="A16512" s="1">
        <v>5.0</v>
      </c>
      <c r="B16512" s="1" t="s">
        <v>42</v>
      </c>
      <c r="C16512" t="str">
        <f>IFERROR(__xludf.DUMMYFUNCTION("GOOGLETRANSLATE(B16512, ""es"", ""en"")"),"Well well")</f>
        <v>Well well</v>
      </c>
    </row>
    <row r="16513">
      <c r="A16513" s="1">
        <v>5.0</v>
      </c>
      <c r="B16513" s="1" t="s">
        <v>16357</v>
      </c>
      <c r="C16513" t="str">
        <f>IFERROR(__xludf.DUMMYFUNCTION("GOOGLETRANSLATE(B16513, ""es"", ""en"")"),"Great from the first moment the chocks are girded like a glove, soft light and comfortable, foot work and recommend.")</f>
        <v>Great from the first moment the chocks are girded like a glove, soft light and comfortable, foot work and recommend.</v>
      </c>
    </row>
    <row r="16514">
      <c r="A16514" s="1">
        <v>5.0</v>
      </c>
      <c r="B16514" s="1" t="s">
        <v>16358</v>
      </c>
      <c r="C16514" t="str">
        <f>IFERROR(__xludf.DUMMYFUNCTION("GOOGLETRANSLATE(B16514, ""es"", ""en"")"),"Ideal jacket for rain, wind and cold very happy with the purchase. M perfect size for a height of 1.90 and 83 kgs. The only downside is that it has inside pocket. I can not provide more details because it was a gift and has not yet had occasion to use it.")</f>
        <v>Ideal jacket for rain, wind and cold very happy with the purchase. M perfect size for a height of 1.90 and 83 kgs. The only downside is that it has inside pocket. I can not provide more details because it was a gift and has not yet had occasion to use it.</v>
      </c>
    </row>
    <row r="16515">
      <c r="A16515" s="1">
        <v>5.0</v>
      </c>
      <c r="B16515" s="1" t="s">
        <v>16359</v>
      </c>
      <c r="C16515" t="str">
        <f>IFERROR(__xludf.DUMMYFUNCTION("GOOGLETRANSLATE(B16515, ""es"", ""en"")"),"Price / quality very good Casio watch with warranty. Midsize, lightweight and ideal for sports. Alarm, Water Resist, Stopwatch, luz.etccc Fully recommended")</f>
        <v>Price / quality very good Casio watch with warranty. Midsize, lightweight and ideal for sports. Alarm, Water Resist, Stopwatch, luz.etccc Fully recommended</v>
      </c>
    </row>
    <row r="16516">
      <c r="A16516" s="1">
        <v>5.0</v>
      </c>
      <c r="B16516" s="1" t="s">
        <v>16360</v>
      </c>
      <c r="C16516" t="str">
        <f>IFERROR(__xludf.DUMMYFUNCTION("GOOGLETRANSLATE(B16516, ""es"", ""en"")"),"speed very fast to make juices, esthetically very nice")</f>
        <v>speed very fast to make juices, esthetically very nice</v>
      </c>
    </row>
    <row r="16517">
      <c r="A16517" s="1">
        <v>5.0</v>
      </c>
      <c r="B16517" s="1" t="s">
        <v>16361</v>
      </c>
      <c r="C16517" t="str">
        <f>IFERROR(__xludf.DUMMYFUNCTION("GOOGLETRANSLATE(B16517, ""es"", ""en"")"),"Original and good quality Pandora Original. It comes in bag with the logo, but I miss a box or something, anyway the price is unbeatable.")</f>
        <v>Original and good quality Pandora Original. It comes in bag with the logo, but I miss a box or something, anyway the price is unbeatable.</v>
      </c>
    </row>
    <row r="16518">
      <c r="A16518" s="1">
        <v>5.0</v>
      </c>
      <c r="B16518" s="1" t="s">
        <v>16362</v>
      </c>
      <c r="C16518" t="str">
        <f>IFERROR(__xludf.DUMMYFUNCTION("GOOGLETRANSLATE(B16518, ""es"", ""en"")"),"I paper cutter is very useful, use it to crop photos, especially for card size. Short fine paper both straight and angled as a rule comes next well.")</f>
        <v>I paper cutter is very useful, use it to crop photos, especially for card size. Short fine paper both straight and angled as a rule comes next well.</v>
      </c>
    </row>
    <row r="16519">
      <c r="A16519" s="1">
        <v>5.0</v>
      </c>
      <c r="B16519" s="1" t="s">
        <v>16363</v>
      </c>
      <c r="C16519" t="str">
        <f>IFERROR(__xludf.DUMMYFUNCTION("GOOGLETRANSLATE(B16519, ""es"", ""en"")"),"Good tea product")</f>
        <v>Good tea product</v>
      </c>
    </row>
    <row r="16520">
      <c r="A16520" s="1">
        <v>5.0</v>
      </c>
      <c r="B16520" s="1" t="s">
        <v>16364</v>
      </c>
      <c r="C16520" t="str">
        <f>IFERROR(__xludf.DUMMYFUNCTION("GOOGLETRANSLATE(B16520, ""es"", ""en"")"),"It was expected card")</f>
        <v>It was expected card</v>
      </c>
    </row>
    <row r="16521">
      <c r="A16521" s="1">
        <v>5.0</v>
      </c>
      <c r="B16521" s="1" t="s">
        <v>16365</v>
      </c>
      <c r="C16521" t="str">
        <f>IFERROR(__xludf.DUMMYFUNCTION("GOOGLETRANSLATE(B16521, ""es"", ""en"")"),"Cheap Color")</f>
        <v>Cheap Color</v>
      </c>
    </row>
    <row r="16522">
      <c r="A16522" s="1">
        <v>2.0</v>
      </c>
      <c r="B16522" s="1" t="s">
        <v>16366</v>
      </c>
      <c r="C16522" t="str">
        <f>IFERROR(__xludf.DUMMYFUNCTION("GOOGLETRANSLATE(B16522, ""es"", ""en"")"),"After 21 months I bought this hard drive has failed in December 2015 and put on a Synology NAS. Today September 9, 2017, the NAS communicates that the hard drive has failed, so I will touch make use of the guarantee, since this hard drive has a 3 year war"&amp;"ranty. For now I am able to back up data to a USB HDD, but do not know when it may fail the whole.")</f>
        <v>After 21 months I bought this hard drive has failed in December 2015 and put on a Synology NAS. Today September 9, 2017, the NAS communicates that the hard drive has failed, so I will touch make use of the guarantee, since this hard drive has a 3 year warranty. For now I am able to back up data to a USB HDD, but do not know when it may fail the whole.</v>
      </c>
    </row>
    <row r="16523">
      <c r="A16523" s="1">
        <v>3.0</v>
      </c>
      <c r="B16523" s="1" t="s">
        <v>16367</v>
      </c>
      <c r="C16523" t="str">
        <f>IFERROR(__xludf.DUMMYFUNCTION("GOOGLETRANSLATE(B16523, ""es"", ""en"")"),"Good response from the seller came bent, yes I wrote to the seller comentándoselo and gave me a solution. Obviously you not expect its price to be a complement of high quality")</f>
        <v>Good response from the seller came bent, yes I wrote to the seller comentándoselo and gave me a solution. Obviously you not expect its price to be a complement of high quality</v>
      </c>
    </row>
    <row r="16524">
      <c r="A16524" s="1">
        <v>3.0</v>
      </c>
      <c r="B16524" s="1" t="s">
        <v>16368</v>
      </c>
      <c r="C16524" t="str">
        <f>IFERROR(__xludf.DUMMYFUNCTION("GOOGLETRANSLATE(B16524, ""es"", ""en"")"),"But well ...... The Micro for its price is very decent, peeeero should report on the description for this you need external power supply (48V Phantom power) does not operate without power. To try to go up volume (See if listening) I broke my computer spea"&amp;"ker after a crunch in connection ...")</f>
        <v>But well ...... The Micro for its price is very decent, peeeero should report on the description for this you need external power supply (48V Phantom power) does not operate without power. To try to go up volume (See if listening) I broke my computer speaker after a crunch in connection ...</v>
      </c>
    </row>
    <row r="16525">
      <c r="A16525" s="1">
        <v>1.0</v>
      </c>
      <c r="B16525" s="1" t="s">
        <v>16369</v>
      </c>
      <c r="C16525" t="str">
        <f>IFERROR(__xludf.DUMMYFUNCTION("GOOGLETRANSLATE(B16525, ""es"", ""en"")"),"Caution: copy and sleazy used occasionally (2-3 times per week) for 3 months. The left foot is perfect, but the right foot is as you see in the pictures. A part of the hole, the skin of the heel as worn and balls. For saving 20 € the I requested this way."&amp;" They come from China and spent 20 days waiting. It came with box but badly damaged / deformed. I can assure you is a copy, I had other and this has never happened to me. While they are compodas, durability leaves much to be desired. It seems to lie as Am"&amp;"azon allows these things.")</f>
        <v>Caution: copy and sleazy used occasionally (2-3 times per week) for 3 months. The left foot is perfect, but the right foot is as you see in the pictures. A part of the hole, the skin of the heel as worn and balls. For saving 20 € the I requested this way. They come from China and spent 20 days waiting. It came with box but badly damaged / deformed. I can assure you is a copy, I had other and this has never happened to me. While they are compodas, durability leaves much to be desired. It seems to lie as Amazon allows these things.</v>
      </c>
    </row>
    <row r="16526">
      <c r="A16526" s="1">
        <v>1.0</v>
      </c>
      <c r="B16526" s="1" t="s">
        <v>16370</v>
      </c>
      <c r="C16526" t="str">
        <f>IFERROR(__xludf.DUMMYFUNCTION("GOOGLETRANSLATE(B16526, ""es"", ""en"")"),"Orestes Sanchez Disgraceful !!! super small, Ridiculous and lousy quality !! The we have returned !!! They seemed straight out of a game monopoli !!! A fraud!!! they are not recommend anyone !! You look out cheaper foreign currencies silver and new order "&amp;"them on a bench !!")</f>
        <v>Orestes Sanchez Disgraceful !!! super small, Ridiculous and lousy quality !! The we have returned !!! They seemed straight out of a game monopoli !!! A fraud!!! they are not recommend anyone !! You look out cheaper foreign currencies silver and new order them on a bench !!</v>
      </c>
    </row>
    <row r="16527">
      <c r="A16527" s="1">
        <v>4.0</v>
      </c>
      <c r="B16527" s="1" t="s">
        <v>16371</v>
      </c>
      <c r="C16527" t="str">
        <f>IFERROR(__xludf.DUMMYFUNCTION("GOOGLETRANSLATE(B16527, ""es"", ""en"")"),"Good Great Power")</f>
        <v>Good Great Power</v>
      </c>
    </row>
    <row r="16528">
      <c r="A16528" s="1">
        <v>4.0</v>
      </c>
      <c r="B16528" s="1" t="s">
        <v>16372</v>
      </c>
      <c r="C16528" t="str">
        <f>IFERROR(__xludf.DUMMYFUNCTION("GOOGLETRANSLATE(B16528, ""es"", ""en"")"),"Value As described easy assembly. Happy.")</f>
        <v>Value As described easy assembly. Happy.</v>
      </c>
    </row>
    <row r="16529">
      <c r="A16529" s="1">
        <v>4.0</v>
      </c>
      <c r="B16529" s="1" t="s">
        <v>16373</v>
      </c>
      <c r="C16529" t="str">
        <f>IFERROR(__xludf.DUMMYFUNCTION("GOOGLETRANSLATE(B16529, ""es"", ""en"")"),"buy good quality very practical product to clean large crystals hand also applies for use with telescopic handle of the same brand")</f>
        <v>buy good quality very practical product to clean large crystals hand also applies for use with telescopic handle of the same brand</v>
      </c>
    </row>
    <row r="16530">
      <c r="A16530" s="1">
        <v>4.0</v>
      </c>
      <c r="B16530" s="1" t="s">
        <v>16374</v>
      </c>
      <c r="C16530" t="str">
        <f>IFERROR(__xludf.DUMMYFUNCTION("GOOGLETRANSLATE(B16530, ""es"", ""en"")"),"Memory no more use it as a hard drive to carry. The capacity is adequate for what I want, the use is simple, like a USB memory of a lifetime. It has a mechanism that theoretically protects the USB connector, but only for about covers it, does not cover th"&amp;"e entry of the connector, so you get a little dirty and sometimes have to blow. So I do not get it 5 stars.")</f>
        <v>Memory no more use it as a hard drive to carry. The capacity is adequate for what I want, the use is simple, like a USB memory of a lifetime. It has a mechanism that theoretically protects the USB connector, but only for about covers it, does not cover the entry of the connector, so you get a little dirty and sometimes have to blow. So I do not get it 5 stars.</v>
      </c>
    </row>
    <row r="16531">
      <c r="A16531" s="1">
        <v>4.0</v>
      </c>
      <c r="B16531" s="1" t="s">
        <v>16375</v>
      </c>
      <c r="C16531" t="str">
        <f>IFERROR(__xludf.DUMMYFUNCTION("GOOGLETRANSLATE(B16531, ""es"", ""en"")"),"Good quality has good quality and is hot, the sizes and all this kind of clothing is stuck to the body, worth")</f>
        <v>Good quality has good quality and is hot, the sizes and all this kind of clothing is stuck to the body, worth</v>
      </c>
    </row>
    <row r="16532">
      <c r="A16532" s="1">
        <v>5.0</v>
      </c>
      <c r="B16532" s="1" t="s">
        <v>16376</v>
      </c>
      <c r="C16532" t="str">
        <f>IFERROR(__xludf.DUMMYFUNCTION("GOOGLETRANSLATE(B16532, ""es"", ""en"")"),"Wonderful Best for breastfeeding, although it breaks and loses effectiveness if heated x what to sterilize with pills any more. Note that there bubbles when the baby sucks, because if they do not exist is xq is jammed and you have to blow the holes. To ta"&amp;"ke the baby, spread lightly with liquid glucose.")</f>
        <v>Wonderful Best for breastfeeding, although it breaks and loses effectiveness if heated x what to sterilize with pills any more. Note that there bubbles when the baby sucks, because if they do not exist is xq is jammed and you have to blow the holes. To take the baby, spread lightly with liquid glucose.</v>
      </c>
    </row>
    <row r="16533">
      <c r="A16533" s="1">
        <v>5.0</v>
      </c>
      <c r="B16533" s="1" t="s">
        <v>16377</v>
      </c>
      <c r="C16533" t="str">
        <f>IFERROR(__xludf.DUMMYFUNCTION("GOOGLETRANSLATE(B16533, ""es"", ""en"")"),"Very good I love massage devices, which are noticed are the balls rolling on the soles of the feet, feeling very good. It also gives warmth, that winter will come great. What you need to keep in mind it is that from size 45 begins to fall justito size.")</f>
        <v>Very good I love massage devices, which are noticed are the balls rolling on the soles of the feet, feeling very good. It also gives warmth, that winter will come great. What you need to keep in mind it is that from size 45 begins to fall justito size.</v>
      </c>
    </row>
    <row r="16534">
      <c r="A16534" s="1">
        <v>5.0</v>
      </c>
      <c r="B16534" s="1" t="s">
        <v>16378</v>
      </c>
      <c r="C16534" t="str">
        <f>IFERROR(__xludf.DUMMYFUNCTION("GOOGLETRANSLATE(B16534, ""es"", ""en"")"),"Very fast delivery Tal which like the photo.")</f>
        <v>Very fast delivery Tal which like the photo.</v>
      </c>
    </row>
    <row r="16535">
      <c r="A16535" s="1">
        <v>5.0</v>
      </c>
      <c r="B16535" s="1" t="s">
        <v>16379</v>
      </c>
      <c r="C16535" t="str">
        <f>IFERROR(__xludf.DUMMYFUNCTION("GOOGLETRANSLATE(B16535, ""es"", ""en"")"),"Good buy good buy, genuine leather, very well done and elegant. right size for wallet, mobile, glasses and keys, enough. Content, I recommend it.")</f>
        <v>Good buy good buy, genuine leather, very well done and elegant. right size for wallet, mobile, glasses and keys, enough. Content, I recommend it.</v>
      </c>
    </row>
    <row r="16536">
      <c r="A16536" s="1">
        <v>5.0</v>
      </c>
      <c r="B16536" s="1" t="s">
        <v>16380</v>
      </c>
      <c r="C16536" t="str">
        <f>IFERROR(__xludf.DUMMYFUNCTION("GOOGLETRANSLATE(B16536, ""es"", ""en"")"),"Good sound quality presentation are well packaged. They look nothing open quality. I like to bring several pairs of pads of different sizes to suit the ear (3 specifically) are very comfortable and totally isolate the sound. The sound quality is good. The"&amp;"y are warranted for one year if we had any problems.")</f>
        <v>Good sound quality presentation are well packaged. They look nothing open quality. I like to bring several pairs of pads of different sizes to suit the ear (3 specifically) are very comfortable and totally isolate the sound. The sound quality is good. They are warranted for one year if we had any problems.</v>
      </c>
    </row>
    <row r="16537">
      <c r="A16537" s="1">
        <v>5.0</v>
      </c>
      <c r="B16537" s="1" t="s">
        <v>16381</v>
      </c>
      <c r="C16537" t="str">
        <f>IFERROR(__xludf.DUMMYFUNCTION("GOOGLETRANSLATE(B16537, ""es"", ""en"")"),"Good sound quality and materials. The sound is spectacular as well not move in the ear. It comes with several pillows to adapt headphones and prevent movement.")</f>
        <v>Good sound quality and materials. The sound is spectacular as well not move in the ear. It comes with several pillows to adapt headphones and prevent movement.</v>
      </c>
    </row>
    <row r="16538">
      <c r="A16538" s="1">
        <v>5.0</v>
      </c>
      <c r="B16538" s="1" t="s">
        <v>16382</v>
      </c>
      <c r="C16538" t="str">
        <f>IFERROR(__xludf.DUMMYFUNCTION("GOOGLETRANSLATE(B16538, ""es"", ""en"")"),"Manageable Perfect for playing in the street is small and handy, fits in the guitar case and giving sound is pretty good. Need block battery 9 volt or 9 volt power that comes without them.")</f>
        <v>Manageable Perfect for playing in the street is small and handy, fits in the guitar case and giving sound is pretty good. Need block battery 9 volt or 9 volt power that comes without them.</v>
      </c>
    </row>
    <row r="16539">
      <c r="A16539" s="1">
        <v>5.0</v>
      </c>
      <c r="B16539" s="1" t="s">
        <v>16383</v>
      </c>
      <c r="C16539" t="str">
        <f>IFERROR(__xludf.DUMMYFUNCTION("GOOGLETRANSLATE(B16539, ""es"", ""en"")"),"Excellent, recommended 100% I love this product is a perfect watch for day to day. A classic that, in my opinion, stands for quality / price. I have it for two months and still works perfectly. I have to wait to see their long-term functionality; but for "&amp;"now, I am very satisfied with the results.")</f>
        <v>Excellent, recommended 100% I love this product is a perfect watch for day to day. A classic that, in my opinion, stands for quality / price. I have it for two months and still works perfectly. I have to wait to see their long-term functionality; but for now, I am very satisfied with the results.</v>
      </c>
    </row>
    <row r="16540">
      <c r="A16540" s="1">
        <v>5.0</v>
      </c>
      <c r="B16540" s="1" t="s">
        <v>16384</v>
      </c>
      <c r="C16540" t="str">
        <f>IFERROR(__xludf.DUMMYFUNCTION("GOOGLETRANSLATE(B16540, ""es"", ""en"")"),"As expected Very nice")</f>
        <v>As expected Very nice</v>
      </c>
    </row>
    <row r="16541">
      <c r="A16541" s="1">
        <v>5.0</v>
      </c>
      <c r="B16541" s="1" t="s">
        <v>16385</v>
      </c>
      <c r="C16541" t="str">
        <f>IFERROR(__xludf.DUMMYFUNCTION("GOOGLETRANSLATE(B16541, ""es"", ""en"")"),"Perhaps a virguería for milennials not, but for those who venismod and old and we were spending 80 € on a flash drive 512mb ... this is a virguería 64GB in so little space and with two types of input, very good")</f>
        <v>Perhaps a virguería for milennials not, but for those who venismod and old and we were spending 80 € on a flash drive 512mb ... this is a virguería 64GB in so little space and with two types of input, very good</v>
      </c>
    </row>
    <row r="16542">
      <c r="A16542" s="1">
        <v>5.0</v>
      </c>
      <c r="B16542" s="1" t="s">
        <v>16386</v>
      </c>
      <c r="C16542" t="str">
        <f>IFERROR(__xludf.DUMMYFUNCTION("GOOGLETRANSLATE(B16542, ""es"", ""en"")"),"Perfect for price The clock is fine but ..... It's smaller than I thought but is fine and functional. If you notice vibration and wakes you up.")</f>
        <v>Perfect for price The clock is fine but ..... It's smaller than I thought but is fine and functional. If you notice vibration and wakes you up.</v>
      </c>
    </row>
    <row r="16543">
      <c r="A16543" s="1">
        <v>5.0</v>
      </c>
      <c r="B16543" s="1" t="s">
        <v>16387</v>
      </c>
      <c r="C16543" t="str">
        <f>IFERROR(__xludf.DUMMYFUNCTION("GOOGLETRANSLATE(B16543, ""es"", ""en"")"),"The office is a good little small and not suited to the mobile slate. This is just for the wall and the size is a little tight. You need to buy 2 pieces to have approximately the same size as a mobile slate. You can cut it at will. When paste it, do not f"&amp;"orce when sticking. It will be better if you hold it carefully.")</f>
        <v>The office is a good little small and not suited to the mobile slate. This is just for the wall and the size is a little tight. You need to buy 2 pieces to have approximately the same size as a mobile slate. You can cut it at will. When paste it, do not force when sticking. It will be better if you hold it carefully.</v>
      </c>
    </row>
    <row r="16544">
      <c r="A16544" s="1">
        <v>5.0</v>
      </c>
      <c r="B16544" s="1" t="s">
        <v>16388</v>
      </c>
      <c r="C16544" t="str">
        <f>IFERROR(__xludf.DUMMYFUNCTION("GOOGLETRANSLATE(B16544, ""es"", ""en"")"),"Magnificent buy more than one year using it. It is like the first day. I use it to listen to the radio. So the audio quality is not for the most demanding. Still hear quite well. The battery life is acceptable. As used in short periods, me pretty hard. Th"&amp;"e leading micro to use hands-free is not very good. Calls in my interlocutor, always he says listen to me wrong, but it serves to get out of the way. You call if you hear very well. The only thing missing is the loader box that is already in other models "&amp;"and is very fashionable.")</f>
        <v>Magnificent buy more than one year using it. It is like the first day. I use it to listen to the radio. So the audio quality is not for the most demanding. Still hear quite well. The battery life is acceptable. As used in short periods, me pretty hard. The leading micro to use hands-free is not very good. Calls in my interlocutor, always he says listen to me wrong, but it serves to get out of the way. You call if you hear very well. The only thing missing is the loader box that is already in other models and is very fashionable.</v>
      </c>
    </row>
    <row r="16545">
      <c r="A16545" s="1">
        <v>5.0</v>
      </c>
      <c r="B16545" s="1" t="s">
        <v>16389</v>
      </c>
      <c r="C16545" t="str">
        <f>IFERROR(__xludf.DUMMYFUNCTION("GOOGLETRANSLATE(B16545, ""es"", ""en"")"),"Recommended Value perfect")</f>
        <v>Recommended Value perfect</v>
      </c>
    </row>
    <row r="16546">
      <c r="A16546" s="1">
        <v>5.0</v>
      </c>
      <c r="B16546" s="1" t="s">
        <v>16390</v>
      </c>
      <c r="C16546" t="str">
        <f>IFERROR(__xludf.DUMMYFUNCTION("GOOGLETRANSLATE(B16546, ""es"", ""en"")"),"Perfect arrived much earlier than expected and found them beautiful. It was for a gift and doubted size but it has been a total success. Land grab perfectly comfortable. There is no catch. A total success.")</f>
        <v>Perfect arrived much earlier than expected and found them beautiful. It was for a gift and doubted size but it has been a total success. Land grab perfectly comfortable. There is no catch. A total success.</v>
      </c>
    </row>
    <row r="16547">
      <c r="A16547" s="1">
        <v>5.0</v>
      </c>
      <c r="B16547" s="1" t="s">
        <v>16391</v>
      </c>
      <c r="C16547" t="str">
        <f>IFERROR(__xludf.DUMMYFUNCTION("GOOGLETRANSLATE(B16547, ""es"", ""en"")"),"Great great, great ... I do not even how to define what I liked. Fulfills its function perfectly, massage with different modes and intensities. It weighs a bit, but the weight also helps the massage more try ...")</f>
        <v>Great great, great ... I do not even how to define what I liked. Fulfills its function perfectly, massage with different modes and intensities. It weighs a bit, but the weight also helps the massage more try ...</v>
      </c>
    </row>
    <row r="16548">
      <c r="A16548" s="1">
        <v>5.0</v>
      </c>
      <c r="B16548" s="1" t="s">
        <v>16392</v>
      </c>
      <c r="C16548" t="str">
        <f>IFERROR(__xludf.DUMMYFUNCTION("GOOGLETRANSLATE(B16548, ""es"", ""en"")"),"forgettable card fits correctly fulfills its function and has orguras")</f>
        <v>forgettable card fits correctly fulfills its function and has orguras</v>
      </c>
    </row>
    <row r="16549">
      <c r="A16549" s="1">
        <v>5.0</v>
      </c>
      <c r="B16549" s="1" t="s">
        <v>16393</v>
      </c>
      <c r="C16549" t="str">
        <f>IFERROR(__xludf.DUMMYFUNCTION("GOOGLETRANSLATE(B16549, ""es"", ""en"")"),"I freshener humidifier and a humidifier doctor recommended because during the spring and summer had a hard time by allergy, because I long dry throat and nose. I've put in my living room, which is spacious. It shows much the humid environment, even I have"&amp;" added a few drops of oil scents and smells all super good home. It has different illumination colors, and can be timed to be operating continuously every 10 seconds for 2 hours or for 4 hours. It is very quiet and not remember it's working.")</f>
        <v>I freshener humidifier and a humidifier doctor recommended because during the spring and summer had a hard time by allergy, because I long dry throat and nose. I've put in my living room, which is spacious. It shows much the humid environment, even I have added a few drops of oil scents and smells all super good home. It has different illumination colors, and can be timed to be operating continuously every 10 seconds for 2 hours or for 4 hours. It is very quiet and not remember it's working.</v>
      </c>
    </row>
    <row r="16550">
      <c r="A16550" s="1">
        <v>5.0</v>
      </c>
      <c r="B16550" s="1" t="s">
        <v>16394</v>
      </c>
      <c r="C16550" t="str">
        <f>IFERROR(__xludf.DUMMYFUNCTION("GOOGLETRANSLATE(B16550, ""es"", ""en"")"),"Higher than other models I have a xacobeo and these are higher and bring better laces")</f>
        <v>Higher than other models I have a xacobeo and these are higher and bring better laces</v>
      </c>
    </row>
    <row r="16551">
      <c r="A16551" s="1">
        <v>2.0</v>
      </c>
      <c r="B16551" s="1" t="s">
        <v>16395</v>
      </c>
      <c r="C16551" t="str">
        <f>IFERROR(__xludf.DUMMYFUNCTION("GOOGLETRANSLATE(B16551, ""es"", ""en"")"),"Very hard very hard ... hard to adapt to, for delicate feet not recommend a longer beam me and a white stripe is that I can not remove. In design well")</f>
        <v>Very hard very hard ... hard to adapt to, for delicate feet not recommend a longer beam me and a white stripe is that I can not remove. In design well</v>
      </c>
    </row>
    <row r="16552">
      <c r="A16552" s="1">
        <v>3.0</v>
      </c>
      <c r="B16552" s="1" t="s">
        <v>16396</v>
      </c>
      <c r="C16552" t="str">
        <f>IFERROR(__xludf.DUMMYFUNCTION("GOOGLETRANSLATE(B16552, ""es"", ""en"")"),"Which they are white What I needed")</f>
        <v>Which they are white What I needed</v>
      </c>
    </row>
    <row r="16553">
      <c r="A16553" s="1">
        <v>1.0</v>
      </c>
      <c r="B16553" s="1" t="s">
        <v>16397</v>
      </c>
      <c r="C16553" t="str">
        <f>IFERROR(__xludf.DUMMYFUNCTION("GOOGLETRANSLATE(B16553, ""es"", ""en"")"),"It does not work product that is a total failure. I lost all the photos and videos that had saved him. The first time you connect and transfer files worked. When I returned to plug it remained locked and it cost me horrors recognize the mobile unit. Since"&amp;" then I have taken two or three attempts to make it work. And today when I went to upload some pictures on the PC, not only it has blocked my computer but when I managed to open the drive, tells me that the drive is empty. HE LOST ALL MY PHOTOS AND VIDEOS"&amp;" OF THIS SUMMER !!!! Request repayment of the amount !!")</f>
        <v>It does not work product that is a total failure. I lost all the photos and videos that had saved him. The first time you connect and transfer files worked. When I returned to plug it remained locked and it cost me horrors recognize the mobile unit. Since then I have taken two or three attempts to make it work. And today when I went to upload some pictures on the PC, not only it has blocked my computer but when I managed to open the drive, tells me that the drive is empty. HE LOST ALL MY PHOTOS AND VIDEOS OF THIS SUMMER !!!! Request repayment of the amount !!</v>
      </c>
    </row>
    <row r="16554">
      <c r="A16554" s="1">
        <v>1.0</v>
      </c>
      <c r="B16554" s="1" t="s">
        <v>16398</v>
      </c>
      <c r="C16554" t="str">
        <f>IFERROR(__xludf.DUMMYFUNCTION("GOOGLETRANSLATE(B16554, ""es"", ""en"")"),"The worst flops bad in my life, I have put me one day and just. I asked my size, standard set q parexe walking fine but nothing q do not go straight")</f>
        <v>The worst flops bad in my life, I have put me one day and just. I asked my size, standard set q parexe walking fine but nothing q do not go straight</v>
      </c>
    </row>
    <row r="16555">
      <c r="A16555" s="1">
        <v>1.0</v>
      </c>
      <c r="B16555" s="1" t="s">
        <v>16399</v>
      </c>
      <c r="C16555" t="str">
        <f>IFERROR(__xludf.DUMMYFUNCTION("GOOGLETRANSLATE(B16555, ""es"", ""en"")"),"Defective headset makes me doubt that Samsung are the original because the package is a plastic. In the test headphones L can not hear practically and having the volume to the max the sound is not high, however with those who have original Samsung, the so"&amp;"und is more immersive and heard with much better quality. Which puts J5 are the originals others do not")</f>
        <v>Defective headset makes me doubt that Samsung are the original because the package is a plastic. In the test headphones L can not hear practically and having the volume to the max the sound is not high, however with those who have original Samsung, the sound is more immersive and heard with much better quality. Which puts J5 are the originals others do not</v>
      </c>
    </row>
    <row r="16556">
      <c r="A16556" s="1">
        <v>4.0</v>
      </c>
      <c r="B16556" s="1" t="s">
        <v>16400</v>
      </c>
      <c r="C16556" t="str">
        <f>IFERROR(__xludf.DUMMYFUNCTION("GOOGLETRANSLATE(B16556, ""es"", ""en"")"),"Pretty necklace. As a Christmas gift I successful. In addition that my girl is spectacular. To put some against, it is that the top is not adjusted to the neck, why I bought it.")</f>
        <v>Pretty necklace. As a Christmas gift I successful. In addition that my girl is spectacular. To put some against, it is that the top is not adjusted to the neck, why I bought it.</v>
      </c>
    </row>
    <row r="16557">
      <c r="A16557" s="1">
        <v>4.0</v>
      </c>
      <c r="B16557" s="1" t="s">
        <v>16401</v>
      </c>
      <c r="C16557" t="str">
        <f>IFERROR(__xludf.DUMMYFUNCTION("GOOGLETRANSLATE(B16557, ""es"", ""en"")"),"Teat three holes puts number 4. The only thing that is put paste teat q is the number 4, but only 3 holes. But as I had more than I needed teats were bottles and me was")</f>
        <v>Teat three holes puts number 4. The only thing that is put paste teat q is the number 4, but only 3 holes. But as I had more than I needed teats were bottles and me was</v>
      </c>
    </row>
    <row r="16558">
      <c r="A16558" s="1">
        <v>4.0</v>
      </c>
      <c r="B16558" s="1" t="s">
        <v>16402</v>
      </c>
      <c r="C16558" t="str">
        <f>IFERROR(__xludf.DUMMYFUNCTION("GOOGLETRANSLATE(B16558, ""es"", ""en"")"),"Javier Nice and practical. Material good, fit small, medium and large cards without difficulty. Hardback which gives more durability.")</f>
        <v>Javier Nice and practical. Material good, fit small, medium and large cards without difficulty. Hardback which gives more durability.</v>
      </c>
    </row>
    <row r="16559">
      <c r="A16559" s="1">
        <v>4.0</v>
      </c>
      <c r="B16559" s="1" t="s">
        <v>16403</v>
      </c>
      <c r="C16559" t="str">
        <f>IFERROR(__xludf.DUMMYFUNCTION("GOOGLETRANSLATE(B16559, ""es"", ""en"")"),"I have really enjoyed comfortable and very comfortable")</f>
        <v>I have really enjoyed comfortable and very comfortable</v>
      </c>
    </row>
    <row r="16560">
      <c r="A16560" s="1">
        <v>4.0</v>
      </c>
      <c r="B16560" s="1" t="s">
        <v>8816</v>
      </c>
      <c r="C16560" t="str">
        <f>IFERROR(__xludf.DUMMYFUNCTION("GOOGLETRANSLATE(B16560, ""es"", ""en"")"),"Bonitos Bonitos")</f>
        <v>Bonitos Bonitos</v>
      </c>
    </row>
    <row r="16561">
      <c r="A16561" s="1">
        <v>5.0</v>
      </c>
      <c r="B16561" s="1" t="s">
        <v>16404</v>
      </c>
      <c r="C16561" t="str">
        <f>IFERROR(__xludf.DUMMYFUNCTION("GOOGLETRANSLATE(B16561, ""es"", ""en"")"),"PERFECT quality looks good, yet I have not used much but looks good and the interior compartment for spare blades see it very practical.")</f>
        <v>PERFECT quality looks good, yet I have not used much but looks good and the interior compartment for spare blades see it very practical.</v>
      </c>
    </row>
    <row r="16562">
      <c r="A16562" s="1">
        <v>5.0</v>
      </c>
      <c r="B16562" s="1" t="s">
        <v>16405</v>
      </c>
      <c r="C16562" t="str">
        <f>IFERROR(__xludf.DUMMYFUNCTION("GOOGLETRANSLATE(B16562, ""es"", ""en"")"),"Rebeca great product. Applying massage hard enough and the time of use is suitable. I've used it once in the cervical area and another in the back. I will try other areas such as lower back and knees. It is well presented and packaged.")</f>
        <v>Rebeca great product. Applying massage hard enough and the time of use is suitable. I've used it once in the cervical area and another in the back. I will try other areas such as lower back and knees. It is well presented and packaged.</v>
      </c>
    </row>
    <row r="16563">
      <c r="A16563" s="1">
        <v>5.0</v>
      </c>
      <c r="B16563" s="1" t="s">
        <v>16406</v>
      </c>
      <c r="C16563" t="str">
        <f>IFERROR(__xludf.DUMMYFUNCTION("GOOGLETRANSLATE(B16563, ""es"", ""en"")"),"Very nice one small but beautiful")</f>
        <v>Very nice one small but beautiful</v>
      </c>
    </row>
    <row r="16564">
      <c r="A16564" s="1">
        <v>5.0</v>
      </c>
      <c r="B16564" s="1" t="s">
        <v>16407</v>
      </c>
      <c r="C16564" t="str">
        <f>IFERROR(__xludf.DUMMYFUNCTION("GOOGLETRANSLATE(B16564, ""es"", ""en"")"),"I bought this after returning the 3090 CONGA far, so good. I fault although it is early (I have 1 week). I come from a CONGA 3090 which had to be returned because it failed more than a gun fair and CECOTEC after-sales service is bad, bad, bad ....... This"&amp;" is noticed that it has a quality and navigation system it is very accomplished since you can select what you want clean rooms. Even after becoming entangled in a cable and move it from where it was (not much) is able to re-locate and continue cleaning. T"&amp;"he wet mop also works well as it does not leak because it takes a system that falls by gravity. I said, very happy time.")</f>
        <v>I bought this after returning the 3090 CONGA far, so good. I fault although it is early (I have 1 week). I come from a CONGA 3090 which had to be returned because it failed more than a gun fair and CECOTEC after-sales service is bad, bad, bad ....... This is noticed that it has a quality and navigation system it is very accomplished since you can select what you want clean rooms. Even after becoming entangled in a cable and move it from where it was (not much) is able to re-locate and continue cleaning. The wet mop also works well as it does not leak because it takes a system that falls by gravity. I said, very happy time.</v>
      </c>
    </row>
    <row r="16565">
      <c r="A16565" s="1">
        <v>5.0</v>
      </c>
      <c r="B16565" s="1" t="s">
        <v>16408</v>
      </c>
      <c r="C16565" t="str">
        <f>IFERROR(__xludf.DUMMYFUNCTION("GOOGLETRANSLATE(B16565, ""es"", ""en"")"),"Is what it is ... Velcro straps that allow you to organize the wiring and not have a mess out there. For what it is, it is perfect. They are not too big so for wire harnesses can be quite short, but for normal use, are perfect. And with the amount you hav"&amp;"e come to collect looong cables.")</f>
        <v>Is what it is ... Velcro straps that allow you to organize the wiring and not have a mess out there. For what it is, it is perfect. They are not too big so for wire harnesses can be quite short, but for normal use, are perfect. And with the amount you have come to collect looong cables.</v>
      </c>
    </row>
    <row r="16566">
      <c r="A16566" s="1">
        <v>5.0</v>
      </c>
      <c r="B16566" s="1" t="s">
        <v>16409</v>
      </c>
      <c r="C16566" t="str">
        <f>IFERROR(__xludf.DUMMYFUNCTION("GOOGLETRANSLATE(B16566, ""es"", ""en"")"),"Easy good use device and synchronized with mobile, these headphones are a good complement for the day and for sport. The sound is more than adequate for what they are worth. The weight of the headset is ideal because they are nothing heavy. I recently use"&amp;"d wearing headphones cord behind the head so using wireless completely avoid some of the discomforts like the touch of the cablecito with clothes or neck.")</f>
        <v>Easy good use device and synchronized with mobile, these headphones are a good complement for the day and for sport. The sound is more than adequate for what they are worth. The weight of the headset is ideal because they are nothing heavy. I recently used wearing headphones cord behind the head so using wireless completely avoid some of the discomforts like the touch of the cablecito with clothes or neck.</v>
      </c>
    </row>
    <row r="16567">
      <c r="A16567" s="1">
        <v>5.0</v>
      </c>
      <c r="B16567" s="1" t="s">
        <v>16410</v>
      </c>
      <c r="C16567" t="str">
        <f>IFERROR(__xludf.DUMMYFUNCTION("GOOGLETRANSLATE(B16567, ""es"", ""en"")"),"easy to use I liked enough, all modes. It has a range of powers, from the most relaxed to the most powerful. The size is right to make the massage maneuverability. The battery lasts enough and the charger is simple.")</f>
        <v>easy to use I liked enough, all modes. It has a range of powers, from the most relaxed to the most powerful. The size is right to make the massage maneuverability. The battery lasts enough and the charger is simple.</v>
      </c>
    </row>
    <row r="16568">
      <c r="A16568" s="1">
        <v>5.0</v>
      </c>
      <c r="B16568" s="1" t="s">
        <v>16411</v>
      </c>
      <c r="C16568" t="str">
        <f>IFERROR(__xludf.DUMMYFUNCTION("GOOGLETRANSLATE(B16568, ""es"", ""en"")"),"Very highly recommended. Great shirts Joma. Cool. Carve perfect. Soft and comfortable. Transipirables. Very good value. They are thrown price. I bought in various colors.")</f>
        <v>Very highly recommended. Great shirts Joma. Cool. Carve perfect. Soft and comfortable. Transipirables. Very good value. They are thrown price. I bought in various colors.</v>
      </c>
    </row>
    <row r="16569">
      <c r="A16569" s="1">
        <v>5.0</v>
      </c>
      <c r="B16569" s="1" t="s">
        <v>16412</v>
      </c>
      <c r="C16569" t="str">
        <f>IFERROR(__xludf.DUMMYFUNCTION("GOOGLETRANSLATE(B16569, ""es"", ""en"")"),"The headphones have an impressive presence headphones have an impressive presence, give a sense of very good quality, that once you touch the feeling of quality is confirmed, say that they are very nice and very cuckoos, the charging base is very pequeca "&amp;"and takes in the bolsillo.Despues long time I found what I wanted, after having three cable Bluetooth auriculaes not convince me either, decides adquerir these cordless and have fully successful, these are not switched off until after 10 domocilio meters "&amp;"inside the walled by medio.La music is heard very well and when you get the call without problems, you never lose the match headphones, escuha it loud and clear, bass and low resolves quite well.")</f>
        <v>The headphones have an impressive presence headphones have an impressive presence, give a sense of very good quality, that once you touch the feeling of quality is confirmed, say that they are very nice and very cuckoos, the charging base is very pequeca and takes in the bolsillo.Despues long time I found what I wanted, after having three cable Bluetooth auriculaes not convince me either, decides adquerir these cordless and have fully successful, these are not switched off until after 10 domocilio meters inside the walled by medio.La music is heard very well and when you get the call without problems, you never lose the match headphones, escuha it loud and clear, bass and low resolves quite well.</v>
      </c>
    </row>
    <row r="16570">
      <c r="A16570" s="1">
        <v>5.0</v>
      </c>
      <c r="B16570" s="1" t="s">
        <v>16413</v>
      </c>
      <c r="C16570" t="str">
        <f>IFERROR(__xludf.DUMMYFUNCTION("GOOGLETRANSLATE(B16570, ""es"", ""en"")"),"Cool comfort are super comfortable !!!")</f>
        <v>Cool comfort are super comfortable !!!</v>
      </c>
    </row>
    <row r="16571">
      <c r="A16571" s="1">
        <v>5.0</v>
      </c>
      <c r="B16571" s="1" t="s">
        <v>16414</v>
      </c>
      <c r="C16571" t="str">
        <f>IFERROR(__xludf.DUMMYFUNCTION("GOOGLETRANSLATE(B16571, ""es"", ""en"")"),"good nice and cheap nice and cheap Good. A watch for daily use without pretensions. Long battery life, water. Good choice.")</f>
        <v>good nice and cheap nice and cheap Good. A watch for daily use without pretensions. Long battery life, water. Good choice.</v>
      </c>
    </row>
    <row r="16572">
      <c r="A16572" s="1">
        <v>5.0</v>
      </c>
      <c r="B16572" s="1" t="s">
        <v>16415</v>
      </c>
      <c r="C16572" t="str">
        <f>IFERROR(__xludf.DUMMYFUNCTION("GOOGLETRANSLATE(B16572, ""es"", ""en"")"),"That meets my expectations is perfect for my use")</f>
        <v>That meets my expectations is perfect for my use</v>
      </c>
    </row>
    <row r="16573">
      <c r="A16573" s="1">
        <v>5.0</v>
      </c>
      <c r="B16573" s="1" t="s">
        <v>16416</v>
      </c>
      <c r="C16573" t="str">
        <f>IFERROR(__xludf.DUMMYFUNCTION("GOOGLETRANSLATE(B16573, ""es"", ""en"")"),"The perfect approach for the price it has")</f>
        <v>The perfect approach for the price it has</v>
      </c>
    </row>
    <row r="16574">
      <c r="A16574" s="1">
        <v>5.0</v>
      </c>
      <c r="B16574" s="1" t="s">
        <v>16417</v>
      </c>
      <c r="C16574" t="str">
        <f>IFERROR(__xludf.DUMMYFUNCTION("GOOGLETRANSLATE(B16574, ""es"", ""en"")"),"Good quality clean and pleasant smell")</f>
        <v>Good quality clean and pleasant smell</v>
      </c>
    </row>
    <row r="16575">
      <c r="A16575" s="1">
        <v>5.0</v>
      </c>
      <c r="B16575" s="1" t="s">
        <v>16418</v>
      </c>
      <c r="C16575" t="str">
        <f>IFERROR(__xludf.DUMMYFUNCTION("GOOGLETRANSLATE(B16575, ""es"", ""en"")"),"I can use them with the templates have me. I usually use MBT shoes, but now and then for Tai Chi exclusively use shirts ""Solomon. I stay perfect, including templates uploaded by my doctor. The ordered the 5th and arrived perfectly packed day 6. I recomme"&amp;"nd them such as sports shoes. They are very good.")</f>
        <v>I can use them with the templates have me. I usually use MBT shoes, but now and then for Tai Chi exclusively use shirts "Solomon. I stay perfect, including templates uploaded by my doctor. The ordered the 5th and arrived perfectly packed day 6. I recommend them such as sports shoes. They are very good.</v>
      </c>
    </row>
    <row r="16576">
      <c r="A16576" s="1">
        <v>5.0</v>
      </c>
      <c r="B16576" s="1" t="s">
        <v>16419</v>
      </c>
      <c r="C16576" t="str">
        <f>IFERROR(__xludf.DUMMYFUNCTION("GOOGLETRANSLATE(B16576, ""es"", ""en"")"),"Well you done your role")</f>
        <v>Well you done your role</v>
      </c>
    </row>
    <row r="16577">
      <c r="A16577" s="1">
        <v>5.0</v>
      </c>
      <c r="B16577" s="1" t="s">
        <v>16420</v>
      </c>
      <c r="C16577" t="str">
        <f>IFERROR(__xludf.DUMMYFUNCTION("GOOGLETRANSLATE(B16577, ""es"", ""en"")"),"Very good quality / price I expected They have a very good audio quality for the price they have. They are also quite comfortable, I've used continuously for quite some time without discomfort appreciate. Overall, I am very happy with the product.")</f>
        <v>Very good quality / price I expected They have a very good audio quality for the price they have. They are also quite comfortable, I've used continuously for quite some time without discomfort appreciate. Overall, I am very happy with the product.</v>
      </c>
    </row>
    <row r="16578">
      <c r="A16578" s="1">
        <v>5.0</v>
      </c>
      <c r="B16578" s="1" t="s">
        <v>16421</v>
      </c>
      <c r="C16578" t="str">
        <f>IFERROR(__xludf.DUMMYFUNCTION("GOOGLETRANSLATE(B16578, ""es"", ""en"")"),"white sneakers summer's bought a gift for my wife, and the truth is very happy with his white sneakers, he told me that well liked, comfortable, easy to match with any outfit when dressing, let everything hit with the purchase, I had to size to buy a size"&amp;" more than she used (for example if you use the n ° 39, I recommend you buy the n ° 40) so if you're not fashionable is because they want! !!")</f>
        <v>white sneakers summer's bought a gift for my wife, and the truth is very happy with his white sneakers, he told me that well liked, comfortable, easy to match with any outfit when dressing, let everything hit with the purchase, I had to size to buy a size more than she used (for example if you use the n ° 39, I recommend you buy the n ° 40) so if you're not fashionable is because they want! !!</v>
      </c>
    </row>
    <row r="16579">
      <c r="A16579" s="1">
        <v>2.0</v>
      </c>
      <c r="B16579" s="1" t="s">
        <v>16422</v>
      </c>
      <c r="C16579" t="str">
        <f>IFERROR(__xludf.DUMMYFUNCTION("GOOGLETRANSLATE(B16579, ""es"", ""en"")"),"I do not recommend it. It seems tough, but the light is very dim so much that prevents the use of the clock in night situations and is very small digital menu. Although the competitive price would not buy it again.")</f>
        <v>I do not recommend it. It seems tough, but the light is very dim so much that prevents the use of the clock in night situations and is very small digital menu. Although the competitive price would not buy it again.</v>
      </c>
    </row>
    <row r="16580">
      <c r="A16580" s="1">
        <v>3.0</v>
      </c>
      <c r="B16580" s="1" t="s">
        <v>16423</v>
      </c>
      <c r="C16580" t="str">
        <f>IFERROR(__xludf.DUMMYFUNCTION("GOOGLETRANSLATE(B16580, ""es"", ""en"")"),"For what you pay ... you're going to see, for what you pay it is enough to work, but ... the 3 dials this ""printed"" on the bottom and not part of the clock .. gives an ominous feeling. I put up 3 what you pay is derisory, but ... the truth is I expected"&amp;" a little more appearance")</f>
        <v>For what you pay ... you're going to see, for what you pay it is enough to work, but ... the 3 dials this "printed" on the bottom and not part of the clock .. gives an ominous feeling. I put up 3 what you pay is derisory, but ... the truth is I expected a little more appearance</v>
      </c>
    </row>
    <row r="16581">
      <c r="A16581" s="1">
        <v>3.0</v>
      </c>
      <c r="B16581" s="1" t="s">
        <v>16424</v>
      </c>
      <c r="C16581" t="str">
        <f>IFERROR(__xludf.DUMMYFUNCTION("GOOGLETRANSLATE(B16581, ""es"", ""en"")"),"They slide a lot. This brand quality is evident in finishing and comfort. But this model has a number of drawbacks. The first is that it is very slippery if the surface is wet skidding minimally (with cobsiguiente risk) .The second is that they are rather"&amp;" heavy. And the third is not worth for running (although this is my fault for not reading detailed descriptions).")</f>
        <v>They slide a lot. This brand quality is evident in finishing and comfort. But this model has a number of drawbacks. The first is that it is very slippery if the surface is wet skidding minimally (with cobsiguiente risk) .The second is that they are rather heavy. And the third is not worth for running (although this is my fault for not reading detailed descriptions).</v>
      </c>
    </row>
    <row r="16582">
      <c r="A16582" s="1">
        <v>3.0</v>
      </c>
      <c r="B16582" s="1" t="s">
        <v>16425</v>
      </c>
      <c r="C16582" t="str">
        <f>IFERROR(__xludf.DUMMYFUNCTION("GOOGLETRANSLATE(B16582, ""es"", ""en"")"),"Too ""bright"" for my taste is a good microphone for the price, with sharpness and low background noise, but too sibilant and bright at high frequencies for my taste. I recommend trying the X1S SE Electronics, it gives a warmer sound for a similar price.")</f>
        <v>Too "bright" for my taste is a good microphone for the price, with sharpness and low background noise, but too sibilant and bright at high frequencies for my taste. I recommend trying the X1S SE Electronics, it gives a warmer sound for a similar price.</v>
      </c>
    </row>
    <row r="16583">
      <c r="A16583" s="1">
        <v>1.0</v>
      </c>
      <c r="B16583" s="1" t="s">
        <v>16426</v>
      </c>
      <c r="C16583" t="str">
        <f>IFERROR(__xludf.DUMMYFUNCTION("GOOGLETRANSLATE(B16583, ""es"", ""en"")"),"In less than a month, does not operate charger USB Just one month and two USB chargers do not work anymore.")</f>
        <v>In less than a month, does not operate charger USB Just one month and two USB chargers do not work anymore.</v>
      </c>
    </row>
    <row r="16584">
      <c r="A16584" s="1">
        <v>1.0</v>
      </c>
      <c r="B16584" s="1" t="s">
        <v>16427</v>
      </c>
      <c r="C16584" t="str">
        <f>IFERROR(__xludf.DUMMYFUNCTION("GOOGLETRANSLATE(B16584, ""es"", ""en"")"),"Odor and taste of the water do not recommend purchase. We bought it to heat the AGU baby's bottle during a trip and had to stop using it and leaving a taste and smell disgusting water.")</f>
        <v>Odor and taste of the water do not recommend purchase. We bought it to heat the AGU baby's bottle during a trip and had to stop using it and leaving a taste and smell disgusting water.</v>
      </c>
    </row>
    <row r="16585">
      <c r="A16585" s="1">
        <v>4.0</v>
      </c>
      <c r="B16585" s="1" t="s">
        <v>16428</v>
      </c>
      <c r="C16585" t="str">
        <f>IFERROR(__xludf.DUMMYFUNCTION("GOOGLETRANSLATE(B16585, ""es"", ""en"")"),"a spoon is what es..una spoon to pour coffee with a presser by detras.cumple its funcion.el diameter of the presser is 5 cm q thing to keep in mind")</f>
        <v>a spoon is what es..una spoon to pour coffee with a presser by detras.cumple its funcion.el diameter of the presser is 5 cm q thing to keep in mind</v>
      </c>
    </row>
    <row r="16586">
      <c r="A16586" s="1">
        <v>4.0</v>
      </c>
      <c r="B16586" s="1" t="s">
        <v>16429</v>
      </c>
      <c r="C16586" t="str">
        <f>IFERROR(__xludf.DUMMYFUNCTION("GOOGLETRANSLATE(B16586, ""es"", ""en"")"),"Right received was expected, I came a light on the tongue but faded after washing has been fixed")</f>
        <v>Right received was expected, I came a light on the tongue but faded after washing has been fixed</v>
      </c>
    </row>
    <row r="16587">
      <c r="A16587" s="1">
        <v>4.0</v>
      </c>
      <c r="B16587" s="1" t="s">
        <v>16430</v>
      </c>
      <c r="C16587" t="str">
        <f>IFERROR(__xludf.DUMMYFUNCTION("GOOGLETRANSLATE(B16587, ""es"", ""en"")"),"Comfort and quality sound quality is very good, has a very flat output, so if you want powerful bass and brilliant highs can play with the equalizer. Are semi-open, is heard almost as if all were not wearing helmets. The clarity of the direction of the so"&amp;"und is something that I was pleasantly surprised. The cables are quite long, and weighs phone type more than I would like. Comes with a jack-Minijack adapted very useful for a aplificador. It is not necessary sound card, its impedance is not the lowest, b"&amp;"ut with a normal cell volume given is more than enough.")</f>
        <v>Comfort and quality sound quality is very good, has a very flat output, so if you want powerful bass and brilliant highs can play with the equalizer. Are semi-open, is heard almost as if all were not wearing helmets. The clarity of the direction of the sound is something that I was pleasantly surprised. The cables are quite long, and weighs phone type more than I would like. Comes with a jack-Minijack adapted very useful for a aplificador. It is not necessary sound card, its impedance is not the lowest, but with a normal cell volume given is more than enough.</v>
      </c>
    </row>
    <row r="16588">
      <c r="A16588" s="1">
        <v>4.0</v>
      </c>
      <c r="B16588" s="1" t="s">
        <v>16431</v>
      </c>
      <c r="C16588" t="str">
        <f>IFERROR(__xludf.DUMMYFUNCTION("GOOGLETRANSLATE(B16588, ""es"", ""en"")"),"Very good fabric very comfortable fits your body")</f>
        <v>Very good fabric very comfortable fits your body</v>
      </c>
    </row>
    <row r="16589">
      <c r="A16589" s="1">
        <v>4.0</v>
      </c>
      <c r="B16589" s="1" t="s">
        <v>16432</v>
      </c>
      <c r="C16589" t="str">
        <f>IFERROR(__xludf.DUMMYFUNCTION("GOOGLETRANSLATE(B16589, ""es"", ""en"")"),"A basic shirt t-shirt of good quality, great for a simple look with jeans. Please note that the fabric is elastic and the picture is not appreciated. Sizes are rather large")</f>
        <v>A basic shirt t-shirt of good quality, great for a simple look with jeans. Please note that the fabric is elastic and the picture is not appreciated. Sizes are rather large</v>
      </c>
    </row>
    <row r="16590">
      <c r="A16590" s="1">
        <v>5.0</v>
      </c>
      <c r="B16590" s="1" t="s">
        <v>16433</v>
      </c>
      <c r="C16590" t="str">
        <f>IFERROR(__xludf.DUMMYFUNCTION("GOOGLETRANSLATE(B16590, ""es"", ""en"")"),"Very good value for money Template foam")</f>
        <v>Very good value for money Template foam</v>
      </c>
    </row>
    <row r="16591">
      <c r="A16591" s="1">
        <v>5.0</v>
      </c>
      <c r="B16591" s="1" t="s">
        <v>16434</v>
      </c>
      <c r="C16591" t="str">
        <f>IFERROR(__xludf.DUMMYFUNCTION("GOOGLETRANSLATE(B16591, ""es"", ""en"")"),"There is no comparison works fine")</f>
        <v>There is no comparison works fine</v>
      </c>
    </row>
    <row r="16592">
      <c r="A16592" s="1">
        <v>5.0</v>
      </c>
      <c r="B16592" s="1" t="s">
        <v>16435</v>
      </c>
      <c r="C16592" t="str">
        <f>IFERROR(__xludf.DUMMYFUNCTION("GOOGLETRANSLATE(B16592, ""es"", ""en"")"),"One of the best natural products that I purchased one of the best natural products that I bought. Thank you so good product that is very effective in eliminating pain and inflammation of any blow. The truth is very good")</f>
        <v>One of the best natural products that I purchased one of the best natural products that I bought. Thank you so good product that is very effective in eliminating pain and inflammation of any blow. The truth is very good</v>
      </c>
    </row>
    <row r="16593">
      <c r="A16593" s="1">
        <v>5.0</v>
      </c>
      <c r="B16593" s="1" t="s">
        <v>16436</v>
      </c>
      <c r="C16593" t="str">
        <f>IFERROR(__xludf.DUMMYFUNCTION("GOOGLETRANSLATE(B16593, ""es"", ""en"")"),"It is a very good description of the seller. Good quality, warm. I ordered a size too close to mine and me is perfect. I use it almost every day.")</f>
        <v>It is a very good description of the seller. Good quality, warm. I ordered a size too close to mine and me is perfect. I use it almost every day.</v>
      </c>
    </row>
    <row r="16594">
      <c r="A16594" s="1">
        <v>5.0</v>
      </c>
      <c r="B16594" s="1" t="s">
        <v>16437</v>
      </c>
      <c r="C16594" t="str">
        <f>IFERROR(__xludf.DUMMYFUNCTION("GOOGLETRANSLATE(B16594, ""es"", ""en"")"),"It looks very good quality and buttons below can also be accessed if we plug something bigger.")</f>
        <v>It looks very good quality and buttons below can also be accessed if we plug something bigger.</v>
      </c>
    </row>
    <row r="16595">
      <c r="A16595" s="1">
        <v>5.0</v>
      </c>
      <c r="B16595" s="1" t="s">
        <v>16438</v>
      </c>
      <c r="C16595" t="str">
        <f>IFERROR(__xludf.DUMMYFUNCTION("GOOGLETRANSLATE(B16595, ""es"", ""en"")"),"He needed a last headphones for a gift and I bought these for the good reviews, we use them for hiking and are amazing. Amazes 3500 mAh battery which is very efficient. In addition to the touch can call siri, answer calls ... does everything very corretam"&amp;"ente. Although his strong point is the sound of the bass, usually it costs a lot in these headphones, but here is very well managed. The box is sturdy and can keep in your backpack or bag knowing that you have protected.")</f>
        <v>He needed a last headphones for a gift and I bought these for the good reviews, we use them for hiking and are amazing. Amazes 3500 mAh battery which is very efficient. In addition to the touch can call siri, answer calls ... does everything very corretamente. Although his strong point is the sound of the bass, usually it costs a lot in these headphones, but here is very well managed. The box is sturdy and can keep in your backpack or bag knowing that you have protected.</v>
      </c>
    </row>
    <row r="16596">
      <c r="A16596" s="1">
        <v>5.0</v>
      </c>
      <c r="B16596" s="1" t="s">
        <v>16439</v>
      </c>
      <c r="C16596" t="str">
        <f>IFERROR(__xludf.DUMMYFUNCTION("GOOGLETRANSLATE(B16596, ""es"", ""en"")"),"You hear pretty well established the handset to listen to the radio and incoming calls at the moment seems to hear quite well. I placed the order on Friday and within 24 hours I had at home. All perfect.")</f>
        <v>You hear pretty well established the handset to listen to the radio and incoming calls at the moment seems to hear quite well. I placed the order on Friday and within 24 hours I had at home. All perfect.</v>
      </c>
    </row>
    <row r="16597">
      <c r="A16597" s="1">
        <v>5.0</v>
      </c>
      <c r="B16597" s="1" t="s">
        <v>16440</v>
      </c>
      <c r="C16597" t="str">
        <f>IFERROR(__xludf.DUMMYFUNCTION("GOOGLETRANSLATE(B16597, ""es"", ""en"")"),"Super fast shipping great price Quality")</f>
        <v>Super fast shipping great price Quality</v>
      </c>
    </row>
    <row r="16598">
      <c r="A16598" s="1">
        <v>5.0</v>
      </c>
      <c r="B16598" s="1" t="s">
        <v>16441</v>
      </c>
      <c r="C16598" t="str">
        <f>IFERROR(__xludf.DUMMYFUNCTION("GOOGLETRANSLATE(B16598, ""es"", ""en"")"),"Very useful Perfecta")</f>
        <v>Very useful Perfecta</v>
      </c>
    </row>
    <row r="16599">
      <c r="A16599" s="1">
        <v>5.0</v>
      </c>
      <c r="B16599" s="1" t="s">
        <v>16442</v>
      </c>
      <c r="C16599" t="str">
        <f>IFERROR(__xludf.DUMMYFUNCTION("GOOGLETRANSLATE(B16599, ""es"", ""en"")"),"Very warm socks are very warm and fit to the feet. The manufacturing material is very good quality. I've tried last weekend and gave me hot, so I recommend using them in midwinter. Are fairly tight, so you can tighten those who have great legs.")</f>
        <v>Very warm socks are very warm and fit to the feet. The manufacturing material is very good quality. I've tried last weekend and gave me hot, so I recommend using them in midwinter. Are fairly tight, so you can tighten those who have great legs.</v>
      </c>
    </row>
    <row r="16600">
      <c r="A16600" s="1">
        <v>5.0</v>
      </c>
      <c r="B16600" s="1" t="s">
        <v>16443</v>
      </c>
      <c r="C16600" t="str">
        <f>IFERROR(__xludf.DUMMYFUNCTION("GOOGLETRANSLATE(B16600, ""es"", ""en"")"),"I recommend it 100% compatible")</f>
        <v>I recommend it 100% compatible</v>
      </c>
    </row>
    <row r="16601">
      <c r="A16601" s="1">
        <v>5.0</v>
      </c>
      <c r="B16601" s="1" t="s">
        <v>16444</v>
      </c>
      <c r="C16601" t="str">
        <f>IFERROR(__xludf.DUMMYFUNCTION("GOOGLETRANSLATE(B16601, ""es"", ""en"")"),"I've already made several practical milkshakes with the blender. You have to cut fruits and vegetables into small pieces to make it easy to grind, it is very quick to make smoothies I have not tried yet to make smoothies with ice. I do not know how it wil"&amp;"l work. It is very easy to use and clean. You can be unscrewed from the base glass to clean and base can be cleaned under the tap. But for safety reasons only clean part of the knife.")</f>
        <v>I've already made several practical milkshakes with the blender. You have to cut fruits and vegetables into small pieces to make it easy to grind, it is very quick to make smoothies I have not tried yet to make smoothies with ice. I do not know how it will work. It is very easy to use and clean. You can be unscrewed from the base glass to clean and base can be cleaned under the tap. But for safety reasons only clean part of the knife.</v>
      </c>
    </row>
    <row r="16602">
      <c r="A16602" s="1">
        <v>5.0</v>
      </c>
      <c r="B16602" s="1" t="s">
        <v>16445</v>
      </c>
      <c r="C16602" t="str">
        <f>IFERROR(__xludf.DUMMYFUNCTION("GOOGLETRANSLATE(B16602, ""es"", ""en"")"),"/ Value Product very nice, very visual, it draws much attention, bring to smaller accessory belt definitely a good buy")</f>
        <v>/ Value Product very nice, very visual, it draws much attention, bring to smaller accessory belt definitely a good buy</v>
      </c>
    </row>
    <row r="16603">
      <c r="A16603" s="1">
        <v>5.0</v>
      </c>
      <c r="B16603" s="1" t="s">
        <v>16446</v>
      </c>
      <c r="C16603" t="str">
        <f>IFERROR(__xludf.DUMMYFUNCTION("GOOGLETRANSLATE(B16603, ""es"", ""en"")"),"Excellent quality I give an excellent 10 good, my size is 42 perfectas.el me go ultra fast shipping a lot less than I expected")</f>
        <v>Excellent quality I give an excellent 10 good, my size is 42 perfectas.el me go ultra fast shipping a lot less than I expected</v>
      </c>
    </row>
    <row r="16604">
      <c r="A16604" s="1">
        <v>5.0</v>
      </c>
      <c r="B16604" s="1" t="s">
        <v>16447</v>
      </c>
      <c r="C16604" t="str">
        <f>IFERROR(__xludf.DUMMYFUNCTION("GOOGLETRANSLATE(B16604, ""es"", ""en"")"),"Great relaxing at home relaxing at home. We sat him in the chaiselong of the couch and fits perfectly. With the command you select different programs or can leave some fixed area. It feels very nice heat given off. And the big advantage is that when you f"&amp;"inish the pliegas and fits anywhere.")</f>
        <v>Great relaxing at home relaxing at home. We sat him in the chaiselong of the couch and fits perfectly. With the command you select different programs or can leave some fixed area. It feels very nice heat given off. And the big advantage is that when you finish the pliegas and fits anywhere.</v>
      </c>
    </row>
    <row r="16605">
      <c r="A16605" s="1">
        <v>5.0</v>
      </c>
      <c r="B16605" s="1" t="s">
        <v>16448</v>
      </c>
      <c r="C16605" t="str">
        <f>IFERROR(__xludf.DUMMYFUNCTION("GOOGLETRANSLATE(B16605, ""es"", ""en"")"),"Good experience meets Article featured on page")</f>
        <v>Good experience meets Article featured on page</v>
      </c>
    </row>
    <row r="16606">
      <c r="A16606" s="1">
        <v>5.0</v>
      </c>
      <c r="B16606" s="1" t="s">
        <v>16449</v>
      </c>
      <c r="C16606" t="str">
        <f>IFERROR(__xludf.DUMMYFUNCTION("GOOGLETRANSLATE(B16606, ""es"", ""en"")"),"Liquefies at the maximum. No tropezones I think a very good blender. EXPECTATIONS unexpected. Better than expected")</f>
        <v>Liquefies at the maximum. No tropezones I think a very good blender. EXPECTATIONS unexpected. Better than expected</v>
      </c>
    </row>
    <row r="16607">
      <c r="A16607" s="1">
        <v>5.0</v>
      </c>
      <c r="B16607" s="1" t="s">
        <v>16450</v>
      </c>
      <c r="C16607" t="str">
        <f>IFERROR(__xludf.DUMMYFUNCTION("GOOGLETRANSLATE(B16607, ""es"", ""en"")"),"Very pretty. It has been for a gift. It comes in a case of Tous, round, and bring a cloth bag to get him inside. The pendant is small with glass in the hollow of the bear. Bring a chain, and also certificate is original. I liked it and the person who gave"&amp;" it to her, too. A success.")</f>
        <v>Very pretty. It has been for a gift. It comes in a case of Tous, round, and bring a cloth bag to get him inside. The pendant is small with glass in the hollow of the bear. Bring a chain, and also certificate is original. I liked it and the person who gave it to her, too. A success.</v>
      </c>
    </row>
    <row r="16608">
      <c r="A16608" s="1">
        <v>5.0</v>
      </c>
      <c r="B16608" s="1" t="s">
        <v>16451</v>
      </c>
      <c r="C16608" t="str">
        <f>IFERROR(__xludf.DUMMYFUNCTION("GOOGLETRANSLATE(B16608, ""es"", ""en"")"),"Perfect for skiing and perfect everyday use, an old jacket, size L for my perfect I measure 1.83 and weight 90 kg. It both for daily use in winter as it gives heat but it transpires and also to go skiing in fact I've gone a few times and goes luxury, not "&amp;"a drop of cold.")</f>
        <v>Perfect for skiing and perfect everyday use, an old jacket, size L for my perfect I measure 1.83 and weight 90 kg. It both for daily use in winter as it gives heat but it transpires and also to go skiing in fact I've gone a few times and goes luxury, not a drop of cold.</v>
      </c>
    </row>
    <row r="16609">
      <c r="A16609" s="1">
        <v>2.0</v>
      </c>
      <c r="B16609" s="1" t="s">
        <v>16452</v>
      </c>
      <c r="C16609" t="str">
        <f>IFERROR(__xludf.DUMMYFUNCTION("GOOGLETRANSLATE(B16609, ""es"", ""en"")"),"Very fair Not at all fit 2 SLR bodies or multiple targets. A camera and two lenses at most. Moreover, the materials very fair, velcros a week not stick and dance the camera and lenses inside the backpack. If the whole filled not dance to anything or you t"&amp;"ry to put 3.4 kg looks set to descujaringarse backpack. Had it not been so long since the buy would definitely return.")</f>
        <v>Very fair Not at all fit 2 SLR bodies or multiple targets. A camera and two lenses at most. Moreover, the materials very fair, velcros a week not stick and dance the camera and lenses inside the backpack. If the whole filled not dance to anything or you try to put 3.4 kg looks set to descujaringarse backpack. Had it not been so long since the buy would definitely return.</v>
      </c>
    </row>
    <row r="16610">
      <c r="A16610" s="1">
        <v>3.0</v>
      </c>
      <c r="B16610" s="1" t="s">
        <v>16453</v>
      </c>
      <c r="C16610" t="str">
        <f>IFERROR(__xludf.DUMMYFUNCTION("GOOGLETRANSLATE(B16610, ""es"", ""en"")"),"Bonitas are very nice and look good quality. As for size, if you doubt choose the larger, I did and I still hurt the little finger.")</f>
        <v>Bonitas are very nice and look good quality. As for size, if you doubt choose the larger, I did and I still hurt the little finger.</v>
      </c>
    </row>
    <row r="16611">
      <c r="A16611" s="1">
        <v>3.0</v>
      </c>
      <c r="B16611" s="1" t="s">
        <v>16454</v>
      </c>
      <c r="C16611" t="str">
        <f>IFERROR(__xludf.DUMMYFUNCTION("GOOGLETRANSLATE(B16611, ""es"", ""en"")"),"Good quality. Good quality. Not suitable for thin wrists, is released.")</f>
        <v>Good quality. Good quality. Not suitable for thin wrists, is released.</v>
      </c>
    </row>
    <row r="16612">
      <c r="A16612" s="1">
        <v>1.0</v>
      </c>
      <c r="B16612" s="1" t="s">
        <v>16455</v>
      </c>
      <c r="C16612" t="str">
        <f>IFERROR(__xludf.DUMMYFUNCTION("GOOGLETRANSLATE(B16612, ""es"", ""en"")"),"Do not wash do not wash well")</f>
        <v>Do not wash do not wash well</v>
      </c>
    </row>
    <row r="16613">
      <c r="A16613" s="1">
        <v>1.0</v>
      </c>
      <c r="B16613" s="1" t="s">
        <v>16456</v>
      </c>
      <c r="C16613" t="str">
        <f>IFERROR(__xludf.DUMMYFUNCTION("GOOGLETRANSLATE(B16613, ""es"", ""en"")"),"Shame. I bought this hard drive seeing that was on sale at Amazon. I've plugged into my computer and the only problem I saw him was that it was quite noise, until then good. My problem was that I wanted it mainly for storage of movies to watch on TV power"&amp;" and none of my 3 TVs detect it. I find it amazing. 25 euros thrown away.")</f>
        <v>Shame. I bought this hard drive seeing that was on sale at Amazon. I've plugged into my computer and the only problem I saw him was that it was quite noise, until then good. My problem was that I wanted it mainly for storage of movies to watch on TV power and none of my 3 TVs detect it. I find it amazing. 25 euros thrown away.</v>
      </c>
    </row>
    <row r="16614">
      <c r="A16614" s="1">
        <v>4.0</v>
      </c>
      <c r="B16614" s="1" t="s">
        <v>16457</v>
      </c>
      <c r="C16614" t="str">
        <f>IFERROR(__xludf.DUMMYFUNCTION("GOOGLETRANSLATE(B16614, ""es"", ""en"")"),"Good buy I bought them to always have a USB memory on each of my workstations, and really fulfill their function. For me a bit pricey considering they are not good but ... 16GB 3.0 that remain in 14GB or so.")</f>
        <v>Good buy I bought them to always have a USB memory on each of my workstations, and really fulfill their function. For me a bit pricey considering they are not good but ... 16GB 3.0 that remain in 14GB or so.</v>
      </c>
    </row>
    <row r="16615">
      <c r="A16615" s="1">
        <v>4.0</v>
      </c>
      <c r="B16615" s="1" t="s">
        <v>16458</v>
      </c>
      <c r="C16615" t="str">
        <f>IFERROR(__xludf.DUMMYFUNCTION("GOOGLETRANSLATE(B16615, ""es"", ""en"")"),"Very comfortable and thrifty program is the first I have with coach kettle temperature and I can assure you that saves a lot of light. Knowing the temperature you need, what programs easily and completely off before boiling, whereby light is spending cons"&amp;"iderably lower. It keeps hot water several minutes. Only I miss it crystal and transparent.")</f>
        <v>Very comfortable and thrifty program is the first I have with coach kettle temperature and I can assure you that saves a lot of light. Knowing the temperature you need, what programs easily and completely off before boiling, whereby light is spending considerably lower. It keeps hot water several minutes. Only I miss it crystal and transparent.</v>
      </c>
    </row>
    <row r="16616">
      <c r="A16616" s="1">
        <v>4.0</v>
      </c>
      <c r="B16616" s="1" t="s">
        <v>16459</v>
      </c>
      <c r="C16616" t="str">
        <f>IFERROR(__xludf.DUMMYFUNCTION("GOOGLETRANSLATE(B16616, ""es"", ""en"")"),"Well ... as all of that brand Buenos bottles and all that mark, tetina close, to start a baby in the wonderful world of the nurse, low weight but a little long according to sterilizers, for Avent for example. .. otherwise perfect .... and cheap ....")</f>
        <v>Well ... as all of that brand Buenos bottles and all that mark, tetina close, to start a baby in the wonderful world of the nurse, low weight but a little long according to sterilizers, for Avent for example. .. otherwise perfect .... and cheap ....</v>
      </c>
    </row>
    <row r="16617">
      <c r="A16617" s="1">
        <v>4.0</v>
      </c>
      <c r="B16617" s="1" t="s">
        <v>16460</v>
      </c>
      <c r="C16617" t="str">
        <f>IFERROR(__xludf.DUMMYFUNCTION("GOOGLETRANSLATE(B16617, ""es"", ""en"")"),"Good feelings As indicated in the comments if you are hesitating between two sizes smaller catches. Good value for money")</f>
        <v>Good feelings As indicated in the comments if you are hesitating between two sizes smaller catches. Good value for money</v>
      </c>
    </row>
    <row r="16618">
      <c r="A16618" s="1">
        <v>5.0</v>
      </c>
      <c r="B16618" s="1" t="s">
        <v>16461</v>
      </c>
      <c r="C16618" t="str">
        <f>IFERROR(__xludf.DUMMYFUNCTION("GOOGLETRANSLATE(B16618, ""es"", ""en"")"),"They are not skin well. What I was looking for. Although not seem resistant skin")</f>
        <v>They are not skin well. What I was looking for. Although not seem resistant skin</v>
      </c>
    </row>
    <row r="16619">
      <c r="A16619" s="1">
        <v>5.0</v>
      </c>
      <c r="B16619" s="1" t="s">
        <v>16462</v>
      </c>
      <c r="C16619" t="str">
        <f>IFERROR(__xludf.DUMMYFUNCTION("GOOGLETRANSLATE(B16619, ""es"", ""en"")"),"Very comfortable 3-Pack sports bras. Buy size M and size is perfect. They are super comfortable and not wearing seams makes no chafing and are perfect for any kind of sport. They come in three different colors. The quality seems pretty good and quite brea"&amp;"thable and absorb sweat well. The design is very nice and the colors too. The value is unbeatable.")</f>
        <v>Very comfortable 3-Pack sports bras. Buy size M and size is perfect. They are super comfortable and not wearing seams makes no chafing and are perfect for any kind of sport. They come in three different colors. The quality seems pretty good and quite breathable and absorb sweat well. The design is very nice and the colors too. The value is unbeatable.</v>
      </c>
    </row>
    <row r="16620">
      <c r="A16620" s="1">
        <v>5.0</v>
      </c>
      <c r="B16620" s="1" t="s">
        <v>16463</v>
      </c>
      <c r="C16620" t="str">
        <f>IFERROR(__xludf.DUMMYFUNCTION("GOOGLETRANSLATE(B16620, ""es"", ""en"")"),"It is a wonder. No latency, play electric guitar for many years and play without any wires to bother you is amazing, I've used for rehearsals and to play at home and great, on the other hand it not seemed to find me difference in sound quality using cable"&amp;" or this, so great in this regard. Weighs just so he does not uncomfortable to the use and does not take anything to connect the receiver to the transmitter, very good article.")</f>
        <v>It is a wonder. No latency, play electric guitar for many years and play without any wires to bother you is amazing, I've used for rehearsals and to play at home and great, on the other hand it not seemed to find me difference in sound quality using cable or this, so great in this regard. Weighs just so he does not uncomfortable to the use and does not take anything to connect the receiver to the transmitter, very good article.</v>
      </c>
    </row>
    <row r="16621">
      <c r="A16621" s="1">
        <v>5.0</v>
      </c>
      <c r="B16621" s="1" t="s">
        <v>16464</v>
      </c>
      <c r="C16621" t="str">
        <f>IFERROR(__xludf.DUMMYFUNCTION("GOOGLETRANSLATE(B16621, ""es"", ""en"")"),"Comfortable and original are very comfortable by the wedge and also weigh little. They are perfect for pants and skirts")</f>
        <v>Comfortable and original are very comfortable by the wedge and also weigh little. They are perfect for pants and skirts</v>
      </c>
    </row>
    <row r="16622">
      <c r="A16622" s="1">
        <v>5.0</v>
      </c>
      <c r="B16622" s="1" t="s">
        <v>16465</v>
      </c>
      <c r="C16622" t="str">
        <f>IFERROR(__xludf.DUMMYFUNCTION("GOOGLETRANSLATE(B16622, ""es"", ""en"")"),"Shirt simple and pretty good value. Size L to 176 and 75 kg. A little long, but the size M I'd stayed very tight and I do not like. It is pretty and looks good quality.")</f>
        <v>Shirt simple and pretty good value. Size L to 176 and 75 kg. A little long, but the size M I'd stayed very tight and I do not like. It is pretty and looks good quality.</v>
      </c>
    </row>
    <row r="16623">
      <c r="A16623" s="1">
        <v>5.0</v>
      </c>
      <c r="B16623" s="1" t="s">
        <v>16466</v>
      </c>
      <c r="C16623" t="str">
        <f>IFERROR(__xludf.DUMMYFUNCTION("GOOGLETRANSLATE(B16623, ""es"", ""en"")"),"Fits perfect advertised.")</f>
        <v>Fits perfect advertised.</v>
      </c>
    </row>
    <row r="16624">
      <c r="A16624" s="1">
        <v>5.0</v>
      </c>
      <c r="B16624" s="1" t="s">
        <v>16467</v>
      </c>
      <c r="C16624" t="str">
        <f>IFERROR(__xludf.DUMMYFUNCTION("GOOGLETRANSLATE(B16624, ""es"", ""en"")"),"Comfy is super comfortable and breathable .... perfect ...")</f>
        <v>Comfy is super comfortable and breathable .... perfect ...</v>
      </c>
    </row>
    <row r="16625">
      <c r="A16625" s="1">
        <v>5.0</v>
      </c>
      <c r="B16625" s="1" t="s">
        <v>16468</v>
      </c>
      <c r="C16625" t="str">
        <f>IFERROR(__xludf.DUMMYFUNCTION("GOOGLETRANSLATE(B16625, ""es"", ""en"")"),"100% recommended is much nicer than the picture, how bad is the three bottles with nozzle 2.")</f>
        <v>100% recommended is much nicer than the picture, how bad is the three bottles with nozzle 2.</v>
      </c>
    </row>
    <row r="16626">
      <c r="A16626" s="1">
        <v>5.0</v>
      </c>
      <c r="B16626" s="1" t="s">
        <v>16469</v>
      </c>
      <c r="C16626" t="str">
        <f>IFERROR(__xludf.DUMMYFUNCTION("GOOGLETRANSLATE(B16626, ""es"", ""en"")"),"Excellent seller quality product arrived earlier. I'll keep buying. highly recommended")</f>
        <v>Excellent seller quality product arrived earlier. I'll keep buying. highly recommended</v>
      </c>
    </row>
    <row r="16627">
      <c r="A16627" s="1">
        <v>5.0</v>
      </c>
      <c r="B16627" s="1" t="s">
        <v>16470</v>
      </c>
      <c r="C16627" t="str">
        <f>IFERROR(__xludf.DUMMYFUNCTION("GOOGLETRANSLATE(B16627, ""es"", ""en"")"),"Fast, quiet and great design I love the design, it makes no noise, plus I use with PS4 and going great, highly recommended.")</f>
        <v>Fast, quiet and great design I love the design, it makes no noise, plus I use with PS4 and going great, highly recommended.</v>
      </c>
    </row>
    <row r="16628">
      <c r="A16628" s="1">
        <v>5.0</v>
      </c>
      <c r="B16628" s="1" t="s">
        <v>16471</v>
      </c>
      <c r="C16628" t="str">
        <f>IFERROR(__xludf.DUMMYFUNCTION("GOOGLETRANSLATE(B16628, ""es"", ""en"")"),"The best quality there comes As always orders a day to a member of Amazon. I have sorpredido the quality that has the sticker, it is as strong as glue glue. I know there is another brand sticker works out cheaper than this, but if you are looking for qual"&amp;"ity, this is the best option there is.")</f>
        <v>The best quality there comes As always orders a day to a member of Amazon. I have sorpredido the quality that has the sticker, it is as strong as glue glue. I know there is another brand sticker works out cheaper than this, but if you are looking for quality, this is the best option there is.</v>
      </c>
    </row>
    <row r="16629">
      <c r="A16629" s="1">
        <v>5.0</v>
      </c>
      <c r="B16629" s="1" t="s">
        <v>16472</v>
      </c>
      <c r="C16629" t="str">
        <f>IFERROR(__xludf.DUMMYFUNCTION("GOOGLETRANSLATE(B16629, ""es"", ""en"")"),"It is very powerful and fun joy at every party. It serves both small and adults. Very good sound power.")</f>
        <v>It is very powerful and fun joy at every party. It serves both small and adults. Very good sound power.</v>
      </c>
    </row>
    <row r="16630">
      <c r="A16630" s="1">
        <v>5.0</v>
      </c>
      <c r="B16630" s="1" t="s">
        <v>16473</v>
      </c>
      <c r="C16630" t="str">
        <f>IFERROR(__xludf.DUMMYFUNCTION("GOOGLETRANSLATE(B16630, ""es"", ""en"")"),"Encantada had doubts but the truth is that it works very well and it took a month and perfect. Is little that is great because I do not have much space in my top but powerful. It has much super practical accessories")</f>
        <v>Encantada had doubts but the truth is that it works very well and it took a month and perfect. Is little that is great because I do not have much space in my top but powerful. It has much super practical accessories</v>
      </c>
    </row>
    <row r="16631">
      <c r="A16631" s="1">
        <v>5.0</v>
      </c>
      <c r="B16631" s="1" t="s">
        <v>16474</v>
      </c>
      <c r="C16631" t="str">
        <f>IFERROR(__xludf.DUMMYFUNCTION("GOOGLETRANSLATE(B16631, ""es"", ""en"")"),"The best shoes I've had are very comfortable, it seems not take anything since and do not weigh anything. To work, for sport or for day to day, certainly perfect. Foam sole memora is amazing, definitely buy more in other colors.")</f>
        <v>The best shoes I've had are very comfortable, it seems not take anything since and do not weigh anything. To work, for sport or for day to day, certainly perfect. Foam sole memora is amazing, definitely buy more in other colors.</v>
      </c>
    </row>
    <row r="16632">
      <c r="A16632" s="1">
        <v>5.0</v>
      </c>
      <c r="B16632" s="1" t="s">
        <v>16475</v>
      </c>
      <c r="C16632" t="str">
        <f>IFERROR(__xludf.DUMMYFUNCTION("GOOGLETRANSLATE(B16632, ""es"", ""en"")"),"Quality product at a great price Shipping was very fast I asked Monday afternoon and I arrived Tuesday morning before 12. After trying it for intensely can say that certainly are the best wireless headphones I've tried, fit perfectly into ear, do not move"&amp;" and do not bother running or itch in the ear; how to use them while moving his mouth and even chewing are subject to very well. The sound is especially good to play both the console to listen to music and handsfree hear very well the other person and the"&amp;"y will also listen to perfect; much difference with other similar headsets or lower price I've tried. The battery with charge takes me about 4 or 5 hours and then put to charge the magnetic base and a couple of hours and are loaded again; I usually use on"&amp;"e and then the other and will combine, and even tried a handset and other My wife ... I definitely recommend buying it for 30 € you can have a very good quality headphones and the end save money. The package is wrapped with two tires of different sizes an"&amp;"d cable for charging with a well packed box constructions.")</f>
        <v>Quality product at a great price Shipping was very fast I asked Monday afternoon and I arrived Tuesday morning before 12. After trying it for intensely can say that certainly are the best wireless headphones I've tried, fit perfectly into ear, do not move and do not bother running or itch in the ear; how to use them while moving his mouth and even chewing are subject to very well. The sound is especially good to play both the console to listen to music and handsfree hear very well the other person and they will also listen to perfect; much difference with other similar headsets or lower price I've tried. The battery with charge takes me about 4 or 5 hours and then put to charge the magnetic base and a couple of hours and are loaded again; I usually use one and then the other and will combine, and even tried a handset and other My wife ... I definitely recommend buying it for 30 € you can have a very good quality headphones and the end save money. The package is wrapped with two tires of different sizes and cable for charging with a well packed box constructions.</v>
      </c>
    </row>
    <row r="16633">
      <c r="A16633" s="1">
        <v>5.0</v>
      </c>
      <c r="B16633" s="1" t="s">
        <v>16476</v>
      </c>
      <c r="C16633" t="str">
        <f>IFERROR(__xludf.DUMMYFUNCTION("GOOGLETRANSLATE(B16633, ""es"", ""en"")"),"Exactly what I wanted I wanted a small blender to make a couple of glasses of milkshakes, smoothies and others, I did not want to use the robot large kitchen for it, and the truth is that this mixer meets perfectly with what he wanted. I like to bring mor"&amp;"e containers to use, including two cups you can put a tight lid and take them to work with your shake prepared. It is also very easy to clean, put in the container used some soap and water and put it to spin in the blender. To make matters worse, I was lo"&amp;"oking for a coffee grinder, and I can do it with this device. I'm using it every day, I love it.")</f>
        <v>Exactly what I wanted I wanted a small blender to make a couple of glasses of milkshakes, smoothies and others, I did not want to use the robot large kitchen for it, and the truth is that this mixer meets perfectly with what he wanted. I like to bring more containers to use, including two cups you can put a tight lid and take them to work with your shake prepared. It is also very easy to clean, put in the container used some soap and water and put it to spin in the blender. To make matters worse, I was looking for a coffee grinder, and I can do it with this device. I'm using it every day, I love it.</v>
      </c>
    </row>
    <row r="16634">
      <c r="A16634" s="1">
        <v>5.0</v>
      </c>
      <c r="B16634" s="1" t="s">
        <v>16477</v>
      </c>
      <c r="C16634" t="str">
        <f>IFERROR(__xludf.DUMMYFUNCTION("GOOGLETRANSLATE(B16634, ""es"", ""en"")"),"Now if not before. The first thing I had caused me more than one headache a week to have it so I replaced the other because more than an intelligent robot, the robot had tonto.Se erased by a map at every moment, mopped half room and say which already comp"&amp;"leted cleaning the base to sleep, sometimes I did not know back to base ... anyway. However, the replacement model is giving me a bargain. I made a great map of my apartment freeing each area as I had not done better, clean everything and when it ends its"&amp;" base will load up next. Now I can say that I recommend. P.S. Be care if you think about buying it to be respectful maintenance, because the have not done with the first model could see was (or not, as had been lacking) a bad influence on this. Read you t"&amp;"he manual before doing anything with it and when to remove the fence the water tank, remove the brush, or make any cleaning required to reverse, always switch off the switch and disconnect from the charging station. When finished, manually put in the char"&amp;"ging station, plug in the base and give it to switch the robot, restores the map and list.")</f>
        <v>Now if not before. The first thing I had caused me more than one headache a week to have it so I replaced the other because more than an intelligent robot, the robot had tonto.Se erased by a map at every moment, mopped half room and say which already completed cleaning the base to sleep, sometimes I did not know back to base ... anyway. However, the replacement model is giving me a bargain. I made a great map of my apartment freeing each area as I had not done better, clean everything and when it ends its base will load up next. Now I can say that I recommend. P.S. Be care if you think about buying it to be respectful maintenance, because the have not done with the first model could see was (or not, as had been lacking) a bad influence on this. Read you the manual before doing anything with it and when to remove the fence the water tank, remove the brush, or make any cleaning required to reverse, always switch off the switch and disconnect from the charging station. When finished, manually put in the charging station, plug in the base and give it to switch the robot, restores the map and list.</v>
      </c>
    </row>
    <row r="16635">
      <c r="A16635" s="1">
        <v>5.0</v>
      </c>
      <c r="B16635" s="1" t="s">
        <v>16478</v>
      </c>
      <c r="C16635" t="str">
        <f>IFERROR(__xludf.DUMMYFUNCTION("GOOGLETRANSLATE(B16635, ""es"", ""en"")"),"Federico Cordero really effective against joint and muscle pain, though not immediately several sessions are needed to notice its effect ok")</f>
        <v>Federico Cordero really effective against joint and muscle pain, though not immediately several sessions are needed to notice its effect ok</v>
      </c>
    </row>
    <row r="16636">
      <c r="A16636" s="1">
        <v>5.0</v>
      </c>
      <c r="B16636" s="1" t="s">
        <v>16479</v>
      </c>
      <c r="C16636" t="str">
        <f>IFERROR(__xludf.DUMMYFUNCTION("GOOGLETRANSLATE(B16636, ""es"", ""en"")"),"Is the watch that has long been looking for. For now it works perfectly. I hope it stays that way for many years.")</f>
        <v>Is the watch that has long been looking for. For now it works perfectly. I hope it stays that way for many years.</v>
      </c>
    </row>
    <row r="16637">
      <c r="A16637" s="1">
        <v>2.0</v>
      </c>
      <c r="B16637" s="1" t="s">
        <v>16480</v>
      </c>
      <c r="C16637" t="str">
        <f>IFERROR(__xludf.DUMMYFUNCTION("GOOGLETRANSLATE(B16637, ""es"", ""en"")"),"And failure After eighteen months of use has begun to fail, transfer speeds are erratic. As soon copy 36 mb / s lies 11 kb / s or for directly. I have formatted and revised but still the same. I use it daily it but I think obsolescence has been very rapid"&amp;".")</f>
        <v>And failure After eighteen months of use has begun to fail, transfer speeds are erratic. As soon copy 36 mb / s lies 11 kb / s or for directly. I have formatted and revised but still the same. I use it daily it but I think obsolescence has been very rapid.</v>
      </c>
    </row>
    <row r="16638">
      <c r="A16638" s="1">
        <v>3.0</v>
      </c>
      <c r="B16638" s="1" t="s">
        <v>16481</v>
      </c>
      <c r="C16638" t="str">
        <f>IFERROR(__xludf.DUMMYFUNCTION("GOOGLETRANSLATE(B16638, ""es"", ""en"")"),"The pressure is not growing or gradual did not notice too much rest after using it and I congested blood in the foot because pressure is not gradual and growing. It inflates all at once and at the same pressure, so it is not really a portable machine pres"&amp;"oterapia. But for the price you have, you may not ask for more.")</f>
        <v>The pressure is not growing or gradual did not notice too much rest after using it and I congested blood in the foot because pressure is not gradual and growing. It inflates all at once and at the same pressure, so it is not really a portable machine presoterapia. But for the price you have, you may not ask for more.</v>
      </c>
    </row>
    <row r="16639">
      <c r="A16639" s="1">
        <v>1.0</v>
      </c>
      <c r="B16639" s="1" t="s">
        <v>16482</v>
      </c>
      <c r="C16639" t="str">
        <f>IFERROR(__xludf.DUMMYFUNCTION("GOOGLETRANSLATE(B16639, ""es"", ""en"")"),"Fatal No liked q holes where there q pass the cords is plastic because I arrived on Monday and Tuesday has brought them from the broken cole porq to the stretch to tie the laces broken plastic end shoes in one day and have no side 9 € q cost me 22 € and q"&amp;"'m very upset.")</f>
        <v>Fatal No liked q holes where there q pass the cords is plastic because I arrived on Monday and Tuesday has brought them from the broken cole porq to the stretch to tie the laces broken plastic end shoes in one day and have no side 9 € q cost me 22 € and q'm very upset.</v>
      </c>
    </row>
    <row r="16640">
      <c r="A16640" s="1">
        <v>1.0</v>
      </c>
      <c r="B16640" s="1" t="s">
        <v>16483</v>
      </c>
      <c r="C16640" t="str">
        <f>IFERROR(__xludf.DUMMYFUNCTION("GOOGLETRANSLATE(B16640, ""es"", ""en"")"),"It did not work and I had bad luck I guess, mine does not work.")</f>
        <v>It did not work and I had bad luck I guess, mine does not work.</v>
      </c>
    </row>
    <row r="16641">
      <c r="A16641" s="1">
        <v>4.0</v>
      </c>
      <c r="B16641" s="1" t="s">
        <v>16484</v>
      </c>
      <c r="C16641" t="str">
        <f>IFERROR(__xludf.DUMMYFUNCTION("GOOGLETRANSLATE(B16641, ""es"", ""en"")"),"I ordered correct size and quality size usually use, and corresponds smoothly. They are tight at the ankle, which is good for the winter, so that the pants will not rise. Very warm and soft touch. They do not seem overly resistant to washing, especially a"&amp;"t the beginning that loose clumps.")</f>
        <v>I ordered correct size and quality size usually use, and corresponds smoothly. They are tight at the ankle, which is good for the winter, so that the pants will not rise. Very warm and soft touch. They do not seem overly resistant to washing, especially at the beginning that loose clumps.</v>
      </c>
    </row>
    <row r="16642">
      <c r="A16642" s="1">
        <v>4.0</v>
      </c>
      <c r="B16642" s="1" t="s">
        <v>16485</v>
      </c>
      <c r="C16642" t="str">
        <f>IFERROR(__xludf.DUMMYFUNCTION("GOOGLETRANSLATE(B16642, ""es"", ""en"")"),"I expected has been just what I expected. Very fast shipping and very good product, very soft skin is noticed and improved is not miraculous but it is useful")</f>
        <v>I expected has been just what I expected. Very fast shipping and very good product, very soft skin is noticed and improved is not miraculous but it is useful</v>
      </c>
    </row>
    <row r="16643">
      <c r="A16643" s="1">
        <v>4.0</v>
      </c>
      <c r="B16643" s="1" t="s">
        <v>16486</v>
      </c>
      <c r="C16643" t="str">
        <f>IFERROR(__xludf.DUMMYFUNCTION("GOOGLETRANSLATE(B16643, ""es"", ""en"")"),"fulfills its function the product has a gum base does not slide on the table and a padded wrist support which is rigid enough to avoid sinking of the whole to the support")</f>
        <v>fulfills its function the product has a gum base does not slide on the table and a padded wrist support which is rigid enough to avoid sinking of the whole to the support</v>
      </c>
    </row>
    <row r="16644">
      <c r="A16644" s="1">
        <v>4.0</v>
      </c>
      <c r="B16644" s="1" t="s">
        <v>16487</v>
      </c>
      <c r="C16644" t="str">
        <f>IFERROR(__xludf.DUMMYFUNCTION("GOOGLETRANSLATE(B16644, ""es"", ""en"")"),"Headset highly recommended anc I was surprised. All the limited distance because the Bluetooth 4.2")</f>
        <v>Headset highly recommended anc I was surprised. All the limited distance because the Bluetooth 4.2</v>
      </c>
    </row>
    <row r="16645">
      <c r="A16645" s="1">
        <v>4.0</v>
      </c>
      <c r="B16645" s="1" t="s">
        <v>16488</v>
      </c>
      <c r="C16645" t="str">
        <f>IFERROR(__xludf.DUMMYFUNCTION("GOOGLETRANSLATE(B16645, ""es"", ""en"")"),"Delivery time well, has good touch and my son is satisfied with the sweatshirt. Perhaps it is thicker than it looks but no biggie.")</f>
        <v>Delivery time well, has good touch and my son is satisfied with the sweatshirt. Perhaps it is thicker than it looks but no biggie.</v>
      </c>
    </row>
    <row r="16646">
      <c r="A16646" s="1">
        <v>5.0</v>
      </c>
      <c r="B16646" s="1" t="s">
        <v>16489</v>
      </c>
      <c r="C16646" t="str">
        <f>IFERROR(__xludf.DUMMYFUNCTION("GOOGLETRANSLATE(B16646, ""es"", ""en"")"),"Freshness. Since the first application may notice positive results. Imagine using it for time will be more effective. But the first time he has already loved! 60 patches are dark circles around the eyes. I put it in the fridge so noticeable cooler. It com"&amp;"es as a gelatin or gel applied in the area and leave it for a while. Reduces dark circles and puffiness in the eye area. It smells good as fresh. At the remove the skin feel is very nice. I liked it, keep using them.")</f>
        <v>Freshness. Since the first application may notice positive results. Imagine using it for time will be more effective. But the first time he has already loved! 60 patches are dark circles around the eyes. I put it in the fridge so noticeable cooler. It comes as a gelatin or gel applied in the area and leave it for a while. Reduces dark circles and puffiness in the eye area. It smells good as fresh. At the remove the skin feel is very nice. I liked it, keep using them.</v>
      </c>
    </row>
    <row r="16647">
      <c r="A16647" s="1">
        <v>5.0</v>
      </c>
      <c r="B16647" s="1" t="s">
        <v>16490</v>
      </c>
      <c r="C16647" t="str">
        <f>IFERROR(__xludf.DUMMYFUNCTION("GOOGLETRANSLATE(B16647, ""es"", ""en"")"),"Perfect, I climb level in my presentations I have gained a level in my company presentations, good, nice and cheap, I have not failed and the battery lasts a lot, the laser is not to play .......")</f>
        <v>Perfect, I climb level in my presentations I have gained a level in my company presentations, good, nice and cheap, I have not failed and the battery lasts a lot, the laser is not to play .......</v>
      </c>
    </row>
    <row r="16648">
      <c r="A16648" s="1">
        <v>5.0</v>
      </c>
      <c r="B16648" s="1" t="s">
        <v>16491</v>
      </c>
      <c r="C16648" t="str">
        <f>IFERROR(__xludf.DUMMYFUNCTION("GOOGLETRANSLATE(B16648, ""es"", ""en"")"),"wonderful quality'm glad you used to everything in the microwave and the kettle saves me time and money besides being much healthier would buy it again")</f>
        <v>wonderful quality'm glad you used to everything in the microwave and the kettle saves me time and money besides being much healthier would buy it again</v>
      </c>
    </row>
    <row r="16649">
      <c r="A16649" s="1">
        <v>5.0</v>
      </c>
      <c r="B16649" s="1" t="s">
        <v>16492</v>
      </c>
      <c r="C16649" t="str">
        <f>IFERROR(__xludf.DUMMYFUNCTION("GOOGLETRANSLATE(B16649, ""es"", ""en"")"),"Good Todo Perfecto! I came super fast. In its box and well packaged. It works well!")</f>
        <v>Good Todo Perfecto! I came super fast. In its box and well packaged. It works well!</v>
      </c>
    </row>
    <row r="16650">
      <c r="A16650" s="1">
        <v>5.0</v>
      </c>
      <c r="B16650" s="1" t="s">
        <v>16493</v>
      </c>
      <c r="C16650" t="str">
        <f>IFERROR(__xludf.DUMMYFUNCTION("GOOGLETRANSLATE(B16650, ""es"", ""en"")"),"Hoodie perfect ..")</f>
        <v>Hoodie perfect ..</v>
      </c>
    </row>
    <row r="16651">
      <c r="A16651" s="1">
        <v>5.0</v>
      </c>
      <c r="B16651" s="1" t="s">
        <v>16494</v>
      </c>
      <c r="C16651" t="str">
        <f>IFERROR(__xludf.DUMMYFUNCTION("GOOGLETRANSLATE(B16651, ""es"", ""en"")"),"Damping butt! Calzan as a number more than the Triumph Iso 2. Otherwise, perfect !!! For my husband, the best shoes you've had. I think so. I do not buy another brand. I have the Zealot, Ride, Xodus ...")</f>
        <v>Damping butt! Calzan as a number more than the Triumph Iso 2. Otherwise, perfect !!! For my husband, the best shoes you've had. I think so. I do not buy another brand. I have the Zealot, Ride, Xodus ...</v>
      </c>
    </row>
    <row r="16652">
      <c r="A16652" s="1">
        <v>5.0</v>
      </c>
      <c r="B16652" s="1" t="s">
        <v>16495</v>
      </c>
      <c r="C16652" t="str">
        <f>IFERROR(__xludf.DUMMYFUNCTION("GOOGLETRANSLATE(B16652, ""es"", ""en"")"),"Air vintage Casio. Classic clock air. Functions covered by any mobile but not for these one acquires the clock is nice, comfortable and continues to draw attention. Battery life (10 years) extraordinary, but time will tell. Too bad not submersible but who"&amp;" uses a calculator under water? Recommendable.")</f>
        <v>Air vintage Casio. Classic clock air. Functions covered by any mobile but not for these one acquires the clock is nice, comfortable and continues to draw attention. Battery life (10 years) extraordinary, but time will tell. Too bad not submersible but who uses a calculator under water? Recommendable.</v>
      </c>
    </row>
    <row r="16653">
      <c r="A16653" s="1">
        <v>5.0</v>
      </c>
      <c r="B16653" s="1" t="s">
        <v>16496</v>
      </c>
      <c r="C16653" t="str">
        <f>IFERROR(__xludf.DUMMYFUNCTION("GOOGLETRANSLATE(B16653, ""es"", ""en"")"),"Excellent Rejoj a very good price medium-small size is convenient, accurate, easy to handle and very good price")</f>
        <v>Excellent Rejoj a very good price medium-small size is convenient, accurate, easy to handle and very good price</v>
      </c>
    </row>
    <row r="16654">
      <c r="A16654" s="1">
        <v>5.0</v>
      </c>
      <c r="B16654" s="1" t="s">
        <v>16497</v>
      </c>
      <c r="C16654" t="str">
        <f>IFERROR(__xludf.DUMMYFUNCTION("GOOGLETRANSLATE(B16654, ""es"", ""en"")"),"I liked it, it is in perfect condition. I liked it, it is in perfect condition.")</f>
        <v>I liked it, it is in perfect condition. I liked it, it is in perfect condition.</v>
      </c>
    </row>
    <row r="16655">
      <c r="A16655" s="1">
        <v>5.0</v>
      </c>
      <c r="B16655" s="1" t="s">
        <v>16498</v>
      </c>
      <c r="C16655" t="str">
        <f>IFERROR(__xludf.DUMMYFUNCTION("GOOGLETRANSLATE(B16655, ""es"", ""en"")"),"I'm thrilled beautiful earrings are just as wanted, excellent quality, closure and size is perfect for my taste very well.")</f>
        <v>I'm thrilled beautiful earrings are just as wanted, excellent quality, closure and size is perfect for my taste very well.</v>
      </c>
    </row>
    <row r="16656">
      <c r="A16656" s="1">
        <v>5.0</v>
      </c>
      <c r="B16656" s="1" t="s">
        <v>16499</v>
      </c>
      <c r="C16656" t="str">
        <f>IFERROR(__xludf.DUMMYFUNCTION("GOOGLETRANSLATE(B16656, ""es"", ""en"")"),"I have had good experience good bass, which is not difficult, but it surprised me that also have good treble, which is not normal in-ear headphones this price range. The second thing I like most is lighting, are very beautiful with lights, and the battery"&amp;", which habiéndolos used very little, sorry one day, has not dropped 90%")</f>
        <v>I have had good experience good bass, which is not difficult, but it surprised me that also have good treble, which is not normal in-ear headphones this price range. The second thing I like most is lighting, are very beautiful with lights, and the battery, which habiéndolos used very little, sorry one day, has not dropped 90%</v>
      </c>
    </row>
    <row r="16657">
      <c r="A16657" s="1">
        <v>5.0</v>
      </c>
      <c r="B16657" s="1" t="s">
        <v>16500</v>
      </c>
      <c r="C16657" t="str">
        <f>IFERROR(__xludf.DUMMYFUNCTION("GOOGLETRANSLATE(B16657, ""es"", ""en"")"),"Convenient and practical. Very comfortable to wear and general practice. It also has an outside placket which perfectly goes into a vape (electronic cigarette) and falls at the height of the chest, which can vapear without having it in hand. Let us very h"&amp;"appy.")</f>
        <v>Convenient and practical. Very comfortable to wear and general practice. It also has an outside placket which perfectly goes into a vape (electronic cigarette) and falls at the height of the chest, which can vapear without having it in hand. Let us very happy.</v>
      </c>
    </row>
    <row r="16658">
      <c r="A16658" s="1">
        <v>5.0</v>
      </c>
      <c r="B16658" s="1" t="s">
        <v>16501</v>
      </c>
      <c r="C16658" t="str">
        <f>IFERROR(__xludf.DUMMYFUNCTION("GOOGLETRANSLATE(B16658, ""es"", ""en"")"),"Comfortable and are needed very comfortable these pads. Offer guidance they need my wrists. I recommend them.")</f>
        <v>Comfortable and are needed very comfortable these pads. Offer guidance they need my wrists. I recommend them.</v>
      </c>
    </row>
    <row r="16659">
      <c r="A16659" s="1">
        <v>5.0</v>
      </c>
      <c r="B16659" s="1" t="s">
        <v>16502</v>
      </c>
      <c r="C16659" t="str">
        <f>IFERROR(__xludf.DUMMYFUNCTION("GOOGLETRANSLATE(B16659, ""es"", ""en"")"),"Xulisimoooo Xulísimoooo !! One last. a beep every time you do something programs, and no longer bother anymore. The aroma comes out perfect and xulísimas and super dim lights !! 100% recommended, q I think I'll buy a couple more to spread them around the "&amp;"house.")</f>
        <v>Xulisimoooo Xulísimoooo !! One last. a beep every time you do something programs, and no longer bother anymore. The aroma comes out perfect and xulísimas and super dim lights !! 100% recommended, q I think I'll buy a couple more to spread them around the house.</v>
      </c>
    </row>
    <row r="16660">
      <c r="A16660" s="1">
        <v>5.0</v>
      </c>
      <c r="B16660" s="1" t="s">
        <v>16503</v>
      </c>
      <c r="C16660" t="str">
        <f>IFERROR(__xludf.DUMMYFUNCTION("GOOGLETRANSLATE(B16660, ""es"", ""en"")"),"Good buy beautiful shoes and very comfortable")</f>
        <v>Good buy beautiful shoes and very comfortable</v>
      </c>
    </row>
    <row r="16661">
      <c r="A16661" s="1">
        <v>5.0</v>
      </c>
      <c r="B16661" s="1" t="s">
        <v>16504</v>
      </c>
      <c r="C16661" t="str">
        <f>IFERROR(__xludf.DUMMYFUNCTION("GOOGLETRANSLATE(B16661, ""es"", ""en"")"),"Comfortable and good price are comfortable, lightweight, durable, ok size, the price here almost 30 € less than in stores like forum.")</f>
        <v>Comfortable and good price are comfortable, lightweight, durable, ok size, the price here almost 30 € less than in stores like forum.</v>
      </c>
    </row>
    <row r="16662">
      <c r="A16662" s="1">
        <v>5.0</v>
      </c>
      <c r="B16662" s="1" t="s">
        <v>16505</v>
      </c>
      <c r="C16662" t="str">
        <f>IFERROR(__xludf.DUMMYFUNCTION("GOOGLETRANSLATE(B16662, ""es"", ""en"")"),"Heated and are not thick, you can put any shoes No complaints, perhaps you would like more colorful, to being so neutral my sons to me ""caught"". I have to hide because once those have already not serve much give, the fault is not socks if not my childre"&amp;"n, (o)")</f>
        <v>Heated and are not thick, you can put any shoes No complaints, perhaps you would like more colorful, to being so neutral my sons to me "caught". I have to hide because once those have already not serve much give, the fault is not socks if not my children, (o)</v>
      </c>
    </row>
    <row r="16663">
      <c r="A16663" s="1">
        <v>5.0</v>
      </c>
      <c r="B16663" s="1" t="s">
        <v>16506</v>
      </c>
      <c r="C16663" t="str">
        <f>IFERROR(__xludf.DUMMYFUNCTION("GOOGLETRANSLATE(B16663, ""es"", ""en"")"),"Comfort very nice and comfortable slippers, sandals also have Skechers. I am loyal to the brand.")</f>
        <v>Comfort very nice and comfortable slippers, sandals also have Skechers. I am loyal to the brand.</v>
      </c>
    </row>
    <row r="16664">
      <c r="A16664" s="1">
        <v>2.0</v>
      </c>
      <c r="B16664" s="1" t="s">
        <v>16507</v>
      </c>
      <c r="C16664" t="str">
        <f>IFERROR(__xludf.DUMMYFUNCTION("GOOGLETRANSLATE(B16664, ""es"", ""en"")"),"Disappointed. Blue Snowball better (and cheaper). I will discuss below finished, but let's what matters: the audio. Clarification: mainly used for voice recording. I returned this microphone because the audio quality of the model I had before (one Blue Sn"&amp;"owball, the same brand but much lower price) was better in places where there is some echo or reverberation. The voice came much more ""clean"" without any background noise. The Snowball better isolating this environment. I bought the version in silver an"&amp;"d black. Truth, good finish and interesting aesthetic. Very stable.")</f>
        <v>Disappointed. Blue Snowball better (and cheaper). I will discuss below finished, but let's what matters: the audio. Clarification: mainly used for voice recording. I returned this microphone because the audio quality of the model I had before (one Blue Snowball, the same brand but much lower price) was better in places where there is some echo or reverberation. The voice came much more "clean" without any background noise. The Snowball better isolating this environment. I bought the version in silver and black. Truth, good finish and interesting aesthetic. Very stable.</v>
      </c>
    </row>
    <row r="16665">
      <c r="A16665" s="1">
        <v>3.0</v>
      </c>
      <c r="B16665" s="1" t="s">
        <v>16508</v>
      </c>
      <c r="C16665" t="str">
        <f>IFERROR(__xludf.DUMMYFUNCTION("GOOGLETRANSLATE(B16665, ""es"", ""en"")"),"Disappointing paint having the bracelet is misplaced. I do not recommend for allergy sufferers, as I am and I have produced rejection.")</f>
        <v>Disappointing paint having the bracelet is misplaced. I do not recommend for allergy sufferers, as I am and I have produced rejection.</v>
      </c>
    </row>
    <row r="16666">
      <c r="A16666" s="1">
        <v>3.0</v>
      </c>
      <c r="B16666" s="1" t="s">
        <v>16509</v>
      </c>
      <c r="C16666" t="str">
        <f>IFERROR(__xludf.DUMMYFUNCTION("GOOGLETRANSLATE(B16666, ""es"", ""en"")"),"Cool and comfortable but not better in white are very cool and comfortable but very difficult to clean. I washed in the washing machine and yet still stained. Not recommended blank.")</f>
        <v>Cool and comfortable but not better in white are very cool and comfortable but very difficult to clean. I washed in the washing machine and yet still stained. Not recommended blank.</v>
      </c>
    </row>
    <row r="16667">
      <c r="A16667" s="1">
        <v>1.0</v>
      </c>
      <c r="B16667" s="1" t="s">
        <v>16510</v>
      </c>
      <c r="C16667" t="str">
        <f>IFERROR(__xludf.DUMMYFUNCTION("GOOGLETRANSLATE(B16667, ""es"", ""en"")"),"Very bad. He stopped working immediately and technical service does not answer. The heater is great and we loved but little left to warm up and then stopped working the whole. I have written twice to the service and weeks later I have not yet answer. Very"&amp;" bad. I will not be buying anything from this brand.")</f>
        <v>Very bad. He stopped working immediately and technical service does not answer. The heater is great and we loved but little left to warm up and then stopped working the whole. I have written twice to the service and weeks later I have not yet answer. Very bad. I will not be buying anything from this brand.</v>
      </c>
    </row>
    <row r="16668">
      <c r="A16668" s="1">
        <v>1.0</v>
      </c>
      <c r="B16668" s="1" t="s">
        <v>16511</v>
      </c>
      <c r="C16668" t="str">
        <f>IFERROR(__xludf.DUMMYFUNCTION("GOOGLETRANSLATE(B16668, ""es"", ""en"")"),"I arrived today opened disappointment and the broken lens")</f>
        <v>I arrived today opened disappointment and the broken lens</v>
      </c>
    </row>
    <row r="16669">
      <c r="A16669" s="1">
        <v>1.0</v>
      </c>
      <c r="B16669" s="1" t="s">
        <v>16512</v>
      </c>
      <c r="C16669" t="str">
        <f>IFERROR(__xludf.DUMMYFUNCTION("GOOGLETRANSLATE(B16669, ""es"", ""en"")"),"Rip ripped off for 8 € ....")</f>
        <v>Rip ripped off for 8 € ....</v>
      </c>
    </row>
    <row r="16670">
      <c r="A16670" s="1">
        <v>4.0</v>
      </c>
      <c r="B16670" s="1" t="s">
        <v>16513</v>
      </c>
      <c r="C16670" t="str">
        <f>IFERROR(__xludf.DUMMYFUNCTION("GOOGLETRANSLATE(B16670, ""es"", ""en"")"),"Very good for its price. Very good for sports or walking. The sound quality is good, however does not insulate well around the sound on calls. Overall very useful and good value for money. Recommended.")</f>
        <v>Very good for its price. Very good for sports or walking. The sound quality is good, however does not insulate well around the sound on calls. Overall very useful and good value for money. Recommended.</v>
      </c>
    </row>
    <row r="16671">
      <c r="A16671" s="1">
        <v>4.0</v>
      </c>
      <c r="B16671" s="1" t="s">
        <v>16514</v>
      </c>
      <c r="C16671" t="str">
        <f>IFERROR(__xludf.DUMMYFUNCTION("GOOGLETRANSLATE(B16671, ""es"", ""en"")"),"High capacity and speed good brand. After reading several reviews I decided to buy it for a Nikon D5200 and the truth is that we are satisfied. Can fit more than 1000 photos. And it takes little to move them to your computer. I recommend it")</f>
        <v>High capacity and speed good brand. After reading several reviews I decided to buy it for a Nikon D5200 and the truth is that we are satisfied. Can fit more than 1000 photos. And it takes little to move them to your computer. I recommend it</v>
      </c>
    </row>
    <row r="16672">
      <c r="A16672" s="1">
        <v>4.0</v>
      </c>
      <c r="B16672" s="1" t="s">
        <v>16515</v>
      </c>
      <c r="C16672" t="str">
        <f>IFERROR(__xludf.DUMMYFUNCTION("GOOGLETRANSLATE(B16672, ""es"", ""en"")"),"Beware the sizing must order a number less. But otherwise it's perfect to be walking for hours. Very comfortable.")</f>
        <v>Beware the sizing must order a number less. But otherwise it's perfect to be walking for hours. Very comfortable.</v>
      </c>
    </row>
    <row r="16673">
      <c r="A16673" s="1">
        <v>4.0</v>
      </c>
      <c r="B16673" s="1" t="s">
        <v>16516</v>
      </c>
      <c r="C16673" t="str">
        <f>IFERROR(__xludf.DUMMYFUNCTION("GOOGLETRANSLATE(B16673, ""es"", ""en"")"),"Watch gorgeous It is a classic model like a lifetime but all silver and bright, but it is more beautiful than the pictures. Is an original Casio comes with documentation that accredits the label and instruction manual. The strap is made of stainless steel"&amp;" and closing it can be adjusted depending on the diameter of the wrist you have. It comes with a plastic screen and the light is blue but it is a model that takes light a few seconds to go out but you have to keep the button the same as the model dorado, "&amp;"hence no given 5 stars. The only downside is that you put wine in a cardboard box, wrapped in plastic simple and not all should be well protected to being a watch brand. Very satisfied with the purchase.")</f>
        <v>Watch gorgeous It is a classic model like a lifetime but all silver and bright, but it is more beautiful than the pictures. Is an original Casio comes with documentation that accredits the label and instruction manual. The strap is made of stainless steel and closing it can be adjusted depending on the diameter of the wrist you have. It comes with a plastic screen and the light is blue but it is a model that takes light a few seconds to go out but you have to keep the button the same as the model dorado, hence no given 5 stars. The only downside is that you put wine in a cardboard box, wrapped in plastic simple and not all should be well protected to being a watch brand. Very satisfied with the purchase.</v>
      </c>
    </row>
    <row r="16674">
      <c r="A16674" s="1">
        <v>4.0</v>
      </c>
      <c r="B16674" s="1" t="s">
        <v>16517</v>
      </c>
      <c r="C16674" t="str">
        <f>IFERROR(__xludf.DUMMYFUNCTION("GOOGLETRANSLATE(B16674, ""es"", ""en"")"),"works perfectly even gets closed headphones, they are not of the whole, is still listening and taking them even if you want to record something, you can come out a little sound from them, the better to study a higher quality")</f>
        <v>works perfectly even gets closed headphones, they are not of the whole, is still listening and taking them even if you want to record something, you can come out a little sound from them, the better to study a higher quality</v>
      </c>
    </row>
    <row r="16675">
      <c r="A16675" s="1">
        <v>5.0</v>
      </c>
      <c r="B16675" s="1" t="s">
        <v>16518</v>
      </c>
      <c r="C16675" t="str">
        <f>IFERROR(__xludf.DUMMYFUNCTION("GOOGLETRANSLATE(B16675, ""es"", ""en"")"),"Delighted with purchase !!! Very happy with the purchase, use for pedicures and massages, face cleaning. It is robust and very nice. Holds well weight. I have it always open.")</f>
        <v>Delighted with purchase !!! Very happy with the purchase, use for pedicures and massages, face cleaning. It is robust and very nice. Holds well weight. I have it always open.</v>
      </c>
    </row>
    <row r="16676">
      <c r="A16676" s="1">
        <v>5.0</v>
      </c>
      <c r="B16676" s="1" t="s">
        <v>16519</v>
      </c>
      <c r="C16676" t="str">
        <f>IFERROR(__xludf.DUMMYFUNCTION("GOOGLETRANSLATE(B16676, ""es"", ""en"")"),"Good product to start My friends and I have tried (each his own, obviously) and we have found a very satisfying shopping. WhatsApp in our group have spoken expressions such as ""The thirty euros better spent in my life"".")</f>
        <v>Good product to start My friends and I have tried (each his own, obviously) and we have found a very satisfying shopping. WhatsApp in our group have spoken expressions such as "The thirty euros better spent in my life".</v>
      </c>
    </row>
    <row r="16677">
      <c r="A16677" s="1">
        <v>5.0</v>
      </c>
      <c r="B16677" s="1" t="s">
        <v>16520</v>
      </c>
      <c r="C16677" t="str">
        <f>IFERROR(__xludf.DUMMYFUNCTION("GOOGLETRANSLATE(B16677, ""es"", ""en"")"),"It is the same as indicated in the publication certainly a very good product but is not yet fully prove. Viewing comments and asked a size more effectively so I am very good!")</f>
        <v>It is the same as indicated in the publication certainly a very good product but is not yet fully prove. Viewing comments and asked a size more effectively so I am very good!</v>
      </c>
    </row>
    <row r="16678">
      <c r="A16678" s="1">
        <v>5.0</v>
      </c>
      <c r="B16678" s="1" t="s">
        <v>16521</v>
      </c>
      <c r="C16678" t="str">
        <f>IFERROR(__xludf.DUMMYFUNCTION("GOOGLETRANSLATE(B16678, ""es"", ""en"")"),"You hear and you hear perfect and the battery lasts much is my first ""pinganillo"" and I bought Trusting of opinions. I hit full: the sound has more quality than I expected and is quite comfortable, but after a couple of hours in the ear becomes tedious "&amp;"a bit, but I guess it's inevitable. The battery can reach last me about a couple of days and loaded quickly.")</f>
        <v>You hear and you hear perfect and the battery lasts much is my first "pinganillo" and I bought Trusting of opinions. I hit full: the sound has more quality than I expected and is quite comfortable, but after a couple of hours in the ear becomes tedious a bit, but I guess it's inevitable. The battery can reach last me about a couple of days and loaded quickly.</v>
      </c>
    </row>
    <row r="16679">
      <c r="A16679" s="1">
        <v>5.0</v>
      </c>
      <c r="B16679" s="1" t="s">
        <v>16522</v>
      </c>
      <c r="C16679" t="str">
        <f>IFERROR(__xludf.DUMMYFUNCTION("GOOGLETRANSLATE(B16679, ""es"", ""en"")"),"Useful and cheap has been cheap and useful. It is the best choice for children because they can play without dirtying cut and paste as other liquid adhesives.")</f>
        <v>Useful and cheap has been cheap and useful. It is the best choice for children because they can play without dirtying cut and paste as other liquid adhesives.</v>
      </c>
    </row>
    <row r="16680">
      <c r="A16680" s="1">
        <v>5.0</v>
      </c>
      <c r="B16680" s="1" t="s">
        <v>461</v>
      </c>
      <c r="C16680" t="str">
        <f>IFERROR(__xludf.DUMMYFUNCTION("GOOGLETRANSLATE(B16680, ""es"", ""en"")"),"excellent excellent")</f>
        <v>excellent excellent</v>
      </c>
    </row>
    <row r="16681">
      <c r="A16681" s="1">
        <v>5.0</v>
      </c>
      <c r="B16681" s="1" t="s">
        <v>16523</v>
      </c>
      <c r="C16681" t="str">
        <f>IFERROR(__xludf.DUMMYFUNCTION("GOOGLETRANSLATE(B16681, ""es"", ""en"")"),"The usual good value for money. Clock uncomplicated life")</f>
        <v>The usual good value for money. Clock uncomplicated life</v>
      </c>
    </row>
    <row r="16682">
      <c r="A16682" s="1">
        <v>5.0</v>
      </c>
      <c r="B16682" s="1" t="s">
        <v>16524</v>
      </c>
      <c r="C16682" t="str">
        <f>IFERROR(__xludf.DUMMYFUNCTION("GOOGLETRANSLATE(B16682, ""es"", ""en"")"),"Great and good practice material conceded me at the door of the closet where I wanted to put it, have not used the screws do not pierce the closet, I've put double tape and weighs as much going perfect. It cleared easily and has a shelf for pens / draft.")</f>
        <v>Great and good practice material conceded me at the door of the closet where I wanted to put it, have not used the screws do not pierce the closet, I've put double tape and weighs as much going perfect. It cleared easily and has a shelf for pens / draft.</v>
      </c>
    </row>
    <row r="16683">
      <c r="A16683" s="1">
        <v>5.0</v>
      </c>
      <c r="B16683" s="1" t="s">
        <v>16525</v>
      </c>
      <c r="C16683" t="str">
        <f>IFERROR(__xludf.DUMMYFUNCTION("GOOGLETRANSLATE(B16683, ""es"", ""en"")"),"Very nice little something")</f>
        <v>Very nice little something</v>
      </c>
    </row>
    <row r="16684">
      <c r="A16684" s="1">
        <v>5.0</v>
      </c>
      <c r="B16684" s="1" t="s">
        <v>16526</v>
      </c>
      <c r="C16684" t="str">
        <f>IFERROR(__xludf.DUMMYFUNCTION("GOOGLETRANSLATE(B16684, ""es"", ""en"")"),"Beautiful. It's beautiful is a perfect size chain is cortita and looks all necklines. The truth that I loved. It is very symbolic to me by my dog. Ea a nice gift for doggy lovers.")</f>
        <v>Beautiful. It's beautiful is a perfect size chain is cortita and looks all necklines. The truth that I loved. It is very symbolic to me by my dog. Ea a nice gift for doggy lovers.</v>
      </c>
    </row>
    <row r="16685">
      <c r="A16685" s="1">
        <v>5.0</v>
      </c>
      <c r="B16685" s="1" t="s">
        <v>16527</v>
      </c>
      <c r="C16685" t="str">
        <f>IFERROR(__xludf.DUMMYFUNCTION("GOOGLETRANSLATE(B16685, ""es"", ""en"")"),"The comfortable bought for the job, waitress and I spend many hours walking from one side to the other, I loaded feet and the old shoes that had skin being not breathe anything my feet. I still have not released, but are comodisimas.la size, I ordered a 4"&amp;"0 plus 39, but I always like that on a little tennis shoe type. They have good grip on the foot.")</f>
        <v>The comfortable bought for the job, waitress and I spend many hours walking from one side to the other, I loaded feet and the old shoes that had skin being not breathe anything my feet. I still have not released, but are comodisimas.la size, I ordered a 40 plus 39, but I always like that on a little tennis shoe type. They have good grip on the foot.</v>
      </c>
    </row>
    <row r="16686">
      <c r="A16686" s="1">
        <v>5.0</v>
      </c>
      <c r="B16686" s="1" t="s">
        <v>16528</v>
      </c>
      <c r="C16686" t="str">
        <f>IFERROR(__xludf.DUMMYFUNCTION("GOOGLETRANSLATE(B16686, ""es"", ""en"")"),"Excellent suction, light and practical. Fully satisfied with the product. Excellente quality and fee relationship. He arrived at the set time. Super practical in the assembly, use and cleaning. Light and reaches all corners of the house even under the sof"&amp;"as. I have a cat with long hair and no hair left anywhere or dust on furniture. Need it, I would buy.")</f>
        <v>Excellent suction, light and practical. Fully satisfied with the product. Excellente quality and fee relationship. He arrived at the set time. Super practical in the assembly, use and cleaning. Light and reaches all corners of the house even under the sofas. I have a cat with long hair and no hair left anywhere or dust on furniture. Need it, I would buy.</v>
      </c>
    </row>
    <row r="16687">
      <c r="A16687" s="1">
        <v>5.0</v>
      </c>
      <c r="B16687" s="1" t="s">
        <v>16529</v>
      </c>
      <c r="C16687" t="str">
        <f>IFERROR(__xludf.DUMMYFUNCTION("GOOGLETRANSLATE(B16687, ""es"", ""en"")"),"Ideal Ideal")</f>
        <v>Ideal Ideal</v>
      </c>
    </row>
    <row r="16688">
      <c r="A16688" s="1">
        <v>5.0</v>
      </c>
      <c r="B16688" s="1" t="s">
        <v>16530</v>
      </c>
      <c r="C16688" t="str">
        <f>IFERROR(__xludf.DUMMYFUNCTION("GOOGLETRANSLATE(B16688, ""es"", ""en"")"),". perfect")</f>
        <v>. perfect</v>
      </c>
    </row>
    <row r="16689">
      <c r="A16689" s="1">
        <v>5.0</v>
      </c>
      <c r="B16689" s="1" t="s">
        <v>16531</v>
      </c>
      <c r="C16689" t="str">
        <f>IFERROR(__xludf.DUMMYFUNCTION("GOOGLETRANSLATE(B16689, ""es"", ""en"")"),"The best I've had Amazed with the power and quality of sound")</f>
        <v>The best I've had Amazed with the power and quality of sound</v>
      </c>
    </row>
    <row r="16690">
      <c r="A16690" s="1">
        <v>5.0</v>
      </c>
      <c r="B16690" s="1" t="s">
        <v>16532</v>
      </c>
      <c r="C16690" t="str">
        <f>IFERROR(__xludf.DUMMYFUNCTION("GOOGLETRANSLATE(B16690, ""es"", ""en"")"),"A device works perfect Human Interface Device (HID) Generic. Ie does not need internet or drivers to be installed. Linux is reported as the following device: ID 0458: 0189 KYE Systems Corp. (Mouse Systems) and the driver in use in Linux is: hyd-generic Te"&amp;"sted Gentoo Linux and Windows 10 Summary: A being an HID device (keyboard / generic mouse), runs on Linux, Windows and Mac without doing anything.")</f>
        <v>A device works perfect Human Interface Device (HID) Generic. Ie does not need internet or drivers to be installed. Linux is reported as the following device: ID 0458: 0189 KYE Systems Corp. (Mouse Systems) and the driver in use in Linux is: hyd-generic Tested Gentoo Linux and Windows 10 Summary: A being an HID device (keyboard / generic mouse), runs on Linux, Windows and Mac without doing anything.</v>
      </c>
    </row>
    <row r="16691">
      <c r="A16691" s="1">
        <v>5.0</v>
      </c>
      <c r="B16691" s="1" t="s">
        <v>16533</v>
      </c>
      <c r="C16691" t="str">
        <f>IFERROR(__xludf.DUMMYFUNCTION("GOOGLETRANSLATE(B16691, ""es"", ""en"")"),"GOOD QUALITY I was surprised by this article, for the price we had ... was for a gift, and the truth that a total success. It has not been ugly, showering with it ... and still the same. I will buy.")</f>
        <v>GOOD QUALITY I was surprised by this article, for the price we had ... was for a gift, and the truth that a total success. It has not been ugly, showering with it ... and still the same. I will buy.</v>
      </c>
    </row>
    <row r="16692">
      <c r="A16692" s="1">
        <v>5.0</v>
      </c>
      <c r="B16692" s="1" t="s">
        <v>16534</v>
      </c>
      <c r="C16692" t="str">
        <f>IFERROR(__xludf.DUMMYFUNCTION("GOOGLETRANSLATE(B16692, ""es"", ""en"")"),"Empleadas quality for spinning. perfect")</f>
        <v>Empleadas quality for spinning. perfect</v>
      </c>
    </row>
    <row r="16693">
      <c r="A16693" s="1">
        <v>5.0</v>
      </c>
      <c r="B16693" s="1" t="s">
        <v>16535</v>
      </c>
      <c r="C16693" t="str">
        <f>IFERROR(__xludf.DUMMYFUNCTION("GOOGLETRANSLATE(B16693, ""es"", ""en"")"),"Very good quality. I have encantado..y very good quality.")</f>
        <v>Very good quality. I have encantado..y very good quality.</v>
      </c>
    </row>
    <row r="16694">
      <c r="A16694" s="1">
        <v>2.0</v>
      </c>
      <c r="B16694" s="1" t="s">
        <v>16536</v>
      </c>
      <c r="C16694" t="str">
        <f>IFERROR(__xludf.DUMMYFUNCTION("GOOGLETRANSLATE(B16694, ""es"", ""en"")"),"EXPECTING MORE FOR THIS PRICE For the price you have and the mark which is expected more. It is large enough to carry everything you need on a trip: wallet, mobile, documentation, etc. The problem comes when you stick something bulkier: laptop battery pac"&amp;"k snuff, mini camera or glasses case ... is very star and one of these objects is greatly reduced capacity, so I was disappointed enough and just I've used it. Another big flaw I see is that the mail can not be removed and replaced. I had a bag Billabong "&amp;"brand, besides being much cheaper, had greater capacity and belt removed and placed with ease to tie at the waist, to a chair while you ate on a terrace and did not get the steal, etc. Too bad the truth. Yes, it is a bag of high quality, very good and lar"&amp;"ge zippers.")</f>
        <v>EXPECTING MORE FOR THIS PRICE For the price you have and the mark which is expected more. It is large enough to carry everything you need on a trip: wallet, mobile, documentation, etc. The problem comes when you stick something bulkier: laptop battery pack snuff, mini camera or glasses case ... is very star and one of these objects is greatly reduced capacity, so I was disappointed enough and just I've used it. Another big flaw I see is that the mail can not be removed and replaced. I had a bag Billabong brand, besides being much cheaper, had greater capacity and belt removed and placed with ease to tie at the waist, to a chair while you ate on a terrace and did not get the steal, etc. Too bad the truth. Yes, it is a bag of high quality, very good and large zippers.</v>
      </c>
    </row>
    <row r="16695">
      <c r="A16695" s="1">
        <v>3.0</v>
      </c>
      <c r="B16695" s="1" t="s">
        <v>16537</v>
      </c>
      <c r="C16695" t="str">
        <f>IFERROR(__xludf.DUMMYFUNCTION("GOOGLETRANSLATE(B16695, ""es"", ""en"")"),"I love my ring and use")</f>
        <v>I love my ring and use</v>
      </c>
    </row>
    <row r="16696">
      <c r="A16696" s="1">
        <v>3.0</v>
      </c>
      <c r="B16696" s="1" t="s">
        <v>16538</v>
      </c>
      <c r="C16696" t="str">
        <f>IFERROR(__xludf.DUMMYFUNCTION("GOOGLETRANSLATE(B16696, ""es"", ""en"")"),"Not very good very small. I knew they were not large, but is that once you spend and are not as good as normal locticte")</f>
        <v>Not very good very small. I knew they were not large, but is that once you spend and are not as good as normal locticte</v>
      </c>
    </row>
    <row r="16697">
      <c r="A16697" s="1">
        <v>1.0</v>
      </c>
      <c r="B16697" s="1" t="s">
        <v>16539</v>
      </c>
      <c r="C16697" t="str">
        <f>IFERROR(__xludf.DUMMYFUNCTION("GOOGLETRANSLATE(B16697, ""es"", ""en"")"),"Eye can be reached with a lower capacity. The biggest disappointment I've taken on Amazon. I bought the 64GB card and I arrived with his perfect box, with pictures, logos and all of this capability, but came within a 32 Gb. Let an error / delusion that in"&amp;" another time would have returned no more. But as you may need it, I'm hesitant to return. I bought a Flash offer or day, which has proved not to be.")</f>
        <v>Eye can be reached with a lower capacity. The biggest disappointment I've taken on Amazon. I bought the 64GB card and I arrived with his perfect box, with pictures, logos and all of this capability, but came within a 32 Gb. Let an error / delusion that in another time would have returned no more. But as you may need it, I'm hesitant to return. I bought a Flash offer or day, which has proved not to be.</v>
      </c>
    </row>
    <row r="16698">
      <c r="A16698" s="1">
        <v>1.0</v>
      </c>
      <c r="B16698" s="1" t="s">
        <v>16540</v>
      </c>
      <c r="C16698" t="str">
        <f>IFERROR(__xludf.DUMMYFUNCTION("GOOGLETRANSLATE(B16698, ""es"", ""en"")"),"Leaking sleazy, at first I thought it was because it did not warm all well but ..pierde all. I do not recommend")</f>
        <v>Leaking sleazy, at first I thought it was because it did not warm all well but ..pierde all. I do not recommend</v>
      </c>
    </row>
    <row r="16699">
      <c r="A16699" s="1">
        <v>4.0</v>
      </c>
      <c r="B16699" s="1" t="s">
        <v>16541</v>
      </c>
      <c r="C16699" t="str">
        <f>IFERROR(__xludf.DUMMYFUNCTION("GOOGLETRANSLATE(B16699, ""es"", ""en"")"),"Alf55 Meets expectations .. when you spend stretching back to its initial undeformed state. Constuccion good materials. Resistant.")</f>
        <v>Alf55 Meets expectations .. when you spend stretching back to its initial undeformed state. Constuccion good materials. Resistant.</v>
      </c>
    </row>
    <row r="16700">
      <c r="A16700" s="1">
        <v>4.0</v>
      </c>
      <c r="B16700" s="1" t="s">
        <v>16542</v>
      </c>
      <c r="C16700" t="str">
        <f>IFERROR(__xludf.DUMMYFUNCTION("GOOGLETRANSLATE(B16700, ""es"", ""en"")"),"Good watch with a slightly small strap The clock is nice and appears to be of quality. It is very comfortable and lightweight. On the downside the textile belt, I find little, because I use the penultimate hole. He also came without warranty certificate a"&amp;"nd instruction manual, so the first impression was not as good as I expected. On the other hand the days of the week do not appear in Spanish, which can be inconvenient for some people.")</f>
        <v>Good watch with a slightly small strap The clock is nice and appears to be of quality. It is very comfortable and lightweight. On the downside the textile belt, I find little, because I use the penultimate hole. He also came without warranty certificate and instruction manual, so the first impression was not as good as I expected. On the other hand the days of the week do not appear in Spanish, which can be inconvenient for some people.</v>
      </c>
    </row>
    <row r="16701">
      <c r="A16701" s="1">
        <v>4.0</v>
      </c>
      <c r="B16701" s="1" t="s">
        <v>16543</v>
      </c>
      <c r="C16701" t="str">
        <f>IFERROR(__xludf.DUMMYFUNCTION("GOOGLETRANSLATE(B16701, ""es"", ""en"")"),"Fast but noisy Very fast and stable, although a bit noisy. Boil water quickly and is manageable. The finish is good and for now I'm very satisfied.")</f>
        <v>Fast but noisy Very fast and stable, although a bit noisy. Boil water quickly and is manageable. The finish is good and for now I'm very satisfied.</v>
      </c>
    </row>
    <row r="16702">
      <c r="A16702" s="1">
        <v>4.0</v>
      </c>
      <c r="B16702" s="1" t="s">
        <v>16544</v>
      </c>
      <c r="C16702" t="str">
        <f>IFERROR(__xludf.DUMMYFUNCTION("GOOGLETRANSLATE(B16702, ""es"", ""en"")"),"Good quality / price I needed to switch and go. I could not tell if it's faster than the competition so this assessment is not for you, if you're looking for something more técnino. For quality / price is ok (I got offer)")</f>
        <v>Good quality / price I needed to switch and go. I could not tell if it's faster than the competition so this assessment is not for you, if you're looking for something more técnino. For quality / price is ok (I got offer)</v>
      </c>
    </row>
    <row r="16703">
      <c r="A16703" s="1">
        <v>5.0</v>
      </c>
      <c r="B16703" s="1" t="s">
        <v>16545</v>
      </c>
      <c r="C16703" t="str">
        <f>IFERROR(__xludf.DUMMYFUNCTION("GOOGLETRANSLATE(B16703, ""es"", ""en"")"),"Very nice watch, the better quality pictures than in photos, but neither feather light weight. Craving very good quality. What a luxury resistance to water.")</f>
        <v>Very nice watch, the better quality pictures than in photos, but neither feather light weight. Craving very good quality. What a luxury resistance to water.</v>
      </c>
    </row>
    <row r="16704">
      <c r="A16704" s="1">
        <v>5.0</v>
      </c>
      <c r="B16704" s="1" t="s">
        <v>16546</v>
      </c>
      <c r="C16704" t="str">
        <f>IFERROR(__xludf.DUMMYFUNCTION("GOOGLETRANSLATE(B16704, ""es"", ""en"")"),"So far so good and all came smoothly")</f>
        <v>So far so good and all came smoothly</v>
      </c>
    </row>
    <row r="16705">
      <c r="A16705" s="1">
        <v>5.0</v>
      </c>
      <c r="B16705" s="1" t="s">
        <v>16547</v>
      </c>
      <c r="C16705" t="str">
        <f>IFERROR(__xludf.DUMMYFUNCTION("GOOGLETRANSLATE(B16705, ""es"", ""en"")"),"Good product All right, are tiny but nice")</f>
        <v>Good product All right, are tiny but nice</v>
      </c>
    </row>
    <row r="16706">
      <c r="A16706" s="1">
        <v>5.0</v>
      </c>
      <c r="B16706" s="1" t="s">
        <v>16548</v>
      </c>
      <c r="C16706" t="str">
        <f>IFERROR(__xludf.DUMMYFUNCTION("GOOGLETRANSLATE(B16706, ""es"", ""en"")"),"Simple but practical and durable. It's plastic, but sturdy and meets leftovers function. Obviously, you would not put the Universal Encyclopedia Illustrated, because I do not put up with, but for my textbooks from the university, about 600 pages, it gives"&amp;" leftovers. In addition, you can make many different heights. Very happy.")</f>
        <v>Simple but practical and durable. It's plastic, but sturdy and meets leftovers function. Obviously, you would not put the Universal Encyclopedia Illustrated, because I do not put up with, but for my textbooks from the university, about 600 pages, it gives leftovers. In addition, you can make many different heights. Very happy.</v>
      </c>
    </row>
    <row r="16707">
      <c r="A16707" s="1">
        <v>5.0</v>
      </c>
      <c r="B16707" s="1" t="s">
        <v>16549</v>
      </c>
      <c r="C16707" t="str">
        <f>IFERROR(__xludf.DUMMYFUNCTION("GOOGLETRANSLATE(B16707, ""es"", ""en"")"),"Double-sided tape Multipurpose: strong grip Similar to the double tape but better grab! For pictures hang on the wall without nails or to ensure that carpet the area remains in place. I'm still thinking of ways to use this tape. It is transparent, so it i"&amp;"s not horrible when it is attached to something.")</f>
        <v>Double-sided tape Multipurpose: strong grip Similar to the double tape but better grab! For pictures hang on the wall without nails or to ensure that carpet the area remains in place. I'm still thinking of ways to use this tape. It is transparent, so it is not horrible when it is attached to something.</v>
      </c>
    </row>
    <row r="16708">
      <c r="A16708" s="1">
        <v>5.0</v>
      </c>
      <c r="B16708" s="1" t="s">
        <v>16550</v>
      </c>
      <c r="C16708" t="str">
        <f>IFERROR(__xludf.DUMMYFUNCTION("GOOGLETRANSLATE(B16708, ""es"", ""en"")"),"😍auriculares for one or two small, lightweight, connect perfectly with my Samsung and operate at great distance with clear sound. They have a load case which is very easy and convenient loading when we are not at home. Each has an LED light that indicate"&amp;"s whether you are loaded or if the battery is low. In the box are three stop headphones of different sizes. Best of all is that it can be used together or separately, since both can be done all finciones: &amp; nbsp; hanging, hook, volume .....")</f>
        <v>😍auriculares for one or two small, lightweight, connect perfectly with my Samsung and operate at great distance with clear sound. They have a load case which is very easy and convenient loading when we are not at home. Each has an LED light that indicates whether you are loaded or if the battery is low. In the box are three stop headphones of different sizes. Best of all is that it can be used together or separately, since both can be done all finciones: &amp; nbsp; hanging, hook, volume .....</v>
      </c>
    </row>
    <row r="16709">
      <c r="A16709" s="1">
        <v>5.0</v>
      </c>
      <c r="B16709" s="1" t="s">
        <v>16551</v>
      </c>
      <c r="C16709" t="str">
        <f>IFERROR(__xludf.DUMMYFUNCTION("GOOGLETRANSLATE(B16709, ""es"", ""en"")"),"Very good Good value. It works well!")</f>
        <v>Very good Good value. It works well!</v>
      </c>
    </row>
    <row r="16710">
      <c r="A16710" s="1">
        <v>5.0</v>
      </c>
      <c r="B16710" s="1" t="s">
        <v>16552</v>
      </c>
      <c r="C16710" t="str">
        <f>IFERROR(__xludf.DUMMYFUNCTION("GOOGLETRANSLATE(B16710, ""es"", ""en"")"),"Top quality Very nice. Excellent quality of materials and finish.")</f>
        <v>Top quality Very nice. Excellent quality of materials and finish.</v>
      </c>
    </row>
    <row r="16711">
      <c r="A16711" s="1">
        <v>5.0</v>
      </c>
      <c r="B16711" s="1" t="s">
        <v>16553</v>
      </c>
      <c r="C16711" t="str">
        <f>IFERROR(__xludf.DUMMYFUNCTION("GOOGLETRANSLATE(B16711, ""es"", ""en"")"),"Pretty bracelet pleasantly soprendido me because for the price it is ideal to give ..brilla a lot and well worth comprala..os recommend, it is also very light and its closure is quite safe")</f>
        <v>Pretty bracelet pleasantly soprendido me because for the price it is ideal to give ..brilla a lot and well worth comprala..os recommend, it is also very light and its closure is quite safe</v>
      </c>
    </row>
    <row r="16712">
      <c r="A16712" s="1">
        <v>5.0</v>
      </c>
      <c r="B16712" s="1" t="s">
        <v>16554</v>
      </c>
      <c r="C16712" t="str">
        <f>IFERROR(__xludf.DUMMYFUNCTION("GOOGLETRANSLATE(B16712, ""es"", ""en"")"),"Copper true I've used for a 100W per channel amplifier with speakers 2ohmios, which are 7-8 amps and really works very well and with few losses.")</f>
        <v>Copper true I've used for a 100W per channel amplifier with speakers 2ohmios, which are 7-8 amps and really works very well and with few losses.</v>
      </c>
    </row>
    <row r="16713">
      <c r="A16713" s="1">
        <v>5.0</v>
      </c>
      <c r="B16713" s="1" t="s">
        <v>16555</v>
      </c>
      <c r="C16713" t="str">
        <f>IFERROR(__xludf.DUMMYFUNCTION("GOOGLETRANSLATE(B16713, ""es"", ""en"")"),"Assics Gel Nimbus, bordering on perfection. I can run comfortably. Beware size !! Calls for a number more than your street shoes.")</f>
        <v>Assics Gel Nimbus, bordering on perfection. I can run comfortably. Beware size !! Calls for a number more than your street shoes.</v>
      </c>
    </row>
    <row r="16714">
      <c r="A16714" s="1">
        <v>5.0</v>
      </c>
      <c r="B16714" s="1" t="s">
        <v>16556</v>
      </c>
      <c r="C16714" t="str">
        <f>IFERROR(__xludf.DUMMYFUNCTION("GOOGLETRANSLATE(B16714, ""es"", ""en"")"),"Bluetooth Headset v5 - Arbily T8 ... recomendadísimo Order fast and arrived in perfect condition. It came perfectly wrapped in a box containing the charging base 3000 mah, perfect as it has just as many phones. The charging base can also be used as ""powe"&amp;"rbank"" for your mobile. They came also covers spare headset and charging cable and a carrying bag (all very full). The headphones are easy to handle and very comfortable. They pair up very fast with mobile. They will fit perfectly to the ear and its shap"&amp;"e does not bother at all because it fits perfectly without falling to the sport. nen protection IPX6 water level, hold sweat, rain ... The sound is good quality, crisp and clear. We can also use a single handset. Instructions are in Spanish. Definitely ve"&amp;"ry good buy and recommended if you want a headset with an extremely high durability and quality.")</f>
        <v>Bluetooth Headset v5 - Arbily T8 ... recomendadísimo Order fast and arrived in perfect condition. It came perfectly wrapped in a box containing the charging base 3000 mah, perfect as it has just as many phones. The charging base can also be used as "powerbank" for your mobile. They came also covers spare headset and charging cable and a carrying bag (all very full). The headphones are easy to handle and very comfortable. They pair up very fast with mobile. They will fit perfectly to the ear and its shape does not bother at all because it fits perfectly without falling to the sport. nen protection IPX6 water level, hold sweat, rain ... The sound is good quality, crisp and clear. We can also use a single handset. Instructions are in Spanish. Definitely very good buy and recommended if you want a headset with an extremely high durability and quality.</v>
      </c>
    </row>
    <row r="16715">
      <c r="A16715" s="1">
        <v>5.0</v>
      </c>
      <c r="B16715" s="1" t="s">
        <v>16557</v>
      </c>
      <c r="C16715" t="str">
        <f>IFERROR(__xludf.DUMMYFUNCTION("GOOGLETRANSLATE(B16715, ""es"", ""en"")"),"Good power, small size and portable &lt;div id = ""video-block-RMKVDOYNCXZQV"" class = ""a-section a-spacing-small a-spacing-top mini video-block""&gt; &lt;div tabindex = ""0"" class = ""airy airy-svg vmin-supported airy-skin-beacon"" style = ""background-color: r"&amp;"gb (0, 0, 0) position: relative; width: 100%; height: 100%; font-size: 0px; overflow: hidden; outline: none; ""&gt; &lt;div class ="" airy-renderer-container ""style ="" position: relative; height: 100%; width: 100%; ""&gt; &lt;video id ="" 7 ""preload ="" auto ""src"&amp;" ="" https://images-eu.ssl-images-amazon.com/images/I/91cBD+D5yPS.mp4 ""style ="" position: absolute; left: 0px; top: 0px; overflow: hidden; height: 1px; width: 1px; ""&gt; &lt;/ video&gt; &lt;/ div&gt; &lt;div id ="" airy-slate-preload ""style ="" background-color: rgb (0"&amp;", 0, 0); background-image: url (&amp; quot; https: //images-eu.ssl-images-amazon.com/images/I/81amepZdylS.png&amp;quot;); background-size: Contain; background-position: center center; background-repeat: no-repeat; position: absolute; top: 0px; left: 0px; visibili"&amp;"ty: visible; width: 100%; height: 100% ; ""&gt; &lt;/ Div&gt; &lt;iframe scrolling ="" no ""frameborder ="" 0 ""src ="" about: blank ""style ="" display: none; ""&gt; &lt;/ iframe&gt; &lt;div tabindex ="" - 1 ""class ="" airy-controls-container ""style ="" opacity: 0; visibility"&amp;": hidden; ""&gt; &lt;div tabindex ="" - 1 ""class ="" airy-screen-size-toggle airy-fullscreen ""&gt; &lt;/ div&gt; &lt;div tabindex ="" - 1 ""class ="" airy-container-bottom "" &gt; &lt;div tabindex = ""- 1"" class = ""airy-track-bar-spacer-left"" style = ""width: 11px;""&gt; &lt;/ di"&amp;"v&gt; &lt;div tabindex = ""- 1"" class = ""airy-play- airy toggle-play ""style ="" width: 12px; margin-right: 12px; ""&gt; &lt;/ div&gt; &lt;div tabindex ="" - 1 ""class ="" airy-audio-elements ""style ="" float: right; width: 34px; ""&gt; &lt;div tabindex ="" - 1 ""class ="" ai"&amp;"ry-audio-toggle airy-on ""&gt; &lt;/ div&gt; &lt;div tabindex ="" - 1 ""class ="" airy-audio-container ""style = ""opacity: 0; visibility: hidden; ""&gt; &lt;div tabindex ="" - 1 ""class ="" airy-audio-track-bar ""style ="" height: 80%; ""&gt; &lt;div tabindex ="" - 1 ""class ="&amp;""" airy-audio- Scrubber-bar ""style ="" height: 85%; ""&gt; &lt;/ div&gt; &lt;div tabindex ="" - 1 ""class ="" airy-audio-scrubber ""style ="" height: 12px; bottom: 85% ""&gt; &lt;/ div&gt; &lt;/ div&gt; &lt;/ div&gt; &lt;/ div&gt; &lt;div tabindex ="" - 1 ""class ="" airy-duration-label ""style "&amp;"="" float: right; width: 26px; margin-right: 4px; text-align: center; ""&gt; 0:08 &lt;/ div&gt; &lt;div tabindex ="" - 1 ""class ="" airy-track-bar-spacer-right ""style ="" float: right; width: 11px; ""&gt; &lt;/ div&gt; &lt;div tabindex ="" - 1 ""class ="" airy-track-bar-contai"&amp;"ner ""style ="" margin-left: 35px; margin-right: 75px; ""&gt; &lt;div tabindex ="" - 1 ""class ="" airy-airy-track-bar vertically-centering-table ""&gt; &lt;div tabindex ="" - 1 ""class ="" airy-Vertical-centering- table-cell ""&gt; &lt;div tabindex ="" - 1 ""class ="" air"&amp;"y-track-bar-elements ""&gt; &lt;div tabindex ="" - 1 ""class ="" airy-progress-bar ""style ="" width: 40.0467%; ""&gt; &lt;/ div&gt; &lt;div tabindex ="" - 1 ""class ="" airy-scrubber-bar ""&gt; &lt;/ div&gt; &lt;div tabindex ="" - 1 ""class ="" airy-scrubber ""&gt; &lt;div tabindex ="" - 1"&amp;" ""class ="" airy-scrubber-icon ""&gt; &lt;/ div&gt; &lt;div tabindex ="" - 1 ""class ="" airy-adjusted-AUI-tooltip ""style ="" opacity: 0; visibility: hidden; ""&gt; &lt;div tabindex ="" - 1 ""class ="" airy-adjusted-aui-tooltip-inner ""&gt; &lt;div tabindex ="" - 1 ""class ="""&amp;" airy-current-time-label ""&gt; 0: 00 &lt;/ div&gt; &lt;/ div&gt; &lt;div tabindex = ""- 1"" class = ""airy-adjusted-AUI-arrow-border""&gt; &lt;div tabindex = ""- 1"" class = ""airy-adjusted-AUI-arrow"" &gt; &lt;/ div&gt; &lt;/ div&gt; &lt;/ div&gt; &lt;/ div&gt; &lt;/ div&gt; &lt;/ div&gt; &lt;/ div&gt; &lt;/ div&gt; &lt;/ div&gt; &lt;/"&amp;" div&gt; &lt;div tabindex = ""- 1"" class = ""airy-age-gate airy-stage airy-Vertical-centering-table airy-dialog"" style = ""opacity: 0; visibility: hidden; ""&gt; &lt;div tabindex ="" - 1 ""class ="" airy-age-gate-Vertical-centering-table-cell airy-Vertical-centerin"&amp;"g-table-cell ""&gt; &lt;div tabindex ="" - 1 ""class = ""airy-Vertical-centering-wrapper airy-age-gate-elements-wrapper""&gt; &lt;div tabindex = ""- 1"" class = ""airy-age-gate-elements airy-dialog-elements""&gt; &lt;div tabindex = "" -1 ""class ="" airy-age-gate-prompt """&amp;"&gt; This video is not Intended for all audiences What date were you born &lt;/ div&gt; &lt;div tabindex =.?"" - 1 ""class ="" airy-age-gate -inputs airy-dialog-inner-elements ""&gt; &lt;select tabindex ="" - 1 ""class ="" airy-age-gate-month ""&gt; &lt;option value ="" 1 ""&gt; Ja"&amp;"nuary &lt;/ option&gt; &lt;option value ="" 2 ""&gt; February &lt;/ option&gt; &lt;option value ="" 3 ""&gt; March &lt;/ option&gt; &lt;option value ="" 4 ""&gt; April &lt;/ option&gt; &lt;option value ="" 5 ""&gt; May &lt;/ option&gt; &lt;option value = ""6""&gt; June &lt;/ option&gt; &lt;option value = ""7""&gt; July &lt;/ opt"&amp;"ion&gt; &lt;option value = ""8""&gt; August &lt;/ option&gt; &lt;option value = ""9""&gt; September &lt;/ option&gt; &lt;option value = ""10""&gt; October &lt;/ option&gt; &lt;option value = ""11""&gt; November &lt;/ option&gt; &lt;option value = ""12""&gt; December &lt;/ option&gt; &lt;/ select&gt; &lt;select tabindex = ""- "&amp;"1"" class = ""airy-age-gate-day""&gt; &lt;opti on value = ""1""&gt; 1 &lt;/ option&gt; &lt;option value = ""2""&gt; 2 &lt;/ option&gt; &lt;option value = ""3""&gt; 3 &lt;/ option&gt; &lt;option value = ""4""&gt; 4 &lt;/ option &gt; &lt;option value = ""5""&gt; 5 &lt;/ option&gt; &lt;option value = ""6""&gt; 6 &lt;/ option&gt; &lt;o"&amp;"ption value = ""7""&gt; 7 &lt;/ option&gt; &lt;option value = ""8""&gt; 8 &lt; / option&gt; &lt;option value = ""9""&gt; 9 &lt;/ option&gt; &lt;option value = ""10""&gt; 10 &lt;/ option&gt; &lt;option value = ""11""&gt; 11 &lt;/ option&gt; &lt;option value = ""12""&gt; 12 &lt;/ option&gt; &lt;option value = ""13""&gt; 13 &lt;/ opti"&amp;"on&gt; &lt;option value = ""14""&gt; 14 &lt;/ option&gt; &lt;option value = ""15""&gt; 15 &lt;/ option&gt; &lt;option value = ""16 ""&gt; 16 &lt;/ option&gt; &lt;option value ="" 17 ""&gt; 17 &lt;/ option&gt; &lt;option value ="" 18 ""&gt; 18 &lt;/ option&gt; &lt;option value ="" 19 ""&gt; 19 &lt;/ option&gt; &lt;option value = ""2"&amp;"0""&gt; 20 &lt;/ option&gt; &lt;option value = ""21""&gt; 21 &lt;/ option&gt; &lt;option value = ""22""&gt; 22 &lt;/ option&gt; &lt;option value = ""23""&gt; 23 &lt;/ option&gt; &lt;option value = ""24""&gt; 24 &lt;/ option&gt; &lt;option value = ""25""&gt; 25 &lt;/ option&gt; &lt;option value = ""26""&gt; 26 &lt;/ option&gt; &lt;option "&amp;"value = ""27""&gt; 27 &lt;/ option&gt; &lt;option value = ""28""&gt; 28 &lt;/ option&gt; &lt;option value = ""29""&gt; 29 &lt;/ option&gt; &lt;option value = ""30""&gt; 30 &lt;/ option&gt; &lt;option value = ""31""&gt; 31 &lt;/ option&gt; &lt;/ select&gt; &lt;select tabindex = ""- 1"" class = ""airy-age-gate-year""&gt; &lt;op"&amp;"tion value = ""2019""&gt; 2019 &lt;/ option&gt; &lt; option value = ""2018""&gt; 2018 &lt;/ option&gt; &lt;option value = ""2017""&gt; 2017 &lt;/ option&gt; &lt;option value = ""2016""&gt; ​​2016 &lt;/ option&gt; &lt;option value = ""2015""&gt; 2015 &lt;/ option &gt; &lt;option value = ""2014""&gt; 2014 &lt;/ option&gt; &lt;o"&amp;"ption value = ""2013""&gt; 2013 &lt;/ option&gt; &lt;option value = ""2012""&gt; 2012 &lt;/ option&gt; &lt;option value = ""2011""&gt; 2011 &lt; / option&gt; &lt;option value = ""2010""&gt; 2010 &lt;/ option&gt; &lt;option value = ""2009""&gt; 2009 &lt;/ option&gt; &lt;option value = ""2008""&gt; 2008 &lt;/ option&gt; &lt;opt"&amp;"ion value = ""2007""&gt; 2007 &lt;/ option&gt; &lt;option value = ""2006""&gt; 2006 &lt;/ option&gt; &lt;option value = ""2005""&gt; 2005 &lt;/ option&gt; &lt;option value = ""2004""&gt; 2004 &lt;/ option&gt; &lt;option value = ""2003 ""&gt; 2003 &lt;/ option&gt; &lt;option value ="" 2002 ""&gt; 2002 &lt;/ option&gt; &lt;opti"&amp;"on value ="" 2001 ""&gt; 2001 &lt;/ option&gt; &lt;option value ="" 2000 ""&gt; 2000 &lt;/ option&gt; &lt;option value = ""1999""&gt; 1999 &lt;/ option&gt; &lt;option value = ""1998""&gt; 1998 &lt;/ option&gt; &lt;option value = ""1997""&gt; 1997 &lt;/ option&gt; &lt;option value = ""1996""&gt; 1996 &lt;/ option&gt; &lt;optio"&amp;"n value = ""1995""&gt; 1995 &lt;/ option&gt; &lt;option value = ""1994""&gt; 1994 &lt;/ option&gt; &lt;option value = ""1993""&gt; 1993 &lt;/ option&gt; &lt;option value = ""1992""&gt; 1992 &lt;/ option&gt; &lt;option value = ""1991""&gt; 1991 &lt;/ option&gt; &lt;option value = ""1990""&gt; 1990 &lt;/ option&gt; &lt;option v"&amp;"alue = "" 1989 ""&gt; 1989 &lt;/ option&gt; &lt;option value ="" 1988 ""&gt; 1988 &lt;/ option&gt; &lt;option value ="" 1987 ""&gt; 1987 &lt;/ option&gt; &lt;option value ="" 1986 ""&gt; 1986 &lt;/ option&gt; &lt;value option = ""1985""&gt; 1985 &lt;/ option&gt; &lt;option value = ""1984""&gt; 1984 &lt;/ option&gt; &lt;option"&amp;" value = ""1983""&gt; 1983 &lt;/ option&gt; &lt;option value = ""1982""&gt; 1982 &lt;/ option&gt; &lt; option value = ""1981""&gt; 1981 &lt;/ option&gt; &lt;option value = ""1980""&gt; 1980 &lt;/ option&gt; &lt;option value = ""1979""&gt; 1979 &lt;/ option&gt; &lt;option value = ""1978""&gt; 1978 &lt;/ option &gt; &lt;option "&amp;"value = ""1977""&gt; 1977 &lt;/ option&gt; &lt;option value = ""1976""&gt; 1976 &lt;/ option&gt; &lt;option value = ""1975""&gt; 1975 &lt;/ option&gt; &lt;option value = ""1974""&gt; 1974 &lt; / option&gt; &lt;option value = ""1973""&gt; 1973 &lt;/ option&gt; &lt;option value = ""1972""&gt; 1972 &lt;/ option&gt; &lt;option va"&amp;"lue = ""1971""&gt; 1971 &lt;/ option&gt; &lt;option value = ""1970""&gt; 1970 &lt;/ option&gt; &lt;option value = ""1969""&gt; 1969 &lt;/ option&gt; &lt;option value = ""1968""&gt; 1968 &lt;/ option&gt; &lt;option value = ""1967""&gt; 1967 &lt;/ option&gt; &lt;option value = ""1966 ""&gt; 1966 &lt;/ option&gt; &lt;option valu"&amp;"e ="" 1965 ""&gt; 1965 &lt;/ option&gt; &lt;option value ="" 1964 ""&gt; 1964 &lt;/ option&gt; &lt;option value ="" 1963 ""&gt; 1963 &lt;/ option&gt; &lt;option value = ""1962""&gt; 1962 &lt;/ option&gt; &lt;option value = ""1961""&gt; 1961 &lt;/ option&gt; &lt;option value = ""1960""&gt; 1960 &lt;/ op tion&gt; &lt;option val"&amp;"ue = ""1959""&gt; 1959 &lt;/ option&gt; &lt;option value = ""1958""&gt; 1958 &lt;/ option&gt; &lt;option value = ""1957""&gt; 1957 &lt;/ option&gt; &lt;option value = ""1956""&gt; 1956 &lt;/ option&gt; &lt;option value = ""1955""&gt; 1955 &lt;/ option&gt; &lt;option value = ""1954""&gt; 1954 &lt;/ option&gt; &lt;option value "&amp;"= ""1953""&gt; 1953 &lt;/ option&gt; &lt;option value = ""1952"" &gt; 1952 &lt;/ option&gt; &lt;option value = ""1951""&gt; 1951 &lt;/ option&gt; &lt;option value = ""1950""&gt; 1950 &lt;/ option&gt; &lt;option value = ""1949""&gt; 1949 &lt;/ option&gt; &lt;option value = "" 1948 ""&gt; 1948 &lt;/ option&gt; &lt;option value "&amp;"="" 1947 ""&gt; 1947 &lt;/ option&gt; &lt;option value ="" 1946 ""&gt; 1946 &lt;/ option&gt; &lt;option value ="" 1945 ""&gt; 1945 &lt;/ option&gt; &lt;value option = ""1944""&gt; 1944 &lt;/ option&gt; &lt;option value = ""1943""&gt; 1943 &lt;/ option&gt; &lt;option value = ""1942""&gt; 1942 &lt;/ option&gt; &lt;option value "&amp;"= ""1941""&gt; 1941 &lt;/ option&gt; &lt; option value = ""1940""&gt; 1940 &lt;/ option&gt; &lt;option value = ""1939""&gt; 1939 &lt;/ option&gt; &lt;option value = ""1938""&gt; 1938 &lt;/ option&gt; &lt;option value = ""1937""&gt; 1937 &lt;/ option &gt; &lt;option value = ""1936""&gt; 1936 &lt;/ option&gt; &lt;option value ="&amp;" ""1935""&gt; 1935 &lt;/ option&gt; &lt;option value = ""1934""&gt; 1934 &lt;/ option&gt; &lt;option value = ""1933""&gt; 1933 &lt; / option&gt; &lt;option value = ""1932""&gt; 1932 &lt;/ option&gt; &lt;option value = ""1931""&gt; 1931 &lt;/ option&gt; &lt;option v alue = ""1930""&gt; 1930 &lt;/ option&gt; &lt;option value = "&amp;"""1929""&gt; 1929 &lt;/ option&gt; &lt;option value = ""1928""&gt; 1928 &lt;/ option&gt; &lt;option value = ""1927""&gt; 1927 &lt;/ option&gt; &lt;option value = ""1926""&gt; 1926 &lt;/ option&gt; &lt;option value = ""1925""&gt; 1925 &lt;/ option&gt; &lt;option value = ""1924""&gt; 1924 &lt;/ option&gt; &lt;option value = ""1"&amp;"923""&gt; 1923 &lt;/ option&gt; &lt;option value = ""1922""&gt; 1922 &lt;/ option&gt; &lt;option value = ""1921""&gt; 1921 &lt;/ option&gt; &lt;option value = ""1920""&gt; 1920 &lt;/ option&gt; &lt;option value = ""1919""&gt; 1919 &lt;/ option&gt; &lt;option value = ""1918""&gt; 1918 &lt;/ option&gt; &lt;option value = ""1917"&amp;"""&gt; 1917 &lt;/ option&gt; &lt;option value = ""1916""&gt; 1916 &lt;/ option&gt; &lt;option value = ""1915"" &gt; 1915 &lt;/ option&gt; &lt;option value = ""1914""&gt; 1914 &lt;/ option&gt; &lt;option value = ""1913""&gt; 1913 &lt;/ option&gt; &lt;option value = ""1912""&gt; 1912 &lt;/ option&gt; &lt;option value = "" 1911 "&amp;"""&gt; 1911 &lt;/ option&gt; &lt;option value ="" 1910 ""&gt; 1910 &lt;/ option&gt; &lt;option value ="" 1909 ""&gt; 1909 &lt;/ option&gt; &lt;option value ="" 1908 ""&gt; 1908 &lt;/ option&gt; &lt;value option = ""1907""&gt; 1907 &lt;/ option&gt; &lt;option value = ""1906""&gt; 1906 &lt;/ option&gt; &lt;option value = ""1905"&amp;"""&gt; 1905 &lt;/ option&gt; &lt;option value = ""1904""&gt; 1904 &lt;/ option&gt; &lt; option value = ""1903""&gt; 1903 &lt;/ option&gt; &lt;option value = ""1902""&gt; 1902 &lt;/ option&gt; &lt;option value = ""1901""&gt; 19 01 &lt;/ option&gt; &lt;option value = ""1900""&gt; 1900 &lt;/ option&gt; &lt;/ select&gt; &lt;div tabinde"&amp;"x = ""- 1"" class = ""airy-age-gate-submit airy-submit-button airy airy-submit- disabled ""&gt; Submit &lt;/ div&gt; &lt;/ div&gt; &lt;/ div&gt; &lt;/ div&gt; &lt;/ div&gt; &lt;/ div&gt; &lt;div tabindex ="" - 1 ""class ="" airy-install-flash-dialog airy-stage airy -vertical-centering-table-dialo"&amp;"g airy airy-denied ""style ="" opacity: 0; visibility: hidden; ""&gt; &lt;div tabindex ="" - 1 ""class ="" airy-install-flash-Vertical-centering-table-cell airy-Vertical-centering-table-cell ""&gt; &lt;div tabindex ="" - 1 ""class = ""airy-Vertical-centering-wrapper "&amp;"airy-install-flash-elements-wrapper""&gt; &lt;div tabindex = ""- 1"" class = ""airy-install-flash-elements airy-dialog-elements""&gt; &lt;div tabindex = "" -1 ""class ="" airy-install-flash-prompt ""&gt; Adobe Flash Player is required to watch this video &lt;/ div&gt; &lt;div ta"&amp;"bindex =."" - 1 ""class ="" airy-install-flash-button-wrapper airy -dialog-inner-elements ""&gt; &lt;div tabindex ="" - 1 ""class ="" airy-install-flash-button airy-button ""&gt; install Flash Player &lt;/ div&gt; &lt;/ div&gt; &lt;/ div&gt; &lt;/ div&gt; &lt;/ div&gt; &lt;/ div&gt; &lt;div tabindex = "&amp;"""- 1"" class = ""airy-video-unsupported-dialog airy-stage airy-Vertical-centering-table airy-dialog airy-denied"" style = ""opacity: 0; visibility: hidden; ""&gt; &lt;div tabindex ="" - 1 ""class ="" airy-video-unsupported-Vertical-centering-table-cell airy-Ve"&amp;"rtical-centering-table-cell ""&gt; &lt;div tabindex ="" - 1 ""class = ""airy-Vertical-centering-wrapper airy-video-unsupported-elements-wrapper""&gt; &lt;div tabindex = ""- 1"" class = ""airy-video-unsupported-elements airy-dialog-elements""&gt; &lt;div tabindex = "" -1 """&amp;"class ="" airy-video-unsupported-prompt ""&gt; &lt;/ div&gt; &lt;/ div&gt; &lt;/ div&gt; &lt;/ div&gt; &lt;/ div&gt; &lt;div tabindex ="" - 1 ""class ="" airy-loading- spinner-stage airy-stage ""&gt; &lt;div tabindex ="" - 1 ""class ="" airy-loading-spinner-Vertical-centering-table-cell airy-Vert"&amp;"ical-centering-table-cell ""&gt; &lt;div tabindex ="" - 1 ""class ="" airy-loading-spinner-container airy-scalable-hint-container ""&gt; &lt;div tabindex ="" - 1 ""class ="" airy-loading-spinner-dummy airy-scalable-dummy ""&gt; &lt;/ div&gt; &lt; div tabindex = ""- 1"" class = "&amp;"""airy-loading-spinner airy-hint"" style = ""visibility: hidden;""&gt; &lt;/ div&gt; &lt;/ div&gt; &lt;/ div&gt; &lt;/ div&gt; &lt;div tabindex = ""- 1 ""class ="" airy-ads-screen-size-toggle airy-screen-size-toggle-fullscreen airy ""style ="" visibility: hidden; ""&gt; &lt;/ div&gt; &lt;div tabi"&amp;"ndex = ""-1"" class = ""airy-ad-prompt-container"" style = ""visibility: hidden;""&gt; &lt;div tabindex = ""- 1"" class = ""airy-ad-prompt-Vertical-centering-table-vertically airy centering-table ""&gt; &lt;div tabindex ="" - 1 ""class ="" airy-ad-prompt-Vertical-cen"&amp;"tering-table-cell airy-Vertical-centering-table-cell ""&gt; &lt;div tabindex ="" - 1 ""class = ""airy-ad-prompt-label""&gt; &lt;/ div&gt; &lt;/ div&gt; &lt;/ div&gt; &lt;/ div&gt; &lt;div tabindex = ""- 1"" class = ""airy-ads-controls-container"" style = ""visibility: hidden; ""&gt; &lt;div tabin"&amp;"dex ="" - 1 ""class ="" airy-ads-audio-toggle airy-audio-toggle airy-on ""style ="" visibility: hidden; ""&gt; &lt;/ div&gt; &lt;div tabindex ="" - 1 ""class ="" airy-time-remaining-label-container ""&gt; &lt;div tabindex ="" - 1 ""class ="" airy-time-remaining-Vertical-ce"&amp;"ntering-table airy-Vertical-centering-table ""&gt; &lt;div tabindex = ""- 1"" class = ""airy-time-remaining-Vertical-centering-table-cell airy-Vertical-centering-table-cell""&gt; &lt;div tabindex = ""- 1"" class = ""airy-Vertical-centering-wrapper airy-time-remaining"&amp;"-label-wrapper ""&gt; &lt;div tabindex ="" - 1 ""class ="" airy-time-remaining-label ""style ="" visibility: hidden; ""&gt; &lt;/ div&gt; &lt;div tabi ndex = ""- 1"" class = ""airy-ad-skip"" style = ""visibility: hidden;""&gt; &lt;/ div&gt; &lt;div tabindex = ""- 1"" class = ""airy-ad"&amp;"-end"" style = ""visibility: hidden ""&gt; &lt;/ div&gt; &lt;/ div&gt; &lt;/ div&gt; &lt;/ div&gt; &lt;/ div&gt; &lt;div tabindex ="" - 1 ""class ="" airy-learn-more ""style ="" visibility: hidden; ""&gt; &lt;/ div&gt; &lt;/ div&gt; &lt;div tabindex = ""- 1"" class = ""airy-play-toggle-hint-stage airy-stage "&amp;"airy-cursor""&gt; &lt;div tabindex = ""- 1"" class = ""airy-play -toggle-hint-Vertical-centering-table-cell airy-Vertical-centering-table-cell airy-cursor ""&gt; &lt;div tabindex ="" - 1 ""class ="" airy-play-toggle-hint-container airy-scalable- Hint-container ""&gt; &lt;d"&amp;"iv tabindex ="" - 1 ""class ="" airy-play-toggle-hint-dummy airy-scalable-dummy ""&gt; &lt;/ div&gt; &lt;div tabindex ="" - 1 ""class ="" airy-play -toggle-hint hint airy-airy-play-hint ""style ="" opacity: 1; visibility: visible; ""&gt; &lt;/ div&gt; &lt;/ div&gt; &lt;/ div&gt; &lt;/ div&gt; "&amp;"&lt;div tabindex ="" - 1 ""class ="" airy-replay-hint-stage airy-stage ""style ="" visibility: hidden ; ""&gt; &lt;div tabindex ="" - 1 ""class ="" airy-replay-hint-Vertical-centering-table-cell airy-Vertical-centering-table-cell airy-cursor ""&gt; &lt;div tabindex ="" "&amp;"- 1 ""class = ""airy-replay-hint-container airy-scalable-hint-container""&gt; &lt;div tabindex = ""- 1"" class = ""airy-replay-hint-dummy airy-scalable-dummy""&gt; &lt;/ div&gt; &lt;div tabindex = ""- 1"" class = ""airy-replay-hint airy-hint""&gt; &lt;/ div&gt; &lt;/ div&gt; &lt;/ div&gt; &lt;/ d"&amp;"iv&gt; &lt;div tabindex = ""- 1"" class = ""airy-autoplay-hint -stage airy-stage ""style ="" visibility: hidden; ""&gt; &lt;div tabindex ="" - 1 ""class ="" airy-autoplay-hint-Vertical-centering-table-cell airy-Vertical-centering-table-cell airy- cursor ""&gt; &lt;div tabi"&amp;"ndex ="" - 1 ""class ="" autoplay airy-airy-hint-container-scalable-hint-container ""&gt; &lt;div tabindex ="" - 1 ""class ="" airy-autoplay-hint-dummy airy- scalable-dummy ""&gt; &lt;/ div&gt; &lt;/ div&gt; &lt;/ div&gt; &lt;/ div&gt; &lt;/ div&gt; &lt;/ div&gt; &lt;input type ="" hidden ""name ="" """&amp;"value ="" https: // images-eu .ssl-images-amazon.com / images / I / 91cBD + D5yPS.mp4 ""Class ="" video-url ""&gt; &lt;input type ="" hidden ""name ="" ""value ="" https://images-eu.ssl-images-amazon.com/images/I/81amepZdylS.png ""class ="" video-slate-img-url "&amp;"""&gt; &amp; nbsp; I bought to prepare the fruit puree my baby and going great. Shreds fine for what it is and how little is rechargeable you can use anywhere. It is easily cleaned and the container is glass")</f>
        <v>Good power, small size and portable &lt;div id = "video-block-RMKVDOYNCXZQV" class = "a-section a-spacing-small a-spacing-top mini video-block"&gt; &lt;div tabindex = "0" class = "airy airy-svg vmin-supported airy-skin-beacon" style = "background-color: rgb (0, 0, 0) position: relative; width: 100%; height: 100%; font-size: 0px; overflow: hidden; outline: none; "&gt; &lt;div class =" airy-renderer-container "style =" position: relative; height: 100%; width: 100%; "&gt; &lt;video id =" 7 "preload =" auto "src =" https://images-eu.ssl-images-amazon.com/images/I/91cBD+D5yPS.mp4 "style =" position: absolute; left: 0px; top: 0px; overflow: hidden; height: 1px; width: 1px; "&gt; &lt;/ video&gt; &lt;/ div&gt; &lt;div id =" airy-slate-preload "style =" background-color: rgb (0, 0, 0); background-image: url (&amp; quot; https: //images-eu.ssl-images-amazon.com/images/I/81amepZdylS.png&amp;quot;); background-size: Contain; background-position: center center; background-repeat: no-repeat; position: absolute; top: 0px; left: 0px; visibility: visible; width: 100%; height: 100% ;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0:08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40.0467%;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91cBD + D5yPS.mp4 "Class =" video-url "&gt; &lt;input type =" hidden "name =" "value =" https://images-eu.ssl-images-amazon.com/images/I/81amepZdylS.png "class =" video-slate-img-url "&gt; &amp; nbsp; I bought to prepare the fruit puree my baby and going great. Shreds fine for what it is and how little is rechargeable you can use anywhere. It is easily cleaned and the container is glass</v>
      </c>
    </row>
    <row r="16716">
      <c r="A16716" s="1">
        <v>5.0</v>
      </c>
      <c r="B16716" s="1" t="s">
        <v>16558</v>
      </c>
      <c r="C16716" t="str">
        <f>IFERROR(__xludf.DUMMYFUNCTION("GOOGLETRANSLATE(B16716, ""es"", ""en"")"),"Not bad filter tea cute and does the job. The only ""bad"" is that sometimes filters some sorts of herbs and must be colarlo depending on the amount.")</f>
        <v>Not bad filter tea cute and does the job. The only "bad" is that sometimes filters some sorts of herbs and must be colarlo depending on the amount.</v>
      </c>
    </row>
    <row r="16717">
      <c r="A16717" s="1">
        <v>5.0</v>
      </c>
      <c r="B16717" s="1" t="s">
        <v>16559</v>
      </c>
      <c r="C16717" t="str">
        <f>IFERROR(__xludf.DUMMYFUNCTION("GOOGLETRANSLATE(B16717, ""es"", ""en"")"),"Mando for presentations for presentations, use this command is great and not having to travel all the way to the computer to change slide or having to rely on someone else that you do. Powered by a AAA battery (not included). It is lit with a switch locat"&amp;"ed on the left side of the command and, once the USB receiver connected to your computer, the slides are passed with the two buttons on the main control (arrows). In addition, perhaps one of the features I liked is the ability to open links slides. With t"&amp;"he push of a button (the square), open the link you have on the slide (if applicable). It is also possible to raise and lower the volume of the system and has a laser pointer. The only drawback I see is the difficulty of removing the USB receiver, since i"&amp;"t carries a magnet and is easy to get but not to extract. At the end you end up getting used much, but I must admit it costs.")</f>
        <v>Mando for presentations for presentations, use this command is great and not having to travel all the way to the computer to change slide or having to rely on someone else that you do. Powered by a AAA battery (not included). It is lit with a switch located on the left side of the command and, once the USB receiver connected to your computer, the slides are passed with the two buttons on the main control (arrows). In addition, perhaps one of the features I liked is the ability to open links slides. With the push of a button (the square), open the link you have on the slide (if applicable). It is also possible to raise and lower the volume of the system and has a laser pointer. The only drawback I see is the difficulty of removing the USB receiver, since it carries a magnet and is easy to get but not to extract. At the end you end up getting used much, but I must admit it costs.</v>
      </c>
    </row>
    <row r="16718">
      <c r="A16718" s="1">
        <v>5.0</v>
      </c>
      <c r="B16718" s="1" t="s">
        <v>16560</v>
      </c>
      <c r="C16718" t="str">
        <f>IFERROR(__xludf.DUMMYFUNCTION("GOOGLETRANSLATE(B16718, ""es"", ""en"")"),"Price perfect quality Great value, quick to arrive, is my number that simpre use, they are perfect.")</f>
        <v>Price perfect quality Great value, quick to arrive, is my number that simpre use, they are perfect.</v>
      </c>
    </row>
    <row r="16719">
      <c r="A16719" s="1">
        <v>5.0</v>
      </c>
      <c r="B16719" s="1" t="s">
        <v>16561</v>
      </c>
      <c r="C16719" t="str">
        <f>IFERROR(__xludf.DUMMYFUNCTION("GOOGLETRANSLATE(B16719, ""es"", ""en"")"),"!! pleased with purchase &lt;Div id = ""video-block-RNUZP6ZEBEO7L"" class = ""section a-a-a-spacing-small spacing-top-video mini-block""&gt; &lt;div tabindex = ""0"" class = ""airy airy-svg vmin- supported airy-skin-beacon ""style ="" background-color: rgb (0, 0, "&amp;"0) position: relative; width: 100%; height: 100%; font-size: 0px; overflow: hidden; outline: none ; ""&gt; &lt;div class ="" airy-renderer-container ""style ="" position: relative; height: 100%; width: 100%; ""&gt; &lt;video id ="" 7 ""preload ="" auto ""src ="" http"&amp;"s: //images-eu.ssl-images-amazon.com/images/I/C1Z6zTsZ3rS.mp4 ""style ="" position: absolute; left: 0px; top: 0px; overflow: hidden; height: 1px; width: 1px; "" &gt; &lt;/ video&gt; &lt;/ div&gt; &lt;div id = ""airy-slate-preload"" style = ""background-color: rgb (0, 0, 0)"&amp;"; background-image: url (&amp; quot; https: // images- eu.ssl-images-amazon.com/images/I/A1jEmb3aoIS.png&amp;quot;); background-size: Contain; background-position: center center; background-repeat: no-repeat; position: absolute; top: 0px; left : 0px; visibility: "&amp;"visible; width: 100%; height: 100%; ""&gt; &lt;/ div&gt; &lt;iframe scrolling ="" no ""frameborder ="" 0 ""src ="" about: blank ""style ="" display: none; ""&gt; &lt;/ iframe&gt; &lt;div tabindex ="" - 1 ""class ="" airy-controls-container ""style ="" opacity: 0; visibility: hid"&amp;"den; ""&gt; &lt;div tabindex ="" - 1 ""class ="" airy-screen-size-toggle airy-fullscreen ""&gt; &lt;/ div&gt; &lt;div tabindex ="" - 1 ""class ="" airy-container-bottom "" &gt; &lt;div tabindex = ""- 1"" class = ""airy-track-bar-spacer-left"" style = ""width: 11px;""&gt; &lt;/ div&gt; &lt;d"&amp;"iv tabindex = ""- 1"" class = ""airy-play- airy toggle-play ""style ="" width: 12px; margin-right: 12px; ""&gt; &lt;/ div&gt; &lt;div tabindex ="" - 1 ""class ="" airy-audio-elements ""style ="" float: right; width: 34px; ""&gt; &lt;div tabindex ="" - 1 ""class ="" airy-au"&amp;"dio-toggle airy-on ""&gt; &lt;/ div&gt; &lt;div tabindex ="" - 1 ""class ="" airy-audio-container ""style = ""opacity: 0; visibility: hidden; ""&gt; &lt;div tabindex ="" - 1 ""class ="" airy-audio-track-bar ""style ="" height: 80%; ""&gt; &lt;div tabindex ="" - 1 ""class ="" air"&amp;"y-audio- Scrubber-bar ""style ="" height: 85%; ""&gt; &lt;/ div&gt; &lt;div tabindex ="" - 1 ""class ="" airy-audio-scrubber ""style ="" height: 12px; bottom: 85% ""&gt; &lt;/ div&gt; &lt;/ div&gt; &lt;/ div&gt; &lt;/ div&gt; &lt;div tabindex ="" - 1 ""class ="" airy-duration-label ""style ="" fl"&amp;"oat: right; width: 26px; margin-right: 4px; text-align: center; ""&gt; 0:00 &lt;/ div&gt; &lt;div tabindex ="" - 1 ""class ="" airy-track-bar-spacer-right ""style ="" float: right; width: 11px; ""&gt; &lt;/ div&gt; &lt;div tabindex ="" - 1 ""class ="" airy-track-bar-container """&amp;"style ="" margin-left: 35px; margin-right: 75px; ""&gt; &lt;div tabindex ="" - 1 ""class ="" airy-airy-track-bar vertically-centering-table ""&gt; &lt;div tabindex ="" - 1 ""class ="" airy-Vertical-centering- table-cell ""&gt; &lt;div tabindex ="" - 1 ""class ="" airy-trac"&amp;"k-bar-elements ""&gt; &lt;div tabindex ="" - 1 ""class ="" airy-progress-bar ""&gt; &lt;/ div&gt; &lt;div tabindex = ""- 1"" class = ""airy-scrubber-bar""&gt; &lt;/ div&gt; &lt;div tabindex = ""- 1"" class = ""airy-scrubber""&gt; &lt;div tabindex = ""- 1"" class = ""airy-scrubber- icon ""&gt; "&amp;"&lt;/ div&gt; &lt;div tabindex ="" - 1 ""class ="" airy-adjusted-AUI-tooltip ""style ="" opacity: 0; visibility: hidden; ""&gt; &lt;div tabindex ="" - 1 ""class ="" airy-adjusted-aui-tooltip-inner ""&gt; &lt;div tabindex ="" - 1 ""class ="" airy-current-time-label ""&gt; 0: 00 &lt;"&amp;"/ div&gt; &lt;/ div&gt; &lt;div tabindex = ""- 1"" class = ""airy-adjusted-AUI-arrow-border""&gt; &lt;div tabindex = ""- 1"" class = ""airy-adjusted-AUI-arrow"" &gt; &lt;/ div&gt; &lt;/ div&gt; &lt;/ div&gt; &lt;/ div&gt; &lt;/ div&gt; &lt;/ div&gt; &lt;/ div&gt; &lt;/ div&gt; &lt;/ div&gt; &lt;/ div&gt; &lt;div tabindex = ""- 1"" class "&amp;"= ""airy-age-gate airy-stage airy-Vertical-centering-table airy-dialog"" style = ""opacity: 0; visibility: hidden; ""&gt; &lt;div tabindex ="" - 1 ""class ="" airy-age-gate-Vertical-centering-table-cell airy-Vertical-centering-table-cell ""&gt; &lt;div tabindex ="" -"&amp;" 1 ""class = ""airy-Vertical-centering-wrapper airy-age-gate-elements-wrapper""&gt; &lt;div tabindex = ""- 1"" class = ""airy-age-gate-elements airy-dialog-elements""&gt; &lt;div tabindex = "" -1 ""class ="" airy-age-gate-prompt ""&gt; This video is not Intended for all"&amp;" audiences What date were you born &lt;/ div&gt; &lt;div tabindex =.?"" - 1 ""class ="" airy-age-gate -inputs airy-dialog-inner-elements ""&gt; &lt;select tabindex ="" - 1 ""class ="" airy-age-gate-month ""&gt; &lt;option value ="" 1 ""&gt; January &lt;/ option&gt; &lt;option value ="" 2"&amp;" ""&gt; February &lt;/ option&gt; &lt;option value ="" 3 ""&gt; March &lt;/ option&gt; &lt;option value ="" 4 ""&gt; April &lt;/ option&gt; &lt;option value ="" 5 ""&gt; May &lt;/ option&gt; &lt;option value = ""6""&gt; June &lt;/ option&gt; &lt;option value = ""7""&gt; July &lt;/ option&gt; &lt;option value = ""8""&gt; August &lt;"&amp;"/ option&gt; &lt;option value = ""9""&gt; September &lt;/ option&gt; &lt;option value = ""10""&gt; October &lt;/ option&gt; &lt;option value = ""11""&gt; November &lt;/ option&gt; &lt;option value = ""12""&gt; December &lt;/ option&gt; &lt;/ select&gt; &lt;select tabindex = ""- 1"" class = ""airy-age-gate-day""&gt; &lt;"&amp;"opti on value = ""1""&gt; 1 &lt;/ option&gt; &lt;option value = ""2""&gt; 2 &lt;/ option&gt; &lt;option value = ""3""&gt; 3 &lt;/ option&gt; &lt;option value = ""4""&gt; 4 &lt;/ option &gt; &lt;option value = ""5""&gt; 5 &lt;/ option&gt; &lt;option value = ""6""&gt; 6 &lt;/ option&gt; &lt;option value = ""7""&gt; 7 &lt;/ option&gt; &lt;o"&amp;"ption value = ""8""&gt; 8 &lt; / option&gt; &lt;option value = ""9""&gt; 9 &lt;/ option&gt; &lt;option value = ""10""&gt; 10 &lt;/ option&gt; &lt;option value = ""11""&gt; 11 &lt;/ option&gt; &lt;option value = ""12""&gt; 12 &lt;/ option&gt; &lt;option value = ""13""&gt; 13 &lt;/ option&gt; &lt;option value = ""14""&gt; 14 &lt;/ op"&amp;"tion&gt; &lt;option value = ""15""&gt; 15 &lt;/ option&gt; &lt;option value = ""16 ""&gt; 16 &lt;/ option&gt; &lt;option value ="" 17 ""&gt; 17 &lt;/ option&gt; &lt;option value ="" 18 ""&gt; 18 &lt;/ option&gt; &lt;option value ="" 19 ""&gt; 19 &lt;/ option&gt; &lt;option value = ""20""&gt; 20 &lt;/ option&gt; &lt;option value = "&amp;"""21""&gt; 21 &lt;/ option&gt; &lt;option value = ""22""&gt; 22 &lt;/ option&gt; &lt;option value = ""23""&gt; 23 &lt;/ option&gt; &lt;option value = ""24""&gt; 24 &lt;/ option&gt; &lt;option value = ""25""&gt; 25 &lt;/ option&gt; &lt;option value = ""26""&gt; 26 &lt;/ option&gt; &lt;option value = ""27""&gt; 27 &lt;/ option&gt; &lt;opti"&amp;"on value = ""28""&gt; 28 &lt;/ option&gt; &lt;option value = ""29""&gt; 29 &lt;/ option&gt; &lt;option value = ""30""&gt; 30 &lt;/ option&gt; &lt;option value = ""31""&gt; 31 &lt;/ option&gt; &lt;/ select&gt; &lt;select tabindex = ""- 1"" class = ""airy-age-gate-year""&gt; &lt;option value = ""2019""&gt; 2019 &lt;/ opti"&amp;"on&gt; &lt; option value = ""2018""&gt; 2018 &lt;/ option&gt; &lt;option value = ""2017""&gt; 2017 &lt;/ option&gt; &lt;option value = ""2016""&gt; ​​2016 &lt;/ option&gt; &lt;option value = ""2015""&gt; 2015 &lt;/ option &gt; &lt;option value = ""2014""&gt; 2014 &lt;/ option&gt; &lt;option value = ""2013""&gt; 2013 &lt;/ opt"&amp;"ion&gt; &lt;option value = ""2012""&gt; 2012 &lt;/ option&gt; &lt;option value = ""2011""&gt; 2011 &lt; / option&gt; &lt;option value = ""2010""&gt; 2010 &lt;/ option&gt; &lt;option value = ""2009""&gt; 2009 &lt;/ option&gt; &lt;option value = ""2008""&gt; 2008 &lt;/ option&gt; &lt;option value = ""2007""&gt; 2007 &lt;/ optio"&amp;"n&gt; &lt;option value = ""2006""&gt; 2006 &lt;/ option&gt; &lt;option value = ""2005""&gt; 2005 &lt;/ option&gt; &lt;option value = ""2004""&gt; 2004 &lt;/ option&gt; &lt;option value = ""2003 ""&gt; 2003 &lt;/ option&gt; &lt;option value ="" 2002 ""&gt; 2002 &lt;/ option&gt; &lt;option value ="" 2001 ""&gt; 2001 &lt;/ optio"&amp;"n&gt; &lt;option value ="" 2000 ""&gt; 2000 &lt;/ option&gt; &lt;option value = ""1999""&gt; 1999 &lt;/ option&gt; &lt;option value = ""1998""&gt; 1998 &lt;/ option&gt; &lt;option value = ""1997""&gt; 1997 &lt;/ option&gt; &lt;option value = ""1996""&gt; 1996 &lt;/ option&gt; &lt;option value = ""1995""&gt; 1995 &lt;/ option&gt;"&amp;" &lt;option value = ""1994""&gt; 1994 &lt;/ option&gt; &lt;option value = ""1993""&gt; 1993 &lt;/ option&gt; &lt;option value = ""1992""&gt; 1992 &lt;/ option&gt; &lt;option value = ""1991""&gt; 1991 &lt;/ option&gt; &lt;option value = ""1990""&gt; 1990 &lt;/ option&gt; &lt;option value = "" 1989 ""&gt; 1989 &lt;/ option&gt; "&amp;"&lt;option value ="" 1988 ""&gt; 1988 &lt;/ option&gt; &lt;option value ="" 1987 ""&gt; 1987 &lt;/ option&gt; &lt;option value ="" 1986 ""&gt; 1986 &lt;/ option&gt; &lt;value option = ""1985""&gt; 1985 &lt;/ option&gt; &lt;option value = ""1984""&gt; 1984 &lt;/ option&gt; &lt;option value = ""1983""&gt; 1983 &lt;/ option&gt; "&amp;"&lt;option value = ""1982""&gt; 1982 &lt;/ option&gt; &lt; option value = ""1981""&gt; 1981 &lt;/ option&gt; &lt;option value = ""1980""&gt; 1980 &lt;/ option&gt; &lt;option value = ""1979""&gt; 1979 &lt;/ option&gt; &lt;option value = ""1978""&gt; 1978 &lt;/ option &gt; &lt;option value = ""1977""&gt; 1977 &lt;/ option&gt; &lt;"&amp;"option value = ""1976""&gt; 1976 &lt;/ option&gt; &lt;option value = ""1975""&gt; 1975 &lt;/ option&gt; &lt;option value = ""1974""&gt; 1974 &lt; / option&gt; &lt;option value = ""1973""&gt; 1973 &lt;/ option&gt; &lt;option value = ""1972""&gt; 1972 &lt;/ option&gt; &lt;option value = ""1971""&gt; 1971 &lt;/ option&gt; &lt;op"&amp;"tion value = ""1970""&gt; 1970 &lt;/ option&gt; &lt;option value = ""1969""&gt; 1969 &lt;/ option&gt; &lt;option value = ""1968""&gt; 1968 &lt;/ option&gt; &lt;option value = ""1967""&gt; 1967 &lt;/ option&gt; &lt;option value = ""1966 ""&gt; 1966 &lt;/ option&gt; &lt;option value ="" 1965 ""&gt; 1965 &lt;/ option&gt; &lt;opt"&amp;"ion value ="" 1964 ""&gt; 1964 &lt;/ option&gt; &lt;option value ="" 1963 ""&gt; 1963 &lt;/ option&gt; &lt;option value = ""1962""&gt; 1962 &lt;/ option&gt; &lt;option value = ""1961""&gt; 1961 &lt;/ option&gt; &lt;option value = ""1960""&gt; 1960 &lt;/ op tion&gt; &lt;option value = ""1959""&gt; 1959 &lt;/ option&gt; &lt;opt"&amp;"ion value = ""1958""&gt; 1958 &lt;/ option&gt; &lt;option value = ""1957""&gt; 1957 &lt;/ option&gt; &lt;option value = ""1956""&gt; 1956 &lt;/ option&gt; &lt;option value = ""1955""&gt; 1955 &lt;/ option&gt; &lt;option value = ""1954""&gt; 1954 &lt;/ option&gt; &lt;option value = ""1953""&gt; 1953 &lt;/ option&gt; &lt;option"&amp;" value = ""1952"" &gt; 1952 &lt;/ option&gt; &lt;option value = ""1951""&gt; 1951 &lt;/ option&gt; &lt;option value = ""1950""&gt; 1950 &lt;/ option&gt; &lt;option value = ""1949""&gt; 1949 &lt;/ option&gt; &lt;option value = "" 1948 ""&gt; 1948 &lt;/ option&gt; &lt;option value ="" 1947 ""&gt; 1947 &lt;/ option&gt; &lt;optio"&amp;"n value ="" 1946 ""&gt; 1946 &lt;/ option&gt; &lt;option value ="" 1945 ""&gt; 1945 &lt;/ option&gt; &lt;value option = ""1944""&gt; 1944 &lt;/ option&gt; &lt;option value = ""1943""&gt; 1943 &lt;/ option&gt; &lt;option value = ""1942""&gt; 1942 &lt;/ option&gt; &lt;option value = ""1941""&gt; 1941 &lt;/ option&gt; &lt; optio"&amp;"n value = ""1940""&gt; 1940 &lt;/ option&gt; &lt;option value = ""1939""&gt; 1939 &lt;/ option&gt; &lt;option value = ""1938""&gt; 1938 &lt;/ option&gt; &lt;option value = ""1937""&gt; 1937 &lt;/ option &gt; &lt;option value = ""1936""&gt; 1936 &lt;/ option&gt; &lt;option value = ""1935""&gt; 1935 &lt;/ option&gt; &lt;option "&amp;"value = ""1934""&gt; 1934 &lt;/ option&gt; &lt;option value = ""1933""&gt; 1933 &lt; / option&gt; &lt;option value = ""1932""&gt; 1932 &lt;/ option&gt; &lt;option value = ""1931""&gt; 1931 &lt;/ option&gt; &lt;option v alue = ""1930""&gt; 1930 &lt;/ option&gt; &lt;option value = ""1929""&gt; 1929 &lt;/ option&gt; &lt;option v"&amp;"alue = ""1928""&gt; 1928 &lt;/ option&gt; &lt;option value = ""1927""&gt; 1927 &lt;/ option&gt; &lt;option value = ""1926""&gt; 1926 &lt;/ option&gt; &lt;option value = ""1925""&gt; 1925 &lt;/ option&gt; &lt;option value = ""1924""&gt; 1924 &lt;/ option&gt; &lt;option value = ""1923""&gt; 1923 &lt;/ option&gt; &lt;option valu"&amp;"e = ""1922""&gt; 1922 &lt;/ option&gt; &lt;option value = ""1921""&gt; 1921 &lt;/ option&gt; &lt;option value = ""1920""&gt; 1920 &lt;/ option&gt; &lt;option value = ""1919""&gt; 1919 &lt;/ option&gt; &lt;option value = ""1918""&gt; 1918 &lt;/ option&gt; &lt;option value = ""1917""&gt; 1917 &lt;/ option&gt; &lt;option value ="&amp;" ""1916""&gt; 1916 &lt;/ option&gt; &lt;option value = ""1915"" &gt; 1915 &lt;/ option&gt; &lt;option value = ""1914""&gt; 1914 &lt;/ option&gt; &lt;option value = ""1913""&gt; 1913 &lt;/ option&gt; &lt;option value = ""1912""&gt; 1912 &lt;/ option&gt; &lt;option value = "" 1911 ""&gt; 1911 &lt;/ option&gt; &lt;option value ="&amp;""" 1910 ""&gt; 1910 &lt;/ option&gt; &lt;option value ="" 1909 ""&gt; 1909 &lt;/ option&gt; &lt;option value ="" 1908 ""&gt; 1908 &lt;/ option&gt; &lt;value option = ""1907""&gt; 1907 &lt;/ option&gt; &lt;option value = ""1906""&gt; 1906 &lt;/ option&gt; &lt;option value = ""1905""&gt; 1905 &lt;/ option&gt; &lt;option value ="&amp;" ""1904""&gt; 1904 &lt;/ option&gt; &lt; option value = ""1903""&gt; 1903 &lt;/ option&gt; &lt;option value = ""1902""&gt; 1902 &lt;/ option&gt; &lt;option value = ""1901""&gt; 19 01 &lt;/ option&gt; &lt;option value = ""1900""&gt; 1900 &lt;/ option&gt; &lt;/ select&gt; &lt;div tabindex = ""- 1"" class = ""airy-age-gate"&amp;"-submit airy-submit-button airy airy-submit- disabled ""&gt; Submit &lt;/ div&gt; &lt;/ div&gt; &lt;/ div&gt; &lt;/ div&gt; &lt;/ div&gt; &lt;/ div&gt; &lt;div tabindex ="" - 1 ""class ="" airy-install-flash-dialog airy-stage airy -vertical-centering-table-dialog airy airy-denied ""style ="" opac"&amp;"ity: 0; visibility: hidden; ""&gt; &lt;div tabindex ="" - 1 ""class ="" airy-install-flash-Vertical-centering-table-cell airy-Vertical-centering-table-cell ""&gt; &lt;div tabindex ="" - 1 ""class = ""airy-Vertical-centering-wrapper airy-install-flash-elements-wrapper"&amp;"""&gt; &lt;div tabindex = ""- 1"" class = ""airy-install-flash-elements airy-dialog-elements""&gt; &lt;div tabindex = "" -1 ""class ="" airy-install-flash-prompt ""&gt; Adobe Flash Player is required to watch this video &lt;/ div&gt; &lt;div tabindex =."" - 1 ""class ="" airy-in"&amp;"stall-flash-button-wrapper airy -dialog-inner-elements ""&gt; &lt;div tabindex ="" - 1 ""class ="" airy-install-flash-button airy-button ""&gt; install Flash Player &lt;/ div&gt; &lt;/ div&gt; &lt;/ div&gt; &lt;/ div&gt; &lt;/ div&gt; &lt;/ div&gt; &lt;div tabindex = ""- 1"" class = ""airy-video-unsupp"&amp;"orted-dialog airy-stage airy-Vertical-centering-table airy-dialog airy-denied"" style = ""opacity: 0; visibility: hidden; ""&gt; &lt;div tabindex ="" - 1 ""class ="" airy-video-unsupported-Vertical-centering-table-cell airy-Vertical-centering-table-cell ""&gt; &lt;di"&amp;"v tabindex ="" - 1 ""class = ""airy-Vertical-centering-wrapper airy-video-unsupported-elements-wrapper""&gt; &lt;div tabindex = ""- 1"" class = ""airy-video-unsupported-elements airy-dialog-elements""&gt; &lt;div tabindex = "" -1 ""class ="" airy-video-unsupported-pr"&amp;"ompt ""&gt; &lt;/ div&gt; &lt;/ div&gt; &lt;/ div&gt; &lt;/ div&gt; &lt;/ div&gt; &lt;div tabindex ="" - 1 ""class ="" airy-loading- spinner-stage airy-stage ""&gt; &lt;div tabindex ="" - 1 ""class ="" airy-loading-spinner-Vertical-centering-table-cell airy-Vertical-centering-table-cell ""&gt; &lt;div "&amp;"tabindex ="" - 1 ""class ="" airy-loading-spinner-container airy-scalable-hint-container ""&gt; &lt;div tabindex ="" - 1 ""class ="" airy-loading-spinner-dummy airy-scalable-dummy ""&gt; &lt;/ div&gt; &lt; div tabindex = ""- 1"" class = ""airy-loading-spinner airy-hint"" s"&amp;"tyle = ""visibility: hidden;""&gt; &lt;/ div&gt; &lt;/ div&gt; &lt;/ div&gt; &lt;/ div&gt; &lt;div tabindex = ""- 1 ""class ="" airy-ads-screen-size-toggle airy-screen-size-toggle-fullscreen airy ""style ="" visibility: hidden; ""&gt; &lt;/ div&gt; &lt;div tabindex = ""-1"" class = ""airy-ad-prom"&amp;"pt-container"" style = ""visibility: hidden;""&gt; &lt;div tabindex = ""- 1"" class = ""airy-ad-prompt-Vertical-centering-table-vertically airy centering-table ""&gt; &lt;div tabindex ="" - 1 ""class ="" airy-ad-prompt-Vertical-centering-table-cell airy-Vertical-cent"&amp;"ering-table-cell ""&gt; &lt;div tabindex ="" - 1 ""class = ""airy-ad-prompt-label""&gt; &lt;/ div&gt; &lt;/ div&gt; &lt;/ div&gt; &lt;/ div&gt; &lt;div tabindex = ""- 1"" class = ""airy-ads-controls-container"" style = ""visibility: hidden; ""&gt; &lt;div tabindex ="" - 1 ""class ="" airy-ads-aud"&amp;"io-toggle airy-audio-toggle airy-on ""style ="" visibility: hidden; ""&gt; &lt;/ div&gt; &lt;div tabindex ="" - 1 ""class ="" airy-time-remaining-label-container ""&gt; &lt;div tabindex ="" - 1 ""class ="" airy-time-remaining-Vertical-centering-table airy-Vertical-centerin"&amp;"g-table ""&gt; &lt;div tabindex = ""- 1"" class = ""airy-time-remaining-Vertical-centering-table-cell airy-Vertical-centering-table-cell""&gt; &lt;div tabindex = ""- 1"" class = ""airy-Vertical-centering-wrapper airy-time-remaining-label-wrapper ""&gt; &lt;div tabindex ="""&amp;" - 1 ""class ="" airy-time-remaining-label ""style ="" visibility: hidden; ""&gt; &lt;/ div&gt; &lt;div tabi ndex = ""- 1"" class = ""airy-ad-skip"" style = ""visibility: hidden;""&gt; &lt;/ div&gt; &lt;div tabindex = ""- 1"" class = ""airy-ad-end"" style = ""visibility: hidden "&amp;"""&gt; &lt;/ div&gt; &lt;/ div&gt; &lt;/ div&gt; &lt;/ div&gt; &lt;/ div&gt; &lt;div tabindex ="" - 1 ""class ="" airy-learn-more ""style ="" visibility: hidden; ""&gt; &lt;/ div&gt; &lt;/ div&gt; &lt;div tabindex = ""- 1"" class = ""airy-play-toggle-hint-stage airy-stage airy-cursor""&gt; &lt;div tabindex = ""- 1"&amp;""" class = ""airy-play -toggle-hint-Vertical-centering-table-cell airy-Vertical-centering-table-cell airy-cursor ""&gt; &lt;div tabindex ="" - 1 ""class ="" airy-play-toggle-hint-container airy-scalable- Hint-container ""&gt; &lt;div tabindex ="" - 1 ""class ="" airy"&amp;"-play-toggle-hint-dummy airy-scalable-dummy ""&gt; &lt;/ div&gt; &lt;div tabindex ="" - 1 ""class ="" airy-play -toggle-hint hint airy-airy-play-hint ""style ="" opacity: 1; visibility: visible; ""&gt; &lt;/ div&gt; &lt;/ div&gt; &lt;/ div&gt; &lt;/ div&gt; &lt;div tabindex ="" - 1 ""class ="" ai"&amp;"ry-replay-hint-stage airy-stage ""style ="" visibility: hidden ; ""&gt; &lt;div tabindex ="" - 1 ""class ="" airy-replay-hint-Vertical-centering-table-cell airy-Vertical-centering-table-cell airy-cursor ""&gt; &lt;div tabindex ="" - 1 ""class = ""airy-replay-hint-con"&amp;"tainer airy-scalable-hint-container""&gt; &lt;div tabindex = ""- 1"" class = ""airy-replay-hint-dummy airy-scalable-dummy""&gt; &lt;/ div&gt; &lt;div tabindex = ""- 1"" class = ""airy-replay-hint airy-hint""&gt; &lt;/ div&gt; &lt;/ div&gt; &lt;/ div&gt; &lt;/ div&gt; &lt;div tabindex = ""- 1"" class = "&amp;"""airy-autoplay-hint -stage airy-stage ""style ="" visibility: hidden; ""&gt; &lt;div tabindex ="" - 1 ""class ="" airy-autoplay-hint-Vertical-centering-table-cell airy-Vertical-centering-table-cell airy- cursor ""&gt; &lt;div tabindex ="" - 1 ""class ="" autoplay ai"&amp;"ry-airy-hint-container-scalable-hint-container ""&gt; &lt;div tabindex ="" - 1 ""class ="" airy-autoplay-hint-dummy airy- scalable-dummy ""&gt; &lt;/ div&gt; &lt;/ div&gt; &lt;/ div&gt; &lt;/ div&gt; &lt;/ div&gt; &lt;/ div&gt; &lt;input type ="" hidden ""name ="" ""value ="" https: // images-eu .ssl-i"&amp;"mages-amazon.com / images / I / C1Z6zTsZ3rS.mp4 ""Class ="" video-url ""&gt; &lt;input type ="" hidden ""name ="" ""value ="" https://images-eu.ssl-images-amazon.com/images/I/A1jEmb3aoIS.png ""class ="" video-slate-img-url ""&gt; &amp; nbsp; Fantastic pearlescent thes"&amp;"e earrings plated sterling silver !!! I wanted a gift and have successful with this product. SELLER J.Rosée is highly recommended for a couple of reasons, their products are of sufficient quality and also has a long range of jewelery available to choose f"&amp;"rom. care and affection note when preparing the purchased product is fully protected with a plastic sheet preventing unwanted movement of the jewel, inside a padded box and protected with another box again with the company name . Boxes containing the jewe"&amp;"ls are not excessive quality but again it shows the love and dedication to give a good image and a good quality in the appearance of their products. Earrings are very nice and my are ideal for a gift for my partner or my mother or whoever, because they do"&amp;" not understand Tthat pending age. They are nice for anyone. I recommend this product !!!!")</f>
        <v>!! pleased with purchase &lt;Div id = "video-block-RNUZP6ZEBEO7L" class = "section a-a-a-spacing-small spacing-top-video mini-block"&gt; &lt;div tabindex = "0" class = "airy airy-svg vmin- supported airy-skin-beacon "style =" background-color: rgb (0, 0, 0) position: relative; width: 100%; height: 100%; font-size: 0px; overflow: hidden; outline: none ; "&gt; &lt;div class =" airy-renderer-container "style =" position: relative; height: 100%; width: 100%; "&gt; &lt;video id =" 7 "preload =" auto "src =" https: //images-eu.ssl-images-amazon.com/images/I/C1Z6zTsZ3rS.mp4 "style =" position: absolute; left: 0px; top: 0px; overflow: hidden; height: 1px; width: 1px; " &gt; &lt;/ video&gt; &lt;/ div&gt; &lt;div id = "airy-slate-preload" style = "background-color: rgb (0, 0, 0); background-image: url (&amp; quot; https: // images- eu.ssl-images-amazon.com/images/I/A1jEmb3aoIS.png&amp;quot;); background-size: Contain; background-position: center center; background-repeat: no-repeat; position: absolute; top: 0px; left : 0px; visibility: visible; width: 100%; height: 100%;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C1Z6zTsZ3rS.mp4 "Class =" video-url "&gt; &lt;input type =" hidden "name =" "value =" https://images-eu.ssl-images-amazon.com/images/I/A1jEmb3aoIS.png "class =" video-slate-img-url "&gt; &amp; nbsp; Fantastic pearlescent these earrings plated sterling silver !!! I wanted a gift and have successful with this product. SELLER J.Rosée is highly recommended for a couple of reasons, their products are of sufficient quality and also has a long range of jewelery available to choose from. care and affection note when preparing the purchased product is fully protected with a plastic sheet preventing unwanted movement of the jewel, inside a padded box and protected with another box again with the company name . Boxes containing the jewels are not excessive quality but again it shows the love and dedication to give a good image and a good quality in the appearance of their products. Earrings are very nice and my are ideal for a gift for my partner or my mother or whoever, because they do not understand Tthat pending age. They are nice for anyone. I recommend this product !!!!</v>
      </c>
    </row>
    <row r="16720">
      <c r="A16720" s="1">
        <v>5.0</v>
      </c>
      <c r="B16720" s="1" t="s">
        <v>16562</v>
      </c>
      <c r="C16720" t="str">
        <f>IFERROR(__xludf.DUMMYFUNCTION("GOOGLETRANSLATE(B16720, ""es"", ""en"")"),"It works perfectly. It works perfectly.")</f>
        <v>It works perfectly. It works perfectly.</v>
      </c>
    </row>
    <row r="16721">
      <c r="A16721" s="1">
        <v>5.0</v>
      </c>
      <c r="B16721" s="1" t="s">
        <v>16563</v>
      </c>
      <c r="C16721" t="str">
        <f>IFERROR(__xludf.DUMMYFUNCTION("GOOGLETRANSLATE(B16721, ""es"", ""en"")"),"The would definitely buy! Honestly before buying I had my doubts, because I was another pileup more in the kitchen, but when I started using it, now I could not do without it! What's more, buy another soon after to give to my mother and I used more if pos"&amp;"sible! It warms the water in a minute! Just pour the water into the container, which has a meter that tells you how much you want to take for glasses, you give the only button you have and automatically turns itself off, making a ""click"" tells you that "&amp;"already boiling water. Do not have to be looking at the glass of the microwave to see when it boils, well I understand it is not highly recommended. When you catch has boiled the kettle and support anywhere, since the support is not heated below. It is pe"&amp;"rfect for visitors, put the teapot on the table and filling glasses! and is super good, since the design is quite beautiful and elegant.")</f>
        <v>The would definitely buy! Honestly before buying I had my doubts, because I was another pileup more in the kitchen, but when I started using it, now I could not do without it! What's more, buy another soon after to give to my mother and I used more if possible! It warms the water in a minute! Just pour the water into the container, which has a meter that tells you how much you want to take for glasses, you give the only button you have and automatically turns itself off, making a "click" tells you that already boiling water. Do not have to be looking at the glass of the microwave to see when it boils, well I understand it is not highly recommended. When you catch has boiled the kettle and support anywhere, since the support is not heated below. It is perfect for visitors, put the teapot on the table and filling glasses! and is super good, since the design is quite beautiful and elegant.</v>
      </c>
    </row>
    <row r="16722">
      <c r="A16722" s="1">
        <v>2.0</v>
      </c>
      <c r="B16722" s="1" t="s">
        <v>16564</v>
      </c>
      <c r="C16722" t="str">
        <f>IFERROR(__xludf.DUMMYFUNCTION("GOOGLETRANSLATE(B16722, ""es"", ""en"")"),"All the correct connector fails but the connection with 3.5mm Jack sometimes fails and you have to move it. The cables do not get tangled.")</f>
        <v>All the correct connector fails but the connection with 3.5mm Jack sometimes fails and you have to move it. The cables do not get tangled.</v>
      </c>
    </row>
    <row r="16723">
      <c r="A16723" s="1">
        <v>3.0</v>
      </c>
      <c r="B16723" s="1" t="s">
        <v>16565</v>
      </c>
      <c r="C16723" t="str">
        <f>IFERROR(__xludf.DUMMYFUNCTION("GOOGLETRANSLATE(B16723, ""es"", ""en"")"),"They are not skin, as the announcement, but no matter, they are the microfiber have returned because they are very flat inside, and the heel sinks, and can not bring flat shoes. Moreover, they are well are nice, and the number is perfect with which we")</f>
        <v>They are not skin, as the announcement, but no matter, they are the microfiber have returned because they are very flat inside, and the heel sinks, and can not bring flat shoes. Moreover, they are well are nice, and the number is perfect with which we</v>
      </c>
    </row>
    <row r="16724">
      <c r="A16724" s="1">
        <v>3.0</v>
      </c>
      <c r="B16724" s="1" t="s">
        <v>16566</v>
      </c>
      <c r="C16724" t="str">
        <f>IFERROR(__xludf.DUMMYFUNCTION("GOOGLETRANSLATE(B16724, ""es"", ""en"")"),"The language of footwear destroys your ankle boots are a good brand but you have to take good care of them and clean carefully to ensure durability under optimal conditions. Its design language you kill the ankle but gradually you get used. They are obvio"&amp;"usly very heavy shoes.")</f>
        <v>The language of footwear destroys your ankle boots are a good brand but you have to take good care of them and clean carefully to ensure durability under optimal conditions. Its design language you kill the ankle but gradually you get used. They are obviously very heavy shoes.</v>
      </c>
    </row>
    <row r="16725">
      <c r="A16725" s="1">
        <v>1.0</v>
      </c>
      <c r="B16725" s="1" t="s">
        <v>16567</v>
      </c>
      <c r="C16725" t="str">
        <f>IFERROR(__xludf.DUMMYFUNCTION("GOOGLETRANSLATE(B16725, ""es"", ""en"")"),"2 weeks old headphones hear well for the quality of the product. The problem has been that in two weeks has stopped working properly microphone and volume buttons.")</f>
        <v>2 weeks old headphones hear well for the quality of the product. The problem has been that in two weeks has stopped working properly microphone and volume buttons.</v>
      </c>
    </row>
    <row r="16726">
      <c r="A16726" s="1">
        <v>1.0</v>
      </c>
      <c r="B16726" s="1" t="s">
        <v>16568</v>
      </c>
      <c r="C16726" t="str">
        <f>IFERROR(__xludf.DUMMYFUNCTION("GOOGLETRANSLATE(B16726, ""es"", ""en"")"),"Ivis infant could not use the first day left me with a piece in his hand; what a shit. No purchase this item")</f>
        <v>Ivis infant could not use the first day left me with a piece in his hand; what a shit. No purchase this item</v>
      </c>
    </row>
    <row r="16727">
      <c r="A16727" s="1">
        <v>4.0</v>
      </c>
      <c r="B16727" s="1" t="s">
        <v>16569</v>
      </c>
      <c r="C16727" t="str">
        <f>IFERROR(__xludf.DUMMYFUNCTION("GOOGLETRANSLATE(B16727, ""es"", ""en"")"),"Good buy Mido 1.80 and use a size 46-48 pants. XXL size mesh suits me perfect.")</f>
        <v>Good buy Mido 1.80 and use a size 46-48 pants. XXL size mesh suits me perfect.</v>
      </c>
    </row>
    <row r="16728">
      <c r="A16728" s="1">
        <v>4.0</v>
      </c>
      <c r="B16728" s="1" t="s">
        <v>16570</v>
      </c>
      <c r="C16728" t="str">
        <f>IFERROR(__xludf.DUMMYFUNCTION("GOOGLETRANSLATE(B16728, ""es"", ""en"")"),"Slicer does what it says simple, simple and functional role. Operation is as easy as putting a sheet under the ruler, press and slide the blade.")</f>
        <v>Slicer does what it says simple, simple and functional role. Operation is as easy as putting a sheet under the ruler, press and slide the blade.</v>
      </c>
    </row>
    <row r="16729">
      <c r="A16729" s="1">
        <v>4.0</v>
      </c>
      <c r="B16729" s="1" t="s">
        <v>16571</v>
      </c>
      <c r="C16729" t="str">
        <f>IFERROR(__xludf.DUMMYFUNCTION("GOOGLETRANSLATE(B16729, ""es"", ""en"")"),"If you want a safe hotel style ... Very good for my new house, I needed a safe to store my wrongdoings, for the price is not bad and is exactly what I need.")</f>
        <v>If you want a safe hotel style ... Very good for my new house, I needed a safe to store my wrongdoings, for the price is not bad and is exactly what I need.</v>
      </c>
    </row>
    <row r="16730">
      <c r="A16730" s="1">
        <v>4.0</v>
      </c>
      <c r="B16730" s="1" t="s">
        <v>16572</v>
      </c>
      <c r="C16730" t="str">
        <f>IFERROR(__xludf.DUMMYFUNCTION("GOOGLETRANSLATE(B16730, ""es"", ""en"")"),"Good quality at a good price Very good performance for the price you have. Good sound, good comfort, anti-knot very interesting cable. Now, I have my doubts about how durable the joint to fold the headphones. At the moment, with a 3-week low intensity use"&amp;" no complaints.")</f>
        <v>Good quality at a good price Very good performance for the price you have. Good sound, good comfort, anti-knot very interesting cable. Now, I have my doubts about how durable the joint to fold the headphones. At the moment, with a 3-week low intensity use no complaints.</v>
      </c>
    </row>
    <row r="16731">
      <c r="A16731" s="1">
        <v>4.0</v>
      </c>
      <c r="B16731" s="1" t="s">
        <v>16573</v>
      </c>
      <c r="C16731" t="str">
        <f>IFERROR(__xludf.DUMMYFUNCTION("GOOGLETRANSLATE(B16731, ""es"", ""en"")"),"Carve something short numbers very fast delivery. Carve numbers somewhat short. Ask for another number. Very comfortable but somewhat expensive compared to those of espadrille (also very comfortable) but we are few.")</f>
        <v>Carve something short numbers very fast delivery. Carve numbers somewhat short. Ask for another number. Very comfortable but somewhat expensive compared to those of espadrille (also very comfortable) but we are few.</v>
      </c>
    </row>
    <row r="16732">
      <c r="A16732" s="1">
        <v>5.0</v>
      </c>
      <c r="B16732" s="1" t="s">
        <v>16574</v>
      </c>
      <c r="C16732" t="str">
        <f>IFERROR(__xludf.DUMMYFUNCTION("GOOGLETRANSLATE(B16732, ""es"", ""en"")"),"Maria Jose is beautiful !!! K totally different from what we are used to seeing. K equal or better picture very very good fabric")</f>
        <v>Maria Jose is beautiful !!! K totally different from what we are used to seeing. K equal or better picture very very good fabric</v>
      </c>
    </row>
    <row r="16733">
      <c r="A16733" s="1">
        <v>5.0</v>
      </c>
      <c r="B16733" s="1" t="s">
        <v>16575</v>
      </c>
      <c r="C16733" t="str">
        <f>IFERROR(__xludf.DUMMYFUNCTION("GOOGLETRANSLATE(B16733, ""es"", ""en"")"),"Well Z")</f>
        <v>Well Z</v>
      </c>
    </row>
    <row r="16734">
      <c r="A16734" s="1">
        <v>5.0</v>
      </c>
      <c r="B16734" s="1" t="s">
        <v>16576</v>
      </c>
      <c r="C16734" t="str">
        <f>IFERROR(__xludf.DUMMYFUNCTION("GOOGLETRANSLATE(B16734, ""es"", ""en"")"),"foldable backpack easy to use and tough I make several trips a year and needed a backpack that would allow me to keep it in the suitcase and be able to use both the journey and the return to use as hand luggage. I opted for this because it is very compact"&amp;", has your pocket to save it on itself and aesthetically is fine. Zippers are drunk good quality, robust and open and close perfectly. Another thing I like is that it is very comfortable and spacious. I successful with it.")</f>
        <v>foldable backpack easy to use and tough I make several trips a year and needed a backpack that would allow me to keep it in the suitcase and be able to use both the journey and the return to use as hand luggage. I opted for this because it is very compact, has your pocket to save it on itself and aesthetically is fine. Zippers are drunk good quality, robust and open and close perfectly. Another thing I like is that it is very comfortable and spacious. I successful with it.</v>
      </c>
    </row>
    <row r="16735">
      <c r="A16735" s="1">
        <v>5.0</v>
      </c>
      <c r="B16735" s="1" t="s">
        <v>16577</v>
      </c>
      <c r="C16735" t="str">
        <f>IFERROR(__xludf.DUMMYFUNCTION("GOOGLETRANSLATE(B16735, ""es"", ""en"")"),"INK FOR MY SEALS DRY PERFECT PERFECT INK INK TO RECHARGE MY STAMPS.")</f>
        <v>INK FOR MY SEALS DRY PERFECT PERFECT INK INK TO RECHARGE MY STAMPS.</v>
      </c>
    </row>
    <row r="16736">
      <c r="A16736" s="1">
        <v>5.0</v>
      </c>
      <c r="B16736" s="1" t="s">
        <v>16578</v>
      </c>
      <c r="C16736" t="str">
        <f>IFERROR(__xludf.DUMMYFUNCTION("GOOGLETRANSLATE(B16736, ""es"", ""en"")"),"Practices and good product to my daughters have loved. Good buy though I must say there are some patterns q I seem somewhat repetitive loved them. So perfect. They even a day earlier and well packed. The rubber is good adhere well and do not peel off. For"&amp;" my part I confess that I took them a wide washitape to q when I maquillo eyes I bounding serve as applying shadows and thus not also happen not to spoil the makeup residues falling to applying shadows")</f>
        <v>Practices and good product to my daughters have loved. Good buy though I must say there are some patterns q I seem somewhat repetitive loved them. So perfect. They even a day earlier and well packed. The rubber is good adhere well and do not peel off. For my part I confess that I took them a wide washitape to q when I maquillo eyes I bounding serve as applying shadows and thus not also happen not to spoil the makeup residues falling to applying shadows</v>
      </c>
    </row>
    <row r="16737">
      <c r="A16737" s="1">
        <v>5.0</v>
      </c>
      <c r="B16737" s="1" t="s">
        <v>16579</v>
      </c>
      <c r="C16737" t="str">
        <f>IFERROR(__xludf.DUMMYFUNCTION("GOOGLETRANSLATE(B16737, ""es"", ""en"")"),"Plasticized little things I bought confused and mistakenly thinking that these were a4, but carnet size, but still to plasticize small things go great")</f>
        <v>Plasticized little things I bought confused and mistakenly thinking that these were a4, but carnet size, but still to plasticize small things go great</v>
      </c>
    </row>
    <row r="16738">
      <c r="A16738" s="1">
        <v>5.0</v>
      </c>
      <c r="B16738" s="1" t="s">
        <v>16580</v>
      </c>
      <c r="C16738" t="str">
        <f>IFERROR(__xludf.DUMMYFUNCTION("GOOGLETRANSLATE(B16738, ""es"", ""en"")"),"Excellent Very good machine and very little pezona you just need to bring a briefcase to save not a cardboard box")</f>
        <v>Excellent Very good machine and very little pezona you just need to bring a briefcase to save not a cardboard box</v>
      </c>
    </row>
    <row r="16739">
      <c r="A16739" s="1">
        <v>5.0</v>
      </c>
      <c r="B16739" s="1" t="s">
        <v>16581</v>
      </c>
      <c r="C16739" t="str">
        <f>IFERROR(__xludf.DUMMYFUNCTION("GOOGLETRANSLATE(B16739, ""es"", ""en"")"),"It works very well over 6 months ago I bought and still works like the first day. For daily use is ideal. It is very fast and does not give problems. It is very hot, yes, the truth is that I worry a little. But so far without any problems. 9.90 cost me an"&amp;"d value me look good.")</f>
        <v>It works very well over 6 months ago I bought and still works like the first day. For daily use is ideal. It is very fast and does not give problems. It is very hot, yes, the truth is that I worry a little. But so far without any problems. 9.90 cost me and value me look good.</v>
      </c>
    </row>
    <row r="16740">
      <c r="A16740" s="1">
        <v>5.0</v>
      </c>
      <c r="B16740" s="1" t="s">
        <v>16582</v>
      </c>
      <c r="C16740" t="str">
        <f>IFERROR(__xludf.DUMMYFUNCTION("GOOGLETRANSLATE(B16740, ""es"", ""en"")"),"Good nice and cheap Replacement for Mine perfect mark clothing")</f>
        <v>Good nice and cheap Replacement for Mine perfect mark clothing</v>
      </c>
    </row>
    <row r="16741">
      <c r="A16741" s="1">
        <v>5.0</v>
      </c>
      <c r="B16741" s="1" t="s">
        <v>16583</v>
      </c>
      <c r="C16741" t="str">
        <f>IFERROR(__xludf.DUMMYFUNCTION("GOOGLETRANSLATE(B16741, ""es"", ""en"")"),"Same quality best price Tape 66 m of the same quality as transparent but for half the price")</f>
        <v>Same quality best price Tape 66 m of the same quality as transparent but for half the price</v>
      </c>
    </row>
    <row r="16742">
      <c r="A16742" s="1">
        <v>5.0</v>
      </c>
      <c r="B16742" s="1" t="s">
        <v>16584</v>
      </c>
      <c r="C16742" t="str">
        <f>IFERROR(__xludf.DUMMYFUNCTION("GOOGLETRANSLATE(B16742, ""es"", ""en"")"),"USB classes my child when you buy this usb truth is that the first thing that I noticed was the price but my LNE son liked it so much that after losing three USB in less than two months in class with this we I succeeded. It does not lose touch terrific an"&amp;"d Peke her charm. Total purchase recommended and will buy it.")</f>
        <v>USB classes my child when you buy this usb truth is that the first thing that I noticed was the price but my LNE son liked it so much that after losing three USB in less than two months in class with this we I succeeded. It does not lose touch terrific and Peke her charm. Total purchase recommended and will buy it.</v>
      </c>
    </row>
    <row r="16743">
      <c r="A16743" s="1">
        <v>5.0</v>
      </c>
      <c r="B16743" s="1" t="s">
        <v>13722</v>
      </c>
      <c r="C16743" t="str">
        <f>IFERROR(__xludf.DUMMYFUNCTION("GOOGLETRANSLATE(B16743, ""es"", ""en"")"),"The shoe is recommended podologo my mother and the ask, is very happy with the shoes and says they are very comfortable.")</f>
        <v>The shoe is recommended podologo my mother and the ask, is very happy with the shoes and says they are very comfortable.</v>
      </c>
    </row>
    <row r="16744">
      <c r="A16744" s="1">
        <v>5.0</v>
      </c>
      <c r="B16744" s="1" t="s">
        <v>16585</v>
      </c>
      <c r="C16744" t="str">
        <f>IFERROR(__xludf.DUMMYFUNCTION("GOOGLETRANSLATE(B16744, ""es"", ""en"")"),"It's pretty cute")</f>
        <v>It's pretty cute</v>
      </c>
    </row>
    <row r="16745">
      <c r="A16745" s="1">
        <v>5.0</v>
      </c>
      <c r="B16745" s="1" t="s">
        <v>16586</v>
      </c>
      <c r="C16745" t="str">
        <f>IFERROR(__xludf.DUMMYFUNCTION("GOOGLETRANSLATE(B16745, ""es"", ""en"")"),"Good price / quality ratio is very intuitive, it allows presentations very comfortably.")</f>
        <v>Good price / quality ratio is very intuitive, it allows presentations very comfortably.</v>
      </c>
    </row>
    <row r="16746">
      <c r="A16746" s="1">
        <v>5.0</v>
      </c>
      <c r="B16746" s="1" t="s">
        <v>16587</v>
      </c>
      <c r="C16746" t="str">
        <f>IFERROR(__xludf.DUMMYFUNCTION("GOOGLETRANSLATE(B16746, ""es"", ""en"")"),"Mini Rechargeable Bluetooth Headphones boxed. White. &lt;Div id = ""video-block-R33WF0YO0E44PO"" class = ""section a-a-a-spacing-small spacing-top-video mini-block""&gt; &lt;div tabindex = ""0"" class = ""airy airy-svg vmin- unsupported airy-skin-beacon ""style ="&amp;""" background-color: rgb (0, 0, 0) position: relative; width: 100%; height: 100%; font-size: 0px; overflow: hidden; outline: none ; ""&gt; &lt;div class ="" airy-renderer-container ""style ="" position: relative; height: 100%; width: 100%; ""&gt; &lt;video id ="" 63 "&amp;"""preload ="" auto ""src ="" https: //images-eu.ssl-images-amazon.com/images/I/D1WlWlrOfzS.mp4 ""style ="" position: absolute; left: 0px; top: 0px; overflow: hidden; height: 1px; width: 1px; "" &gt; &lt;/ video&gt; &lt;/ div&gt; &lt;div id = ""airy-slate-preload"" style = "&amp;"""background-color: rgb (0, 0, 0); background-image: url (&amp; quot; https: // images- eu.ssl-images-amazon.com/images/I/91Gps8k2KgS.png&amp;quot;); background-size: Contain; background-position: center center; background-repeat: no-repeat; position: absolute; t"&amp;"op: 0px; left : 0px; visibility: visible; width: 100%; height: 100%; ""&gt; &lt;/ div&gt; &lt;iframe scrolling ="" no ""framebord er = ""0"" src = ""about: blank"" style = ""display: none;""&gt; &lt;/ iframe&gt; &lt;div tabindex = ""- 1"" class = ""airy-controls-container"" styl"&amp;"e = ""opacity: 0; visibility: hidden; ""&gt; &lt;div tabindex ="" - 1 ""class ="" airy-screen-size-toggle airy-fullscreen ""&gt; &lt;/ div&gt; &lt;div tabindex ="" - 1 ""class ="" airy-container-bottom "" &gt; &lt;div tabindex = ""- 1"" class = ""airy-track-bar-spacer-left"" sty"&amp;"le = ""width: 11px;""&gt; &lt;/ div&gt; &lt;div tabindex = ""- 1"" class = ""airy-play- airy toggle-play ""style ="" width: 12px; margin-right: 12px; ""&gt; &lt;/ div&gt; &lt;div tabindex ="" - 1 ""class ="" airy-audio-elements ""style ="" float: right; width: 34px; ""&gt; &lt;div tab"&amp;"index ="" - 1 ""class ="" airy-audio-toggle airy-on ""&gt; &lt;/ div&gt; &lt;div tabindex ="" - 1 ""class ="" airy-audio-container ""style = ""opacity: 0; visibility: hidden; ""&gt; &lt;div tabindex ="" - 1 ""class ="" airy-audio-track-bar ""style ="" height: 80%; ""&gt; &lt;div"&amp;" tabindex ="" - 1 ""class ="" airy-audio- Scrubber-bar ""style ="" height: 85%; ""&gt; &lt;/ div&gt; &lt;div tabindex ="" - 1 ""class ="" airy-audio-scrubber ""style ="" height: 12px; bottom: 85% ""&gt; &lt;/ div&gt; &lt;/ div&gt; &lt;/ div&gt; &lt;/ div&gt; &lt;div tabindex ="" - 1 ""class ="" a"&amp;"iry-duration-label ""style ="" float: right; width: 26px; margin-right: 4px; text-align: center; ""&gt; 0:00 &lt;/ div&gt; &lt;div tabindex ="" - 1 ""class ="" airy-track-bar-spacer-right ""style ="" float: right; width: 11px; ""&gt; &lt;/ div&gt; &lt;div tabindex ="" - 1 ""clas"&amp;"s ="" airy-track-bar-container ""style ="" margin-left: 35px; margin-right: 75px; ""&gt; &lt;div tabindex ="" - 1 ""class ="" airy-airy-track-bar vertically-centering-table ""&gt; &lt;div tabindex ="" - 1 ""class ="" airy-Vertical-centering- table-cell ""&gt; &lt;div tabin"&amp;"dex ="" - 1 ""class ="" airy-track-bar-elements ""&gt; &lt;div tabindex ="" - 1 ""class ="" airy-progress-bar ""&gt; &lt;/ div&gt; &lt;div tabindex = ""- 1"" class = ""airy-scrubber-bar""&gt; &lt;/ div&gt; &lt;div tabindex = ""- 1"" class = ""airy-scrubber""&gt; &lt;div tabindex = ""- 1"" c"&amp;"lass = ""airy-scrubber- icon ""&gt; &lt;/ div&gt; &lt;div tabindex ="" - 1 ""class ="" airy-adjusted-AUI-tooltip ""style ="" opacity: 0; visibility: hidden; ""&gt; &lt;div tabindex ="" - 1 ""class ="" airy-adjusted-aui-tooltip-inner ""&gt; &lt;div tabindex ="" - 1 ""class ="" ai"&amp;"ry-current-time-label ""&gt; 0: 00 &lt;/ div&gt; &lt;/ div&gt; &lt;div tabindex = ""- 1"" class = ""airy-adjusted-AUI-arrow-border""&gt; &lt;div tabindex = ""- 1"" class = ""airy-adjusted-AUI-arrow"" &gt; &lt;/ div&gt; &lt;/ div&gt; &lt;/ div&gt; &lt;/ div&gt; &lt;/ div&gt; &lt;/ div&gt; &lt;/ div&gt; &lt;/ div&gt; &lt;/ div&gt; &lt;/ di"&amp;"v&gt; &lt;div tabindex = ""- 1"" class = ""airy-age-gate airy-stage airy-Vertical-centering-table airy-dialog"" style = ""opacity: 0; visibility: hidden; ""&gt; &lt;div tabindex ="" - 1 ""class ="" airy-age-gate-Vertical-centering-table-cell airy-Vertical-centering-t"&amp;"able-cell ""&gt; &lt;div tabindex ="" - 1 ""class = ""airy-Vertical-centering-wrapper airy-age-gate-elements-wrapper""&gt; &lt;div tabindex = ""- 1"" class = ""airy-age-gate-elements airy-dialog-elements""&gt; &lt;div tabindex = "" -1 ""class ="" airy-age-gate-prompt ""&gt; T"&amp;"his video is not Intended for all audiences What date were you born &lt;/ div&gt; &lt;div tabindex =.?"" - 1 ""class ="" airy-age-gate -inputs airy-dialog-inner-elements ""&gt; &lt;select tabindex ="" - 1 ""class ="" airy-age-gate-month ""&gt; &lt;option value ="" 1 ""&gt; Janua"&amp;"ry &lt;/ option&gt; &lt;option value ="" 2 ""&gt; February &lt;/ option&gt; &lt;option value ="" 3 ""&gt; March &lt;/ option&gt; &lt;option value ="" 4 ""&gt; April &lt;/ option&gt; &lt;option value ="" 5 ""&gt; May &lt;/ option&gt; &lt;option value = ""6""&gt; June &lt;/ option&gt; &lt;option value = ""7""&gt; July &lt;/ option"&amp;"&gt; &lt;option value = ""8""&gt; August &lt;/ option&gt; &lt;option value = ""9""&gt; September &lt;/ option&gt; &lt;option value = ""10""&gt; October &lt;/ option&gt; &lt;option value = ""11""&gt; November &lt;/ option&gt; &lt;option value = ""12""&gt; December &lt;/ option&gt; &lt;/ select&gt; &lt;select tabindex = ""- 1"""&amp;" class = ""airy-age-gate-day""&gt; &lt;opti on value = ""1""&gt; 1 &lt;/ option&gt; &lt;option value = ""2""&gt; 2 &lt;/ option&gt; &lt;option value = ""3""&gt; 3 &lt;/ option&gt; &lt;option value = ""4""&gt; 4 &lt;/ option &gt; &lt;option value = ""5""&gt; 5 &lt;/ option&gt; &lt;option value = ""6""&gt; 6 &lt;/ option&gt; &lt;opti"&amp;"on value = ""7""&gt; 7 &lt;/ option&gt; &lt;option value = ""8""&gt; 8 &lt; / option&gt; &lt;option value = ""9""&gt; 9 &lt;/ option&gt; &lt;option value = ""10""&gt; 10 &lt;/ option&gt; &lt;option value = ""11""&gt; 11 &lt;/ option&gt; &lt;option value = ""12""&gt; 12 &lt;/ option&gt; &lt;option value = ""13""&gt; 13 &lt;/ option&gt;"&amp;" &lt;option value = ""14""&gt; 14 &lt;/ option&gt; &lt;option value = ""15""&gt; 15 &lt;/ option&gt; &lt;option value = ""16 ""&gt; 16 &lt;/ option&gt; &lt;option value ="" 17 ""&gt; 17 &lt;/ option&gt; &lt;option value ="" 18 ""&gt; 18 &lt;/ option&gt; &lt;option value ="" 19 ""&gt; 19 &lt;/ option&gt; &lt;option value = ""20"""&amp;"&gt; 20 &lt;/ option&gt; &lt;option value = ""21""&gt; 21 &lt;/ option&gt; &lt;option value = ""22""&gt; 22 &lt;/ option&gt; &lt;option value = ""23""&gt; 23 &lt;/ option&gt; &lt;option value = ""24""&gt; 24 &lt;/ option&gt; &lt;option value = ""25""&gt; 25 &lt;/ option&gt; &lt;option value = ""26""&gt; 26 &lt;/ option&gt; &lt;option val"&amp;"ue = ""27""&gt; 27 &lt;/ option&gt; &lt;option value = ""28""&gt; 28 &lt;/ option&gt; &lt;option value = ""29""&gt; 29 &lt;/ option&gt; &lt;option value = ""30""&gt; 30 &lt;/ option&gt; &lt;option value = ""31""&gt; 31 &lt;/ option&gt; &lt;/ select&gt; &lt;select tabindex = ""- 1"" class = ""airy-age-gate-year""&gt; &lt;optio"&amp;"n value = ""2019""&gt; 2019 &lt;/ option&gt; &lt; option value = ""2018""&gt; 2018 &lt;/ option&gt; &lt;option value = ""2017""&gt; 2017 &lt;/ option&gt; &lt;option value = ""2016""&gt; ​​2016 &lt;/ option&gt; &lt;option value = ""2015""&gt; 2015 &lt;/ option &gt; &lt;option value = ""2014""&gt; 2014 &lt;/ option&gt; &lt;opti"&amp;"on value = ""2013""&gt; 2013 &lt;/ option&gt; &lt;option value = ""2012""&gt; 2012 &lt;/ option&gt; &lt;option value = ""2011""&gt; 2011 &lt; / option&gt; &lt;option value = ""2010""&gt; 2010 &lt;/ option&gt; &lt;option value = ""2009""&gt; 2009 &lt;/ option&gt; &lt;option value = ""2008""&gt; 2008 &lt;/ option&gt; &lt;option"&amp;" value = ""2007""&gt; 2007 &lt;/ option&gt; &lt;option value = ""2006""&gt; 2006 &lt;/ option&gt; &lt;option value = ""2005""&gt; 2005 &lt;/ option&gt; &lt;option value = ""2004""&gt; 2004 &lt;/ option&gt; &lt;option value = ""2003 ""&gt; 2003 &lt;/ option&gt; &lt;option value ="" 2002 ""&gt; 2002 &lt;/ option&gt; &lt;option "&amp;"value ="" 2001 ""&gt; 2001 &lt;/ option&gt; &lt;option value ="" 2000 ""&gt; 2000 &lt;/ option&gt; &lt;option value = ""1999""&gt; 1999 &lt;/ option&gt; &lt;option value = ""1998""&gt; 1998 &lt;/ option&gt; &lt;option value = ""1997""&gt; 1997 &lt;/ option&gt; &lt;option value = ""1996""&gt; 1996 &lt;/ option&gt; &lt;option v"&amp;"alue = ""1995""&gt; 1995 &lt;/ option&gt; &lt;option value = ""1994""&gt; 1994 &lt;/ option&gt; &lt;option value = ""1993""&gt; 1993 &lt;/ option&gt; &lt;option value = ""1992""&gt; 1992 &lt;/ option&gt; &lt;option value = ""1991""&gt; 1991 &lt;/ option&gt; &lt;option value = ""1990""&gt; 1990 &lt;/ option&gt; &lt;option valu"&amp;"e = "" 1989 ""&gt; 1989 &lt;/ option&gt; &lt;option value ="" 1988 ""&gt; 1988 &lt;/ option&gt; &lt;option value ="" 1987 ""&gt; 1987 &lt;/ option&gt; &lt;option value ="" 1986 ""&gt; 1986 &lt;/ option&gt; &lt;value option = ""1985""&gt; 1985 &lt;/ option&gt; &lt;option value = ""1984""&gt; 1984 &lt;/ option&gt; &lt;option va"&amp;"lue = ""1983""&gt; 1983 &lt;/ option&gt; &lt;option value = ""1982""&gt; 1982 &lt;/ option&gt; &lt; option value = ""1981""&gt; 1981 &lt;/ option&gt; &lt;option value = ""1980""&gt; 1980 &lt;/ option&gt; &lt;option value = ""1979""&gt; 1979 &lt;/ option&gt; &lt;option value = ""1978""&gt; 1978 &lt;/ option &gt; &lt;option val"&amp;"ue = ""1977""&gt; 1977 &lt;/ option&gt; &lt;option value = ""1976""&gt; 1976 &lt;/ option&gt; &lt;option value = ""1975""&gt; 1975 &lt;/ option&gt; &lt;option value = ""1974""&gt; 1974 &lt; / option&gt; &lt;option value = ""1973""&gt; 1973 &lt;/ option&gt; &lt;option value = ""1972""&gt; 1972 &lt;/ option&gt; &lt;option value"&amp;" = ""1971""&gt; 1971 &lt;/ option&gt; &lt;option value = ""1970""&gt; 1970 &lt;/ option&gt; &lt;option value = ""1969""&gt; 1969 &lt;/ option&gt; &lt;option value = ""1968""&gt; 1968 &lt;/ option&gt; &lt;option value = ""1967""&gt; 1967 &lt;/ option&gt; &lt;option value = ""1966 ""&gt; 1966 &lt;/ option&gt; &lt;option value ="&amp;""" 1965 ""&gt; 1965 &lt;/ option&gt; &lt;option value ="" 1964 ""&gt; 1964 &lt;/ option&gt; &lt;option value ="" 1963 ""&gt; 1963 &lt;/ option&gt; &lt;option value = ""1962""&gt; 1962 &lt;/ option&gt; &lt;option value = ""1961""&gt; 1961 &lt;/ option&gt; &lt;option value = ""1960""&gt; 1960 &lt;/ op tion&gt; &lt;option value "&amp;"= ""1959""&gt; 1959 &lt;/ option&gt; &lt;option value = ""1958""&gt; 1958 &lt;/ option&gt; &lt;option value = ""1957""&gt; 1957 &lt;/ option&gt; &lt;option value = ""1956""&gt; 1956 &lt;/ option&gt; &lt;option value = ""1955""&gt; 1955 &lt;/ option&gt; &lt;option value = ""1954""&gt; 1954 &lt;/ option&gt; &lt;option value = "&amp;"""1953""&gt; 1953 &lt;/ option&gt; &lt;option value = ""1952"" &gt; 1952 &lt;/ option&gt; &lt;option value = ""1951""&gt; 1951 &lt;/ option&gt; &lt;option value = ""1950""&gt; 1950 &lt;/ option&gt; &lt;option value = ""1949""&gt; 1949 &lt;/ option&gt; &lt;option value = "" 1948 ""&gt; 1948 &lt;/ option&gt; &lt;option value ="&amp;""" 1947 ""&gt; 1947 &lt;/ option&gt; &lt;option value ="" 1946 ""&gt; 1946 &lt;/ option&gt; &lt;option value ="" 1945 ""&gt; 1945 &lt;/ option&gt; &lt;value option = ""1944""&gt; 1944 &lt;/ option&gt; &lt;option value = ""1943""&gt; 1943 &lt;/ option&gt; &lt;option value = ""1942""&gt; 1942 &lt;/ option&gt; &lt;option value ="&amp;" ""1941""&gt; 1941 &lt;/ option&gt; &lt; option value = ""1940""&gt; 1940 &lt;/ option&gt; &lt;option value = ""1939""&gt; 1939 &lt;/ option&gt; &lt;option value = ""1938""&gt; 1938 &lt;/ option&gt; &lt;option value = ""1937""&gt; 1937 &lt;/ option &gt; &lt;option value = ""1936""&gt; 1936 &lt;/ option&gt; &lt;option value = "&amp;"""1935""&gt; 1935 &lt;/ option&gt; &lt;option value = ""1934""&gt; 1934 &lt;/ option&gt; &lt;option value = ""1933""&gt; 1933 &lt; / option&gt; &lt;option value = ""1932""&gt; 1932 &lt;/ option&gt; &lt;option value = ""1931""&gt; 1931 &lt;/ option&gt; &lt;option v alue = ""1930""&gt; 1930 &lt;/ option&gt; &lt;option value = "&amp;"""1929""&gt; 1929 &lt;/ option&gt; &lt;option value = ""1928""&gt; 1928 &lt;/ option&gt; &lt;option value = ""1927""&gt; 1927 &lt;/ option&gt; &lt;option value = ""1926""&gt; 1926 &lt;/ option&gt; &lt;option value = ""1925""&gt; 1925 &lt;/ option&gt; &lt;option value = ""1924""&gt; 1924 &lt;/ option&gt; &lt;option value = ""1"&amp;"923""&gt; 1923 &lt;/ option&gt; &lt;option value = ""1922""&gt; 1922 &lt;/ option&gt; &lt;option value = ""1921""&gt; 1921 &lt;/ option&gt; &lt;option value = ""1920""&gt; 1920 &lt;/ option&gt; &lt;option value = ""1919""&gt; 1919 &lt;/ option&gt; &lt;option value = ""1918""&gt; 1918 &lt;/ option&gt; &lt;option value = ""1917"&amp;"""&gt; 1917 &lt;/ option&gt; &lt;option value = ""1916""&gt; 1916 &lt;/ option&gt; &lt;option value = ""1915"" &gt; 1915 &lt;/ option&gt; &lt;option value = ""1914""&gt; 1914 &lt;/ option&gt; &lt;option value = ""1913""&gt; 1913 &lt;/ option&gt; &lt;option value = ""1912""&gt; 1912 &lt;/ option&gt; &lt;option value = "" 1911 "&amp;"""&gt; 1911 &lt;/ option&gt; &lt;option value ="" 1910 ""&gt; 1910 &lt;/ option&gt; &lt;option value ="" 1909 ""&gt; 1909 &lt;/ option&gt; &lt;option value ="" 1908 ""&gt; 1908 &lt;/ option&gt; &lt;value option = ""1907""&gt; 1907 &lt;/ option&gt; &lt;option value = ""1906""&gt; 1906 &lt;/ option&gt; &lt;option value = ""1905"&amp;"""&gt; 1905 &lt;/ option&gt; &lt;option value = ""1904""&gt; 1904 &lt;/ option&gt; &lt; option value = ""1903""&gt; 1903 &lt;/ option&gt; &lt;option value = ""1902""&gt; 1902 &lt;/ option&gt; &lt;option value = ""1901""&gt; 19 01 &lt;/ option&gt; &lt;option value = ""1900""&gt; 1900 &lt;/ option&gt; &lt;/ select&gt; &lt;div tabinde"&amp;"x = ""- 1"" class = ""airy-age-gate-submit airy-submit-button airy airy-submit- disabled ""&gt; Submit &lt;/ div&gt; &lt;/ div&gt; &lt;/ div&gt; &lt;/ div&gt; &lt;/ div&gt; &lt;/ div&gt; &lt;div tabindex ="" - 1 ""class ="" airy-install-flash-dialog airy-stage airy -vertical-centering-table-dialo"&amp;"g airy airy-denied ""style ="" opacity: 0; visibility: hidden; ""&gt; &lt;div tabindex ="" - 1 ""class ="" airy-install-flash-Vertical-centering-table-cell airy-Vertical-centering-table-cell ""&gt; &lt;div tabindex ="" - 1 ""class = ""airy-Vertical-centering-wrapper "&amp;"airy-install-flash-elements-wrapper""&gt; &lt;div tabindex = ""- 1"" class = ""airy-install-flash-elements airy-dialog-elements""&gt; &lt;div tabindex = "" -1 ""class ="" airy-install-flash-prompt ""&gt; Adobe Flash Player is required to watch this video &lt;/ div&gt; &lt;div ta"&amp;"bindex =."" - 1 ""class ="" airy-install-flash-button-wrapper airy -dialog-inner-elements ""&gt; &lt;div tabindex ="" - 1 ""class ="" airy-install-flash-button airy-button ""&gt; install Flash Player &lt;/ div&gt; &lt;/ div&gt; &lt;/ div&gt; &lt;/ div&gt; &lt;/ div&gt; &lt;/ div&gt; &lt;div tabindex = "&amp;"""- 1"" class = ""airy-video-unsupported-dialog airy-stage airy-Vertical-centering-table airy-dialog airy-denied"" style = ""opacity: 0; visibility: hidden; ""&gt; &lt;div tabindex ="" - 1 ""class ="" airy-video-unsupported-Vertical-centering-table-cell airy-Ve"&amp;"rtical-centering-table-cell ""&gt; &lt;div tabindex ="" - 1 ""class = ""airy-Vertical-centering-wrapper airy-video-unsupported-elements-wrapper""&gt; &lt;div tabindex = ""- 1"" class = ""airy-video-unsupported-elements airy-dialog-elements""&gt; &lt;div tabindex = "" -1 """&amp;"class ="" airy-video-unsupported-prompt ""&gt; &lt;/ div&gt; &lt;/ div&gt; &lt;/ div&gt; &lt;/ div&gt; &lt;/ div&gt; &lt;div tabindex ="" - 1 ""class ="" airy-loading- spinner-stage airy-stage ""&gt; &lt;div tabindex ="" - 1 ""class ="" airy-loading-spinner-Vertical-centering-table-cell airy-Vert"&amp;"ical-centering-table-cell ""&gt; &lt;div tabindex ="" - 1 ""class ="" airy-loading-spinner-container airy-scalable-hint-container ""&gt; &lt;div tabindex ="" - 1 ""class ="" airy-loading-spinner-dummy airy-scalable-dummy ""&gt; &lt;/ div&gt; &lt; div tabindex = ""- 1"" class = "&amp;"""airy-loading-spinner airy-hint"" style = ""visibility: hidden;""&gt; &lt;/ div&gt; &lt;/ div&gt; &lt;/ div&gt; &lt;/ div&gt; &lt;div tabindex = ""- 1 ""class ="" airy-ads-screen-size-toggle airy-screen-size-toggle-fullscreen airy ""style ="" visibility: hidden; ""&gt; &lt;/ div&gt; &lt;div tabi"&amp;"ndex = ""-1"" class = ""airy-ad-prompt-container"" style = ""visibility: hidden;""&gt; &lt;div tabindex = ""- 1"" class = ""airy-ad-prompt-Vertical-centering-table-vertically airy centering-table ""&gt; &lt;div tabindex ="" - 1 ""class ="" airy-ad-prompt-Vertical-cen"&amp;"tering-table-cell airy-Vertical-centering-table-cell ""&gt; &lt;div tabindex ="" - 1 ""class = ""airy-ad-prompt-label""&gt; &lt;/ div&gt; &lt;/ div&gt; &lt;/ div&gt; &lt;/ div&gt; &lt;div tabindex = ""- 1"" class = ""airy-ads-controls-container"" style = ""visibility: hidden; ""&gt; &lt;div tabin"&amp;"dex ="" - 1 ""class ="" airy-ads-audio-toggle airy-audio-toggle airy-on ""style ="" visibility: hidden; ""&gt; &lt;/ div&gt; &lt;div tabindex ="" - 1 ""class ="" airy-time-remaining-label-container ""&gt; &lt;div tabindex ="" - 1 ""class ="" airy-time-remaining-Vertical-ce"&amp;"ntering-table airy-Vertical-centering-table ""&gt; &lt;div tabindex = ""- 1"" class = ""airy-time-remaining-Vertical-centering-table-cell airy-Vertical-centering-table-cell""&gt; &lt;div tabindex = ""- 1"" class = ""airy-Vertical-centering-wrapper airy-time-remaining"&amp;"-label-wrapper ""&gt; &lt;div tabindex ="" - 1 ""class ="" airy-time-remaining-label ""style ="" visibility: hidden; ""&gt; &lt;/ div&gt; &lt;div tabi ndex = ""- 1"" class = ""airy-ad-skip"" style = ""visibility: hidden;""&gt; &lt;/ div&gt; &lt;div tabindex = ""- 1"" class = ""airy-ad"&amp;"-end"" style = ""visibility: hidden ""&gt; &lt;/ div&gt; &lt;/ div&gt; &lt;/ div&gt; &lt;/ div&gt; &lt;/ div&gt; &lt;div tabindex ="" - 1 ""class ="" airy-learn-more ""style ="" visibility: hidden; ""&gt; &lt;/ div&gt; &lt;/ div&gt; &lt;div tabindex = ""- 1"" class = ""airy-play-toggle-hint-stage airy-stage "&amp;"airy-cursor""&gt; &lt;div tabindex = ""- 1"" class = ""airy-play -toggle-hint-Vertical-centering-table-cell airy-Vertical-centering-table-cell airy-cursor ""&gt; &lt;div tabindex ="" - 1 ""class ="" airy-play-toggle-hint-container airy-scalable- Hint-container ""&gt; &lt;d"&amp;"iv tabindex ="" - 1 ""class ="" airy-play-toggle-hint-dummy airy-scalable-dummy ""&gt; &lt;/ div&gt; &lt;div tabindex ="" - 1 ""class ="" airy-play -toggle-hint hint airy-airy-play-hint ""style ="" opacity: 1; visibility: visible; ""&gt; &lt;/ div&gt; &lt;/ div&gt; &lt;/ div&gt; &lt;/ div&gt; "&amp;"&lt;div tabindex ="" - 1 ""class ="" airy-replay-hint-stage airy-stage ""style ="" visibility: hidden ; ""&gt; &lt;div tabindex ="" - 1 ""class ="" airy-replay-hint-Vertical-centering-table-cell airy-Vertical-centering-table-cell airy-cursor ""&gt; &lt;div tabindex ="" "&amp;"- 1 ""class = ""airy-replay-hint-container airy-scalable-hint-container""&gt; &lt;div tabindex = ""- 1"" class = ""airy-replay-hint-dummy airy-scalable-dummy""&gt; &lt;/ div&gt; &lt;div tabindex = ""- 1"" class = ""airy-replay-hint airy-hint""&gt; &lt;/ div&gt; &lt;/ div&gt; &lt;/ div&gt; &lt;/ d"&amp;"iv&gt; &lt;div tabindex = ""- 1"" class = ""airy-autoplay-hint -stage airy-stage ""style ="" visibility: hidden; ""&gt; &lt;div tabindex ="" - 1 ""class ="" airy-autoplay-hint-Vertical-centering-table-cell airy-Vertical-centering-table-cell airy- cursor ""&gt; &lt;div tabi"&amp;"ndex ="" - 1 ""class ="" autoplay airy-airy-hint-container-scalable-hint-container ""&gt; &lt;div tabindex ="" - 1 ""class ="" airy-autoplay-hint-dummy airy- scalable-dummy ""&gt; &lt;/ div&gt; &lt;/ div&gt; &lt;/ div&gt; &lt;/ div&gt; &lt;/ div&gt; &lt;/ div&gt; &lt;input type ="" hidden ""name ="" """&amp;"value ="" https: // images-eu .ssl-images-amazon.com / images / I / D1WlWlrOfzS.mp4 ""Class ="" video-url ""&gt; &lt;input type ="" hidden ""name ="" ""value ="" https://images-eu.ssl-images-amazon.com/images/I/91Gps8k2KgS.png ""class ="" video-slate-img-url """&amp;"&gt; &amp; nbsp; Mini Bluetooth headset white that are recharged at the base. Very good sound quality . Bring USB micro USB cable for charging any USB jack (not included charger). the base and it recharges mini headphones. Headphones last for about 5 hours. foll"&amp;"owed running. Loaded based butt allows loading about 4 times the two handsets. In total 1 charge box are about 20 hours. Brings different silicones to adapt to each ear.")</f>
        <v>Mini Rechargeable Bluetooth Headphones boxed. White. &lt;Div id = "video-block-R33WF0YO0E44PO" class = "section a-a-a-spacing-small spacing-top-video mini-block"&gt; &lt;div tabindex = "0" class = "airy airy-svg vmin- unsupported airy-skin-beacon "style =" background-color: rgb (0, 0, 0) position: relative; width: 100%; height: 100%; font-size: 0px; overflow: hidden; outline: none ; "&gt; &lt;div class =" airy-renderer-container "style =" position: relative; height: 100%; width: 100%; "&gt; &lt;video id =" 63 "preload =" auto "src =" https: //images-eu.ssl-images-amazon.com/images/I/D1WlWlrOfzS.mp4 "style =" position: absolute; left: 0px; top: 0px; overflow: hidden; height: 1px; width: 1px; " &gt; &lt;/ video&gt; &lt;/ div&gt; &lt;div id = "airy-slate-preload" style = "background-color: rgb (0, 0, 0); background-image: url (&amp; quot; https: // images- eu.ssl-images-amazon.com/images/I/91Gps8k2KgS.png&amp;quot;); background-size: Contain; background-position: center center; background-repeat: no-repeat; position: absolute; top: 0px; left : 0px; visibility: visible; width: 100%; height: 100%; "&gt; &lt;/ div&gt; &lt;iframe scrolling =" no "framebord 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D1WlWlrOfzS.mp4 "Class =" video-url "&gt; &lt;input type =" hidden "name =" "value =" https://images-eu.ssl-images-amazon.com/images/I/91Gps8k2KgS.png "class =" video-slate-img-url "&gt; &amp; nbsp; Mini Bluetooth headset white that are recharged at the base. Very good sound quality . Bring USB micro USB cable for charging any USB jack (not included charger). the base and it recharges mini headphones. Headphones last for about 5 hours. followed running. Loaded based butt allows loading about 4 times the two handsets. In total 1 charge box are about 20 hours. Brings different silicones to adapt to each ear.</v>
      </c>
    </row>
    <row r="16747">
      <c r="A16747" s="1">
        <v>5.0</v>
      </c>
      <c r="B16747" s="1" t="s">
        <v>11879</v>
      </c>
      <c r="C16747" t="str">
        <f>IFERROR(__xludf.DUMMYFUNCTION("GOOGLETRANSLATE(B16747, ""es"", ""en"")"),"👌 👌")</f>
        <v>👌 👌</v>
      </c>
    </row>
    <row r="16748">
      <c r="A16748" s="1">
        <v>5.0</v>
      </c>
      <c r="B16748" s="1" t="s">
        <v>16588</v>
      </c>
      <c r="C16748" t="str">
        <f>IFERROR(__xludf.DUMMYFUNCTION("GOOGLETRANSLATE(B16748, ""es"", ""en"")"),"Very handy handy. There is a color for each bag. All perfect. Pocket to distribute all without losing. Well priced.")</f>
        <v>Very handy handy. There is a color for each bag. All perfect. Pocket to distribute all without losing. Well priced.</v>
      </c>
    </row>
    <row r="16749">
      <c r="A16749" s="1">
        <v>5.0</v>
      </c>
      <c r="B16749" s="1" t="s">
        <v>16589</v>
      </c>
      <c r="C16749" t="str">
        <f>IFERROR(__xludf.DUMMYFUNCTION("GOOGLETRANSLATE(B16749, ""es"", ""en"")"),"It's like a jewel. Very good finish and robust. Is a trusted brand and quality accredited by a tradition of many years, still doing things right.")</f>
        <v>It's like a jewel. Very good finish and robust. Is a trusted brand and quality accredited by a tradition of many years, still doing things right.</v>
      </c>
    </row>
    <row r="16750">
      <c r="A16750" s="1">
        <v>2.0</v>
      </c>
      <c r="B16750" s="1" t="s">
        <v>16590</v>
      </c>
      <c r="C16750" t="str">
        <f>IFERROR(__xludf.DUMMYFUNCTION("GOOGLETRANSLATE(B16750, ""es"", ""en"")"),"The gray coming out on the web is not the same. The gray coming out on the web is clearly, and has been a gray almost black, do not look at anything.")</f>
        <v>The gray coming out on the web is not the same. The gray coming out on the web is clearly, and has been a gray almost black, do not look at anything.</v>
      </c>
    </row>
    <row r="16751">
      <c r="A16751" s="1">
        <v>3.0</v>
      </c>
      <c r="B16751" s="1" t="s">
        <v>16591</v>
      </c>
      <c r="C16751" t="str">
        <f>IFERROR(__xludf.DUMMYFUNCTION("GOOGLETRANSLATE(B16751, ""es"", ""en"")"),"Shirt I have to say I do not understand brands, it turns out that the shirt looks good quality, maybe rather thin but to go to the gym or playing sports is correct, the problem is in their long, it's like a foot or longer what it should be. I understand t"&amp;"hat a dress shirt can be more or less long but one that is intended to do the sport is entirely inappropriate making it very uncomfortable.")</f>
        <v>Shirt I have to say I do not understand brands, it turns out that the shirt looks good quality, maybe rather thin but to go to the gym or playing sports is correct, the problem is in their long, it's like a foot or longer what it should be. I understand that a dress shirt can be more or less long but one that is intended to do the sport is entirely inappropriate making it very uncomfortable.</v>
      </c>
    </row>
    <row r="16752">
      <c r="A16752" s="1">
        <v>1.0</v>
      </c>
      <c r="B16752" s="1" t="s">
        <v>16592</v>
      </c>
      <c r="C16752" t="str">
        <f>IFERROR(__xludf.DUMMYFUNCTION("GOOGLETRANSLATE(B16752, ""es"", ""en"")"),"Impossible to format the card is now locked write, and because it can not format or write any new content")</f>
        <v>Impossible to format the card is now locked write, and because it can not format or write any new content</v>
      </c>
    </row>
    <row r="16753">
      <c r="A16753" s="1">
        <v>1.0</v>
      </c>
      <c r="B16753" s="1" t="s">
        <v>16593</v>
      </c>
      <c r="C16753" t="str">
        <f>IFERROR(__xludf.DUMMYFUNCTION("GOOGLETRANSLATE(B16753, ""es"", ""en"")"),"Disappointing take long to arrive and the package was very poor. When you open it had a very unpleasant smell but the last straw is that I ordered a 41 and looked a 36. are equal to the picture but looked very weak. I was very disappointed and no refund t"&amp;"he return costs, which could have had the detail since the sizes do not match for quite a few numbers.")</f>
        <v>Disappointing take long to arrive and the package was very poor. When you open it had a very unpleasant smell but the last straw is that I ordered a 41 and looked a 36. are equal to the picture but looked very weak. I was very disappointed and no refund the return costs, which could have had the detail since the sizes do not match for quite a few numbers.</v>
      </c>
    </row>
    <row r="16754">
      <c r="A16754" s="1">
        <v>4.0</v>
      </c>
      <c r="B16754" s="1" t="s">
        <v>16594</v>
      </c>
      <c r="C16754" t="str">
        <f>IFERROR(__xludf.DUMMYFUNCTION("GOOGLETRANSLATE(B16754, ""es"", ""en"")"),"Perfect warm and comfortable. Calentitas, although being all plastic may sweat a little walk, but at this price no one expects Australian sheep I say. Sole rubberinsulated")</f>
        <v>Perfect warm and comfortable. Calentitas, although being all plastic may sweat a little walk, but at this price no one expects Australian sheep I say. Sole rubberinsulated</v>
      </c>
    </row>
    <row r="16755">
      <c r="A16755" s="1">
        <v>4.0</v>
      </c>
      <c r="B16755" s="1" t="s">
        <v>16595</v>
      </c>
      <c r="C16755" t="str">
        <f>IFERROR(__xludf.DUMMYFUNCTION("GOOGLETRANSLATE(B16755, ""es"", ""en"")"),"Prepared to walk I had talked about comidad of the Asics zpatillas, and the truth that is so, are very comfortable to walk as it dampens tread and the price very well")</f>
        <v>Prepared to walk I had talked about comidad of the Asics zpatillas, and the truth that is so, are very comfortable to walk as it dampens tread and the price very well</v>
      </c>
    </row>
    <row r="16756">
      <c r="A16756" s="1">
        <v>4.0</v>
      </c>
      <c r="B16756" s="1" t="s">
        <v>16596</v>
      </c>
      <c r="C16756" t="str">
        <f>IFERROR(__xludf.DUMMYFUNCTION("GOOGLETRANSLATE(B16756, ""es"", ""en"")"),"! 00% recommended if they have met expectations, fully insulating outer des. Very good value for money, so recommend your purchase.")</f>
        <v>! 00% recommended if they have met expectations, fully insulating outer des. Very good value for money, so recommend your purchase.</v>
      </c>
    </row>
    <row r="16757">
      <c r="A16757" s="1">
        <v>4.0</v>
      </c>
      <c r="B16757" s="1" t="s">
        <v>16597</v>
      </c>
      <c r="C16757" t="str">
        <f>IFERROR(__xludf.DUMMYFUNCTION("GOOGLETRANSLATE(B16757, ""es"", ""en"")"),"Very cool very classic")</f>
        <v>Very cool very classic</v>
      </c>
    </row>
    <row r="16758">
      <c r="A16758" s="1">
        <v>4.0</v>
      </c>
      <c r="B16758" s="1" t="s">
        <v>16598</v>
      </c>
      <c r="C16758" t="str">
        <f>IFERROR(__xludf.DUMMYFUNCTION("GOOGLETRANSLATE(B16758, ""es"", ""en"")"),"Converse typical lifetime A classic sneaker truth. He had been looking for shops and or did not have in stock or the price was crazy until we catch the promotion and we could buy it with a quality / price very good. If it is true as any comments that sin "&amp;"puts small and average number missing more than he says indeed they have.")</f>
        <v>Converse typical lifetime A classic sneaker truth. He had been looking for shops and or did not have in stock or the price was crazy until we catch the promotion and we could buy it with a quality / price very good. If it is true as any comments that sin puts small and average number missing more than he says indeed they have.</v>
      </c>
    </row>
    <row r="16759">
      <c r="A16759" s="1">
        <v>5.0</v>
      </c>
      <c r="B16759" s="1" t="s">
        <v>16599</v>
      </c>
      <c r="C16759" t="str">
        <f>IFERROR(__xludf.DUMMYFUNCTION("GOOGLETRANSLATE(B16759, ""es"", ""en"")"),"Good result. I recently had with a bag of the same store, smaller than this, to comfortably fit both the house keys, keys to the car, wallet and documents, smartphone, etc., and, frankly, as I liked it so much, I decided to get my hands on this, something"&amp;" bigger to carry, apart from the things I mentioned earlier, also my walknbook 10.1 "", of course, with its sheath. in addition, also carry a wireless mouse and I can say that fits all without any problem. the bag is canvas brown, as seen in the photo. th"&amp;"e auctions are properly made and has different holes to store things both inside and outside. the mouth of the bag is opened / closed by zipper, why not say, glides smoothly. the flap front closure, it is securely closed by two buttons magnets and virtual"&amp;"ly nothing else drop the own lapel, and is closed (if not bulges much what we carry inside). I liked the detail of the pocket on the front flap, for me, it gives a more youthful, if possible. Regarding the long strap shoulder to carry, say, I measure 1.80"&amp;" m., I wear cross bag (shoulder) and left me at the correct height. I think this bag a highly recommended purchase.")</f>
        <v>Good result. I recently had with a bag of the same store, smaller than this, to comfortably fit both the house keys, keys to the car, wallet and documents, smartphone, etc., and, frankly, as I liked it so much, I decided to get my hands on this, something bigger to carry, apart from the things I mentioned earlier, also my walknbook 10.1 ", of course, with its sheath. in addition, also carry a wireless mouse and I can say that fits all without any problem. the bag is canvas brown, as seen in the photo. the auctions are properly made and has different holes to store things both inside and outside. the mouth of the bag is opened / closed by zipper, why not say, glides smoothly. the flap front closure, it is securely closed by two buttons magnets and virtually nothing else drop the own lapel, and is closed (if not bulges much what we carry inside). I liked the detail of the pocket on the front flap, for me, it gives a more youthful, if possible. Regarding the long strap shoulder to carry, say, I measure 1.80 m., I wear cross bag (shoulder) and left me at the correct height. I think this bag a highly recommended purchase.</v>
      </c>
    </row>
    <row r="16760">
      <c r="A16760" s="1">
        <v>5.0</v>
      </c>
      <c r="B16760" s="1" t="s">
        <v>16600</v>
      </c>
      <c r="C16760" t="str">
        <f>IFERROR(__xludf.DUMMYFUNCTION("GOOGLETRANSLATE(B16760, ""es"", ""en"")"),"Great. Good quality.")</f>
        <v>Great. Good quality.</v>
      </c>
    </row>
    <row r="16761">
      <c r="A16761" s="1">
        <v>5.0</v>
      </c>
      <c r="B16761" s="1" t="s">
        <v>16601</v>
      </c>
      <c r="C16761" t="str">
        <f>IFERROR(__xludf.DUMMYFUNCTION("GOOGLETRANSLATE(B16761, ""es"", ""en"")"),"Comfortable and drums eternal These headphones are ideal for sports or for everyday life. It leaves your hands free to hear anything while your music. It connects to your Bluetooth device very fast. They are very comfortable and lightweight. It sounds gre"&amp;"at and with a lot of volume. It comes with other games armoadillas par give a different style. It is an ideal gift for anyone. The battery lasts a lot and loads very fast. It is easy to handle. For your convenience, you seem to not wearing them.")</f>
        <v>Comfortable and drums eternal These headphones are ideal for sports or for everyday life. It leaves your hands free to hear anything while your music. It connects to your Bluetooth device very fast. They are very comfortable and lightweight. It sounds great and with a lot of volume. It comes with other games armoadillas par give a different style. It is an ideal gift for anyone. The battery lasts a lot and loads very fast. It is easy to handle. For your convenience, you seem to not wearing them.</v>
      </c>
    </row>
    <row r="16762">
      <c r="A16762" s="1">
        <v>5.0</v>
      </c>
      <c r="B16762" s="1" t="s">
        <v>16602</v>
      </c>
      <c r="C16762" t="str">
        <f>IFERROR(__xludf.DUMMYFUNCTION("GOOGLETRANSLATE(B16762, ""es"", ""en"")"),"Very chulis buy them for the price and I'm really delighted I work long hours standing and are very comfortable that if i put a template to adjust me more")</f>
        <v>Very chulis buy them for the price and I'm really delighted I work long hours standing and are very comfortable that if i put a template to adjust me more</v>
      </c>
    </row>
    <row r="16763">
      <c r="A16763" s="1">
        <v>5.0</v>
      </c>
      <c r="B16763" s="1" t="s">
        <v>16603</v>
      </c>
      <c r="C16763" t="str">
        <f>IFERROR(__xludf.DUMMYFUNCTION("GOOGLETRANSLATE(B16763, ""es"", ""en"")"),"Genial very good and fast, punctual.")</f>
        <v>Genial very good and fast, punctual.</v>
      </c>
    </row>
    <row r="16764">
      <c r="A16764" s="1">
        <v>5.0</v>
      </c>
      <c r="B16764" s="1" t="s">
        <v>16604</v>
      </c>
      <c r="C16764" t="str">
        <f>IFERROR(__xludf.DUMMYFUNCTION("GOOGLETRANSLATE(B16764, ""es"", ""en"")"),"story86 great !!! for days not clear rain ... it gets wet. calentito.comodo is super. da gustito touch. good hood. with cold does not exist ...")</f>
        <v>story86 great !!! for days not clear rain ... it gets wet. calentito.comodo is super. da gustito touch. good hood. with cold does not exist ...</v>
      </c>
    </row>
    <row r="16765">
      <c r="A16765" s="1">
        <v>5.0</v>
      </c>
      <c r="B16765" s="1" t="s">
        <v>16605</v>
      </c>
      <c r="C16765" t="str">
        <f>IFERROR(__xludf.DUMMYFUNCTION("GOOGLETRANSLATE(B16765, ""es"", ""en"")"),"Perfect quality from 6 months Teat 3")</f>
        <v>Perfect quality from 6 months Teat 3</v>
      </c>
    </row>
    <row r="16766">
      <c r="A16766" s="1">
        <v>5.0</v>
      </c>
      <c r="B16766" s="1" t="s">
        <v>16606</v>
      </c>
      <c r="C16766" t="str">
        <f>IFERROR(__xludf.DUMMYFUNCTION("GOOGLETRANSLATE(B16766, ""es"", ""en"")"),"The sound is super suitable for the ears has been a birthday gift for my niece. I have found exceptional, they are lightweight, have a perfect finish and listen to great sound. The would buy and recommend. My niece is delighted but not when you use someon"&amp;"e who is not her.")</f>
        <v>The sound is super suitable for the ears has been a birthday gift for my niece. I have found exceptional, they are lightweight, have a perfect finish and listen to great sound. The would buy and recommend. My niece is delighted but not when you use someone who is not her.</v>
      </c>
    </row>
    <row r="16767">
      <c r="A16767" s="1">
        <v>5.0</v>
      </c>
      <c r="B16767" s="1" t="s">
        <v>16607</v>
      </c>
      <c r="C16767" t="str">
        <f>IFERROR(__xludf.DUMMYFUNCTION("GOOGLETRANSLATE(B16767, ""es"", ""en"")"),"Perfect to avoid straining much voice, very efficient. This amplifier is great, it helps us a lot when we have to make presentations for many hours to not have to strain our voice much, highly recommended for exhibitions and teachers.")</f>
        <v>Perfect to avoid straining much voice, very efficient. This amplifier is great, it helps us a lot when we have to make presentations for many hours to not have to strain our voice much, highly recommended for exhibitions and teachers.</v>
      </c>
    </row>
    <row r="16768">
      <c r="A16768" s="1">
        <v>5.0</v>
      </c>
      <c r="B16768" s="1" t="s">
        <v>16608</v>
      </c>
      <c r="C16768" t="str">
        <f>IFERROR(__xludf.DUMMYFUNCTION("GOOGLETRANSLATE(B16768, ""es"", ""en"")"),"Good choice 100% recommended! In the beginning he was hesitant about the quality and especially the authenticity of the product, but all great and such that you can buy it at any watchmaker but at a lower price. Meets my expectations, simple and elegant a"&amp;"t once.")</f>
        <v>Good choice 100% recommended! In the beginning he was hesitant about the quality and especially the authenticity of the product, but all great and such that you can buy it at any watchmaker but at a lower price. Meets my expectations, simple and elegant at once.</v>
      </c>
    </row>
    <row r="16769">
      <c r="A16769" s="1">
        <v>5.0</v>
      </c>
      <c r="B16769" s="1" t="s">
        <v>16609</v>
      </c>
      <c r="C16769" t="str">
        <f>IFERROR(__xludf.DUMMYFUNCTION("GOOGLETRANSLATE(B16769, ""es"", ""en"")"),"Well, nice and cheap is a Nike tracksuit, therefore we know that quality is very good. The tracksuit is fine cloth, but that does not mean it is of poor quality as they say some other opinions out there, it's just one more type of Nike tracksuit range. Fo"&amp;"r me this tracksuit is perfect to go walking in winter or go to the mountain. Although for those who does not like chandal too tough, like me, I can put one day without problems, and is very comfortable. For the price you have and the quality of the brand"&amp;", I think a pretty good buy.")</f>
        <v>Well, nice and cheap is a Nike tracksuit, therefore we know that quality is very good. The tracksuit is fine cloth, but that does not mean it is of poor quality as they say some other opinions out there, it's just one more type of Nike tracksuit range. For me this tracksuit is perfect to go walking in winter or go to the mountain. Although for those who does not like chandal too tough, like me, I can put one day without problems, and is very comfortable. For the price you have and the quality of the brand, I think a pretty good buy.</v>
      </c>
    </row>
    <row r="16770">
      <c r="A16770" s="1">
        <v>5.0</v>
      </c>
      <c r="B16770" s="1" t="s">
        <v>16610</v>
      </c>
      <c r="C16770" t="str">
        <f>IFERROR(__xludf.DUMMYFUNCTION("GOOGLETRANSLATE(B16770, ""es"", ""en"")"),"I like this very well have a very nice touch we'll see when I get cold")</f>
        <v>I like this very well have a very nice touch we'll see when I get cold</v>
      </c>
    </row>
    <row r="16771">
      <c r="A16771" s="1">
        <v>5.0</v>
      </c>
      <c r="B16771" s="1" t="s">
        <v>16611</v>
      </c>
      <c r="C16771" t="str">
        <f>IFERROR(__xludf.DUMMYFUNCTION("GOOGLETRANSLATE(B16771, ""es"", ""en"")"),"Good price there are certainly faster, but it shows much difference in speed (better) than 7200 rpm HDD.")</f>
        <v>Good price there are certainly faster, but it shows much difference in speed (better) than 7200 rpm HDD.</v>
      </c>
    </row>
    <row r="16772">
      <c r="A16772" s="1">
        <v>5.0</v>
      </c>
      <c r="B16772" s="1" t="s">
        <v>16612</v>
      </c>
      <c r="C16772" t="str">
        <f>IFERROR(__xludf.DUMMYFUNCTION("GOOGLETRANSLATE(B16772, ""es"", ""en"")"),"Perfect I have many years looking for this type of staples, to avoid having to throw my old stapler, thought not manufactured anymore, and my surprise when I saw capital, perfect")</f>
        <v>Perfect I have many years looking for this type of staples, to avoid having to throw my old stapler, thought not manufactured anymore, and my surprise when I saw capital, perfect</v>
      </c>
    </row>
    <row r="16773">
      <c r="A16773" s="1">
        <v>5.0</v>
      </c>
      <c r="B16773" s="1" t="s">
        <v>16613</v>
      </c>
      <c r="C16773" t="str">
        <f>IFERROR(__xludf.DUMMYFUNCTION("GOOGLETRANSLATE(B16773, ""es"", ""en"")"),"Quality - price Very good quality. good price. Very good buy")</f>
        <v>Quality - price Very good quality. good price. Very good buy</v>
      </c>
    </row>
    <row r="16774">
      <c r="A16774" s="1">
        <v>5.0</v>
      </c>
      <c r="B16774" s="1" t="s">
        <v>16614</v>
      </c>
      <c r="C16774" t="str">
        <f>IFERROR(__xludf.DUMMYFUNCTION("GOOGLETRANSLATE(B16774, ""es"", ""en"")"),"Good money were a gift and liked")</f>
        <v>Good money were a gift and liked</v>
      </c>
    </row>
    <row r="16775">
      <c r="A16775" s="1">
        <v>5.0</v>
      </c>
      <c r="B16775" s="1" t="s">
        <v>16615</v>
      </c>
      <c r="C16775" t="str">
        <f>IFERROR(__xludf.DUMMYFUNCTION("GOOGLETRANSLATE(B16775, ""es"", ""en"")"),"Great watch'm a big fan of this kind of watches and know quite well. I decided to buy it for the deal on the price of the same. A great buy and sending everything perfect as ever.")</f>
        <v>Great watch'm a big fan of this kind of watches and know quite well. I decided to buy it for the deal on the price of the same. A great buy and sending everything perfect as ever.</v>
      </c>
    </row>
    <row r="16776">
      <c r="A16776" s="1">
        <v>5.0</v>
      </c>
      <c r="B16776" s="1" t="s">
        <v>16616</v>
      </c>
      <c r="C16776" t="str">
        <f>IFERROR(__xludf.DUMMYFUNCTION("GOOGLETRANSLATE(B16776, ""es"", ""en"")"),"good product good product for the price, sound neutral")</f>
        <v>good product good product for the price, sound neutral</v>
      </c>
    </row>
    <row r="16777">
      <c r="A16777" s="1">
        <v>5.0</v>
      </c>
      <c r="B16777" s="1" t="s">
        <v>16617</v>
      </c>
      <c r="C16777" t="str">
        <f>IFERROR(__xludf.DUMMYFUNCTION("GOOGLETRANSLATE(B16777, ""es"", ""en"")"),"It sounds great satisfaction. Very powerful. Convenient to carry and very complete. We connect a tablet and connected perfectly. Happy with purchase.")</f>
        <v>It sounds great satisfaction. Very powerful. Convenient to carry and very complete. We connect a tablet and connected perfectly. Happy with purchase.</v>
      </c>
    </row>
    <row r="16778">
      <c r="A16778" s="1">
        <v>2.0</v>
      </c>
      <c r="B16778" s="1" t="s">
        <v>16618</v>
      </c>
      <c r="C16778" t="str">
        <f>IFERROR(__xludf.DUMMYFUNCTION("GOOGLETRANSLATE(B16778, ""es"", ""en"")"),"Only correct and expensive for the convenience they offer. At the end of 55 euros I have faces like, as neither are particularly comfortable, for example when compared to a reebok revenge plus, the reebok seem to me much more comfortable and lighter weigh"&amp;"t is compared to a Nike flex vans they weigh considerably more. Durability still can not say anything. Tread offers nothing damping and is very flat. Anyway ... just image that you do pay a price not worth it.")</f>
        <v>Only correct and expensive for the convenience they offer. At the end of 55 euros I have faces like, as neither are particularly comfortable, for example when compared to a reebok revenge plus, the reebok seem to me much more comfortable and lighter weight is compared to a Nike flex vans they weigh considerably more. Durability still can not say anything. Tread offers nothing damping and is very flat. Anyway ... just image that you do pay a price not worth it.</v>
      </c>
    </row>
    <row r="16779">
      <c r="A16779" s="1">
        <v>3.0</v>
      </c>
      <c r="B16779" s="1" t="s">
        <v>16619</v>
      </c>
      <c r="C16779" t="str">
        <f>IFERROR(__xludf.DUMMYFUNCTION("GOOGLETRANSLATE(B16779, ""es"", ""en"")"),"Product single peri helpful. It's bigger than I expected.")</f>
        <v>Product single peri helpful. It's bigger than I expected.</v>
      </c>
    </row>
    <row r="16780">
      <c r="A16780" s="1">
        <v>3.0</v>
      </c>
      <c r="B16780" s="1" t="s">
        <v>16620</v>
      </c>
      <c r="C16780" t="str">
        <f>IFERROR(__xludf.DUMMYFUNCTION("GOOGLETRANSLATE(B16780, ""es"", ""en"")"),"Does not apply to severe pain I bought to soothe muscle aches, does not have that effect, for strong pain does not remove it, if it is true q its texture moisturizes and softens the skin. If a slight contracture calm, but severe pain is not worth.")</f>
        <v>Does not apply to severe pain I bought to soothe muscle aches, does not have that effect, for strong pain does not remove it, if it is true q its texture moisturizes and softens the skin. If a slight contracture calm, but severe pain is not worth.</v>
      </c>
    </row>
    <row r="16781">
      <c r="A16781" s="1">
        <v>1.0</v>
      </c>
      <c r="B16781" s="1" t="s">
        <v>16621</v>
      </c>
      <c r="C16781" t="str">
        <f>IFERROR(__xludf.DUMMYFUNCTION("GOOGLETRANSLATE(B16781, ""es"", ""en"")"),"Poor quality As they say a picture is better than a thousand words, this is the state that remain boots after three months of occasional use (2 or 3 times a week) the soles are completely off. According to the manufacturer are leather but as you can see i"&amp;"n the photos are of some synthetic material that has been quartered all, I have tried to contact the seller to enforce the warranty for defects in workmanship and has not even bothered to answer the mail , I write this review to not be fooled as has happe"&amp;"ned to me.")</f>
        <v>Poor quality As they say a picture is better than a thousand words, this is the state that remain boots after three months of occasional use (2 or 3 times a week) the soles are completely off. According to the manufacturer are leather but as you can see in the photos are of some synthetic material that has been quartered all, I have tried to contact the seller to enforce the warranty for defects in workmanship and has not even bothered to answer the mail , I write this review to not be fooled as has happened to me.</v>
      </c>
    </row>
    <row r="16782">
      <c r="A16782" s="1">
        <v>1.0</v>
      </c>
      <c r="B16782" s="1" t="s">
        <v>16622</v>
      </c>
      <c r="C16782" t="str">
        <f>IFERROR(__xludf.DUMMYFUNCTION("GOOGLETRANSLATE(B16782, ""es"", ""en"")"),"Disappointed not match the description, puts it 3.0 but it is not")</f>
        <v>Disappointed not match the description, puts it 3.0 but it is not</v>
      </c>
    </row>
    <row r="16783">
      <c r="A16783" s="1">
        <v>1.0</v>
      </c>
      <c r="B16783" s="1" t="s">
        <v>16623</v>
      </c>
      <c r="C16783" t="str">
        <f>IFERROR(__xludf.DUMMYFUNCTION("GOOGLETRANSLATE(B16783, ""es"", ""en"")"),"A little disappointment The description of the monsignor article conforms to the product itself, makes it crystal and it is not ... when you close it really hard to move and so the mixing is done right out and squirts ...")</f>
        <v>A little disappointment The description of the monsignor article conforms to the product itself, makes it crystal and it is not ... when you close it really hard to move and so the mixing is done right out and squirts ...</v>
      </c>
    </row>
    <row r="16784">
      <c r="A16784" s="1">
        <v>4.0</v>
      </c>
      <c r="B16784" s="1" t="s">
        <v>16624</v>
      </c>
      <c r="C16784" t="str">
        <f>IFERROR(__xludf.DUMMYFUNCTION("GOOGLETRANSLATE(B16784, ""es"", ""en"")"),"Right moment does the job. I was surprised how little loud it is.")</f>
        <v>Right moment does the job. I was surprised how little loud it is.</v>
      </c>
    </row>
    <row r="16785">
      <c r="A16785" s="1">
        <v>4.0</v>
      </c>
      <c r="B16785" s="1" t="s">
        <v>16625</v>
      </c>
      <c r="C16785" t="str">
        <f>IFERROR(__xludf.DUMMYFUNCTION("GOOGLETRANSLATE(B16785, ""es"", ""en"")"),"This very nice little something left of leg")</f>
        <v>This very nice little something left of leg</v>
      </c>
    </row>
    <row r="16786">
      <c r="A16786" s="1">
        <v>4.0</v>
      </c>
      <c r="B16786" s="1" t="s">
        <v>16626</v>
      </c>
      <c r="C16786" t="str">
        <f>IFERROR(__xludf.DUMMYFUNCTION("GOOGLETRANSLATE(B16786, ""es"", ""en"")"),"Right is pleasing to the touch and with its 120W gives enough heat. I tried other 100W heat and intensity seemed too low. It has resistance in the shoulders, while on the lapel of his neck no. Even so, I consider it sufficient to relieve contractures of m"&amp;"uscles of the neck. Correct product, although € 42 might be a bit expensive.")</f>
        <v>Right is pleasing to the touch and with its 120W gives enough heat. I tried other 100W heat and intensity seemed too low. It has resistance in the shoulders, while on the lapel of his neck no. Even so, I consider it sufficient to relieve contractures of muscles of the neck. Correct product, although € 42 might be a bit expensive.</v>
      </c>
    </row>
    <row r="16787">
      <c r="A16787" s="1">
        <v>4.0</v>
      </c>
      <c r="B16787" s="1" t="s">
        <v>16627</v>
      </c>
      <c r="C16787" t="str">
        <f>IFERROR(__xludf.DUMMYFUNCTION("GOOGLETRANSLATE(B16787, ""es"", ""en"")"),"Good but simple not slip, good product but basic")</f>
        <v>Good but simple not slip, good product but basic</v>
      </c>
    </row>
    <row r="16788">
      <c r="A16788" s="1">
        <v>4.0</v>
      </c>
      <c r="B16788" s="1" t="s">
        <v>16628</v>
      </c>
      <c r="C16788" t="str">
        <f>IFERROR(__xludf.DUMMYFUNCTION("GOOGLETRANSLATE(B16788, ""es"", ""en"")"),"Susi Van well these biberones..lo bad is coming out very little ..with two months had passed teats 2.")</f>
        <v>Susi Van well these biberones..lo bad is coming out very little ..with two months had passed teats 2.</v>
      </c>
    </row>
    <row r="16789">
      <c r="A16789" s="1">
        <v>5.0</v>
      </c>
      <c r="B16789" s="1" t="s">
        <v>16629</v>
      </c>
      <c r="C16789" t="str">
        <f>IFERROR(__xludf.DUMMYFUNCTION("GOOGLETRANSLATE(B16789, ""es"", ""en"")"),"recommended Light")</f>
        <v>recommended Light</v>
      </c>
    </row>
    <row r="16790">
      <c r="A16790" s="1">
        <v>5.0</v>
      </c>
      <c r="B16790" s="1" t="s">
        <v>16630</v>
      </c>
      <c r="C16790" t="str">
        <f>IFERROR(__xludf.DUMMYFUNCTION("GOOGLETRANSLATE(B16790, ""es"", ""en"")"),"No difference No difference with the original, the same paste and printed exactly the same")</f>
        <v>No difference No difference with the original, the same paste and printed exactly the same</v>
      </c>
    </row>
    <row r="16791">
      <c r="A16791" s="1">
        <v>5.0</v>
      </c>
      <c r="B16791" s="1" t="s">
        <v>16631</v>
      </c>
      <c r="C16791" t="str">
        <f>IFERROR(__xludf.DUMMYFUNCTION("GOOGLETRANSLATE(B16791, ""es"", ""en"")"),"Very fast had sought some information quickly usb .... But I've been impressed with the speed rate has")</f>
        <v>Very fast had sought some information quickly usb .... But I've been impressed with the speed rate has</v>
      </c>
    </row>
    <row r="16792">
      <c r="A16792" s="1">
        <v>5.0</v>
      </c>
      <c r="B16792" s="1" t="s">
        <v>16632</v>
      </c>
      <c r="C16792" t="str">
        <f>IFERROR(__xludf.DUMMYFUNCTION("GOOGLETRANSLATE(B16792, ""es"", ""en"")"),"Its functionality is remarkable. perfectly fulfills its function and the range is several meters. In my case the computer was in another room with a minimum distance of 15 meters")</f>
        <v>Its functionality is remarkable. perfectly fulfills its function and the range is several meters. In my case the computer was in another room with a minimum distance of 15 meters</v>
      </c>
    </row>
    <row r="16793">
      <c r="A16793" s="1">
        <v>5.0</v>
      </c>
      <c r="B16793" s="1" t="s">
        <v>16633</v>
      </c>
      <c r="C16793" t="str">
        <f>IFERROR(__xludf.DUMMYFUNCTION("GOOGLETRANSLATE(B16793, ""es"", ""en"")"),"Good quality is fine")</f>
        <v>Good quality is fine</v>
      </c>
    </row>
    <row r="16794">
      <c r="A16794" s="1">
        <v>5.0</v>
      </c>
      <c r="B16794" s="1" t="s">
        <v>16634</v>
      </c>
      <c r="C16794" t="str">
        <f>IFERROR(__xludf.DUMMYFUNCTION("GOOGLETRANSLATE(B16794, ""es"", ""en"")"),"Very satisfied. Overjoyed, it is a marvel to watch and good price. High quality and very good finish and presentation. Very satisfied.")</f>
        <v>Very satisfied. Overjoyed, it is a marvel to watch and good price. High quality and very good finish and presentation. Very satisfied.</v>
      </c>
    </row>
    <row r="16795">
      <c r="A16795" s="1">
        <v>5.0</v>
      </c>
      <c r="B16795" s="1" t="s">
        <v>16635</v>
      </c>
      <c r="C16795" t="str">
        <f>IFERROR(__xludf.DUMMYFUNCTION("GOOGLETRANSLATE(B16795, ""es"", ""en"")"),"Durable, relaxing and natural good aroma, very calming and durable. It comes in a convenient glass container, larger than other oils, which tends to be half size of this or more. The bottle carries a hygienic and accurate plastic dropper it ideal for use "&amp;"as long 3 or 4 drops. I've tried two different flavors diffusers and both phenomenal work. It puts it is 100% pure natural essential oil of lavender. He came in a very protected and sealed packaging with instructions in several languages, all purple. I wi"&amp;"ll repeat because I have worked out better than others but worth just half lead. Ideal for use in any room of the house.")</f>
        <v>Durable, relaxing and natural good aroma, very calming and durable. It comes in a convenient glass container, larger than other oils, which tends to be half size of this or more. The bottle carries a hygienic and accurate plastic dropper it ideal for use as long 3 or 4 drops. I've tried two different flavors diffusers and both phenomenal work. It puts it is 100% pure natural essential oil of lavender. He came in a very protected and sealed packaging with instructions in several languages, all purple. I will repeat because I have worked out better than others but worth just half lead. Ideal for use in any room of the house.</v>
      </c>
    </row>
    <row r="16796">
      <c r="A16796" s="1">
        <v>5.0</v>
      </c>
      <c r="B16796" s="1" t="s">
        <v>16636</v>
      </c>
      <c r="C16796" t="str">
        <f>IFERROR(__xludf.DUMMYFUNCTION("GOOGLETRANSLATE(B16796, ""es"", ""en"")"),"Exceeds expectations in my opinion is one of the best buys I've done lately and even after doing a series of tests, can not be compared with professional micros, if I have to say that sounds pretty good to use as a micro computer desktop, to talk to the v"&amp;"arious chat programs and even the occasional recording, the best is all that accompanies the micro, both the support and the extras, cables and others. Price quality un 10. Recommended if you do not want to spend much money.")</f>
        <v>Exceeds expectations in my opinion is one of the best buys I've done lately and even after doing a series of tests, can not be compared with professional micros, if I have to say that sounds pretty good to use as a micro computer desktop, to talk to the various chat programs and even the occasional recording, the best is all that accompanies the micro, both the support and the extras, cables and others. Price quality un 10. Recommended if you do not want to spend much money.</v>
      </c>
    </row>
    <row r="16797">
      <c r="A16797" s="1">
        <v>5.0</v>
      </c>
      <c r="B16797" s="1" t="s">
        <v>16637</v>
      </c>
      <c r="C16797" t="str">
        <f>IFERROR(__xludf.DUMMYFUNCTION("GOOGLETRANSLATE(B16797, ""es"", ""en"")"),"Good quality unbeatable price watch, the dial is beige and is become green as they have no light. A very nice watch live quality. Vierne with box and papers, but does not come with warranty sellada.Imagino bill will be worth downloading.")</f>
        <v>Good quality unbeatable price watch, the dial is beige and is become green as they have no light. A very nice watch live quality. Vierne with box and papers, but does not come with warranty sellada.Imagino bill will be worth downloading.</v>
      </c>
    </row>
    <row r="16798">
      <c r="A16798" s="1">
        <v>5.0</v>
      </c>
      <c r="B16798" s="1" t="s">
        <v>16638</v>
      </c>
      <c r="C16798" t="str">
        <f>IFERROR(__xludf.DUMMYFUNCTION("GOOGLETRANSLATE(B16798, ""es"", ""en"")"),"Good buy good buy. 100% recommendable")</f>
        <v>Good buy good buy. 100% recommendable</v>
      </c>
    </row>
    <row r="16799">
      <c r="A16799" s="1">
        <v>5.0</v>
      </c>
      <c r="B16799" s="1" t="s">
        <v>16639</v>
      </c>
      <c r="C16799" t="str">
        <f>IFERROR(__xludf.DUMMYFUNCTION("GOOGLETRANSLATE(B16799, ""es"", ""en"")"),"Convenient, comfortable and good quality cable to be so short is uncomfortable. Is not glued to the laptop, it moves away. That makes it somewhat uncomfortable because it can occupy the space of a mouse or anything else you have on the sides of the comput"&amp;"er.")</f>
        <v>Convenient, comfortable and good quality cable to be so short is uncomfortable. Is not glued to the laptop, it moves away. That makes it somewhat uncomfortable because it can occupy the space of a mouse or anything else you have on the sides of the computer.</v>
      </c>
    </row>
    <row r="16800">
      <c r="A16800" s="1">
        <v>5.0</v>
      </c>
      <c r="B16800" s="1" t="s">
        <v>16640</v>
      </c>
      <c r="C16800" t="str">
        <f>IFERROR(__xludf.DUMMYFUNCTION("GOOGLETRANSLATE(B16800, ""es"", ""en"")"),"Amply meets with expectations. There is a good quality price relation. Fast read and write, although I have not checked whether the rates shown are real. Fully recommended.")</f>
        <v>Amply meets with expectations. There is a good quality price relation. Fast read and write, although I have not checked whether the rates shown are real. Fully recommended.</v>
      </c>
    </row>
    <row r="16801">
      <c r="A16801" s="1">
        <v>5.0</v>
      </c>
      <c r="B16801" s="1" t="s">
        <v>16641</v>
      </c>
      <c r="C16801" t="str">
        <f>IFERROR(__xludf.DUMMYFUNCTION("GOOGLETRANSLATE(B16801, ""es"", ""en"")"),"After 4 years is perfect I bought it four years ago, I use it almost every day a couple of times. The clean occasionally with vinegar to remove lime and looks like the first day. A great buy.")</f>
        <v>After 4 years is perfect I bought it four years ago, I use it almost every day a couple of times. The clean occasionally with vinegar to remove lime and looks like the first day. A great buy.</v>
      </c>
    </row>
    <row r="16802">
      <c r="A16802" s="1">
        <v>5.0</v>
      </c>
      <c r="B16802" s="1" t="s">
        <v>16642</v>
      </c>
      <c r="C16802" t="str">
        <f>IFERROR(__xludf.DUMMYFUNCTION("GOOGLETRANSLATE(B16802, ""es"", ""en"")"),"subtle fragrance but effective, ideal for workspaces or relaxing in the office I always like to have the humidifier with fragrance to wear the environment but do not have a very concentrated odor (at the end of many hours they spent in the office and when"&amp;" used strong odors may even get a headache). I bought this fragrance because I was struck vanilla (smell which I love) with wood and I have to say that successful. It is a soft scent, not too sweet and with a hint of maderita that truth gives very nice at"&amp;"mosphere. In the picture you can see the humidifier that use (have an opinion about it too) and with only 1 drop of this oil gives a touch I need. We use the humidifier 2 times a day: 1) At night on leave, and the next day to arrive and smells divine. 2) "&amp;"A mid-morning shooting noon: D so after the early morning coffee, midday meal etc office does not accumulate odors. Another point that I love is that it brings dropper bottle dispenser then makes no splurges product, when I bought without dispensing inadv"&amp;"ertently have come to dump a lot of oil and have armed the ""Mari morena"".")</f>
        <v>subtle fragrance but effective, ideal for workspaces or relaxing in the office I always like to have the humidifier with fragrance to wear the environment but do not have a very concentrated odor (at the end of many hours they spent in the office and when used strong odors may even get a headache). I bought this fragrance because I was struck vanilla (smell which I love) with wood and I have to say that successful. It is a soft scent, not too sweet and with a hint of maderita that truth gives very nice atmosphere. In the picture you can see the humidifier that use (have an opinion about it too) and with only 1 drop of this oil gives a touch I need. We use the humidifier 2 times a day: 1) At night on leave, and the next day to arrive and smells divine. 2) A mid-morning shooting noon: D so after the early morning coffee, midday meal etc office does not accumulate odors. Another point that I love is that it brings dropper bottle dispenser then makes no splurges product, when I bought without dispensing inadvertently have come to dump a lot of oil and have armed the "Mari morena".</v>
      </c>
    </row>
    <row r="16803">
      <c r="A16803" s="1">
        <v>5.0</v>
      </c>
      <c r="B16803" s="1" t="s">
        <v>16643</v>
      </c>
      <c r="C16803" t="str">
        <f>IFERROR(__xludf.DUMMYFUNCTION("GOOGLETRANSLATE(B16803, ""es"", ""en"")"),"Correspondence to the number !! Very comfortable")</f>
        <v>Correspondence to the number !! Very comfortable</v>
      </c>
    </row>
    <row r="16804">
      <c r="A16804" s="1">
        <v>5.0</v>
      </c>
      <c r="B16804" s="1" t="s">
        <v>11888</v>
      </c>
      <c r="C16804" t="str">
        <f>IFERROR(__xludf.DUMMYFUNCTION("GOOGLETRANSLATE(B16804, ""es"", ""en"")"),"Perfect Good Quality")</f>
        <v>Perfect Good Quality</v>
      </c>
    </row>
    <row r="16805">
      <c r="A16805" s="1">
        <v>5.0</v>
      </c>
      <c r="B16805" s="1" t="s">
        <v>16644</v>
      </c>
      <c r="C16805" t="str">
        <f>IFERROR(__xludf.DUMMYFUNCTION("GOOGLETRANSLATE(B16805, ""es"", ""en"")"),"good product are very nice. The interested to become enchanted.")</f>
        <v>good product are very nice. The interested to become enchanted.</v>
      </c>
    </row>
    <row r="16806">
      <c r="A16806" s="1">
        <v>5.0</v>
      </c>
      <c r="B16806" s="1" t="s">
        <v>16645</v>
      </c>
      <c r="C16806" t="str">
        <f>IFERROR(__xludf.DUMMYFUNCTION("GOOGLETRANSLATE(B16806, ""es"", ""en"")"),"Phenomenal come several bags of different sizes, the smallest I have put in the shoe, and the other spread over different heights cabinets and drawers below. At the next day there was no smell of damp or musty smell. I hate the smell of mothballs and thos"&amp;"e acclimated is strong. With coal instead I is absorbed without leaving any other scent. A coming in bags is very comfortable.")</f>
        <v>Phenomenal come several bags of different sizes, the smallest I have put in the shoe, and the other spread over different heights cabinets and drawers below. At the next day there was no smell of damp or musty smell. I hate the smell of mothballs and those acclimated is strong. With coal instead I is absorbed without leaving any other scent. A coming in bags is very comfortable.</v>
      </c>
    </row>
    <row r="16807">
      <c r="A16807" s="1">
        <v>5.0</v>
      </c>
      <c r="B16807" s="1" t="s">
        <v>16646</v>
      </c>
      <c r="C16807" t="str">
        <f>IFERROR(__xludf.DUMMYFUNCTION("GOOGLETRANSLATE(B16807, ""es"", ""en"")"),"Highly recommended not cheap but is perfect for the clock and the installation system xiaomi")</f>
        <v>Highly recommended not cheap but is perfect for the clock and the installation system xiaomi</v>
      </c>
    </row>
    <row r="16808">
      <c r="A16808" s="1">
        <v>2.0</v>
      </c>
      <c r="B16808" s="1" t="s">
        <v>16647</v>
      </c>
      <c r="C16808" t="str">
        <f>IFERROR(__xludf.DUMMYFUNCTION("GOOGLETRANSLATE(B16808, ""es"", ""en"")"),"Manuela The ring is good for the price. But it is much smaller than the size I had ordered. Whereupon I did not I have put.")</f>
        <v>Manuela The ring is good for the price. But it is much smaller than the size I had ordered. Whereupon I did not I have put.</v>
      </c>
    </row>
    <row r="16809">
      <c r="A16809" s="1">
        <v>3.0</v>
      </c>
      <c r="B16809" s="1" t="s">
        <v>16648</v>
      </c>
      <c r="C16809" t="str">
        <f>IFERROR(__xludf.DUMMYFUNCTION("GOOGLETRANSLATE(B16809, ""es"", ""en"")"),"Comfortable, feel good, reinforced crotch pants and is comfortable or feel good, but it has unstitched me in the crotch to the first lavado.Recomiendo reinforce it out there if you use it mostly for ael gym.")</f>
        <v>Comfortable, feel good, reinforced crotch pants and is comfortable or feel good, but it has unstitched me in the crotch to the first lavado.Recomiendo reinforce it out there if you use it mostly for ael gym.</v>
      </c>
    </row>
    <row r="16810">
      <c r="A16810" s="1">
        <v>3.0</v>
      </c>
      <c r="B16810" s="1" t="s">
        <v>16649</v>
      </c>
      <c r="C16810" t="str">
        <f>IFERROR(__xludf.DUMMYFUNCTION("GOOGLETRANSLATE(B16810, ""es"", ""en"")"),"Great sound, not to run is I get to use the treadmill, but good sound. I'll use it for other occasions.")</f>
        <v>Great sound, not to run is I get to use the treadmill, but good sound. I'll use it for other occasions.</v>
      </c>
    </row>
    <row r="16811">
      <c r="A16811" s="1">
        <v>3.0</v>
      </c>
      <c r="B16811" s="1" t="s">
        <v>16650</v>
      </c>
      <c r="C16811" t="str">
        <f>IFERROR(__xludf.DUMMYFUNCTION("GOOGLETRANSLATE(B16811, ""es"", ""en"")"),"Many heated pendrive is generally good. Is robust, it seems resistant. The only problem is that overheats more than others. That price range would advise buying other than this problem.")</f>
        <v>Many heated pendrive is generally good. Is robust, it seems resistant. The only problem is that overheats more than others. That price range would advise buying other than this problem.</v>
      </c>
    </row>
    <row r="16812">
      <c r="A16812" s="1">
        <v>1.0</v>
      </c>
      <c r="B16812" s="1" t="s">
        <v>16651</v>
      </c>
      <c r="C16812" t="str">
        <f>IFERROR(__xludf.DUMMYFUNCTION("GOOGLETRANSLATE(B16812, ""es"", ""en"")"),"Not buy for Blue Yeti Blue Yeti IMPORTANT There are several answers on this subject indicate that brings thread adapter for the Blue Yeti, there is even an opinion that advocates buying that said microphone support. Well, no!! Do not make my mistake, you "&amp;"do not buy this support. Yes, he brings the thread to adapt to Yeti, but a plastic adapter. It has been threaded screw it and go to the first, being almost smooth and loose screw. Not subject nothing, and the Yeti is not it a lightweight micro ... need a "&amp;"good adapter. In short, for Yeti not to buy it, I will try to return it.")</f>
        <v>Not buy for Blue Yeti Blue Yeti IMPORTANT There are several answers on this subject indicate that brings thread adapter for the Blue Yeti, there is even an opinion that advocates buying that said microphone support. Well, no!! Do not make my mistake, you do not buy this support. Yes, he brings the thread to adapt to Yeti, but a plastic adapter. It has been threaded screw it and go to the first, being almost smooth and loose screw. Not subject nothing, and the Yeti is not it a lightweight micro ... need a good adapter. In short, for Yeti not to buy it, I will try to return it.</v>
      </c>
    </row>
    <row r="16813">
      <c r="A16813" s="1">
        <v>1.0</v>
      </c>
      <c r="B16813" s="1" t="s">
        <v>16652</v>
      </c>
      <c r="C16813" t="str">
        <f>IFERROR(__xludf.DUMMYFUNCTION("GOOGLETRANSLATE(B16813, ""es"", ""en"")"),"Paqui The safety lock very poorly presented. I ordered another and I come up with Pandora cover this in a bag and plastic redicula. Is real???!!")</f>
        <v>Paqui The safety lock very poorly presented. I ordered another and I come up with Pandora cover this in a bag and plastic redicula. Is real???!!</v>
      </c>
    </row>
    <row r="16814">
      <c r="A16814" s="1">
        <v>4.0</v>
      </c>
      <c r="B16814" s="1" t="s">
        <v>16653</v>
      </c>
      <c r="C16814" t="str">
        <f>IFERROR(__xludf.DUMMYFUNCTION("GOOGLETRANSLATE(B16814, ""es"", ""en"")"),"Good price for what q are not weighed, do not give allergy and being more cautious me have lasted more than one day. They come with gumdrops for q you can not leave but are skipped. Q So one day since they have lasted me.")</f>
        <v>Good price for what q are not weighed, do not give allergy and being more cautious me have lasted more than one day. They come with gumdrops for q you can not leave but are skipped. Q So one day since they have lasted me.</v>
      </c>
    </row>
    <row r="16815">
      <c r="A16815" s="1">
        <v>4.0</v>
      </c>
      <c r="B16815" s="1" t="s">
        <v>16654</v>
      </c>
      <c r="C16815" t="str">
        <f>IFERROR(__xludf.DUMMYFUNCTION("GOOGLETRANSLATE(B16815, ""es"", ""en"")"),"Good cool and comfortable boots, Warm and comfortable from the first moment! Arrived on time! I asked for another number and perfect winter socks!")</f>
        <v>Good cool and comfortable boots, Warm and comfortable from the first moment! Arrived on time! I asked for another number and perfect winter socks!</v>
      </c>
    </row>
    <row r="16816">
      <c r="A16816" s="1">
        <v>4.0</v>
      </c>
      <c r="B16816" s="1" t="s">
        <v>16655</v>
      </c>
      <c r="C16816" t="str">
        <f>IFERROR(__xludf.DUMMYFUNCTION("GOOGLETRANSLATE(B16816, ""es"", ""en"")"),"I bought good buy recommended by someone else, the truth is that great, the smell is not unpleasant and does the job!")</f>
        <v>I bought good buy recommended by someone else, the truth is that great, the smell is not unpleasant and does the job!</v>
      </c>
    </row>
    <row r="16817">
      <c r="A16817" s="1">
        <v>4.0</v>
      </c>
      <c r="B16817" s="1" t="s">
        <v>16656</v>
      </c>
      <c r="C16817" t="str">
        <f>IFERROR(__xludf.DUMMYFUNCTION("GOOGLETRANSLATE(B16817, ""es"", ""en"")"),"I was surprised Beyond the design of the shoe for me is perfect, I was surprised how comfortable they are considering the size and weight of the product, Size 45 (11 UK), and use a 12-hour shift followed and feet perfect as a first now. We'll see how long"&amp;" the material, I hope not easily deteriorate.")</f>
        <v>I was surprised Beyond the design of the shoe for me is perfect, I was surprised how comfortable they are considering the size and weight of the product, Size 45 (11 UK), and use a 12-hour shift followed and feet perfect as a first now. We'll see how long the material, I hope not easily deteriorate.</v>
      </c>
    </row>
    <row r="16818">
      <c r="A16818" s="1">
        <v>5.0</v>
      </c>
      <c r="B16818" s="1" t="s">
        <v>16657</v>
      </c>
      <c r="C16818" t="str">
        <f>IFERROR(__xludf.DUMMYFUNCTION("GOOGLETRANSLATE(B16818, ""es"", ""en"")"),"Good price shoe summer use. Comfortable and stylish. In my case I add a leather insole to reduce sweat. The size is correct as it comes.")</f>
        <v>Good price shoe summer use. Comfortable and stylish. In my case I add a leather insole to reduce sweat. The size is correct as it comes.</v>
      </c>
    </row>
    <row r="16819">
      <c r="A16819" s="1">
        <v>5.0</v>
      </c>
      <c r="B16819" s="1" t="s">
        <v>16658</v>
      </c>
      <c r="C16819" t="str">
        <f>IFERROR(__xludf.DUMMYFUNCTION("GOOGLETRANSLATE(B16819, ""es"", ""en"")"),"Just what you need to hold any microphone. You can not ask for more, makes its function is to hold the microphone and move it to the position that best suits you. For on a work arm according antipop filter as want to put tends to fall by the weight.")</f>
        <v>Just what you need to hold any microphone. You can not ask for more, makes its function is to hold the microphone and move it to the position that best suits you. For on a work arm according antipop filter as want to put tends to fall by the weight.</v>
      </c>
    </row>
    <row r="16820">
      <c r="A16820" s="1">
        <v>5.0</v>
      </c>
      <c r="B16820" s="1" t="s">
        <v>16659</v>
      </c>
      <c r="C16820" t="str">
        <f>IFERROR(__xludf.DUMMYFUNCTION("GOOGLETRANSLATE(B16820, ""es"", ""en"")"),"are not bad how bad they are competing oils make these passable, although some fragrances are better served than others, which are frankly improvable. Oils, mostly not smell bad and persistence is higher than other brands that invest more in marketing, ad"&amp;"vertising and offers. Hence the 3 stars. But these no client loyalty. Once tested, invite to try other brands. A little more concentration and better choice of games to bottle and we fidelizarían something that we consume often essential oils. We are thos"&amp;"e who interested them, beyond a point consumer. If I read those responsible, take note. Win win them and us. Win win. You have to be stupid to not do it for pennies. I would really like me to put haberles 5 Stars. Edito: The service to the customer, splen"&amp;"did. They have apologized. They have offered adequate explanations on the meaning of my comment and have sought to repair the problems caused. Surprising. Congratulations!")</f>
        <v>are not bad how bad they are competing oils make these passable, although some fragrances are better served than others, which are frankly improvable. Oils, mostly not smell bad and persistence is higher than other brands that invest more in marketing, advertising and offers. Hence the 3 stars. But these no client loyalty. Once tested, invite to try other brands. A little more concentration and better choice of games to bottle and we fidelizarían something that we consume often essential oils. We are those who interested them, beyond a point consumer. If I read those responsible, take note. Win win them and us. Win win. You have to be stupid to not do it for pennies. I would really like me to put haberles 5 Stars. Edito: The service to the customer, splendid. They have apologized. They have offered adequate explanations on the meaning of my comment and have sought to repair the problems caused. Surprising. Congratulations!</v>
      </c>
    </row>
    <row r="16821">
      <c r="A16821" s="1">
        <v>5.0</v>
      </c>
      <c r="B16821" s="1" t="s">
        <v>16660</v>
      </c>
      <c r="C16821" t="str">
        <f>IFERROR(__xludf.DUMMYFUNCTION("GOOGLETRANSLATE(B16821, ""es"", ""en"")"),"Smart product to start to emphasize that we are the product aesthetically more akin to the brand apple exists. Certainly in the price no color. I tried all of the other brand, but these other and can say that the sound quality is very good. They are obvio"&amp;"usly an aesthetically very nice product. I had some fear of white color if picked up dirt and such ... but are made with materials that doubt is deface time. A hit product")</f>
        <v>Smart product to start to emphasize that we are the product aesthetically more akin to the brand apple exists. Certainly in the price no color. I tried all of the other brand, but these other and can say that the sound quality is very good. They are obviously an aesthetically very nice product. I had some fear of white color if picked up dirt and such ... but are made with materials that doubt is deface time. A hit product</v>
      </c>
    </row>
    <row r="16822">
      <c r="A16822" s="1">
        <v>5.0</v>
      </c>
      <c r="B16822" s="1" t="s">
        <v>16661</v>
      </c>
      <c r="C16822" t="str">
        <f>IFERROR(__xludf.DUMMYFUNCTION("GOOGLETRANSLATE(B16822, ""es"", ""en"")"),"Terrific recommended")</f>
        <v>Terrific recommended</v>
      </c>
    </row>
    <row r="16823">
      <c r="A16823" s="1">
        <v>5.0</v>
      </c>
      <c r="B16823" s="1" t="s">
        <v>16662</v>
      </c>
      <c r="C16823" t="str">
        <f>IFERROR(__xludf.DUMMYFUNCTION("GOOGLETRANSLATE(B16823, ""es"", ""en"")"),"Mop handle with definitive After a long time searching, I found it. The price is right, not cheap but affordable.")</f>
        <v>Mop handle with definitive After a long time searching, I found it. The price is right, not cheap but affordable.</v>
      </c>
    </row>
    <row r="16824">
      <c r="A16824" s="1">
        <v>5.0</v>
      </c>
      <c r="B16824" s="1" t="s">
        <v>16663</v>
      </c>
      <c r="C16824" t="str">
        <f>IFERROR(__xludf.DUMMYFUNCTION("GOOGLETRANSLATE(B16824, ""es"", ""en"")"),"Card holder's like coming in the description of the product, an inexpensive and very useful to keep the cards in the product.")</f>
        <v>Card holder's like coming in the description of the product, an inexpensive and very useful to keep the cards in the product.</v>
      </c>
    </row>
    <row r="16825">
      <c r="A16825" s="1">
        <v>5.0</v>
      </c>
      <c r="B16825" s="1" t="s">
        <v>16664</v>
      </c>
      <c r="C16825" t="str">
        <f>IFERROR(__xludf.DUMMYFUNCTION("GOOGLETRANSLATE(B16825, ""es"", ""en"")"),"Very helpful Great, great because orange and failure to use another tool because with the same cap has a cutter oranges sets. The would buy without problems. Excellent buy, moreover, I have been looking for several months and always saw but to squeeze one"&amp;" half and no.")</f>
        <v>Very helpful Great, great because orange and failure to use another tool because with the same cap has a cutter oranges sets. The would buy without problems. Excellent buy, moreover, I have been looking for several months and always saw but to squeeze one half and no.</v>
      </c>
    </row>
    <row r="16826">
      <c r="A16826" s="1">
        <v>5.0</v>
      </c>
      <c r="B16826" s="1" t="s">
        <v>16665</v>
      </c>
      <c r="C16826" t="str">
        <f>IFERROR(__xludf.DUMMYFUNCTION("GOOGLETRANSLATE(B16826, ""es"", ""en"")"),"What he looked comfortable and discreet, maybe a little small but it was what I was looking for.")</f>
        <v>What he looked comfortable and discreet, maybe a little small but it was what I was looking for.</v>
      </c>
    </row>
    <row r="16827">
      <c r="A16827" s="1">
        <v>5.0</v>
      </c>
      <c r="B16827" s="1" t="s">
        <v>16666</v>
      </c>
      <c r="C16827" t="str">
        <f>IFERROR(__xludf.DUMMYFUNCTION("GOOGLETRANSLATE(B16827, ""es"", ""en"")"),"Good for manual labor is a perfect adhesive velcro for small crafts. Perhaps they are somewhat smaller than I thought, but it's my fault for not noticing the extent they had. Otherwise they stick well and adhere well to the surfaces.")</f>
        <v>Good for manual labor is a perfect adhesive velcro for small crafts. Perhaps they are somewhat smaller than I thought, but it's my fault for not noticing the extent they had. Otherwise they stick well and adhere well to the surfaces.</v>
      </c>
    </row>
    <row r="16828">
      <c r="A16828" s="1">
        <v>5.0</v>
      </c>
      <c r="B16828" s="1" t="s">
        <v>16667</v>
      </c>
      <c r="C16828" t="str">
        <f>IFERROR(__xludf.DUMMYFUNCTION("GOOGLETRANSLATE(B16828, ""es"", ""en"")"),"Incredible deal the seller the best seller of the product, which is a perfect product for gaming and office use")</f>
        <v>Incredible deal the seller the best seller of the product, which is a perfect product for gaming and office use</v>
      </c>
    </row>
    <row r="16829">
      <c r="A16829" s="1">
        <v>5.0</v>
      </c>
      <c r="B16829" s="1" t="s">
        <v>16668</v>
      </c>
      <c r="C16829" t="str">
        <f>IFERROR(__xludf.DUMMYFUNCTION("GOOGLETRANSLATE(B16829, ""es"", ""en"")"),"I loved I loved the comfy shoes, definitely repeat!")</f>
        <v>I loved I loved the comfy shoes, definitely repeat!</v>
      </c>
    </row>
    <row r="16830">
      <c r="A16830" s="1">
        <v>5.0</v>
      </c>
      <c r="B16830" s="1" t="s">
        <v>16669</v>
      </c>
      <c r="C16830" t="str">
        <f>IFERROR(__xludf.DUMMYFUNCTION("GOOGLETRANSLATE(B16830, ""es"", ""en"")"),"Cintas good product for machine work perfect")</f>
        <v>Cintas good product for machine work perfect</v>
      </c>
    </row>
    <row r="16831">
      <c r="A16831" s="1">
        <v>5.0</v>
      </c>
      <c r="B16831" s="1" t="s">
        <v>16670</v>
      </c>
      <c r="C16831" t="str">
        <f>IFERROR(__xludf.DUMMYFUNCTION("GOOGLETRANSLATE(B16831, ""es"", ""en"")"),"Perfect perfect. Everything has gotten well without problems.")</f>
        <v>Perfect perfect. Everything has gotten well without problems.</v>
      </c>
    </row>
    <row r="16832">
      <c r="A16832" s="1">
        <v>5.0</v>
      </c>
      <c r="B16832" s="1" t="s">
        <v>16671</v>
      </c>
      <c r="C16832" t="str">
        <f>IFERROR(__xludf.DUMMYFUNCTION("GOOGLETRANSLATE(B16832, ""es"", ""en"")"),"Sennheiser authentic, high quality sound and good finish at a very competitive price Sennheiser authentic, high quality sound and good finish at a very competitive price. About six months of daily use and function as the first day. Article highly recommen"&amp;"ded and I will definitely return to purchase when they finish failing due to some tugging.")</f>
        <v>Sennheiser authentic, high quality sound and good finish at a very competitive price Sennheiser authentic, high quality sound and good finish at a very competitive price. About six months of daily use and function as the first day. Article highly recommended and I will definitely return to purchase when they finish failing due to some tugging.</v>
      </c>
    </row>
    <row r="16833">
      <c r="A16833" s="1">
        <v>5.0</v>
      </c>
      <c r="B16833" s="1" t="s">
        <v>16672</v>
      </c>
      <c r="C16833" t="str">
        <f>IFERROR(__xludf.DUMMYFUNCTION("GOOGLETRANSLATE(B16833, ""es"", ""en"")"),"hard drive stable and low consumption. The expectations were good at reading the characteristics and the check first hand I could not find fault. I wanted a stable hard drive backup was not looking for quickly and this is showing me.")</f>
        <v>hard drive stable and low consumption. The expectations were good at reading the characteristics and the check first hand I could not find fault. I wanted a stable hard drive backup was not looking for quickly and this is showing me.</v>
      </c>
    </row>
    <row r="16834">
      <c r="A16834" s="1">
        <v>5.0</v>
      </c>
      <c r="B16834" s="1" t="s">
        <v>16673</v>
      </c>
      <c r="C16834" t="str">
        <f>IFERROR(__xludf.DUMMYFUNCTION("GOOGLETRANSLATE(B16834, ""es"", ""en"")"),"Excellent quality")</f>
        <v>Excellent quality</v>
      </c>
    </row>
    <row r="16835">
      <c r="A16835" s="1">
        <v>5.0</v>
      </c>
      <c r="B16835" s="1" t="s">
        <v>16674</v>
      </c>
      <c r="C16835" t="str">
        <f>IFERROR(__xludf.DUMMYFUNCTION("GOOGLETRANSLATE(B16835, ""es"", ""en"")"),"Highly recommended I am very happy with the product since its price was much lower than on the official website of the brand but the quality still remains equally good. My sister have loved, highly recommended")</f>
        <v>Highly recommended I am very happy with the product since its price was much lower than on the official website of the brand but the quality still remains equally good. My sister have loved, highly recommended</v>
      </c>
    </row>
    <row r="16836">
      <c r="A16836" s="1">
        <v>2.0</v>
      </c>
      <c r="B16836" s="1" t="s">
        <v>16675</v>
      </c>
      <c r="C16836" t="str">
        <f>IFERROR(__xludf.DUMMYFUNCTION("GOOGLETRANSLATE(B16836, ""es"", ""en"")"),"Microphone bad I bought this microphone because despite seeing many negative reviews that had most corresponded to clamp model, as this model I saw that many users were happy. Well, after trying I can assure you that the sound quality is just acceptable. "&amp;"If you want to be heard loud power have to climb in and out the speakers. Either that or put it in the mouth to speak. Which brings my webcam (which cost me less than 10 euros) is much better, and less noise!")</f>
        <v>Microphone bad I bought this microphone because despite seeing many negative reviews that had most corresponded to clamp model, as this model I saw that many users were happy. Well, after trying I can assure you that the sound quality is just acceptable. If you want to be heard loud power have to climb in and out the speakers. Either that or put it in the mouth to speak. Which brings my webcam (which cost me less than 10 euros) is much better, and less noise!</v>
      </c>
    </row>
    <row r="16837">
      <c r="A16837" s="1">
        <v>3.0</v>
      </c>
      <c r="B16837" s="1" t="s">
        <v>16676</v>
      </c>
      <c r="C16837" t="str">
        <f>IFERROR(__xludf.DUMMYFUNCTION("GOOGLETRANSLATE(B16837, ""es"", ""en"")"),"Useful. Not bad.")</f>
        <v>Useful. Not bad.</v>
      </c>
    </row>
    <row r="16838">
      <c r="A16838" s="1">
        <v>1.0</v>
      </c>
      <c r="B16838" s="1" t="s">
        <v>16677</v>
      </c>
      <c r="C16838" t="str">
        <f>IFERROR(__xludf.DUMMYFUNCTION("GOOGLETRANSLATE(B16838, ""es"", ""en"")"),"Poor quality pearls fall alone, poor quality")</f>
        <v>Poor quality pearls fall alone, poor quality</v>
      </c>
    </row>
    <row r="16839">
      <c r="A16839" s="1">
        <v>1.0</v>
      </c>
      <c r="B16839" s="1" t="s">
        <v>16678</v>
      </c>
      <c r="C16839" t="str">
        <f>IFERROR(__xludf.DUMMYFUNCTION("GOOGLETRANSLATE(B16839, ""es"", ""en"")"),"They have caused medical problems I have used this model Vans daily for 2 months after your purchase. I was disappointed quality, as seen in the pictures, they have begun to break where the folds foot treading, the color is in the same folds and lines are"&amp;" white. In addition, I have caused medical problems in the tendons of both feet by the hardness of the back of the shoe. I've never had problems before with the foot or with the tendons and I am user of this kind of shoes for many years. They were my firs"&amp;"t and last Vans.")</f>
        <v>They have caused medical problems I have used this model Vans daily for 2 months after your purchase. I was disappointed quality, as seen in the pictures, they have begun to break where the folds foot treading, the color is in the same folds and lines are white. In addition, I have caused medical problems in the tendons of both feet by the hardness of the back of the shoe. I've never had problems before with the foot or with the tendons and I am user of this kind of shoes for many years. They were my first and last Vans.</v>
      </c>
    </row>
    <row r="16840">
      <c r="A16840" s="1">
        <v>4.0</v>
      </c>
      <c r="B16840" s="1" t="s">
        <v>16679</v>
      </c>
      <c r="C16840" t="str">
        <f>IFERROR(__xludf.DUMMYFUNCTION("GOOGLETRANSLATE(B16840, ""es"", ""en"")"),"As in the photo. Bonitas.")</f>
        <v>As in the photo. Bonitas.</v>
      </c>
    </row>
    <row r="16841">
      <c r="A16841" s="1">
        <v>4.0</v>
      </c>
      <c r="B16841" s="1" t="s">
        <v>16680</v>
      </c>
      <c r="C16841" t="str">
        <f>IFERROR(__xludf.DUMMYFUNCTION("GOOGLETRANSLATE(B16841, ""es"", ""en"")"),"It is nothing more for naturists purposes. If you are looking for essential oils to mix and perfumes or use it to create new flavors, as they are not suitable for this, since the process they were given was not to preserve the natural smell but for simple"&amp;" extraction, which gives an odor more mature or older than it should be, except lavender, rosemary incense and have very good smell, especially lavender, really it smells natural lavender.")</f>
        <v>It is nothing more for naturists purposes. If you are looking for essential oils to mix and perfumes or use it to create new flavors, as they are not suitable for this, since the process they were given was not to preserve the natural smell but for simple extraction, which gives an odor more mature or older than it should be, except lavender, rosemary incense and have very good smell, especially lavender, really it smells natural lavender.</v>
      </c>
    </row>
    <row r="16842">
      <c r="A16842" s="1">
        <v>4.0</v>
      </c>
      <c r="B16842" s="1" t="s">
        <v>16681</v>
      </c>
      <c r="C16842" t="str">
        <f>IFERROR(__xludf.DUMMYFUNCTION("GOOGLETRANSLATE(B16842, ""es"", ""en"")"),"They are very comfortable as I expected, the measure of the heel ... not ... I squeezed spacious front ... all you have sole suede that looks that have to be like but I'll put that sole I last longer.")</f>
        <v>They are very comfortable as I expected, the measure of the heel ... not ... I squeezed spacious front ... all you have sole suede that looks that have to be like but I'll put that sole I last longer.</v>
      </c>
    </row>
    <row r="16843">
      <c r="A16843" s="1">
        <v>4.0</v>
      </c>
      <c r="B16843" s="1" t="s">
        <v>16682</v>
      </c>
      <c r="C16843" t="str">
        <f>IFERROR(__xludf.DUMMYFUNCTION("GOOGLETRANSLATE(B16843, ""es"", ""en"")"),"Jawhara is a cute and simple wrist. Suitable for girls girls. I bought it for a small gift and loved it. Silver bathroom does not look bad. Great value for the price.")</f>
        <v>Jawhara is a cute and simple wrist. Suitable for girls girls. I bought it for a small gift and loved it. Silver bathroom does not look bad. Great value for the price.</v>
      </c>
    </row>
    <row r="16844">
      <c r="A16844" s="1">
        <v>4.0</v>
      </c>
      <c r="B16844" s="1" t="s">
        <v>16683</v>
      </c>
      <c r="C16844" t="str">
        <f>IFERROR(__xludf.DUMMYFUNCTION("GOOGLETRANSLATE(B16844, ""es"", ""en"")"),"Very good for short-haired cat tried with other brushes with soft and hard spikes long with a silicone glove and none removed anything. This is going out great. It is a short-haired cat.")</f>
        <v>Very good for short-haired cat tried with other brushes with soft and hard spikes long with a silicone glove and none removed anything. This is going out great. It is a short-haired cat.</v>
      </c>
    </row>
    <row r="16845">
      <c r="A16845" s="1">
        <v>5.0</v>
      </c>
      <c r="B16845" s="1" t="s">
        <v>16684</v>
      </c>
      <c r="C16845" t="str">
        <f>IFERROR(__xludf.DUMMYFUNCTION("GOOGLETRANSLATE(B16845, ""es"", ""en"")"),"Cds enough good quality needed to record CDs models of my group to sell at direct, certainly for the price they have to fulfill their function, use all CDs and had no problem.")</f>
        <v>Cds enough good quality needed to record CDs models of my group to sell at direct, certainly for the price they have to fulfill their function, use all CDs and had no problem.</v>
      </c>
    </row>
    <row r="16846">
      <c r="A16846" s="1">
        <v>5.0</v>
      </c>
      <c r="B16846" s="1" t="s">
        <v>16685</v>
      </c>
      <c r="C16846" t="str">
        <f>IFERROR(__xludf.DUMMYFUNCTION("GOOGLETRANSLATE(B16846, ""es"", ""en"")"),"Happy with purchase We bought it for a recording studio we have and it works perfectly. Definitely recommend. Good quality / price.")</f>
        <v>Happy with purchase We bought it for a recording studio we have and it works perfectly. Definitely recommend. Good quality / price.</v>
      </c>
    </row>
    <row r="16847">
      <c r="A16847" s="1">
        <v>5.0</v>
      </c>
      <c r="B16847" s="1" t="s">
        <v>16686</v>
      </c>
      <c r="C16847" t="str">
        <f>IFERROR(__xludf.DUMMYFUNCTION("GOOGLETRANSLATE(B16847, ""es"", ""en"")"),"Good price good product quality product, took a while to arrive. Good seller.")</f>
        <v>Good price good product quality product, took a while to arrive. Good seller.</v>
      </c>
    </row>
    <row r="16848">
      <c r="A16848" s="1">
        <v>5.0</v>
      </c>
      <c r="B16848" s="1" t="s">
        <v>16687</v>
      </c>
      <c r="C16848" t="str">
        <f>IFERROR(__xludf.DUMMYFUNCTION("GOOGLETRANSLATE(B16848, ""es"", ""en"")"),"It works without problems and came rapidisimo perfect. This placing on the Sony xperia z1 my mother and has not given a single problem. 100% Recommended")</f>
        <v>It works without problems and came rapidisimo perfect. This placing on the Sony xperia z1 my mother and has not given a single problem. 100% Recommended</v>
      </c>
    </row>
    <row r="16849">
      <c r="A16849" s="1">
        <v>5.0</v>
      </c>
      <c r="B16849" s="1" t="s">
        <v>16688</v>
      </c>
      <c r="C16849" t="str">
        <f>IFERROR(__xludf.DUMMYFUNCTION("GOOGLETRANSLATE(B16849, ""es"", ""en"")"),"Veloz (UAS Support - USB Attached SCSI) The disc is aesthetically pleasing, a little babbling but not annoying and a spectacular performance. In the connect to my PC Windows 10 and start file transfer I get a sequential write speed of about 65 MB / s, wel"&amp;"l below that of other USB 3.0 mechanical disks (which goes by 100-110 MB / s at the beginning of the disc ). I check with Crystal Disk Mark and the results are consistent. After you enable write caching on this disk sequential write speed jumps to 189 MB "&amp;"/ s (!!), spectacular. Add screenshots of Crystal Disk Mark before and after activer the cache. I just took 2 hours use of the disc and the speed has not dropped a 700GB after copying speed has not dropped from 189 MB / s in sequential write. Barbarian!")</f>
        <v>Veloz (UAS Support - USB Attached SCSI) The disc is aesthetically pleasing, a little babbling but not annoying and a spectacular performance. In the connect to my PC Windows 10 and start file transfer I get a sequential write speed of about 65 MB / s, well below that of other USB 3.0 mechanical disks (which goes by 100-110 MB / s at the beginning of the disc ). I check with Crystal Disk Mark and the results are consistent. After you enable write caching on this disk sequential write speed jumps to 189 MB / s (!!), spectacular. Add screenshots of Crystal Disk Mark before and after activer the cache. I just took 2 hours use of the disc and the speed has not dropped a 700GB after copying speed has not dropped from 189 MB / s in sequential write. Barbarian!</v>
      </c>
    </row>
    <row r="16850">
      <c r="A16850" s="1">
        <v>5.0</v>
      </c>
      <c r="B16850" s="1" t="s">
        <v>16689</v>
      </c>
      <c r="C16850" t="str">
        <f>IFERROR(__xludf.DUMMYFUNCTION("GOOGLETRANSLATE(B16850, ""es"", ""en"")"),"Thoroughly clean and not used much but works very well")</f>
        <v>Thoroughly clean and not used much but works very well</v>
      </c>
    </row>
    <row r="16851">
      <c r="A16851" s="1">
        <v>5.0</v>
      </c>
      <c r="B16851" s="1" t="s">
        <v>16690</v>
      </c>
      <c r="C16851" t="str">
        <f>IFERROR(__xludf.DUMMYFUNCTION("GOOGLETRANSLATE(B16851, ""es"", ""en"")"),"Highly recommended The bag is beautiful and practical.The quality is excellent and the beautiful color, has many pockets to hold cosas.Un ideal complement for events recommended informales.Muy")</f>
        <v>Highly recommended The bag is beautiful and practical.The quality is excellent and the beautiful color, has many pockets to hold cosas.Un ideal complement for events recommended informales.Muy</v>
      </c>
    </row>
    <row r="16852">
      <c r="A16852" s="1">
        <v>5.0</v>
      </c>
      <c r="B16852" s="1" t="s">
        <v>16691</v>
      </c>
      <c r="C16852" t="str">
        <f>IFERROR(__xludf.DUMMYFUNCTION("GOOGLETRANSLATE(B16852, ""es"", ""en"")"),"Article built with professionalism article with excellent finish and look quite carefully. But it's not just the look that counts. The transmitting sound quality is also very good. I have another microphone, and will host another cable of these.")</f>
        <v>Article built with professionalism article with excellent finish and look quite carefully. But it's not just the look that counts. The transmitting sound quality is also very good. I have another microphone, and will host another cable of these.</v>
      </c>
    </row>
    <row r="16853">
      <c r="A16853" s="1">
        <v>5.0</v>
      </c>
      <c r="B16853" s="1" t="s">
        <v>16692</v>
      </c>
      <c r="C16853" t="str">
        <f>IFERROR(__xludf.DUMMYFUNCTION("GOOGLETRANSLATE(B16853, ""es"", ""en"")"),"OILS without chemicals. IMPORTANT I asked because I wanted to have my house with pleasant smell and did not want chemical things. These oils are natural and are ideal for that does not affect our health. I tried the lavender and I love the smell it leaves"&amp;". Instead my husband prefers EUCALYPTUS and my son lemongrass. As there is something for everyone, no problem. I will surely buy when finished.")</f>
        <v>OILS without chemicals. IMPORTANT I asked because I wanted to have my house with pleasant smell and did not want chemical things. These oils are natural and are ideal for that does not affect our health. I tried the lavender and I love the smell it leaves. Instead my husband prefers EUCALYPTUS and my son lemongrass. As there is something for everyone, no problem. I will surely buy when finished.</v>
      </c>
    </row>
    <row r="16854">
      <c r="A16854" s="1">
        <v>5.0</v>
      </c>
      <c r="B16854" s="1" t="s">
        <v>16693</v>
      </c>
      <c r="C16854" t="str">
        <f>IFERROR(__xludf.DUMMYFUNCTION("GOOGLETRANSLATE(B16854, ""es"", ""en"")"),"It has reached the expected product wanted within expected time.")</f>
        <v>It has reached the expected product wanted within expected time.</v>
      </c>
    </row>
    <row r="16855">
      <c r="A16855" s="1">
        <v>5.0</v>
      </c>
      <c r="B16855" s="1" t="s">
        <v>16694</v>
      </c>
      <c r="C16855" t="str">
        <f>IFERROR(__xludf.DUMMYFUNCTION("GOOGLETRANSLATE(B16855, ""es"", ""en"")"),"It has been very effective rapido.Funciona bien.Micro captures well the content sonido.Estoy")</f>
        <v>It has been very effective rapido.Funciona bien.Micro captures well the content sonido.Estoy</v>
      </c>
    </row>
    <row r="16856">
      <c r="A16856" s="1">
        <v>5.0</v>
      </c>
      <c r="B16856" s="1" t="s">
        <v>16695</v>
      </c>
      <c r="C16856" t="str">
        <f>IFERROR(__xludf.DUMMYFUNCTION("GOOGLETRANSLATE(B16856, ""es"", ""en"")"),"It's comfortable and lightweight gave my mother is delighted, weighs nothing, it's very light")</f>
        <v>It's comfortable and lightweight gave my mother is delighted, weighs nothing, it's very light</v>
      </c>
    </row>
    <row r="16857">
      <c r="A16857" s="1">
        <v>5.0</v>
      </c>
      <c r="B16857" s="1" t="s">
        <v>16696</v>
      </c>
      <c r="C16857" t="str">
        <f>IFERROR(__xludf.DUMMYFUNCTION("GOOGLETRANSLATE(B16857, ""es"", ""en"")"),"Very good Perfect")</f>
        <v>Very good Perfect</v>
      </c>
    </row>
    <row r="16858">
      <c r="A16858" s="1">
        <v>5.0</v>
      </c>
      <c r="B16858" s="1" t="s">
        <v>16697</v>
      </c>
      <c r="C16858" t="str">
        <f>IFERROR(__xludf.DUMMYFUNCTION("GOOGLETRANSLATE(B16858, ""es"", ""en"")"),"Headphones headphones fantastic fantastic, very lightweight and comfortable, with perfect sound quality, excellent definition and an impressive low value")</f>
        <v>Headphones headphones fantastic fantastic, very lightweight and comfortable, with perfect sound quality, excellent definition and an impressive low value</v>
      </c>
    </row>
    <row r="16859">
      <c r="A16859" s="1">
        <v>5.0</v>
      </c>
      <c r="B16859" s="1" t="s">
        <v>16698</v>
      </c>
      <c r="C16859" t="str">
        <f>IFERROR(__xludf.DUMMYFUNCTION("GOOGLETRANSLATE(B16859, ""es"", ""en"")"),"Very good length of headphones Battery are super good shipping was super fast when you open it you find a very nicely packaged to not suffer damage to the ears of various sizes all black box and blue and headphones with a tone lovely blue and instruction "&amp;"manual come headphones in a box and that serves box to charge the headset is similar to an external battery will discharge you put each in its place that go with magnet stick for now and see who has a charge indicator and tells you to where the headphones"&amp;" are loaded. When you downloaded the USB cable and again put to bear the truth that is fine has a very good sound headphones go through fingerprint you give the number of finger clicks and seesaw volume that you let down turns off if want to turn the same"&amp;" amazing are recommended. Maybe it is certainly super-long battery life Wear a week using them daily and still have enough capacity.")</f>
        <v>Very good length of headphones Battery are super good shipping was super fast when you open it you find a very nicely packaged to not suffer damage to the ears of various sizes all black box and blue and headphones with a tone lovely blue and instruction manual come headphones in a box and that serves box to charge the headset is similar to an external battery will discharge you put each in its place that go with magnet stick for now and see who has a charge indicator and tells you to where the headphones are loaded. When you downloaded the USB cable and again put to bear the truth that is fine has a very good sound headphones go through fingerprint you give the number of finger clicks and seesaw volume that you let down turns off if want to turn the same amazing are recommended. Maybe it is certainly super-long battery life Wear a week using them daily and still have enough capacity.</v>
      </c>
    </row>
    <row r="16860">
      <c r="A16860" s="1">
        <v>5.0</v>
      </c>
      <c r="B16860" s="1" t="s">
        <v>16699</v>
      </c>
      <c r="C16860" t="str">
        <f>IFERROR(__xludf.DUMMYFUNCTION("GOOGLETRANSLATE(B16860, ""es"", ""en"")"),"Toshiba P300 -. Internal Hard Disk 3TB 3.5 ""is a hard disk built, reliable, a bit noisy well, although it may be because I have three albums P300 connected to the same time long ago bought another equally and without problems Maybe. the next buy other ty"&amp;"pe Toshiba NAS because they do not sleep and then booted.")</f>
        <v>Toshiba P300 -. Internal Hard Disk 3TB 3.5 "is a hard disk built, reliable, a bit noisy well, although it may be because I have three albums P300 connected to the same time long ago bought another equally and without problems Maybe. the next buy other type Toshiba NAS because they do not sleep and then booted.</v>
      </c>
    </row>
    <row r="16861">
      <c r="A16861" s="1">
        <v>5.0</v>
      </c>
      <c r="B16861" s="1" t="s">
        <v>3737</v>
      </c>
      <c r="C16861" t="str">
        <f>IFERROR(__xludf.DUMMYFUNCTION("GOOGLETRANSLATE(B16861, ""es"", ""en"")"),"Good all good")</f>
        <v>Good all good</v>
      </c>
    </row>
    <row r="16862">
      <c r="A16862" s="1">
        <v>5.0</v>
      </c>
      <c r="B16862" s="1" t="s">
        <v>16700</v>
      </c>
      <c r="C16862" t="str">
        <f>IFERROR(__xludf.DUMMYFUNCTION("GOOGLETRANSLATE(B16862, ""es"", ""en"")"),"buenisimo Very useful")</f>
        <v>buenisimo Very useful</v>
      </c>
    </row>
    <row r="16863">
      <c r="A16863" s="1">
        <v>5.0</v>
      </c>
      <c r="B16863" s="1" t="s">
        <v>16701</v>
      </c>
      <c r="C16863" t="str">
        <f>IFERROR(__xludf.DUMMYFUNCTION("GOOGLETRANSLATE(B16863, ""es"", ""en"")"),"Just one word: PERFECT needed an iron that was fast, and do not make me waste time ironing, and the truth is perfect, besides having an economical price how to enter the water in it is very easy and more compared to other plates, plus the metal area gives"&amp;" a feeling of quality. It is possible to regulate the intensity of the steam release with a separate roulette something that gives a possibility to remove stubborn wrinkles and two modes steam expulsion through jet (very difficult wrinkles) and venting va"&amp;"por through the plate. Half board soon regarding my previous iron in addition to leave no wrinkle. I recommend purchase")</f>
        <v>Just one word: PERFECT needed an iron that was fast, and do not make me waste time ironing, and the truth is perfect, besides having an economical price how to enter the water in it is very easy and more compared to other plates, plus the metal area gives a feeling of quality. It is possible to regulate the intensity of the steam release with a separate roulette something that gives a possibility to remove stubborn wrinkles and two modes steam expulsion through jet (very difficult wrinkles) and venting vapor through the plate. Half board soon regarding my previous iron in addition to leave no wrinkle. I recommend purchase</v>
      </c>
    </row>
    <row r="16864">
      <c r="A16864" s="1">
        <v>2.0</v>
      </c>
      <c r="B16864" s="1" t="s">
        <v>16702</v>
      </c>
      <c r="C16864" t="str">
        <f>IFERROR(__xludf.DUMMYFUNCTION("GOOGLETRANSLATE(B16864, ""es"", ""en"")"),"WD Caviar Blue Delivery well, the biggest problem is that on the outside of the box says that the work drive at 5400 rpm while both the features and the disk itself rpm operation are 7200. It is clear that until Out of the box you can not check and that c"&amp;"an lead to returns for an error that is just labeling.")</f>
        <v>WD Caviar Blue Delivery well, the biggest problem is that on the outside of the box says that the work drive at 5400 rpm while both the features and the disk itself rpm operation are 7200. It is clear that until Out of the box you can not check and that can lead to returns for an error that is just labeling.</v>
      </c>
    </row>
    <row r="16865">
      <c r="A16865" s="1">
        <v>3.0</v>
      </c>
      <c r="B16865" s="1" t="s">
        <v>16703</v>
      </c>
      <c r="C16865" t="str">
        <f>IFERROR(__xludf.DUMMYFUNCTION("GOOGLETRANSLATE(B16865, ""es"", ""en"")"),"Although correct are very successful I not think they are true. You can see if you look at the inside of the shoe. The ""or"" Converse should have a star inside. Still, if you do not mind, very much they resemble. The package arrived even before the set t"&amp;"ime.")</f>
        <v>Although correct are very successful I not think they are true. You can see if you look at the inside of the shoe. The "or" Converse should have a star inside. Still, if you do not mind, very much they resemble. The package arrived even before the set time.</v>
      </c>
    </row>
    <row r="16866">
      <c r="A16866" s="1">
        <v>3.0</v>
      </c>
      <c r="B16866" s="1" t="s">
        <v>16704</v>
      </c>
      <c r="C16866" t="str">
        <f>IFERROR(__xludf.DUMMYFUNCTION("GOOGLETRANSLATE(B16866, ""es"", ""en"")"),"They're fine, no more working properly, but the end of a good time are not overly comfortable. a little background hum is heard, perhaps some interference from other close. But in general, they are not bad, but not to throw rockets.")</f>
        <v>They're fine, no more working properly, but the end of a good time are not overly comfortable. a little background hum is heard, perhaps some interference from other close. But in general, they are not bad, but not to throw rockets.</v>
      </c>
    </row>
    <row r="16867">
      <c r="A16867" s="1">
        <v>1.0</v>
      </c>
      <c r="B16867" s="1" t="s">
        <v>16705</v>
      </c>
      <c r="C16867" t="str">
        <f>IFERROR(__xludf.DUMMYFUNCTION("GOOGLETRANSLATE(B16867, ""es"", ""en"")"),"The zircons were peeled off a week. would not buy")</f>
        <v>The zircons were peeled off a week. would not buy</v>
      </c>
    </row>
    <row r="16868">
      <c r="A16868" s="1">
        <v>1.0</v>
      </c>
      <c r="B16868" s="1" t="s">
        <v>16706</v>
      </c>
      <c r="C16868" t="str">
        <f>IFERROR(__xludf.DUMMYFUNCTION("GOOGLETRANSLATE(B16868, ""es"", ""en"")"),"Not worth Malo bad, I tried to take some scratches Apple Watch and that I gave him 3 times but as usual.")</f>
        <v>Not worth Malo bad, I tried to take some scratches Apple Watch and that I gave him 3 times but as usual.</v>
      </c>
    </row>
    <row r="16869">
      <c r="A16869" s="1">
        <v>4.0</v>
      </c>
      <c r="B16869" s="1" t="s">
        <v>16707</v>
      </c>
      <c r="C16869" t="str">
        <f>IFERROR(__xludf.DUMMYFUNCTION("GOOGLETRANSLATE(B16869, ""es"", ""en"")"),"Perform their function is a box of staples for staplers style ""Rapid Classic 1 (Esselte Leitz 10510628 - Manual Stapler)"" Isaberg. Is a small box, you'd think 1000 staples is outrageous, but it is a small box. These staples, however, are not so easy to "&amp;"find, not sold in supermarkets, but rather in specialty stores or stationery stores, so it's okay to have them located.")</f>
        <v>Perform their function is a box of staples for staplers style "Rapid Classic 1 (Esselte Leitz 10510628 - Manual Stapler)" Isaberg. Is a small box, you'd think 1000 staples is outrageous, but it is a small box. These staples, however, are not so easy to find, not sold in supermarkets, but rather in specialty stores or stationery stores, so it's okay to have them located.</v>
      </c>
    </row>
    <row r="16870">
      <c r="A16870" s="1">
        <v>4.0</v>
      </c>
      <c r="B16870" s="1" t="s">
        <v>16708</v>
      </c>
      <c r="C16870" t="str">
        <f>IFERROR(__xludf.DUMMYFUNCTION("GOOGLETRANSLATE(B16870, ""es"", ""en"")"),"enchanted get to the next day and even without putting duration, up to 16 hours rather about 8 for this price in purchase 3 single pharmacy")</f>
        <v>enchanted get to the next day and even without putting duration, up to 16 hours rather about 8 for this price in purchase 3 single pharmacy</v>
      </c>
    </row>
    <row r="16871">
      <c r="A16871" s="1">
        <v>4.0</v>
      </c>
      <c r="B16871" s="1" t="s">
        <v>16709</v>
      </c>
      <c r="C16871" t="str">
        <f>IFERROR(__xludf.DUMMYFUNCTION("GOOGLETRANSLATE(B16871, ""es"", ""en"")"),"Good product good product. And fulfills its mission is simple in its operation. It occupies little and it is powerful. I recommend it but never force him.")</f>
        <v>Good product good product. And fulfills its mission is simple in its operation. It occupies little and it is powerful. I recommend it but never force him.</v>
      </c>
    </row>
    <row r="16872">
      <c r="A16872" s="1">
        <v>4.0</v>
      </c>
      <c r="B16872" s="1" t="s">
        <v>16710</v>
      </c>
      <c r="C16872" t="str">
        <f>IFERROR(__xludf.DUMMYFUNCTION("GOOGLETRANSLATE(B16872, ""es"", ""en"")"),"Watch elegant and good quality very comfortable and elegant. Very nice design")</f>
        <v>Watch elegant and good quality very comfortable and elegant. Very nice design</v>
      </c>
    </row>
    <row r="16873">
      <c r="A16873" s="1">
        <v>4.0</v>
      </c>
      <c r="B16873" s="1" t="s">
        <v>16711</v>
      </c>
      <c r="C16873" t="str">
        <f>IFERROR(__xludf.DUMMYFUNCTION("GOOGLETRANSLATE(B16873, ""es"", ""en"")"),"good and very usable the beginning they were a little hard from behind. with various uses soften and comfortable. match the description.")</f>
        <v>good and very usable the beginning they were a little hard from behind. with various uses soften and comfortable. match the description.</v>
      </c>
    </row>
    <row r="16874">
      <c r="A16874" s="1">
        <v>5.0</v>
      </c>
      <c r="B16874" s="1" t="s">
        <v>16712</v>
      </c>
      <c r="C16874" t="str">
        <f>IFERROR(__xludf.DUMMYFUNCTION("GOOGLETRANSLATE(B16874, ""es"", ""en"")"),"Perfect for what we want perfect")</f>
        <v>Perfect for what we want perfect</v>
      </c>
    </row>
    <row r="16875">
      <c r="A16875" s="1">
        <v>5.0</v>
      </c>
      <c r="B16875" s="1" t="s">
        <v>16713</v>
      </c>
      <c r="C16875" t="str">
        <f>IFERROR(__xludf.DUMMYFUNCTION("GOOGLETRANSLATE(B16875, ""es"", ""en"")"),"Awesome. I bought it for a disguise and milk. It seems really weighs a lot and stones shine. It is amazing for that price.")</f>
        <v>Awesome. I bought it for a disguise and milk. It seems really weighs a lot and stones shine. It is amazing for that price.</v>
      </c>
    </row>
    <row r="16876">
      <c r="A16876" s="1">
        <v>5.0</v>
      </c>
      <c r="B16876" s="1" t="s">
        <v>16714</v>
      </c>
      <c r="C16876" t="str">
        <f>IFERROR(__xludf.DUMMYFUNCTION("GOOGLETRANSLATE(B16876, ""es"", ""en"")"),"Good value for money These helmets have seemed wonderful. They adapt perfectly to the ears and do not bother cape out and absorb sound around. In addition, it can be folded to take them without taking up much space. The battery is quite durable. And besid"&amp;"es all this, it has a very elegant design and fine finish. They are nice and cheap enough for the quality it has. So having 3 b (good, nice and cheap) are highly recommended.")</f>
        <v>Good value for money These helmets have seemed wonderful. They adapt perfectly to the ears and do not bother cape out and absorb sound around. In addition, it can be folded to take them without taking up much space. The battery is quite durable. And besides all this, it has a very elegant design and fine finish. They are nice and cheap enough for the quality it has. So having 3 b (good, nice and cheap) are highly recommended.</v>
      </c>
    </row>
    <row r="16877">
      <c r="A16877" s="1">
        <v>5.0</v>
      </c>
      <c r="B16877" s="1" t="s">
        <v>16715</v>
      </c>
      <c r="C16877" t="str">
        <f>IFERROR(__xludf.DUMMYFUNCTION("GOOGLETRANSLATE(B16877, ""es"", ""en"")"),"ALL MY PERFECT SHOPPING MY SHOPPING ALL YOU HAVE BEEN SUCCESSFUL.")</f>
        <v>ALL MY PERFECT SHOPPING MY SHOPPING ALL YOU HAVE BEEN SUCCESSFUL.</v>
      </c>
    </row>
    <row r="16878">
      <c r="A16878" s="1">
        <v>5.0</v>
      </c>
      <c r="B16878" s="1" t="s">
        <v>16716</v>
      </c>
      <c r="C16878" t="str">
        <f>IFERROR(__xludf.DUMMYFUNCTION("GOOGLETRANSLATE(B16878, ""es"", ""en"")"),"Very quick all very well and very fast")</f>
        <v>Very quick all very well and very fast</v>
      </c>
    </row>
    <row r="16879">
      <c r="A16879" s="1">
        <v>5.0</v>
      </c>
      <c r="B16879" s="1" t="s">
        <v>16717</v>
      </c>
      <c r="C16879" t="str">
        <f>IFERROR(__xludf.DUMMYFUNCTION("GOOGLETRANSLATE(B16879, ""es"", ""en"")"),"Laser pointer pointer Doosl Good for any type of presentation. Good value for money.")</f>
        <v>Laser pointer pointer Doosl Good for any type of presentation. Good value for money.</v>
      </c>
    </row>
    <row r="16880">
      <c r="A16880" s="1">
        <v>5.0</v>
      </c>
      <c r="B16880" s="1" t="s">
        <v>16718</v>
      </c>
      <c r="C16880" t="str">
        <f>IFERROR(__xludf.DUMMYFUNCTION("GOOGLETRANSLATE(B16880, ""es"", ""en"")"),"We noticed the smell We've bought for the humidifier and great. Six are several different flavors and just a few drops already notes. The most loved are my lavender and rosemary. Various fragrances at a good price as rife enough. Thank you!")</f>
        <v>We noticed the smell We've bought for the humidifier and great. Six are several different flavors and just a few drops already notes. The most loved are my lavender and rosemary. Various fragrances at a good price as rife enough. Thank you!</v>
      </c>
    </row>
    <row r="16881">
      <c r="A16881" s="1">
        <v>5.0</v>
      </c>
      <c r="B16881" s="1" t="s">
        <v>16719</v>
      </c>
      <c r="C16881" t="str">
        <f>IFERROR(__xludf.DUMMYFUNCTION("GOOGLETRANSLATE(B16881, ""es"", ""en"")"),"Very good Warm and comfortable, perfect for winter or snow. Of good quality. Size fits.")</f>
        <v>Very good Warm and comfortable, perfect for winter or snow. Of good quality. Size fits.</v>
      </c>
    </row>
    <row r="16882">
      <c r="A16882" s="1">
        <v>5.0</v>
      </c>
      <c r="B16882" s="1" t="s">
        <v>16720</v>
      </c>
      <c r="C16882" t="str">
        <f>IFERROR(__xludf.DUMMYFUNCTION("GOOGLETRANSLATE(B16882, ""es"", ""en"")"),"Bluetooth 5.0, noise cancellation and good Sonida. Quality / unbeatable price. The first thing to say that I come from a AirPods (that I have lost) and looking for something that was not expensive I came across these headphones, but assuming it would be "&amp;"""mediocre"" because of its low price. Well, to the them and I noticed they were extremely comfortable, worth to train, do not move or shot. Noise cancellation is first rate, perfect in that sense too. The sound quality is good and the audio transmission "&amp;"without cuts. The battery lasts long enough, I will charge every 4 days, do not take long to load. Another thing that surprised me is that it provides the battery level and displays it on the phone (I put photo) something ""advanced"" for a device that ha"&amp;"s cost me 20 € scarce. To say that is the model ""dark black"" which really is the Q33 or SK - Value (I put photo) these themselves are 5.0, have even updated the logo of the brand, the other colors are 4.1. In short, I do not know what will last, I hope "&amp;"a lot ... but I doubt anyone of anything better at this price. Indeed, I dare say that is above headphones worth 5 times as much (or more). I can not be happier.")</f>
        <v>Bluetooth 5.0, noise cancellation and good Sonida. Quality / unbeatable price. The first thing to say that I come from a AirPods (that I have lost) and looking for something that was not expensive I came across these headphones, but assuming it would be "mediocre" because of its low price. Well, to the them and I noticed they were extremely comfortable, worth to train, do not move or shot. Noise cancellation is first rate, perfect in that sense too. The sound quality is good and the audio transmission without cuts. The battery lasts long enough, I will charge every 4 days, do not take long to load. Another thing that surprised me is that it provides the battery level and displays it on the phone (I put photo) something "advanced" for a device that has cost me 20 € scarce. To say that is the model "dark black" which really is the Q33 or SK - Value (I put photo) these themselves are 5.0, have even updated the logo of the brand, the other colors are 4.1. In short, I do not know what will last, I hope a lot ... but I doubt anyone of anything better at this price. Indeed, I dare say that is above headphones worth 5 times as much (or more). I can not be happier.</v>
      </c>
    </row>
    <row r="16883">
      <c r="A16883" s="1">
        <v>5.0</v>
      </c>
      <c r="B16883" s="1" t="s">
        <v>16721</v>
      </c>
      <c r="C16883" t="str">
        <f>IFERROR(__xludf.DUMMYFUNCTION("GOOGLETRANSLATE(B16883, ""es"", ""en"")"),"Great, I love it. buenisima")</f>
        <v>Great, I love it. buenisima</v>
      </c>
    </row>
    <row r="16884">
      <c r="A16884" s="1">
        <v>5.0</v>
      </c>
      <c r="B16884" s="1" t="s">
        <v>16722</v>
      </c>
      <c r="C16884" t="str">
        <f>IFERROR(__xludf.DUMMYFUNCTION("GOOGLETRANSLATE(B16884, ""es"", ""en"")"),"Ecxelente blender is a blender that has nothing to envy to others of greater value. Currently I test kitchen items on my youtube channel and I must say that this mixer has been a surprise as it works very well and leave the beaten well finished their is v"&amp;"ery good power and crystal glass is big enough to beat different kinds of juices this mixer incorporates two glasses with what makes working in the kitchen is more effective undependientes blades. I recommend it for its quality and price really is a hacer"&amp;"tada purchase.")</f>
        <v>Ecxelente blender is a blender that has nothing to envy to others of greater value. Currently I test kitchen items on my youtube channel and I must say that this mixer has been a surprise as it works very well and leave the beaten well finished their is very good power and crystal glass is big enough to beat different kinds of juices this mixer incorporates two glasses with what makes working in the kitchen is more effective undependientes blades. I recommend it for its quality and price really is a hacertada purchase.</v>
      </c>
    </row>
    <row r="16885">
      <c r="A16885" s="1">
        <v>5.0</v>
      </c>
      <c r="B16885" s="1" t="s">
        <v>16723</v>
      </c>
      <c r="C16885" t="str">
        <f>IFERROR(__xludf.DUMMYFUNCTION("GOOGLETRANSLATE(B16885, ""es"", ""en"")"),"Operation is simple and easy to use I love this juicer, color black and orange looks good, convenient to load, easy to operate, a charge can be used 20 times, cleaning is also very convenient. I can use this juicer in my office and travel, worth buying.")</f>
        <v>Operation is simple and easy to use I love this juicer, color black and orange looks good, convenient to load, easy to operate, a charge can be used 20 times, cleaning is also very convenient. I can use this juicer in my office and travel, worth buying.</v>
      </c>
    </row>
    <row r="16886">
      <c r="A16886" s="1">
        <v>5.0</v>
      </c>
      <c r="B16886" s="1" t="s">
        <v>16724</v>
      </c>
      <c r="C16886" t="str">
        <f>IFERROR(__xludf.DUMMYFUNCTION("GOOGLETRANSLATE(B16886, ""es"", ""en"")"),"Smart is very thin and delicate. It looks good on the wrist as seen in the photo. It is very easily adjusted with the double cord leads. recommendable")</f>
        <v>Smart is very thin and delicate. It looks good on the wrist as seen in the photo. It is very easily adjusted with the double cord leads. recommendable</v>
      </c>
    </row>
    <row r="16887">
      <c r="A16887" s="1">
        <v>5.0</v>
      </c>
      <c r="B16887" s="1" t="s">
        <v>16725</v>
      </c>
      <c r="C16887" t="str">
        <f>IFERROR(__xludf.DUMMYFUNCTION("GOOGLETRANSLATE(B16887, ""es"", ""en"")"),"I bought these shoes very comfortable slippers to retire the old ones had to go swimming as it trickled to the minimum that the floor was wet and do their job perfectly. They are very comfortable and does not slip or foot inside the flip-flop when you're "&amp;"wet or chancla contact with the ground Mojad. The only negative point is the size; use 44 and that is the size that ordered but the fingertips I rubs against the end of the flip-flop because the edge is inward angling. Not much to walk upset but a number "&amp;"(45) had been my ideal.")</f>
        <v>I bought these shoes very comfortable slippers to retire the old ones had to go swimming as it trickled to the minimum that the floor was wet and do their job perfectly. They are very comfortable and does not slip or foot inside the flip-flop when you're wet or chancla contact with the ground Mojad. The only negative point is the size; use 44 and that is the size that ordered but the fingertips I rubs against the end of the flip-flop because the edge is inward angling. Not much to walk upset but a number (45) had been my ideal.</v>
      </c>
    </row>
    <row r="16888">
      <c r="A16888" s="1">
        <v>5.0</v>
      </c>
      <c r="B16888" s="1" t="s">
        <v>16726</v>
      </c>
      <c r="C16888" t="str">
        <f>IFERROR(__xludf.DUMMYFUNCTION("GOOGLETRANSLATE(B16888, ""es"", ""en"")"),"They are comfortable as they look, normal size")</f>
        <v>They are comfortable as they look, normal size</v>
      </c>
    </row>
    <row r="16889">
      <c r="A16889" s="1">
        <v>5.0</v>
      </c>
      <c r="B16889" s="1" t="s">
        <v>16727</v>
      </c>
      <c r="C16889" t="str">
        <f>IFERROR(__xludf.DUMMYFUNCTION("GOOGLETRANSLATE(B16889, ""es"", ""en"")"),"We hear perfect sound great and are comfortable to wear, also have the flexibility to bend and is more comfortable to keep them in your backpack if you use them to go down the street. White color does not concern me but it is nice and looks good, and even"&amp;" the role of headphones is not this so ... I recommend them and would definitely buy.")</f>
        <v>We hear perfect sound great and are comfortable to wear, also have the flexibility to bend and is more comfortable to keep them in your backpack if you use them to go down the street. White color does not concern me but it is nice and looks good, and even the role of headphones is not this so ... I recommend them and would definitely buy.</v>
      </c>
    </row>
    <row r="16890">
      <c r="A16890" s="1">
        <v>5.0</v>
      </c>
      <c r="B16890" s="1" t="s">
        <v>16728</v>
      </c>
      <c r="C16890" t="str">
        <f>IFERROR(__xludf.DUMMYFUNCTION("GOOGLETRANSLATE(B16890, ""es"", ""en"")"),"Micofóno spectacular and original for a gift &lt;div id = ""video-block-R5Z84LNRNGP0L"" class = ""a-section a-spacing-small a-spacing-top mini video-block""&gt; &lt;/ div&gt; &lt;input type = "" hidden ""name ="" ""value ="" https://images-eu.ssl-images-amazon.com/image"&amp;"s/I/91fNb0zG+fS.mp4 ""class ="" video-url ""&gt; &lt;input type ="" hidden "" name = """" value = ""https://images-eu.ssl-images-amazon.com/images/I/81zBVQu2qOS.png"" class = ""video-slate-img-url""&gt; &amp; nbsp; Microphone is well finished It has a good level of au"&amp;"dio and the sound is good both music and voice. Considering its price is a very good choice as a gift. My kids loved them. It serves very well. The battery lasts quite. It has micro USB port for charging, SD card slot and audio input cable, very complete "&amp;"for the price, you can also record. You can use it and to sing with the kids in the house or adults. It is very intuitive and easy to use. It's fun and easy to use.")</f>
        <v>Micofóno spectacular and original for a gift &lt;div id = "video-block-R5Z84LNRNGP0L" class = "a-section a-spacing-small a-spacing-top mini video-block"&gt; &lt;/ div&gt; &lt;input type = " hidden "name =" "value =" https://images-eu.ssl-images-amazon.com/images/I/91fNb0zG+fS.mp4 "class =" video-url "&gt; &lt;input type =" hidden " name = "" value = "https://images-eu.ssl-images-amazon.com/images/I/81zBVQu2qOS.png" class = "video-slate-img-url"&gt; &amp; nbsp; Microphone is well finished It has a good level of audio and the sound is good both music and voice. Considering its price is a very good choice as a gift. My kids loved them. It serves very well. The battery lasts quite. It has micro USB port for charging, SD card slot and audio input cable, very complete for the price, you can also record. You can use it and to sing with the kids in the house or adults. It is very intuitive and easy to use. It's fun and easy to use.</v>
      </c>
    </row>
    <row r="16891">
      <c r="A16891" s="1">
        <v>5.0</v>
      </c>
      <c r="B16891" s="1" t="s">
        <v>16729</v>
      </c>
      <c r="C16891" t="str">
        <f>IFERROR(__xludf.DUMMYFUNCTION("GOOGLETRANSLATE(B16891, ""es"", ""en"")"),"SURPRISING BUYING have to admit that for the price we did not expect much and I bought to try .... and has been a success. Not imagine how well it works, but it is useful in small rooms. My living room is 35 m2 and costs some time of use so that it is ope"&amp;"rational note. Nevertheless, I loved and I plan to give it to two relatives.")</f>
        <v>SURPRISING BUYING have to admit that for the price we did not expect much and I bought to try .... and has been a success. Not imagine how well it works, but it is useful in small rooms. My living room is 35 m2 and costs some time of use so that it is operational note. Nevertheless, I loved and I plan to give it to two relatives.</v>
      </c>
    </row>
    <row r="16892">
      <c r="A16892" s="1">
        <v>5.0</v>
      </c>
      <c r="B16892" s="1" t="s">
        <v>16730</v>
      </c>
      <c r="C16892" t="str">
        <f>IFERROR(__xludf.DUMMYFUNCTION("GOOGLETRANSLATE(B16892, ""es"", ""en"")"),"good product does not have much power but serves its funcion.relacion money we had very buena.ya comprado.lo recommend. It has to take into account the operating time and all.")</f>
        <v>good product does not have much power but serves its funcion.relacion money we had very buena.ya comprado.lo recommend. It has to take into account the operating time and all.</v>
      </c>
    </row>
    <row r="16893">
      <c r="A16893" s="1">
        <v>2.0</v>
      </c>
      <c r="B16893" s="1" t="s">
        <v>16731</v>
      </c>
      <c r="C16893" t="str">
        <f>IFERROR(__xludf.DUMMYFUNCTION("GOOGLETRANSLATE(B16893, ""es"", ""en"")"),"I'm not happy with the purchase I bought a half months ago and no longer makes bubbles am very upset")</f>
        <v>I'm not happy with the purchase I bought a half months ago and no longer makes bubbles am very upset</v>
      </c>
    </row>
    <row r="16894">
      <c r="A16894" s="1">
        <v>3.0</v>
      </c>
      <c r="B16894" s="1" t="s">
        <v>16732</v>
      </c>
      <c r="C16894" t="str">
        <f>IFERROR(__xludf.DUMMYFUNCTION("GOOGLETRANSLATE(B16894, ""es"", ""en"")"),"wrist watch looks good and pleasing to the touch. Very good presentation into a great case. The only but I put it to him that one of the pins are loose quite easily.")</f>
        <v>wrist watch looks good and pleasing to the touch. Very good presentation into a great case. The only but I put it to him that one of the pins are loose quite easily.</v>
      </c>
    </row>
    <row r="16895">
      <c r="A16895" s="1">
        <v>1.0</v>
      </c>
      <c r="B16895" s="1" t="s">
        <v>16733</v>
      </c>
      <c r="C16895" t="str">
        <f>IFERROR(__xludf.DUMMYFUNCTION("GOOGLETRANSLATE(B16895, ""es"", ""en"")"),"Mui mui fine a thin sweatshirt i size slightly smaller d k announces")</f>
        <v>Mui mui fine a thin sweatshirt i size slightly smaller d k announces</v>
      </c>
    </row>
    <row r="16896">
      <c r="A16896" s="1">
        <v>1.0</v>
      </c>
      <c r="B16896" s="1" t="s">
        <v>16734</v>
      </c>
      <c r="C16896" t="str">
        <f>IFERROR(__xludf.DUMMYFUNCTION("GOOGLETRANSLATE(B16896, ""es"", ""en"")"),"He previously spent worst impossible this manufacturer bottles a year ago, the experience was good. But these are the worst in the world. As the horizontally you put all the milk out by the thread holding the nipple. I do not recommend buying at all, they"&amp;" are very very bad. I feel sorry that Amazon dirty his reputation with such mierdaa.")</f>
        <v>He previously spent worst impossible this manufacturer bottles a year ago, the experience was good. But these are the worst in the world. As the horizontally you put all the milk out by the thread holding the nipple. I do not recommend buying at all, they are very very bad. I feel sorry that Amazon dirty his reputation with such mierdaa.</v>
      </c>
    </row>
    <row r="16897">
      <c r="A16897" s="1">
        <v>1.0</v>
      </c>
      <c r="B16897" s="1" t="s">
        <v>16735</v>
      </c>
      <c r="C16897" t="str">
        <f>IFERROR(__xludf.DUMMYFUNCTION("GOOGLETRANSLATE(B16897, ""es"", ""en"")"),"Poor quality is not as expected. Interior cardstock to put the photos are very thin. The photos are thicker. The tapas arrived bent ..... all very poor quality")</f>
        <v>Poor quality is not as expected. Interior cardstock to put the photos are very thin. The photos are thicker. The tapas arrived bent ..... all very poor quality</v>
      </c>
    </row>
    <row r="16898">
      <c r="A16898" s="1">
        <v>4.0</v>
      </c>
      <c r="B16898" s="1" t="s">
        <v>16736</v>
      </c>
      <c r="C16898" t="str">
        <f>IFERROR(__xludf.DUMMYFUNCTION("GOOGLETRANSLATE(B16898, ""es"", ""en"")"),"relog Solar CASIO The digital part is too small. the rest either.")</f>
        <v>relog Solar CASIO The digital part is too small. the rest either.</v>
      </c>
    </row>
    <row r="16899">
      <c r="A16899" s="1">
        <v>4.0</v>
      </c>
      <c r="B16899" s="1" t="s">
        <v>16737</v>
      </c>
      <c r="C16899" t="str">
        <f>IFERROR(__xludf.DUMMYFUNCTION("GOOGLETRANSLATE(B16899, ""es"", ""en"")"),"Excellent backpack, nothing useful octupus system. I bought the pack for a trip and was very happy with it, although the price on Amazon is more expensive than other sites. It has 4 pockets, one in front carrying a 6.4-inch smarphone sn problems with some"&amp;" brochures; one main pocket where I fit a folding umbrella, a bottle of water half-liter, scarves, keys and a travel guide (sometimes brought here an unassembled reflex camera); a ""hidden"" pocket wearing some cards (in this pocket went very, very fair m"&amp;"obile so great,. a pocket on the shoulder strap to get another card The main pocket has a separation zone with padding on the you can get up to 10-inch tablet, an area of ​​main storage and an internal pouch with zip. it stays the USB cable that connects "&amp;"to the outside, that I do too much. the front pocket also has two separations but with fabric. the quality of materials, hooks and stitching is very good and aesthetically is even more beautiful than the picture. the octupus system for fixing a mobile is "&amp;"unfortunate. Just serves to smartphones less than 5 inches and, if They go to cover the metal part that prevents falling recoje not to be narrow; the only suckers work in the side of the patalla, only serves oriented backpack forward, if you do not bring "&amp;"mobile hooks META piece Lica can be locked with the clothes you wear and take off the backpack. I opted to take the piece (out easy, girnado to one side) and remove the system but are the suckers views and useless. Pros: quality, capacity, medium size, co"&amp;"mfort, multiple compartments, aesthetics. Cons: If loads far the main compartment, the other pockets are somewhat tight, USB cable for charger (rest some inner space), the absence of hole for headphones and, above all, the system octupus. Conclusion: I li"&amp;"ked the backpack, not the otopus system. I hesitated with another shoulder Mark Ryden without the octupus system and I have been wanting to know if the compartments were as good as this. Maybe now, he buys the backpack without octopus system.")</f>
        <v>Excellent backpack, nothing useful octupus system. I bought the pack for a trip and was very happy with it, although the price on Amazon is more expensive than other sites. It has 4 pockets, one in front carrying a 6.4-inch smarphone sn problems with some brochures; one main pocket where I fit a folding umbrella, a bottle of water half-liter, scarves, keys and a travel guide (sometimes brought here an unassembled reflex camera); a "hidden" pocket wearing some cards (in this pocket went very, very fair mobile so great,. a pocket on the shoulder strap to get another card The main pocket has a separation zone with padding on the you can get up to 10-inch tablet, an area of ​​main storage and an internal pouch with zip. it stays the USB cable that connects to the outside, that I do too much. the front pocket also has two separations but with fabric. the quality of materials, hooks and stitching is very good and aesthetically is even more beautiful than the picture. the octupus system for fixing a mobile is unfortunate. Just serves to smartphones less than 5 inches and, if They go to cover the metal part that prevents falling recoje not to be narrow; the only suckers work in the side of the patalla, only serves oriented backpack forward, if you do not bring mobile hooks META piece Lica can be locked with the clothes you wear and take off the backpack. I opted to take the piece (out easy, girnado to one side) and remove the system but are the suckers views and useless. Pros: quality, capacity, medium size, comfort, multiple compartments, aesthetics. Cons: If loads far the main compartment, the other pockets are somewhat tight, USB cable for charger (rest some inner space), the absence of hole for headphones and, above all, the system octupus. Conclusion: I liked the backpack, not the otopus system. I hesitated with another shoulder Mark Ryden without the octupus system and I have been wanting to know if the compartments were as good as this. Maybe now, he buys the backpack without octopus system.</v>
      </c>
    </row>
    <row r="16900">
      <c r="A16900" s="1">
        <v>4.0</v>
      </c>
      <c r="B16900" s="1" t="s">
        <v>16738</v>
      </c>
      <c r="C16900" t="str">
        <f>IFERROR(__xludf.DUMMYFUNCTION("GOOGLETRANSLATE(B16900, ""es"", ""en"")"),"Good value after 1 year of use of the product: * With a small amount of product (between 1 and 2 coins 2 €) a good cleaning is obtained on the hands and nails. * The dry residue of the product that may remain in the stack are easy to clean. * Is easily re"&amp;"moved hands. * Does not dry the skin. Removes oil well, even thick as 75W90.")</f>
        <v>Good value after 1 year of use of the product: * With a small amount of product (between 1 and 2 coins 2 €) a good cleaning is obtained on the hands and nails. * The dry residue of the product that may remain in the stack are easy to clean. * Is easily removed hands. * Does not dry the skin. Removes oil well, even thick as 75W90.</v>
      </c>
    </row>
    <row r="16901">
      <c r="A16901" s="1">
        <v>4.0</v>
      </c>
      <c r="B16901" s="1" t="s">
        <v>16739</v>
      </c>
      <c r="C16901" t="str">
        <f>IFERROR(__xludf.DUMMYFUNCTION("GOOGLETRANSLATE(B16901, ""es"", ""en"")"),"Acceptable Acceptable Quality for Price")</f>
        <v>Acceptable Acceptable Quality for Price</v>
      </c>
    </row>
    <row r="16902">
      <c r="A16902" s="1">
        <v>5.0</v>
      </c>
      <c r="B16902" s="1" t="s">
        <v>16740</v>
      </c>
      <c r="C16902" t="str">
        <f>IFERROR(__xludf.DUMMYFUNCTION("GOOGLETRANSLATE(B16902, ""es"", ""en"")"),"Good value for money. Hear they perfect and you listen well. Ear fit perfectly with the 4 cap sizes. It also serves as powerbank for mobile. Surprised good quality. By putting a but, the top of the case is plastic, but allows you to view the remaining bat"&amp;"tery level.")</f>
        <v>Good value for money. Hear they perfect and you listen well. Ear fit perfectly with the 4 cap sizes. It also serves as powerbank for mobile. Surprised good quality. By putting a but, the top of the case is plastic, but allows you to view the remaining battery level.</v>
      </c>
    </row>
    <row r="16903">
      <c r="A16903" s="1">
        <v>5.0</v>
      </c>
      <c r="B16903" s="1" t="s">
        <v>16741</v>
      </c>
      <c r="C16903" t="str">
        <f>IFERROR(__xludf.DUMMYFUNCTION("GOOGLETRANSLATE(B16903, ""es"", ""en"")"),"100% recommended is great. Limpiar.Bate easy to use and very well.")</f>
        <v>100% recommended is great. Limpiar.Bate easy to use and very well.</v>
      </c>
    </row>
    <row r="16904">
      <c r="A16904" s="1">
        <v>5.0</v>
      </c>
      <c r="B16904" s="1" t="s">
        <v>16742</v>
      </c>
      <c r="C16904" t="str">
        <f>IFERROR(__xludf.DUMMYFUNCTION("GOOGLETRANSLATE(B16904, ""es"", ""en"")"),"Value for money 10 printer is fantastic, the quality is very good. The touch screen is fine although I've seen better. In value it is 10. For me though the installation is not complicated had a configuration problem with the laptop and had to respect it a"&amp;"nd start again but it really is something that does not bother given the quality and how well it goes.")</f>
        <v>Value for money 10 printer is fantastic, the quality is very good. The touch screen is fine although I've seen better. In value it is 10. For me though the installation is not complicated had a configuration problem with the laptop and had to respect it and start again but it really is something that does not bother given the quality and how well it goes.</v>
      </c>
    </row>
    <row r="16905">
      <c r="A16905" s="1">
        <v>5.0</v>
      </c>
      <c r="B16905" s="1" t="s">
        <v>16743</v>
      </c>
      <c r="C16905" t="str">
        <f>IFERROR(__xludf.DUMMYFUNCTION("GOOGLETRANSLATE(B16905, ""es"", ""en"")"),"USB good but expensive usb very fast, this day I do not failed, that if something expensive ..")</f>
        <v>USB good but expensive usb very fast, this day I do not failed, that if something expensive ..</v>
      </c>
    </row>
    <row r="16906">
      <c r="A16906" s="1">
        <v>5.0</v>
      </c>
      <c r="B16906" s="1" t="s">
        <v>16744</v>
      </c>
      <c r="C16906" t="str">
        <f>IFERROR(__xludf.DUMMYFUNCTION("GOOGLETRANSLATE(B16906, ""es"", ""en"")"),"Very good. 👍 As seen in the photo super recommend !.")</f>
        <v>Very good. 👍 As seen in the photo super recommend !.</v>
      </c>
    </row>
    <row r="16907">
      <c r="A16907" s="1">
        <v>5.0</v>
      </c>
      <c r="B16907" s="1" t="s">
        <v>16745</v>
      </c>
      <c r="C16907" t="str">
        <f>IFERROR(__xludf.DUMMYFUNCTION("GOOGLETRANSLATE(B16907, ""es"", ""en"")"),"Perfecta perfecta just what I was looking for just the grinder arm and arm the corresponding vessel is ejected with no need screw button.")</f>
        <v>Perfecta perfecta just what I was looking for just the grinder arm and arm the corresponding vessel is ejected with no need screw button.</v>
      </c>
    </row>
    <row r="16908">
      <c r="A16908" s="1">
        <v>5.0</v>
      </c>
      <c r="B16908" s="1" t="s">
        <v>16746</v>
      </c>
      <c r="C16908" t="str">
        <f>IFERROR(__xludf.DUMMYFUNCTION("GOOGLETRANSLATE(B16908, ""es"", ""en"")"),"Ok Best")</f>
        <v>Ok Best</v>
      </c>
    </row>
    <row r="16909">
      <c r="A16909" s="1">
        <v>5.0</v>
      </c>
      <c r="B16909" s="1" t="s">
        <v>16747</v>
      </c>
      <c r="C16909" t="str">
        <f>IFERROR(__xludf.DUMMYFUNCTION("GOOGLETRANSLATE(B16909, ""es"", ""en"")"),"Glass of great capacity, washed in the dishwasher Very powerful, though sometimes there q open and move content to continue grinding q.")</f>
        <v>Glass of great capacity, washed in the dishwasher Very powerful, though sometimes there q open and move content to continue grinding q.</v>
      </c>
    </row>
    <row r="16910">
      <c r="A16910" s="1">
        <v>5.0</v>
      </c>
      <c r="B16910" s="1" t="s">
        <v>16748</v>
      </c>
      <c r="C16910" t="str">
        <f>IFERROR(__xludf.DUMMYFUNCTION("GOOGLETRANSLATE(B16910, ""es"", ""en"")"),"Great! We bought two colors and is delighted. They are fresh because it is breathable fabric. Comfortable and good color. They seem strong and good material. We highly recommend it.")</f>
        <v>Great! We bought two colors and is delighted. They are fresh because it is breathable fabric. Comfortable and good color. They seem strong and good material. We highly recommend it.</v>
      </c>
    </row>
    <row r="16911">
      <c r="A16911" s="1">
        <v>5.0</v>
      </c>
      <c r="B16911" s="1" t="s">
        <v>16749</v>
      </c>
      <c r="C16911" t="str">
        <f>IFERROR(__xludf.DUMMYFUNCTION("GOOGLETRANSLATE(B16911, ""es"", ""en"")"),"Gift very successful very successful gift")</f>
        <v>Gift very successful very successful gift</v>
      </c>
    </row>
    <row r="16912">
      <c r="A16912" s="1">
        <v>5.0</v>
      </c>
      <c r="B16912" s="1" t="s">
        <v>16750</v>
      </c>
      <c r="C16912" t="str">
        <f>IFERROR(__xludf.DUMMYFUNCTION("GOOGLETRANSLATE(B16912, ""es"", ""en"")"),"José Luis This well is finite and elegant. Very good price. I recommend it")</f>
        <v>José Luis This well is finite and elegant. Very good price. I recommend it</v>
      </c>
    </row>
    <row r="16913">
      <c r="A16913" s="1">
        <v>5.0</v>
      </c>
      <c r="B16913" s="1" t="s">
        <v>16751</v>
      </c>
      <c r="C16913" t="str">
        <f>IFERROR(__xludf.DUMMYFUNCTION("GOOGLETRANSLATE(B16913, ""es"", ""en"")"),"Resistant Very good")</f>
        <v>Resistant Very good</v>
      </c>
    </row>
    <row r="16914">
      <c r="A16914" s="1">
        <v>5.0</v>
      </c>
      <c r="B16914" s="1" t="s">
        <v>16752</v>
      </c>
      <c r="C16914" t="str">
        <f>IFERROR(__xludf.DUMMYFUNCTION("GOOGLETRANSLATE(B16914, ""es"", ""en"")"),"Enough quality in these headphones. At the welcome you and unpacking, I took the first surprise. They come in a very nice, and not only that you open the metal can go into a rigid tin introduced the zipper enough quality, incidentally case. It is apprecia"&amp;"ted that apart from classical adapters depending on the size of the ear, include two adapters, adjustable, viscoelastic type. The sound offered by these headphones is fine. I think its very good balance between bass and treble.")</f>
        <v>Enough quality in these headphones. At the welcome you and unpacking, I took the first surprise. They come in a very nice, and not only that you open the metal can go into a rigid tin introduced the zipper enough quality, incidentally case. It is appreciated that apart from classical adapters depending on the size of the ear, include two adapters, adjustable, viscoelastic type. The sound offered by these headphones is fine. I think its very good balance between bass and treble.</v>
      </c>
    </row>
    <row r="16915">
      <c r="A16915" s="1">
        <v>5.0</v>
      </c>
      <c r="B16915" s="1" t="s">
        <v>16753</v>
      </c>
      <c r="C16915" t="str">
        <f>IFERROR(__xludf.DUMMYFUNCTION("GOOGLETRANSLATE(B16915, ""es"", ""en"")"),"well good quality and great price. I bought a big tad loose but is not a problem. It was the mistake of mine to miscalculate. I recommend it.")</f>
        <v>well good quality and great price. I bought a big tad loose but is not a problem. It was the mistake of mine to miscalculate. I recommend it.</v>
      </c>
    </row>
    <row r="16916">
      <c r="A16916" s="1">
        <v>5.0</v>
      </c>
      <c r="B16916" s="1" t="s">
        <v>16754</v>
      </c>
      <c r="C16916" t="str">
        <f>IFERROR(__xludf.DUMMYFUNCTION("GOOGLETRANSLATE(B16916, ""es"", ""en"")"),"Good value for money. I recommend buying.")</f>
        <v>Good value for money. I recommend buying.</v>
      </c>
    </row>
    <row r="16917">
      <c r="A16917" s="1">
        <v>5.0</v>
      </c>
      <c r="B16917" s="1" t="s">
        <v>16755</v>
      </c>
      <c r="C16917" t="str">
        <f>IFERROR(__xludf.DUMMYFUNCTION("GOOGLETRANSLATE(B16917, ""es"", ""en"")"),"Comfortable and nice I use for running and holding very well and although not absorb moisture as well as others, not very powerful workouts is more than enough. They are very comfortable and pillows are removable, which advise for washing.")</f>
        <v>Comfortable and nice I use for running and holding very well and although not absorb moisture as well as others, not very powerful workouts is more than enough. They are very comfortable and pillows are removable, which advise for washing.</v>
      </c>
    </row>
    <row r="16918">
      <c r="A16918" s="1">
        <v>5.0</v>
      </c>
      <c r="B16918" s="1" t="s">
        <v>16756</v>
      </c>
      <c r="C16918" t="str">
        <f>IFERROR(__xludf.DUMMYFUNCTION("GOOGLETRANSLATE(B16918, ""es"", ""en"")"),"Exactly what the normal size q looking, great size and pretty comfortable, need to see the result")</f>
        <v>Exactly what the normal size q looking, great size and pretty comfortable, need to see the result</v>
      </c>
    </row>
    <row r="16919">
      <c r="A16919" s="1">
        <v>5.0</v>
      </c>
      <c r="B16919" s="1" t="s">
        <v>16757</v>
      </c>
      <c r="C16919" t="str">
        <f>IFERROR(__xludf.DUMMYFUNCTION("GOOGLETRANSLATE(B16919, ""es"", ""en"")"),"Quality oils I bought this pack of essential oils with a diffuser aroma / humidifier and smell great. 6 boats come aromas of eucalyptus oil, tea tree green, sweet orange, mint and lavender. Just take a few drops to produce a very pleasant smell. The oils "&amp;"are perfectly dissolve in water and long lasting odor, not to be recharged with drops. You can even enjoy your own mixes. Certainly fully recommended.")</f>
        <v>Quality oils I bought this pack of essential oils with a diffuser aroma / humidifier and smell great. 6 boats come aromas of eucalyptus oil, tea tree green, sweet orange, mint and lavender. Just take a few drops to produce a very pleasant smell. The oils are perfectly dissolve in water and long lasting odor, not to be recharged with drops. You can even enjoy your own mixes. Certainly fully recommended.</v>
      </c>
    </row>
    <row r="16920">
      <c r="A16920" s="1">
        <v>2.0</v>
      </c>
      <c r="B16920" s="1" t="s">
        <v>16758</v>
      </c>
      <c r="C16920" t="str">
        <f>IFERROR(__xludf.DUMMYFUNCTION("GOOGLETRANSLATE(B16920, ""es"", ""en"")"),"Whistling kettle is not good for one person or two, the returned because it places having bad whistle and hardly hear being at the side")</f>
        <v>Whistling kettle is not good for one person or two, the returned because it places having bad whistle and hardly hear being at the side</v>
      </c>
    </row>
    <row r="16921">
      <c r="A16921" s="1">
        <v>3.0</v>
      </c>
      <c r="B16921" s="1" t="s">
        <v>16759</v>
      </c>
      <c r="C16921" t="str">
        <f>IFERROR(__xludf.DUMMYFUNCTION("GOOGLETRANSLATE(B16921, ""es"", ""en"")"),"Braum's exactly like the real thing, but it has little power. Expensive for what it is.")</f>
        <v>Braum's exactly like the real thing, but it has little power. Expensive for what it is.</v>
      </c>
    </row>
    <row r="16922">
      <c r="A16922" s="1">
        <v>3.0</v>
      </c>
      <c r="B16922" s="1" t="s">
        <v>16760</v>
      </c>
      <c r="C16922" t="str">
        <f>IFERROR(__xludf.DUMMYFUNCTION("GOOGLETRANSLATE(B16922, ""es"", ""en"")"),"Well they are fine but the picture appear better quality of what they are")</f>
        <v>Well they are fine but the picture appear better quality of what they are</v>
      </c>
    </row>
    <row r="16923">
      <c r="A16923" s="1">
        <v>3.0</v>
      </c>
      <c r="B16923" s="1" t="s">
        <v>16761</v>
      </c>
      <c r="C16923" t="str">
        <f>IFERROR(__xludf.DUMMYFUNCTION("GOOGLETRANSLATE(B16923, ""es"", ""en"")"),"Not valid for everyone s The idea is good, but if not previously are fond of yoga, relaxation or something similar, probably will not serve as a great help. Its price from my point of view is excessive.")</f>
        <v>Not valid for everyone s The idea is good, but if not previously are fond of yoga, relaxation or something similar, probably will not serve as a great help. Its price from my point of view is excessive.</v>
      </c>
    </row>
    <row r="16924">
      <c r="A16924" s="1">
        <v>1.0</v>
      </c>
      <c r="B16924" s="1" t="s">
        <v>16762</v>
      </c>
      <c r="C16924" t="str">
        <f>IFERROR(__xludf.DUMMYFUNCTION("GOOGLETRANSLATE(B16924, ""es"", ""en"")"),"Quality and size Very, very small. It is for the ankle a little girl.")</f>
        <v>Quality and size Very, very small. It is for the ankle a little girl.</v>
      </c>
    </row>
    <row r="16925">
      <c r="A16925" s="1">
        <v>4.0</v>
      </c>
      <c r="B16925" s="1" t="s">
        <v>16763</v>
      </c>
      <c r="C16925" t="str">
        <f>IFERROR(__xludf.DUMMYFUNCTION("GOOGLETRANSLATE(B16925, ""es"", ""en"")"),"Nike Nike pequel size size small, so there q ask for another number. Comfortable although my taste too apretan foot.")</f>
        <v>Nike Nike pequel size size small, so there q ask for another number. Comfortable although my taste too apretan foot.</v>
      </c>
    </row>
    <row r="16926">
      <c r="A16926" s="1">
        <v>4.0</v>
      </c>
      <c r="B16926" s="1" t="s">
        <v>16764</v>
      </c>
      <c r="C16926" t="str">
        <f>IFERROR(__xludf.DUMMYFUNCTION("GOOGLETRANSLATE(B16926, ""es"", ""en"")"),"It is nice pants as in the photo. Fabric soft and comfortable. I use a size 44 and XL is perfectly appropriate. Since it is nice, the only downside is that I have bought to do yoga and not comfortable around me because in some positions opens the leg-side"&amp;" and the entire leg is uncovered.")</f>
        <v>It is nice pants as in the photo. Fabric soft and comfortable. I use a size 44 and XL is perfectly appropriate. Since it is nice, the only downside is that I have bought to do yoga and not comfortable around me because in some positions opens the leg-side and the entire leg is uncovered.</v>
      </c>
    </row>
    <row r="16927">
      <c r="A16927" s="1">
        <v>4.0</v>
      </c>
      <c r="B16927" s="1" t="s">
        <v>16765</v>
      </c>
      <c r="C16927" t="str">
        <f>IFERROR(__xludf.DUMMYFUNCTION("GOOGLETRANSLATE(B16927, ""es"", ""en"")"),"Great value okay to start if you do not want to spend much. The only thing the cable that brings no good, is canon-usb and should be canon-canon. I bought the cable part and works perfectly")</f>
        <v>Great value okay to start if you do not want to spend much. The only thing the cable that brings no good, is canon-usb and should be canon-canon. I bought the cable part and works perfectly</v>
      </c>
    </row>
    <row r="16928">
      <c r="A16928" s="1">
        <v>4.0</v>
      </c>
      <c r="B16928" s="1" t="s">
        <v>16766</v>
      </c>
      <c r="C16928" t="str">
        <f>IFERROR(__xludf.DUMMYFUNCTION("GOOGLETRANSLATE(B16928, ""es"", ""en"")"),"The sport had to return because I left very big but the screen is very nice, soft, breathable, plus a color very cool, although they were large intuit that they should be comfortable.")</f>
        <v>The sport had to return because I left very big but the screen is very nice, soft, breathable, plus a color very cool, although they were large intuit that they should be comfortable.</v>
      </c>
    </row>
    <row r="16929">
      <c r="A16929" s="1">
        <v>4.0</v>
      </c>
      <c r="B16929" s="1" t="s">
        <v>16767</v>
      </c>
      <c r="C16929" t="str">
        <f>IFERROR(__xludf.DUMMYFUNCTION("GOOGLETRANSLATE(B16929, ""es"", ""en"")"),"acceptable slightly thin, otherwise ok")</f>
        <v>acceptable slightly thin, otherwise ok</v>
      </c>
    </row>
    <row r="16930">
      <c r="A16930" s="1">
        <v>5.0</v>
      </c>
      <c r="B16930" s="1" t="s">
        <v>16768</v>
      </c>
      <c r="C16930" t="str">
        <f>IFERROR(__xludf.DUMMYFUNCTION("GOOGLETRANSLATE(B16930, ""es"", ""en"")"),"Good only had to connect the drawer at the POS and press the key CAJON, the first 100% recommended")</f>
        <v>Good only had to connect the drawer at the POS and press the key CAJON, the first 100% recommended</v>
      </c>
    </row>
    <row r="16931">
      <c r="A16931" s="1">
        <v>5.0</v>
      </c>
      <c r="B16931" s="1" t="s">
        <v>16769</v>
      </c>
      <c r="C16931" t="str">
        <f>IFERROR(__xludf.DUMMYFUNCTION("GOOGLETRANSLATE(B16931, ""es"", ""en"")"),"This brand does not disappoint are of good quality and comfortable, very happy with them.")</f>
        <v>This brand does not disappoint are of good quality and comfortable, very happy with them.</v>
      </c>
    </row>
    <row r="16932">
      <c r="A16932" s="1">
        <v>5.0</v>
      </c>
      <c r="B16932" s="1" t="s">
        <v>16770</v>
      </c>
      <c r="C16932" t="str">
        <f>IFERROR(__xludf.DUMMYFUNCTION("GOOGLETRANSLATE(B16932, ""es"", ""en"")"),"Cheap, good and practical. Despite the many opinions who complain about the black dust that spring, I have to say it is not so. Giving all at once (or handfuls) a good portion of jolts, these remains come and bother no more. I guess by brushing or vacuum "&amp;"cleaner, remain unpolluted. As for the strips, 100% are practical both for holding electrical cables, or any other object that requires support. The packet carries 100 units black (it would be interesting to make them in different colors) of good quality "&amp;"and suitable size, which can engage with each other if we want to lengthen.")</f>
        <v>Cheap, good and practical. Despite the many opinions who complain about the black dust that spring, I have to say it is not so. Giving all at once (or handfuls) a good portion of jolts, these remains come and bother no more. I guess by brushing or vacuum cleaner, remain unpolluted. As for the strips, 100% are practical both for holding electrical cables, or any other object that requires support. The packet carries 100 units black (it would be interesting to make them in different colors) of good quality and suitable size, which can engage with each other if we want to lengthen.</v>
      </c>
    </row>
    <row r="16933">
      <c r="A16933" s="1">
        <v>5.0</v>
      </c>
      <c r="B16933" s="1" t="s">
        <v>16771</v>
      </c>
      <c r="C16933" t="str">
        <f>IFERROR(__xludf.DUMMYFUNCTION("GOOGLETRANSLATE(B16933, ""es"", ""en"")"),"Good quality and g Gift")</f>
        <v>Good quality and g Gift</v>
      </c>
    </row>
    <row r="16934">
      <c r="A16934" s="1">
        <v>5.0</v>
      </c>
      <c r="B16934" s="1" t="s">
        <v>16772</v>
      </c>
      <c r="C16934" t="str">
        <f>IFERROR(__xludf.DUMMYFUNCTION("GOOGLETRANSLATE(B16934, ""es"", ""en"")"),"Very happy very happy with the purchase, great value for money. I use them a lot for adhesions of the skin and muscle. I recommend")</f>
        <v>Very happy very happy with the purchase, great value for money. I use them a lot for adhesions of the skin and muscle. I recommend</v>
      </c>
    </row>
    <row r="16935">
      <c r="A16935" s="1">
        <v>5.0</v>
      </c>
      <c r="B16935" s="1" t="s">
        <v>16773</v>
      </c>
      <c r="C16935" t="str">
        <f>IFERROR(__xludf.DUMMYFUNCTION("GOOGLETRANSLATE(B16935, ""es"", ""en"")"),"Very good quality price is very decent quality for the price you have and the size is indicated")</f>
        <v>Very good quality price is very decent quality for the price you have and the size is indicated</v>
      </c>
    </row>
    <row r="16936">
      <c r="A16936" s="1">
        <v>5.0</v>
      </c>
      <c r="B16936" s="1" t="s">
        <v>13519</v>
      </c>
      <c r="C16936" t="str">
        <f>IFERROR(__xludf.DUMMYFUNCTION("GOOGLETRANSLATE(B16936, ""es"", ""en"")"),"perfect perfect")</f>
        <v>perfect perfect</v>
      </c>
    </row>
    <row r="16937">
      <c r="A16937" s="1">
        <v>5.0</v>
      </c>
      <c r="B16937" s="1" t="s">
        <v>16774</v>
      </c>
      <c r="C16937" t="str">
        <f>IFERROR(__xludf.DUMMYFUNCTION("GOOGLETRANSLATE(B16937, ""es"", ""en"")"),"magnifier with LED I was surprised by the quality and content, 5 spare lenses are good quality, not aberrations are seen in the vision, light LED is very light, not heavy even with continued use, easy to clean the price is really incredible !!!, buy a new"&amp;", totally recommended.")</f>
        <v>magnifier with LED I was surprised by the quality and content, 5 spare lenses are good quality, not aberrations are seen in the vision, light LED is very light, not heavy even with continued use, easy to clean the price is really incredible !!!, buy a new, totally recommended.</v>
      </c>
    </row>
    <row r="16938">
      <c r="A16938" s="1">
        <v>5.0</v>
      </c>
      <c r="B16938" s="1" t="s">
        <v>16775</v>
      </c>
      <c r="C16938" t="str">
        <f>IFERROR(__xludf.DUMMYFUNCTION("GOOGLETRANSLATE(B16938, ""es"", ""en"")"),"Fantastic very cheap and super good. Even for calls to mobile. The micro is fantastic. I've bought several because most lose them and none has ever failed")</f>
        <v>Fantastic very cheap and super good. Even for calls to mobile. The micro is fantastic. I've bought several because most lose them and none has ever failed</v>
      </c>
    </row>
    <row r="16939">
      <c r="A16939" s="1">
        <v>5.0</v>
      </c>
      <c r="B16939" s="1" t="s">
        <v>16776</v>
      </c>
      <c r="C16939" t="str">
        <f>IFERROR(__xludf.DUMMYFUNCTION("GOOGLETRANSLATE(B16939, ""es"", ""en"")"),"Fantastic scissors are comfortable, cut well and have good size. Perfect! I tested with paper, plastic and even thin adhesive tape.")</f>
        <v>Fantastic scissors are comfortable, cut well and have good size. Perfect! I tested with paper, plastic and even thin adhesive tape.</v>
      </c>
    </row>
    <row r="16940">
      <c r="A16940" s="1">
        <v>5.0</v>
      </c>
      <c r="B16940" s="1" t="s">
        <v>16777</v>
      </c>
      <c r="C16940" t="str">
        <f>IFERROR(__xludf.DUMMYFUNCTION("GOOGLETRANSLATE(B16940, ""es"", ""en"")"),"Very good buy good buy, use very intense and the first day, delivery and perfect seller how it works.")</f>
        <v>Very good buy good buy, use very intense and the first day, delivery and perfect seller how it works.</v>
      </c>
    </row>
    <row r="16941">
      <c r="A16941" s="1">
        <v>5.0</v>
      </c>
      <c r="B16941" s="1" t="s">
        <v>16778</v>
      </c>
      <c r="C16941" t="str">
        <f>IFERROR(__xludf.DUMMYFUNCTION("GOOGLETRANSLATE(B16941, ""es"", ""en"")"),"Super Practice! Not think it was so useful, but greatly facilitates the lunch. Logically it has to be liquid as the outlet opening is small. You only need a spoon and nothing else is more, you can load it and use it later as it has a lid that makes the fo"&amp;"od does not come out. No mess virtually nothing, and if you do not end up in the same use, you can save it with its lid in the refrigerator for later. It can be used also for drugs, this great.")</f>
        <v>Super Practice! Not think it was so useful, but greatly facilitates the lunch. Logically it has to be liquid as the outlet opening is small. You only need a spoon and nothing else is more, you can load it and use it later as it has a lid that makes the food does not come out. No mess virtually nothing, and if you do not end up in the same use, you can save it with its lid in the refrigerator for later. It can be used also for drugs, this great.</v>
      </c>
    </row>
    <row r="16942">
      <c r="A16942" s="1">
        <v>5.0</v>
      </c>
      <c r="B16942" s="1" t="s">
        <v>16779</v>
      </c>
      <c r="C16942" t="str">
        <f>IFERROR(__xludf.DUMMYFUNCTION("GOOGLETRANSLATE(B16942, ""es"", ""en"")"),"Money, ok Better than expected. Quality unbeatable price. Sealed behind for identification is not out, plus size is ideal for cards.")</f>
        <v>Money, ok Better than expected. Quality unbeatable price. Sealed behind for identification is not out, plus size is ideal for cards.</v>
      </c>
    </row>
    <row r="16943">
      <c r="A16943" s="1">
        <v>5.0</v>
      </c>
      <c r="B16943" s="1" t="s">
        <v>16780</v>
      </c>
      <c r="C16943" t="str">
        <f>IFERROR(__xludf.DUMMYFUNCTION("GOOGLETRANSLATE(B16943, ""es"", ""en"")"),"He loves good quality very nice and super comfortable")</f>
        <v>He loves good quality very nice and super comfortable</v>
      </c>
    </row>
    <row r="16944">
      <c r="A16944" s="1">
        <v>5.0</v>
      </c>
      <c r="B16944" s="1" t="s">
        <v>16781</v>
      </c>
      <c r="C16944" t="str">
        <f>IFERROR(__xludf.DUMMYFUNCTION("GOOGLETRANSLATE(B16944, ""es"", ""en"")"),"Cheerful and light is a Casio watch with basic features: clock, alarm, stopwatch and date. No countdown. It is very light, very flat, a happy color (turquoise), and good value for money; great complement to get in summer.")</f>
        <v>Cheerful and light is a Casio watch with basic features: clock, alarm, stopwatch and date. No countdown. It is very light, very flat, a happy color (turquoise), and good value for money; great complement to get in summer.</v>
      </c>
    </row>
    <row r="16945">
      <c r="A16945" s="1">
        <v>5.0</v>
      </c>
      <c r="B16945" s="1" t="s">
        <v>16782</v>
      </c>
      <c r="C16945" t="str">
        <f>IFERROR(__xludf.DUMMYFUNCTION("GOOGLETRANSLATE(B16945, ""es"", ""en"")"),"Thoroughly recommended great product. It can be used to put in brackets Niessen Zenit series and cost is one tenth to one niessen connector. It works great and good quality material. Undoubtedly buy back for facilities that I do.")</f>
        <v>Thoroughly recommended great product. It can be used to put in brackets Niessen Zenit series and cost is one tenth to one niessen connector. It works great and good quality material. Undoubtedly buy back for facilities that I do.</v>
      </c>
    </row>
    <row r="16946">
      <c r="A16946" s="1">
        <v>5.0</v>
      </c>
      <c r="B16946" s="1" t="s">
        <v>16783</v>
      </c>
      <c r="C16946" t="str">
        <f>IFERROR(__xludf.DUMMYFUNCTION("GOOGLETRANSLATE(B16946, ""es"", ""en"")"),"Cable for home speakers. INOS speakers for simple home is perfect, not a larger section of wiring required.")</f>
        <v>Cable for home speakers. INOS speakers for simple home is perfect, not a larger section of wiring required.</v>
      </c>
    </row>
    <row r="16947">
      <c r="A16947" s="1">
        <v>5.0</v>
      </c>
      <c r="B16947" s="1" t="s">
        <v>16784</v>
      </c>
      <c r="C16947" t="str">
        <f>IFERROR(__xludf.DUMMYFUNCTION("GOOGLETRANSLATE(B16947, ""es"", ""en"")"),"Perfect for automotive (and others ...). Perfect for setting and ordering cables, great car, very good adhesion even in very hot summer (3M adhesive).")</f>
        <v>Perfect for automotive (and others ...). Perfect for setting and ordering cables, great car, very good adhesion even in very hot summer (3M adhesive).</v>
      </c>
    </row>
    <row r="16948">
      <c r="A16948" s="1">
        <v>5.0</v>
      </c>
      <c r="B16948" s="1" t="s">
        <v>16785</v>
      </c>
      <c r="C16948" t="str">
        <f>IFERROR(__xludf.DUMMYFUNCTION("GOOGLETRANSLATE(B16948, ""es"", ""en"")"),"Top Perfect. Quality Very good")</f>
        <v>Top Perfect. Quality Very good</v>
      </c>
    </row>
    <row r="16949">
      <c r="A16949" s="1">
        <v>2.0</v>
      </c>
      <c r="B16949" s="1" t="s">
        <v>16786</v>
      </c>
      <c r="C16949" t="str">
        <f>IFERROR(__xludf.DUMMYFUNCTION("GOOGLETRANSLATE(B16949, ""es"", ""en"")"),"The absolute truth to marketing. I bought the hard drive 10 TB, because it seemed a good price so I ofrecía..Pero I feel cheated why Amazon does not review well its products .. (specifically hard drive desktop brand WD) My surprise was when he thought he "&amp;"had bought 10TB q .., the truth is that only brings 9,09TB..Un q data would be very positive if the truth of things ahead ..")</f>
        <v>The absolute truth to marketing. I bought the hard drive 10 TB, because it seemed a good price so I ofrecía..Pero I feel cheated why Amazon does not review well its products .. (specifically hard drive desktop brand WD) My surprise was when he thought he had bought 10TB q .., the truth is that only brings 9,09TB..Un q data would be very positive if the truth of things ahead ..</v>
      </c>
    </row>
    <row r="16950">
      <c r="A16950" s="1">
        <v>3.0</v>
      </c>
      <c r="B16950" s="1" t="s">
        <v>16787</v>
      </c>
      <c r="C16950" t="str">
        <f>IFERROR(__xludf.DUMMYFUNCTION("GOOGLETRANSLATE(B16950, ""es"", ""en"")"),"Okay, but it's just quick format exFAT chose this memory because it was highly rated and best price. But once tested with Fat32 is desperately slow when many copies Gigas, and many files are small. It's taken me 12 hours to copy 7GB. However formatted to "&amp;"exFAT it took me only about 10 minutes. I recommend it only if the reformat to exFAT and not going to use in XP.")</f>
        <v>Okay, but it's just quick format exFAT chose this memory because it was highly rated and best price. But once tested with Fat32 is desperately slow when many copies Gigas, and many files are small. It's taken me 12 hours to copy 7GB. However formatted to exFAT it took me only about 10 minutes. I recommend it only if the reformat to exFAT and not going to use in XP.</v>
      </c>
    </row>
    <row r="16951">
      <c r="A16951" s="1">
        <v>1.0</v>
      </c>
      <c r="B16951" s="1" t="s">
        <v>16788</v>
      </c>
      <c r="C16951" t="str">
        <f>IFERROR(__xludf.DUMMYFUNCTION("GOOGLETRANSLATE(B16951, ""es"", ""en"")"),"Deceives bobos Vileda. Bobos is a cheating ... would not buy, does not reach the corners does not collect everything there, it's a bit for people who do not care. I see it's not worth me pq broom life goes better ...")</f>
        <v>Deceives bobos Vileda. Bobos is a cheating ... would not buy, does not reach the corners does not collect everything there, it's a bit for people who do not care. I see it's not worth me pq broom life goes better ...</v>
      </c>
    </row>
    <row r="16952">
      <c r="A16952" s="1">
        <v>1.0</v>
      </c>
      <c r="B16952" s="1" t="s">
        <v>16789</v>
      </c>
      <c r="C16952" t="str">
        <f>IFERROR(__xludf.DUMMYFUNCTION("GOOGLETRANSLATE(B16952, ""es"", ""en"")"),"Do not buy some After a week of little use, I found that was much heated to the point of making it uncomfortable to hold. As I read in the forums sandisk this is a problem that can shorten its life and even get to melt plastic. In addition, it is heated w"&amp;"ithout being in use, ie I have it plugged into the PC and just by being plugged and is bright red.")</f>
        <v>Do not buy some After a week of little use, I found that was much heated to the point of making it uncomfortable to hold. As I read in the forums sandisk this is a problem that can shorten its life and even get to melt plastic. In addition, it is heated without being in use, ie I have it plugged into the PC and just by being plugged and is bright red.</v>
      </c>
    </row>
    <row r="16953">
      <c r="A16953" s="1">
        <v>1.0</v>
      </c>
      <c r="B16953" s="1" t="s">
        <v>16790</v>
      </c>
      <c r="C16953" t="str">
        <f>IFERROR(__xludf.DUMMYFUNCTION("GOOGLETRANSLATE(B16953, ""es"", ""en"")"),"Not recommended Lousy quality, fabric and design has nothing to do with photography. Size is too small and is very bad. Terrible in all aspects.")</f>
        <v>Not recommended Lousy quality, fabric and design has nothing to do with photography. Size is too small and is very bad. Terrible in all aspects.</v>
      </c>
    </row>
    <row r="16954">
      <c r="A16954" s="1">
        <v>4.0</v>
      </c>
      <c r="B16954" s="1" t="s">
        <v>16791</v>
      </c>
      <c r="C16954" t="str">
        <f>IFERROR(__xludf.DUMMYFUNCTION("GOOGLETRANSLATE(B16954, ""es"", ""en"")"),"Excellent product reviews. Recommended seller.")</f>
        <v>Excellent product reviews. Recommended seller.</v>
      </c>
    </row>
    <row r="16955">
      <c r="A16955" s="1">
        <v>4.0</v>
      </c>
      <c r="B16955" s="1" t="s">
        <v>16792</v>
      </c>
      <c r="C16955" t="str">
        <f>IFERROR(__xludf.DUMMYFUNCTION("GOOGLETRANSLATE(B16955, ""es"", ""en"")"),"improved brush broom. Without being much better than a traditional brush, you get to tell the difference to the less dirt entangled in the bristles, which are waterproof and flexible.")</f>
        <v>improved brush broom. Without being much better than a traditional brush, you get to tell the difference to the less dirt entangled in the bristles, which are waterproof and flexible.</v>
      </c>
    </row>
    <row r="16956">
      <c r="A16956" s="1">
        <v>4.0</v>
      </c>
      <c r="B16956" s="1" t="s">
        <v>16793</v>
      </c>
      <c r="C16956" t="str">
        <f>IFERROR(__xludf.DUMMYFUNCTION("GOOGLETRANSLATE(B16956, ""es"", ""en"")"),"Very good price quality, good value - price, very comfortable to walk. Definitely a good product with a good finish and easy to clean.")</f>
        <v>Very good price quality, good value - price, very comfortable to walk. Definitely a good product with a good finish and easy to clean.</v>
      </c>
    </row>
    <row r="16957">
      <c r="A16957" s="1">
        <v>4.0</v>
      </c>
      <c r="B16957" s="1" t="s">
        <v>16794</v>
      </c>
      <c r="C16957" t="str">
        <f>IFERROR(__xludf.DUMMYFUNCTION("GOOGLETRANSLATE(B16957, ""es"", ""en"")"),"Economic and functional glue commonly used for large and small. It is very well priced, fast dry and level of holds stuck in time.")</f>
        <v>Economic and functional glue commonly used for large and small. It is very well priced, fast dry and level of holds stuck in time.</v>
      </c>
    </row>
    <row r="16958">
      <c r="A16958" s="1">
        <v>4.0</v>
      </c>
      <c r="B16958" s="1" t="s">
        <v>16795</v>
      </c>
      <c r="C16958" t="str">
        <f>IFERROR(__xludf.DUMMYFUNCTION("GOOGLETRANSLATE(B16958, ""es"", ""en"")"),"It works very well even if the cable is short I wanted to record short interviews with mobile. It is luxury and listen very well but you have to buy an extension cord for an interview because someone auqnue is two meters from you is very short. Otherwise "&amp;"I've used a Samsung Galaxy S6 directly recording video camera (I have not used any special program to record because I was interested to record audio while the image). I would buy. That if the extension is another 17 euros so at the end of the micro it is"&amp;" expensive but it is a mark of trust and I would not put a cheap extension cord to a micro Rode like this one.")</f>
        <v>It works very well even if the cable is short I wanted to record short interviews with mobile. It is luxury and listen very well but you have to buy an extension cord for an interview because someone auqnue is two meters from you is very short. Otherwise I've used a Samsung Galaxy S6 directly recording video camera (I have not used any special program to record because I was interested to record audio while the image). I would buy. That if the extension is another 17 euros so at the end of the micro it is expensive but it is a mark of trust and I would not put a cheap extension cord to a micro Rode like this one.</v>
      </c>
    </row>
    <row r="16959">
      <c r="A16959" s="1">
        <v>5.0</v>
      </c>
      <c r="B16959" s="1" t="s">
        <v>16796</v>
      </c>
      <c r="C16959" t="str">
        <f>IFERROR(__xludf.DUMMYFUNCTION("GOOGLETRANSLATE(B16959, ""es"", ""en"")"),"Comfort and breathability Buenos Socks")</f>
        <v>Comfort and breathability Buenos Socks</v>
      </c>
    </row>
    <row r="16960">
      <c r="A16960" s="1">
        <v>5.0</v>
      </c>
      <c r="B16960" s="1" t="s">
        <v>16797</v>
      </c>
      <c r="C16960" t="str">
        <f>IFERROR(__xludf.DUMMYFUNCTION("GOOGLETRANSLATE(B16960, ""es"", ""en"")"),"Cool Comfortable, beautiful, easy to clean, durable, I am delighted with them. It is the only brand to use in sports.")</f>
        <v>Cool Comfortable, beautiful, easy to clean, durable, I am delighted with them. It is the only brand to use in sports.</v>
      </c>
    </row>
    <row r="16961">
      <c r="A16961" s="1">
        <v>5.0</v>
      </c>
      <c r="B16961" s="1" t="s">
        <v>16798</v>
      </c>
      <c r="C16961" t="str">
        <f>IFERROR(__xludf.DUMMYFUNCTION("GOOGLETRANSLATE(B16961, ""es"", ""en"")"),"Very good Licuadora. Blender very easy and useful. I made several shakes. One other fruit and milk and crushed ice and fruit smoothie type and both were very good, so it has good power. Load and duration of the blender more than enough for several shakes.")</f>
        <v>Very good Licuadora. Blender very easy and useful. I made several shakes. One other fruit and milk and crushed ice and fruit smoothie type and both were very good, so it has good power. Load and duration of the blender more than enough for several shakes.</v>
      </c>
    </row>
    <row r="16962">
      <c r="A16962" s="1">
        <v>5.0</v>
      </c>
      <c r="B16962" s="1" t="s">
        <v>16799</v>
      </c>
      <c r="C16962" t="str">
        <f>IFERROR(__xludf.DUMMYFUNCTION("GOOGLETRANSLATE(B16962, ""es"", ""en"")"),"Small and practical pendrive USB good capacity 64Gb to carry on your key ring thanks to its high resistance, metallic and waterproof, can keep files safe and you can use them anywhere, there are cheaper but most with with the falsified capacity, this has "&amp;"the 64Gb real. A greeting.")</f>
        <v>Small and practical pendrive USB good capacity 64Gb to carry on your key ring thanks to its high resistance, metallic and waterproof, can keep files safe and you can use them anywhere, there are cheaper but most with with the falsified capacity, this has the 64Gb real. A greeting.</v>
      </c>
    </row>
    <row r="16963">
      <c r="A16963" s="1">
        <v>5.0</v>
      </c>
      <c r="B16963" s="1" t="s">
        <v>16800</v>
      </c>
      <c r="C16963" t="str">
        <f>IFERROR(__xludf.DUMMYFUNCTION("GOOGLETRANSLATE(B16963, ""es"", ""en"")"),"A beautiful clock works perfectly, arrived in perfect condition and my husband happy. Informal and elegant.")</f>
        <v>A beautiful clock works perfectly, arrived in perfect condition and my husband happy. Informal and elegant.</v>
      </c>
    </row>
    <row r="16964">
      <c r="A16964" s="1">
        <v>5.0</v>
      </c>
      <c r="B16964" s="1" t="s">
        <v>16801</v>
      </c>
      <c r="C16964" t="str">
        <f>IFERROR(__xludf.DUMMYFUNCTION("GOOGLETRANSLATE(B16964, ""es"", ""en"")"),"Better than I expected Easy to connect only with USB and computer detects and installs instantly. Small tripod comes with enduring great, crisp sound microphone is not bad. With some basic configuration on any program used to play / record it is enough to"&amp;" leave it to taste. I was surprised by the sound quality of this microphone. The microphone is as images of the announcement. Happy with purchase.")</f>
        <v>Better than I expected Easy to connect only with USB and computer detects and installs instantly. Small tripod comes with enduring great, crisp sound microphone is not bad. With some basic configuration on any program used to play / record it is enough to leave it to taste. I was surprised by the sound quality of this microphone. The microphone is as images of the announcement. Happy with purchase.</v>
      </c>
    </row>
    <row r="16965">
      <c r="A16965" s="1">
        <v>5.0</v>
      </c>
      <c r="B16965" s="1" t="s">
        <v>16802</v>
      </c>
      <c r="C16965" t="str">
        <f>IFERROR(__xludf.DUMMYFUNCTION("GOOGLETRANSLATE(B16965, ""es"", ""en"")"),"He needed to buy useful and comfortable clockwork and I decided on this model, digital stainless steel watch for both man and woman, because it is adjustable. Value for money is very good, has what it takes: date, alarm, stopwatch, light and silvery color"&amp;" that looks good aesthetically, resitente to water also comes with batteries included. The Casio watch is original, you can check by keeping the lower right button segundosy a Casio logo appears. Say it is very easy to use, comes with instructions but not"&amp;" looked as last apenas.Por say I came very fast the package just a few days late to reach me. I recommend it.")</f>
        <v>He needed to buy useful and comfortable clockwork and I decided on this model, digital stainless steel watch for both man and woman, because it is adjustable. Value for money is very good, has what it takes: date, alarm, stopwatch, light and silvery color that looks good aesthetically, resitente to water also comes with batteries included. The Casio watch is original, you can check by keeping the lower right button segundosy a Casio logo appears. Say it is very easy to use, comes with instructions but not looked as last apenas.Por say I came very fast the package just a few days late to reach me. I recommend it.</v>
      </c>
    </row>
    <row r="16966">
      <c r="A16966" s="1">
        <v>5.0</v>
      </c>
      <c r="B16966" s="1" t="s">
        <v>16803</v>
      </c>
      <c r="C16966" t="str">
        <f>IFERROR(__xludf.DUMMYFUNCTION("GOOGLETRANSLATE(B16966, ""es"", ""en"")"),"Today good memory is very difficult to know if memory you have is original or not, because copies are becoming more perfect, but I think this is original, works very well, even demanding high rates of writing reading.")</f>
        <v>Today good memory is very difficult to know if memory you have is original or not, because copies are becoming more perfect, but I think this is original, works very well, even demanding high rates of writing reading.</v>
      </c>
    </row>
    <row r="16967">
      <c r="A16967" s="1">
        <v>5.0</v>
      </c>
      <c r="B16967" s="1" t="s">
        <v>16804</v>
      </c>
      <c r="C16967" t="str">
        <f>IFERROR(__xludf.DUMMYFUNCTION("GOOGLETRANSLATE(B16967, ""es"", ""en"")"),"Good buy came the important day. Good value for money. It is as in the photo, the better I'd say. Very happy with the purchase.")</f>
        <v>Good buy came the important day. Good value for money. It is as in the photo, the better I'd say. Very happy with the purchase.</v>
      </c>
    </row>
    <row r="16968">
      <c r="A16968" s="1">
        <v>5.0</v>
      </c>
      <c r="B16968" s="1" t="s">
        <v>16805</v>
      </c>
      <c r="C16968" t="str">
        <f>IFERROR(__xludf.DUMMYFUNCTION("GOOGLETRANSLATE(B16968, ""es"", ""en"")"),"Super great quality product, plastic bag for storage. The nitions are quality. I recommend this product for all girls who play sports dance type, Rhythmic Gymnastic, FitKids ....")</f>
        <v>Super great quality product, plastic bag for storage. The nitions are quality. I recommend this product for all girls who play sports dance type, Rhythmic Gymnastic, FitKids ....</v>
      </c>
    </row>
    <row r="16969">
      <c r="A16969" s="1">
        <v>5.0</v>
      </c>
      <c r="B16969" s="1" t="s">
        <v>16806</v>
      </c>
      <c r="C16969" t="str">
        <f>IFERROR(__xludf.DUMMYFUNCTION("GOOGLETRANSLATE(B16969, ""es"", ""en"")"),"So glad I decided to buy this blender for being a brand I've had in my house forever, for the power and accessories. It has now become indispensable in my kitchen because I make sauces, baby food, mashed and mahonesa accessory that brings've got to leave "&amp;"me as I had never gone before. It is also extremely practical, easy to clean and store. Very happy.")</f>
        <v>So glad I decided to buy this blender for being a brand I've had in my house forever, for the power and accessories. It has now become indispensable in my kitchen because I make sauces, baby food, mashed and mahonesa accessory that brings've got to leave me as I had never gone before. It is also extremely practical, easy to clean and store. Very happy.</v>
      </c>
    </row>
    <row r="16970">
      <c r="A16970" s="1">
        <v>5.0</v>
      </c>
      <c r="B16970" s="1" t="s">
        <v>16807</v>
      </c>
      <c r="C16970" t="str">
        <f>IFERROR(__xludf.DUMMYFUNCTION("GOOGLETRANSLATE(B16970, ""es"", ""en"")"),"Quality and price with the quality that characterizes the brand and amazing ease of use, cleaning and delivery. I recommend it.")</f>
        <v>Quality and price with the quality that characterizes the brand and amazing ease of use, cleaning and delivery. I recommend it.</v>
      </c>
    </row>
    <row r="16971">
      <c r="A16971" s="1">
        <v>5.0</v>
      </c>
      <c r="B16971" s="1" t="s">
        <v>16808</v>
      </c>
      <c r="C16971" t="str">
        <f>IFERROR(__xludf.DUMMYFUNCTION("GOOGLETRANSLATE(B16971, ""es"", ""en"")"),"Well if you want that it marks an ordinary shoe Nike brand. good quality and normal price. It seems squishy though it is pure and hard platico")</f>
        <v>Well if you want that it marks an ordinary shoe Nike brand. good quality and normal price. It seems squishy though it is pure and hard platico</v>
      </c>
    </row>
    <row r="16972">
      <c r="A16972" s="1">
        <v>5.0</v>
      </c>
      <c r="B16972" s="1" t="s">
        <v>16809</v>
      </c>
      <c r="C16972" t="str">
        <f>IFERROR(__xludf.DUMMYFUNCTION("GOOGLETRANSLATE(B16972, ""es"", ""en"")"),"exelente I'm not henrrollar much delivers what it says it all fine and outstanding quality to this day I've been very happy")</f>
        <v>exelente I'm not henrrollar much delivers what it says it all fine and outstanding quality to this day I've been very happy</v>
      </c>
    </row>
    <row r="16973">
      <c r="A16973" s="1">
        <v>5.0</v>
      </c>
      <c r="B16973" s="1" t="s">
        <v>16810</v>
      </c>
      <c r="C16973" t="str">
        <f>IFERROR(__xludf.DUMMYFUNCTION("GOOGLETRANSLATE(B16973, ""es"", ""en"")"),"Sergio R pillow and mat supportiback are comfortable and above all a well needed for our dalud. Improvements were noticeable from the first week and although it is not pleasant, vitality and feeling back to use, are wonderful.")</f>
        <v>Sergio R pillow and mat supportiback are comfortable and above all a well needed for our dalud. Improvements were noticeable from the first week and although it is not pleasant, vitality and feeling back to use, are wonderful.</v>
      </c>
    </row>
    <row r="16974">
      <c r="A16974" s="1">
        <v>5.0</v>
      </c>
      <c r="B16974" s="1" t="s">
        <v>16811</v>
      </c>
      <c r="C16974" t="str">
        <f>IFERROR(__xludf.DUMMYFUNCTION("GOOGLETRANSLATE(B16974, ""es"", ""en"")"),"perfect solution, and function Not much to say, good brand and good product. It is especially perfect for areas of Spain that have water with much lime, not to annoy the washing machine. Recommended, since I can not use the washing machine and zero proble"&amp;"ms.")</f>
        <v>perfect solution, and function Not much to say, good brand and good product. It is especially perfect for areas of Spain that have water with much lime, not to annoy the washing machine. Recommended, since I can not use the washing machine and zero problems.</v>
      </c>
    </row>
    <row r="16975">
      <c r="A16975" s="1">
        <v>5.0</v>
      </c>
      <c r="B16975" s="1" t="s">
        <v>16812</v>
      </c>
      <c r="C16975" t="str">
        <f>IFERROR(__xludf.DUMMYFUNCTION("GOOGLETRANSLATE(B16975, ""es"", ""en"")"),"The pendant is gorgeous !!! The little spice a little terse for wide neck and simple closure. But the pendant is beautiful !!! Details and excellent finishing.")</f>
        <v>The pendant is gorgeous !!! The little spice a little terse for wide neck and simple closure. But the pendant is beautiful !!! Details and excellent finishing.</v>
      </c>
    </row>
    <row r="16976">
      <c r="A16976" s="1">
        <v>5.0</v>
      </c>
      <c r="B16976" s="1" t="s">
        <v>16813</v>
      </c>
      <c r="C16976" t="str">
        <f>IFERROR(__xludf.DUMMYFUNCTION("GOOGLETRANSLATE(B16976, ""es"", ""en"")"),"Best Mic definitely the best there is at the moment for streamers who prefer a USB connection, latency and headphone jack.")</f>
        <v>Best Mic definitely the best there is at the moment for streamers who prefer a USB connection, latency and headphone jack.</v>
      </c>
    </row>
    <row r="16977">
      <c r="A16977" s="1">
        <v>5.0</v>
      </c>
      <c r="B16977" s="1" t="s">
        <v>16814</v>
      </c>
      <c r="C16977" t="str">
        <f>IFERROR(__xludf.DUMMYFUNCTION("GOOGLETRANSLATE(B16977, ""es"", ""en"")"),"It was a nice gift for my girl. He loved. Neither too big nor too small. Everything is great. A greeting.")</f>
        <v>It was a nice gift for my girl. He loved. Neither too big nor too small. Everything is great. A greeting.</v>
      </c>
    </row>
    <row r="16978">
      <c r="A16978" s="1">
        <v>2.0</v>
      </c>
      <c r="B16978" s="1" t="s">
        <v>16815</v>
      </c>
      <c r="C16978" t="str">
        <f>IFERROR(__xludf.DUMMYFUNCTION("GOOGLETRANSLATE(B16978, ""es"", ""en"")"),"They could put all the design features nice but the needle only works with the timer seconds, while the mark you down small seconds, not aesthetic seems to me that in the middle of the clock is stopped at twelve seconds")</f>
        <v>They could put all the design features nice but the needle only works with the timer seconds, while the mark you down small seconds, not aesthetic seems to me that in the middle of the clock is stopped at twelve seconds</v>
      </c>
    </row>
    <row r="16979">
      <c r="A16979" s="1">
        <v>3.0</v>
      </c>
      <c r="B16979" s="1" t="s">
        <v>16816</v>
      </c>
      <c r="C16979" t="str">
        <f>IFERROR(__xludf.DUMMYFUNCTION("GOOGLETRANSLATE(B16979, ""es"", ""en"")"),"Slow to connect and do not pair well because not much you have and it costs a bit to connect to the iMac, also are several times passing makes sounds like staccato sound, I have said it is because they do not match ( L &amp; R) properly and then you have to r"&amp;"estart. Good Bluethooh is very convenient when it works well, but sometimes it costs a little work first ...")</f>
        <v>Slow to connect and do not pair well because not much you have and it costs a bit to connect to the iMac, also are several times passing makes sounds like staccato sound, I have said it is because they do not match ( L &amp; R) properly and then you have to restart. Good Bluethooh is very convenient when it works well, but sometimes it costs a little work first ...</v>
      </c>
    </row>
    <row r="16980">
      <c r="A16980" s="1">
        <v>3.0</v>
      </c>
      <c r="B16980" s="1" t="s">
        <v>16817</v>
      </c>
      <c r="C16980" t="str">
        <f>IFERROR(__xludf.DUMMYFUNCTION("GOOGLETRANSLATE(B16980, ""es"", ""en"")"),"Very flojitas I expected a bit more of this brand are very light but I lack subject in the foot and is not to be particularly comfortable")</f>
        <v>Very flojitas I expected a bit more of this brand are very light but I lack subject in the foot and is not to be particularly comfortable</v>
      </c>
    </row>
    <row r="16981">
      <c r="A16981" s="1">
        <v>1.0</v>
      </c>
      <c r="B16981" s="1" t="s">
        <v>16818</v>
      </c>
      <c r="C16981" t="str">
        <f>IFERROR(__xludf.DUMMYFUNCTION("GOOGLETRANSLATE(B16981, ""es"", ""en"")"),"Lousy cart There may be more bad ... I bought several of various capacities and I am very disappointed. They are very bad.")</f>
        <v>Lousy cart There may be more bad ... I bought several of various capacities and I am very disappointed. They are very bad.</v>
      </c>
    </row>
    <row r="16982">
      <c r="A16982" s="1">
        <v>1.0</v>
      </c>
      <c r="B16982" s="1" t="s">
        <v>16819</v>
      </c>
      <c r="C16982" t="str">
        <f>IFERROR(__xludf.DUMMYFUNCTION("GOOGLETRANSLATE(B16982, ""es"", ""en"")"),"A sole little of purchase has taken off half of the sole of one of them off. I not recommend.")</f>
        <v>A sole little of purchase has taken off half of the sole of one of them off. I not recommend.</v>
      </c>
    </row>
    <row r="16983">
      <c r="A16983" s="1">
        <v>4.0</v>
      </c>
      <c r="B16983" s="1" t="s">
        <v>16820</v>
      </c>
      <c r="C16983" t="str">
        <f>IFERROR(__xludf.DUMMYFUNCTION("GOOGLETRANSLATE(B16983, ""es"", ""en"")"),"Chests are high, not suitable for running. Comfortable and light ideal for walking.")</f>
        <v>Chests are high, not suitable for running. Comfortable and light ideal for walking.</v>
      </c>
    </row>
    <row r="16984">
      <c r="A16984" s="1">
        <v>4.0</v>
      </c>
      <c r="B16984" s="1" t="s">
        <v>16821</v>
      </c>
      <c r="C16984" t="str">
        <f>IFERROR(__xludf.DUMMYFUNCTION("GOOGLETRANSLATE(B16984, ""es"", ""en"")"),"Value for money is unbeatable well maybe a little odor would do well because heat does not cover all the smell of the toilet but neither do other much more expensive")</f>
        <v>Value for money is unbeatable well maybe a little odor would do well because heat does not cover all the smell of the toilet but neither do other much more expensive</v>
      </c>
    </row>
    <row r="16985">
      <c r="A16985" s="1">
        <v>4.0</v>
      </c>
      <c r="B16985" s="1" t="s">
        <v>16822</v>
      </c>
      <c r="C16985" t="str">
        <f>IFERROR(__xludf.DUMMYFUNCTION("GOOGLETRANSLATE(B16985, ""es"", ""en"")"),"Winter boots boots arrived on schedule, seem sheltered and comfortable, I say seem because they are not estrnar yet. We call for greater Nuero of the normally used, because it is always going lined better, we were right. In the not released if any do not "&amp;"know whether or not they are waterproof, that we will see the use .. I reserve the right to change their mind if they were not. So what are seen in the photograph.")</f>
        <v>Winter boots boots arrived on schedule, seem sheltered and comfortable, I say seem because they are not estrnar yet. We call for greater Nuero of the normally used, because it is always going lined better, we were right. In the not released if any do not know whether or not they are waterproof, that we will see the use .. I reserve the right to change their mind if they were not. So what are seen in the photograph.</v>
      </c>
    </row>
    <row r="16986">
      <c r="A16986" s="1">
        <v>4.0</v>
      </c>
      <c r="B16986" s="1" t="s">
        <v>16823</v>
      </c>
      <c r="C16986" t="str">
        <f>IFERROR(__xludf.DUMMYFUNCTION("GOOGLETRANSLATE(B16986, ""es"", ""en"")"),"Meets the necessary reasonable price for 8 pairs, although the toe could be tougher.")</f>
        <v>Meets the necessary reasonable price for 8 pairs, although the toe could be tougher.</v>
      </c>
    </row>
    <row r="16987">
      <c r="A16987" s="1">
        <v>4.0</v>
      </c>
      <c r="B16987" s="1" t="s">
        <v>16824</v>
      </c>
      <c r="C16987" t="str">
        <f>IFERROR(__xludf.DUMMYFUNCTION("GOOGLETRANSLATE(B16987, ""es"", ""en"")"),"Simple good value for money")</f>
        <v>Simple good value for money</v>
      </c>
    </row>
    <row r="16988">
      <c r="A16988" s="1">
        <v>5.0</v>
      </c>
      <c r="B16988" s="1" t="s">
        <v>16825</v>
      </c>
      <c r="C16988" t="str">
        <f>IFERROR(__xludf.DUMMYFUNCTION("GOOGLETRANSLATE(B16988, ""es"", ""en"")"),"A good watch a simple clock to tell the time and have as little more than added that automatically adjusts. I bought scared by some reviews that said it was not synchronized. I adjusted to Madrid and syncs smoothly. I live in Almeria. It looks beautiful a"&amp;"nd durable, has a good value; something that is normal in Casio and so I always decided by this brand. All this failing to see how it behaves with the passage of time. By putting a but despite clearing to adjust chain links, I find an ideal position. If y"&amp;"ou remove one more link me is a little loose and if I put very fair. Although it depends on one's wrist, and mine is that it stays in the middle of a size.")</f>
        <v>A good watch a simple clock to tell the time and have as little more than added that automatically adjusts. I bought scared by some reviews that said it was not synchronized. I adjusted to Madrid and syncs smoothly. I live in Almeria. It looks beautiful and durable, has a good value; something that is normal in Casio and so I always decided by this brand. All this failing to see how it behaves with the passage of time. By putting a but despite clearing to adjust chain links, I find an ideal position. If you remove one more link me is a little loose and if I put very fair. Although it depends on one's wrist, and mine is that it stays in the middle of a size.</v>
      </c>
    </row>
    <row r="16989">
      <c r="A16989" s="1">
        <v>5.0</v>
      </c>
      <c r="B16989" s="1" t="s">
        <v>16826</v>
      </c>
      <c r="C16989" t="str">
        <f>IFERROR(__xludf.DUMMYFUNCTION("GOOGLETRANSLATE(B16989, ""es"", ""en"")"),"Bluetooth headset Bluetooth headset are very well hear very well and very clear then adapt very well to the ears without very comfortable box q brings loads and when headphones are unloaded you put them in and are loaded when you take them out of the time"&amp;" box connect and disconnect when you put the truth are very well liked very much.")</f>
        <v>Bluetooth headset Bluetooth headset are very well hear very well and very clear then adapt very well to the ears without very comfortable box q brings loads and when headphones are unloaded you put them in and are loaded when you take them out of the time box connect and disconnect when you put the truth are very well liked very much.</v>
      </c>
    </row>
    <row r="16990">
      <c r="A16990" s="1">
        <v>5.0</v>
      </c>
      <c r="B16990" s="1" t="s">
        <v>16827</v>
      </c>
      <c r="C16990" t="str">
        <f>IFERROR(__xludf.DUMMYFUNCTION("GOOGLETRANSLATE(B16990, ""es"", ""en"")"),"FITS GROUNDS FOR SPORT use it almost DAILY, adjusting OK for all disciplines SPORT FOR THOSE WHO USE. PERFECT.")</f>
        <v>FITS GROUNDS FOR SPORT use it almost DAILY, adjusting OK for all disciplines SPORT FOR THOSE WHO USE. PERFECT.</v>
      </c>
    </row>
    <row r="16991">
      <c r="A16991" s="1">
        <v>5.0</v>
      </c>
      <c r="B16991" s="1" t="s">
        <v>16828</v>
      </c>
      <c r="C16991" t="str">
        <f>IFERROR(__xludf.DUMMYFUNCTION("GOOGLETRANSLATE(B16991, ""es"", ""en"")"),"VERY SATISFIED Good product. Metallic finish quality. Crisp sound. Motorcycle helmet used for audio recording with a sports camera. Good result, capturing my voice clearly and bottom of the engine purring. Very satisfied.")</f>
        <v>VERY SATISFIED Good product. Metallic finish quality. Crisp sound. Motorcycle helmet used for audio recording with a sports camera. Good result, capturing my voice clearly and bottom of the engine purring. Very satisfied.</v>
      </c>
    </row>
    <row r="16992">
      <c r="A16992" s="1">
        <v>5.0</v>
      </c>
      <c r="B16992" s="1" t="s">
        <v>16829</v>
      </c>
      <c r="C16992" t="str">
        <f>IFERROR(__xludf.DUMMYFUNCTION("GOOGLETRANSLATE(B16992, ""es"", ""en"")"),"EXTRAORDINARY GIFT VERY GOOD QUALITY, FAST SERVICE. VERY ELEGANT. It HAS BEEN A GREAT GIFT AND ALSO VERY ORIGINAL. PERFECT IN EVERY SENSE.")</f>
        <v>EXTRAORDINARY GIFT VERY GOOD QUALITY, FAST SERVICE. VERY ELEGANT. It HAS BEEN A GREAT GIFT AND ALSO VERY ORIGINAL. PERFECT IN EVERY SENSE.</v>
      </c>
    </row>
    <row r="16993">
      <c r="A16993" s="1">
        <v>5.0</v>
      </c>
      <c r="B16993" s="1" t="s">
        <v>16830</v>
      </c>
      <c r="C16993" t="str">
        <f>IFERROR(__xludf.DUMMYFUNCTION("GOOGLETRANSLATE(B16993, ""es"", ""en"")"),"Quality is normal good")</f>
        <v>Quality is normal good</v>
      </c>
    </row>
    <row r="16994">
      <c r="A16994" s="1">
        <v>5.0</v>
      </c>
      <c r="B16994" s="1" t="s">
        <v>16831</v>
      </c>
      <c r="C16994" t="str">
        <f>IFERROR(__xludf.DUMMYFUNCTION("GOOGLETRANSLATE(B16994, ""es"", ""en"")"),"Bought recommended gift for gift. My sister is thrilled. Perfect performance and aesthetic retro wanted. It has for almost a year and wonder.")</f>
        <v>Bought recommended gift for gift. My sister is thrilled. Perfect performance and aesthetic retro wanted. It has for almost a year and wonder.</v>
      </c>
    </row>
    <row r="16995">
      <c r="A16995" s="1">
        <v>5.0</v>
      </c>
      <c r="B16995" s="1" t="s">
        <v>16832</v>
      </c>
      <c r="C16995" t="str">
        <f>IFERROR(__xludf.DUMMYFUNCTION("GOOGLETRANSLATE(B16995, ""es"", ""en"")"),"perfect is super easy to use and clean, you can combine several fruits and ready in a jiffy, not very ostentatious the can save any kitchen drawer, I recommend")</f>
        <v>perfect is super easy to use and clean, you can combine several fruits and ready in a jiffy, not very ostentatious the can save any kitchen drawer, I recommend</v>
      </c>
    </row>
    <row r="16996">
      <c r="A16996" s="1">
        <v>5.0</v>
      </c>
      <c r="B16996" s="1" t="s">
        <v>16833</v>
      </c>
      <c r="C16996" t="str">
        <f>IFERROR(__xludf.DUMMYFUNCTION("GOOGLETRANSLATE(B16996, ""es"", ""en"")"),"Fantastic We have used the product to change the paste to a CPU and 2 graphics and the result is as follows: cpu - i9 9900k ... has dropped from the previous 7th pasta was not bad. gpu - 1080ti extreme gigabyte without changing pasta since it was bought f"&amp;"or 2 and a half years and down 14 ° gpu - 2070 WINFORCE gigabyte without changing purchase pulp from 9 months and down 7th")</f>
        <v>Fantastic We have used the product to change the paste to a CPU and 2 graphics and the result is as follows: cpu - i9 9900k ... has dropped from the previous 7th pasta was not bad. gpu - 1080ti extreme gigabyte without changing pasta since it was bought for 2 and a half years and down 14 ° gpu - 2070 WINFORCE gigabyte without changing purchase pulp from 9 months and down 7th</v>
      </c>
    </row>
    <row r="16997">
      <c r="A16997" s="1">
        <v>5.0</v>
      </c>
      <c r="B16997" s="1" t="s">
        <v>16834</v>
      </c>
      <c r="C16997" t="str">
        <f>IFERROR(__xludf.DUMMYFUNCTION("GOOGLETRANSLATE(B16997, ""es"", ""en"")"),"What sizes are correct ordered yesterday and arrived today, it is perfect")</f>
        <v>What sizes are correct ordered yesterday and arrived today, it is perfect</v>
      </c>
    </row>
    <row r="16998">
      <c r="A16998" s="1">
        <v>5.0</v>
      </c>
      <c r="B16998" s="1" t="s">
        <v>16835</v>
      </c>
      <c r="C16998" t="str">
        <f>IFERROR(__xludf.DUMMYFUNCTION("GOOGLETRANSLATE(B16998, ""es"", ""en"")"),"Perfect size, excellent quality. I have a 44 and measure 1.82. I bought a XL and I are perfect. They are of very good quality. Very satisfied.")</f>
        <v>Perfect size, excellent quality. I have a 44 and measure 1.82. I bought a XL and I are perfect. They are of very good quality. Very satisfied.</v>
      </c>
    </row>
    <row r="16999">
      <c r="A16999" s="1">
        <v>5.0</v>
      </c>
      <c r="B16999" s="1" t="s">
        <v>16836</v>
      </c>
      <c r="C16999" t="str">
        <f>IFERROR(__xludf.DUMMYFUNCTION("GOOGLETRANSLATE(B16999, ""es"", ""en"")"),"They are very well this very good materials and very comfortable.")</f>
        <v>They are very well this very good materials and very comfortable.</v>
      </c>
    </row>
    <row r="17000">
      <c r="A17000" s="1">
        <v>5.0</v>
      </c>
      <c r="B17000" s="1" t="s">
        <v>16837</v>
      </c>
      <c r="C17000" t="str">
        <f>IFERROR(__xludf.DUMMYFUNCTION("GOOGLETRANSLATE(B17000, ""es"", ""en"")"),"I regalsron me on birthday I loved.")</f>
        <v>I regalsron me on birthday I loved.</v>
      </c>
    </row>
    <row r="17001">
      <c r="A17001" s="1">
        <v>5.0</v>
      </c>
      <c r="B17001" s="1" t="s">
        <v>16838</v>
      </c>
      <c r="C17001" t="str">
        <f>IFERROR(__xludf.DUMMYFUNCTION("GOOGLETRANSLATE(B17001, ""es"", ""en"")"),"Crisp sound. A high quality microphone at a super affordable price. I recommend it.")</f>
        <v>Crisp sound. A high quality microphone at a super affordable price. I recommend it.</v>
      </c>
    </row>
    <row r="17002">
      <c r="A17002" s="1">
        <v>5.0</v>
      </c>
      <c r="B17002" s="1" t="s">
        <v>16839</v>
      </c>
      <c r="C17002" t="str">
        <f>IFERROR(__xludf.DUMMYFUNCTION("GOOGLETRANSLATE(B17002, ""es"", ""en"")"),"Well, I CO.O in the photo well")</f>
        <v>Well, I CO.O in the photo well</v>
      </c>
    </row>
    <row r="17003">
      <c r="A17003" s="1">
        <v>5.0</v>
      </c>
      <c r="B17003" s="1" t="s">
        <v>16840</v>
      </c>
      <c r="C17003" t="str">
        <f>IFERROR(__xludf.DUMMYFUNCTION("GOOGLETRANSLATE(B17003, ""es"", ""en"")"),"Excellent product product that does not have this product but it's amazing how well it cleans the computer screens of mobile phones crystal glasses leaves no trace perfect with micro fiber cloth, recommended to the 100x100.")</f>
        <v>Excellent product product that does not have this product but it's amazing how well it cleans the computer screens of mobile phones crystal glasses leaves no trace perfect with micro fiber cloth, recommended to the 100x100.</v>
      </c>
    </row>
    <row r="17004">
      <c r="A17004" s="1">
        <v>5.0</v>
      </c>
      <c r="B17004" s="1" t="s">
        <v>16841</v>
      </c>
      <c r="C17004" t="str">
        <f>IFERROR(__xludf.DUMMYFUNCTION("GOOGLETRANSLATE(B17004, ""es"", ""en"")"),"Quality women Watch spectacular price as all casio")</f>
        <v>Quality women Watch spectacular price as all casio</v>
      </c>
    </row>
    <row r="17005">
      <c r="A17005" s="1">
        <v>5.0</v>
      </c>
      <c r="B17005" s="1" t="s">
        <v>16842</v>
      </c>
      <c r="C17005" t="str">
        <f>IFERROR(__xludf.DUMMYFUNCTION("GOOGLETRANSLATE(B17005, ""es"", ""en"")"),"USB memory insuperable unbeatable price, brand prestige. It works perfectly in both Windows and Linux MASOS. The small. Fits anywhere and if you have connected hardly Excel, an orange LED to the subject of reading and writing files. Highly recommended.")</f>
        <v>USB memory insuperable unbeatable price, brand prestige. It works perfectly in both Windows and Linux MASOS. The small. Fits anywhere and if you have connected hardly Excel, an orange LED to the subject of reading and writing files. Highly recommended.</v>
      </c>
    </row>
    <row r="17006">
      <c r="A17006" s="1">
        <v>2.0</v>
      </c>
      <c r="B17006" s="1" t="s">
        <v>16843</v>
      </c>
      <c r="C17006" t="str">
        <f>IFERROR(__xludf.DUMMYFUNCTION("GOOGLETRANSLATE(B17006, ""es"", ""en"")"),"Uncomfortable do not adapt well to the head and give heat in summer. They slip easily. Variety of colors")</f>
        <v>Uncomfortable do not adapt well to the head and give heat in summer. They slip easily. Variety of colors</v>
      </c>
    </row>
    <row r="17007">
      <c r="A17007" s="1">
        <v>3.0</v>
      </c>
      <c r="B17007" s="1" t="s">
        <v>16844</v>
      </c>
      <c r="C17007" t="str">
        <f>IFERROR(__xludf.DUMMYFUNCTION("GOOGLETRANSLATE(B17007, ""es"", ""en"")"),"Beautiful but tiny are nice, but tiny, perhaps a child or adolescent")</f>
        <v>Beautiful but tiny are nice, but tiny, perhaps a child or adolescent</v>
      </c>
    </row>
    <row r="17008">
      <c r="A17008" s="1">
        <v>3.0</v>
      </c>
      <c r="B17008" s="1" t="s">
        <v>16845</v>
      </c>
      <c r="C17008" t="str">
        <f>IFERROR(__xludf.DUMMYFUNCTION("GOOGLETRANSLATE(B17008, ""es"", ""en"")"),"Very practical practical, safe and easy to use. Ideal for homes with low heating or in times of very cold temperatures")</f>
        <v>Very practical practical, safe and easy to use. Ideal for homes with low heating or in times of very cold temperatures</v>
      </c>
    </row>
    <row r="17009">
      <c r="A17009" s="1">
        <v>1.0</v>
      </c>
      <c r="B17009" s="1" t="s">
        <v>16846</v>
      </c>
      <c r="C17009" t="str">
        <f>IFERROR(__xludf.DUMMYFUNCTION("GOOGLETRANSLATE(B17009, ""es"", ""en"")"),"A second use burnt smell ... .... not buy this garbage in the second use after 2 minutes of use, quenched with burning smell, since when comminuted after 3 minutes of use for. Service technical assistance prove unloaded and say not okay ...... (it is obvi"&amp;"ous that a mixer does the same effort uncharged with it), it is a shame .... 1 + moulinex no! The technical service workshops legazpi madrid gomez ... Avoid to go through the sidewalk ...")</f>
        <v>A second use burnt smell ... .... not buy this garbage in the second use after 2 minutes of use, quenched with burning smell, since when comminuted after 3 minutes of use for. Service technical assistance prove unloaded and say not okay ...... (it is obvious that a mixer does the same effort uncharged with it), it is a shame .... 1 + moulinex no! The technical service workshops legazpi madrid gomez ... Avoid to go through the sidewalk ...</v>
      </c>
    </row>
    <row r="17010">
      <c r="A17010" s="1">
        <v>1.0</v>
      </c>
      <c r="B17010" s="1" t="s">
        <v>16847</v>
      </c>
      <c r="C17010" t="str">
        <f>IFERROR(__xludf.DUMMYFUNCTION("GOOGLETRANSLATE(B17010, ""es"", ""en"")"),"4 months of use are very nice and comfortable but I have lasted 4 months. It has been taken off the sole of the fabric completely. I guess for the price you can not ask much.")</f>
        <v>4 months of use are very nice and comfortable but I have lasted 4 months. It has been taken off the sole of the fabric completely. I guess for the price you can not ask much.</v>
      </c>
    </row>
    <row r="17011">
      <c r="A17011" s="1">
        <v>4.0</v>
      </c>
      <c r="B17011" s="1" t="s">
        <v>16848</v>
      </c>
      <c r="C17011" t="str">
        <f>IFERROR(__xludf.DUMMYFUNCTION("GOOGLETRANSLATE(B17011, ""es"", ""en"")"),"Great product First of all, ask for a size more than the usual Crocs to having lining inside the shoe becomes smaller, and that considering the Crocs carved chiquitísimas, because I've ridden on a 46-47 having others shoes or slippers 43 or 44. as for the"&amp;" shoes, very comfortable, but break down fast enough, you go as some cracks on top, but nothing special, cushions the foot well and are very calentitas, ideal for winter.")</f>
        <v>Great product First of all, ask for a size more than the usual Crocs to having lining inside the shoe becomes smaller, and that considering the Crocs carved chiquitísimas, because I've ridden on a 46-47 having others shoes or slippers 43 or 44. as for the shoes, very comfortable, but break down fast enough, you go as some cracks on top, but nothing special, cushions the foot well and are very calentitas, ideal for winter.</v>
      </c>
    </row>
    <row r="17012">
      <c r="A17012" s="1">
        <v>4.0</v>
      </c>
      <c r="B17012" s="1" t="s">
        <v>16849</v>
      </c>
      <c r="C17012" t="str">
        <f>IFERROR(__xludf.DUMMYFUNCTION("GOOGLETRANSLATE(B17012, ""es"", ""en"")"),"Smart enough economic watch is a watch low quality, thus very economical, but it is destined to who does not want to spend much on going to last. And in this respect perfectly fulfills. No one expects an average or high quality for a few euros, so it's cl"&amp;"ear what you're buying choosing this model. It has a very modern design, elegant and cool. Mixing the serious and sporty at the same time, which is not easy. Manufacturing materials are metal, no. Plastic, with beautiful details on the strap. The buckle s"&amp;"ystem is very original, it moves using a watchmaker's screwdriver to fit the diameter of each wrist and then hitch is simple, as shown in the photo. Maybe something heavy, nothing excessive but neither would call light, especially considering that the bel"&amp;"t is a pen, so that the body clock is weighing. Water resistant to 30 meters, I have not been that deep but splashes, showering and even in the pool I have had no problem so far. Another thing is what happens to the metal and the paint after time and even"&amp;" contact with the water constantly, it remains to be seen. To have multiple watches and switch without much spending money is phenomenal. I comes in handy in the box, protected with plastic and sponges, with chamois cloth to clean the screen, because it m"&amp;"esses with your fingers easily. It had designed some detail in red or orange with black contrastase more sphere background, but good. Is 4 cm. diameter and 1 thick. Suitable for gift or small detail, considering how exposed before.")</f>
        <v>Smart enough economic watch is a watch low quality, thus very economical, but it is destined to who does not want to spend much on going to last. And in this respect perfectly fulfills. No one expects an average or high quality for a few euros, so it's clear what you're buying choosing this model. It has a very modern design, elegant and cool. Mixing the serious and sporty at the same time, which is not easy. Manufacturing materials are metal, no. Plastic, with beautiful details on the strap. The buckle system is very original, it moves using a watchmaker's screwdriver to fit the diameter of each wrist and then hitch is simple, as shown in the photo. Maybe something heavy, nothing excessive but neither would call light, especially considering that the belt is a pen, so that the body clock is weighing. Water resistant to 30 meters, I have not been that deep but splashes, showering and even in the pool I have had no problem so far. Another thing is what happens to the metal and the paint after time and even contact with the water constantly, it remains to be seen. To have multiple watches and switch without much spending money is phenomenal. I comes in handy in the box, protected with plastic and sponges, with chamois cloth to clean the screen, because it messes with your fingers easily. It had designed some detail in red or orange with black contrastase more sphere background, but good. Is 4 cm. diameter and 1 thick. Suitable for gift or small detail, considering how exposed before.</v>
      </c>
    </row>
    <row r="17013">
      <c r="A17013" s="1">
        <v>4.0</v>
      </c>
      <c r="B17013" s="1" t="s">
        <v>16850</v>
      </c>
      <c r="C17013" t="str">
        <f>IFERROR(__xludf.DUMMYFUNCTION("GOOGLETRANSLATE(B17013, ""es"", ""en"")"),"Not dishwasher Although the questions and answers put it if you can .. in the instructions it says it is not dishwasher safe ...")</f>
        <v>Not dishwasher Although the questions and answers put it if you can .. in the instructions it says it is not dishwasher safe ...</v>
      </c>
    </row>
    <row r="17014">
      <c r="A17014" s="1">
        <v>4.0</v>
      </c>
      <c r="B17014" s="1" t="s">
        <v>16851</v>
      </c>
      <c r="C17014" t="str">
        <f>IFERROR(__xludf.DUMMYFUNCTION("GOOGLETRANSLATE(B17014, ""es"", ""en"")"),"Comfortable and sturdy classic. It is the third pair I buy. A couple of the year for all uses. Elegant and multifunctional time")</f>
        <v>Comfortable and sturdy classic. It is the third pair I buy. A couple of the year for all uses. Elegant and multifunctional time</v>
      </c>
    </row>
    <row r="17015">
      <c r="A17015" s="1">
        <v>5.0</v>
      </c>
      <c r="B17015" s="1" t="s">
        <v>16852</v>
      </c>
      <c r="C17015" t="str">
        <f>IFERROR(__xludf.DUMMYFUNCTION("GOOGLETRANSLATE(B17015, ""es"", ""en"")"),"Esterillita Encantada Encantada with my life with my pillow! Contracturo me a lot and was always with the beanbag that warming in the micro but nothing CANOR hard and .Less. I bought this pad when I was in flash deal and I got super good price for good qu"&amp;"ality it has. If I had to put a but ... I know some carry adapter to plug in.The car and that would suit me great. But very happy and waiting to see if becomes dw offer to buy a gift")</f>
        <v>Esterillita Encantada Encantada with my life with my pillow! Contracturo me a lot and was always with the beanbag that warming in the micro but nothing CANOR hard and .Less. I bought this pad when I was in flash deal and I got super good price for good quality it has. If I had to put a but ... I know some carry adapter to plug in.The car and that would suit me great. But very happy and waiting to see if becomes dw offer to buy a gift</v>
      </c>
    </row>
    <row r="17016">
      <c r="A17016" s="1">
        <v>5.0</v>
      </c>
      <c r="B17016" s="1" t="s">
        <v>16853</v>
      </c>
      <c r="C17016" t="str">
        <f>IFERROR(__xludf.DUMMYFUNCTION("GOOGLETRANSLATE(B17016, ""es"", ""en"")"),"as they say very happy with this choice. It serves both to make clothes and books. For now I've used to mark all clothing camp, and after having to wash clothes more than three times in a row (by as coming) follows the printed text. I've already changed t"&amp;"he letters to textbooks this year. Easy and comfortable. Highly recommended.")</f>
        <v>as they say very happy with this choice. It serves both to make clothes and books. For now I've used to mark all clothing camp, and after having to wash clothes more than three times in a row (by as coming) follows the printed text. I've already changed the letters to textbooks this year. Easy and comfortable. Highly recommended.</v>
      </c>
    </row>
    <row r="17017">
      <c r="A17017" s="1">
        <v>5.0</v>
      </c>
      <c r="B17017" s="1" t="s">
        <v>16854</v>
      </c>
      <c r="C17017" t="str">
        <f>IFERROR(__xludf.DUMMYFUNCTION("GOOGLETRANSLATE(B17017, ""es"", ""en"")"),"Retro design is a kettle that draws attention, is beautiful, Retro careful design makes it a very desirable piece. In terms of functionality, great, it has a maximum capacity of 1.7 liters, but can be used with a volume of a cup. It's fast, we can also vi"&amp;"sualize the temperature increase with the pointer. It has integrated filter and is easy to clean and store. It is very nice and works well, this brand also has a reliability of collateral. Ideally acquire the same model for the coffee maker or toaster if "&amp;"we are users of them.")</f>
        <v>Retro design is a kettle that draws attention, is beautiful, Retro careful design makes it a very desirable piece. In terms of functionality, great, it has a maximum capacity of 1.7 liters, but can be used with a volume of a cup. It's fast, we can also visualize the temperature increase with the pointer. It has integrated filter and is easy to clean and store. It is very nice and works well, this brand also has a reliability of collateral. Ideally acquire the same model for the coffee maker or toaster if we are users of them.</v>
      </c>
    </row>
    <row r="17018">
      <c r="A17018" s="1">
        <v>5.0</v>
      </c>
      <c r="B17018" s="1" t="s">
        <v>16855</v>
      </c>
      <c r="C17018" t="str">
        <f>IFERROR(__xludf.DUMMYFUNCTION("GOOGLETRANSLATE(B17018, ""es"", ""en"")"),"No earache I usually tend to hurt your ears when I carry around with headphones, with these I would not go because they are soft plastic, I loved to bring a bag for storage, extra pins in case you fall and a clamp for when you're exercising, I've been tes"&amp;"ting them one week or so and I have not had any problems. Normally if I buy in the Chinese they last me four days because they usually break the cable. For now these have not happened. Good product")</f>
        <v>No earache I usually tend to hurt your ears when I carry around with headphones, with these I would not go because they are soft plastic, I loved to bring a bag for storage, extra pins in case you fall and a clamp for when you're exercising, I've been testing them one week or so and I have not had any problems. Normally if I buy in the Chinese they last me four days because they usually break the cable. For now these have not happened. Good product</v>
      </c>
    </row>
    <row r="17019">
      <c r="A17019" s="1">
        <v>5.0</v>
      </c>
      <c r="B17019" s="1" t="s">
        <v>16856</v>
      </c>
      <c r="C17019" t="str">
        <f>IFERROR(__xludf.DUMMYFUNCTION("GOOGLETRANSLATE(B17019, ""es"", ""en"")"),"Recommended are perfect")</f>
        <v>Recommended are perfect</v>
      </c>
    </row>
    <row r="17020">
      <c r="A17020" s="1">
        <v>5.0</v>
      </c>
      <c r="B17020" s="1" t="s">
        <v>16857</v>
      </c>
      <c r="C17020" t="str">
        <f>IFERROR(__xludf.DUMMYFUNCTION("GOOGLETRANSLATE(B17020, ""es"", ""en"")"),"Wonderful goodbye aching feet")</f>
        <v>Wonderful goodbye aching feet</v>
      </c>
    </row>
    <row r="17021">
      <c r="A17021" s="1">
        <v>5.0</v>
      </c>
      <c r="B17021" s="1" t="s">
        <v>16858</v>
      </c>
      <c r="C17021" t="str">
        <f>IFERROR(__xludf.DUMMYFUNCTION("GOOGLETRANSLATE(B17021, ""es"", ""en"")"),"EXCELLENT SELLER!!!!! First, the product is completely according to the description, ideal for wall and of good quality. A pleasure to have dealt with them. We will buy. Recommended seller 100%")</f>
        <v>EXCELLENT SELLER!!!!! First, the product is completely according to the description, ideal for wall and of good quality. A pleasure to have dealt with them. We will buy. Recommended seller 100%</v>
      </c>
    </row>
    <row r="17022">
      <c r="A17022" s="1">
        <v>5.0</v>
      </c>
      <c r="B17022" s="1" t="s">
        <v>16859</v>
      </c>
      <c r="C17022" t="str">
        <f>IFERROR(__xludf.DUMMYFUNCTION("GOOGLETRANSLATE(B17022, ""es"", ""en"")"),"I am spending very good buy a 95B and grabbed a size M is going very well for any kind of sport !!")</f>
        <v>I am spending very good buy a 95B and grabbed a size M is going very well for any kind of sport !!</v>
      </c>
    </row>
    <row r="17023">
      <c r="A17023" s="1">
        <v>5.0</v>
      </c>
      <c r="B17023" s="1" t="s">
        <v>16860</v>
      </c>
      <c r="C17023" t="str">
        <f>IFERROR(__xludf.DUMMYFUNCTION("GOOGLETRANSLATE(B17023, ""es"", ""en"")"),"JET NOZZLE ACCURATE TO AVOID SPILLS The color of this kettle is very elegant, is stainless steel and has a dark gray color that goes well with all kinds of kitchen design, has a capacity of one liter of water, so it is small for large families, but for on"&amp;"e or two people is ideal, also for travel, I always I'll take it because I like to have in the hotel room the possibility of taking one is the time to be infused, and also not I trust that you put in the rooms, which many people use it. The back and down,"&amp;" leads the switch on and off, it is bright, above it is the handle, which is black plastic on the inside carries a window we can see the amount of water left us inside the boiler, is marked by ml., the nozzle through which pour the water is well designed,"&amp;" is made to pour water safely, without spilling any, also carries a filter inside of the nozzle can be removed for washing, the power of the boiler is 2400 W, able to boil a cup of water in 50 seconds, for it has a zone of rapid boiling, where is marked o"&amp;"ne, two or three cups, so we fill of water quantity desired. I like it because it has very good features, boil water very fast, running water out very precise to avoid spills, and the size is right for travel, good price and good quality, totally recommen"&amp;"ded.")</f>
        <v>JET NOZZLE ACCURATE TO AVOID SPILLS The color of this kettle is very elegant, is stainless steel and has a dark gray color that goes well with all kinds of kitchen design, has a capacity of one liter of water, so it is small for large families, but for one or two people is ideal, also for travel, I always I'll take it because I like to have in the hotel room the possibility of taking one is the time to be infused, and also not I trust that you put in the rooms, which many people use it. The back and down, leads the switch on and off, it is bright, above it is the handle, which is black plastic on the inside carries a window we can see the amount of water left us inside the boiler, is marked by ml., the nozzle through which pour the water is well designed, is made to pour water safely, without spilling any, also carries a filter inside of the nozzle can be removed for washing, the power of the boiler is 2400 W, able to boil a cup of water in 50 seconds, for it has a zone of rapid boiling, where is marked one, two or three cups, so we fill of water quantity desired. I like it because it has very good features, boil water very fast, running water out very precise to avoid spills, and the size is right for travel, good price and good quality, totally recommended.</v>
      </c>
    </row>
    <row r="17024">
      <c r="A17024" s="1">
        <v>5.0</v>
      </c>
      <c r="B17024" s="1" t="s">
        <v>16861</v>
      </c>
      <c r="C17024" t="str">
        <f>IFERROR(__xludf.DUMMYFUNCTION("GOOGLETRANSLATE(B17024, ""es"", ""en"")"),"Well is as expected, it looks good and is perfect for sports or yoga, which was my case. Good size")</f>
        <v>Well is as expected, it looks good and is perfect for sports or yoga, which was my case. Good size</v>
      </c>
    </row>
    <row r="17025">
      <c r="A17025" s="1">
        <v>5.0</v>
      </c>
      <c r="B17025" s="1" t="s">
        <v>16862</v>
      </c>
      <c r="C17025" t="str">
        <f>IFERROR(__xludf.DUMMYFUNCTION("GOOGLETRANSLATE(B17025, ""es"", ""en"")"),"It's great fingers massaging seem")</f>
        <v>It's great fingers massaging seem</v>
      </c>
    </row>
    <row r="17026">
      <c r="A17026" s="1">
        <v>5.0</v>
      </c>
      <c r="B17026" s="1" t="s">
        <v>16863</v>
      </c>
      <c r="C17026" t="str">
        <f>IFERROR(__xludf.DUMMYFUNCTION("GOOGLETRANSLATE(B17026, ""es"", ""en"")"),"A large pendrive pen high quality, the brand is an element to consider. He is looking for a pen, medium-quality brand. It is the sixth of verbatim and have hasa date has not been spoiled me none and use daily.")</f>
        <v>A large pendrive pen high quality, the brand is an element to consider. He is looking for a pen, medium-quality brand. It is the sixth of verbatim and have hasa date has not been spoiled me none and use daily.</v>
      </c>
    </row>
    <row r="17027">
      <c r="A17027" s="1">
        <v>5.0</v>
      </c>
      <c r="B17027" s="1" t="s">
        <v>16864</v>
      </c>
      <c r="C17027" t="str">
        <f>IFERROR(__xludf.DUMMYFUNCTION("GOOGLETRANSLATE(B17027, ""es"", ""en"")"),"Very good quality training. Choose one size smaller. thin tracksuit and tight knee down and zipped the bottom. It is a tracksuit for training.")</f>
        <v>Very good quality training. Choose one size smaller. thin tracksuit and tight knee down and zipped the bottom. It is a tracksuit for training.</v>
      </c>
    </row>
    <row r="17028">
      <c r="A17028" s="1">
        <v>5.0</v>
      </c>
      <c r="B17028" s="1" t="s">
        <v>16865</v>
      </c>
      <c r="C17028" t="str">
        <f>IFERROR(__xludf.DUMMYFUNCTION("GOOGLETRANSLATE(B17028, ""es"", ""en"")"),"Very perfect chrome, I thought it was over but is thinner sweatshirt best for this time")</f>
        <v>Very perfect chrome, I thought it was over but is thinner sweatshirt best for this time</v>
      </c>
    </row>
    <row r="17029">
      <c r="A17029" s="1">
        <v>5.0</v>
      </c>
      <c r="B17029" s="1" t="s">
        <v>16866</v>
      </c>
      <c r="C17029" t="str">
        <f>IFERROR(__xludf.DUMMYFUNCTION("GOOGLETRANSLATE(B17029, ""es"", ""en"")"),"It is the best you are comfortable and cool Construction materials are good at the beginning comes as mature that eventually wears a bit and becomes a soft tad but soft wants to say it becomes bad are still very good and maintaining its quality I am very "&amp;"happy with them would buy me when I from breaking if you let me break because they see if they are good ...")</f>
        <v>It is the best you are comfortable and cool Construction materials are good at the beginning comes as mature that eventually wears a bit and becomes a soft tad but soft wants to say it becomes bad are still very good and maintaining its quality I am very happy with them would buy me when I from breaking if you let me break because they see if they are good ...</v>
      </c>
    </row>
    <row r="17030">
      <c r="A17030" s="1">
        <v>5.0</v>
      </c>
      <c r="B17030" s="1" t="s">
        <v>16867</v>
      </c>
      <c r="C17030" t="str">
        <f>IFERROR(__xludf.DUMMYFUNCTION("GOOGLETRANSLATE(B17030, ""es"", ""en"")"),"My best work tool I use to work and the recording quality is exquisite. Certainly worth the price we paid for it.")</f>
        <v>My best work tool I use to work and the recording quality is exquisite. Certainly worth the price we paid for it.</v>
      </c>
    </row>
    <row r="17031">
      <c r="A17031" s="1">
        <v>5.0</v>
      </c>
      <c r="B17031" s="1" t="s">
        <v>16868</v>
      </c>
      <c r="C17031" t="str">
        <f>IFERROR(__xludf.DUMMYFUNCTION("GOOGLETRANSLATE(B17031, ""es"", ""en"")"),"Perfect perfect shower for 1x1. I already had one of these features but it was closer. Comfortable, practical and durable.")</f>
        <v>Perfect perfect shower for 1x1. I already had one of these features but it was closer. Comfortable, practical and durable.</v>
      </c>
    </row>
    <row r="17032">
      <c r="A17032" s="1">
        <v>5.0</v>
      </c>
      <c r="B17032" s="1" t="s">
        <v>16869</v>
      </c>
      <c r="C17032" t="str">
        <f>IFERROR(__xludf.DUMMYFUNCTION("GOOGLETRANSLATE(B17032, ""es"", ""en"")"),"For a speaker size")</f>
        <v>For a speaker size</v>
      </c>
    </row>
    <row r="17033">
      <c r="A17033" s="1">
        <v>5.0</v>
      </c>
      <c r="B17033" s="1" t="s">
        <v>16870</v>
      </c>
      <c r="C17033" t="str">
        <f>IFERROR(__xludf.DUMMYFUNCTION("GOOGLETRANSLATE(B17033, ""es"", ""en"")"),"Very clean Best Buy, I use it to clean the grill and let impeccable. I recommend 100%")</f>
        <v>Very clean Best Buy, I use it to clean the grill and let impeccable. I recommend 100%</v>
      </c>
    </row>
    <row r="17034">
      <c r="A17034" s="1">
        <v>2.0</v>
      </c>
      <c r="B17034" s="1" t="s">
        <v>16871</v>
      </c>
      <c r="C17034" t="str">
        <f>IFERROR(__xludf.DUMMYFUNCTION("GOOGLETRANSLATE(B17034, ""es"", ""en"")"),"Poor quality poor quality I was expecting something better")</f>
        <v>Poor quality poor quality I was expecting something better</v>
      </c>
    </row>
    <row r="17035">
      <c r="A17035" s="1">
        <v>3.0</v>
      </c>
      <c r="B17035" s="1" t="s">
        <v>16872</v>
      </c>
      <c r="C17035" t="str">
        <f>IFERROR(__xludf.DUMMYFUNCTION("GOOGLETRANSLATE(B17035, ""es"", ""en"")"),"Personally Comodo reaction gives me the seams. It is comfortable. Although not wearing padding say that if cold, because already know! For the price and just right!")</f>
        <v>Personally Comodo reaction gives me the seams. It is comfortable. Although not wearing padding say that if cold, because already know! For the price and just right!</v>
      </c>
    </row>
    <row r="17036">
      <c r="A17036" s="1">
        <v>1.0</v>
      </c>
      <c r="B17036" s="1" t="s">
        <v>16873</v>
      </c>
      <c r="C17036" t="str">
        <f>IFERROR(__xludf.DUMMYFUNCTION("GOOGLETRANSLATE(B17036, ""es"", ""en"")"),"TIGHT BOOTS ARE VERY BEAUTIFUL BUT ARE PEOPLE WITH FOOT FOR NARROW VERY")</f>
        <v>TIGHT BOOTS ARE VERY BEAUTIFUL BUT ARE PEOPLE WITH FOOT FOR NARROW VERY</v>
      </c>
    </row>
    <row r="17037">
      <c r="A17037" s="1">
        <v>1.0</v>
      </c>
      <c r="B17037" s="1" t="s">
        <v>16874</v>
      </c>
      <c r="C17037" t="str">
        <f>IFERROR(__xludf.DUMMYFUNCTION("GOOGLETRANSLATE(B17037, ""es"", ""en"")"),"Memory cards give me a lot of mistakes, not recommended is a portal where you can find any materials you require, adjusted price and fast shipping, however this material did not meet my expectations too many errors and data loss that caused me many proble"&amp;"ms the application")</f>
        <v>Memory cards give me a lot of mistakes, not recommended is a portal where you can find any materials you require, adjusted price and fast shipping, however this material did not meet my expectations too many errors and data loss that caused me many problems the application</v>
      </c>
    </row>
    <row r="17038">
      <c r="A17038" s="1">
        <v>4.0</v>
      </c>
      <c r="B17038" s="1" t="s">
        <v>16875</v>
      </c>
      <c r="C17038" t="str">
        <f>IFERROR(__xludf.DUMMYFUNCTION("GOOGLETRANSLATE(B17038, ""es"", ""en"")"),"Good sound good sound for a price very tight. It is increasingly difficult to find this type of earbuds")</f>
        <v>Good sound good sound for a price very tight. It is increasingly difficult to find this type of earbuds</v>
      </c>
    </row>
    <row r="17039">
      <c r="A17039" s="1">
        <v>4.0</v>
      </c>
      <c r="B17039" s="1" t="s">
        <v>16876</v>
      </c>
      <c r="C17039" t="str">
        <f>IFERROR(__xludf.DUMMYFUNCTION("GOOGLETRANSLATE(B17039, ""es"", ""en"")"),"Okay okay but I had to change because they wanted higher")</f>
        <v>Okay okay but I had to change because they wanted higher</v>
      </c>
    </row>
    <row r="17040">
      <c r="A17040" s="1">
        <v>4.0</v>
      </c>
      <c r="B17040" s="1" t="s">
        <v>16877</v>
      </c>
      <c r="C17040" t="str">
        <f>IFERROR(__xludf.DUMMYFUNCTION("GOOGLETRANSLATE(B17040, ""es"", ""en"")"),"Realitza well its function well and Rapides It maps. They struggle to save the carpet.")</f>
        <v>Realitza well its function well and Rapides It maps. They struggle to save the carpet.</v>
      </c>
    </row>
    <row r="17041">
      <c r="A17041" s="1">
        <v>4.0</v>
      </c>
      <c r="B17041" s="1" t="s">
        <v>16878</v>
      </c>
      <c r="C17041" t="str">
        <f>IFERROR(__xludf.DUMMYFUNCTION("GOOGLETRANSLATE(B17041, ""es"", ""en"")"),"Fulfills its role to perfection is perfectly suited to ceferino brackets and can take the weight of the pole. For the price buy two just in case.")</f>
        <v>Fulfills its role to perfection is perfectly suited to ceferino brackets and can take the weight of the pole. For the price buy two just in case.</v>
      </c>
    </row>
    <row r="17042">
      <c r="A17042" s="1">
        <v>4.0</v>
      </c>
      <c r="B17042" s="1" t="s">
        <v>16879</v>
      </c>
      <c r="C17042" t="str">
        <f>IFERROR(__xludf.DUMMYFUNCTION("GOOGLETRANSLATE(B17042, ""es"", ""en"")"),"We use it especially for compact pureeing, stick unique is that the vegetables have to cook them before so there are no lumps, it is definitely a buy recommended to anyone looking for a compact mixer")</f>
        <v>We use it especially for compact pureeing, stick unique is that the vegetables have to cook them before so there are no lumps, it is definitely a buy recommended to anyone looking for a compact mixer</v>
      </c>
    </row>
    <row r="17043">
      <c r="A17043" s="1">
        <v>5.0</v>
      </c>
      <c r="B17043" s="1" t="s">
        <v>16880</v>
      </c>
      <c r="C17043" t="str">
        <f>IFERROR(__xludf.DUMMYFUNCTION("GOOGLETRANSLATE(B17043, ""es"", ""en"")"),"Much better than I expected work in front of a screen and use glasses to not force both eyes. At the beginning they bother me a bit because I squeezed and ended with headache. As they were taking and was finding the way, he was more comfortable and Agusto"&amp;" was with them. Today, and used without problems and no longer bother me. As for the sound quality is really very good. It is clear that can not be compared with about 100, 200 or 300 € but that cost me 26 €, the truth is that one can not complain. On the"&amp;" other hand, the battery lasts me 4 to 5 days. There are people who says he is short. In my case he behaves, it will not if it's because they are still new or why but in that aspect am also very happy.")</f>
        <v>Much better than I expected work in front of a screen and use glasses to not force both eyes. At the beginning they bother me a bit because I squeezed and ended with headache. As they were taking and was finding the way, he was more comfortable and Agusto was with them. Today, and used without problems and no longer bother me. As for the sound quality is really very good. It is clear that can not be compared with about 100, 200 or 300 € but that cost me 26 €, the truth is that one can not complain. On the other hand, the battery lasts me 4 to 5 days. There are people who says he is short. In my case he behaves, it will not if it's because they are still new or why but in that aspect am also very happy.</v>
      </c>
    </row>
    <row r="17044">
      <c r="A17044" s="1">
        <v>5.0</v>
      </c>
      <c r="B17044" s="1" t="s">
        <v>16881</v>
      </c>
      <c r="C17044" t="str">
        <f>IFERROR(__xludf.DUMMYFUNCTION("GOOGLETRANSLATE(B17044, ""es"", ""en"")"),"Very good bottles My son loves her nipple, perfectly round, not like the NUK that are flat. They are easily cleaned. I have a sterilizer and I avant fit 6")</f>
        <v>Very good bottles My son loves her nipple, perfectly round, not like the NUK that are flat. They are easily cleaned. I have a sterilizer and I avant fit 6</v>
      </c>
    </row>
    <row r="17045">
      <c r="A17045" s="1">
        <v>5.0</v>
      </c>
      <c r="B17045" s="1" t="s">
        <v>16882</v>
      </c>
      <c r="C17045" t="str">
        <f>IFERROR(__xludf.DUMMYFUNCTION("GOOGLETRANSLATE(B17045, ""es"", ""en"")"),"Quality and price I loved this watch is very comfortable, has many options, it connects super easy with the phone, telling me time, steps, calories expended, controlled deep sleep. It also comes with another bracelet, to change. Highly recommended! Thank "&amp;"you seller!")</f>
        <v>Quality and price I loved this watch is very comfortable, has many options, it connects super easy with the phone, telling me time, steps, calories expended, controlled deep sleep. It also comes with another bracelet, to change. Highly recommended! Thank you seller!</v>
      </c>
    </row>
    <row r="17046">
      <c r="A17046" s="1">
        <v>5.0</v>
      </c>
      <c r="B17046" s="1" t="s">
        <v>16883</v>
      </c>
      <c r="C17046" t="str">
        <f>IFERROR(__xludf.DUMMYFUNCTION("GOOGLETRANSLATE(B17046, ""es"", ""en"")"),"Very good quality biberon have already bought several and at a very good")</f>
        <v>Very good quality biberon have already bought several and at a very good</v>
      </c>
    </row>
    <row r="17047">
      <c r="A17047" s="1">
        <v>5.0</v>
      </c>
      <c r="B17047" s="1" t="s">
        <v>16884</v>
      </c>
      <c r="C17047" t="str">
        <f>IFERROR(__xludf.DUMMYFUNCTION("GOOGLETRANSLATE(B17047, ""es"", ""en"")"),"Comfortable and nice Very good, comfortable and beautiful")</f>
        <v>Comfortable and nice Very good, comfortable and beautiful</v>
      </c>
    </row>
    <row r="17048">
      <c r="A17048" s="1">
        <v>5.0</v>
      </c>
      <c r="B17048" s="1" t="s">
        <v>16885</v>
      </c>
      <c r="C17048" t="str">
        <f>IFERROR(__xludf.DUMMYFUNCTION("GOOGLETRANSLATE(B17048, ""es"", ""en"")"),"A perfect gift gift super nice and good")</f>
        <v>A perfect gift gift super nice and good</v>
      </c>
    </row>
    <row r="17049">
      <c r="A17049" s="1">
        <v>5.0</v>
      </c>
      <c r="B17049" s="1" t="s">
        <v>16886</v>
      </c>
      <c r="C17049" t="str">
        <f>IFERROR(__xludf.DUMMYFUNCTION("GOOGLETRANSLATE(B17049, ""es"", ""en"")"),"Beautiful and functional alarm clock radio alarm clock connected I purchased this light and radio as I wanted to change my old alarm clock and it caught my attention the network to connect to my wifi and able to handle it from the mobile and / or voice. S"&amp;"o said and done, the connection to the wireless network is simple using the app SmartLife, after registration, with only search for new devices and then setting it to your WiFi network (considering that only supports WLAN 2.4 GHz) while the icon wifi inte"&amp;"rmittently flashes the clock. After that, an identical picture on the app appears to watch with all its buttons and from where can manually handle as if you were present but pudiendolo done from home or from the road if you need it. A connected time I adv"&amp;"ise connect it to your Alexa or Google Home just by adding a new device (light type) by choosing the link to your account SmartLife with what you will find new devices to handle (light, alarms, radioFM, snooze, sleep ) which can be controlled with simple "&amp;"voice commands. You can turn on / off each of them just say the command and its name. It is very comfortable on the radio and light to the intensity level you want when you wake up or stop one of the alarms you've set to wake you up with a nice effect daw"&amp;"n along with some of the 3 nature sounds or alarm tones. A real blast !! Prominent features: ✔️ sleek and elegant design including network adapter and battery if unplugged. ✔️ multitude of alarms with environmental sounds and dawn effect. ✔️ LED light wit"&amp;"h different intensities and / or colors. ✔️ FM radio with automatic preset and selectable as alarm. ✔️ fantastic SmartLife Control by voice or even Google or Alexa Assistant. I love it in the next release include: ✔️ able to send voice messages and be pla"&amp;"yed through your speaker. ✔️ Add support bluetooth for sending sound.")</f>
        <v>Beautiful and functional alarm clock radio alarm clock connected I purchased this light and radio as I wanted to change my old alarm clock and it caught my attention the network to connect to my wifi and able to handle it from the mobile and / or voice. So said and done, the connection to the wireless network is simple using the app SmartLife, after registration, with only search for new devices and then setting it to your WiFi network (considering that only supports WLAN 2.4 GHz) while the icon wifi intermittently flashes the clock. After that, an identical picture on the app appears to watch with all its buttons and from where can manually handle as if you were present but pudiendolo done from home or from the road if you need it. A connected time I advise connect it to your Alexa or Google Home just by adding a new device (light type) by choosing the link to your account SmartLife with what you will find new devices to handle (light, alarms, radioFM, snooze, sleep ) which can be controlled with simple voice commands. You can turn on / off each of them just say the command and its name. It is very comfortable on the radio and light to the intensity level you want when you wake up or stop one of the alarms you've set to wake you up with a nice effect dawn along with some of the 3 nature sounds or alarm tones. A real blast !! Prominent features: ✔️ sleek and elegant design including network adapter and battery if unplugged. ✔️ multitude of alarms with environmental sounds and dawn effect. ✔️ LED light with different intensities and / or colors. ✔️ FM radio with automatic preset and selectable as alarm. ✔️ fantastic SmartLife Control by voice or even Google or Alexa Assistant. I love it in the next release include: ✔️ able to send voice messages and be played through your speaker. ✔️ Add support bluetooth for sending sound.</v>
      </c>
    </row>
    <row r="17050">
      <c r="A17050" s="1">
        <v>5.0</v>
      </c>
      <c r="B17050" s="1" t="s">
        <v>16887</v>
      </c>
      <c r="C17050" t="str">
        <f>IFERROR(__xludf.DUMMYFUNCTION("GOOGLETRANSLATE(B17050, ""es"", ""en"")"),"Price | Excellent quality !! I really liked the color and material. They are lightweight and very comfortable.")</f>
        <v>Price | Excellent quality !! I really liked the color and material. They are lightweight and very comfortable.</v>
      </c>
    </row>
    <row r="17051">
      <c r="A17051" s="1">
        <v>5.0</v>
      </c>
      <c r="B17051" s="1" t="s">
        <v>16888</v>
      </c>
      <c r="C17051" t="str">
        <f>IFERROR(__xludf.DUMMYFUNCTION("GOOGLETRANSLATE(B17051, ""es"", ""en"")"),"Amazing product excellent speed, start up your computer in seconds and work is amazing what processes are improved")</f>
        <v>Amazing product excellent speed, start up your computer in seconds and work is amazing what processes are improved</v>
      </c>
    </row>
    <row r="17052">
      <c r="A17052" s="1">
        <v>5.0</v>
      </c>
      <c r="B17052" s="1" t="s">
        <v>238</v>
      </c>
      <c r="C17052" t="str">
        <f>IFERROR(__xludf.DUMMYFUNCTION("GOOGLETRANSLATE(B17052, ""es"", ""en"")"),"perfect perfect")</f>
        <v>perfect perfect</v>
      </c>
    </row>
    <row r="17053">
      <c r="A17053" s="1">
        <v>5.0</v>
      </c>
      <c r="B17053" s="1" t="s">
        <v>16889</v>
      </c>
      <c r="C17053" t="str">
        <f>IFERROR(__xludf.DUMMYFUNCTION("GOOGLETRANSLATE(B17053, ""es"", ""en"")"),"They come in the package perfect three glue sticks, not two as advertised. Well because they are the glue scotch bars forever, simply bring dibujitos as if they were for babies, but stick like all.")</f>
        <v>They come in the package perfect three glue sticks, not two as advertised. Well because they are the glue scotch bars forever, simply bring dibujitos as if they were for babies, but stick like all.</v>
      </c>
    </row>
    <row r="17054">
      <c r="A17054" s="1">
        <v>5.0</v>
      </c>
      <c r="B17054" s="1" t="s">
        <v>16890</v>
      </c>
      <c r="C17054" t="str">
        <f>IFERROR(__xludf.DUMMYFUNCTION("GOOGLETRANSLATE(B17054, ""es"", ""en"")"),"Comfort I liked, very good value, comfortable and light.")</f>
        <v>Comfort I liked, very good value, comfortable and light.</v>
      </c>
    </row>
    <row r="17055">
      <c r="A17055" s="1">
        <v>5.0</v>
      </c>
      <c r="B17055" s="1" t="s">
        <v>16891</v>
      </c>
      <c r="C17055" t="str">
        <f>IFERROR(__xludf.DUMMYFUNCTION("GOOGLETRANSLATE(B17055, ""es"", ""en"")"),"Execelente speaker is great for all kinds and even karaoke parties. Recommendable. Potability is very good and comoda.los micros hear very well.")</f>
        <v>Execelente speaker is great for all kinds and even karaoke parties. Recommendable. Potability is very good and comoda.los micros hear very well.</v>
      </c>
    </row>
    <row r="17056">
      <c r="A17056" s="1">
        <v>5.0</v>
      </c>
      <c r="B17056" s="1" t="s">
        <v>16892</v>
      </c>
      <c r="C17056" t="str">
        <f>IFERROR(__xludf.DUMMYFUNCTION("GOOGLETRANSLATE(B17056, ""es"", ""en"")"),"Great!!!! They are super comfortable, perfect size")</f>
        <v>Great!!!! They are super comfortable, perfect size</v>
      </c>
    </row>
    <row r="17057">
      <c r="A17057" s="1">
        <v>5.0</v>
      </c>
      <c r="B17057" s="1" t="s">
        <v>16893</v>
      </c>
      <c r="C17057" t="str">
        <f>IFERROR(__xludf.DUMMYFUNCTION("GOOGLETRANSLATE(B17057, ""es"", ""en"")"),"The article answers Perfect expected")</f>
        <v>The article answers Perfect expected</v>
      </c>
    </row>
    <row r="17058">
      <c r="A17058" s="1">
        <v>5.0</v>
      </c>
      <c r="B17058" s="1" t="s">
        <v>16894</v>
      </c>
      <c r="C17058" t="str">
        <f>IFERROR(__xludf.DUMMYFUNCTION("GOOGLETRANSLATE(B17058, ""es"", ""en"")"),"Preciazo Shipping very fast and there is much more to value. It is exactly what it says the description at a very competitive price.")</f>
        <v>Preciazo Shipping very fast and there is much more to value. It is exactly what it says the description at a very competitive price.</v>
      </c>
    </row>
    <row r="17059">
      <c r="A17059" s="1">
        <v>5.0</v>
      </c>
      <c r="B17059" s="1" t="s">
        <v>16895</v>
      </c>
      <c r="C17059" t="str">
        <f>IFERROR(__xludf.DUMMYFUNCTION("GOOGLETRANSLATE(B17059, ""es"", ""en"")"),"Very good quality good quality")</f>
        <v>Very good quality good quality</v>
      </c>
    </row>
    <row r="17060">
      <c r="A17060" s="1">
        <v>5.0</v>
      </c>
      <c r="B17060" s="1" t="s">
        <v>16896</v>
      </c>
      <c r="C17060" t="str">
        <f>IFERROR(__xludf.DUMMYFUNCTION("GOOGLETRANSLATE(B17060, ""es"", ""en"")"),"Leggings look great. They have a super good touch and are super comfortable. Valen for summer and invierno.son long.")</f>
        <v>Leggings look great. They have a super good touch and are super comfortable. Valen for summer and invierno.son long.</v>
      </c>
    </row>
    <row r="17061">
      <c r="A17061" s="1">
        <v>5.0</v>
      </c>
      <c r="B17061" s="1" t="s">
        <v>16897</v>
      </c>
      <c r="C17061" t="str">
        <f>IFERROR(__xludf.DUMMYFUNCTION("GOOGLETRANSLATE(B17061, ""es"", ""en"")"),"Excellent Excellent, the result is still very good. Hot to wear in winter, very comfortable")</f>
        <v>Excellent Excellent, the result is still very good. Hot to wear in winter, very comfortable</v>
      </c>
    </row>
    <row r="17062">
      <c r="A17062" s="1">
        <v>2.0</v>
      </c>
      <c r="B17062" s="1" t="s">
        <v>16898</v>
      </c>
      <c r="C17062" t="str">
        <f>IFERROR(__xludf.DUMMYFUNCTION("GOOGLETRANSLATE(B17062, ""es"", ""en"")"),"Shirt bra is not got nothing holding ... is like putting una.camiseta ... for sports is not valid. All you feel good")</f>
        <v>Shirt bra is not got nothing holding ... is like putting una.camiseta ... for sports is not valid. All you feel good</v>
      </c>
    </row>
    <row r="17063">
      <c r="A17063" s="1">
        <v>3.0</v>
      </c>
      <c r="B17063" s="1" t="s">
        <v>16899</v>
      </c>
      <c r="C17063" t="str">
        <f>IFERROR(__xludf.DUMMYFUNCTION("GOOGLETRANSLATE(B17063, ""es"", ""en"")"),"What I mess with carvings !!!! 'Do not hit with carvings or here on Amazon, or Aliexpres or whatever comes from Internet !!! Read the reviews, see the pictures, the size chart ... and even so! My measurements: 1.75 cm, 68 kg. Normal size: L or M. I ordere"&amp;"d the M beat me wanting to stay as the cover photo, but rather squeezes my waist and leg is too long. Would accept it anyway if not the shot is very low: about 10 cm Sobran! (The shot is the fabric that hangs between the legs) and the legs of his pants: I"&amp;" left over in the buttocks, thighs spare me and calves. He would have to sew myself cutting back two centimeters on each piece, or 4 centimeters in circumference! There is an app that automatically measures you with a single photo. What work would cost Am"&amp;"azon Acers with her? 'D be right forever! Moreover, it is warm, comfortable and smooth. Sorry return :( Conclusion: Poorly designed spoil a good fabric If he purchased the size S, let's see how to loosen the rubber waist Incidentally, S, is surely the one"&amp;" with the cover model,.! fijense not covering the ankle! you should feel oppressed waist ... And still you about shooting between the legs! no I think Adidas commit such failure seam.")</f>
        <v>What I mess with carvings !!!! 'Do not hit with carvings or here on Amazon, or Aliexpres or whatever comes from Internet !!! Read the reviews, see the pictures, the size chart ... and even so! My measurements: 1.75 cm, 68 kg. Normal size: L or M. I ordered the M beat me wanting to stay as the cover photo, but rather squeezes my waist and leg is too long. Would accept it anyway if not the shot is very low: about 10 cm Sobran! (The shot is the fabric that hangs between the legs) and the legs of his pants: I left over in the buttocks, thighs spare me and calves. He would have to sew myself cutting back two centimeters on each piece, or 4 centimeters in circumference! There is an app that automatically measures you with a single photo. What work would cost Amazon Acers with her? 'D be right forever! Moreover, it is warm, comfortable and smooth. Sorry return :( Conclusion: Poorly designed spoil a good fabric If he purchased the size S, let's see how to loosen the rubber waist Incidentally, S, is surely the one with the cover model,.! fijense not covering the ankle! you should feel oppressed waist ... And still you about shooting between the legs! no I think Adidas commit such failure seam.</v>
      </c>
    </row>
    <row r="17064">
      <c r="A17064" s="1">
        <v>3.0</v>
      </c>
      <c r="B17064" s="1" t="s">
        <v>16900</v>
      </c>
      <c r="C17064" t="str">
        <f>IFERROR(__xludf.DUMMYFUNCTION("GOOGLETRANSLATE(B17064, ""es"", ""en"")"),"It's a bit strong for some areas to the middle back is something strong, upper back or kidneys can handle. Legroom is fine. Happy now but I hope q last because it goes round and round and caught some day as bone do not know if I break me or appliance brea"&amp;"ks down, it remains to be seen ...")</f>
        <v>It's a bit strong for some areas to the middle back is something strong, upper back or kidneys can handle. Legroom is fine. Happy now but I hope q last because it goes round and round and caught some day as bone do not know if I break me or appliance breaks down, it remains to be seen ...</v>
      </c>
    </row>
    <row r="17065">
      <c r="A17065" s="1">
        <v>1.0</v>
      </c>
      <c r="B17065" s="1" t="s">
        <v>16901</v>
      </c>
      <c r="C17065" t="str">
        <f>IFERROR(__xludf.DUMMYFUNCTION("GOOGLETRANSLATE(B17065, ""es"", ""en"")"),"SCAM - were not original or new Los Airpods came in a box that was not sealed, they were used and came loose in the box, also they do not work well and are not originals, seem a copy.")</f>
        <v>SCAM - were not original or new Los Airpods came in a box that was not sealed, they were used and came loose in the box, also they do not work well and are not originals, seem a copy.</v>
      </c>
    </row>
    <row r="17066">
      <c r="A17066" s="1">
        <v>1.0</v>
      </c>
      <c r="B17066" s="1" t="s">
        <v>16902</v>
      </c>
      <c r="C17066" t="str">
        <f>IFERROR(__xludf.DUMMYFUNCTION("GOOGLETRANSLATE(B17066, ""es"", ""en"")"),"Not working properly and I lost my money Fatal, terrible noise is heard, not record successfully")</f>
        <v>Not working properly and I lost my money Fatal, terrible noise is heard, not record successfully</v>
      </c>
    </row>
    <row r="17067">
      <c r="A17067" s="1">
        <v>1.0</v>
      </c>
      <c r="B17067" s="1" t="s">
        <v>16903</v>
      </c>
      <c r="C17067" t="str">
        <f>IFERROR(__xludf.DUMMYFUNCTION("GOOGLETRANSLATE(B17067, ""es"", ""en"")"),"He did not like The sounds hard drive inside something loose material a little bad")</f>
        <v>He did not like The sounds hard drive inside something loose material a little bad</v>
      </c>
    </row>
    <row r="17068">
      <c r="A17068" s="1">
        <v>4.0</v>
      </c>
      <c r="B17068" s="1" t="s">
        <v>16904</v>
      </c>
      <c r="C17068" t="str">
        <f>IFERROR(__xludf.DUMMYFUNCTION("GOOGLETRANSLATE(B17068, ""es"", ""en"")"),"They are comfortable to walk a comfortable and cool shoes, but put something uglier are the photos of the model.")</f>
        <v>They are comfortable to walk a comfortable and cool shoes, but put something uglier are the photos of the model.</v>
      </c>
    </row>
    <row r="17069">
      <c r="A17069" s="1">
        <v>4.0</v>
      </c>
      <c r="B17069" s="1" t="s">
        <v>16905</v>
      </c>
      <c r="C17069" t="str">
        <f>IFERROR(__xludf.DUMMYFUNCTION("GOOGLETRANSLATE(B17069, ""es"", ""en"")"),"The pen is very cool very cool and Super Super. It has come within marking. I just do not wick liked is that I bought supposedly brings 32 gb and 29. I know you always lose something, but 3GB ... I've seen too")</f>
        <v>The pen is very cool very cool and Super Super. It has come within marking. I just do not wick liked is that I bought supposedly brings 32 gb and 29. I know you always lose something, but 3GB ... I've seen too</v>
      </c>
    </row>
    <row r="17070">
      <c r="A17070" s="1">
        <v>4.0</v>
      </c>
      <c r="B17070" s="1" t="s">
        <v>16906</v>
      </c>
      <c r="C17070" t="str">
        <f>IFERROR(__xludf.DUMMYFUNCTION("GOOGLETRANSLATE(B17070, ""es"", ""en"")"),"Good micro Does what it says is a micro tie for mobile, which records acceptably well for 20 € it costs, but if you are looking for a semi-professional at least result then I recommend you choose one of better quality like Rode.")</f>
        <v>Good micro Does what it says is a micro tie for mobile, which records acceptably well for 20 € it costs, but if you are looking for a semi-professional at least result then I recommend you choose one of better quality like Rode.</v>
      </c>
    </row>
    <row r="17071">
      <c r="A17071" s="1">
        <v>4.0</v>
      </c>
      <c r="B17071" s="1" t="s">
        <v>16907</v>
      </c>
      <c r="C17071" t="str">
        <f>IFERROR(__xludf.DUMMYFUNCTION("GOOGLETRANSLATE(B17071, ""es"", ""en"")"),"He sent efficiently I use to dress")</f>
        <v>He sent efficiently I use to dress</v>
      </c>
    </row>
    <row r="17072">
      <c r="A17072" s="1">
        <v>4.0</v>
      </c>
      <c r="B17072" s="1" t="s">
        <v>16908</v>
      </c>
      <c r="C17072" t="str">
        <f>IFERROR(__xludf.DUMMYFUNCTION("GOOGLETRANSLATE(B17072, ""es"", ""en"")"),"So beautiful is an opinion on why they were not for me and still not have tried. Outside are beautiful .... to see if they will be comfortable")</f>
        <v>So beautiful is an opinion on why they were not for me and still not have tried. Outside are beautiful .... to see if they will be comfortable</v>
      </c>
    </row>
    <row r="17073">
      <c r="A17073" s="1">
        <v>5.0</v>
      </c>
      <c r="B17073" s="1" t="s">
        <v>16909</v>
      </c>
      <c r="C17073" t="str">
        <f>IFERROR(__xludf.DUMMYFUNCTION("GOOGLETRANSLATE(B17073, ""es"", ""en"")"),"This great good product good product fits the iPad fits me well all you need is waterproof and spacious great, it is perfect and very good materiale")</f>
        <v>This great good product good product fits the iPad fits me well all you need is waterproof and spacious great, it is perfect and very good materiale</v>
      </c>
    </row>
    <row r="17074">
      <c r="A17074" s="1">
        <v>5.0</v>
      </c>
      <c r="B17074" s="1" t="s">
        <v>16910</v>
      </c>
      <c r="C17074" t="str">
        <f>IFERROR(__xludf.DUMMYFUNCTION("GOOGLETRANSLATE(B17074, ""es"", ""en"")"),"The future for laptops today they are removing the USB A ports is essential pendrive this even higher capacities. VERY HIGH transfer rate, and how are protected tips for the best duo I've seen. I highly recommend")</f>
        <v>The future for laptops today they are removing the USB A ports is essential pendrive this even higher capacities. VERY HIGH transfer rate, and how are protected tips for the best duo I've seen. I highly recommend</v>
      </c>
    </row>
    <row r="17075">
      <c r="A17075" s="1">
        <v>5.0</v>
      </c>
      <c r="B17075" s="1" t="s">
        <v>16911</v>
      </c>
      <c r="C17075" t="str">
        <f>IFERROR(__xludf.DUMMYFUNCTION("GOOGLETRANSLATE(B17075, ""es"", ""en"")"),"Gorgeous elegance presentation and an exquisite finish this discreet but very visible pendant, ideal for any age. Very satisfied with value for money.")</f>
        <v>Gorgeous elegance presentation and an exquisite finish this discreet but very visible pendant, ideal for any age. Very satisfied with value for money.</v>
      </c>
    </row>
    <row r="17076">
      <c r="A17076" s="1">
        <v>5.0</v>
      </c>
      <c r="B17076" s="1" t="s">
        <v>16912</v>
      </c>
      <c r="C17076" t="str">
        <f>IFERROR(__xludf.DUMMYFUNCTION("GOOGLETRANSLATE(B17076, ""es"", ""en"")"),"Perfect quality and perfect price and super good smell a smell that is not tire of the time to recommend the best quality price")</f>
        <v>Perfect quality and perfect price and super good smell a smell that is not tire of the time to recommend the best quality price</v>
      </c>
    </row>
    <row r="17077">
      <c r="A17077" s="1">
        <v>5.0</v>
      </c>
      <c r="B17077" s="1" t="s">
        <v>16913</v>
      </c>
      <c r="C17077" t="str">
        <f>IFERROR(__xludf.DUMMYFUNCTION("GOOGLETRANSLATE(B17077, ""es"", ""en"")"),"Everything Ok ok")</f>
        <v>Everything Ok ok</v>
      </c>
    </row>
    <row r="17078">
      <c r="A17078" s="1">
        <v>5.0</v>
      </c>
      <c r="B17078" s="1" t="s">
        <v>16914</v>
      </c>
      <c r="C17078" t="str">
        <f>IFERROR(__xludf.DUMMYFUNCTION("GOOGLETRANSLATE(B17078, ""es"", ""en"")"),"Very comfortable all great even use it to sleep. Gcias")</f>
        <v>Very comfortable all great even use it to sleep. Gcias</v>
      </c>
    </row>
    <row r="17079">
      <c r="A17079" s="1">
        <v>5.0</v>
      </c>
      <c r="B17079" s="1" t="s">
        <v>16915</v>
      </c>
      <c r="C17079" t="str">
        <f>IFERROR(__xludf.DUMMYFUNCTION("GOOGLETRANSLATE(B17079, ""es"", ""en"")"),"Erick normman perfect can be boiled to disinfect without spoilage and come with a protector for the content of the bottle is not great spill to go traveling. The pacifier has an anatomical shape that no child dislike for anything good product and good bra"&amp;"nd had to be German.")</f>
        <v>Erick normman perfect can be boiled to disinfect without spoilage and come with a protector for the content of the bottle is not great spill to go traveling. The pacifier has an anatomical shape that no child dislike for anything good product and good brand had to be German.</v>
      </c>
    </row>
    <row r="17080">
      <c r="A17080" s="1">
        <v>5.0</v>
      </c>
      <c r="B17080" s="1" t="s">
        <v>16916</v>
      </c>
      <c r="C17080" t="str">
        <f>IFERROR(__xludf.DUMMYFUNCTION("GOOGLETRANSLATE(B17080, ""es"", ""en"")"),"I love beautiful, very delicate, perfect for a gift.")</f>
        <v>I love beautiful, very delicate, perfect for a gift.</v>
      </c>
    </row>
    <row r="17081">
      <c r="A17081" s="1">
        <v>5.0</v>
      </c>
      <c r="B17081" s="1" t="s">
        <v>16917</v>
      </c>
      <c r="C17081" t="str">
        <f>IFERROR(__xludf.DUMMYFUNCTION("GOOGLETRANSLATE(B17081, ""es"", ""en"")"),"excellent cable. Even better looking than the pictures The cable is of high quality. I have not made comparing the quality of the sound with other cables, among other things because there is much myth with that, but what is clear is that when you make a w"&amp;"ant to install a quality cable, lasting years, and that does not compromise anything . Given the price, I recommend this cable. It's a little too fat to conveniently connect in some banana terminals, but still worth it.")</f>
        <v>excellent cable. Even better looking than the pictures The cable is of high quality. I have not made comparing the quality of the sound with other cables, among other things because there is much myth with that, but what is clear is that when you make a want to install a quality cable, lasting years, and that does not compromise anything . Given the price, I recommend this cable. It's a little too fat to conveniently connect in some banana terminals, but still worth it.</v>
      </c>
    </row>
    <row r="17082">
      <c r="A17082" s="1">
        <v>5.0</v>
      </c>
      <c r="B17082" s="1" t="s">
        <v>16918</v>
      </c>
      <c r="C17082" t="str">
        <f>IFERROR(__xludf.DUMMYFUNCTION("GOOGLETRANSLATE(B17082, ""es"", ""en"")"),"The product is in perfect product is in perfect condition and corresponds to the characteristics described. And I have received from one day to another is perfect and worth being Prime for 20 euros a year.")</f>
        <v>The product is in perfect product is in perfect condition and corresponds to the characteristics described. And I have received from one day to another is perfect and worth being Prime for 20 euros a year.</v>
      </c>
    </row>
    <row r="17083">
      <c r="A17083" s="1">
        <v>5.0</v>
      </c>
      <c r="B17083" s="1" t="s">
        <v>16919</v>
      </c>
      <c r="C17083" t="str">
        <f>IFERROR(__xludf.DUMMYFUNCTION("GOOGLETRANSLATE(B17083, ""es"", ""en"")"),"Just very practical they are slightly Carillos, but I find them very useful. I use them to clean sinks and bathroom sinks remains always get into the cracks of sinks and great. It did not take anything, I do it every week and are like new. The bristles ar"&amp;"e not very hard so do not serve to remove traces of work or the like.")</f>
        <v>Just very practical they are slightly Carillos, but I find them very useful. I use them to clean sinks and bathroom sinks remains always get into the cracks of sinks and great. It did not take anything, I do it every week and are like new. The bristles are not very hard so do not serve to remove traces of work or the like.</v>
      </c>
    </row>
    <row r="17084">
      <c r="A17084" s="1">
        <v>5.0</v>
      </c>
      <c r="B17084" s="1" t="s">
        <v>16920</v>
      </c>
      <c r="C17084" t="str">
        <f>IFERROR(__xludf.DUMMYFUNCTION("GOOGLETRANSLATE(B17084, ""es"", ""en"")"),"Perfect Second we ordered, very good results with very little you wash your hands thoroughly smeared with fat, is granulated, to the dense performs very well be the best I've had.")</f>
        <v>Perfect Second we ordered, very good results with very little you wash your hands thoroughly smeared with fat, is granulated, to the dense performs very well be the best I've had.</v>
      </c>
    </row>
    <row r="17085">
      <c r="A17085" s="1">
        <v>5.0</v>
      </c>
      <c r="B17085" s="1" t="s">
        <v>16921</v>
      </c>
      <c r="C17085" t="str">
        <f>IFERROR(__xludf.DUMMYFUNCTION("GOOGLETRANSLATE(B17085, ""es"", ""en"")"),"All very well trinket")</f>
        <v>All very well trinket</v>
      </c>
    </row>
    <row r="17086">
      <c r="A17086" s="1">
        <v>5.0</v>
      </c>
      <c r="B17086" s="1" t="s">
        <v>16922</v>
      </c>
      <c r="C17086" t="str">
        <f>IFERROR(__xludf.DUMMYFUNCTION("GOOGLETRANSLATE(B17086, ""es"", ""en"")"),"Speed ​​high price decided to upgrade my Acer laptop with a añitos using a SSD hard drive knowing its high speed compared to mechanical drives. I received it on the appropriate date and conditions, as always. Installation was simple, remove the old hard d"&amp;"rive, screw the Caddy joining to the previous drive and connect it to the Sata connection on your PC or laptop. I installed Windows 10, which cost me most about 10 minutes, and the magic was compared to be prepared to work my laptop in almost 2 minutes, n"&amp;"ow it takes to be prepared with the same PROGRAMS 8 seconds, a time difference huge. Now I get very heavy programs such as Adobe Premiere or similar pull up in a few seconds, or are installed in much less time. Really a purchase highly recommended to asse"&amp;"mble a new team, and especially to give a second life to your old computer, which thank you very much.")</f>
        <v>Speed ​​high price decided to upgrade my Acer laptop with a añitos using a SSD hard drive knowing its high speed compared to mechanical drives. I received it on the appropriate date and conditions, as always. Installation was simple, remove the old hard drive, screw the Caddy joining to the previous drive and connect it to the Sata connection on your PC or laptop. I installed Windows 10, which cost me most about 10 minutes, and the magic was compared to be prepared to work my laptop in almost 2 minutes, now it takes to be prepared with the same PROGRAMS 8 seconds, a time difference huge. Now I get very heavy programs such as Adobe Premiere or similar pull up in a few seconds, or are installed in much less time. Really a purchase highly recommended to assemble a new team, and especially to give a second life to your old computer, which thank you very much.</v>
      </c>
    </row>
    <row r="17087">
      <c r="A17087" s="1">
        <v>5.0</v>
      </c>
      <c r="B17087" s="1" t="s">
        <v>16923</v>
      </c>
      <c r="C17087" t="str">
        <f>IFERROR(__xludf.DUMMYFUNCTION("GOOGLETRANSLATE(B17087, ""es"", ""en"")"),"Execente by value is a good product and like most of those who bought say, fulfills everything he says. By putting a snag, the box is plastic and even comes with the same color as the belt, I suppose q will be the first q put him and of course if there is"&amp;" any rayon, you will see q is plastic, I recommend that you go out for a busy life that buy it with resin strap.")</f>
        <v>Execente by value is a good product and like most of those who bought say, fulfills everything he says. By putting a snag, the box is plastic and even comes with the same color as the belt, I suppose q will be the first q put him and of course if there is any rayon, you will see q is plastic, I recommend that you go out for a busy life that buy it with resin strap.</v>
      </c>
    </row>
    <row r="17088">
      <c r="A17088" s="1">
        <v>5.0</v>
      </c>
      <c r="B17088" s="1" t="s">
        <v>16924</v>
      </c>
      <c r="C17088" t="str">
        <f>IFERROR(__xludf.DUMMYFUNCTION("GOOGLETRANSLATE(B17088, ""es"", ""en"")"),"Today are very comfortable I liked the model")</f>
        <v>Today are very comfortable I liked the model</v>
      </c>
    </row>
    <row r="17089">
      <c r="A17089" s="1">
        <v>5.0</v>
      </c>
      <c r="B17089" s="1" t="s">
        <v>16925</v>
      </c>
      <c r="C17089" t="str">
        <f>IFERROR(__xludf.DUMMYFUNCTION("GOOGLETRANSLATE(B17089, ""es"", ""en"")"),"The modern and efficient kettle has a modern design that I loved and from it out of the box it shows that is made with good quality materials. At the base of the kettle (22 x 19 x 4 cm) are four buttons serving to select different functions: - Button 1 Cu"&amp;"p Turbo: to heat a cup of water (200 ml) in less than 60 seconds. - Button Start / Cancel: to heat water or stop the process. - Button Keep Warm: to maintain the temperature of the water for 40 minutes (less for the defined temperature in 100). - Preset b"&amp;"utton: to select the temperature of the water in 8 different levels. The kettle has a capacity of 0.5 liters minimum filling and maximum of 1.7 liters, recommending the manufacturer does not fill below the minimum or above the maximum amount. The highligh"&amp;"t is its LCD screen, in addition to pointing out the selection of the temperature of the water, we also report the temperature reached by the water during the heating process. What I disliked is that the power cord is corttio, only measures 75 cm, althoug"&amp;"h in my case I could plug it into an outlet that was free on the counter as it should have used an extension cord. Moreover, the kettle works great and different temperature selections are very useful and easy way to help heat the water to the selected le"&amp;"vel.")</f>
        <v>The modern and efficient kettle has a modern design that I loved and from it out of the box it shows that is made with good quality materials. At the base of the kettle (22 x 19 x 4 cm) are four buttons serving to select different functions: - Button 1 Cup Turbo: to heat a cup of water (200 ml) in less than 60 seconds. - Button Start / Cancel: to heat water or stop the process. - Button Keep Warm: to maintain the temperature of the water for 40 minutes (less for the defined temperature in 100). - Preset button: to select the temperature of the water in 8 different levels. The kettle has a capacity of 0.5 liters minimum filling and maximum of 1.7 liters, recommending the manufacturer does not fill below the minimum or above the maximum amount. The highlight is its LCD screen, in addition to pointing out the selection of the temperature of the water, we also report the temperature reached by the water during the heating process. What I disliked is that the power cord is corttio, only measures 75 cm, although in my case I could plug it into an outlet that was free on the counter as it should have used an extension cord. Moreover, the kettle works great and different temperature selections are very useful and easy way to help heat the water to the selected level.</v>
      </c>
    </row>
    <row r="17090">
      <c r="A17090" s="1">
        <v>5.0</v>
      </c>
      <c r="B17090" s="1" t="s">
        <v>16926</v>
      </c>
      <c r="C17090" t="str">
        <f>IFERROR(__xludf.DUMMYFUNCTION("GOOGLETRANSLATE(B17090, ""es"", ""en"")"),"Buenísimo Very good grinds material like q had my mother is great.")</f>
        <v>Buenísimo Very good grinds material like q had my mother is great.</v>
      </c>
    </row>
    <row r="17091">
      <c r="A17091" s="1">
        <v>2.0</v>
      </c>
      <c r="B17091" s="1" t="s">
        <v>16927</v>
      </c>
      <c r="C17091" t="str">
        <f>IFERROR(__xludf.DUMMYFUNCTION("GOOGLETRANSLATE(B17091, ""es"", ""en"")"),"Poor picture quality The print quality of the cover image is pretty bad.")</f>
        <v>Poor picture quality The print quality of the cover image is pretty bad.</v>
      </c>
    </row>
    <row r="17092">
      <c r="A17092" s="1">
        <v>3.0</v>
      </c>
      <c r="B17092" s="1" t="s">
        <v>16928</v>
      </c>
      <c r="C17092" t="str">
        <f>IFERROR(__xludf.DUMMYFUNCTION("GOOGLETRANSLATE(B17092, ""es"", ""en"")"),"It could improve my baby is doing well though I would have liked to take the ml graduated from 10. Start 50ml. Another thing I q is not very good is that when you capsize the bibe always stays liquid. It is very difficult to q drop everything. I take my m"&amp;"ilk and remaining in the bibe is enough. And another thing that has not found it very comfortable is that when you take hold the nipple, the nipple is going to inside. The baby has to drop occasionally for air. What of the anti colic system that works not"&amp;" clear. Brows that of dr is the air going to the end of the bibe. This is not the case. Air bubbles are in the teat 🤔")</f>
        <v>It could improve my baby is doing well though I would have liked to take the ml graduated from 10. Start 50ml. Another thing I q is not very good is that when you capsize the bibe always stays liquid. It is very difficult to q drop everything. I take my milk and remaining in the bibe is enough. And another thing that has not found it very comfortable is that when you take hold the nipple, the nipple is going to inside. The baby has to drop occasionally for air. What of the anti colic system that works not clear. Brows that of dr is the air going to the end of the bibe. This is not the case. Air bubbles are in the teat 🤔</v>
      </c>
    </row>
    <row r="17093">
      <c r="A17093" s="1">
        <v>3.0</v>
      </c>
      <c r="B17093" s="1" t="s">
        <v>16929</v>
      </c>
      <c r="C17093" t="str">
        <f>IFERROR(__xludf.DUMMYFUNCTION("GOOGLETRANSLATE(B17093, ""es"", ""en"")"),"To scent the house, looking for one single principle of aromas with what others can spare me .. I'll have to spend ... the smells are soft and not very tiresome. Perfect")</f>
        <v>To scent the house, looking for one single principle of aromas with what others can spare me .. I'll have to spend ... the smells are soft and not very tiresome. Perfect</v>
      </c>
    </row>
    <row r="17094">
      <c r="A17094" s="1">
        <v>1.0</v>
      </c>
      <c r="B17094" s="1" t="s">
        <v>16930</v>
      </c>
      <c r="C17094" t="str">
        <f>IFERROR(__xludf.DUMMYFUNCTION("GOOGLETRANSLATE(B17094, ""es"", ""en"")"),"Begins to fail I bought it two years ago and took some time noting that begins to fail. Sometimes the computer does not recognize, and many of those times the hard drive makes a strange noise, like he was trying not start and got from the whole. Other cau"&amp;"ses similar to that of a broken record noise. For now still he is pulling, but I think that two years is a short time for a 3TB hard drive begins to fail.")</f>
        <v>Begins to fail I bought it two years ago and took some time noting that begins to fail. Sometimes the computer does not recognize, and many of those times the hard drive makes a strange noise, like he was trying not start and got from the whole. Other causes similar to that of a broken record noise. For now still he is pulling, but I think that two years is a short time for a 3TB hard drive begins to fail.</v>
      </c>
    </row>
    <row r="17095">
      <c r="A17095" s="1">
        <v>1.0</v>
      </c>
      <c r="B17095" s="1" t="s">
        <v>16931</v>
      </c>
      <c r="C17095" t="str">
        <f>IFERROR(__xludf.DUMMYFUNCTION("GOOGLETRANSLATE(B17095, ""es"", ""en"")"),"no longer works after less than four months no longer works, amazing how little has lasted for white plastic wheel happy that I have seen has broken them more people. I had other expectations for this product. To see how now manage warranty")</f>
        <v>no longer works after less than four months no longer works, amazing how little has lasted for white plastic wheel happy that I have seen has broken them more people. I had other expectations for this product. To see how now manage warranty</v>
      </c>
    </row>
    <row r="17096">
      <c r="A17096" s="1">
        <v>4.0</v>
      </c>
      <c r="B17096" s="1" t="s">
        <v>16932</v>
      </c>
      <c r="C17096" t="str">
        <f>IFERROR(__xludf.DUMMYFUNCTION("GOOGLETRANSLATE(B17096, ""es"", ""en"")"),"Something very comfortable tight, the size is smaller")</f>
        <v>Something very comfortable tight, the size is smaller</v>
      </c>
    </row>
    <row r="17097">
      <c r="A17097" s="1">
        <v>4.0</v>
      </c>
      <c r="B17097" s="1" t="s">
        <v>16933</v>
      </c>
      <c r="C17097" t="str">
        <f>IFERROR(__xludf.DUMMYFUNCTION("GOOGLETRANSLATE(B17097, ""es"", ""en"")"),"Super comfortable very comfortable truth, the moment are great, use them to walk and to go to the gym and great times to see if they last.")</f>
        <v>Super comfortable very comfortable truth, the moment are great, use them to walk and to go to the gym and great times to see if they last.</v>
      </c>
    </row>
    <row r="17098">
      <c r="A17098" s="1">
        <v>4.0</v>
      </c>
      <c r="B17098" s="1" t="s">
        <v>16934</v>
      </c>
      <c r="C17098" t="str">
        <f>IFERROR(__xludf.DUMMYFUNCTION("GOOGLETRANSLATE(B17098, ""es"", ""en"")"),"Blessed bag I like the feel hot and very hot. It is the second that I buy and I think after the classic boot lifelong this is the best invention to be warm. Only you need a plug, wait 10 to 15 minutes to warm up ready.")</f>
        <v>Blessed bag I like the feel hot and very hot. It is the second that I buy and I think after the classic boot lifelong this is the best invention to be warm. Only you need a plug, wait 10 to 15 minutes to warm up ready.</v>
      </c>
    </row>
    <row r="17099">
      <c r="A17099" s="1">
        <v>4.0</v>
      </c>
      <c r="B17099" s="1" t="s">
        <v>16935</v>
      </c>
      <c r="C17099" t="str">
        <f>IFERROR(__xludf.DUMMYFUNCTION("GOOGLETRANSLATE(B17099, ""es"", ""en"")"),"easy click I bought to replace the multiquick5 he had with lots of accessories, if grater, mixer, chopper, rods, c'mon ... .. expensive pack is already the 3rd mixer to buy because he spoils the engine , begins to skid and no longer turns, and accessories"&amp;" not throw that last lasted just 5 years ... I do not know if or planned obsolescence, but cheap does not come out having to buy a mixer every 5 years. . the rods look like toys, are smaller than the originals, and plug instead of planes, is fat .. I do n"&amp;"ot know for both plug, if it is larger almost mixer! Anyway, we'll see if now lasts more or less ..")</f>
        <v>easy click I bought to replace the multiquick5 he had with lots of accessories, if grater, mixer, chopper, rods, c'mon ... .. expensive pack is already the 3rd mixer to buy because he spoils the engine , begins to skid and no longer turns, and accessories not throw that last lasted just 5 years ... I do not know if or planned obsolescence, but cheap does not come out having to buy a mixer every 5 years. . the rods look like toys, are smaller than the originals, and plug instead of planes, is fat .. I do not know for both plug, if it is larger almost mixer! Anyway, we'll see if now lasts more or less ..</v>
      </c>
    </row>
    <row r="17100">
      <c r="A17100" s="1">
        <v>5.0</v>
      </c>
      <c r="B17100" s="1" t="s">
        <v>16936</v>
      </c>
      <c r="C17100" t="str">
        <f>IFERROR(__xludf.DUMMYFUNCTION("GOOGLETRANSLATE(B17100, ""es"", ""en"")"),"Returning to the vinyl. Newly acquired and conscious that they need many hours of filming just say that if quality is to be paid and sometimes much less than entregan.Desde that I set a good audio equipment performance, integrated DVD Nad, Sonus speakers "&amp;"Faver Concertino Van den Huul wiring and have not been back until today to experience what they offer these headphones, of course with my Fiio 10k.No will understand me a minute just say it's a good investment as another customer exceeds said headphones o"&amp;"ver 1000 euros.Entrega another 10")</f>
        <v>Returning to the vinyl. Newly acquired and conscious that they need many hours of filming just say that if quality is to be paid and sometimes much less than entregan.Desde that I set a good audio equipment performance, integrated DVD Nad, Sonus speakers Faver Concertino Van den Huul wiring and have not been back until today to experience what they offer these headphones, of course with my Fiio 10k.No will understand me a minute just say it's a good investment as another customer exceeds said headphones over 1000 euros.Entrega another 10</v>
      </c>
    </row>
    <row r="17101">
      <c r="A17101" s="1">
        <v>5.0</v>
      </c>
      <c r="B17101" s="1" t="s">
        <v>16937</v>
      </c>
      <c r="C17101" t="str">
        <f>IFERROR(__xludf.DUMMYFUNCTION("GOOGLETRANSLATE(B17101, ""es"", ""en"")"),"Comprehensive bracelet I found it very nice for the color you have. Watch also has many functions, steps, calories, heart rate, alarm clock, reminder alarms km. It is very easy to install, I have mobile with Android and have had no problems. In addition l"&amp;"oads very fast. I've caught a gift from my husband and he has loved. You may need to do a Christmas gift and repeat")</f>
        <v>Comprehensive bracelet I found it very nice for the color you have. Watch also has many functions, steps, calories, heart rate, alarm clock, reminder alarms km. It is very easy to install, I have mobile with Android and have had no problems. In addition loads very fast. I've caught a gift from my husband and he has loved. You may need to do a Christmas gift and repeat</v>
      </c>
    </row>
    <row r="17102">
      <c r="A17102" s="1">
        <v>5.0</v>
      </c>
      <c r="B17102" s="1" t="s">
        <v>16938</v>
      </c>
      <c r="C17102" t="str">
        <f>IFERROR(__xludf.DUMMYFUNCTION("GOOGLETRANSLATE(B17102, ""es"", ""en"")"),"Bottle belt this belt I gave my husband as usual corridor and with this heat now doing very well to put water bottle, cell phone and headphones. Very happy with the purchase.")</f>
        <v>Bottle belt this belt I gave my husband as usual corridor and with this heat now doing very well to put water bottle, cell phone and headphones. Very happy with the purchase.</v>
      </c>
    </row>
    <row r="17103">
      <c r="A17103" s="1">
        <v>5.0</v>
      </c>
      <c r="B17103" s="1" t="s">
        <v>16939</v>
      </c>
      <c r="C17103" t="str">
        <f>IFERROR(__xludf.DUMMYFUNCTION("GOOGLETRANSLATE(B17103, ""es"", ""en"")"),"100% recommended Nice comfortable and at a good price")</f>
        <v>100% recommended Nice comfortable and at a good price</v>
      </c>
    </row>
    <row r="17104">
      <c r="A17104" s="1">
        <v>5.0</v>
      </c>
      <c r="B17104" s="1" t="s">
        <v>16940</v>
      </c>
      <c r="C17104" t="str">
        <f>IFERROR(__xludf.DUMMYFUNCTION("GOOGLETRANSLATE(B17104, ""es"", ""en"")"),"Good quality and nice design. &lt;Div id = ""video-block-REHAR17A3MBKB"" class = ""section a-a-a-spacing-small spacing-top-video mini-block""&gt; &lt;div tabindex = ""0"" class = ""airy airy-svg vmin- supported airy-skin-beacon ""style ="" background-color: rgb (0"&amp;", 0, 0) position: relative; width: 100%; height: 100%; font-size: 0px; overflow: hidden; outline: none ; ""&gt; &lt;div class ="" airy-renderer-container ""style ="" position: relative; height: 100%; width: 100%; ""&gt; &lt;video id ="" 61 ""preload ="" auto ""src ="&amp;""" https: //images-eu.ssl-images-amazon.com/images/I/A1rI-YgRTTS.mp4 ""style ="" position: absolute; left: 0px; top: 0px; overflow: hidden; height: 1px; width: 1px ; ""&gt; &lt;/ video&gt; &lt;/ div&gt; &lt;div id ="" airy-slate-preload ""style ="" background-color: rgb (0"&amp;", 0, 0); background-image: url (&amp; quot; https: // images-eu.ssl-images-amazon.com/images/I/91oMcHWr9MS.png&amp;quot;); background-size: Contain; background-position: center center; background-repeat: no-repeat; position: absolute; top: 0px ; left: 0px; visibi"&amp;"lity: visible; width: 100%; height: 100%; ""&gt; &lt;/ div&gt; &lt;iframe scrolling ="" no ""frameborder = ""0"" src = ""about: blank"" style = ""display: none;""&gt; &lt;/ iframe&gt; &lt;div tabindex = ""- 1"" class = ""airy-controls-container"" style = ""opacity: 0; visibility"&amp;": hidden; ""&gt; &lt;div tabindex ="" - 1 ""class ="" airy-screen-size-toggle airy-fullscreen ""&gt; &lt;/ div&gt; &lt;div tabindex ="" - 1 ""class ="" airy-container-bottom "" &gt; &lt;div tabindex = ""- 1"" class = ""airy-track-bar-spacer-left"" style = ""width: 11px;""&gt; &lt;/ di"&amp;"v&gt; &lt;div tabindex = ""- 1"" class = ""airy-play- airy toggle-play ""style ="" width: 12px; margin-right: 12px; ""&gt; &lt;/ div&gt; &lt;div tabindex ="" - 1 ""class ="" airy-audio-elements ""style ="" float: right; width: 34px; ""&gt; &lt;div tabindex ="" - 1 ""class ="" ai"&amp;"ry-audio-toggle airy-on ""&gt; &lt;/ div&gt; &lt;div tabindex ="" - 1 ""class ="" airy-audio-container ""style = ""opacity: 0; visibility: hidden; ""&gt; &lt;div tabindex ="" - 1 ""class ="" airy-audio-track-bar ""style ="" height: 80%; ""&gt; &lt;div tabindex ="" - 1 ""class ="&amp;""" airy-audio- Scrubber-bar ""style ="" height: 85%; ""&gt; &lt;/ div&gt; &lt;div tabindex ="" - 1 ""class ="" airy-audio-scrubber ""style ="" height: 12px; bottom: 85% ""&gt; &lt;/ div&gt; &lt;/ div&gt; &lt;/ div&gt; &lt;/ div&gt; &lt;div tabindex ="" - 1 ""class ="" airy-duration-label ""style "&amp;"="" float: right; width: 26px; margin-right: 4px; text-align: center; ""&gt; 0:00 &lt;/ div&gt; &lt;div tabindex ="" - 1 ""class ="" airy-track-bar-spacer-right ""style ="" float: right; width: 11px; ""&gt; &lt;/ div&gt; &lt;div tabindex ="" - 1 ""class ="" airy-track-bar-contai"&amp;"ner ""style ="" margin-left: 35px; margin-right: 75px; ""&gt; &lt;div tabindex ="" - 1 ""class ="" airy-airy-track-bar vertically-centering-table ""&gt; &lt;div tabindex ="" - 1 ""class ="" airy-Vertical-centering- table-cell ""&gt; &lt;div tabindex ="" - 1 ""class ="" air"&amp;"y-track-bar-elements ""&gt; &lt;div tabindex ="" - 1 ""class ="" airy-progress-bar ""&gt; &lt;/ div&gt; &lt;div tabindex = ""- 1"" class = ""airy-scrubber-bar""&gt; &lt;/ div&gt; &lt;div tabindex = ""- 1"" class = ""airy-scrubber""&gt; &lt;div tabindex = ""- 1"" class = ""airy-scrubber- ico"&amp;"n ""&gt; &lt;/ div&gt; &lt;div tabindex ="" - 1 ""class ="" airy-adjusted-AUI-tooltip ""style ="" opacity: 0; visibility: hidden; ""&gt; &lt;div tabindex ="" - 1 ""class ="" airy-adjusted-aui-tooltip-inner ""&gt; &lt;div tabindex ="" - 1 ""class ="" airy-current-time-label ""&gt; 0"&amp;": 00 &lt;/ div&gt; &lt;/ div&gt; &lt;div tabindex = ""- 1"" class = ""airy-adjusted-AUI-arrow-border""&gt; &lt;div tabindex = ""- 1"" class = ""airy-adjusted-AUI-arrow"" &gt; &lt;/ div&gt; &lt;/ div&gt; &lt;/ div&gt; &lt;/ div&gt; &lt;/ div&gt; &lt;/ div&gt; &lt;/ div&gt; &lt;/ div&gt; &lt;/ div&gt; &lt;/ div&gt; &lt;div tabindex = ""- 1"" "&amp;"class = ""airy-age-gate airy-stage airy-Vertical-centering-table airy-dialog"" style = ""opacity: 0; visibility: hidden; ""&gt; &lt;div tabindex ="" - 1 ""class ="" airy-age-gate-Vertical-centering-table-cell airy-Vertical-centering-table-cell ""&gt; &lt;div tabindex"&amp;" ="" - 1 ""class = ""airy-Vertical-centering-wrapper airy-age-gate-elements-wrapper""&gt; &lt;div tabindex = ""- 1"" class = ""airy-age-gate-elements airy-dialog-elements""&gt; &lt;div tabindex = "" -1 ""class ="" airy-age-gate-prompt ""&gt; This video is not Intended f"&amp;"or all audiences What date were you born &lt;/ div&gt; &lt;div tabindex =.?"" - 1 ""class ="" airy-age-gate -inputs airy-dialog-inner-elements ""&gt; &lt;select tabindex ="" - 1 ""class ="" airy-age-gate-month ""&gt; &lt;option value ="" 1 ""&gt; January &lt;/ option&gt; &lt;option value"&amp;" ="" 2 ""&gt; February &lt;/ option&gt; &lt;option value ="" 3 ""&gt; March &lt;/ option&gt; &lt;option value ="" 4 ""&gt; April &lt;/ option&gt; &lt;option value ="" 5 ""&gt; May &lt;/ option&gt; &lt;option value = ""6""&gt; June &lt;/ option&gt; &lt;option value = ""7""&gt; July &lt;/ option&gt; &lt;option value = ""8""&gt; Au"&amp;"gust &lt;/ option&gt; &lt;option value = ""9""&gt; September &lt;/ option&gt; &lt;option value = ""10""&gt; October &lt;/ option&gt; &lt;option value = ""11""&gt; November &lt;/ option&gt; &lt;option value = ""12""&gt; December &lt;/ option&gt; &lt;/ select&gt; &lt;select tabindex = ""- 1"" class = ""airy-age-gate-da"&amp;"y""&gt; &lt;opti on value = ""1""&gt; 1 &lt;/ option&gt; &lt;option value = ""2""&gt; 2 &lt;/ option&gt; &lt;option value = ""3""&gt; 3 &lt;/ option&gt; &lt;option value = ""4""&gt; 4 &lt;/ option &gt; &lt;option value = ""5""&gt; 5 &lt;/ option&gt; &lt;option value = ""6""&gt; 6 &lt;/ option&gt; &lt;option value = ""7""&gt; 7 &lt;/ opti"&amp;"on&gt; &lt;option value = ""8""&gt; 8 &lt; / option&gt; &lt;option value = ""9""&gt; 9 &lt;/ option&gt; &lt;option value = ""10""&gt; 10 &lt;/ option&gt; &lt;option value = ""11""&gt; 11 &lt;/ option&gt; &lt;option value = ""12""&gt; 12 &lt;/ option&gt; &lt;option value = ""13""&gt; 13 &lt;/ option&gt; &lt;option value = ""14""&gt; 14"&amp;" &lt;/ option&gt; &lt;option value = ""15""&gt; 15 &lt;/ option&gt; &lt;option value = ""16 ""&gt; 16 &lt;/ option&gt; &lt;option value ="" 17 ""&gt; 17 &lt;/ option&gt; &lt;option value ="" 18 ""&gt; 18 &lt;/ option&gt; &lt;option value ="" 19 ""&gt; 19 &lt;/ option&gt; &lt;option value = ""20""&gt; 20 &lt;/ option&gt; &lt;option val"&amp;"ue = ""21""&gt; 21 &lt;/ option&gt; &lt;option value = ""22""&gt; 22 &lt;/ option&gt; &lt;option value = ""23""&gt; 23 &lt;/ option&gt; &lt;option value = ""24""&gt; 24 &lt;/ option&gt; &lt;option value = ""25""&gt; 25 &lt;/ option&gt; &lt;option value = ""26""&gt; 26 &lt;/ option&gt; &lt;option value = ""27""&gt; 27 &lt;/ option&gt; "&amp;"&lt;option value = ""28""&gt; 28 &lt;/ option&gt; &lt;option value = ""29""&gt; 29 &lt;/ option&gt; &lt;option value = ""30""&gt; 30 &lt;/ option&gt; &lt;option value = ""31""&gt; 31 &lt;/ option&gt; &lt;/ select&gt; &lt;select tabindex = ""- 1"" class = ""airy-age-gate-year""&gt; &lt;option value = ""2019""&gt; 2019 &lt;/"&amp;" option&gt; &lt; option value = ""2018""&gt; 2018 &lt;/ option&gt; &lt;option value = ""2017""&gt; 2017 &lt;/ option&gt; &lt;option value = ""2016""&gt; ​​2016 &lt;/ option&gt; &lt;option value = ""2015""&gt; 2015 &lt;/ option &gt; &lt;option value = ""2014""&gt; 2014 &lt;/ option&gt; &lt;option value = ""2013""&gt; 2013 &lt;"&amp;"/ option&gt; &lt;option value = ""2012""&gt; 2012 &lt;/ option&gt; &lt;option value = ""2011""&gt; 2011 &lt; / option&gt; &lt;option value = ""2010""&gt; 2010 &lt;/ option&gt; &lt;option value = ""2009""&gt; 2009 &lt;/ option&gt; &lt;option value = ""2008""&gt; 2008 &lt;/ option&gt; &lt;option value = ""2007""&gt; 2007 &lt;/ "&amp;"option&gt; &lt;option value = ""2006""&gt; 2006 &lt;/ option&gt; &lt;option value = ""2005""&gt; 2005 &lt;/ option&gt; &lt;option value = ""2004""&gt; 2004 &lt;/ option&gt; &lt;option value = ""2003 ""&gt; 2003 &lt;/ option&gt; &lt;option value ="" 2002 ""&gt; 2002 &lt;/ option&gt; &lt;option value ="" 2001 ""&gt; 2001 &lt;/ "&amp;"option&gt; &lt;option value ="" 2000 ""&gt; 2000 &lt;/ option&gt; &lt;option value = ""1999""&gt; 1999 &lt;/ option&gt; &lt;option value = ""1998""&gt; 1998 &lt;/ option&gt; &lt;option value = ""1997""&gt; 1997 &lt;/ option&gt; &lt;option value = ""1996""&gt; 1996 &lt;/ option&gt; &lt;option value = ""1995""&gt; 1995 &lt;/ op"&amp;"tion&gt; &lt;option value = ""1994""&gt; 1994 &lt;/ option&gt; &lt;option value = ""1993""&gt; 1993 &lt;/ option&gt; &lt;option value = ""1992""&gt; 1992 &lt;/ option&gt; &lt;option value = ""1991""&gt; 1991 &lt;/ option&gt; &lt;option value = ""1990""&gt; 1990 &lt;/ option&gt; &lt;option value = "" 1989 ""&gt; 1989 &lt;/ opt"&amp;"ion&gt; &lt;option value ="" 1988 ""&gt; 1988 &lt;/ option&gt; &lt;option value ="" 1987 ""&gt; 1987 &lt;/ option&gt; &lt;option value ="" 1986 ""&gt; 1986 &lt;/ option&gt; &lt;value option = ""1985""&gt; 1985 &lt;/ option&gt; &lt;option value = ""1984""&gt; 1984 &lt;/ option&gt; &lt;option value = ""1983""&gt; 1983 &lt;/ opt"&amp;"ion&gt; &lt;option value = ""1982""&gt; 1982 &lt;/ option&gt; &lt; option value = ""1981""&gt; 1981 &lt;/ option&gt; &lt;option value = ""1980""&gt; 1980 &lt;/ option&gt; &lt;option value = ""1979""&gt; 1979 &lt;/ option&gt; &lt;option value = ""1978""&gt; 1978 &lt;/ option &gt; &lt;option value = ""1977""&gt; 1977 &lt;/ opti"&amp;"on&gt; &lt;option value = ""1976""&gt; 1976 &lt;/ option&gt; &lt;option value = ""1975""&gt; 1975 &lt;/ option&gt; &lt;option value = ""1974""&gt; 1974 &lt; / option&gt; &lt;option value = ""1973""&gt; 1973 &lt;/ option&gt; &lt;option value = ""1972""&gt; 1972 &lt;/ option&gt; &lt;option value = ""1971""&gt; 1971 &lt;/ option"&amp;"&gt; &lt;option value = ""1970""&gt; 1970 &lt;/ option&gt; &lt;option value = ""1969""&gt; 1969 &lt;/ option&gt; &lt;option value = ""1968""&gt; 1968 &lt;/ option&gt; &lt;option value = ""1967""&gt; 1967 &lt;/ option&gt; &lt;option value = ""1966 ""&gt; 1966 &lt;/ option&gt; &lt;option value ="" 1965 ""&gt; 1965 &lt;/ option&gt;"&amp;" &lt;option value ="" 1964 ""&gt; 1964 &lt;/ option&gt; &lt;option value ="" 1963 ""&gt; 1963 &lt;/ option&gt; &lt;option value = ""1962""&gt; 1962 &lt;/ option&gt; &lt;option value = ""1961""&gt; 1961 &lt;/ option&gt; &lt;option value = ""1960""&gt; 1960 &lt;/ op tion&gt; &lt;option value = ""1959""&gt; 1959 &lt;/ option&gt;"&amp;" &lt;option value = ""1958""&gt; 1958 &lt;/ option&gt; &lt;option value = ""1957""&gt; 1957 &lt;/ option&gt; &lt;option value = ""1956""&gt; 1956 &lt;/ option&gt; &lt;option value = ""1955""&gt; 1955 &lt;/ option&gt; &lt;option value = ""1954""&gt; 1954 &lt;/ option&gt; &lt;option value = ""1953""&gt; 1953 &lt;/ option&gt; &lt;o"&amp;"ption value = ""1952"" &gt; 1952 &lt;/ option&gt; &lt;option value = ""1951""&gt; 1951 &lt;/ option&gt; &lt;option value = ""1950""&gt; 1950 &lt;/ option&gt; &lt;option value = ""1949""&gt; 1949 &lt;/ option&gt; &lt;option value = "" 1948 ""&gt; 1948 &lt;/ option&gt; &lt;option value ="" 1947 ""&gt; 1947 &lt;/ option&gt; &lt;"&amp;"option value ="" 1946 ""&gt; 1946 &lt;/ option&gt; &lt;option value ="" 1945 ""&gt; 1945 &lt;/ option&gt; &lt;value option = ""1944""&gt; 1944 &lt;/ option&gt; &lt;option value = ""1943""&gt; 1943 &lt;/ option&gt; &lt;option value = ""1942""&gt; 1942 &lt;/ option&gt; &lt;option value = ""1941""&gt; 1941 &lt;/ option&gt; &lt; "&amp;"option value = ""1940""&gt; 1940 &lt;/ option&gt; &lt;option value = ""1939""&gt; 1939 &lt;/ option&gt; &lt;option value = ""1938""&gt; 1938 &lt;/ option&gt; &lt;option value = ""1937""&gt; 1937 &lt;/ option &gt; &lt;option value = ""1936""&gt; 1936 &lt;/ option&gt; &lt;option value = ""1935""&gt; 1935 &lt;/ option&gt; &lt;op"&amp;"tion value = ""1934""&gt; 1934 &lt;/ option&gt; &lt;option value = ""1933""&gt; 1933 &lt; / option&gt; &lt;option value = ""1932""&gt; 1932 &lt;/ option&gt; &lt;option value = ""1931""&gt; 1931 &lt;/ option&gt; &lt;option v alue = ""1930""&gt; 1930 &lt;/ option&gt; &lt;option value = ""1929""&gt; 1929 &lt;/ option&gt; &lt;opt"&amp;"ion value = ""1928""&gt; 1928 &lt;/ option&gt; &lt;option value = ""1927""&gt; 1927 &lt;/ option&gt; &lt;option value = ""1926""&gt; 1926 &lt;/ option&gt; &lt;option value = ""1925""&gt; 1925 &lt;/ option&gt; &lt;option value = ""1924""&gt; 1924 &lt;/ option&gt; &lt;option value = ""1923""&gt; 1923 &lt;/ option&gt; &lt;option"&amp;" value = ""1922""&gt; 1922 &lt;/ option&gt; &lt;option value = ""1921""&gt; 1921 &lt;/ option&gt; &lt;option value = ""1920""&gt; 1920 &lt;/ option&gt; &lt;option value = ""1919""&gt; 1919 &lt;/ option&gt; &lt;option value = ""1918""&gt; 1918 &lt;/ option&gt; &lt;option value = ""1917""&gt; 1917 &lt;/ option&gt; &lt;option va"&amp;"lue = ""1916""&gt; 1916 &lt;/ option&gt; &lt;option value = ""1915"" &gt; 1915 &lt;/ option&gt; &lt;option value = ""1914""&gt; 1914 &lt;/ option&gt; &lt;option value = ""1913""&gt; 1913 &lt;/ option&gt; &lt;option value = ""1912""&gt; 1912 &lt;/ option&gt; &lt;option value = "" 1911 ""&gt; 1911 &lt;/ option&gt; &lt;option va"&amp;"lue ="" 1910 ""&gt; 1910 &lt;/ option&gt; &lt;option value ="" 1909 ""&gt; 1909 &lt;/ option&gt; &lt;option value ="" 1908 ""&gt; 1908 &lt;/ option&gt; &lt;value option = ""1907""&gt; 1907 &lt;/ option&gt; &lt;option value = ""1906""&gt; 1906 &lt;/ option&gt; &lt;option value = ""1905""&gt; 1905 &lt;/ option&gt; &lt;option va"&amp;"lue = ""1904""&gt; 1904 &lt;/ option&gt; &lt; option value = ""1903""&gt; 1903 &lt;/ option&gt; &lt;option value = ""1902""&gt; 1902 &lt;/ option&gt; &lt;option value = ""1901""&gt; 19 01 &lt;/ option&gt; &lt;option value = ""1900""&gt; 1900 &lt;/ option&gt; &lt;/ select&gt; &lt;div tabindex = ""- 1"" class = ""airy-age"&amp;"-gate-submit airy-submit-button airy airy-submit- disabled ""&gt; Submit &lt;/ div&gt; &lt;/ div&gt; &lt;/ div&gt; &lt;/ div&gt; &lt;/ div&gt; &lt;/ div&gt; &lt;div tabindex ="" - 1 ""class ="" airy-install-flash-dialog airy-stage airy -vertical-centering-table-dialog airy airy-denied ""style ="""&amp;" opacity: 0; visibility: hidden; ""&gt; &lt;div tabindex ="" - 1 ""class ="" airy-install-flash-Vertical-centering-table-cell airy-Vertical-centering-table-cell ""&gt; &lt;div tabindex ="" - 1 ""class = ""airy-Vertical-centering-wrapper airy-install-flash-elements-wr"&amp;"apper""&gt; &lt;div tabindex = ""- 1"" class = ""airy-install-flash-elements airy-dialog-elements""&gt; &lt;div tabindex = "" -1 ""class ="" airy-install-flash-prompt ""&gt; Adobe Flash Player is required to watch this video &lt;/ div&gt; &lt;div tabindex =."" - 1 ""class ="" ai"&amp;"ry-install-flash-button-wrapper airy -dialog-inner-elements ""&gt; &lt;div tabindex ="" - 1 ""class ="" airy-install-flash-button airy-button ""&gt; install Flash Player &lt;/ div&gt; &lt;/ div&gt; &lt;/ div&gt; &lt;/ div&gt; &lt;/ div&gt; &lt;/ div&gt; &lt;div tabindex = ""- 1"" class = ""airy-video-u"&amp;"nsupported-dialog airy-stage airy-Vertical-centering-table airy-dialog airy-denied"" style = ""opacity: 0; visibility: hidden; ""&gt; &lt;div tabindex ="" - 1 ""class ="" airy-video-unsupported-Vertical-centering-table-cell airy-Vertical-centering-table-cell """&amp;"&gt; &lt;div tabindex ="" - 1 ""class = ""airy-Vertical-centering-wrapper airy-video-unsupported-elements-wrapper""&gt; &lt;div tabindex = ""- 1"" class = ""airy-video-unsupported-elements airy-dialog-elements""&gt; &lt;div tabindex = "" -1 ""class ="" airy-video-unsupport"&amp;"ed-prompt ""&gt; &lt;/ div&gt; &lt;/ div&gt; &lt;/ div&gt; &lt;/ div&gt; &lt;/ div&gt; &lt;div tabindex ="" - 1 ""class ="" airy-loading- spinner-stage airy-stage ""&gt; &lt;div tabindex ="" - 1 ""class ="" airy-loading-spinner-Vertical-centering-table-cell airy-Vertical-centering-table-cell ""&gt; "&amp;"&lt;div tabindex ="" - 1 ""class ="" airy-loading-spinner-container airy-scalable-hint-container ""&gt; &lt;div tabindex ="" - 1 ""class ="" airy-loading-spinner-dummy airy-scalable-dummy ""&gt; &lt;/ div&gt; &lt; div tabindex = ""- 1"" class = ""airy-loading-spinner airy-hin"&amp;"t"" style = ""visibility: hidden;""&gt; &lt;/ div&gt; &lt;/ div&gt; &lt;/ div&gt; &lt;/ div&gt; &lt;div tabindex = ""- 1 ""class ="" airy-ads-screen-size-toggle airy-screen-size-toggle-fullscreen airy ""style ="" visibility: hidden; ""&gt; &lt;/ div&gt; &lt;div tabindex = ""-1"" class = ""airy-ad"&amp;"-prompt-container"" style = ""visibility: hidden;""&gt; &lt;div tabindex = ""- 1"" class = ""airy-ad-prompt-Vertical-centering-table-vertically airy centering-table ""&gt; &lt;div tabindex ="" - 1 ""class ="" airy-ad-prompt-Vertical-centering-table-cell airy-Vertical"&amp;"-centering-table-cell ""&gt; &lt;div tabindex ="" - 1 ""class = ""airy-ad-prompt-label""&gt; &lt;/ div&gt; &lt;/ div&gt; &lt;/ div&gt; &lt;/ div&gt; &lt;div tabindex = ""- 1"" class = ""airy-ads-controls-container"" style = ""visibility: hidden; ""&gt; &lt;div tabindex ="" - 1 ""class ="" airy-ad"&amp;"s-audio-toggle airy-audio-toggle airy-on ""style ="" visibility: hidden; ""&gt; &lt;/ div&gt; &lt;div tabindex ="" - 1 ""class ="" airy-time-remaining-label-container ""&gt; &lt;div tabindex ="" - 1 ""class ="" airy-time-remaining-Vertical-centering-table airy-Vertical-cen"&amp;"tering-table ""&gt; &lt;div tabindex = ""- 1"" class = ""airy-time-remaining-Vertical-centering-table-cell airy-Vertical-centering-table-cell""&gt; &lt;div tabindex = ""- 1"" class = ""airy-Vertical-centering-wrapper airy-time-remaining-label-wrapper ""&gt; &lt;div tabinde"&amp;"x ="" - 1 ""class ="" airy-time-remaining-label ""style ="" visibility: hidden; ""&gt; &lt;/ div&gt; &lt;div tabi ndex = ""- 1"" class = ""airy-ad-skip"" style = ""visibility: hidden;""&gt; &lt;/ div&gt; &lt;div tabindex = ""- 1"" class = ""airy-ad-end"" style = ""visibility: hi"&amp;"dden ""&gt; &lt;/ div&gt; &lt;/ div&gt; &lt;/ div&gt; &lt;/ div&gt; &lt;/ div&gt; &lt;div tabindex ="" - 1 ""class ="" airy-learn-more ""style ="" visibility: hidden; ""&gt; &lt;/ div&gt; &lt;/ div&gt; &lt;div tabindex = ""- 1"" class = ""airy-play-toggle-hint-stage airy-stage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-toggle-hint hint airy-airy-play-hint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images-eu ."&amp;"ssl-images-amazon.com / images / I / A1rI-YgRTTS.mp4 ""Class ="" video-url ""&gt; &lt;input type ="" hidden ""name ="" ""value ="" https://images-eu.ssl-images-amazon.com/images/I/91oMcHWr9MS.png ""class ="" video-slate-img-url ""&gt; &amp; nbsp; I liked the design of"&amp;" the humidor, which is quite nice and also the great ability. You can easily take 6 hours straight. It is set in a classroom, and with just 5 drops of vanilla essence permeates the whole house of the aroma. The lights are changing but you can leave a fixe"&amp;"d or remove it completely and not have any. Not noisy.")</f>
        <v>Good quality and nice design. &lt;Div id = "video-block-REHAR17A3MBKB" class = "section a-a-a-spacing-small spacing-top-video mini-block"&gt; &lt;div tabindex = "0" class = "airy airy-svg vmin- supported airy-skin-beacon "style =" background-color: rgb (0, 0, 0) position: relative; width: 100%; height: 100%; font-size: 0px; overflow: hidden; outline: none ; "&gt; &lt;div class =" airy-renderer-container "style =" position: relative; height: 100%; width: 100%; "&gt; &lt;video id =" 61 "preload =" auto "src =" https: //images-eu.ssl-images-amazon.com/images/I/A1rI-YgRTTS.mp4 "style =" position: absolute; left: 0px; top: 0px; overflow: hidden; height: 1px; width: 1px ; "&gt; &lt;/ video&gt; &lt;/ div&gt; &lt;div id =" airy-slate-preload "style =" background-color: rgb (0, 0, 0); background-image: url (&amp; quot; https: // images-eu.ssl-images-amazon.com/images/I/91oMcHWr9MS.png&amp;quot;); background-size: Contain; background-position: center center; background-repeat: no-repeat; position: absolute; top: 0px ; left: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A1rI-YgRTTS.mp4 "Class =" video-url "&gt; &lt;input type =" hidden "name =" "value =" https://images-eu.ssl-images-amazon.com/images/I/91oMcHWr9MS.png "class =" video-slate-img-url "&gt; &amp; nbsp; I liked the design of the humidor, which is quite nice and also the great ability. You can easily take 6 hours straight. It is set in a classroom, and with just 5 drops of vanilla essence permeates the whole house of the aroma. The lights are changing but you can leave a fixed or remove it completely and not have any. Not noisy.</v>
      </c>
    </row>
    <row r="17105">
      <c r="A17105" s="1">
        <v>5.0</v>
      </c>
      <c r="B17105" s="1" t="s">
        <v>16941</v>
      </c>
      <c r="C17105" t="str">
        <f>IFERROR(__xludf.DUMMYFUNCTION("GOOGLETRANSLATE(B17105, ""es"", ""en"")"),"Perfect Perfect, size and color quality w ..")</f>
        <v>Perfect Perfect, size and color quality w ..</v>
      </c>
    </row>
    <row r="17106">
      <c r="A17106" s="1">
        <v>5.0</v>
      </c>
      <c r="B17106" s="1" t="s">
        <v>16942</v>
      </c>
      <c r="C17106" t="str">
        <f>IFERROR(__xludf.DUMMYFUNCTION("GOOGLETRANSLATE(B17106, ""es"", ""en"")"),"great fantastic")</f>
        <v>great fantastic</v>
      </c>
    </row>
    <row r="17107">
      <c r="A17107" s="1">
        <v>5.0</v>
      </c>
      <c r="B17107" s="1" t="s">
        <v>16943</v>
      </c>
      <c r="C17107" t="str">
        <f>IFERROR(__xludf.DUMMYFUNCTION("GOOGLETRANSLATE(B17107, ""es"", ""en"")"),"Good value / price all perfect. 100% recommendable. Very satisfied with the purchase. Installed at the first without any problem.")</f>
        <v>Good value / price all perfect. 100% recommendable. Very satisfied with the purchase. Installed at the first without any problem.</v>
      </c>
    </row>
    <row r="17108">
      <c r="A17108" s="1">
        <v>5.0</v>
      </c>
      <c r="B17108" s="1" t="s">
        <v>16944</v>
      </c>
      <c r="C17108" t="str">
        <f>IFERROR(__xludf.DUMMYFUNCTION("GOOGLETRANSLATE(B17108, ""es"", ""en"")"),"Great for the price it is great. Very cute size to travel with two cups and spoon included. It takes about 2 min in water heating.")</f>
        <v>Great for the price it is great. Very cute size to travel with two cups and spoon included. It takes about 2 min in water heating.</v>
      </c>
    </row>
    <row r="17109">
      <c r="A17109" s="1">
        <v>5.0</v>
      </c>
      <c r="B17109" s="1" t="s">
        <v>238</v>
      </c>
      <c r="C17109" t="str">
        <f>IFERROR(__xludf.DUMMYFUNCTION("GOOGLETRANSLATE(B17109, ""es"", ""en"")"),"perfect perfect")</f>
        <v>perfect perfect</v>
      </c>
    </row>
    <row r="17110">
      <c r="A17110" s="1">
        <v>5.0</v>
      </c>
      <c r="B17110" s="1" t="s">
        <v>16945</v>
      </c>
      <c r="C17110" t="str">
        <f>IFERROR(__xludf.DUMMYFUNCTION("GOOGLETRANSLATE(B17110, ""es"", ""en"")"),"I bought many times I've bought many times and really always was delighted with the seals. They do not dry and will last many years to use them perfectly.")</f>
        <v>I bought many times I've bought many times and really always was delighted with the seals. They do not dry and will last many years to use them perfectly.</v>
      </c>
    </row>
    <row r="17111">
      <c r="A17111" s="1">
        <v>5.0</v>
      </c>
      <c r="B17111" s="1" t="s">
        <v>16946</v>
      </c>
      <c r="C17111" t="str">
        <f>IFERROR(__xludf.DUMMYFUNCTION("GOOGLETRANSLATE(B17111, ""es"", ""en"")"),"Simple is a very nice bracelet. Simple but stylish and calidad.El symbol of the Tree of Life is silver, which does not change color or allergies and is surrounded by a small zircons. Adjustable for you. Is very beautiful sunset.")</f>
        <v>Simple is a very nice bracelet. Simple but stylish and calidad.El symbol of the Tree of Life is silver, which does not change color or allergies and is surrounded by a small zircons. Adjustable for you. Is very beautiful sunset.</v>
      </c>
    </row>
    <row r="17112">
      <c r="A17112" s="1">
        <v>5.0</v>
      </c>
      <c r="B17112" s="1" t="s">
        <v>16947</v>
      </c>
      <c r="C17112" t="str">
        <f>IFERROR(__xludf.DUMMYFUNCTION("GOOGLETRANSLATE(B17112, ""es"", ""en"")"),"The subway good use to work ... okay")</f>
        <v>The subway good use to work ... okay</v>
      </c>
    </row>
    <row r="17113">
      <c r="A17113" s="1">
        <v>5.0</v>
      </c>
      <c r="B17113" s="1" t="s">
        <v>16948</v>
      </c>
      <c r="C17113" t="str">
        <f>IFERROR(__xludf.DUMMYFUNCTION("GOOGLETRANSLATE(B17113, ""es"", ""en"")"),"Comfortable and subject well is extremely comfortable, soft tissue, no straps are stuck and can be adjusted in height with buckles so they do not move. I use to run and chest remains very subject.")</f>
        <v>Comfortable and subject well is extremely comfortable, soft tissue, no straps are stuck and can be adjusted in height with buckles so they do not move. I use to run and chest remains very subject.</v>
      </c>
    </row>
    <row r="17114">
      <c r="A17114" s="1">
        <v>5.0</v>
      </c>
      <c r="B17114" s="1" t="s">
        <v>16949</v>
      </c>
      <c r="C17114" t="str">
        <f>IFERROR(__xludf.DUMMYFUNCTION("GOOGLETRANSLATE(B17114, ""es"", ""en"")"),"Great value Perfect for storing up to 100-120 pages. Good value and pretty colors")</f>
        <v>Great value Perfect for storing up to 100-120 pages. Good value and pretty colors</v>
      </c>
    </row>
    <row r="17115">
      <c r="A17115" s="1">
        <v>5.0</v>
      </c>
      <c r="B17115" s="1" t="s">
        <v>16950</v>
      </c>
      <c r="C17115" t="str">
        <f>IFERROR(__xludf.DUMMYFUNCTION("GOOGLETRANSLATE(B17115, ""es"", ""en"")"),"Genial very good and fast. It is marked for 1, 2 or 3 cups. It is heated from the outside, so beware if there are children. Recommendable!!!!")</f>
        <v>Genial very good and fast. It is marked for 1, 2 or 3 cups. It is heated from the outside, so beware if there are children. Recommendable!!!!</v>
      </c>
    </row>
    <row r="17116">
      <c r="A17116" s="1">
        <v>5.0</v>
      </c>
      <c r="B17116" s="1" t="s">
        <v>16951</v>
      </c>
      <c r="C17116" t="str">
        <f>IFERROR(__xludf.DUMMYFUNCTION("GOOGLETRANSLATE(B17116, ""es"", ""en"")"),"Good product. I have a week and I've used it every day. I d shoulder muscles heavily loaded and effects of the massager noticeable. It is convenient to place. It has a Velcro strap so you can put in a chair and not move. When you turn the balls rotate in "&amp;"one direction several times and then change direction, so that thanks muscle. You can put hot or cold mode. At 15 minutes disconnects, which is the recommended time. The only thing I miss is that will run on battery as you need to be near an outlet. Altho"&amp;"ugh the cable is long and there is no problem.")</f>
        <v>Good product. I have a week and I've used it every day. I d shoulder muscles heavily loaded and effects of the massager noticeable. It is convenient to place. It has a Velcro strap so you can put in a chair and not move. When you turn the balls rotate in one direction several times and then change direction, so that thanks muscle. You can put hot or cold mode. At 15 minutes disconnects, which is the recommended time. The only thing I miss is that will run on battery as you need to be near an outlet. Although the cable is long and there is no problem.</v>
      </c>
    </row>
    <row r="17117">
      <c r="A17117" s="1">
        <v>5.0</v>
      </c>
      <c r="B17117" s="1" t="s">
        <v>16952</v>
      </c>
      <c r="C17117" t="str">
        <f>IFERROR(__xludf.DUMMYFUNCTION("GOOGLETRANSLATE(B17117, ""es"", ""en"")"),"Good grip and regulation This support is properly adjusted to the set of microphones we buy.")</f>
        <v>Good grip and regulation This support is properly adjusted to the set of microphones we buy.</v>
      </c>
    </row>
    <row r="17118">
      <c r="A17118" s="1">
        <v>5.0</v>
      </c>
      <c r="B17118" s="1" t="s">
        <v>16953</v>
      </c>
      <c r="C17118" t="str">
        <f>IFERROR(__xludf.DUMMYFUNCTION("GOOGLETRANSLATE(B17118, ""es"", ""en"")"),"After using the tremendous quality product I can only say that it is unbelievably good. Quality material, since it is glass and plenty of power. I'm very happy.")</f>
        <v>After using the tremendous quality product I can only say that it is unbelievably good. Quality material, since it is glass and plenty of power. I'm very happy.</v>
      </c>
    </row>
    <row r="17119">
      <c r="A17119" s="1">
        <v>2.0</v>
      </c>
      <c r="B17119" s="1" t="s">
        <v>16954</v>
      </c>
      <c r="C17119" t="str">
        <f>IFERROR(__xludf.DUMMYFUNCTION("GOOGLETRANSLATE(B17119, ""es"", ""en"")"),"Defective print Mouse does not look too sleazy. However, it seems not adhere lot to the table and moves a little. I also felt quite disappointed checking the printed pattern, because in the end, both above and especially below, is too blurred. In the bott"&amp;"om so that not even seen Tasmania or New Zealand on the map.")</f>
        <v>Defective print Mouse does not look too sleazy. However, it seems not adhere lot to the table and moves a little. I also felt quite disappointed checking the printed pattern, because in the end, both above and especially below, is too blurred. In the bottom so that not even seen Tasmania or New Zealand on the map.</v>
      </c>
    </row>
    <row r="17120">
      <c r="A17120" s="1">
        <v>3.0</v>
      </c>
      <c r="B17120" s="1" t="s">
        <v>16955</v>
      </c>
      <c r="C17120" t="str">
        <f>IFERROR(__xludf.DUMMYFUNCTION("GOOGLETRANSLATE(B17120, ""es"", ""en"")"),"I will tell Paren strong and I will tell you when the time. A little smaller than I thought.")</f>
        <v>I will tell Paren strong and I will tell you when the time. A little smaller than I thought.</v>
      </c>
    </row>
    <row r="17121">
      <c r="A17121" s="1">
        <v>3.0</v>
      </c>
      <c r="B17121" s="1" t="s">
        <v>16956</v>
      </c>
      <c r="C17121" t="str">
        <f>IFERROR(__xludf.DUMMYFUNCTION("GOOGLETRANSLATE(B17121, ""es"", ""en"")"),"It's good, but it does not meet rates read / write Now, fast is but test read / write results 70MB / s and 78MB / s, away from those, 90MB / s and 170MB / s, came to me in a box and within a free subscription for two years RescuePRO program, with its incl"&amp;"uded case the card, first everything seems original, but the rates do not come even remotely, but as I said is very fast, can record video in FullHD fully 4K but fluid and 150MB / s, at a rate Sony A7-2 gives to saturate buffer 11 shooting in Raw + JPEG m"&amp;"ode in jpeg superfine, no problem you can not satiate you for, I got up and because I was stopped 60 shots, it is totally recommended if you do not expect these rates promised. At least reliable is like all I have this same brand. Say I have another of th"&amp;"is brand of 90MB / s and values ​​is giving me 61.5 reading and writing 75, which improves something but not something abysmal, on sale caught her for 17 € which is fine, but now returned to its original price around 27 € and do not see better choice than"&amp;" 90MB / s")</f>
        <v>It's good, but it does not meet rates read / write Now, fast is but test read / write results 70MB / s and 78MB / s, away from those, 90MB / s and 170MB / s, came to me in a box and within a free subscription for two years RescuePRO program, with its included case the card, first everything seems original, but the rates do not come even remotely, but as I said is very fast, can record video in FullHD fully 4K but fluid and 150MB / s, at a rate Sony A7-2 gives to saturate buffer 11 shooting in Raw + JPEG mode in jpeg superfine, no problem you can not satiate you for, I got up and because I was stopped 60 shots, it is totally recommended if you do not expect these rates promised. At least reliable is like all I have this same brand. Say I have another of this brand of 90MB / s and values ​​is giving me 61.5 reading and writing 75, which improves something but not something abysmal, on sale caught her for 17 € which is fine, but now returned to its original price around 27 € and do not see better choice than 90MB / s</v>
      </c>
    </row>
    <row r="17122">
      <c r="A17122" s="1">
        <v>1.0</v>
      </c>
      <c r="B17122" s="1" t="s">
        <v>16957</v>
      </c>
      <c r="C17122" t="str">
        <f>IFERROR(__xludf.DUMMYFUNCTION("GOOGLETRANSLATE(B17122, ""es"", ""en"")"),"Spoiled In less than a month stopped working. To retrieve the data I had to take him to a specialist and pay back to them. In addition I find no facilities or to return or to use the guarantee (which is supposedly two years). Reenvolsarme obviously what c"&amp;"ost me recover data, or talk.")</f>
        <v>Spoiled In less than a month stopped working. To retrieve the data I had to take him to a specialist and pay back to them. In addition I find no facilities or to return or to use the guarantee (which is supposedly two years). Reenvolsarme obviously what cost me recover data, or talk.</v>
      </c>
    </row>
    <row r="17123">
      <c r="A17123" s="1">
        <v>1.0</v>
      </c>
      <c r="B17123" s="1" t="s">
        <v>16958</v>
      </c>
      <c r="C17123" t="str">
        <f>IFERROR(__xludf.DUMMYFUNCTION("GOOGLETRANSLATE(B17123, ""es"", ""en"")"),"only applies to walls to floor punch notes is not, I bought it for that and is fatal, fatal deformed ...")</f>
        <v>only applies to walls to floor punch notes is not, I bought it for that and is fatal, fatal deformed ...</v>
      </c>
    </row>
    <row r="17124">
      <c r="A17124" s="1">
        <v>4.0</v>
      </c>
      <c r="B17124" s="1" t="s">
        <v>16959</v>
      </c>
      <c r="C17124" t="str">
        <f>IFERROR(__xludf.DUMMYFUNCTION("GOOGLETRANSLATE(B17124, ""es"", ""en"")"),"It goes well not to last too if you give cane, but discharge their responsibilities so I advise purchase and not expensive.")</f>
        <v>It goes well not to last too if you give cane, but discharge their responsibilities so I advise purchase and not expensive.</v>
      </c>
    </row>
    <row r="17125">
      <c r="A17125" s="1">
        <v>4.0</v>
      </c>
      <c r="B17125" s="1" t="s">
        <v>16960</v>
      </c>
      <c r="C17125" t="str">
        <f>IFERROR(__xludf.DUMMYFUNCTION("GOOGLETRANSLATE(B17125, ""es"", ""en"")"),"reasonably well heated Not bad, not a stove, but if it gives warmth, caloret :) faller expected more maximum power but this is much better than another I had to return, that if you did not heat anything ...")</f>
        <v>reasonably well heated Not bad, not a stove, but if it gives warmth, caloret :) faller expected more maximum power but this is much better than another I had to return, that if you did not heat anything ...</v>
      </c>
    </row>
    <row r="17126">
      <c r="A17126" s="1">
        <v>4.0</v>
      </c>
      <c r="B17126" s="1" t="s">
        <v>16961</v>
      </c>
      <c r="C17126" t="str">
        <f>IFERROR(__xludf.DUMMYFUNCTION("GOOGLETRANSLATE(B17126, ""es"", ""en"")"),"Good quality fabric and unbeatable price I use to stay at home and is very comfortable.")</f>
        <v>Good quality fabric and unbeatable price I use to stay at home and is very comfortable.</v>
      </c>
    </row>
    <row r="17127">
      <c r="A17127" s="1">
        <v>4.0</v>
      </c>
      <c r="B17127" s="1" t="s">
        <v>16962</v>
      </c>
      <c r="C17127" t="str">
        <f>IFERROR(__xludf.DUMMYFUNCTION("GOOGLETRANSLATE(B17127, ""es"", ""en"")"),"They are beautiful. They are very beautiful, I imagined bigger, but places are great. They have fulfilled expectations. I'm happy.")</f>
        <v>They are beautiful. They are very beautiful, I imagined bigger, but places are great. They have fulfilled expectations. I'm happy.</v>
      </c>
    </row>
    <row r="17128">
      <c r="A17128" s="1">
        <v>4.0</v>
      </c>
      <c r="B17128" s="1" t="s">
        <v>16963</v>
      </c>
      <c r="C17128" t="str">
        <f>IFERROR(__xludf.DUMMYFUNCTION("GOOGLETRANSLATE(B17128, ""es"", ""en"")"),"Normalitos correct headphones, hear well but nothing spectacular. They come with very comfortable and priced well founded. The cable seems bleak.")</f>
        <v>Normalitos correct headphones, hear well but nothing spectacular. They come with very comfortable and priced well founded. The cable seems bleak.</v>
      </c>
    </row>
    <row r="17129">
      <c r="A17129" s="1">
        <v>5.0</v>
      </c>
      <c r="B17129" s="1" t="s">
        <v>16964</v>
      </c>
      <c r="C17129" t="str">
        <f>IFERROR(__xludf.DUMMYFUNCTION("GOOGLETRANSLATE(B17129, ""es"", ""en"")"),"Quality quality own UA, perfect for warm months, breathable, tight and bright colors, very beautiful. Fits like a glove and prevents chafing, allowing perspire.")</f>
        <v>Quality quality own UA, perfect for warm months, breathable, tight and bright colors, very beautiful. Fits like a glove and prevents chafing, allowing perspire.</v>
      </c>
    </row>
    <row r="17130">
      <c r="A17130" s="1">
        <v>5.0</v>
      </c>
      <c r="B17130" s="1" t="s">
        <v>16965</v>
      </c>
      <c r="C17130" t="str">
        <f>IFERROR(__xludf.DUMMYFUNCTION("GOOGLETRANSLATE(B17130, ""es"", ""en"")"),"Highly recommended is a perfect size for a comfortable grip in hand. It works fast, easily connecting to the PC pen drive carrying the embedded command. In addition to serving to move slides or pages in a document, you have laser pointer. I find it very c"&amp;"onvenient to teach. Definitely I recommend it!")</f>
        <v>Highly recommended is a perfect size for a comfortable grip in hand. It works fast, easily connecting to the PC pen drive carrying the embedded command. In addition to serving to move slides or pages in a document, you have laser pointer. I find it very convenient to teach. Definitely I recommend it!</v>
      </c>
    </row>
    <row r="17131">
      <c r="A17131" s="1">
        <v>5.0</v>
      </c>
      <c r="B17131" s="1" t="s">
        <v>16966</v>
      </c>
      <c r="C17131" t="str">
        <f>IFERROR(__xludf.DUMMYFUNCTION("GOOGLETRANSLATE(B17131, ""es"", ""en"")"),"Such good quality preo.muy as espraba. It is having flaps inside so that the papers do not fall")</f>
        <v>Such good quality preo.muy as espraba. It is having flaps inside so that the papers do not fall</v>
      </c>
    </row>
    <row r="17132">
      <c r="A17132" s="1">
        <v>5.0</v>
      </c>
      <c r="B17132" s="1" t="s">
        <v>16967</v>
      </c>
      <c r="C17132" t="str">
        <f>IFERROR(__xludf.DUMMYFUNCTION("GOOGLETRANSLATE(B17132, ""es"", ""en"")"),"Quality at a good affordable price the product meets all my expectations, giving studio quality for affordable price market.")</f>
        <v>Quality at a good affordable price the product meets all my expectations, giving studio quality for affordable price market.</v>
      </c>
    </row>
    <row r="17133">
      <c r="A17133" s="1">
        <v>5.0</v>
      </c>
      <c r="B17133" s="1" t="s">
        <v>16968</v>
      </c>
      <c r="C17133" t="str">
        <f>IFERROR(__xludf.DUMMYFUNCTION("GOOGLETRANSLATE(B17133, ""es"", ""en"")"),"This massager is great I do not want to suffer muscle pain after training. With this gun fascia, my body can recover quickly. Do not have to pull a trigger to keep it on, it is still considering what it is. The head options are good to target certain area"&amp;"s. It is lightweight and wireless. It has different levels of power / speed. I would recommend this product.")</f>
        <v>This massager is great I do not want to suffer muscle pain after training. With this gun fascia, my body can recover quickly. Do not have to pull a trigger to keep it on, it is still considering what it is. The head options are good to target certain areas. It is lightweight and wireless. It has different levels of power / speed. I would recommend this product.</v>
      </c>
    </row>
    <row r="17134">
      <c r="A17134" s="1">
        <v>5.0</v>
      </c>
      <c r="B17134" s="1" t="s">
        <v>16969</v>
      </c>
      <c r="C17134" t="str">
        <f>IFERROR(__xludf.DUMMYFUNCTION("GOOGLETRANSLATE(B17134, ""es"", ""en"")"),"Incredible mat I bought it because my table is glass and the mouse did not run well. It was a normal mouse, but not quite be agusto. It has been one of the best buys I've done. The material of the mat quality grade, durable and very comfortable and soft. "&amp;"In addition the cable has for RGB is disconnectable, so if you do not have space or do not want to be with the cable out there you can remove. Also it says that it is a cable coated fabric so you avoid that you bend and broken by others. not if it's becau"&amp;"se I have not managed to do it but you would like to paste color modes are not configurable and are not very abundant, but hey, they are pijadas. If someone know tell me set.")</f>
        <v>Incredible mat I bought it because my table is glass and the mouse did not run well. It was a normal mouse, but not quite be agusto. It has been one of the best buys I've done. The material of the mat quality grade, durable and very comfortable and soft. In addition the cable has for RGB is disconnectable, so if you do not have space or do not want to be with the cable out there you can remove. Also it says that it is a cable coated fabric so you avoid that you bend and broken by others. not if it's because I have not managed to do it but you would like to paste color modes are not configurable and are not very abundant, but hey, they are pijadas. If someone know tell me set.</v>
      </c>
    </row>
    <row r="17135">
      <c r="A17135" s="1">
        <v>5.0</v>
      </c>
      <c r="B17135" s="1" t="s">
        <v>16970</v>
      </c>
      <c r="C17135" t="str">
        <f>IFERROR(__xludf.DUMMYFUNCTION("GOOGLETRANSLATE(B17135, ""es"", ""en"")"),"Good product. Good product. As it is seen in the photo. small size. I recommend getting more than one size. Myt feel well and is very comfortable.")</f>
        <v>Good product. Good product. As it is seen in the photo. small size. I recommend getting more than one size. Myt feel well and is very comfortable.</v>
      </c>
    </row>
    <row r="17136">
      <c r="A17136" s="1">
        <v>5.0</v>
      </c>
      <c r="B17136" s="1" t="s">
        <v>16971</v>
      </c>
      <c r="C17136" t="str">
        <f>IFERROR(__xludf.DUMMYFUNCTION("GOOGLETRANSLATE(B17136, ""es"", ""en"")"),"Light is very beautiful. It is best that you can hang by design. It is very light, weighs nothing. Capacity gives many options. Brilla although sometimes fingers are marked.")</f>
        <v>Light is very beautiful. It is best that you can hang by design. It is very light, weighs nothing. Capacity gives many options. Brilla although sometimes fingers are marked.</v>
      </c>
    </row>
    <row r="17137">
      <c r="A17137" s="1">
        <v>5.0</v>
      </c>
      <c r="B17137" s="1" t="s">
        <v>16972</v>
      </c>
      <c r="C17137" t="str">
        <f>IFERROR(__xludf.DUMMYFUNCTION("GOOGLETRANSLATE(B17137, ""es"", ""en"")"),"Great recommendation FUNCTIONALITY")</f>
        <v>Great recommendation FUNCTIONALITY</v>
      </c>
    </row>
    <row r="17138">
      <c r="A17138" s="1">
        <v>5.0</v>
      </c>
      <c r="B17138" s="1" t="s">
        <v>16973</v>
      </c>
      <c r="C17138" t="str">
        <f>IFERROR(__xludf.DUMMYFUNCTION("GOOGLETRANSLATE(B17138, ""es"", ""en"")"),"Looks good quality durable and quality.")</f>
        <v>Looks good quality durable and quality.</v>
      </c>
    </row>
    <row r="17139">
      <c r="A17139" s="1">
        <v>5.0</v>
      </c>
      <c r="B17139" s="1" t="s">
        <v>16974</v>
      </c>
      <c r="C17139" t="str">
        <f>IFERROR(__xludf.DUMMYFUNCTION("GOOGLETRANSLATE(B17139, ""es"", ""en"")"),"chulas fit well and are comfortable")</f>
        <v>chulas fit well and are comfortable</v>
      </c>
    </row>
    <row r="17140">
      <c r="A17140" s="1">
        <v>5.0</v>
      </c>
      <c r="B17140" s="1" t="s">
        <v>16975</v>
      </c>
      <c r="C17140" t="str">
        <f>IFERROR(__xludf.DUMMYFUNCTION("GOOGLETRANSLATE(B17140, ""es"", ""en"")"),"All right right")</f>
        <v>All right right</v>
      </c>
    </row>
    <row r="17141">
      <c r="A17141" s="1">
        <v>5.0</v>
      </c>
      <c r="B17141" s="1" t="s">
        <v>16976</v>
      </c>
      <c r="C17141" t="str">
        <f>IFERROR(__xludf.DUMMYFUNCTION("GOOGLETRANSLATE(B17141, ""es"", ""en"")"),"Just like that photo shoes and the perfect size.")</f>
        <v>Just like that photo shoes and the perfect size.</v>
      </c>
    </row>
    <row r="17142">
      <c r="A17142" s="1">
        <v>5.0</v>
      </c>
      <c r="B17142" s="1" t="s">
        <v>16977</v>
      </c>
      <c r="C17142" t="str">
        <f>IFERROR(__xludf.DUMMYFUNCTION("GOOGLETRANSLATE(B17142, ""es"", ""en"")"),"If tab set are perfect for what I need money right colors look pretty good when you have placed all the papers")</f>
        <v>If tab set are perfect for what I need money right colors look pretty good when you have placed all the papers</v>
      </c>
    </row>
    <row r="17143">
      <c r="A17143" s="1">
        <v>5.0</v>
      </c>
      <c r="B17143" s="1" t="s">
        <v>16978</v>
      </c>
      <c r="C17143" t="str">
        <f>IFERROR(__xludf.DUMMYFUNCTION("GOOGLETRANSLATE(B17143, ""es"", ""en"")"),"Great value for the price. Cushioning. I usually buy shoes with good cushioning, both to run and for the day. After reading some comparisons, I bet by Nike Revolution 4 as second pair, especially because its price is moderate compared to other makes and m"&amp;"odels who care about dampen the pace. After a couple of months of daily use I'm delighted. Adelantaban comparisons as I read, the NR4 have very good cushioning and also are very comfortable. Although commonly chock 44 in Nike I do well the 45. recommend a"&amp;"nd buy again without hesitation.")</f>
        <v>Great value for the price. Cushioning. I usually buy shoes with good cushioning, both to run and for the day. After reading some comparisons, I bet by Nike Revolution 4 as second pair, especially because its price is moderate compared to other makes and models who care about dampen the pace. After a couple of months of daily use I'm delighted. Adelantaban comparisons as I read, the NR4 have very good cushioning and also are very comfortable. Although commonly chock 44 in Nike I do well the 45. recommend and buy again without hesitation.</v>
      </c>
    </row>
    <row r="17144">
      <c r="A17144" s="1">
        <v>5.0</v>
      </c>
      <c r="B17144" s="1" t="s">
        <v>16979</v>
      </c>
      <c r="C17144" t="str">
        <f>IFERROR(__xludf.DUMMYFUNCTION("GOOGLETRANSLATE(B17144, ""es"", ""en"")"),"Wonderful is very comfortable to me suits me very well I have bone problems and not to do to wring forces")</f>
        <v>Wonderful is very comfortable to me suits me very well I have bone problems and not to do to wring forces</v>
      </c>
    </row>
    <row r="17145">
      <c r="A17145" s="1">
        <v>5.0</v>
      </c>
      <c r="B17145" s="1" t="s">
        <v>16980</v>
      </c>
      <c r="C17145" t="str">
        <f>IFERROR(__xludf.DUMMYFUNCTION("GOOGLETRANSLATE(B17145, ""es"", ""en"")"),"What looked perfect, which sought")</f>
        <v>What looked perfect, which sought</v>
      </c>
    </row>
    <row r="17146">
      <c r="A17146" s="1">
        <v>5.0</v>
      </c>
      <c r="B17146" s="1" t="s">
        <v>16981</v>
      </c>
      <c r="C17146" t="str">
        <f>IFERROR(__xludf.DUMMYFUNCTION("GOOGLETRANSLATE(B17146, ""es"", ""en"")"),"Blender - blender &lt;div id = ""video-block-R134VY929HE5WB"" class = ""a-section a-spacing-small a-spacing-top mini video-block""&gt; &lt;/ div&gt; &lt;input type = ""hidden"" name = """" value = ""https://images-eu.ssl-images-amazon.com/images/I/C1zZc6C604S.mp4"" clas"&amp;"s = ""video-url""&gt; &lt;input type = ""hidden"" name = """" value = ""https://images-eu.ssl-images-amazon.com/images/I/81XkjvWxsyS.png"" class = ""video-slate-img-url""&gt; &amp; nbsp; This mixer-blender I bought for my mother in law he needed, especially to make fr"&amp;"uit smoothies for the kids. The fact is that left me impressed by the amount of uses that can be given. The package consists of the following elements: • Central unit where the containers are connected. • Two glasses of beating, two different sizes, capac"&amp;"ity round one or two glasses depending on which choose. • Two different blades, a flat and cross-shaped. The flat shape is used to hard elements while cross for other food and especially to make purees, smoothies, chopping, grating or mixing. • Two glasse"&amp;"s with rings to distinguish the product one blue and one red. The rings are used to drink in these vessels and not to cut plastic. Both vessels are of the same size and have clamp to grip the vessel as a jug. • 4 types of tapas, two blind covers to keep t"&amp;"he product we have generated and two different holes, some smaller and bigger ones, these basically are used to chop or grate when dry and can drive them without problems. • Finally fairly complete instructions in different languages ​​including Castilian"&amp;" explaining the operation of the device. Translation to the Castilian is not the best but you can understand easily. A thing that I liked is that the glasses can be used to put them in the microwave, yes before removing the blades. The device has two mode"&amp;"s of use, fast one, and one without hands: • Use fast: mark a kind of speed and directly we put the glass and pressed down, so the mixer is running. When we release the mixer will turn off. • Use hands: put the score at zero, place the cup with the ingred"&amp;"ients inside the blade and we want to use, we press down and turn the vessel to dock at the base. This fact mark the type of speed 1 or 2 and when we finish what we put to zero to stop the use. In the vessels themselves can be placed above the blade rings"&amp;" removing drinking and used directly to stain not more elements. The base itself has four suckers serving to anchor the base to the kitchen counter so that the operating it is not moving. All appliances least the base and blades can be placed in the dishw"&amp;"asher. When cleaning be careful with the knives because they cut enough (as usual)")</f>
        <v>Blender - blender &lt;div id = "video-block-R134VY929HE5WB" class = "a-section a-spacing-small a-spacing-top mini video-block"&gt; &lt;/ div&gt; &lt;input type = "hidden" name = "" value = "https://images-eu.ssl-images-amazon.com/images/I/C1zZc6C604S.mp4" class = "video-url"&gt; &lt;input type = "hidden" name = "" value = "https://images-eu.ssl-images-amazon.com/images/I/81XkjvWxsyS.png" class = "video-slate-img-url"&gt; &amp; nbsp; This mixer-blender I bought for my mother in law he needed, especially to make fruit smoothies for the kids. The fact is that left me impressed by the amount of uses that can be given. The package consists of the following elements: • Central unit where the containers are connected. • Two glasses of beating, two different sizes, capacity round one or two glasses depending on which choose. • Two different blades, a flat and cross-shaped. The flat shape is used to hard elements while cross for other food and especially to make purees, smoothies, chopping, grating or mixing. • Two glasses with rings to distinguish the product one blue and one red. The rings are used to drink in these vessels and not to cut plastic. Both vessels are of the same size and have clamp to grip the vessel as a jug. • 4 types of tapas, two blind covers to keep the product we have generated and two different holes, some smaller and bigger ones, these basically are used to chop or grate when dry and can drive them without problems. • Finally fairly complete instructions in different languages ​​including Castilian explaining the operation of the device. Translation to the Castilian is not the best but you can understand easily. A thing that I liked is that the glasses can be used to put them in the microwave, yes before removing the blades. The device has two modes of use, fast one, and one without hands: • Use fast: mark a kind of speed and directly we put the glass and pressed down, so the mixer is running. When we release the mixer will turn off. • Use hands: put the score at zero, place the cup with the ingredients inside the blade and we want to use, we press down and turn the vessel to dock at the base. This fact mark the type of speed 1 or 2 and when we finish what we put to zero to stop the use. In the vessels themselves can be placed above the blade rings removing drinking and used directly to stain not more elements. The base itself has four suckers serving to anchor the base to the kitchen counter so that the operating it is not moving. All appliances least the base and blades can be placed in the dishwasher. When cleaning be careful with the knives because they cut enough (as usual)</v>
      </c>
    </row>
    <row r="17147">
      <c r="A17147" s="1">
        <v>5.0</v>
      </c>
      <c r="B17147" s="1" t="s">
        <v>16982</v>
      </c>
      <c r="C17147" t="str">
        <f>IFERROR(__xludf.DUMMYFUNCTION("GOOGLETRANSLATE(B17147, ""es"", ""en"")"),"It was not right for me. It was a gift for a lady. He liked it and is delighted.")</f>
        <v>It was not right for me. It was a gift for a lady. He liked it and is delighted.</v>
      </c>
    </row>
    <row r="17148">
      <c r="A17148" s="1">
        <v>2.0</v>
      </c>
      <c r="B17148" s="1" t="s">
        <v>16983</v>
      </c>
      <c r="C17148" t="str">
        <f>IFERROR(__xludf.DUMMYFUNCTION("GOOGLETRANSLATE(B17148, ""es"", ""en"")"),"S large size tracksuit is fine, the S is very large, to the end what I have in the closet waiting to see who gift")</f>
        <v>S large size tracksuit is fine, the S is very large, to the end what I have in the closet waiting to see who gift</v>
      </c>
    </row>
    <row r="17149">
      <c r="A17149" s="1">
        <v>3.0</v>
      </c>
      <c r="B17149" s="1" t="s">
        <v>16984</v>
      </c>
      <c r="C17149" t="str">
        <f>IFERROR(__xludf.DUMMYFUNCTION("GOOGLETRANSLATE(B17149, ""es"", ""en"")"),"Measures pretty perfect for everyday or small or big, nice use, but is not comfortable to wear it appears, the belt touches the neck.")</f>
        <v>Measures pretty perfect for everyday or small or big, nice use, but is not comfortable to wear it appears, the belt touches the neck.</v>
      </c>
    </row>
    <row r="17150">
      <c r="A17150" s="1">
        <v>3.0</v>
      </c>
      <c r="B17150" s="1" t="s">
        <v>16985</v>
      </c>
      <c r="C17150" t="str">
        <f>IFERROR(__xludf.DUMMYFUNCTION("GOOGLETRANSLATE(B17150, ""es"", ""en"")"),"They are not comfortable and weigh much! I have returned the money! They are not as expected, at the least for me. The I have a week of use and can not anymore, I was waiting for if he could get used to, but no way. They are very uncomfortable and too hea"&amp;"vy. Bad buy, I threw the money !!! 10 for dogeek and Amazon, I have returned the money without any problems !!!")</f>
        <v>They are not comfortable and weigh much! I have returned the money! They are not as expected, at the least for me. The I have a week of use and can not anymore, I was waiting for if he could get used to, but no way. They are very uncomfortable and too heavy. Bad buy, I threw the money !!! 10 for dogeek and Amazon, I have returned the money without any problems !!!</v>
      </c>
    </row>
    <row r="17151">
      <c r="A17151" s="1">
        <v>1.0</v>
      </c>
      <c r="B17151" s="1" t="s">
        <v>16986</v>
      </c>
      <c r="C17151" t="str">
        <f>IFERROR(__xludf.DUMMYFUNCTION("GOOGLETRANSLATE(B17151, ""es"", ""en"")"),"Nothing Lolita silver are pure junk puts that are silver but silver is not silver color is pure jewelery")</f>
        <v>Nothing Lolita silver are pure junk puts that are silver but silver is not silver color is pure jewelery</v>
      </c>
    </row>
    <row r="17152">
      <c r="A17152" s="1">
        <v>1.0</v>
      </c>
      <c r="B17152" s="1" t="s">
        <v>16987</v>
      </c>
      <c r="C17152" t="str">
        <f>IFERROR(__xludf.DUMMYFUNCTION("GOOGLETRANSLATE(B17152, ""es"", ""en"")"),"Bad impression from the beginning to the first impression out of the box was to train a tag saying they were vegan and plastic, when I bought some leather boots and vegans are totally different ... and there suspected. the material I was never clear if it"&amp;" was leather because it was hard and shiny as plásticoLuego one of the languages ​​is crooked and there is no way to fix it, then the way is rough and ordinary different than I've seen out there that if they are originals, outsole protrudes about 1 cm and"&amp;" top are peeling and have used them only a few times.")</f>
        <v>Bad impression from the beginning to the first impression out of the box was to train a tag saying they were vegan and plastic, when I bought some leather boots and vegans are totally different ... and there suspected. the material I was never clear if it was leather because it was hard and shiny as plásticoLuego one of the languages ​​is crooked and there is no way to fix it, then the way is rough and ordinary different than I've seen out there that if they are originals, outsole protrudes about 1 cm and top are peeling and have used them only a few times.</v>
      </c>
    </row>
    <row r="17153">
      <c r="A17153" s="1">
        <v>4.0</v>
      </c>
      <c r="B17153" s="1" t="s">
        <v>16988</v>
      </c>
      <c r="C17153" t="str">
        <f>IFERROR(__xludf.DUMMYFUNCTION("GOOGLETRANSLATE(B17153, ""es"", ""en"")"),"Simplicity I drive operation")</f>
        <v>Simplicity I drive operation</v>
      </c>
    </row>
    <row r="17154">
      <c r="A17154" s="1">
        <v>4.0</v>
      </c>
      <c r="B17154" s="1" t="s">
        <v>16989</v>
      </c>
      <c r="C17154" t="str">
        <f>IFERROR(__xludf.DUMMYFUNCTION("GOOGLETRANSLATE(B17154, ""es"", ""en"")"),"In the absence of perfect field test, it looks like it will be quite comfortable. They fit well fit the foot even one small bit. Flexible and comfortable")</f>
        <v>In the absence of perfect field test, it looks like it will be quite comfortable. They fit well fit the foot even one small bit. Flexible and comfortable</v>
      </c>
    </row>
    <row r="17155">
      <c r="A17155" s="1">
        <v>4.0</v>
      </c>
      <c r="B17155" s="1" t="s">
        <v>16990</v>
      </c>
      <c r="C17155" t="str">
        <f>IFERROR(__xludf.DUMMYFUNCTION("GOOGLETRANSLATE(B17155, ""es"", ""en"")"),"It's going well so far has not given me any problems, unless not let me burn large files directly (perhaps the problem is not pen). It is not very hard, so if you're clumsy, buy another Recio.")</f>
        <v>It's going well so far has not given me any problems, unless not let me burn large files directly (perhaps the problem is not pen). It is not very hard, so if you're clumsy, buy another Recio.</v>
      </c>
    </row>
    <row r="17156">
      <c r="A17156" s="1">
        <v>4.0</v>
      </c>
      <c r="B17156" s="1" t="s">
        <v>16991</v>
      </c>
      <c r="C17156" t="str">
        <f>IFERROR(__xludf.DUMMYFUNCTION("GOOGLETRANSLATE(B17156, ""es"", ""en"")"),"Design As seen in the photo. It is spacious and beautifully designed")</f>
        <v>Design As seen in the photo. It is spacious and beautifully designed</v>
      </c>
    </row>
    <row r="17157">
      <c r="A17157" s="1">
        <v>4.0</v>
      </c>
      <c r="B17157" s="1" t="s">
        <v>16992</v>
      </c>
      <c r="C17157" t="str">
        <f>IFERROR(__xludf.DUMMYFUNCTION("GOOGLETRANSLATE(B17157, ""es"", ""en"")"),"Good, although I have to tame them ... Some blisters .... Very good ... Let's see how they evolve .... However I have left some blisters, so you have to tame them ... Endure good rain")</f>
        <v>Good, although I have to tame them ... Some blisters .... Very good ... Let's see how they evolve .... However I have left some blisters, so you have to tame them ... Endure good rain</v>
      </c>
    </row>
    <row r="17158">
      <c r="A17158" s="1">
        <v>5.0</v>
      </c>
      <c r="B17158" s="1" t="s">
        <v>16993</v>
      </c>
      <c r="C17158" t="str">
        <f>IFERROR(__xludf.DUMMYFUNCTION("GOOGLETRANSLATE(B17158, ""es"", ""en"")"),"Correa All ok")</f>
        <v>Correa All ok</v>
      </c>
    </row>
    <row r="17159">
      <c r="A17159" s="1">
        <v>5.0</v>
      </c>
      <c r="B17159" s="1" t="s">
        <v>16994</v>
      </c>
      <c r="C17159" t="str">
        <f>IFERROR(__xludf.DUMMYFUNCTION("GOOGLETRANSLATE(B17159, ""es"", ""en"")"),"Perfect for its price Headphones are exactly what is expected of them. Very easily paired, the touch buttons work very well and the sound is very good. They are comfortable to wear, although I suppose each person there will be a world and have to search f"&amp;"or head size and position to best fit is. Noise isolation is superb, inserting contact is disconnected from the real world. Surely the need to sound a little better, or have a tad better design, but they are worth five times more. Worth buying.")</f>
        <v>Perfect for its price Headphones are exactly what is expected of them. Very easily paired, the touch buttons work very well and the sound is very good. They are comfortable to wear, although I suppose each person there will be a world and have to search for head size and position to best fit is. Noise isolation is superb, inserting contact is disconnected from the real world. Surely the need to sound a little better, or have a tad better design, but they are worth five times more. Worth buying.</v>
      </c>
    </row>
    <row r="17160">
      <c r="A17160" s="1">
        <v>5.0</v>
      </c>
      <c r="B17160" s="1" t="s">
        <v>16995</v>
      </c>
      <c r="C17160" t="str">
        <f>IFERROR(__xludf.DUMMYFUNCTION("GOOGLETRANSLATE(B17160, ""es"", ""en"")"),"TO BE FOR HOME OR DAY OF SLAUGHTER. I bought recommended by a friend who bought them through Amazon UK It is about casual pants elastic and very comfortable supernormal. They fit perfectly waist and legs but fail to tighten or anything. The material is so"&amp;"ft and does not touch anyone. They are very easy to carry and clean (do not deserve special care). Good price / quality: typical for battle")</f>
        <v>TO BE FOR HOME OR DAY OF SLAUGHTER. I bought recommended by a friend who bought them through Amazon UK It is about casual pants elastic and very comfortable supernormal. They fit perfectly waist and legs but fail to tighten or anything. The material is soft and does not touch anyone. They are very easy to carry and clean (do not deserve special care). Good price / quality: typical for battle</v>
      </c>
    </row>
    <row r="17161">
      <c r="A17161" s="1">
        <v>5.0</v>
      </c>
      <c r="B17161" s="1" t="s">
        <v>16996</v>
      </c>
      <c r="C17161" t="str">
        <f>IFERROR(__xludf.DUMMYFUNCTION("GOOGLETRANSLATE(B17161, ""es"", ""en"")"),"With or without input cable wire presentation and quality of the cover is great, the open I have met with a good quality headphones, padded headband, and helmets, not heavy, I could try the battery for more than 2 hours and still I did not need to charge "&amp;"it. In my case I bought for canceling noise, tired of hearing the engine of the aircraft above or music being played correctly isolates the sound and reduces background noise. The ability to use it with 3.5 jack cable or via Bluetooth in inhalambico way, "&amp;"it's a point in your favor, so you can use even on airplanes with cable. Connection with various devices have been quick, I've been able to test against a PC, a smartphone and on Android TV. In short, it is highly recommended product.")</f>
        <v>With or without input cable wire presentation and quality of the cover is great, the open I have met with a good quality headphones, padded headband, and helmets, not heavy, I could try the battery for more than 2 hours and still I did not need to charge it. In my case I bought for canceling noise, tired of hearing the engine of the aircraft above or music being played correctly isolates the sound and reduces background noise. The ability to use it with 3.5 jack cable or via Bluetooth in inhalambico way, it's a point in your favor, so you can use even on airplanes with cable. Connection with various devices have been quick, I've been able to test against a PC, a smartphone and on Android TV. In short, it is highly recommended product.</v>
      </c>
    </row>
    <row r="17162">
      <c r="A17162" s="1">
        <v>5.0</v>
      </c>
      <c r="B17162" s="1" t="s">
        <v>16997</v>
      </c>
      <c r="C17162" t="str">
        <f>IFERROR(__xludf.DUMMYFUNCTION("GOOGLETRANSLATE(B17162, ""es"", ""en"")"),"Amazing really gives a good massage, with pressure control can. Just lean more on the massager. All four nodes are heated over time, and after about 15 minutes can really feel the warmth of the unit. I think this design is solid, since the change of direc"&amp;"tion helps roll over other parts of the muscle. This is a great little massager undoubtedly great when you come home with back pain")</f>
        <v>Amazing really gives a good massage, with pressure control can. Just lean more on the massager. All four nodes are heated over time, and after about 15 minutes can really feel the warmth of the unit. I think this design is solid, since the change of direction helps roll over other parts of the muscle. This is a great little massager undoubtedly great when you come home with back pain</v>
      </c>
    </row>
    <row r="17163">
      <c r="A17163" s="1">
        <v>5.0</v>
      </c>
      <c r="B17163" s="1" t="s">
        <v>16998</v>
      </c>
      <c r="C17163" t="str">
        <f>IFERROR(__xludf.DUMMYFUNCTION("GOOGLETRANSLATE(B17163, ""es"", ""en"")"),"Very good to use it effectively as massage.")</f>
        <v>Very good to use it effectively as massage.</v>
      </c>
    </row>
    <row r="17164">
      <c r="A17164" s="1">
        <v>5.0</v>
      </c>
      <c r="B17164" s="1" t="s">
        <v>16999</v>
      </c>
      <c r="C17164" t="str">
        <f>IFERROR(__xludf.DUMMYFUNCTION("GOOGLETRANSLATE(B17164, ""es"", ""en"")"),"To gel is good for liquid gel is fine. For clothes I have not tried")</f>
        <v>To gel is good for liquid gel is fine. For clothes I have not tried</v>
      </c>
    </row>
    <row r="17165">
      <c r="A17165" s="1">
        <v>5.0</v>
      </c>
      <c r="B17165" s="1" t="s">
        <v>17000</v>
      </c>
      <c r="C17165" t="str">
        <f>IFERROR(__xludf.DUMMYFUNCTION("GOOGLETRANSLATE(B17165, ""es"", ""en"")"),"They are very comfortable super comfortable lightweight")</f>
        <v>They are very comfortable super comfortable lightweight</v>
      </c>
    </row>
    <row r="17166">
      <c r="A17166" s="1">
        <v>5.0</v>
      </c>
      <c r="B17166" s="1" t="s">
        <v>17001</v>
      </c>
      <c r="C17166" t="str">
        <f>IFERROR(__xludf.DUMMYFUNCTION("GOOGLETRANSLATE(B17166, ""es"", ""en"")"),"I used good 18 25 and I have not missed any rare thing that in any sirmpre tarrinas fails. Good buy.")</f>
        <v>I used good 18 25 and I have not missed any rare thing that in any sirmpre tarrinas fails. Good buy.</v>
      </c>
    </row>
    <row r="17167">
      <c r="A17167" s="1">
        <v>5.0</v>
      </c>
      <c r="B17167" s="1" t="s">
        <v>17002</v>
      </c>
      <c r="C17167" t="str">
        <f>IFERROR(__xludf.DUMMYFUNCTION("GOOGLETRANSLATE(B17167, ""es"", ""en"")"),"OKAY. As described in the ad. Comfortable and modern. I am satisfied with the purchase. The size has been sending me right and was very fast.")</f>
        <v>OKAY. As described in the ad. Comfortable and modern. I am satisfied with the purchase. The size has been sending me right and was very fast.</v>
      </c>
    </row>
    <row r="17168">
      <c r="A17168" s="1">
        <v>5.0</v>
      </c>
      <c r="B17168" s="1" t="s">
        <v>17003</v>
      </c>
      <c r="C17168" t="str">
        <f>IFERROR(__xludf.DUMMYFUNCTION("GOOGLETRANSLATE(B17168, ""es"", ""en"")"),"Bandolier ideal for trips I've recently taken on a long journey and the truth that is very comfortable for the various compartments having to carry documents, mobile and money. It's also very comfortable and hardly notice you're wearing.")</f>
        <v>Bandolier ideal for trips I've recently taken on a long journey and the truth that is very comfortable for the various compartments having to carry documents, mobile and money. It's also very comfortable and hardly notice you're wearing.</v>
      </c>
    </row>
    <row r="17169">
      <c r="A17169" s="1">
        <v>5.0</v>
      </c>
      <c r="B17169" s="1" t="s">
        <v>17004</v>
      </c>
      <c r="C17169" t="str">
        <f>IFERROR(__xludf.DUMMYFUNCTION("GOOGLETRANSLATE(B17169, ""es"", ""en"")"),"It is of good quality for money and everything is perfect for girl size S is large")</f>
        <v>It is of good quality for money and everything is perfect for girl size S is large</v>
      </c>
    </row>
    <row r="17170">
      <c r="A17170" s="1">
        <v>5.0</v>
      </c>
      <c r="B17170" s="1" t="s">
        <v>17005</v>
      </c>
      <c r="C17170" t="str">
        <f>IFERROR(__xludf.DUMMYFUNCTION("GOOGLETRANSLATE(B17170, ""es"", ""en"")"),"Filer filer with about 12 sections seems okay because different color. Also another plus is that you come mini targetas to identify each section is in English but back you can write whatever you want. Folder decent enough material so you dot 4 stars for q"&amp;"uality and price you have.")</f>
        <v>Filer filer with about 12 sections seems okay because different color. Also another plus is that you come mini targetas to identify each section is in English but back you can write whatever you want. Folder decent enough material so you dot 4 stars for quality and price you have.</v>
      </c>
    </row>
    <row r="17171">
      <c r="A17171" s="1">
        <v>5.0</v>
      </c>
      <c r="B17171" s="1" t="s">
        <v>17006</v>
      </c>
      <c r="C17171" t="str">
        <f>IFERROR(__xludf.DUMMYFUNCTION("GOOGLETRANSLATE(B17171, ""es"", ""en"")"),"There is a good quality price relation. Very nice, they seem good quality, not heavy and have an average size. very good price and arrived earlier than expected.")</f>
        <v>There is a good quality price relation. Very nice, they seem good quality, not heavy and have an average size. very good price and arrived earlier than expected.</v>
      </c>
    </row>
    <row r="17172">
      <c r="A17172" s="1">
        <v>5.0</v>
      </c>
      <c r="B17172" s="1" t="s">
        <v>17007</v>
      </c>
      <c r="C17172" t="str">
        <f>IFERROR(__xludf.DUMMYFUNCTION("GOOGLETRANSLATE(B17172, ""es"", ""en"")"),"Very nice place Very pleased with purchase. Very easy to match and then connect always instant. No I have never been disconnected and there have been problems in transmission. A decent sound quality for what they cost and good finishes, both headphones an"&amp;"d the box / battery.")</f>
        <v>Very nice place Very pleased with purchase. Very easy to match and then connect always instant. No I have never been disconnected and there have been problems in transmission. A decent sound quality for what they cost and good finishes, both headphones and the box / battery.</v>
      </c>
    </row>
    <row r="17173">
      <c r="A17173" s="1">
        <v>5.0</v>
      </c>
      <c r="B17173" s="1" t="s">
        <v>17008</v>
      </c>
      <c r="C17173" t="str">
        <f>IFERROR(__xludf.DUMMYFUNCTION("GOOGLETRANSLATE(B17173, ""es"", ""en"")"),"Perfect. I loved the necklace is beautiful and it shows that quality is up to the box that comes is great. In addition, I have received super fast, so I'm even more delighted. No loss, I recommend it to one hundred percent.")</f>
        <v>Perfect. I loved the necklace is beautiful and it shows that quality is up to the box that comes is great. In addition, I have received super fast, so I'm even more delighted. No loss, I recommend it to one hundred percent.</v>
      </c>
    </row>
    <row r="17174">
      <c r="A17174" s="1">
        <v>5.0</v>
      </c>
      <c r="B17174" s="1" t="s">
        <v>17009</v>
      </c>
      <c r="C17174" t="str">
        <f>IFERROR(__xludf.DUMMYFUNCTION("GOOGLETRANSLATE(B17174, ""es"", ""en"")"),"Buy recommended excellent and recommended product. Very happy with the purchase. And holding either the clock and take into account the need for adpatarla your wrist including the gizmo to remove links.")</f>
        <v>Buy recommended excellent and recommended product. Very happy with the purchase. And holding either the clock and take into account the need for adpatarla your wrist including the gizmo to remove links.</v>
      </c>
    </row>
    <row r="17175">
      <c r="A17175" s="1">
        <v>5.0</v>
      </c>
      <c r="B17175" s="1" t="s">
        <v>17010</v>
      </c>
      <c r="C17175" t="str">
        <f>IFERROR(__xludf.DUMMYFUNCTION("GOOGLETRANSLATE(B17175, ""es"", ""en"")"),"Was gift was a product for gift giving and the person who has received is very happy. The carving was coming perfect and says he will comodisima with them")</f>
        <v>Was gift was a product for gift giving and the person who has received is very happy. The carving was coming perfect and says he will comodisima with them</v>
      </c>
    </row>
    <row r="17176">
      <c r="A17176" s="1">
        <v>2.0</v>
      </c>
      <c r="B17176" s="1" t="s">
        <v>17011</v>
      </c>
      <c r="C17176" t="str">
        <f>IFERROR(__xludf.DUMMYFUNCTION("GOOGLETRANSLATE(B17176, ""es"", ""en"")"),"The image does not accompany the image of the product encourages thinking about dimensions that do not correspond to the product itself, as it is very small and the quality of materials is poor. I do not recommend it.")</f>
        <v>The image does not accompany the image of the product encourages thinking about dimensions that do not correspond to the product itself, as it is very small and the quality of materials is poor. I do not recommend it.</v>
      </c>
    </row>
    <row r="17177">
      <c r="A17177" s="1">
        <v>3.0</v>
      </c>
      <c r="B17177" s="1" t="s">
        <v>17012</v>
      </c>
      <c r="C17177" t="str">
        <f>IFERROR(__xludf.DUMMYFUNCTION("GOOGLETRANSLATE(B17177, ""es"", ""en"")"),"with it not use either the Lo magnifiers I am using more of the LED light if illuminated well and without problem by magnifiers because loupes not receive me adapt and give the correct angle for increased and clear in order to manipulate")</f>
        <v>with it not use either the Lo magnifiers I am using more of the LED light if illuminated well and without problem by magnifiers because loupes not receive me adapt and give the correct angle for increased and clear in order to manipulate</v>
      </c>
    </row>
    <row r="17178">
      <c r="A17178" s="1">
        <v>1.0</v>
      </c>
      <c r="B17178" s="1" t="s">
        <v>17013</v>
      </c>
      <c r="C17178" t="str">
        <f>IFERROR(__xludf.DUMMYFUNCTION("GOOGLETRANSLATE(B17178, ""es"", ""en"")"),"Julia is not seen very well in the picture. It is too thin aluminum, especially in the base. No instructions.")</f>
        <v>Julia is not seen very well in the picture. It is too thin aluminum, especially in the base. No instructions.</v>
      </c>
    </row>
    <row r="17179">
      <c r="A17179" s="1">
        <v>1.0</v>
      </c>
      <c r="B17179" s="1" t="s">
        <v>17014</v>
      </c>
      <c r="C17179" t="str">
        <f>IFERROR(__xludf.DUMMYFUNCTION("GOOGLETRANSLATE(B17179, ""es"", ""en"")"),"Great bottle. Top quality. The use with my first child and now repeat with the second. sperior quality, very nice nipple for the baby.")</f>
        <v>Great bottle. Top quality. The use with my first child and now repeat with the second. sperior quality, very nice nipple for the baby.</v>
      </c>
    </row>
    <row r="17180">
      <c r="A17180" s="1">
        <v>1.0</v>
      </c>
      <c r="B17180" s="1" t="s">
        <v>17015</v>
      </c>
      <c r="C17180" t="str">
        <f>IFERROR(__xludf.DUMMYFUNCTION("GOOGLETRANSLATE(B17180, ""es"", ""en"")"),"poor quality This is the second I have, the first one returned by its slowness and thought it was damaged, the service amazon outstanding in less than 24 hours received the second at the beginning seemed to be going well, slow course no 150 megas as it sa"&amp;"ys, the most you and I achieved was 22 megs of speed but with continuous drops to 0 bytes, in short I do not recommend this unit for its poor quality.")</f>
        <v>poor quality This is the second I have, the first one returned by its slowness and thought it was damaged, the service amazon outstanding in less than 24 hours received the second at the beginning seemed to be going well, slow course no 150 megas as it says, the most you and I achieved was 22 megs of speed but with continuous drops to 0 bytes, in short I do not recommend this unit for its poor quality.</v>
      </c>
    </row>
    <row r="17181">
      <c r="A17181" s="1">
        <v>4.0</v>
      </c>
      <c r="B17181" s="1" t="s">
        <v>17016</v>
      </c>
      <c r="C17181" t="str">
        <f>IFERROR(__xludf.DUMMYFUNCTION("GOOGLETRANSLATE(B17181, ""es"", ""en"")"),"Good buy Brazo very good but the micro unless it is edited heard decent but overall very good quality for the price")</f>
        <v>Good buy Brazo very good but the micro unless it is edited heard decent but overall very good quality for the price</v>
      </c>
    </row>
    <row r="17182">
      <c r="A17182" s="1">
        <v>4.0</v>
      </c>
      <c r="B17182" s="1" t="s">
        <v>17017</v>
      </c>
      <c r="C17182" t="str">
        <f>IFERROR(__xludf.DUMMYFUNCTION("GOOGLETRANSLATE(B17182, ""es"", ""en"")"),"It is pretty nice and fine sunset. Maybe it's a little thin")</f>
        <v>It is pretty nice and fine sunset. Maybe it's a little thin</v>
      </c>
    </row>
    <row r="17183">
      <c r="A17183" s="1">
        <v>4.0</v>
      </c>
      <c r="B17183" s="1" t="s">
        <v>17018</v>
      </c>
      <c r="C17183" t="str">
        <f>IFERROR(__xludf.DUMMYFUNCTION("GOOGLETRANSLATE(B17183, ""es"", ""en"")"),"Comfortable adaptation to the foot. Very good for my long walks through the countryside. I miss a little more flexibility, why not give it five stars.")</f>
        <v>Comfortable adaptation to the foot. Very good for my long walks through the countryside. I miss a little more flexibility, why not give it five stars.</v>
      </c>
    </row>
    <row r="17184">
      <c r="A17184" s="1">
        <v>4.0</v>
      </c>
      <c r="B17184" s="1" t="s">
        <v>17019</v>
      </c>
      <c r="C17184" t="str">
        <f>IFERROR(__xludf.DUMMYFUNCTION("GOOGLETRANSLATE(B17184, ""es"", ""en"")"),"Are you comfy Nike Nike sign instead of the third wash leg begins to clear.")</f>
        <v>Are you comfy Nike Nike sign instead of the third wash leg begins to clear.</v>
      </c>
    </row>
    <row r="17185">
      <c r="A17185" s="1">
        <v>5.0</v>
      </c>
      <c r="B17185" s="1" t="s">
        <v>17020</v>
      </c>
      <c r="C17185" t="str">
        <f>IFERROR(__xludf.DUMMYFUNCTION("GOOGLETRANSLATE(B17185, ""es"", ""en"")"),"INCREASED PERFORMANCE I installed this drive in my Toshiba laptop and has really changed. It seems another computer by increasing speed. The installation was simple. The battery now lasts a little good buy for the price paid")</f>
        <v>INCREASED PERFORMANCE I installed this drive in my Toshiba laptop and has really changed. It seems another computer by increasing speed. The installation was simple. The battery now lasts a little good buy for the price paid</v>
      </c>
    </row>
    <row r="17186">
      <c r="A17186" s="1">
        <v>5.0</v>
      </c>
      <c r="B17186" s="1" t="s">
        <v>17021</v>
      </c>
      <c r="C17186" t="str">
        <f>IFERROR(__xludf.DUMMYFUNCTION("GOOGLETRANSLATE(B17186, ""es"", ""en"")"),"Meets expectations Meets expectations")</f>
        <v>Meets expectations Meets expectations</v>
      </c>
    </row>
    <row r="17187">
      <c r="A17187" s="1">
        <v>5.0</v>
      </c>
      <c r="B17187" s="1" t="s">
        <v>17022</v>
      </c>
      <c r="C17187" t="str">
        <f>IFERROR(__xludf.DUMMYFUNCTION("GOOGLETRANSLATE(B17187, ""es"", ""en"")"),"Verbatim 43551 - DVD + R blank is the second or third I buy and has not left me even one defective. I think that is enough to explain the product ... A 10.")</f>
        <v>Verbatim 43551 - DVD + R blank is the second or third I buy and has not left me even one defective. I think that is enough to explain the product ... A 10.</v>
      </c>
    </row>
    <row r="17188">
      <c r="A17188" s="1">
        <v>5.0</v>
      </c>
      <c r="B17188" s="1" t="s">
        <v>17023</v>
      </c>
      <c r="C17188" t="str">
        <f>IFERROR(__xludf.DUMMYFUNCTION("GOOGLETRANSLATE(B17188, ""es"", ""en"")"),"I like good cube")</f>
        <v>I like good cube</v>
      </c>
    </row>
    <row r="17189">
      <c r="A17189" s="1">
        <v>5.0</v>
      </c>
      <c r="B17189" s="1" t="s">
        <v>17024</v>
      </c>
      <c r="C17189" t="str">
        <f>IFERROR(__xludf.DUMMYFUNCTION("GOOGLETRANSLATE(B17189, ""es"", ""en"")"),"Good product at a good price Fulfills its mission perfectly. It is comfortable, very useful and provides a massage to relieve foot plant (in my case, for a fascitis)")</f>
        <v>Good product at a good price Fulfills its mission perfectly. It is comfortable, very useful and provides a massage to relieve foot plant (in my case, for a fascitis)</v>
      </c>
    </row>
    <row r="17190">
      <c r="A17190" s="1">
        <v>5.0</v>
      </c>
      <c r="B17190" s="1" t="s">
        <v>17025</v>
      </c>
      <c r="C17190" t="str">
        <f>IFERROR(__xludf.DUMMYFUNCTION("GOOGLETRANSLATE(B17190, ""es"", ""en"")"),"Sport and office wearing time comparing different qualities of such products. The famous apple headphones have a design that I do not like. But these headphones are perfect. Just feel, it has a futuristic design that makes them a good accessory for your p"&amp;"hone or mp3. The sound quality is good. Calls are heard phenomenal. You can play sports with them. The battery life is high. The device materials are acceptable. What I like: the value for money. What I like least: they are just black, could have more var"&amp;"iety of colors.")</f>
        <v>Sport and office wearing time comparing different qualities of such products. The famous apple headphones have a design that I do not like. But these headphones are perfect. Just feel, it has a futuristic design that makes them a good accessory for your phone or mp3. The sound quality is good. Calls are heard phenomenal. You can play sports with them. The battery life is high. The device materials are acceptable. What I like: the value for money. What I like least: they are just black, could have more variety of colors.</v>
      </c>
    </row>
    <row r="17191">
      <c r="A17191" s="1">
        <v>5.0</v>
      </c>
      <c r="B17191" s="1" t="s">
        <v>17026</v>
      </c>
      <c r="C17191" t="str">
        <f>IFERROR(__xludf.DUMMYFUNCTION("GOOGLETRANSLATE(B17191, ""es"", ""en"")"),"Original. It is precisoso, and looks nice place")</f>
        <v>Original. It is precisoso, and looks nice place</v>
      </c>
    </row>
    <row r="17192">
      <c r="A17192" s="1">
        <v>5.0</v>
      </c>
      <c r="B17192" s="1" t="s">
        <v>17027</v>
      </c>
      <c r="C17192" t="str">
        <f>IFERROR(__xludf.DUMMYFUNCTION("GOOGLETRANSLATE(B17192, ""es"", ""en"")"),"Very good then buy a few days of use, I can say that work perfectly, both IOS and Android. It is very easy and quick to operation, and heard quite well. Very comfortable to wear. highly recommended")</f>
        <v>Very good then buy a few days of use, I can say that work perfectly, both IOS and Android. It is very easy and quick to operation, and heard quite well. Very comfortable to wear. highly recommended</v>
      </c>
    </row>
    <row r="17193">
      <c r="A17193" s="1">
        <v>5.0</v>
      </c>
      <c r="B17193" s="1" t="s">
        <v>17028</v>
      </c>
      <c r="C17193" t="str">
        <f>IFERROR(__xludf.DUMMYFUNCTION("GOOGLETRANSLATE(B17193, ""es"", ""en"")"),"Very good product. Very good, something heavy wrist, but you have to have an extension of mobile wrist !!. Byena intensive lasting battery lasts 3 days IF NO LONGER")</f>
        <v>Very good product. Very good, something heavy wrist, but you have to have an extension of mobile wrist !!. Byena intensive lasting battery lasts 3 days IF NO LONGER</v>
      </c>
    </row>
    <row r="17194">
      <c r="A17194" s="1">
        <v>5.0</v>
      </c>
      <c r="B17194" s="1" t="s">
        <v>17029</v>
      </c>
      <c r="C17194" t="str">
        <f>IFERROR(__xludf.DUMMYFUNCTION("GOOGLETRANSLATE(B17194, ""es"", ""en"")"),"Perfect Authentic and everything in good condition")</f>
        <v>Perfect Authentic and everything in good condition</v>
      </c>
    </row>
    <row r="17195">
      <c r="A17195" s="1">
        <v>5.0</v>
      </c>
      <c r="B17195" s="1" t="s">
        <v>17030</v>
      </c>
      <c r="C17195" t="str">
        <f>IFERROR(__xludf.DUMMYFUNCTION("GOOGLETRANSLATE(B17195, ""es"", ""en"")"),"Very nice is quite thin, but very nice for the money. It is very light and has good finish. I recommend purchase.")</f>
        <v>Very nice is quite thin, but very nice for the money. It is very light and has good finish. I recommend purchase.</v>
      </c>
    </row>
    <row r="17196">
      <c r="A17196" s="1">
        <v>5.0</v>
      </c>
      <c r="B17196" s="1" t="s">
        <v>17031</v>
      </c>
      <c r="C17196" t="str">
        <f>IFERROR(__xludf.DUMMYFUNCTION("GOOGLETRANSLATE(B17196, ""es"", ""en"")"),"Fresh odor cabinets needed a solution for bad odors and moisture from my closets and I decided on these bags. They are superbien in a few days hardly smell anything closet. The come in different sizes can be hung on hangers or leave the shelves and shoema"&amp;"kers. Holding bags have an attractive design and are very tasty to touch. A being all natural does not leave odors and other air fresheners.")</f>
        <v>Fresh odor cabinets needed a solution for bad odors and moisture from my closets and I decided on these bags. They are superbien in a few days hardly smell anything closet. The come in different sizes can be hung on hangers or leave the shelves and shoemakers. Holding bags have an attractive design and are very tasty to touch. A being all natural does not leave odors and other air fresheners.</v>
      </c>
    </row>
    <row r="17197">
      <c r="A17197" s="1">
        <v>5.0</v>
      </c>
      <c r="B17197" s="1" t="s">
        <v>17032</v>
      </c>
      <c r="C17197" t="str">
        <f>IFERROR(__xludf.DUMMYFUNCTION("GOOGLETRANSLATE(B17197, ""es"", ""en"")"),"Very good and lasting I like everything")</f>
        <v>Very good and lasting I like everything</v>
      </c>
    </row>
    <row r="17198">
      <c r="A17198" s="1">
        <v>5.0</v>
      </c>
      <c r="B17198" s="1" t="s">
        <v>17033</v>
      </c>
      <c r="C17198" t="str">
        <f>IFERROR(__xludf.DUMMYFUNCTION("GOOGLETRANSLATE(B17198, ""es"", ""en"")"),"No they confused with size this garment that I ordered. Good sizing in detail sending")</f>
        <v>No they confused with size this garment that I ordered. Good sizing in detail sending</v>
      </c>
    </row>
    <row r="17199">
      <c r="A17199" s="1">
        <v>5.0</v>
      </c>
      <c r="B17199" s="1" t="s">
        <v>17034</v>
      </c>
      <c r="C17199" t="str">
        <f>IFERROR(__xludf.DUMMYFUNCTION("GOOGLETRANSLATE(B17199, ""es"", ""en"")"),"RELATIONSHIP excellent value for money highly recommended purchase")</f>
        <v>RELATIONSHIP excellent value for money highly recommended purchase</v>
      </c>
    </row>
    <row r="17200">
      <c r="A17200" s="1">
        <v>5.0</v>
      </c>
      <c r="B17200" s="1" t="s">
        <v>17035</v>
      </c>
      <c r="C17200" t="str">
        <f>IFERROR(__xludf.DUMMYFUNCTION("GOOGLETRANSLATE(B17200, ""es"", ""en"")"),"Cable Everything perfect, thank you very much")</f>
        <v>Cable Everything perfect, thank you very much</v>
      </c>
    </row>
    <row r="17201">
      <c r="A17201" s="1">
        <v>5.0</v>
      </c>
      <c r="B17201" s="1" t="s">
        <v>17036</v>
      </c>
      <c r="C17201" t="str">
        <f>IFERROR(__xludf.DUMMYFUNCTION("GOOGLETRANSLATE(B17201, ""es"", ""en"")"),"Strong Very good qualities that both the format and sound, strong bass MIU, mola !!")</f>
        <v>Strong Very good qualities that both the format and sound, strong bass MIU, mola !!</v>
      </c>
    </row>
    <row r="17202">
      <c r="A17202" s="1">
        <v>5.0</v>
      </c>
      <c r="B17202" s="1" t="s">
        <v>17037</v>
      </c>
      <c r="C17202" t="str">
        <f>IFERROR(__xludf.DUMMYFUNCTION("GOOGLETRANSLATE(B17202, ""es"", ""en"")"),"Skechers I love. Simply that.")</f>
        <v>Skechers I love. Simply that.</v>
      </c>
    </row>
    <row r="17203">
      <c r="A17203" s="1">
        <v>5.0</v>
      </c>
      <c r="B17203" s="1" t="s">
        <v>17038</v>
      </c>
      <c r="C17203" t="str">
        <f>IFERROR(__xludf.DUMMYFUNCTION("GOOGLETRANSLATE(B17203, ""es"", ""en"")"),"It seems perfect good price")</f>
        <v>It seems perfect good price</v>
      </c>
    </row>
    <row r="17204">
      <c r="A17204" s="1">
        <v>2.0</v>
      </c>
      <c r="B17204" s="1" t="s">
        <v>17039</v>
      </c>
      <c r="C17204" t="str">
        <f>IFERROR(__xludf.DUMMYFUNCTION("GOOGLETRANSLATE(B17204, ""es"", ""en"")"),"The very flimsy plastic drawer is too weak and puny, did not last long. I have returned for the same reason, because he saw one noticed the poor quality of the plastic. Although for that price I guess you can not ask for much more. Otherwise the drawers w"&amp;"ere going well, slipping well and everything.")</f>
        <v>The very flimsy plastic drawer is too weak and puny, did not last long. I have returned for the same reason, because he saw one noticed the poor quality of the plastic. Although for that price I guess you can not ask for much more. Otherwise the drawers were going well, slipping well and everything.</v>
      </c>
    </row>
    <row r="17205">
      <c r="A17205" s="1">
        <v>3.0</v>
      </c>
      <c r="B17205" s="1" t="s">
        <v>17040</v>
      </c>
      <c r="C17205" t="str">
        <f>IFERROR(__xludf.DUMMYFUNCTION("GOOGLETRANSLATE(B17205, ""es"", ""en"")"),"You make too much noise when reading or writing on the disc, trembles too. It unworked properly isolating the disk to reduce vibration. As for storage and reliability, meet the standard WD so smoothly. Pros: - Good quality finishes - Very portable Cons: -"&amp;" No USB interface C, but still USB 3.0 - Vibrations and excessive noise")</f>
        <v>You make too much noise when reading or writing on the disc, trembles too. It unworked properly isolating the disk to reduce vibration. As for storage and reliability, meet the standard WD so smoothly. Pros: - Good quality finishes - Very portable Cons: - No USB interface C, but still USB 3.0 - Vibrations and excessive noise</v>
      </c>
    </row>
    <row r="17206">
      <c r="A17206" s="1">
        <v>3.0</v>
      </c>
      <c r="B17206" s="1" t="s">
        <v>17041</v>
      </c>
      <c r="C17206" t="str">
        <f>IFERROR(__xludf.DUMMYFUNCTION("GOOGLETRANSLATE(B17206, ""es"", ""en"")"),"are well are good are comfortable breathable light, eventually we'll see how the sole behaves as I think it will crack and no longer remain as beautiful is very likely that adds a better template that brings not think they are to put him much cane and thi"&amp;"nk they are not to go running, I think they are more for the price paseopor think are good, later we will see its evolution over time such behave")</f>
        <v>are well are good are comfortable breathable light, eventually we'll see how the sole behaves as I think it will crack and no longer remain as beautiful is very likely that adds a better template that brings not think they are to put him much cane and think they are not to go running, I think they are more for the price paseopor think are good, later we will see its evolution over time such behave</v>
      </c>
    </row>
    <row r="17207">
      <c r="A17207" s="1">
        <v>3.0</v>
      </c>
      <c r="B17207" s="1" t="s">
        <v>17042</v>
      </c>
      <c r="C17207" t="str">
        <f>IFERROR(__xludf.DUMMYFUNCTION("GOOGLETRANSLATE(B17207, ""es"", ""en"")"),"The first weeks under observation are behaving very well. But its durability is yet to be demonstrated. I can say that they are not the most comfortable boots I've used, especially in terms of cushioning in the heel. Closing laces strange to the first but"&amp;" is proving effective. Only say that my work, fishmonger, is very extreme with boots (permanent moisture, wear skin and sole higher risk of slipping), but so far my assessment is that worth what they cost. Thank you.")</f>
        <v>The first weeks under observation are behaving very well. But its durability is yet to be demonstrated. I can say that they are not the most comfortable boots I've used, especially in terms of cushioning in the heel. Closing laces strange to the first but is proving effective. Only say that my work, fishmonger, is very extreme with boots (permanent moisture, wear skin and sole higher risk of slipping), but so far my assessment is that worth what they cost. Thank you.</v>
      </c>
    </row>
    <row r="17208">
      <c r="A17208" s="1">
        <v>1.0</v>
      </c>
      <c r="B17208" s="1" t="s">
        <v>17043</v>
      </c>
      <c r="C17208" t="str">
        <f>IFERROR(__xludf.DUMMYFUNCTION("GOOGLETRANSLATE(B17208, ""es"", ""en"")"),"Malo LOUSY lasted two days and stopped working several times trying to get him to read it to an output of the flash drive came off.")</f>
        <v>Malo LOUSY lasted two days and stopped working several times trying to get him to read it to an output of the flash drive came off.</v>
      </c>
    </row>
    <row r="17209">
      <c r="A17209" s="1">
        <v>1.0</v>
      </c>
      <c r="B17209" s="1" t="s">
        <v>17044</v>
      </c>
      <c r="C17209" t="str">
        <f>IFERROR(__xludf.DUMMYFUNCTION("GOOGLETRANSLATE(B17209, ""es"", ""en"")"),"CECOTEC swindling the month of purchase and me. lost liquid below. I was told it was for a piece that is a ring. m sent another and break me again. CECOTEC is a disaster. I have. oven, conga, vacuum cleaner, blender and all less than a year has given me p"&amp;"roblems and failures. Do not buy CECOTEC !! ! !! It is a waste of your dinerooo")</f>
        <v>CECOTEC swindling the month of purchase and me. lost liquid below. I was told it was for a piece that is a ring. m sent another and break me again. CECOTEC is a disaster. I have. oven, conga, vacuum cleaner, blender and all less than a year has given me problems and failures. Do not buy CECOTEC !! ! !! It is a waste of your dinerooo</v>
      </c>
    </row>
    <row r="17210">
      <c r="A17210" s="1">
        <v>4.0</v>
      </c>
      <c r="B17210" s="1" t="s">
        <v>17045</v>
      </c>
      <c r="C17210" t="str">
        <f>IFERROR(__xludf.DUMMYFUNCTION("GOOGLETRANSLATE(B17210, ""es"", ""en"")"),"happy for what it costs is very beautiful, looks good, the problem pellets done in a very short time. I would not mind paying more for better fabric, since the model is beautiful and looks fantastic")</f>
        <v>happy for what it costs is very beautiful, looks good, the problem pellets done in a very short time. I would not mind paying more for better fabric, since the model is beautiful and looks fantastic</v>
      </c>
    </row>
    <row r="17211">
      <c r="A17211" s="1">
        <v>4.0</v>
      </c>
      <c r="B17211" s="1" t="s">
        <v>17046</v>
      </c>
      <c r="C17211" t="str">
        <f>IFERROR(__xludf.DUMMYFUNCTION("GOOGLETRANSLATE(B17211, ""es"", ""en"")"),"Buttons a bit inaccessible has the necessary time, alarm, stopwatch and timer functions. Extremely durable, very good read on the LCD. The bezel and straps can be changed and there are plenty of options on the market. The downside is the buttons that are "&amp;"too hidden and are not comfortable to operate, especially the ADJUST button, which also serves to 0 the timer for example, and it becomes very difficult to press with the watch on your wrist.")</f>
        <v>Buttons a bit inaccessible has the necessary time, alarm, stopwatch and timer functions. Extremely durable, very good read on the LCD. The bezel and straps can be changed and there are plenty of options on the market. The downside is the buttons that are too hidden and are not comfortable to operate, especially the ADJUST button, which also serves to 0 the timer for example, and it becomes very difficult to press with the watch on your wrist.</v>
      </c>
    </row>
    <row r="17212">
      <c r="A17212" s="1">
        <v>4.0</v>
      </c>
      <c r="B17212" s="1" t="s">
        <v>17047</v>
      </c>
      <c r="C17212" t="str">
        <f>IFERROR(__xludf.DUMMYFUNCTION("GOOGLETRANSLATE(B17212, ""es"", ""en"")"),"Both sports shoes size, and wide, goes very well and their colors are very nice, no justice is done in photo")</f>
        <v>Both sports shoes size, and wide, goes very well and their colors are very nice, no justice is done in photo</v>
      </c>
    </row>
    <row r="17213">
      <c r="A17213" s="1">
        <v>4.0</v>
      </c>
      <c r="B17213" s="1" t="s">
        <v>17048</v>
      </c>
      <c r="C17213" t="str">
        <f>IFERROR(__xludf.DUMMYFUNCTION("GOOGLETRANSLATE(B17213, ""es"", ""en"")"),"Good shoes at a good price Very nice and great price were still algonpequeños and returned me, I have an intermediate foot and sometimes that happens with me it depends on that model")</f>
        <v>Good shoes at a good price Very nice and great price were still algonpequeños and returned me, I have an intermediate foot and sometimes that happens with me it depends on that model</v>
      </c>
    </row>
    <row r="17214">
      <c r="A17214" s="1">
        <v>4.0</v>
      </c>
      <c r="B17214" s="1" t="s">
        <v>17049</v>
      </c>
      <c r="C17214" t="str">
        <f>IFERROR(__xludf.DUMMYFUNCTION("GOOGLETRANSLATE(B17214, ""es"", ""en"")"),"Comfortable, light and beautiful was for my daughter loved him. They are very comfortable inside as the template carries pads that fit your foot, seem a normal sports, are nice and do not weigh as safety boots ever. recommendable")</f>
        <v>Comfortable, light and beautiful was for my daughter loved him. They are very comfortable inside as the template carries pads that fit your foot, seem a normal sports, are nice and do not weigh as safety boots ever. recommendable</v>
      </c>
    </row>
    <row r="17215">
      <c r="A17215" s="1">
        <v>5.0</v>
      </c>
      <c r="B17215" s="1" t="s">
        <v>17050</v>
      </c>
      <c r="C17215" t="str">
        <f>IFERROR(__xludf.DUMMYFUNCTION("GOOGLETRANSLATE(B17215, ""es"", ""en"")"),"Surprised by this paste needed dough sinks home, compared with which use at work (the original of the psa group), the grain is finer, it is drier, and smells much much much more plague (the other smells orange makes you want to eat it) but everything else"&amp;", this pasta is better, the fine grain goes much further, and clean enough in depth and also to the use without water in principle seems to spend less product, but if you spend fast as any other. If you expect the time to buy it on Amazon, it comes at a v"&amp;"ery good price")</f>
        <v>Surprised by this paste needed dough sinks home, compared with which use at work (the original of the psa group), the grain is finer, it is drier, and smells much much much more plague (the other smells orange makes you want to eat it) but everything else, this pasta is better, the fine grain goes much further, and clean enough in depth and also to the use without water in principle seems to spend less product, but if you spend fast as any other. If you expect the time to buy it on Amazon, it comes at a very good price</v>
      </c>
    </row>
    <row r="17216">
      <c r="A17216" s="1">
        <v>5.0</v>
      </c>
      <c r="B17216" s="1" t="s">
        <v>17051</v>
      </c>
      <c r="C17216" t="str">
        <f>IFERROR(__xludf.DUMMYFUNCTION("GOOGLETRANSLATE(B17216, ""es"", ""en"")"),"Great sound quality After buying (and return) several of this price range headphones can safely say they are the best in sound quality, comfort and quality of materials. 1000% recommended!")</f>
        <v>Great sound quality After buying (and return) several of this price range headphones can safely say they are the best in sound quality, comfort and quality of materials. 1000% recommended!</v>
      </c>
    </row>
    <row r="17217">
      <c r="A17217" s="1">
        <v>5.0</v>
      </c>
      <c r="B17217" s="1" t="s">
        <v>17052</v>
      </c>
      <c r="C17217" t="str">
        <f>IFERROR(__xludf.DUMMYFUNCTION("GOOGLETRANSLATE(B17217, ""es"", ""en"")"),"very elegant &lt;div id = ""video-block-R3GBE364K71AKX"" class = ""a-section a-spacing-small a-spacing-top mini video-block""&gt; &lt;div tabindex = ""0"" class = ""airy airy-svg vmin-supported airy-skin-beacon ""style ="" background-color: rgb (0, 0, 0) position:"&amp;" relative; width: 100%; height: 100%; font-size: 0px; overflow: hidden; outline : none; ""&gt; &lt;div class ="" airy-renderer-container ""style ="" position: relative; height: 100%; width: 100%; ""&gt; &lt;video id ="" 23 ""preload ="" auto ""src ="" https://images-"&amp;"eu.ssl-images-amazon.com/images/I/C1kd8+GCwgS.mp4 ""style ="" position: absolute; left: 0px; top: 0px; overflow: hidden; height: 1px; width : 1px; ""&gt; &lt;/ video&gt; &lt;/ div&gt; &lt;div id ="" airy-slate-preload ""style ="" background-color: rgb (0, 0, 0); background"&amp;"-image: url (&amp; quot; https: //images-eu.ssl-images-amazon.com/images/I/C1aoEzdU4DS.png&amp;quot;); background-size: Contain; background-position: center center; background-repeat: no-repeat; position: absolute; top : 0px; left: 0px; visibility: visible; width"&amp;": 100%; height: 100%; ""&gt; &lt;/ div&gt; &lt;iframe scrolling ="" no ""Frameborder ="" 0 ""src ="" about: blank ""style ="" display: none; ""&gt; &lt;/ iframe&gt; &lt;div tabindex ="" - 1 ""class ="" airy-controls-container ""style ="" opacity: 0; visibility: hidden; ""&gt; &lt;div "&amp;"tabindex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air"&amp;"y-on ""&gt; &lt;/ div&gt; &lt;div tabindex ="" - 1 ""class ="" airy-audio-container ""style = ""opacity: 0; visibility: hidden; ""&gt; &lt;div tabindex ="" - 1 ""class ="" airy-audio-track-bar ""style ="" height: 80%; ""&gt; &lt;div tabindex ="" - 1 ""class ="" airy-audio- Scrub"&amp;"ber-bar ""style ="" height: 85%; ""&gt; &lt;/ div&gt; &lt;div tabindex ="" - 1 ""class ="" airy-audio-scrubber ""style ="" height: 12px; bottom: 85% ""&gt; &lt;/ div&gt; &lt;/ div&gt; &lt;/ div&gt; &lt;/ div&gt; &lt;div tabindex ="" - 1 ""class ="" airy-duration-label ""style ="" float: right; wi"&amp;"dth: 26px; margin-right: 4px; text-align: center; ""&gt; 0:00 &lt;/ div&gt; &lt;div tabindex ="" - 1 ""class ="" airy-track-bar-spacer-right ""style ="" float: right; width: 11px; ""&gt; &lt;/ div&gt; &lt;div tabindex ="" - 1 ""class ="" airy-track-bar-container ""style ="" marg"&amp;"in-left: 35px; margin-right: 75px; ""&gt; &lt;div tabindex ="" - 1 ""class ="" airy-airy-track-bar vertically-centering-table ""&gt; &lt;div tabindex ="" - 1 ""class ="" airy-Vertical-centering- table-cell ""&gt; &lt;div tabindex ="" - 1 ""class ="" airy-track-bar-elements"&amp;" ""&gt; &lt;div tabindex ="" - 1 ""class ="" airy-progress-bar ""&gt; &lt;/ div&gt; &lt;div tabindex = ""- 1"" class = ""airy-scrubber-bar""&gt; &lt;/ div&gt; &lt;div tabindex = ""- 1"" class = ""airy-scrubber""&gt; &lt;div tabindex = ""- 1"" class = ""airy-scrubber- icon ""&gt; &lt;/ div&gt; &lt;div t"&amp;"abindex ="" - 1 ""class ="" airy-adjusted-AUI-tooltip ""style ="" opacity: 0; visibility: hidden; ""&gt; &lt;div tabindex ="" - 1 ""class ="" airy-adjusted-aui-tooltip-inner ""&gt; &lt;div tabindex ="" - 1 ""class ="" airy-current-time-label ""&gt; 0: 00 &lt;/ div&gt; &lt;/ div&gt;"&amp;" &lt;div tabindex = ""- 1"" class = ""airy-adjusted-AUI-arrow-border""&gt; &lt;div tabindex = ""- 1"" class = ""airy-adjusted-AUI-arrow"" &gt; &lt;/ div&gt; &lt;/ div&gt; &lt;/ div&gt; &lt;/ div&gt; &lt;/ div&gt; &lt;/ div&gt; &lt;/ div&gt; &lt;/ div&gt; &lt;/ div&gt; &lt;/ div&gt; &lt;div tabindex = ""- 1"" class = ""airy-age-g"&amp;"ate airy-stage airy-Vertical-centering-table airy-dialog"" style = ""opacity: 0; visibility: hidden; ""&gt; &lt;div tabindex ="" - 1 ""class ="" airy-age-gate-Vertical-centering-table-cell airy-Vertical-centering-table-cell ""&gt; &lt;div tabindex ="" - 1 ""class = "&amp;"""airy-Vertical-centering-wrapper airy-age-gate-elements-wrapper""&gt; &lt;div tabindex = ""- 1"" class = ""airy-age-gate-elements airy-dialog-elements""&gt; &lt;div tabindex = "" -1 ""class ="" airy-age-gate-prompt ""&gt; This video is not Intended for all audiences Wh"&amp;"at date were you born &lt;/ div&gt; &lt;div tabindex =.?"" - 1 ""class ="" airy-age-gate -inputs airy-dialog-inner-elements ""&gt; &lt;select tabindex ="" - 1 ""class ="" airy-age-gate-month ""&gt; &lt;option value ="" 1 ""&gt; January &lt;/ option&gt; &lt;option value ="" 2 ""&gt; February"&amp;" &lt;/ option&gt; &lt;option value ="" 3 ""&gt; March &lt;/ option&gt; &lt;option value ="" 4 ""&gt; April &lt;/ option&gt; &lt;option value ="" 5 ""&gt; May &lt;/ option&gt; &lt;option value = ""6""&gt; June &lt;/ option&gt; &lt;option value = ""7""&gt; July &lt;/ option&gt; &lt;option value = ""8""&gt; August &lt;/ option&gt; &lt;op"&amp;"tion value = ""9""&gt; September &lt;/ option&gt; &lt;option value = ""10""&gt; October &lt;/ option&gt; &lt;option value = ""11""&gt; November &lt;/ option&gt; &lt;option value = ""12""&gt; December &lt;/ option&gt; &lt;/ select&gt; &lt;select tabindex = ""- 1"" class = ""airy-age-gate-day""&gt; &lt;opti on value"&amp;" = ""1""&gt; 1 &lt;/ option&gt; &lt;option value = ""2""&gt; 2 &lt;/ option&gt; &lt;option value = ""3""&gt; 3 &lt;/ option&gt; &lt;option value = ""4""&gt; 4 &lt;/ option &gt; &lt;option value = ""5""&gt; 5 &lt;/ option&gt; &lt;option value = ""6""&gt; 6 &lt;/ option&gt; &lt;option value = ""7""&gt; 7 &lt;/ option&gt; &lt;option value ="&amp;" ""8""&gt; 8 &lt; / option&gt; &lt;option value = ""9""&gt; 9 &lt;/ option&gt; &lt;option value = ""10""&gt; 10 &lt;/ option&gt; &lt;option value = ""11""&gt; 11 &lt;/ option&gt; &lt;option value = ""12""&gt; 12 &lt;/ option&gt; &lt;option value = ""13""&gt; 13 &lt;/ option&gt; &lt;option value = ""14""&gt; 14 &lt;/ option&gt; &lt;option"&amp;" value = ""15""&gt; 15 &lt;/ option&gt; &lt;option value = ""16 ""&gt; 16 &lt;/ option&gt; &lt;option value ="" 17 ""&gt; 17 &lt;/ option&gt; &lt;option value ="" 18 ""&gt; 18 &lt;/ option&gt; &lt;option value ="" 19 ""&gt; 19 &lt;/ option&gt; &lt;option value = ""20""&gt; 20 &lt;/ option&gt; &lt;option value = ""21""&gt; 21 &lt;/ "&amp;"option&gt; &lt;option value = ""22""&gt; 22 &lt;/ option&gt; &lt;option value = ""23""&gt; 23 &lt;/ option&gt; &lt;option value = ""24""&gt; 24 &lt;/ option&gt; &lt;option value = ""25""&gt; 25 &lt;/ option&gt; &lt;option value = ""26""&gt; 26 &lt;/ option&gt; &lt;option value = ""27""&gt; 27 &lt;/ option&gt; &lt;option value = ""2"&amp;"8""&gt; 28 &lt;/ option&gt; &lt;option value = ""29""&gt; 29 &lt;/ option&gt; &lt;option value = ""30""&gt; 30 &lt;/ option&gt; &lt;option value = ""31""&gt; 31 &lt;/ option&gt; &lt;/ select&gt; &lt;select tabindex = ""- 1"" class = ""airy-age-gate-year""&gt; &lt;option value = ""2019""&gt; 2019 &lt;/ option&gt; &lt; option v"&amp;"alue = ""2018""&gt; 2018 &lt;/ option&gt; &lt;option value = ""2017""&gt; 2017 &lt;/ option&gt; &lt;option value = ""2016""&gt; ​​2016 &lt;/ option&gt; &lt;option value = ""2015""&gt; 2015 &lt;/ option &gt; &lt;option value = ""2014""&gt; 2014 &lt;/ option&gt; &lt;option value = ""2013""&gt; 2013 &lt;/ option&gt; &lt;option v"&amp;"alue = ""2012""&gt; 2012 &lt;/ option&gt; &lt;option value = ""2011""&gt; 2011 &lt; / option&gt; &lt;option value = ""2010""&gt; 2010 &lt;/ option&gt; &lt;option value = ""2009""&gt; 2009 &lt;/ option&gt; &lt;option value = ""2008""&gt; 2008 &lt;/ option&gt; &lt;option value = ""2007""&gt; 2007 &lt;/ option&gt; &lt;option val"&amp;"ue = ""2006""&gt; 2006 &lt;/ option&gt; &lt;option value = ""2005""&gt; 2005 &lt;/ option&gt; &lt;option value = ""2004""&gt; 2004 &lt;/ option&gt; &lt;option value = ""2003 ""&gt; 2003 &lt;/ option&gt; &lt;option value ="" 2002 ""&gt; 2002 &lt;/ option&gt; &lt;option value ="" 2001 ""&gt; 2001 &lt;/ option&gt; &lt;option val"&amp;"ue ="" 2000 ""&gt; 2000 &lt;/ option&gt; &lt;option value = ""1999""&gt; 1999 &lt;/ option&gt; &lt;option value = ""1998""&gt; 1998 &lt;/ option&gt; &lt;option value = ""1997""&gt; 1997 &lt;/ option&gt; &lt;option value = ""1996""&gt; 1996 &lt;/ option&gt; &lt;option value = ""1995""&gt; 1995 &lt;/ option&gt; &lt;option value"&amp;" = ""1994""&gt;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"&amp;"= ""1982""&gt; 1982 &lt;/ option&gt; &lt; option value = ""1981""&gt; 1981 &lt;/ option&gt; &lt;option value = ""1980""&gt; 1980 &lt;/ option&gt; &lt;option value = ""1979""&gt; 1979 &lt;/ option&gt; &lt;option value = ""1978""&gt; 1978 &lt;/ option &gt; &lt;option value = ""1977""&gt; 1977 &lt;/ option&gt; &lt;option value ="&amp;" ""1976""&gt;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 "&amp;"""1958""&gt; 1958 &lt;/ option&gt; &lt;option value = ""1957""&gt; 1957 &lt;/ option&gt; &lt;option value = ""1956""&gt; 1956 &lt;/ option&gt; &lt;option value = ""1955""&gt; 1955 &lt;/ option&gt; &lt;option value = ""1954""&gt; 1954 &lt;/ option&gt; &lt;option value = ""1953""&gt; 1953 &lt;/ option&gt; &lt;option value = ""1"&amp;"952"" &gt; 1952 &lt;/ option&gt; &lt;option value = ""1951""&gt; 1951 &lt;/ option&gt; &lt;option value = ""1950""&gt; 1950 &lt;/ option&gt; &lt;option value = ""1949""&gt; 1949 &lt;/ option&gt; &lt;option value = "" 1948 ""&gt; 1948 &lt;/ option&gt; &lt;option value ="" 1947 ""&gt; 1947 &lt;/ option&gt; &lt;option value ="" "&amp;"1946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""19"&amp;"34""&gt; 1934 &lt;/ option&gt; &lt;option value = ""1933""&gt; 1933 &lt; / option&gt; &lt;option value = ""1932""&gt; 1932 &lt;/ option&gt; &lt;option value = ""1931""&gt; 1931 &lt;/ option&gt; &lt;option v alue = ""1930""&gt; 1930 &lt;/ option&gt; &lt;option value = ""1929""&gt; 1929 &lt;/ option&gt; &lt;option value = ""192"&amp;"8""&gt;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 1"&amp;"916 &lt;/ option&gt; &lt;option value = ""1915"" &gt; 1915 &lt;/ option&gt; &lt;option value = ""1914""&gt; 1914 &lt;/ option&gt; &lt;option value = ""1913""&gt; 1913 &lt;/ option&gt; &lt;option value = ""1912""&gt; 1912 &lt;/ option&gt; &lt;option value = "" 1911 ""&gt; 1911 &lt;/ option&gt; &lt;option value ="" 1910 ""&gt; "&amp;"1910 &lt;/ option&gt; &lt;option value ="" 1909 ""&gt; 1909 &lt;/ option&gt; &lt;option value ="" 1908 ""&gt; 1908 &lt;/ option&gt; &lt;value option = ""1907""&gt; 1907 &lt;/ option&gt; &lt;option value = ""1906""&gt; 1906 &lt;/ option&gt; &lt;option value = ""1905""&gt; 1905 &lt;/ option&gt; &lt;option value = ""1904""&gt; 1"&amp;"904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tabindex =."" - 1 ""class ="" airy-install-flash-"&amp;"button-wrapper airy -dialog-inner-elements ""&gt; &lt;div tabindex ="" - 1 ""class ="" airy-install-flash-button airy-button ""&gt; install Flash Player &lt;/ div&gt; &lt;/ div&gt; &lt;/ div&gt; &lt;/ div&gt; &lt;/ div&gt; &lt;/ div&gt; &lt;div tabindex = ""- 1"" class = ""airy-video-unsupported-dialog"&amp;" 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C1kd8 + GCwgS.mp4 ""Class ="" video-url ""&gt; &lt;input type ="" hidden ""name ="" ""value ="" https://images-eu.ssl-images-amazon.com/images/I/C1aoEzdU4DS.png ""class ="" video-slate-img-url ""&gt; &amp; nbsp; I bought this pendant to change tha"&amp;"t regale while my partner, had one heart-shaped and this time wanted it to be something different, so I chose this way"" two inseparable ""symbolizes two people together forever."" It comes in a box like you would get in one of the jewelry, and the box th"&amp;"at you see have a stylish item. Inside the pendant comes with silver necklace and a cloth to wipe like next to the glasses. In the center is a cubic zirconia with good detail, which makes reflect to the light shine and look pretty much, so striking. On th"&amp;"e sides, the structure that holds the diamond is silver, and most have tiny rhinestones which makes it very pleasing to the eye. The cord is silver, fine and bright, and seems resistant closure. Of course my partner has been delighted with the necklace. I"&amp;" would recommend, of course, to San Jordi. Which is April 23, but also for anniversary gifts or gift for lovers who are starting, because its price is not high, or take at parties or social gatherings.")</f>
        <v>very elegant &lt;div id = "video-block-R3GBE364K71AKX" class = "a-section a-spacing-small a-spacing-top mini video-block"&gt; &lt;div tabindex = "0" class = "airy airy-svg vmin-supported airy-skin-beacon "style =" background-color: rgb (0, 0, 0) position: relative; width: 100%; height: 100%; font-size: 0px; overflow: hidden; outline : none; "&gt; &lt;div class =" airy-renderer-container "style =" position: relative; height: 100%; width: 100%; "&gt; &lt;video id =" 23 "preload =" auto "src =" https://images-eu.ssl-images-amazon.com/images/I/C1kd8+GCwgS.mp4 "style =" position: absolute; left: 0px; top: 0px; overflow: hidden; height: 1px; width : 1px; "&gt; &lt;/ video&gt; &lt;/ div&gt; &lt;div id =" airy-slate-preload "style =" background-color: rgb (0, 0, 0); background-image: url (&amp; quot; https: //images-eu.ssl-images-amazon.com/images/I/C1aoEzdU4DS.png&amp;quot;); background-size: Contain; background-position: center center; background-repeat: no-repeat; position: absolute; top : 0px; left: 0px; visibility: visible; width: 100%; height: 100%;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C1kd8 + GCwgS.mp4 "Class =" video-url "&gt; &lt;input type =" hidden "name =" "value =" https://images-eu.ssl-images-amazon.com/images/I/C1aoEzdU4DS.png "class =" video-slate-img-url "&gt; &amp; nbsp; I bought this pendant to change that regale while my partner, had one heart-shaped and this time wanted it to be something different, so I chose this way" two inseparable "symbolizes two people together forever." It comes in a box like you would get in one of the jewelry, and the box that you see have a stylish item. Inside the pendant comes with silver necklace and a cloth to wipe like next to the glasses. In the center is a cubic zirconia with good detail, which makes reflect to the light shine and look pretty much, so striking. On the sides, the structure that holds the diamond is silver, and most have tiny rhinestones which makes it very pleasing to the eye. The cord is silver, fine and bright, and seems resistant closure. Of course my partner has been delighted with the necklace. I would recommend, of course, to San Jordi. Which is April 23, but also for anniversary gifts or gift for lovers who are starting, because its price is not high, or take at parties or social gatherings.</v>
      </c>
    </row>
    <row r="17218">
      <c r="A17218" s="1">
        <v>5.0</v>
      </c>
      <c r="B17218" s="1" t="s">
        <v>17053</v>
      </c>
      <c r="C17218" t="str">
        <f>IFERROR(__xludf.DUMMYFUNCTION("GOOGLETRANSLATE(B17218, ""es"", ""en"")"),"This micro great for the price it is just great! I rap and this micro going to freak !! Highly recommended :) A greeting")</f>
        <v>This micro great for the price it is just great! I rap and this micro going to freak !! Highly recommended :) A greeting</v>
      </c>
    </row>
    <row r="17219">
      <c r="A17219" s="1">
        <v>5.0</v>
      </c>
      <c r="B17219" s="1" t="s">
        <v>17054</v>
      </c>
      <c r="C17219" t="str">
        <f>IFERROR(__xludf.DUMMYFUNCTION("GOOGLETRANSLATE(B17219, ""es"", ""en"")"),"Ideal solution for those who need an internal drive good brand and best price. Ginned easy and with a little skill you can reuse the box to another disk. I replaced my old drive 750GB of the MBP 15 "". It would have preferred the 4TB, but is thicker and d"&amp;"oes not enter.")</f>
        <v>Ideal solution for those who need an internal drive good brand and best price. Ginned easy and with a little skill you can reuse the box to another disk. I replaced my old drive 750GB of the MBP 15 ". It would have preferred the 4TB, but is thicker and does not enter.</v>
      </c>
    </row>
    <row r="17220">
      <c r="A17220" s="1">
        <v>5.0</v>
      </c>
      <c r="B17220" s="1" t="s">
        <v>17055</v>
      </c>
      <c r="C17220" t="str">
        <f>IFERROR(__xludf.DUMMYFUNCTION("GOOGLETRANSLATE(B17220, ""es"", ""en"")"),"Buy first take tippe warning to the clean bottles are the only ones who liked my daughter, especially if someone buys for the first time. The retinas are very delicate and the clean area XAFAR NO valve with your fingers!")</f>
        <v>Buy first take tippe warning to the clean bottles are the only ones who liked my daughter, especially if someone buys for the first time. The retinas are very delicate and the clean area XAFAR NO valve with your fingers!</v>
      </c>
    </row>
    <row r="17221">
      <c r="A17221" s="1">
        <v>5.0</v>
      </c>
      <c r="B17221" s="1" t="s">
        <v>17056</v>
      </c>
      <c r="C17221" t="str">
        <f>IFERROR(__xludf.DUMMYFUNCTION("GOOGLETRANSLATE(B17221, ""es"", ""en"")"),"very good !! I tried it and over the 06.07 level can not stand it lol buy it for 93 years lady legs will have deflated enough !! It is the only one that does not specify how long any site must be loaded with the central controller usb Heed the instruction"&amp;"s and put your feet .... when you go to use .... if you put a hand or two and you take away one .... to push the button ... not active and will not work to think q")</f>
        <v>very good !! I tried it and over the 06.07 level can not stand it lol buy it for 93 years lady legs will have deflated enough !! It is the only one that does not specify how long any site must be loaded with the central controller usb Heed the instructions and put your feet .... when you go to use .... if you put a hand or two and you take away one .... to push the button ... not active and will not work to think q</v>
      </c>
    </row>
    <row r="17222">
      <c r="A17222" s="1">
        <v>5.0</v>
      </c>
      <c r="B17222" s="1" t="s">
        <v>651</v>
      </c>
      <c r="C17222" t="str">
        <f>IFERROR(__xludf.DUMMYFUNCTION("GOOGLETRANSLATE(B17222, ""es"", ""en"")"),"Nostalgia I can tell wearing sneakers small, it brings back memories and I can joint with a variety clothes.")</f>
        <v>Nostalgia I can tell wearing sneakers small, it brings back memories and I can joint with a variety clothes.</v>
      </c>
    </row>
    <row r="17223">
      <c r="A17223" s="1">
        <v>5.0</v>
      </c>
      <c r="B17223" s="1" t="s">
        <v>17057</v>
      </c>
      <c r="C17223" t="str">
        <f>IFERROR(__xludf.DUMMYFUNCTION("GOOGLETRANSLATE(B17223, ""es"", ""en"")"),"Big shoes! The product is quality, very comfortable. I recommend")</f>
        <v>Big shoes! The product is quality, very comfortable. I recommend</v>
      </c>
    </row>
    <row r="17224">
      <c r="A17224" s="1">
        <v>5.0</v>
      </c>
      <c r="B17224" s="1" t="s">
        <v>17058</v>
      </c>
      <c r="C17224" t="str">
        <f>IFERROR(__xludf.DUMMYFUNCTION("GOOGLETRANSLATE(B17224, ""es"", ""en"")"),"Paste perfect vehicle logo")</f>
        <v>Paste perfect vehicle logo</v>
      </c>
    </row>
    <row r="17225">
      <c r="A17225" s="1">
        <v>5.0</v>
      </c>
      <c r="B17225" s="1" t="s">
        <v>17059</v>
      </c>
      <c r="C17225" t="str">
        <f>IFERROR(__xludf.DUMMYFUNCTION("GOOGLETRANSLATE(B17225, ""es"", ""en"")"),"Feel great! Feels great. I have large breasts and narrow contour am and I found it difficult to find bras for sports really subject themselves without moving, this bra is perfect and would definitely recommend it, it's me I'll buy another color")</f>
        <v>Feel great! Feels great. I have large breasts and narrow contour am and I found it difficult to find bras for sports really subject themselves without moving, this bra is perfect and would definitely recommend it, it's me I'll buy another color</v>
      </c>
    </row>
    <row r="17226">
      <c r="A17226" s="1">
        <v>5.0</v>
      </c>
      <c r="B17226" s="1" t="s">
        <v>17060</v>
      </c>
      <c r="C17226" t="str">
        <f>IFERROR(__xludf.DUMMYFUNCTION("GOOGLETRANSLATE(B17226, ""es"", ""en"")"),"Precious Love. It's super nice. The only thing I do not like is that the works or up or down and not both sides at once oven. And it has to regulate temperature. He came right when they said and in perfect condition. A recommended purchase.")</f>
        <v>Precious Love. It's super nice. The only thing I do not like is that the works or up or down and not both sides at once oven. And it has to regulate temperature. He came right when they said and in perfect condition. A recommended purchase.</v>
      </c>
    </row>
    <row r="17227">
      <c r="A17227" s="1">
        <v>5.0</v>
      </c>
      <c r="B17227" s="1" t="s">
        <v>17061</v>
      </c>
      <c r="C17227" t="str">
        <f>IFERROR(__xludf.DUMMYFUNCTION("GOOGLETRANSLATE(B17227, ""es"", ""en"")"),"Good headphones Thanks to grip the ear can take without falling, perfect for jogging or biking, with different pads to put the best fitting you, good sound quality, good battery life, connect in seconds to the phone right out of the box, all great")</f>
        <v>Good headphones Thanks to grip the ear can take without falling, perfect for jogging or biking, with different pads to put the best fitting you, good sound quality, good battery life, connect in seconds to the phone right out of the box, all great</v>
      </c>
    </row>
    <row r="17228">
      <c r="A17228" s="1">
        <v>5.0</v>
      </c>
      <c r="B17228" s="1" t="s">
        <v>17062</v>
      </c>
      <c r="C17228" t="str">
        <f>IFERROR(__xludf.DUMMYFUNCTION("GOOGLETRANSLATE(B17228, ""es"", ""en"")"),"You were a great gift for my father and loved. Like a glove.")</f>
        <v>You were a great gift for my father and loved. Like a glove.</v>
      </c>
    </row>
    <row r="17229">
      <c r="A17229" s="1">
        <v>5.0</v>
      </c>
      <c r="B17229" s="1" t="s">
        <v>17063</v>
      </c>
      <c r="C17229" t="str">
        <f>IFERROR(__xludf.DUMMYFUNCTION("GOOGLETRANSLATE(B17229, ""es"", ""en"")"),"Very convenient and very good quality 10. Quality Very convenient, everything I expected. Recommended if you are looking backpack is not typical, so look carefully before asking.")</f>
        <v>Very convenient and very good quality 10. Quality Very convenient, everything I expected. Recommended if you are looking backpack is not typical, so look carefully before asking.</v>
      </c>
    </row>
    <row r="17230">
      <c r="A17230" s="1">
        <v>5.0</v>
      </c>
      <c r="B17230" s="1" t="s">
        <v>17064</v>
      </c>
      <c r="C17230" t="str">
        <f>IFERROR(__xludf.DUMMYFUNCTION("GOOGLETRANSLATE(B17230, ""es"", ""en"")"),"Mixer 3 BBB I bought this mixer for breakage before and despite the doubts I had about the quality of this, I have been pleasantly surprised at the check besides perfectly fulfill its role to beat the food, it is very easy to clean and very comfortable to"&amp;" hold because despite having a glass of great capacity is not as high as other models and does not occupy both the save. As for maintaining quality over time I will have to wait a few months to see as you age and you will edit the opinion if necessary.")</f>
        <v>Mixer 3 BBB I bought this mixer for breakage before and despite the doubts I had about the quality of this, I have been pleasantly surprised at the check besides perfectly fulfill its role to beat the food, it is very easy to clean and very comfortable to hold because despite having a glass of great capacity is not as high as other models and does not occupy both the save. As for maintaining quality over time I will have to wait a few months to see as you age and you will edit the opinion if necessary.</v>
      </c>
    </row>
    <row r="17231">
      <c r="A17231" s="1">
        <v>5.0</v>
      </c>
      <c r="B17231" s="1" t="s">
        <v>17065</v>
      </c>
      <c r="C17231" t="str">
        <f>IFERROR(__xludf.DUMMYFUNCTION("GOOGLETRANSLATE(B17231, ""es"", ""en"")"),"sergio perfect primcipio the costs set but once others start testing and a microphone bestial ''ve been delighted definitely recommended 100%")</f>
        <v>sergio perfect primcipio the costs set but once others start testing and a microphone bestial ''ve been delighted definitely recommended 100%</v>
      </c>
    </row>
    <row r="17232">
      <c r="A17232" s="1">
        <v>5.0</v>
      </c>
      <c r="B17232" s="1" t="s">
        <v>17066</v>
      </c>
      <c r="C17232" t="str">
        <f>IFERROR(__xludf.DUMMYFUNCTION("GOOGLETRANSLATE(B17232, ""es"", ""en"")"),"Casio watch good and nice for the price it's fine. The area is large and strap something slim but features general good. Casio always does good and cheap stuff. Now I have no excuse for being late XD.")</f>
        <v>Casio watch good and nice for the price it's fine. The area is large and strap something slim but features general good. Casio always does good and cheap stuff. Now I have no excuse for being late XD.</v>
      </c>
    </row>
    <row r="17233">
      <c r="A17233" s="1">
        <v>5.0</v>
      </c>
      <c r="B17233" s="1" t="s">
        <v>17067</v>
      </c>
      <c r="C17233" t="str">
        <f>IFERROR(__xludf.DUMMYFUNCTION("GOOGLETRANSLATE(B17233, ""es"", ""en"")"),"I bought humidifiers oils these oils to put in an electric humidifier that I have at home. I've tried a few and the smell disappears very quickly. You must put a lot of product so that the fragrance will last one day. With these I am surprised, I put 4 to"&amp;" 5 drops in water 200-300ml loa there and the smell remains. I should not be added every few minutes. They come in a box six varied oils. The tea tree, for me, is too powerful, almost jajajaj it could be replaced by another.")</f>
        <v>I bought humidifiers oils these oils to put in an electric humidifier that I have at home. I've tried a few and the smell disappears very quickly. You must put a lot of product so that the fragrance will last one day. With these I am surprised, I put 4 to 5 drops in water 200-300ml loa there and the smell remains. I should not be added every few minutes. They come in a box six varied oils. The tea tree, for me, is too powerful, almost jajajaj it could be replaced by another.</v>
      </c>
    </row>
    <row r="17234">
      <c r="A17234" s="1">
        <v>2.0</v>
      </c>
      <c r="B17234" s="1" t="s">
        <v>17068</v>
      </c>
      <c r="C17234" t="str">
        <f>IFERROR(__xludf.DUMMYFUNCTION("GOOGLETRANSLATE(B17234, ""es"", ""en"")"),"The size is small size demadiada small and not comfortable for sports. The material is good. I returned because I would not sit well.")</f>
        <v>The size is small size demadiada small and not comfortable for sports. The material is good. I returned because I would not sit well.</v>
      </c>
    </row>
    <row r="17235">
      <c r="A17235" s="1">
        <v>3.0</v>
      </c>
      <c r="B17235" s="1" t="s">
        <v>17069</v>
      </c>
      <c r="C17235" t="str">
        <f>IFERROR(__xludf.DUMMYFUNCTION("GOOGLETRANSLATE(B17235, ""es"", ""en"")"),"It is completely correct compass, but perhaps the quality of the product is not as much as expected of a product Faber Castell. Gray chrome is easily scratched, and life expectancy is somewhat limited.")</f>
        <v>It is completely correct compass, but perhaps the quality of the product is not as much as expected of a product Faber Castell. Gray chrome is easily scratched, and life expectancy is somewhat limited.</v>
      </c>
    </row>
    <row r="17236">
      <c r="A17236" s="1">
        <v>1.0</v>
      </c>
      <c r="B17236" s="1" t="s">
        <v>17070</v>
      </c>
      <c r="C17236" t="str">
        <f>IFERROR(__xludf.DUMMYFUNCTION("GOOGLETRANSLATE(B17236, ""es"", ""en"")"),"Not very good You drop the hairs to the first use.")</f>
        <v>Not very good You drop the hairs to the first use.</v>
      </c>
    </row>
    <row r="17237">
      <c r="A17237" s="1">
        <v>1.0</v>
      </c>
      <c r="B17237" s="1" t="s">
        <v>17071</v>
      </c>
      <c r="C17237" t="str">
        <f>IFERROR(__xludf.DUMMYFUNCTION("GOOGLETRANSLATE(B17237, ""es"", ""en"")"),"NO PURCHASE would've given my son and I can not use. We have installed all the software on the PC and still without a sound. Everything is complicated, for professional people. I do not recommend buying from people who are just starting out. Inasumible !!"&amp;"!!")</f>
        <v>NO PURCHASE would've given my son and I can not use. We have installed all the software on the PC and still without a sound. Everything is complicated, for professional people. I do not recommend buying from people who are just starting out. Inasumible !!!!</v>
      </c>
    </row>
    <row r="17238">
      <c r="A17238" s="1">
        <v>4.0</v>
      </c>
      <c r="B17238" s="1" t="s">
        <v>17072</v>
      </c>
      <c r="C17238" t="str">
        <f>IFERROR(__xludf.DUMMYFUNCTION("GOOGLETRANSLATE(B17238, ""es"", ""en"")"),"Conforms to buy stamps to fill automatic, I get cheaper although I recognize that the ink does not become equal to bring q. It's a little more transparent, but it does, and much better q other brands.")</f>
        <v>Conforms to buy stamps to fill automatic, I get cheaper although I recognize that the ink does not become equal to bring q. It's a little more transparent, but it does, and much better q other brands.</v>
      </c>
    </row>
    <row r="17239">
      <c r="A17239" s="1">
        <v>4.0</v>
      </c>
      <c r="B17239" s="1" t="s">
        <v>17073</v>
      </c>
      <c r="C17239" t="str">
        <f>IFERROR(__xludf.DUMMYFUNCTION("GOOGLETRANSLATE(B17239, ""es"", ""en"")"),"Good quality and finishes Easy to use, clean, and enough power")</f>
        <v>Good quality and finishes Easy to use, clean, and enough power</v>
      </c>
    </row>
    <row r="17240">
      <c r="A17240" s="1">
        <v>4.0</v>
      </c>
      <c r="B17240" s="1" t="s">
        <v>17074</v>
      </c>
      <c r="C17240" t="str">
        <f>IFERROR(__xludf.DUMMYFUNCTION("GOOGLETRANSLATE(B17240, ""es"", ""en"")"),"Labels A.c.f pretty good quality, arrived expecting smaller but larger, measuring about 6 cm in diameter and brings the rope is not very good but the quality of the labels is good.")</f>
        <v>Labels A.c.f pretty good quality, arrived expecting smaller but larger, measuring about 6 cm in diameter and brings the rope is not very good but the quality of the labels is good.</v>
      </c>
    </row>
    <row r="17241">
      <c r="A17241" s="1">
        <v>4.0</v>
      </c>
      <c r="B17241" s="1" t="s">
        <v>17075</v>
      </c>
      <c r="C17241" t="str">
        <f>IFERROR(__xludf.DUMMYFUNCTION("GOOGLETRANSLATE(B17241, ""es"", ""en"")"),"Very handy functionality for speed and size")</f>
        <v>Very handy functionality for speed and size</v>
      </c>
    </row>
    <row r="17242">
      <c r="A17242" s="1">
        <v>4.0</v>
      </c>
      <c r="B17242" s="1" t="s">
        <v>17076</v>
      </c>
      <c r="C17242" t="str">
        <f>IFERROR(__xludf.DUMMYFUNCTION("GOOGLETRANSLATE(B17242, ""es"", ""en"")"),"Product Correct The order arrived much earlier than expected. The bag was well protected. The correct finish, this well finished bag: zipper, costuras..Buena quality / price ratio.")</f>
        <v>Product Correct The order arrived much earlier than expected. The bag was well protected. The correct finish, this well finished bag: zipper, costuras..Buena quality / price ratio.</v>
      </c>
    </row>
    <row r="17243">
      <c r="A17243" s="1">
        <v>5.0</v>
      </c>
      <c r="B17243" s="1" t="s">
        <v>17077</v>
      </c>
      <c r="C17243" t="str">
        <f>IFERROR(__xludf.DUMMYFUNCTION("GOOGLETRANSLATE(B17243, ""es"", ""en"")"),"I have already purchased more spectacular watches of this brand. I myself carry one and I'm delighted. I have ventured to this and has been a success. Is beautiful. Great, fine, luxury is the sphere. The photos really do not do justice is much, much prett"&amp;"ier to the natural. As always Amazón perfect in shipping and delivery times. The clock has arrived in its typical yellow box and wrapped in plastic. Come on, I've been the first to touch it. It is to give it away so I can not say anything about its operat"&amp;"ion. ADVISABLE.")</f>
        <v>I have already purchased more spectacular watches of this brand. I myself carry one and I'm delighted. I have ventured to this and has been a success. Is beautiful. Great, fine, luxury is the sphere. The photos really do not do justice is much, much prettier to the natural. As always Amazón perfect in shipping and delivery times. The clock has arrived in its typical yellow box and wrapped in plastic. Come on, I've been the first to touch it. It is to give it away so I can not say anything about its operation. ADVISABLE.</v>
      </c>
    </row>
    <row r="17244">
      <c r="A17244" s="1">
        <v>5.0</v>
      </c>
      <c r="B17244" s="1" t="s">
        <v>17078</v>
      </c>
      <c r="C17244" t="str">
        <f>IFERROR(__xludf.DUMMYFUNCTION("GOOGLETRANSLATE(B17244, ""es"", ""en"")"),"I like simple and comfortable")</f>
        <v>I like simple and comfortable</v>
      </c>
    </row>
    <row r="17245">
      <c r="A17245" s="1">
        <v>5.0</v>
      </c>
      <c r="B17245" s="1" t="s">
        <v>17079</v>
      </c>
      <c r="C17245" t="str">
        <f>IFERROR(__xludf.DUMMYFUNCTION("GOOGLETRANSLATE(B17245, ""es"", ""en"")"),"Typical great shirt Levi's. Quality and perfect size. I like the blue color does not takes much people as white with red logo.")</f>
        <v>Typical great shirt Levi's. Quality and perfect size. I like the blue color does not takes much people as white with red logo.</v>
      </c>
    </row>
    <row r="17246">
      <c r="A17246" s="1">
        <v>5.0</v>
      </c>
      <c r="B17246" s="1" t="s">
        <v>17080</v>
      </c>
      <c r="C17246" t="str">
        <f>IFERROR(__xludf.DUMMYFUNCTION("GOOGLETRANSLATE(B17246, ""es"", ""en"")"),"Johanns Excellent watch beautiful, very good brand. Looks pretty good, it is a very good price and is exactly as it appears in the photo.")</f>
        <v>Johanns Excellent watch beautiful, very good brand. Looks pretty good, it is a very good price and is exactly as it appears in the photo.</v>
      </c>
    </row>
    <row r="17247">
      <c r="A17247" s="1">
        <v>5.0</v>
      </c>
      <c r="B17247" s="1" t="s">
        <v>17081</v>
      </c>
      <c r="C17247" t="str">
        <f>IFERROR(__xludf.DUMMYFUNCTION("GOOGLETRANSLATE(B17247, ""es"", ""en"")"),"The power really was impressed with the product, I thought it would be basic but works great.")</f>
        <v>The power really was impressed with the product, I thought it would be basic but works great.</v>
      </c>
    </row>
    <row r="17248">
      <c r="A17248" s="1">
        <v>5.0</v>
      </c>
      <c r="B17248" s="1" t="s">
        <v>17082</v>
      </c>
      <c r="C17248" t="str">
        <f>IFERROR(__xludf.DUMMYFUNCTION("GOOGLETRANSLATE(B17248, ""es"", ""en"")"),"The only people who support my baby brand met through the night and pacifiers are the only ones who want my baby. It is great which can be sterilized in the micro. As only downer sometimes haste is a bummer dismantling the entire bottle for washing. We ha"&amp;"ve other products and are pleased with them.")</f>
        <v>The only people who support my baby brand met through the night and pacifiers are the only ones who want my baby. It is great which can be sterilized in the micro. As only downer sometimes haste is a bummer dismantling the entire bottle for washing. We have other products and are pleased with them.</v>
      </c>
    </row>
    <row r="17249">
      <c r="A17249" s="1">
        <v>5.0</v>
      </c>
      <c r="B17249" s="1" t="s">
        <v>17083</v>
      </c>
      <c r="C17249" t="str">
        <f>IFERROR(__xludf.DUMMYFUNCTION("GOOGLETRANSLATE(B17249, ""es"", ""en"")"),"They are very comfortable the second I buy now, these are for a friend, and no doubt would buy. They are very comfortable, do not have that typical feeling that is going to fall, plus the battery lasts long enough, the office once a week and use five to s"&amp;"ix days without reloading. As for the sound, it is not the best in the world, but fits your price. Very happy with the purchase.")</f>
        <v>They are very comfortable the second I buy now, these are for a friend, and no doubt would buy. They are very comfortable, do not have that typical feeling that is going to fall, plus the battery lasts long enough, the office once a week and use five to six days without reloading. As for the sound, it is not the best in the world, but fits your price. Very happy with the purchase.</v>
      </c>
    </row>
    <row r="17250">
      <c r="A17250" s="1">
        <v>5.0</v>
      </c>
      <c r="B17250" s="1" t="s">
        <v>17084</v>
      </c>
      <c r="C17250" t="str">
        <f>IFERROR(__xludf.DUMMYFUNCTION("GOOGLETRANSLATE(B17250, ""es"", ""en"")"),"The need was looking for a bambas bad thing lasted me, and I found this pair. I fell in love at the moment. Comfort, elegance and comfort! PS: In my case, a greater number of the chock I was the appropriate measure.")</f>
        <v>The need was looking for a bambas bad thing lasted me, and I found this pair. I fell in love at the moment. Comfort, elegance and comfort! PS: In my case, a greater number of the chock I was the appropriate measure.</v>
      </c>
    </row>
    <row r="17251">
      <c r="A17251" s="1">
        <v>5.0</v>
      </c>
      <c r="B17251" s="1" t="s">
        <v>17085</v>
      </c>
      <c r="C17251" t="str">
        <f>IFERROR(__xludf.DUMMYFUNCTION("GOOGLETRANSLATE(B17251, ""es"", ""en"")"),"A good filter Not too much to say, as filter is very good and reliable, good quality and robust, the grip is good and safe, and double Meshing does its job as antipop perfectly.")</f>
        <v>A good filter Not too much to say, as filter is very good and reliable, good quality and robust, the grip is good and safe, and double Meshing does its job as antipop perfectly.</v>
      </c>
    </row>
    <row r="17252">
      <c r="A17252" s="1">
        <v>5.0</v>
      </c>
      <c r="B17252" s="1" t="s">
        <v>17086</v>
      </c>
      <c r="C17252" t="str">
        <f>IFERROR(__xludf.DUMMYFUNCTION("GOOGLETRANSLATE(B17252, ""es"", ""en"")"),"Good product The size is a little tight. Otherwise everything perfect. They are good quality. I recommend the product. They arrive in cardboard boxes neatly packaged")</f>
        <v>Good product The size is a little tight. Otherwise everything perfect. They are good quality. I recommend the product. They arrive in cardboard boxes neatly packaged</v>
      </c>
    </row>
    <row r="17253">
      <c r="A17253" s="1">
        <v>5.0</v>
      </c>
      <c r="B17253" s="1" t="s">
        <v>17087</v>
      </c>
      <c r="C17253" t="str">
        <f>IFERROR(__xludf.DUMMYFUNCTION("GOOGLETRANSLATE(B17253, ""es"", ""en"")"),"Very good quality and power for all kinds of foods without problem Accessories are durable plastic, so despite being plastic have good quality. In addition the foot of the mixer can be put in the dishwasher, which can not be put in the dishwasher is the p"&amp;"art that carries the cable. Everything else you can get without problems. The only thing that takes is an accessory to hang on the wall. Has power to spare for all kinds of meals and leaving both smooth and delicious desserts like purees, gazpacho, and so"&amp;" on.")</f>
        <v>Very good quality and power for all kinds of foods without problem Accessories are durable plastic, so despite being plastic have good quality. In addition the foot of the mixer can be put in the dishwasher, which can not be put in the dishwasher is the part that carries the cable. Everything else you can get without problems. The only thing that takes is an accessory to hang on the wall. Has power to spare for all kinds of meals and leaving both smooth and delicious desserts like purees, gazpacho, and so on.</v>
      </c>
    </row>
    <row r="17254">
      <c r="A17254" s="1">
        <v>5.0</v>
      </c>
      <c r="B17254" s="1" t="s">
        <v>17088</v>
      </c>
      <c r="C17254" t="str">
        <f>IFERROR(__xludf.DUMMYFUNCTION("GOOGLETRANSLATE(B17254, ""es"", ""en"")"),"Very nice shoes")</f>
        <v>Very nice shoes</v>
      </c>
    </row>
    <row r="17255">
      <c r="A17255" s="1">
        <v>5.0</v>
      </c>
      <c r="B17255" s="1" t="s">
        <v>17089</v>
      </c>
      <c r="C17255" t="str">
        <f>IFERROR(__xludf.DUMMYFUNCTION("GOOGLETRANSLATE(B17255, ""es"", ""en"")"),"Nozzle The best by far is our first daughter was an wonderful")</f>
        <v>Nozzle The best by far is our first daughter was an wonderful</v>
      </c>
    </row>
    <row r="17256">
      <c r="A17256" s="1">
        <v>5.0</v>
      </c>
      <c r="B17256" s="1" t="s">
        <v>17090</v>
      </c>
      <c r="C17256" t="str">
        <f>IFERROR(__xludf.DUMMYFUNCTION("GOOGLETRANSLATE(B17256, ""es"", ""en"")"),"100% recommended in the Amazon and other sites there are many types of headphones for sale, buy I chose these because they seemed very nice and I really entered his eyes. We must also evaluate the price / aesthetic factor. No doubt I have chosen well. Thi"&amp;"s is a headset of excellent quality. At the opening I found to my surprise they were 80% battery, which at the time of sealing des something you just arrived, thank you. They have a very intuitive functionality and adapt perfectly to the ear. For now I ha"&amp;"ve unutilized at home and little but soon I will for sports. No doubt delighted with the choice")</f>
        <v>100% recommended in the Amazon and other sites there are many types of headphones for sale, buy I chose these because they seemed very nice and I really entered his eyes. We must also evaluate the price / aesthetic factor. No doubt I have chosen well. This is a headset of excellent quality. At the opening I found to my surprise they were 80% battery, which at the time of sealing des something you just arrived, thank you. They have a very intuitive functionality and adapt perfectly to the ear. For now I have unutilized at home and little but soon I will for sports. No doubt delighted with the choice</v>
      </c>
    </row>
    <row r="17257">
      <c r="A17257" s="1">
        <v>5.0</v>
      </c>
      <c r="B17257" s="1" t="s">
        <v>17091</v>
      </c>
      <c r="C17257" t="str">
        <f>IFERROR(__xludf.DUMMYFUNCTION("GOOGLETRANSLATE(B17257, ""es"", ""en"")"),"My new favorite love this product so much is my new best friend. Goodbye heating pad. Is well organized, it does not leak and is excellent for use anywhere. Very easy to store too.")</f>
        <v>My new favorite love this product so much is my new best friend. Goodbye heating pad. Is well organized, it does not leak and is excellent for use anywhere. Very easy to store too.</v>
      </c>
    </row>
    <row r="17258">
      <c r="A17258" s="1">
        <v>5.0</v>
      </c>
      <c r="B17258" s="1" t="s">
        <v>17092</v>
      </c>
      <c r="C17258" t="str">
        <f>IFERROR(__xludf.DUMMYFUNCTION("GOOGLETRANSLATE(B17258, ""es"", ""en"")"),"Q How easy is great")</f>
        <v>Q How easy is great</v>
      </c>
    </row>
    <row r="17259">
      <c r="A17259" s="1">
        <v>5.0</v>
      </c>
      <c r="B17259" s="1" t="s">
        <v>17093</v>
      </c>
      <c r="C17259" t="str">
        <f>IFERROR(__xludf.DUMMYFUNCTION("GOOGLETRANSLATE(B17259, ""es"", ""en"")"),"It was a gift Malament is sold, per my vaig fer one homenatgeBueno is sold, Malament of the tot was a gift Malament is sold, per my vaig fer one homenatge")</f>
        <v>It was a gift Malament is sold, per my vaig fer one homenatgeBueno is sold, Malament of the tot was a gift Malament is sold, per my vaig fer one homenatge</v>
      </c>
    </row>
    <row r="17260">
      <c r="A17260" s="1">
        <v>5.0</v>
      </c>
      <c r="B17260" s="1" t="s">
        <v>17094</v>
      </c>
      <c r="C17260" t="str">
        <f>IFERROR(__xludf.DUMMYFUNCTION("GOOGLETRANSLATE(B17260, ""es"", ""en"")"),"Suitable for juices and take it with me is great for juices and fruit smoothies and take it to the street, both for me and for my children, is not very large, about half a liter, so it is very easy to transport and carry anywhere, the boat is glass, so I "&amp;"think it's more durable, so you avoid parabens and suchlike")</f>
        <v>Suitable for juices and take it with me is great for juices and fruit smoothies and take it to the street, both for me and for my children, is not very large, about half a liter, so it is very easy to transport and carry anywhere, the boat is glass, so I think it's more durable, so you avoid parabens and suchlike</v>
      </c>
    </row>
    <row r="17261">
      <c r="A17261" s="1">
        <v>2.0</v>
      </c>
      <c r="B17261" s="1" t="s">
        <v>17095</v>
      </c>
      <c r="C17261" t="str">
        <f>IFERROR(__xludf.DUMMYFUNCTION("GOOGLETRANSLATE(B17261, ""es"", ""en"")"),"Da appearance quality, good design expected more for a full-time job pretty foot sweat, not transpire as expected and weigh enough. The design is quite accomplished, did not know it was Chinese product")</f>
        <v>Da appearance quality, good design expected more for a full-time job pretty foot sweat, not transpire as expected and weigh enough. The design is quite accomplished, did not know it was Chinese product</v>
      </c>
    </row>
    <row r="17262">
      <c r="A17262" s="1">
        <v>3.0</v>
      </c>
      <c r="B17262" s="1" t="s">
        <v>17096</v>
      </c>
      <c r="C17262" t="str">
        <f>IFERROR(__xludf.DUMMYFUNCTION("GOOGLETRANSLATE(B17262, ""es"", ""en"")"),"Pse pse This brand of zeal I love, but I must say the support q q is not expected. Not weigh enough. The previous q had weighed more and consequently worked better.")</f>
        <v>Pse pse This brand of zeal I love, but I must say the support q q is not expected. Not weigh enough. The previous q had weighed more and consequently worked better.</v>
      </c>
    </row>
    <row r="17263">
      <c r="A17263" s="1">
        <v>3.0</v>
      </c>
      <c r="B17263" s="1" t="s">
        <v>17097</v>
      </c>
      <c r="C17263" t="str">
        <f>IFERROR(__xludf.DUMMYFUNCTION("GOOGLETRANSLATE(B17263, ""es"", ""en"")"),"No sleazy. The sound quality is good, the battery will be good guess, comfort overtightened think compared to others, we will give you time to see if it gives him the diadem or me head reduces the pressure they do. No cancellation displeases me, I seek no"&amp;"t to leave isolated me from the world. I do not like to be as big, at the least it seems. Edit: I do not feel comfortable with helmets, I find them very uncomfortable and canceling sound does not convince me anything, it is poor.")</f>
        <v>No sleazy. The sound quality is good, the battery will be good guess, comfort overtightened think compared to others, we will give you time to see if it gives him the diadem or me head reduces the pressure they do. No cancellation displeases me, I seek not to leave isolated me from the world. I do not like to be as big, at the least it seems. Edit: I do not feel comfortable with helmets, I find them very uncomfortable and canceling sound does not convince me anything, it is poor.</v>
      </c>
    </row>
    <row r="17264">
      <c r="A17264" s="1">
        <v>1.0</v>
      </c>
      <c r="B17264" s="1" t="s">
        <v>17098</v>
      </c>
      <c r="C17264" t="str">
        <f>IFERROR(__xludf.DUMMYFUNCTION("GOOGLETRANSLATE(B17264, ""es"", ""en"")"),"Little has lasted. In 2 months of use and it is already broken the indicator weekdays. as not to change the clock and I imagine that will guarantee.")</f>
        <v>Little has lasted. In 2 months of use and it is already broken the indicator weekdays. as not to change the clock and I imagine that will guarantee.</v>
      </c>
    </row>
    <row r="17265">
      <c r="A17265" s="1">
        <v>1.0</v>
      </c>
      <c r="B17265" s="1" t="s">
        <v>17099</v>
      </c>
      <c r="C17265" t="str">
        <f>IFERROR(__xludf.DUMMYFUNCTION("GOOGLETRANSLATE(B17265, ""es"", ""en"")"),"If you get well ... good but a torment The first thing I bought very well and no noise after 30 days began to fail, did some area maps and began making strange noise, Amazon recommended we change it and bought another .. . he began the torment. Made a lot"&amp;" of noise, we could know because the former did not. We took him to repair and returned saying it was perfect ... I just came back and step in. We think it is the front wheel .. We went back to return it and we were the original .. At the least made no no"&amp;"ise. Very bad customer service and very good Amazon. Let q buy the Amazon warranty and good service.")</f>
        <v>If you get well ... good but a torment The first thing I bought very well and no noise after 30 days began to fail, did some area maps and began making strange noise, Amazon recommended we change it and bought another .. . he began the torment. Made a lot of noise, we could know because the former did not. We took him to repair and returned saying it was perfect ... I just came back and step in. We think it is the front wheel .. We went back to return it and we were the original .. At the least made no noise. Very bad customer service and very good Amazon. Let q buy the Amazon warranty and good service.</v>
      </c>
    </row>
    <row r="17266">
      <c r="A17266" s="1">
        <v>4.0</v>
      </c>
      <c r="B17266" s="1" t="s">
        <v>17100</v>
      </c>
      <c r="C17266" t="str">
        <f>IFERROR(__xludf.DUMMYFUNCTION("GOOGLETRANSLATE(B17266, ""es"", ""en"")"),"Quality bottle After trying other brands, certainly I think the best bibe, although this format is used only for the first few weeks. Then they are already larger formats and specific teats with each age-appropriate")</f>
        <v>Quality bottle After trying other brands, certainly I think the best bibe, although this format is used only for the first few weeks. Then they are already larger formats and specific teats with each age-appropriate</v>
      </c>
    </row>
    <row r="17267">
      <c r="A17267" s="1">
        <v>4.0</v>
      </c>
      <c r="B17267" s="1" t="s">
        <v>17101</v>
      </c>
      <c r="C17267" t="str">
        <f>IFERROR(__xludf.DUMMYFUNCTION("GOOGLETRANSLATE(B17267, ""es"", ""en"")"),"There are good headphones bluetooth headphones with sound quality very good accompanied by a good noise cancellation. The pads are very comfortable and you can have them on for long without tiring you have them.")</f>
        <v>There are good headphones bluetooth headphones with sound quality very good accompanied by a good noise cancellation. The pads are very comfortable and you can have them on for long without tiring you have them.</v>
      </c>
    </row>
    <row r="17268">
      <c r="A17268" s="1">
        <v>4.0</v>
      </c>
      <c r="B17268" s="1" t="s">
        <v>17102</v>
      </c>
      <c r="C17268" t="str">
        <f>IFERROR(__xludf.DUMMYFUNCTION("GOOGLETRANSLATE(B17268, ""es"", ""en"")"),"They fulfill perfectly good buy function. The lid is quite hard to remove but can be an advantage when carried in her purse.")</f>
        <v>They fulfill perfectly good buy function. The lid is quite hard to remove but can be an advantage when carried in her purse.</v>
      </c>
    </row>
    <row r="17269">
      <c r="A17269" s="1">
        <v>4.0</v>
      </c>
      <c r="B17269" s="1" t="s">
        <v>17103</v>
      </c>
      <c r="C17269" t="str">
        <f>IFERROR(__xludf.DUMMYFUNCTION("GOOGLETRANSLATE(B17269, ""es"", ""en"")"),"Not clench pretty much are and hopefully last, the part that attaches to the leg, for my pinches a bit since I inchan feet and not need me cut circulation.")</f>
        <v>Not clench pretty much are and hopefully last, the part that attaches to the leg, for my pinches a bit since I inchan feet and not need me cut circulation.</v>
      </c>
    </row>
    <row r="17270">
      <c r="A17270" s="1">
        <v>5.0</v>
      </c>
      <c r="B17270" s="1" t="s">
        <v>17104</v>
      </c>
      <c r="C17270" t="str">
        <f>IFERROR(__xludf.DUMMYFUNCTION("GOOGLETRANSLATE(B17270, ""es"", ""en"")"),"Crocs are the detra tot He needs a comfortable Calçat day, aquet is the Calçat. !!!")</f>
        <v>Crocs are the detra tot He needs a comfortable Calçat day, aquet is the Calçat. !!!</v>
      </c>
    </row>
    <row r="17271">
      <c r="A17271" s="1">
        <v>5.0</v>
      </c>
      <c r="B17271" s="1" t="s">
        <v>17105</v>
      </c>
      <c r="C17271" t="str">
        <f>IFERROR(__xludf.DUMMYFUNCTION("GOOGLETRANSLATE(B17271, ""es"", ""en"")"),"perfect size for me for this price is great, the beginning thought I was going to get 13 but has come before me. I recommend it, it is beautiful and very practical. Wanted to make air travel to carry passport, two mobile, wallet and little more, it is muc"&amp;"h more")</f>
        <v>perfect size for me for this price is great, the beginning thought I was going to get 13 but has come before me. I recommend it, it is beautiful and very practical. Wanted to make air travel to carry passport, two mobile, wallet and little more, it is much more</v>
      </c>
    </row>
    <row r="17272">
      <c r="A17272" s="1">
        <v>5.0</v>
      </c>
      <c r="B17272" s="1" t="s">
        <v>17106</v>
      </c>
      <c r="C17272" t="str">
        <f>IFERROR(__xludf.DUMMYFUNCTION("GOOGLETRANSLATE(B17272, ""es"", ""en"")"),"They are walking or not weigh 98 kg and measuring 1.90 are walking. Not to run")</f>
        <v>They are walking or not weigh 98 kg and measuring 1.90 are walking. Not to run</v>
      </c>
    </row>
    <row r="17273">
      <c r="A17273" s="1">
        <v>5.0</v>
      </c>
      <c r="B17273" s="1" t="s">
        <v>17107</v>
      </c>
      <c r="C17273" t="str">
        <f>IFERROR(__xludf.DUMMYFUNCTION("GOOGLETRANSLATE(B17273, ""es"", ""en"")"),"The shoes are outstanding seller a large size or medium size factory and eye for the asking. My experience with the item and great seller, I ordered a 39 and were huge but the seller immediately sent me others for a number cambiármelas 38 without any prob"&amp;"lems. Comfortable, beautiful and original. 100% recommend purchase.")</f>
        <v>The shoes are outstanding seller a large size or medium size factory and eye for the asking. My experience with the item and great seller, I ordered a 39 and were huge but the seller immediately sent me others for a number cambiármelas 38 without any problems. Comfortable, beautiful and original. 100% recommend purchase.</v>
      </c>
    </row>
    <row r="17274">
      <c r="A17274" s="1">
        <v>5.0</v>
      </c>
      <c r="B17274" s="1" t="s">
        <v>17108</v>
      </c>
      <c r="C17274" t="str">
        <f>IFERROR(__xludf.DUMMYFUNCTION("GOOGLETRANSLATE(B17274, ""es"", ""en"")"),"Waterproof, cushioning and very good grip / traction Salomon Alphacross GTX, trail running Shoe Shoe the prestigious Solomon. We can use it for any use, from walks or activities demanding as hiking, running ... All thanks to have a sole with spikes and Co"&amp;"ntagrip technology that sticks up more than sand or stones, having an aggressive traction and a truly lightweight. The outer part is made of fabric giving us comfort to the perfectly fit our foot addition to being waterproof (GORE-TEX®), not all we great "&amp;"cushioning thanks to the combination of its technology (EnergyCell) and their staff Ortholite. Referring to the above are perfect for all kinds of uses, protecting the impacts feet and knees, managing to avoid future problems or ailments. With very good g"&amp;"rip and priced fairly balanced, about everything it provides. 1 Large size is larger or more even tamlla to achieve a better reference can be guided by the sizes / measures foot mark on his website.")</f>
        <v>Waterproof, cushioning and very good grip / traction Salomon Alphacross GTX, trail running Shoe Shoe the prestigious Solomon. We can use it for any use, from walks or activities demanding as hiking, running ... All thanks to have a sole with spikes and Contagrip technology that sticks up more than sand or stones, having an aggressive traction and a truly lightweight. The outer part is made of fabric giving us comfort to the perfectly fit our foot addition to being waterproof (GORE-TEX®), not all we great cushioning thanks to the combination of its technology (EnergyCell) and their staff Ortholite. Referring to the above are perfect for all kinds of uses, protecting the impacts feet and knees, managing to avoid future problems or ailments. With very good grip and priced fairly balanced, about everything it provides. 1 Large size is larger or more even tamlla to achieve a better reference can be guided by the sizes / measures foot mark on his website.</v>
      </c>
    </row>
    <row r="17275">
      <c r="A17275" s="1">
        <v>5.0</v>
      </c>
      <c r="B17275" s="1" t="s">
        <v>17109</v>
      </c>
      <c r="C17275" t="str">
        <f>IFERROR(__xludf.DUMMYFUNCTION("GOOGLETRANSLATE(B17275, ""es"", ""en"")"),"Comfort wise insurance")</f>
        <v>Comfort wise insurance</v>
      </c>
    </row>
    <row r="17276">
      <c r="A17276" s="1">
        <v>5.0</v>
      </c>
      <c r="B17276" s="1" t="s">
        <v>17110</v>
      </c>
      <c r="C17276" t="str">
        <f>IFERROR(__xludf.DUMMYFUNCTION("GOOGLETRANSLATE(B17276, ""es"", ""en"")"),"Quality / price unbeatable quality hard drive at a good price")</f>
        <v>Quality / price unbeatable quality hard drive at a good price</v>
      </c>
    </row>
    <row r="17277">
      <c r="A17277" s="1">
        <v>5.0</v>
      </c>
      <c r="B17277" s="1" t="s">
        <v>17111</v>
      </c>
      <c r="C17277" t="str">
        <f>IFERROR(__xludf.DUMMYFUNCTION("GOOGLETRANSLATE(B17277, ""es"", ""en"")"),"Bluetooth headphones work perfectly")</f>
        <v>Bluetooth headphones work perfectly</v>
      </c>
    </row>
    <row r="17278">
      <c r="A17278" s="1">
        <v>5.0</v>
      </c>
      <c r="B17278" s="1" t="s">
        <v>17112</v>
      </c>
      <c r="C17278" t="str">
        <f>IFERROR(__xludf.DUMMYFUNCTION("GOOGLETRANSLATE(B17278, ""es"", ""en"")"),"Exactly what I was looking Perfect as slipper pool or to use at home. You must choose a larger number because the sizing is right. 44 for you to choose shoe 46.")</f>
        <v>Exactly what I was looking Perfect as slipper pool or to use at home. You must choose a larger number because the sizing is right. 44 for you to choose shoe 46.</v>
      </c>
    </row>
    <row r="17279">
      <c r="A17279" s="1">
        <v>5.0</v>
      </c>
      <c r="B17279" s="1" t="s">
        <v>17113</v>
      </c>
      <c r="C17279" t="str">
        <f>IFERROR(__xludf.DUMMYFUNCTION("GOOGLETRANSLATE(B17279, ""es"", ""en"")"),"Perfect gift ... quality fast shipping competitive price. It was a gift and liked it a lot")</f>
        <v>Perfect gift ... quality fast shipping competitive price. It was a gift and liked it a lot</v>
      </c>
    </row>
    <row r="17280">
      <c r="A17280" s="1">
        <v>5.0</v>
      </c>
      <c r="B17280" s="1" t="s">
        <v>17114</v>
      </c>
      <c r="C17280" t="str">
        <f>IFERROR(__xludf.DUMMYFUNCTION("GOOGLETRANSLATE(B17280, ""es"", ""en"")"),"Very good very good buy. The steam that is cold, just make noise, easy to handle, lightweight, easy to clean. Very happy. I was surprised by its size, honestly he believed that was bigger, and that I bought the 300ml. I bought it with the oils of the same"&amp;" brand, and then coming out and smell the steam room (another issue is that I did not like anything oils). Full tank lasts a little over 3 hours. And the design is fantastic, it is right where you put it.")</f>
        <v>Very good very good buy. The steam that is cold, just make noise, easy to handle, lightweight, easy to clean. Very happy. I was surprised by its size, honestly he believed that was bigger, and that I bought the 300ml. I bought it with the oils of the same brand, and then coming out and smell the steam room (another issue is that I did not like anything oils). Full tank lasts a little over 3 hours. And the design is fantastic, it is right where you put it.</v>
      </c>
    </row>
    <row r="17281">
      <c r="A17281" s="1">
        <v>5.0</v>
      </c>
      <c r="B17281" s="1" t="s">
        <v>17115</v>
      </c>
      <c r="C17281" t="str">
        <f>IFERROR(__xludf.DUMMYFUNCTION("GOOGLETRANSLATE(B17281, ""es"", ""en"")"),"I love this watch I liked a lot. Almost a month ago I bought it and doing very well. I have not submerged but if I wet me and is resistant to water, the belt can be adjusted easily and does not give pinches, for mo weighs little and I like it comfortable.")</f>
        <v>I love this watch I liked a lot. Almost a month ago I bought it and doing very well. I have not submerged but if I wet me and is resistant to water, the belt can be adjusted easily and does not give pinches, for mo weighs little and I like it comfortable.</v>
      </c>
    </row>
    <row r="17282">
      <c r="A17282" s="1">
        <v>5.0</v>
      </c>
      <c r="B17282" s="1" t="s">
        <v>17116</v>
      </c>
      <c r="C17282" t="str">
        <f>IFERROR(__xludf.DUMMYFUNCTION("GOOGLETRANSLATE(B17282, ""es"", ""en"")"),"Wonderful! Moving from running on the treadmill in the gym with wires hanging out there this is great. They adapt well to the ear and is not released, the sound quality is good and the battery lasts about 3 or 4 hours. They recharged in 1 hour. Say someth"&amp;"ing bad, once running seems to enter some sweat inside and stopped working. When I get home I gave the dryer and put it in the sun for a while and solved. I recommend it to anyone who wants to run more comfortable and forget about the damn cable is jumpin"&amp;"g from side to side, as I hate fuck.")</f>
        <v>Wonderful! Moving from running on the treadmill in the gym with wires hanging out there this is great. They adapt well to the ear and is not released, the sound quality is good and the battery lasts about 3 or 4 hours. They recharged in 1 hour. Say something bad, once running seems to enter some sweat inside and stopped working. When I get home I gave the dryer and put it in the sun for a while and solved. I recommend it to anyone who wants to run more comfortable and forget about the damn cable is jumping from side to side, as I hate fuck.</v>
      </c>
    </row>
    <row r="17283">
      <c r="A17283" s="1">
        <v>5.0</v>
      </c>
      <c r="B17283" s="1" t="s">
        <v>17117</v>
      </c>
      <c r="C17283" t="str">
        <f>IFERROR(__xludf.DUMMYFUNCTION("GOOGLETRANSLATE(B17283, ""es"", ""en"")"),"I love are great to make your own stickers, because print it as if it were a normal sheet. I liked a lot. The only downside (to take one) is that it costs quite unstuck. If you happen where you have cut the great adhesive paper, but if not ... It takes a "&amp;"little while. Still, I recommend them.")</f>
        <v>I love are great to make your own stickers, because print it as if it were a normal sheet. I liked a lot. The only downside (to take one) is that it costs quite unstuck. If you happen where you have cut the great adhesive paper, but if not ... It takes a little while. Still, I recommend them.</v>
      </c>
    </row>
    <row r="17284">
      <c r="A17284" s="1">
        <v>5.0</v>
      </c>
      <c r="B17284" s="1" t="s">
        <v>17118</v>
      </c>
      <c r="C17284" t="str">
        <f>IFERROR(__xludf.DUMMYFUNCTION("GOOGLETRANSLATE(B17284, ""es"", ""en"")"),"Space and interior pockets I am delighted with this backpack, it's big, comfortable, practical, and it looks good quality. The truth is that it is great for everyday and for use in travel. Definitely I recommend it.")</f>
        <v>Space and interior pockets I am delighted with this backpack, it's big, comfortable, practical, and it looks good quality. The truth is that it is great for everyday and for use in travel. Definitely I recommend it.</v>
      </c>
    </row>
    <row r="17285">
      <c r="A17285" s="1">
        <v>5.0</v>
      </c>
      <c r="B17285" s="1" t="s">
        <v>17119</v>
      </c>
      <c r="C17285" t="str">
        <f>IFERROR(__xludf.DUMMYFUNCTION("GOOGLETRANSLATE(B17285, ""es"", ""en"")"),"That come to be simple and easy")</f>
        <v>That come to be simple and easy</v>
      </c>
    </row>
    <row r="17286">
      <c r="A17286" s="1">
        <v>5.0</v>
      </c>
      <c r="B17286" s="1" t="s">
        <v>17120</v>
      </c>
      <c r="C17286" t="str">
        <f>IFERROR(__xludf.DUMMYFUNCTION("GOOGLETRANSLATE(B17286, ""es"", ""en"")"),"A great buy !! It is adabtan perfectly, while comfortable and surprisingly light són. Its apparent strength is not at odds with its elasticity and comfort. the recomiendo👍")</f>
        <v>A great buy !! It is adabtan perfectly, while comfortable and surprisingly light són. Its apparent strength is not at odds with its elasticity and comfort. the recomiendo👍</v>
      </c>
    </row>
    <row r="17287">
      <c r="A17287" s="1">
        <v>5.0</v>
      </c>
      <c r="B17287" s="1" t="s">
        <v>17121</v>
      </c>
      <c r="C17287" t="str">
        <f>IFERROR(__xludf.DUMMYFUNCTION("GOOGLETRANSLATE(B17287, ""es"", ""en"")"),"Met my expectations is a good watch from the perspective of the value. I am satisfied with the purchase, if me it seems important to warn potential buyers that the sphere of the clock is larger than it appears in the notice of sale, or less bigger than I "&amp;"imagined. Just watch and measure the sphere has a diameter of 4 centimeters, so I have to get used to me because I usually use clock has a smaller sphere (3.2 cm).")</f>
        <v>Met my expectations is a good watch from the perspective of the value. I am satisfied with the purchase, if me it seems important to warn potential buyers that the sphere of the clock is larger than it appears in the notice of sale, or less bigger than I imagined. Just watch and measure the sphere has a diameter of 4 centimeters, so I have to get used to me because I usually use clock has a smaller sphere (3.2 cm).</v>
      </c>
    </row>
    <row r="17288">
      <c r="A17288" s="1">
        <v>5.0</v>
      </c>
      <c r="B17288" s="1" t="s">
        <v>17122</v>
      </c>
      <c r="C17288" t="str">
        <f>IFERROR(__xludf.DUMMYFUNCTION("GOOGLETRANSLATE(B17288, ""es"", ""en"")"),"Great! Pros: -Quality very good in relation to its price. -Brazo articulated very strong. -Amazing recording power. -The pack has everything you need, no need mixer. Cons: None.")</f>
        <v>Great! Pros: -Quality very good in relation to its price. -Brazo articulated very strong. -Amazing recording power. -The pack has everything you need, no need mixer. Cons: None.</v>
      </c>
    </row>
    <row r="17289">
      <c r="A17289" s="1">
        <v>2.0</v>
      </c>
      <c r="B17289" s="1" t="s">
        <v>17123</v>
      </c>
      <c r="C17289" t="str">
        <f>IFERROR(__xludf.DUMMYFUNCTION("GOOGLETRANSLATE(B17289, ""es"", ""en"")"),"Much prettier than the picture. But it gets rid worth the wait. The stones are very vivid colors and lace fits well. However, it seems I've been unlucky. It gets rid")</f>
        <v>Much prettier than the picture. But it gets rid worth the wait. The stones are very vivid colors and lace fits well. However, it seems I've been unlucky. It gets rid</v>
      </c>
    </row>
    <row r="17290">
      <c r="A17290" s="1">
        <v>3.0</v>
      </c>
      <c r="B17290" s="1" t="s">
        <v>17124</v>
      </c>
      <c r="C17290" t="str">
        <f>IFERROR(__xludf.DUMMYFUNCTION("GOOGLETRANSLATE(B17290, ""es"", ""en"")"),"just a little small but nice in the photo must look fine carvings ask you another number; so others are monisisisimos")</f>
        <v>just a little small but nice in the photo must look fine carvings ask you another number; so others are monisisisimos</v>
      </c>
    </row>
    <row r="17291">
      <c r="A17291" s="1">
        <v>3.0</v>
      </c>
      <c r="B17291" s="1" t="s">
        <v>17125</v>
      </c>
      <c r="C17291" t="str">
        <f>IFERROR(__xludf.DUMMYFUNCTION("GOOGLETRANSLATE(B17291, ""es"", ""en"")"),"I have not tried it yet. I arrived today. I have not tried it yet. I was surprised that the box sets that brings how to use it manually, but the only box comes without a plastic roller hygiene wrap it.")</f>
        <v>I have not tried it yet. I arrived today. I have not tried it yet. I was surprised that the box sets that brings how to use it manually, but the only box comes without a plastic roller hygiene wrap it.</v>
      </c>
    </row>
    <row r="17292">
      <c r="A17292" s="1">
        <v>1.0</v>
      </c>
      <c r="B17292" s="1" t="s">
        <v>17126</v>
      </c>
      <c r="C17292" t="str">
        <f>IFERROR(__xludf.DUMMYFUNCTION("GOOGLETRANSLATE(B17292, ""es"", ""en"")"),"It is neither the little sister of the American tape. It is a plastic tape little sticker and very little tissue (minimum to use the name of duct tape I guess) do not look anything like the duct tape to which we are accustomed, that I have set for holding"&amp;" the casing the rear view mirror of the car in a single day and is detached. Nothing more open you realize that looks more like a black FIXO not stick well, you can not put pressure with it ... and as it is not insulated either you can use it as such. But"&amp;" what infuriates me most are the positive feedback (Did not know what is the duct tape) that make you lose time and money because after opening can no longer return. I do not recommend.")</f>
        <v>It is neither the little sister of the American tape. It is a plastic tape little sticker and very little tissue (minimum to use the name of duct tape I guess) do not look anything like the duct tape to which we are accustomed, that I have set for holding the casing the rear view mirror of the car in a single day and is detached. Nothing more open you realize that looks more like a black FIXO not stick well, you can not put pressure with it ... and as it is not insulated either you can use it as such. But what infuriates me most are the positive feedback (Did not know what is the duct tape) that make you lose time and money because after opening can no longer return. I do not recommend.</v>
      </c>
    </row>
    <row r="17293">
      <c r="A17293" s="1">
        <v>1.0</v>
      </c>
      <c r="B17293" s="1" t="s">
        <v>17127</v>
      </c>
      <c r="C17293" t="str">
        <f>IFERROR(__xludf.DUMMYFUNCTION("GOOGLETRANSLATE(B17293, ""es"", ""en"")"),"old product and other problems This pendrive barely a deed of 15 megabytes per second (very low for current technologies), so do not recommend buying this Pendrive on page he said it was an identical Almost model (with photo and very similar but different"&amp;" speed) memory. DataTraveler SE9 G2 3.0. to add it to the basket changed it. Reviews posted should look before of the seller, as there have been more similar cases. To the make the claim, they quickly fixed the error of the web and as the order was correc"&amp;"t they did not understand why they claimed.")</f>
        <v>old product and other problems This pendrive barely a deed of 15 megabytes per second (very low for current technologies), so do not recommend buying this Pendrive on page he said it was an identical Almost model (with photo and very similar but different speed) memory. DataTraveler SE9 G2 3.0. to add it to the basket changed it. Reviews posted should look before of the seller, as there have been more similar cases. To the make the claim, they quickly fixed the error of the web and as the order was correct they did not understand why they claimed.</v>
      </c>
    </row>
    <row r="17294">
      <c r="A17294" s="1">
        <v>4.0</v>
      </c>
      <c r="B17294" s="1" t="s">
        <v>17128</v>
      </c>
      <c r="C17294" t="str">
        <f>IFERROR(__xludf.DUMMYFUNCTION("GOOGLETRANSLATE(B17294, ""es"", ""en"")"),"Juanen is very nice, is a bit complicated to understand but if you're regulating is perfect. I just do not like it is that I know the temperature have to tip your clock otherwise perfect")</f>
        <v>Juanen is very nice, is a bit complicated to understand but if you're regulating is perfect. I just do not like it is that I know the temperature have to tip your clock otherwise perfect</v>
      </c>
    </row>
    <row r="17295">
      <c r="A17295" s="1">
        <v>4.0</v>
      </c>
      <c r="B17295" s="1" t="s">
        <v>17129</v>
      </c>
      <c r="C17295" t="str">
        <f>IFERROR(__xludf.DUMMYFUNCTION("GOOGLETRANSLATE(B17295, ""es"", ""en"")"),"very happy despite their weight, comfortable and very safe an excellent quality leather Very pleased despite its weight, comfortable and very safe, a skin of excellent quality, great purchase.")</f>
        <v>very happy despite their weight, comfortable and very safe an excellent quality leather Very pleased despite its weight, comfortable and very safe, a skin of excellent quality, great purchase.</v>
      </c>
    </row>
    <row r="17296">
      <c r="A17296" s="1">
        <v>4.0</v>
      </c>
      <c r="B17296" s="1" t="s">
        <v>17130</v>
      </c>
      <c r="C17296" t="str">
        <f>IFERROR(__xludf.DUMMYFUNCTION("GOOGLETRANSLATE(B17296, ""es"", ""en"")"),"Pants price very good quality very comfortable, only problem is a short guy for my taste and the shorter part of the pants I have left above the knee. Mido 1.67 cm")</f>
        <v>Pants price very good quality very comfortable, only problem is a short guy for my taste and the shorter part of the pants I have left above the knee. Mido 1.67 cm</v>
      </c>
    </row>
    <row r="17297">
      <c r="A17297" s="1">
        <v>4.0</v>
      </c>
      <c r="B17297" s="1" t="s">
        <v>17131</v>
      </c>
      <c r="C17297" t="str">
        <f>IFERROR(__xludf.DUMMYFUNCTION("GOOGLETRANSLATE(B17297, ""es"", ""en"")"),"Well but instep small Flip flops are fine, good material and quality, they are original (or so it seems to me ami) .The only downside is that they are small, I have a 44 and pedi 44, as the vamp hardly I get if you ask one foot wide even 2 mas.eso numbers"&amp;" and I drive and asked for a 46 and perfecto.saludos")</f>
        <v>Well but instep small Flip flops are fine, good material and quality, they are original (or so it seems to me ami) .The only downside is that they are small, I have a 44 and pedi 44, as the vamp hardly I get if you ask one foot wide even 2 mas.eso numbers and I drive and asked for a 46 and perfecto.saludos</v>
      </c>
    </row>
    <row r="17298">
      <c r="A17298" s="1">
        <v>4.0</v>
      </c>
      <c r="B17298" s="1" t="s">
        <v>17132</v>
      </c>
      <c r="C17298" t="str">
        <f>IFERROR(__xludf.DUMMYFUNCTION("GOOGLETRANSLATE(B17298, ""es"", ""en"")"),"Very nice is beautiful, I love it, but the only downside is that you put the ""circonitas"" not distinguished well as in the picture ... But good, it's nice.")</f>
        <v>Very nice is beautiful, I love it, but the only downside is that you put the "circonitas" not distinguished well as in the picture ... But good, it's nice.</v>
      </c>
    </row>
    <row r="17299">
      <c r="A17299" s="1">
        <v>5.0</v>
      </c>
      <c r="B17299" s="1" t="s">
        <v>17133</v>
      </c>
      <c r="C17299" t="str">
        <f>IFERROR(__xludf.DUMMYFUNCTION("GOOGLETRANSLATE(B17299, ""es"", ""en"")"),"Comfortable and versatile shoe shoe unisex comfortable and although the title is put that woman.")</f>
        <v>Comfortable and versatile shoe shoe unisex comfortable and although the title is put that woman.</v>
      </c>
    </row>
    <row r="17300">
      <c r="A17300" s="1">
        <v>5.0</v>
      </c>
      <c r="B17300" s="1" t="s">
        <v>17134</v>
      </c>
      <c r="C17300" t="str">
        <f>IFERROR(__xludf.DUMMYFUNCTION("GOOGLETRANSLATE(B17300, ""es"", ""en"")"),"Good does what it says, there is no mystery")</f>
        <v>Good does what it says, there is no mystery</v>
      </c>
    </row>
    <row r="17301">
      <c r="A17301" s="1">
        <v>5.0</v>
      </c>
      <c r="B17301" s="1" t="s">
        <v>17135</v>
      </c>
      <c r="C17301" t="str">
        <f>IFERROR(__xludf.DUMMYFUNCTION("GOOGLETRANSLATE(B17301, ""es"", ""en"")"),"Wireless headphones round. Wireless headphones super comfortable and very limited. You hear perfectly. Have the cover with charger high quality and allows your load is more simple to put fácil.Son. A really good and advisable to purchase 100%.")</f>
        <v>Wireless headphones round. Wireless headphones super comfortable and very limited. You hear perfectly. Have the cover with charger high quality and allows your load is more simple to put fácil.Son. A really good and advisable to purchase 100%.</v>
      </c>
    </row>
    <row r="17302">
      <c r="A17302" s="1">
        <v>5.0</v>
      </c>
      <c r="B17302" s="1" t="s">
        <v>17136</v>
      </c>
      <c r="C17302" t="str">
        <f>IFERROR(__xludf.DUMMYFUNCTION("GOOGLETRANSLATE(B17302, ""es"", ""en"")"),"Very good buy Cool! I've used to go running and do not move anything, the sound is great and the battery lasts as guards in the box and are loaded alone have not had any problem of running out of battery while use. fully recommended")</f>
        <v>Very good buy Cool! I've used to go running and do not move anything, the sound is great and the battery lasts as guards in the box and are loaded alone have not had any problem of running out of battery while use. fully recommended</v>
      </c>
    </row>
    <row r="17303">
      <c r="A17303" s="1">
        <v>5.0</v>
      </c>
      <c r="B17303" s="1" t="s">
        <v>17137</v>
      </c>
      <c r="C17303" t="str">
        <f>IFERROR(__xludf.DUMMYFUNCTION("GOOGLETRANSLATE(B17303, ""es"", ""en"")"),"Nigún problem. I use it to backup my photographic archives. I took more than a year with and my files are completely safe.")</f>
        <v>Nigún problem. I use it to backup my photographic archives. I took more than a year with and my files are completely safe.</v>
      </c>
    </row>
    <row r="17304">
      <c r="A17304" s="1">
        <v>5.0</v>
      </c>
      <c r="B17304" s="1" t="s">
        <v>17138</v>
      </c>
      <c r="C17304" t="str">
        <f>IFERROR(__xludf.DUMMYFUNCTION("GOOGLETRANSLATE(B17304, ""es"", ""en"")"),"Large capacity and versatility. I had a problem with family photographs, because we sent by watshapp and lost a lot of quality. When I saw this flash drive that carries all mobile connections, it is my perfect solution, large storage capacity, and when co"&amp;"nnected to the mobile unit in my files opened and I could save a backup. Good material.")</f>
        <v>Large capacity and versatility. I had a problem with family photographs, because we sent by watshapp and lost a lot of quality. When I saw this flash drive that carries all mobile connections, it is my perfect solution, large storage capacity, and when connected to the mobile unit in my files opened and I could save a backup. Good material.</v>
      </c>
    </row>
    <row r="17305">
      <c r="A17305" s="1">
        <v>5.0</v>
      </c>
      <c r="B17305" s="1" t="s">
        <v>17139</v>
      </c>
      <c r="C17305" t="str">
        <f>IFERROR(__xludf.DUMMYFUNCTION("GOOGLETRANSLATE(B17305, ""es"", ""en"")"),"Perfect is not well calibrated've comparing with another device that I have, and this gives much less precise measurements. As for the relative humidity of the air, always it gives very low, despite rain or other fog has never up 15%. EDIT: The problem wa"&amp;"s with the external meter. I have changed and now works perfectly. 10 to the seller.")</f>
        <v>Perfect is not well calibrated've comparing with another device that I have, and this gives much less precise measurements. As for the relative humidity of the air, always it gives very low, despite rain or other fog has never up 15%. EDIT: The problem was with the external meter. I have changed and now works perfectly. 10 to the seller.</v>
      </c>
    </row>
    <row r="17306">
      <c r="A17306" s="1">
        <v>5.0</v>
      </c>
      <c r="B17306" s="1" t="s">
        <v>17140</v>
      </c>
      <c r="C17306" t="str">
        <f>IFERROR(__xludf.DUMMYFUNCTION("GOOGLETRANSLATE(B17306, ""es"", ""en"")"),"Medium size is fine my husband loved has many pockets with zippers is medium size looks bigger than it really is but all very correct")</f>
        <v>Medium size is fine my husband loved has many pockets with zippers is medium size looks bigger than it really is but all very correct</v>
      </c>
    </row>
    <row r="17307">
      <c r="A17307" s="1">
        <v>5.0</v>
      </c>
      <c r="B17307" s="1" t="s">
        <v>17141</v>
      </c>
      <c r="C17307" t="str">
        <f>IFERROR(__xludf.DUMMYFUNCTION("GOOGLETRANSLATE(B17307, ""es"", ""en"")"),"You can not ask for more for the price you have, you can not ask for more. It is robust and somewhat squishy out. The zipper is somewhat weak, but runs well. Inside has two compartments. On one side a wide rubber to the hard drive. It fits perfectly, even"&amp;" dances a little, but thanks to the rubber fits well. To the other side is a mesh meter cable and other small things like USB. Shipping, excellent as it has come 10 days earlier than planned.")</f>
        <v>You can not ask for more for the price you have, you can not ask for more. It is robust and somewhat squishy out. The zipper is somewhat weak, but runs well. Inside has two compartments. On one side a wide rubber to the hard drive. It fits perfectly, even dances a little, but thanks to the rubber fits well. To the other side is a mesh meter cable and other small things like USB. Shipping, excellent as it has come 10 days earlier than planned.</v>
      </c>
    </row>
    <row r="17308">
      <c r="A17308" s="1">
        <v>5.0</v>
      </c>
      <c r="B17308" s="1" t="s">
        <v>17142</v>
      </c>
      <c r="C17308" t="str">
        <f>IFERROR(__xludf.DUMMYFUNCTION("GOOGLETRANSLATE(B17308, ""es"", ""en"")"),"Good quality is as shown in the photo. Good quality tape for hanging is somewhat short. You must adjust to the maximum.")</f>
        <v>Good quality is as shown in the photo. Good quality tape for hanging is somewhat short. You must adjust to the maximum.</v>
      </c>
    </row>
    <row r="17309">
      <c r="A17309" s="1">
        <v>5.0</v>
      </c>
      <c r="B17309" s="1" t="s">
        <v>17143</v>
      </c>
      <c r="C17309" t="str">
        <f>IFERROR(__xludf.DUMMYFUNCTION("GOOGLETRANSLATE(B17309, ""es"", ""en"")"),"OK, everything's fine")</f>
        <v>OK, everything's fine</v>
      </c>
    </row>
    <row r="17310">
      <c r="A17310" s="1">
        <v>5.0</v>
      </c>
      <c r="B17310" s="1" t="s">
        <v>17144</v>
      </c>
      <c r="C17310" t="str">
        <f>IFERROR(__xludf.DUMMYFUNCTION("GOOGLETRANSLATE(B17310, ""es"", ""en"")"),"They are great color photo, this brand we love the best price white label supermarket,")</f>
        <v>They are great color photo, this brand we love the best price white label supermarket,</v>
      </c>
    </row>
    <row r="17311">
      <c r="A17311" s="1">
        <v>5.0</v>
      </c>
      <c r="B17311" s="1" t="s">
        <v>17145</v>
      </c>
      <c r="C17311" t="str">
        <f>IFERROR(__xludf.DUMMYFUNCTION("GOOGLETRANSLATE(B17311, ""es"", ""en"")"),"I bought it very comfortable for price and space and the truth is perfect and very comfortable to place even on the desktop and keep it handy.")</f>
        <v>I bought it very comfortable for price and space and the truth is perfect and very comfortable to place even on the desktop and keep it handy.</v>
      </c>
    </row>
    <row r="17312">
      <c r="A17312" s="1">
        <v>5.0</v>
      </c>
      <c r="B17312" s="1" t="s">
        <v>17146</v>
      </c>
      <c r="C17312" t="str">
        <f>IFERROR(__xludf.DUMMYFUNCTION("GOOGLETRANSLATE(B17312, ""es"", ""en"")"),"You can use it both mobile and your computer This great product especially to free up space on the phone without the computer.")</f>
        <v>You can use it both mobile and your computer This great product especially to free up space on the phone without the computer.</v>
      </c>
    </row>
    <row r="17313">
      <c r="A17313" s="1">
        <v>5.0</v>
      </c>
      <c r="B17313" s="1" t="s">
        <v>17147</v>
      </c>
      <c r="C17313" t="str">
        <f>IFERROR(__xludf.DUMMYFUNCTION("GOOGLETRANSLATE(B17313, ""es"", ""en"")"),"They looked nice (gift was) For it was an order for gift from a friend so I can not comment much. If you told me that the person is very happy with them")</f>
        <v>They looked nice (gift was) For it was an order for gift from a friend so I can not comment much. If you told me that the person is very happy with them</v>
      </c>
    </row>
    <row r="17314">
      <c r="A17314" s="1">
        <v>5.0</v>
      </c>
      <c r="B17314" s="1" t="s">
        <v>17148</v>
      </c>
      <c r="C17314" t="str">
        <f>IFERROR(__xludf.DUMMYFUNCTION("GOOGLETRANSLATE(B17314, ""es"", ""en"")"),"Good capacity and easy to put on comfort because it is adjustable with clip closure, good feel of the materials plus traspirables make it comfortable to wear, good capacity pockets zip and support for the boating safety loop")</f>
        <v>Good capacity and easy to put on comfort because it is adjustable with clip closure, good feel of the materials plus traspirables make it comfortable to wear, good capacity pockets zip and support for the boating safety loop</v>
      </c>
    </row>
    <row r="17315">
      <c r="A17315" s="1">
        <v>5.0</v>
      </c>
      <c r="B17315" s="1" t="s">
        <v>17149</v>
      </c>
      <c r="C17315" t="str">
        <f>IFERROR(__xludf.DUMMYFUNCTION("GOOGLETRANSLATE(B17315, ""es"", ""en"")"),"Sonida this good quality, good, come with a charger, and remaining battery indca helmets, quality- great price, it is very easy to use it plugged into any bluetooth device and alqrededor battery lasts 3-4 days . money is not bad")</f>
        <v>Sonida this good quality, good, come with a charger, and remaining battery indca helmets, quality- great price, it is very easy to use it plugged into any bluetooth device and alqrededor battery lasts 3-4 days . money is not bad</v>
      </c>
    </row>
    <row r="17316">
      <c r="A17316" s="1">
        <v>5.0</v>
      </c>
      <c r="B17316" s="1" t="s">
        <v>17150</v>
      </c>
      <c r="C17316" t="str">
        <f>IFERROR(__xludf.DUMMYFUNCTION("GOOGLETRANSLATE(B17316, ""es"", ""en"")"),"Perfect perfect to go to the gym and take supplements, fit more things that seem light and comfortable")</f>
        <v>Perfect perfect to go to the gym and take supplements, fit more things that seem light and comfortable</v>
      </c>
    </row>
    <row r="17317">
      <c r="A17317" s="1">
        <v>5.0</v>
      </c>
      <c r="B17317" s="1" t="s">
        <v>17151</v>
      </c>
      <c r="C17317" t="str">
        <f>IFERROR(__xludf.DUMMYFUNCTION("GOOGLETRANSLATE(B17317, ""es"", ""en"")"),"I love great, especially the possibility to sterilize in 3 min in the microwave. They are light and my baby does not want any nipple is like.")</f>
        <v>I love great, especially the possibility to sterilize in 3 min in the microwave. They are light and my baby does not want any nipple is like.</v>
      </c>
    </row>
    <row r="17318">
      <c r="A17318" s="1">
        <v>2.0</v>
      </c>
      <c r="B17318" s="1" t="s">
        <v>17152</v>
      </c>
      <c r="C17318" t="str">
        <f>IFERROR(__xludf.DUMMYFUNCTION("GOOGLETRANSLATE(B17318, ""es"", ""en"")"),"REGULAR The bag is a little small, should be able to put a small bottle of water, also the gremalleras open too vertical, they can cause problems if left open, you can drop things from within. belts a bit short for my taste remain.")</f>
        <v>REGULAR The bag is a little small, should be able to put a small bottle of water, also the gremalleras open too vertical, they can cause problems if left open, you can drop things from within. belts a bit short for my taste remain.</v>
      </c>
    </row>
    <row r="17319">
      <c r="A17319" s="1">
        <v>3.0</v>
      </c>
      <c r="B17319" s="1" t="s">
        <v>17153</v>
      </c>
      <c r="C17319" t="str">
        <f>IFERROR(__xludf.DUMMYFUNCTION("GOOGLETRANSLATE(B17319, ""es"", ""en"")"),"It's what I wanted is fine, is what you would expect .. Simple, contains three keys and a plastic spacer for coins ...")</f>
        <v>It's what I wanted is fine, is what you would expect .. Simple, contains three keys and a plastic spacer for coins ...</v>
      </c>
    </row>
    <row r="17320">
      <c r="A17320" s="1">
        <v>1.0</v>
      </c>
      <c r="B17320" s="1" t="s">
        <v>17154</v>
      </c>
      <c r="C17320" t="str">
        <f>IFERROR(__xludf.DUMMYFUNCTION("GOOGLETRANSLATE(B17320, ""es"", ""en"")"),"Not very good quality q Do not come last but inside slapdash. Clearly see the scaffolding, it will not be so far")</f>
        <v>Not very good quality q Do not come last but inside slapdash. Clearly see the scaffolding, it will not be so far</v>
      </c>
    </row>
    <row r="17321">
      <c r="A17321" s="1">
        <v>1.0</v>
      </c>
      <c r="B17321" s="1" t="s">
        <v>17155</v>
      </c>
      <c r="C17321" t="str">
        <f>IFERROR(__xludf.DUMMYFUNCTION("GOOGLETRANSLATE(B17321, ""es"", ""en"")"),"A scam ABSOLUTE This is the barateja has come for me of course pendant sterling silver unstamped without chain in a plastic bag Chinese. Penoso not following ....")</f>
        <v>A scam ABSOLUTE This is the barateja has come for me of course pendant sterling silver unstamped without chain in a plastic bag Chinese. Penoso not following ....</v>
      </c>
    </row>
    <row r="17322">
      <c r="A17322" s="1">
        <v>1.0</v>
      </c>
      <c r="B17322" s="1" t="s">
        <v>17156</v>
      </c>
      <c r="C17322" t="str">
        <f>IFERROR(__xludf.DUMMYFUNCTION("GOOGLETRANSLATE(B17322, ""es"", ""en"")"),"Child care is watch. I bought this gift for my father and when he arrived I discovered that the size of the watch is ridiculous. It is for a child and not an adult. They should be noted in the description ""cadet or child size"" or something, because luck"&amp;"ily I opened it and looked at it, if it had not been a disaster. Knight is not, unless the gentleman is six years.")</f>
        <v>Child care is watch. I bought this gift for my father and when he arrived I discovered that the size of the watch is ridiculous. It is for a child and not an adult. They should be noted in the description "cadet or child size" or something, because luckily I opened it and looked at it, if it had not been a disaster. Knight is not, unless the gentleman is six years.</v>
      </c>
    </row>
    <row r="17323">
      <c r="A17323" s="1">
        <v>4.0</v>
      </c>
      <c r="B17323" s="1" t="s">
        <v>17157</v>
      </c>
      <c r="C17323" t="str">
        <f>IFERROR(__xludf.DUMMYFUNCTION("GOOGLETRANSLATE(B17323, ""es"", ""en"")"),"Good quality is of good quality, although pricey but perfect purse, do not regret buying. I hope I have helped with my review.")</f>
        <v>Good quality is of good quality, although pricey but perfect purse, do not regret buying. I hope I have helped with my review.</v>
      </c>
    </row>
    <row r="17324">
      <c r="A17324" s="1">
        <v>4.0</v>
      </c>
      <c r="B17324" s="1" t="s">
        <v>17158</v>
      </c>
      <c r="C17324" t="str">
        <f>IFERROR(__xludf.DUMMYFUNCTION("GOOGLETRANSLATE(B17324, ""es"", ""en"")"),"Good product Maite seem small but are given good time llevarlos.tejido for between temporadas.de would buy them, we'll see over time")</f>
        <v>Good product Maite seem small but are given good time llevarlos.tejido for between temporadas.de would buy them, we'll see over time</v>
      </c>
    </row>
    <row r="17325">
      <c r="A17325" s="1">
        <v>4.0</v>
      </c>
      <c r="B17325" s="1" t="s">
        <v>17159</v>
      </c>
      <c r="C17325" t="str">
        <f>IFERROR(__xludf.DUMMYFUNCTION("GOOGLETRANSLATE(B17325, ""es"", ""en"")"),"I expected according to the description I expected as described. I liked it a lot. It was a gift for my mother and loved it")</f>
        <v>I expected according to the description I expected as described. I liked it a lot. It was a gift for my mother and loved it</v>
      </c>
    </row>
    <row r="17326">
      <c r="A17326" s="1">
        <v>4.0</v>
      </c>
      <c r="B17326" s="1" t="s">
        <v>17160</v>
      </c>
      <c r="C17326" t="str">
        <f>IFERROR(__xludf.DUMMYFUNCTION("GOOGLETRANSLATE(B17326, ""es"", ""en"")"),"Good and comfortable. I loved them. They are super comfortable, walk and feel in the air. The colors are vivid and the material seems durable. I recommend them.")</f>
        <v>Good and comfortable. I loved them. They are super comfortable, walk and feel in the air. The colors are vivid and the material seems durable. I recommend them.</v>
      </c>
    </row>
    <row r="17327">
      <c r="A17327" s="1">
        <v>4.0</v>
      </c>
      <c r="B17327" s="1" t="s">
        <v>17161</v>
      </c>
      <c r="C17327" t="str">
        <f>IFERROR(__xludf.DUMMYFUNCTION("GOOGLETRANSLATE(B17327, ""es"", ""en"")"),"Good quality Quality is good and the product is the original, are narrow feet, but adjust well, they will!")</f>
        <v>Good quality Quality is good and the product is the original, are narrow feet, but adjust well, they will!</v>
      </c>
    </row>
    <row r="17328">
      <c r="A17328" s="1">
        <v>5.0</v>
      </c>
      <c r="B17328" s="1" t="s">
        <v>17162</v>
      </c>
      <c r="C17328" t="str">
        <f>IFERROR(__xludf.DUMMYFUNCTION("GOOGLETRANSLATE(B17328, ""es"", ""en"")"),"Good product The request was for my mother, but is happy with the product, muscle relaxant.")</f>
        <v>Good product The request was for my mother, but is happy with the product, muscle relaxant.</v>
      </c>
    </row>
    <row r="17329">
      <c r="A17329" s="1">
        <v>5.0</v>
      </c>
      <c r="B17329" s="1" t="s">
        <v>17163</v>
      </c>
      <c r="C17329" t="str">
        <f>IFERROR(__xludf.DUMMYFUNCTION("GOOGLETRANSLATE(B17329, ""es"", ""en"")"),"As expected Mido 1.88 and weight 84kg, I took the XL / Black ... is perfect. Good material.")</f>
        <v>As expected Mido 1.88 and weight 84kg, I took the XL / Black ... is perfect. Good material.</v>
      </c>
    </row>
    <row r="17330">
      <c r="A17330" s="1">
        <v>5.0</v>
      </c>
      <c r="B17330" s="1" t="s">
        <v>17164</v>
      </c>
      <c r="C17330" t="str">
        <f>IFERROR(__xludf.DUMMYFUNCTION("GOOGLETRANSLATE(B17330, ""es"", ""en"")"),"Very good The best brand in bottles and pacifiers")</f>
        <v>Very good The best brand in bottles and pacifiers</v>
      </c>
    </row>
    <row r="17331">
      <c r="A17331" s="1">
        <v>5.0</v>
      </c>
      <c r="B17331" s="1" t="s">
        <v>17165</v>
      </c>
      <c r="C17331" t="str">
        <f>IFERROR(__xludf.DUMMYFUNCTION("GOOGLETRANSLATE(B17331, ""es"", ""en"")"),"Good buy. Fast delivery. And very good quality. Box and official label. Color very cool. By 15EUR. I recommend. Very comfortable.")</f>
        <v>Good buy. Fast delivery. And very good quality. Box and official label. Color very cool. By 15EUR. I recommend. Very comfortable.</v>
      </c>
    </row>
    <row r="17332">
      <c r="A17332" s="1">
        <v>5.0</v>
      </c>
      <c r="B17332" s="1" t="s">
        <v>17166</v>
      </c>
      <c r="C17332" t="str">
        <f>IFERROR(__xludf.DUMMYFUNCTION("GOOGLETRANSLATE(B17332, ""es"", ""en"")"),"The cable is impeccable perfect, shipping was very fast and has been accompanied by a barbed box is very good and is very practical. I am very satisfied with the purchase, No facilities")</f>
        <v>The cable is impeccable perfect, shipping was very fast and has been accompanied by a barbed box is very good and is very practical. I am very satisfied with the purchase, No facilities</v>
      </c>
    </row>
    <row r="17333">
      <c r="A17333" s="1">
        <v>5.0</v>
      </c>
      <c r="B17333" s="1" t="s">
        <v>17167</v>
      </c>
      <c r="C17333" t="str">
        <f>IFERROR(__xludf.DUMMYFUNCTION("GOOGLETRANSLATE(B17333, ""es"", ""en"")"),"I recently bought a Quality auriculaes of these and I liked so much that I repeated to use gift. The truth is that they are super comfortable, you do not seem to take and you do not put the notes. They hear very well and have very good sound quality. To g"&amp;"o take a walk, jogging, cycling ... to do what you're doing you can use them because I say that work great.")</f>
        <v>I recently bought a Quality auriculaes of these and I liked so much that I repeated to use gift. The truth is that they are super comfortable, you do not seem to take and you do not put the notes. They hear very well and have very good sound quality. To go take a walk, jogging, cycling ... to do what you're doing you can use them because I say that work great.</v>
      </c>
    </row>
    <row r="17334">
      <c r="A17334" s="1">
        <v>5.0</v>
      </c>
      <c r="B17334" s="1" t="s">
        <v>17168</v>
      </c>
      <c r="C17334" t="str">
        <f>IFERROR(__xludf.DUMMYFUNCTION("GOOGLETRANSLATE(B17334, ""es"", ""en"")"),"Great for the price they are perfect. I bought them for work, but I'm going to get to go out, they are very nice and very comfortable. The materials could be better, but for what they are, are worth a lot, they are very well finished and give the trick.")</f>
        <v>Great for the price they are perfect. I bought them for work, but I'm going to get to go out, they are very nice and very comfortable. The materials could be better, but for what they are, are worth a lot, they are very well finished and give the trick.</v>
      </c>
    </row>
    <row r="17335">
      <c r="A17335" s="1">
        <v>5.0</v>
      </c>
      <c r="B17335" s="1" t="s">
        <v>17169</v>
      </c>
      <c r="C17335" t="str">
        <f>IFERROR(__xludf.DUMMYFUNCTION("GOOGLETRANSLATE(B17335, ""es"", ""en"")"),"Good treking shoes Great shoes. It's a shame you do not have gore tex. They are fine, but for summer")</f>
        <v>Good treking shoes Great shoes. It's a shame you do not have gore tex. They are fine, but for summer</v>
      </c>
    </row>
    <row r="17336">
      <c r="A17336" s="1">
        <v>5.0</v>
      </c>
      <c r="B17336" s="1" t="s">
        <v>17170</v>
      </c>
      <c r="C17336" t="str">
        <f>IFERROR(__xludf.DUMMYFUNCTION("GOOGLETRANSLATE(B17336, ""es"", ""en"")"),"Excellent buy everything perfect")</f>
        <v>Excellent buy everything perfect</v>
      </c>
    </row>
    <row r="17337">
      <c r="A17337" s="1">
        <v>5.0</v>
      </c>
      <c r="B17337" s="1" t="s">
        <v>17171</v>
      </c>
      <c r="C17337" t="str">
        <f>IFERROR(__xludf.DUMMYFUNCTION("GOOGLETRANSLATE(B17337, ""es"", ""en"")"),"impressed &lt;div id = ""video-block-R2DSCUYZNH7P8N"" class = ""a-section a-spacing-small to-spacing-top mini-video block""&gt; &lt;div tabindex = ""0"" class = ""airy airy-svg vmin -unsupported airy-skin-beacon ""style ="" background-color: rgb (0, 0, 0) position"&amp;": relative; width: 100%; height: 100%; font-size: 0px; overflow: hidden; outline: none; ""&gt; &lt;div class ="" airy-renderer-container ""style ="" position: relative; height: 100%; width: 100%; ""&gt; &lt;video id ="" 7 ""preload ="" auto ""src ="" https : //images"&amp;"-eu.ssl-images-amazon.com/images/I/C1IGmKwtjES.mp4 ""style ="" position: absolute; left: 0px; top: 0px; overflow: hidden; height: 1px; width: 1px; ""&gt; &lt;/ video&gt; &lt;/ div&gt; &lt;div id ="" airy-slate-preload ""style ="" background-color: rgb (0, 0, 0); background"&amp;"-image: url (&amp; quot; https: // images -eu.ssl-images-amazon.com/images/I/91Mzrab-dMS.png&amp;quot;); background-size: Contain; background-position: center center; background-repeat: no-repeat; position: absolute; top: 0px; left: 0px; visibility: visible; widt"&amp;"h: 100%; height: 100%; ""&gt; &lt;/ div&gt; &lt;iframe scrolling ="" n or ""frameborder ="" 0 ""src ="" about: blank ""style ="" display: none; ""&gt; &lt;/ iframe&gt; &lt;div tabindex ="" - 1 ""class ="" airy-controls-container ""style ="" opacity: 0 ; visibility: hidden; ""&gt; &lt;"&amp;"div tabindex ="" - 1 ""class ="" airy-screen-size-toggle airy-fullscreen ""&gt; &lt;/ div&gt; &lt;div tabindex ="" - 1 ""class ="" airy-container-bottom "" &gt; &lt;div tabindex = ""- 1"" class = ""airy-track-bar-spacer-left"" style = ""width: 11px;""&gt; &lt;/ div&gt; &lt;div tabinde"&amp;"x = ""- 1"" class = ""airy-play- airy toggle-play ""style ="" width: 12px; margin-right: 12px; ""&gt; &lt;/ div&gt; &lt;div tabindex ="" - 1 ""class ="" airy-audio-elements ""style ="" float: right; width: 34px; ""&gt; &lt;div tabindex ="" - 1 ""class ="" airy-audio-toggle"&amp;" airy-on ""&gt; &lt;/ div&gt; &lt;div tabindex ="" - 1 ""class ="" airy-audio-container ""style = ""opacity: 0; visibility: hidden; ""&gt; &lt;div tabindex ="" - 1 ""class ="" airy-audio-track-bar ""style ="" height: 80%; ""&gt; &lt;div tabindex ="" - 1 ""class ="" airy-audio- S"&amp;"crubber-bar ""style ="" height: 85%; ""&gt; &lt;/ div&gt; &lt;div tabindex ="" - 1 ""class ="" airy-audio-scrubber ""style ="" height: 12px; bottom: 85% ""&gt; &lt;/ div&gt; &lt;/ div&gt; &lt;/ div&gt; &lt;/ div&gt; &lt;div tabindex ="" - 1 ""class ="" airy-duration-label ""style ="" float: right"&amp;"; width: 26px; margin-right: 4px; text-align: center; ""&gt; 1:34 &lt;/ div&gt; &lt;div tabindex ="" - 1 ""class ="" airy-track-bar-spacer-right ""style ="" float: right; width: 11px; ""&gt; &lt;/ div&gt; &lt;div tabindex ="" - 1 ""class ="" airy-track-bar-container ""style ="" "&amp;"margin-left: 35px; margin-right: 75px; ""&gt; &lt;div tabindex ="" - 1 ""class ="" airy-airy-track-bar vertically-centering-table ""&gt; &lt;div tabindex ="" - 1 ""class ="" airy-Vertical-centering- table-cell ""&gt; &lt;div tabindex ="" - 1 ""class ="" airy-track-bar-elem"&amp;"ents ""&gt; &lt;div tabindex ="" - 1 ""class ="" airy-progress-bar ""style ="" width: 1.47667%; ""&gt; &lt;/ div&gt; &lt;div tabindex ="" - 1 ""class ="" airy-scrubber-bar ""&gt; &lt;/ div&gt; &lt;div tabindex ="" - 1 ""class ="" airy-scrubber ""&gt; &lt;div tabindex ="" - 1 ""class ="" air"&amp;"y-scrubber-icon ""&gt; &lt;/ div&gt; &lt;div tabindex ="" - 1 ""class ="" airy-adjusted-AUI-tooltip ""style ="" opacity: 0; visibility: hidden; ""&gt; &lt;div tabindex ="" - 1 ""class ="" airy-adjusted-aui-tooltip-inner ""&gt; &lt;div tabindex ="" - 1 ""class ="" airy-current-ti"&amp;"me-label ""&gt; 0: 00 &lt;/ div&gt; &lt;/ div&gt; &lt;div tabindex = ""- 1"" class = ""airy-adjusted-AUI-arrow-border""&gt; &lt;div tabindex = ""- 1"" class = ""airy-adjusted-AUI-arrow"" &gt; &lt;/ div&gt; &lt;/ div&gt; &lt;/ div&gt; &lt;/ div&gt; &lt;/ div&gt; &lt;/ div&gt; &lt;/ div&gt; &lt;/ div&gt; &lt;/ div&gt; &lt;/ div&gt; &lt;div tabin"&amp;"dex = ""- 1"" class = ""airy-age-gate airy-stage airy-Vertical-centering-table airy-dialog"" style = ""opacity: 0; visibility: hidden; ""&gt; &lt;div tabindex ="" - 1 ""class ="" airy-age-gate-Vertical-centering-table-cell airy-Vertical-centering-table-cell ""&gt;"&amp;" &lt;div tabindex ="" - 1 ""class = ""airy-Vertical-centering-wrapper airy-age-gate-elements-wrapper""&gt; &lt;div tabindex = ""- 1"" class = ""airy-age-gate-elements airy-dialog-elements""&gt; &lt;div tabindex = "" -1 ""class ="" airy-age-gate-prompt ""&gt; This video is "&amp;"not Intended for all audiences What date were you born &lt;/ div&gt; &lt;div tabindex =.?"" - 1 ""class ="" airy-age-gate -inputs airy-dialog-inner-elements ""&gt; &lt;select tabindex ="" - 1 ""class ="" airy-age-gate-month ""&gt; &lt;option value ="" 1 ""&gt; January &lt;/ option&gt;"&amp;" &lt;option value ="" 2 ""&gt; February &lt;/ option&gt; &lt;option value ="" 3 ""&gt; March &lt;/ option&gt; &lt;option value ="" 4 ""&gt; April &lt;/ option&gt; &lt;option value ="" 5 ""&gt; May &lt;/ option&gt; &lt;option value = ""6""&gt; June &lt;/ option&gt; &lt;option value = ""7""&gt; July &lt;/ option&gt; &lt;option val"&amp;"ue = ""8""&gt; August &lt;/ option&gt; &lt;option value = ""9""&gt; September &lt;/ option&gt; &lt;option value = ""10""&gt; October &lt;/ option&gt; &lt;option value = ""11""&gt; November &lt;/ option&gt; &lt;option value = ""12""&gt; December &lt;/ option&gt; &lt;/ select&gt; &lt;select tabindex = ""- 1"" class = ""ai"&amp;"ry-age-gate-day""&gt; &lt;opti on value = ""1""&gt; 1 &lt;/ option&gt; &lt;option value = ""2""&gt; 2 &lt;/ option&gt; &lt;option value = ""3""&gt; 3 &lt;/ option&gt; &lt;option value = ""4""&gt; 4 &lt;/ option &gt; &lt;option value = ""5""&gt; 5 &lt;/ option&gt; &lt;option value = ""6""&gt; 6 &lt;/ option&gt; &lt;option value = """&amp;"7""&gt; 7 &lt;/ option&gt; &lt;option value = ""8""&gt; 8 &lt; / option&gt; &lt;option value = ""9""&gt; 9 &lt;/ option&gt; &lt;option value = ""10""&gt; 10 &lt;/ option&gt; &lt;option value = ""11""&gt; 11 &lt;/ option&gt; &lt;option value = ""12""&gt; 12 &lt;/ option&gt; &lt;option value = ""13""&gt; 13 &lt;/ option&gt; &lt;option valu"&amp;"e = ""14""&gt; 14 &lt;/ option&gt; &lt;option value = ""15""&gt; 15 &lt;/ option&gt; &lt;option value = ""16 ""&gt; 16 &lt;/ option&gt; &lt;option value ="" 17 ""&gt; 17 &lt;/ option&gt; &lt;option value ="" 18 ""&gt; 18 &lt;/ option&gt; &lt;option value ="" 19 ""&gt; 19 &lt;/ option&gt; &lt;option value = ""20""&gt; 20 &lt;/ optio"&amp;"n&gt; &lt;option value = ""21""&gt; 21 &lt;/ option&gt; &lt;option value = ""22""&gt; 22 &lt;/ option&gt; &lt;option value = ""23""&gt; 23 &lt;/ option&gt; &lt;option value = ""24""&gt; 24 &lt;/ option&gt; &lt;option value = ""25""&gt; 25 &lt;/ option&gt; &lt;option value = ""26""&gt; 26 &lt;/ option&gt; &lt;option value = ""27""&gt; "&amp;"27 &lt;/ option&gt; &lt;option value = ""28""&gt; 28 &lt;/ option&gt; &lt;option value = ""29""&gt; 29 &lt;/ option&gt; &lt;option value = ""30""&gt; 30 &lt;/ option&gt; &lt;option value = ""31""&gt; 31 &lt;/ option&gt; &lt;/ select&gt; &lt;select tabindex = ""- 1"" class = ""airy-age-gate-year""&gt; &lt;option value = ""2"&amp;"019""&gt; 2019 &lt;/ option&gt; &lt; option value = ""2018""&gt; 2018 &lt;/ option&gt; &lt;option value = ""2017""&gt; 2017 &lt;/ option&gt; &lt;option value = ""2016""&gt; ​​2016 &lt;/ option&gt; &lt;option value = ""2015""&gt; 2015 &lt;/ option &gt; &lt;option value = ""2014""&gt; 2014 &lt;/ option&gt; &lt;option value = """&amp;"2013""&gt; 2013 &lt;/ option&gt; &lt;option value = ""2012""&gt; 2012 &lt;/ option&gt; &lt;option value = ""2011""&gt; 2011 &lt; / option&gt; &lt;option value = ""2010""&gt; 2010 &lt;/ option&gt; &lt;option value = ""2009""&gt; 2009 &lt;/ option&gt; &lt;option value = ""2008""&gt; 2008 &lt;/ option&gt; &lt;option value = ""20"&amp;"07""&gt; 2007 &lt;/ option&gt; &lt;option value = ""2006""&gt; 2006 &lt;/ option&gt; &lt;option value = ""2005""&gt; 2005 &lt;/ option&gt; &lt;option value = ""2004""&gt; 2004 &lt;/ option&gt; &lt;option value = ""2003 ""&gt; 2003 &lt;/ option&gt; &lt;option value ="" 2002 ""&gt; 2002 &lt;/ option&gt; &lt;option value ="" 200"&amp;"1 ""&gt;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"&amp;"""&gt; 1989 &lt;/ option&gt; &lt;option value ="" 1988 ""&gt; 1988 &lt;/ option&gt; &lt;option value ="" 1987 ""&gt; 1987 &lt;/ option&gt; &lt;option value ="" 1986 ""&gt; 1986 &lt;/ option&gt; &lt;value option = ""1985""&gt; 1985 &lt;/ option&gt; &lt;option value = ""1984""&gt; 1984 &lt;/ option&gt; &lt;option value = ""1983"&amp;"""&gt; 1983 &lt;/ option&gt; &lt;option value = ""1982""&gt; 1982 &lt;/ option&gt; &lt; option value = ""1981""&gt; 1981 &lt;/ option&gt; &lt;option value = ""1980""&gt; 1980 &lt;/ option&gt; &lt;option value = ""1979""&gt; 1979 &lt;/ option&gt; &lt;option value = ""1978""&gt; 1978 &lt;/ option &gt; &lt;option value = ""1977"&amp;"""&gt; 1977 &lt;/ option&gt; &lt;option value = ""1976""&gt; 1976 &lt;/ option&gt; &lt;option value = ""1975""&gt; 1975 &lt;/ option&gt; &lt;option value = ""1974""&gt; 1974 &lt; / option&gt; &lt;option value = ""1973""&gt; 1973 &lt;/ option&gt; &lt;option value = ""1972""&gt; 1972 &lt;/ option&gt; &lt;option value = ""1971"""&amp;"&gt; 1971 &lt;/ option&gt; &lt;option value = ""1970""&gt; 1970 &lt;/ option&gt; &lt;option value = ""1969""&gt; 1969 &lt;/ option&gt; &lt;option value = ""1968""&gt; 1968 &lt;/ option&gt; &lt;option value = ""1967""&gt; 1967 &lt;/ option&gt; &lt;option value = ""1966 ""&gt; 1966 &lt;/ option&gt; &lt;option value ="" 1965 ""&gt;"&amp;" 1965 &lt;/ option&gt; &lt;option value ="" 1964 ""&gt; 1964 &lt;/ option&gt; &lt;option value ="" 1963 ""&gt; 1963 &lt;/ option&gt; &lt;option value = ""1962""&gt; 1962 &lt;/ option&gt; &lt;option value = ""1961""&gt; 1961 &lt;/ option&gt; &lt;option value = ""1960""&gt; 1960 &lt;/ op tion&gt; &lt;option value = ""1959""&gt;"&amp;" 1959 &lt;/ option&gt; &lt;option value = ""1958""&gt; 1958 &lt;/ option&gt; &lt;option value = ""1957""&gt; 1957 &lt;/ option&gt; &lt;option value = ""1956""&gt; 1956 &lt;/ option&gt; &lt;option value = ""1955""&gt; 1955 &lt;/ option&gt; &lt;option value = ""1954""&gt; 1954 &lt;/ option&gt; &lt;option value = ""1953""&gt; 19"&amp;"53 &lt;/ option&gt; &lt;option value = ""1952"" &gt; 1952 &lt;/ option&gt; &lt;option value = ""1951""&gt; 1951 &lt;/ option&gt; &lt;option value = ""1950""&gt; 1950 &lt;/ option&gt; &lt;option value = ""1949""&gt; 1949 &lt;/ option&gt; &lt;option value = "" 1948 ""&gt; 1948 &lt;/ option&gt; &lt;option value ="" 1947 ""&gt; 1"&amp;"947 &lt;/ option&gt; &lt;option value ="" 1946 ""&gt; 1946 &lt;/ option&gt; &lt;option value ="" 1945 ""&gt; 1945 &lt;/ option&gt; &lt;value option = ""1944""&gt; 1944 &lt;/ option&gt; &lt;option value = ""1943""&gt; 1943 &lt;/ option&gt; &lt;option value = ""1942""&gt; 1942 &lt;/ option&gt; &lt;option value = ""1941""&gt; 19"&amp;"41 &lt;/ option&gt; &lt; option value = ""1940""&gt; 1940 &lt;/ option&gt; &lt;option value = ""1939""&gt; 1939 &lt;/ option&gt; &lt;option value = ""1938""&gt; 1938 &lt;/ option&gt; &lt;option value = ""1937""&gt; 1937 &lt;/ option &gt; &lt;option value = ""1936""&gt; 1936 &lt;/ option&gt; &lt;option value = ""1935""&gt; 193"&amp;"5 &lt;/ option&gt; &lt;option value = ""1934""&gt; 1934 &lt;/ option&gt; &lt;option value = ""1933""&gt; 1933 &lt; / option&gt; &lt;option value = ""1932""&gt; 1932 &lt;/ option&gt; &lt;option value = ""1931""&gt; 1931 &lt;/ option&gt; &lt;option v alue = ""1930""&gt; 1930 &lt;/ option&gt; &lt;option value = ""1929""&gt; 1929"&amp;" &lt;/ option&gt; &lt;option value = ""1928""&gt; 1928 &lt;/ option&gt; &lt;option value = ""1927""&gt; 1927 &lt;/ option&gt; &lt;option value = ""1926""&gt; 1926 &lt;/ option&gt; &lt;option value = ""1925""&gt; 1925 &lt;/ option&gt; &lt;option value = ""1924""&gt; 1924 &lt;/ option&gt; &lt;option value = ""1923""&gt; 1923 &lt;/"&amp;" option&gt; &lt;option value = ""1922""&gt; 1922 &lt;/ option&gt; &lt;option value = ""1921""&gt; 1921 &lt;/ option&gt; &lt;option value = ""1920""&gt; 1920 &lt;/ option&gt; &lt;option value = ""1919""&gt; 1919 &lt;/ option&gt; &lt;option value = ""1918""&gt; 1918 &lt;/ option&gt; &lt;option value = ""1917""&gt; 1917 &lt;/ op"&amp;"tion&gt; &lt;option value = ""1916""&gt; 1916 &lt;/ option&gt; &lt;option value = ""1915"" &gt; 1915 &lt;/ option&gt; &lt;option value = ""1914""&gt; 1914 &lt;/ option&gt; &lt;option value = ""1913""&gt; 1913 &lt;/ option&gt; &lt;option value = ""1912""&gt; 1912 &lt;/ option&gt; &lt;option value = "" 1911 ""&gt; 1911 &lt;/ op"&amp;"tion&gt; &lt;option value ="" 1910 ""&gt; 1910 &lt;/ option&gt; &lt;option value ="" 1909 ""&gt; 1909 &lt;/ option&gt; &lt;option value ="" 1908 ""&gt; 1908 &lt;/ option&gt; &lt;value option = ""1907""&gt; 1907 &lt;/ option&gt; &lt;option value = ""1906""&gt; 1906 &lt;/ option&gt; &lt;option value = ""1905""&gt; 1905 &lt;/ op"&amp;"tion&gt; &lt;option value = ""1904""&gt; 1904 &lt;/ option&gt; &lt; option value = ""1903""&gt; 1903 &lt;/ option&gt; &lt;option value = ""1902""&gt; 1902 &lt;/ option&gt; &lt;option value = ""1901""&gt; 19 01 &lt;/ option&gt; &lt;option value = ""1900""&gt; 1900 &lt;/ option&gt; &lt;/ select&gt; &lt;div tabindex = ""- 1"" cl"&amp;"ass = ""airy-age-gate-submit airy-submit-button airy airy-submit- disabled ""&gt; Submit &lt;/ div&gt; &lt;/ div&gt; &lt;/ div&gt; &lt;/ div&gt; &lt;/ div&gt; &lt;/ div&gt; &lt;div tabindex ="" - 1 ""class ="" airy-install-flash-dialog airy-stage airy -vertical-centering-table-dialog airy airy-de"&amp;"nied ""style ="" opacity: 0; visibility: hidden; ""&gt; &lt;div tabindex ="" - 1 ""class ="" airy-install-flash-Vertical-centering-table-cell airy-Vertical-centering-table-cell ""&gt; &lt;div tabindex ="" - 1 ""class = ""airy-Vertical-centering-wrapper airy-install-f"&amp;"lash-elements-wrapper""&gt; &lt;div tabindex = ""- 1"" class = ""airy-install-flash-elements airy-dialog-elements""&gt; &lt;div tabindex = "" -1 ""class ="" airy-install-flash-prompt ""&gt; Adobe Flash Player is required to watch this video &lt;/ div&gt; &lt;div tabindex =."" - "&amp;"1 ""class ="" airy-install-flash-button-wrapper airy -dialog-inner-elements ""&gt; &lt;div tabindex ="" - 1 ""class ="" airy-install-flash-button airy-button ""&gt; install Flash Player &lt;/ div&gt; &lt;/ div&gt; &lt;/ div&gt; &lt;/ div&gt; &lt;/ div&gt; &lt;/ div&gt; &lt;div tabindex = ""- 1"" class "&amp;"= ""airy-video-unsupported-dialog airy-stage airy-Vertical-centering-table airy-dialog airy-denied"" style = ""opacity: 0; visibility: hidden; ""&gt; &lt;div tabindex ="" - 1 ""class ="" airy-video-unsupported-Vertical-centering-table-cell airy-Vertical-centeri"&amp;"ng-table-cell ""&gt; &lt;div tabindex ="" - 1 ""class = ""airy-Vertical-centering-wrapper airy-video-unsupported-elements-wrapper""&gt; &lt;div tabindex = ""- 1"" class = ""airy-video-unsupported-elements airy-dialog-elements""&gt; &lt;div tabindex = "" -1 ""class ="" airy"&amp;"-video-unsupported-prompt ""&gt; &lt;/ div&gt; &lt;/ div&gt; &lt;/ div&gt; &lt;/ div&gt; &lt;/ div&gt; &lt;div tabindex ="" - 1 ""class ="" airy-loading- spinner-stage airy-stage ""&gt; &lt;div tabindex ="" - 1 ""class ="" airy-loading-spinner-Vertical-centering-table-cell airy-Vertical-centering"&amp;"-table-cell ""&gt; &lt;div tabindex ="" - 1 ""class ="" airy-loading-spinner-container airy-scalable-hint-container ""&gt; &lt;div tabindex ="" - 1 ""class ="" airy-loading-spinner-dummy airy-scalable-dummy ""&gt; &lt;/ div&gt; &lt; div tabindex = ""- 1"" class = ""airy-loading-"&amp;"spinner airy-hint"" style = ""visibility: hidden;""&gt; &lt;/ div&gt; &lt;/ div&gt; &lt;/ div&gt; &lt;/ div&gt; &lt;div tabindex = ""- 1 ""class ="" airy-ads-screen-size-toggle airy-screen-size-toggle-fullscreen airy ""style ="" visibility: hidden; ""&gt; &lt;/ div&gt; &lt;div tabindex = ""-1"" c"&amp;"lass = ""airy-ad-prompt-container"" style = ""visibility: hidden;""&gt; &lt;div tabindex = ""- 1"" class = ""airy-ad-prompt-Vertical-centering-table-vertically airy centering-table ""&gt; &lt;div tabindex ="" - 1 ""class ="" airy-ad-prompt-Vertical-centering-table-ce"&amp;"ll airy-Vertical-centering-table-cell ""&gt; &lt;div tabindex ="" - 1 ""class = ""airy-ad-prompt-label""&gt; &lt;/ div&gt; &lt;/ div&gt; &lt;/ div&gt; &lt;/ div&gt; &lt;div tabindex = ""- 1"" class = ""airy-ads-controls-container"" style = ""visibility: hidden; ""&gt; &lt;div tabindex ="" - 1 ""c"&amp;"lass ="" airy-ads-audio-toggle airy-audio-toggle airy-on ""style ="" visibility: hidden; ""&gt; &lt;/ div&gt; &lt;div tabindex ="" - 1 ""class ="" airy-time-remaining-label-container ""&gt; &lt;div tabindex ="" - 1 ""class ="" airy-time-remaining-Vertical-centering-table a"&amp;"iry-Vertical-centering-table ""&gt; &lt;div tabindex = ""- 1"" class = ""airy-time-remaining-Vertical-centering-table-cell airy-Vertical-centering-table-cell""&gt; &lt;div tabindex = ""- 1"" class = ""airy-Vertical-centering-wrapper airy-time-remaining-label-wrapper "&amp;"""&gt; &lt;div tabindex ="" - 1 ""class ="" airy-time-remaining-label ""style ="" visibility: hidden; ""&gt; &lt;/ div&gt; &lt;div tabi ndex = ""- 1"" class = ""airy-ad-skip"" style = ""visibility: hidden;""&gt; &lt;/ div&gt; &lt;div tabindex = ""- 1"" class = ""airy-ad-end"" style = "&amp;"""visibility: hidden ""&gt; &lt;/ div&gt; &lt;/ div&gt; &lt;/ div&gt; &lt;/ div&gt; &lt;/ div&gt; &lt;div tabindex ="" - 1 ""class ="" airy-learn-more ""style ="" visibility: hidden; ""&gt; &lt;/ div&gt; &lt;/ div&gt; &lt;div tabindex = ""- 1"" class = ""airy-play-toggle-hint-stage airy-stage airy-cursor""&gt; "&amp;"&lt;div tabindex = ""- 1"" class = ""airy-play -toggle-hint-Vertical-centering-table-cell airy-Vertical-centering-table-cell airy-cursor ""&gt; &lt;div tabindex ="" - 1 ""class ="" airy-play-toggle-hint-container airy-scalable- Hint-container ""&gt; &lt;div tabindex ="""&amp;" - 1 ""class ="" airy-play-toggle-hint-dummy airy-scalable-dummy ""&gt; &lt;/ div&gt; &lt;div tabindex ="" - 1 ""class ="" airy-play -toggle-hint hint airy-airy-play-hint ""style ="" opacity: 1; visibility: visible; ""&gt; &lt;/ div&gt; &lt;/ div&gt; &lt;/ div&gt; &lt;/ div&gt; &lt;div tabindex ="&amp;""" - 1 ""class ="" airy-replay-hint-stage airy-stage ""style ="" visibility: hidden ; ""&gt; &lt;div tabindex ="" - 1 ""class ="" airy-replay-hint-Vertical-centering-table-cell airy-Vertical-centering-table-cell airy-cursor ""&gt; &lt;div tabindex ="" - 1 ""class = "&amp;"""airy-replay-hint-container airy-scalable-hint-container""&gt; &lt;div tabindex = ""- 1"" class = ""airy-replay-hint-dummy airy-scalable-dummy""&gt; &lt;/ div&gt; &lt;div tabindex = ""- 1"" class = ""airy-replay-hint airy-hint""&gt; &lt;/ div&gt; &lt;/ div&gt; &lt;/ div&gt; &lt;/ div&gt; &lt;div tabin"&amp;"dex = ""- 1"" class = ""airy-autoplay-hint -stage airy-stage ""style ="" visibility: hidden; ""&gt; &lt;div tabindex ="" - 1 ""class ="" airy-autoplay-hint-Vertical-centering-table-cell airy-Vertical-centering-table-cell airy- cursor ""&gt; &lt;div tabindex ="" - 1 "&amp;"""class ="" autoplay airy-airy-hint-container-scalable-hint-container ""&gt; &lt;div tabindex ="" - 1 ""class ="" airy-autoplay-hint-dummy airy- scalable-dummy ""&gt; &lt;/ div&gt; &lt;/ div&gt; &lt;/ div&gt; &lt;/ div&gt; &lt;/ div&gt; &lt;/ div&gt; &lt;input type ="" hidden ""name ="" ""value ="" htt"&amp;"ps: // images-eu .ssl-images-amazon.com / images / I / C1IGmKwtjES.mp4 ""Class ="" video-url ""&gt; &lt;input type ="" hidden ""name ="" ""value ="" https://images-eu.ssl-images-amazon.com/images/I/91Mzrab-dMS.png ""class = ""video-slate-img-url""&gt; &amp; nbsp; BLUE"&amp;"TOOTH HEADSET bluetooth wireless headset with built-in battery. Small manual basic instructions in English only. the battery capacity in mAh, according to the supplier, in use 5-6 hours and standby 180h is indicated. It includes charging cable (USB on one"&amp;" end and universal, as the general of the terminals-), black in color; and cable to connect directly to a computer, stereo, etc. stereo sound, very crisp and enveloping. The almoadillas allow fit perfectly avoiding external sounds. Fully adjustable headba"&amp;"nd, inside which are marcardas R (right - right) and L (left-right). On the right side, on the attachment of almoadillas takes the controls to turn on / off / start and pause, fast forward / volume - delay / volume +, to select the radio or elmento connec"&amp;"ted (phone, chain, etc.), and the knob to pick up the call. On the same side it carries cargo ports and connection to other devices via cable as well as to introduce micro sd directly on the handset. For use as hands-free calls sound it is good but especi"&amp;"ally highlights the sound quality of audio reproduction.")</f>
        <v>impressed &lt;div id = "video-block-R2DSCUYZNH7P8N" class = "a-section a-spacing-small to-spacing-top mini-video block"&gt; &lt;div tabindex = "0" class = "airy airy-svg vmin -unsupported airy-skin-beacon "style =" background-color: rgb (0, 0, 0) position: relative; width: 100%; height: 100%; font-size: 0px; overflow: hidden; outline: none; "&gt; &lt;div class =" airy-renderer-container "style =" position: relative; height: 100%; width: 100%; "&gt; &lt;video id =" 7 "preload =" auto "src =" https : //images-eu.ssl-images-amazon.com/images/I/C1IGmKwtjES.mp4 "style =" position: absolute; left: 0px; top: 0px; overflow: hidden; height: 1px; width: 1px; "&gt; &lt;/ video&gt; &lt;/ div&gt; &lt;div id =" airy-slate-preload "style =" background-color: rgb (0, 0, 0); background-image: url (&amp; quot; https: // images -eu.ssl-images-amazon.com/images/I/91Mzrab-dMS.png&amp;quot;); background-size: Contain; background-position: center center; background-repeat: no-repeat; position: absolute; top: 0px; left: 0px; visibility: visible; width: 100%; height: 100%; "&gt; &lt;/ div&gt; &lt;iframe scrolling =" n or "frameborder =" 0 "src =" about: blank "style =" display: none; "&gt; &lt;/ iframe&gt; &lt;div tabindex =" - 1 "class =" airy-controls-container "style =" opacity: 0 ;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1:34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1.47667%;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C1IGmKwtjES.mp4 "Class =" video-url "&gt; &lt;input type =" hidden "name =" "value =" https://images-eu.ssl-images-amazon.com/images/I/91Mzrab-dMS.png "class = "video-slate-img-url"&gt; &amp; nbsp; BLUETOOTH HEADSET bluetooth wireless headset with built-in battery. Small manual basic instructions in English only. the battery capacity in mAh, according to the supplier, in use 5-6 hours and standby 180h is indicated. It includes charging cable (USB on one end and universal, as the general of the terminals-), black in color; and cable to connect directly to a computer, stereo, etc. stereo sound, very crisp and enveloping. The almoadillas allow fit perfectly avoiding external sounds. Fully adjustable headband, inside which are marcardas R (right - right) and L (left-right). On the right side, on the attachment of almoadillas takes the controls to turn on / off / start and pause, fast forward / volume - delay / volume +, to select the radio or elmento connected (phone, chain, etc.), and the knob to pick up the call. On the same side it carries cargo ports and connection to other devices via cable as well as to introduce micro sd directly on the handset. For use as hands-free calls sound it is good but especially highlights the sound quality of audio reproduction.</v>
      </c>
    </row>
    <row r="17338">
      <c r="A17338" s="1">
        <v>5.0</v>
      </c>
      <c r="B17338" s="1" t="s">
        <v>17172</v>
      </c>
      <c r="C17338" t="str">
        <f>IFERROR(__xludf.DUMMYFUNCTION("GOOGLETRANSLATE(B17338, ""es"", ""en"")"),"Perfect recomendadísimo to avoid shocks")</f>
        <v>Perfect recomendadísimo to avoid shocks</v>
      </c>
    </row>
    <row r="17339">
      <c r="A17339" s="1">
        <v>5.0</v>
      </c>
      <c r="B17339" s="1" t="s">
        <v>17173</v>
      </c>
      <c r="C17339" t="str">
        <f>IFERROR(__xludf.DUMMYFUNCTION("GOOGLETRANSLATE(B17339, ""es"", ""en"")"),"It used for archiving. It is expensive for what it is. It is comfortable for archiving.")</f>
        <v>It used for archiving. It is expensive for what it is. It is comfortable for archiving.</v>
      </c>
    </row>
    <row r="17340">
      <c r="A17340" s="1">
        <v>5.0</v>
      </c>
      <c r="B17340" s="1" t="s">
        <v>17174</v>
      </c>
      <c r="C17340" t="str">
        <f>IFERROR(__xludf.DUMMYFUNCTION("GOOGLETRANSLATE(B17340, ""es"", ""en"")"),"The original I've been a couple of years with it and it works perfectly. The size of the watch is the one who always had this model, perhaps some remembered him bigger because his wrists were a child ... You can take a shower with him no problem, but says"&amp;" it is only resistant to water I go to the pool with him without any mishaps in 2 years")</f>
        <v>The original I've been a couple of years with it and it works perfectly. The size of the watch is the one who always had this model, perhaps some remembered him bigger because his wrists were a child ... You can take a shower with him no problem, but says it is only resistant to water I go to the pool with him without any mishaps in 2 years</v>
      </c>
    </row>
    <row r="17341">
      <c r="A17341" s="1">
        <v>5.0</v>
      </c>
      <c r="B17341" s="1" t="s">
        <v>17175</v>
      </c>
      <c r="C17341" t="str">
        <f>IFERROR(__xludf.DUMMYFUNCTION("GOOGLETRANSLATE(B17341, ""es"", ""en"")"),"Cable Cable to connect speakers making his bien.Satisfecho function. It is long and what necesitaba.gracias. Maybe longer also it comes me well.")</f>
        <v>Cable Cable to connect speakers making his bien.Satisfecho function. It is long and what necesitaba.gracias. Maybe longer also it comes me well.</v>
      </c>
    </row>
    <row r="17342">
      <c r="A17342" s="1">
        <v>5.0</v>
      </c>
      <c r="B17342" s="1" t="s">
        <v>17176</v>
      </c>
      <c r="C17342" t="str">
        <f>IFERROR(__xludf.DUMMYFUNCTION("GOOGLETRANSLATE(B17342, ""es"", ""en"")"),"Fulfills its function perfectly fulfills its function perfectly")</f>
        <v>Fulfills its function perfectly fulfills its function perfectly</v>
      </c>
    </row>
    <row r="17343">
      <c r="A17343" s="1">
        <v>5.0</v>
      </c>
      <c r="B17343" s="1" t="s">
        <v>17177</v>
      </c>
      <c r="C17343" t="str">
        <f>IFERROR(__xludf.DUMMYFUNCTION("GOOGLETRANSLATE(B17343, ""es"", ""en"")"),"Preferred is the most comfortable of several that I have.")</f>
        <v>Preferred is the most comfortable of several that I have.</v>
      </c>
    </row>
    <row r="17344">
      <c r="A17344" s="1">
        <v>5.0</v>
      </c>
      <c r="B17344" s="1" t="s">
        <v>17178</v>
      </c>
      <c r="C17344" t="str">
        <f>IFERROR(__xludf.DUMMYFUNCTION("GOOGLETRANSLATE(B17344, ""es"", ""en"")"),"Good sound, comfortable, practical, good working time is bluetooth 4.2, ie, better connections, faster, farther away and more devices at once. Very good sound surprisingly good. Comfortable to the point of being able to sleep with them. Practical because "&amp;"you leave them in the neck when not in use and do not hang, no hook, no fall, always at hand. Come with USB-charging cable microUSB. They come with leather pouch and zipper. My last me over two nights on computer connected to the hearing movies. Good soun"&amp;"d, good price, comfortable, efficient, useful and practical. 100% Recommended")</f>
        <v>Good sound, comfortable, practical, good working time is bluetooth 4.2, ie, better connections, faster, farther away and more devices at once. Very good sound surprisingly good. Comfortable to the point of being able to sleep with them. Practical because you leave them in the neck when not in use and do not hang, no hook, no fall, always at hand. Come with USB-charging cable microUSB. They come with leather pouch and zipper. My last me over two nights on computer connected to the hearing movies. Good sound, good price, comfortable, efficient, useful and practical. 100% Recommended</v>
      </c>
    </row>
    <row r="17345">
      <c r="A17345" s="1">
        <v>5.0</v>
      </c>
      <c r="B17345" s="1" t="s">
        <v>17179</v>
      </c>
      <c r="C17345" t="str">
        <f>IFERROR(__xludf.DUMMYFUNCTION("GOOGLETRANSLATE(B17345, ""es"", ""en"")"),"perfect size. Perfect size for a single tea. That is precisely why we bought and we have not defraudado.no is as bright as in the picture but I like more.")</f>
        <v>perfect size. Perfect size for a single tea. That is precisely why we bought and we have not defraudado.no is as bright as in the picture but I like more.</v>
      </c>
    </row>
    <row r="17346">
      <c r="A17346" s="1">
        <v>2.0</v>
      </c>
      <c r="B17346" s="1" t="s">
        <v>17180</v>
      </c>
      <c r="C17346" t="str">
        <f>IFERROR(__xludf.DUMMYFUNCTION("GOOGLETRANSLATE(B17346, ""es"", ""en"")"),"True q disappointed baby gets less air but always milk comes out and is very exasperating")</f>
        <v>True q disappointed baby gets less air but always milk comes out and is very exasperating</v>
      </c>
    </row>
    <row r="17347">
      <c r="A17347" s="1">
        <v>3.0</v>
      </c>
      <c r="B17347" s="1" t="s">
        <v>17181</v>
      </c>
      <c r="C17347" t="str">
        <f>IFERROR(__xludf.DUMMYFUNCTION("GOOGLETRANSLATE(B17347, ""es"", ""en"")"),"Fulfills its function improved quality belt but does the job very well and fits very well to the clock. The product is just good.")</f>
        <v>Fulfills its function improved quality belt but does the job very well and fits very well to the clock. The product is just good.</v>
      </c>
    </row>
    <row r="17348">
      <c r="A17348" s="1">
        <v>3.0</v>
      </c>
      <c r="B17348" s="1" t="s">
        <v>17182</v>
      </c>
      <c r="C17348" t="str">
        <f>IFERROR(__xludf.DUMMYFUNCTION("GOOGLETRANSLATE(B17348, ""es"", ""en"")"),"It goes well with the suunto watch all bad fits perfectly and only correcto.lo the price is excessive.")</f>
        <v>It goes well with the suunto watch all bad fits perfectly and only correcto.lo the price is excessive.</v>
      </c>
    </row>
    <row r="17349">
      <c r="A17349" s="1">
        <v>3.0</v>
      </c>
      <c r="B17349" s="1" t="s">
        <v>17183</v>
      </c>
      <c r="C17349" t="str">
        <f>IFERROR(__xludf.DUMMYFUNCTION("GOOGLETRANSLATE(B17349, ""es"", ""en"")"),"I like I like. Everything went well. It is a good buy, I recommend it. oe oe oe oe oe oe oe oe")</f>
        <v>I like I like. Everything went well. It is a good buy, I recommend it. oe oe oe oe oe oe oe oe</v>
      </c>
    </row>
    <row r="17350">
      <c r="A17350" s="1">
        <v>1.0</v>
      </c>
      <c r="B17350" s="1" t="s">
        <v>17184</v>
      </c>
      <c r="C17350" t="str">
        <f>IFERROR(__xludf.DUMMYFUNCTION("GOOGLETRANSLATE(B17350, ""es"", ""en"")"),"You do not buy some, cower. Buy these Crocs last summer, I leave me half an hour the sun and had shrunk 3 sizes. I complained and they sent me a new and this time I have left in the trunk of the car, in the trunk, not even beat them in the sun and have sh"&amp;"runk 2 sizes. Better if that advertising warn that may shrink with heat, but that kind of shoe for summer are these, if you can not even take them in the trunk road or you take them off in the pool and if you're not careful is the you have to give your li"&amp;"ttle girl. I do not recommend at all.")</f>
        <v>You do not buy some, cower. Buy these Crocs last summer, I leave me half an hour the sun and had shrunk 3 sizes. I complained and they sent me a new and this time I have left in the trunk of the car, in the trunk, not even beat them in the sun and have shrunk 2 sizes. Better if that advertising warn that may shrink with heat, but that kind of shoe for summer are these, if you can not even take them in the trunk road or you take them off in the pool and if you're not careful is the you have to give your little girl. I do not recommend at all.</v>
      </c>
    </row>
    <row r="17351">
      <c r="A17351" s="1">
        <v>1.0</v>
      </c>
      <c r="B17351" s="1" t="s">
        <v>17185</v>
      </c>
      <c r="C17351" t="str">
        <f>IFERROR(__xludf.DUMMYFUNCTION("GOOGLETRANSLATE(B17351, ""es"", ""en"")"),"black plastic off very badly in coffee. bad overall")</f>
        <v>black plastic off very badly in coffee. bad overall</v>
      </c>
    </row>
    <row r="17352">
      <c r="A17352" s="1">
        <v>4.0</v>
      </c>
      <c r="B17352" s="1" t="s">
        <v>17186</v>
      </c>
      <c r="C17352" t="str">
        <f>IFERROR(__xludf.DUMMYFUNCTION("GOOGLETRANSLATE(B17352, ""es"", ""en"")"),"For more effective cleaning it is better to remove all obstacles (chairs, couches ...) there, where there is no good is to the corners. Not make excessive noise. Have you ever stopped me without knowing why, but I've been reactivated and problem solved. I"&amp;"t would be nice to set it in Spanish, since the instructions of the robot are is English. The truth is he did not think so thoroughly cleaned. I am very happy with the purchase, I recommend it, plus I bought a deal and saved about 30 €.")</f>
        <v>For more effective cleaning it is better to remove all obstacles (chairs, couches ...) there, where there is no good is to the corners. Not make excessive noise. Have you ever stopped me without knowing why, but I've been reactivated and problem solved. It would be nice to set it in Spanish, since the instructions of the robot are is English. The truth is he did not think so thoroughly cleaned. I am very happy with the purchase, I recommend it, plus I bought a deal and saved about 30 €.</v>
      </c>
    </row>
    <row r="17353">
      <c r="A17353" s="1">
        <v>4.0</v>
      </c>
      <c r="B17353" s="1" t="s">
        <v>17187</v>
      </c>
      <c r="C17353" t="str">
        <f>IFERROR(__xludf.DUMMYFUNCTION("GOOGLETRANSLATE(B17353, ""es"", ""en"")"),"Biberones quality and competitive price Mam best. They are beautiful, practical and here are very well priced fast flow is I'm starting with the porridge I put a couple of scoops my baby and no problem As always a wise move")</f>
        <v>Biberones quality and competitive price Mam best. They are beautiful, practical and here are very well priced fast flow is I'm starting with the porridge I put a couple of scoops my baby and no problem As always a wise move</v>
      </c>
    </row>
    <row r="17354">
      <c r="A17354" s="1">
        <v>4.0</v>
      </c>
      <c r="B17354" s="1" t="s">
        <v>17188</v>
      </c>
      <c r="C17354" t="str">
        <f>IFERROR(__xludf.DUMMYFUNCTION("GOOGLETRANSLATE(B17354, ""es"", ""en"")"),"With good security lock failure from the start but otherwise everything very well")</f>
        <v>With good security lock failure from the start but otherwise everything very well</v>
      </c>
    </row>
    <row r="17355">
      <c r="A17355" s="1">
        <v>4.0</v>
      </c>
      <c r="B17355" s="1" t="s">
        <v>17189</v>
      </c>
      <c r="C17355" t="str">
        <f>IFERROR(__xludf.DUMMYFUNCTION("GOOGLETRANSLATE(B17355, ""es"", ""en"")"),"SanDisk memory card Extreme Pro SDXC Today we will discuss how this SD card. I personally am going to use my camera with 4K video. As I think I have decided to mention to my impressions. I hope you find them useful. Card came in a box, inside I found the "&amp;"256GB SDXC Class 10 U3 and V30 and a coupon for one year for the program to recover accidentally deleted photos ""RescuePro Deluxe"". In case you do not know, the kind of card determines the speed of it. The higher the class, the faster it is. In particul"&amp;"ar this ensures that reach 95 MB / s. In my first tests, I used the card reader that is built into the box from my PC, obtaining values ​​disappointing reading 46.06 MB / s and 45.30 MB / s write, despite being the USB 3.0 Reader . Then I thought: Why do "&amp;"I have spent so much on such a fast card if he does the same as a slow? Then I tried an external USB reader I have for SD cards, namely this: &amp; nbsp; &lt;a data-hook = ""product-link-linked"" class = ""a-link-normal"" href = ""/ Transcend-TS-RDF5K-Reader -of"&amp;"-memory-card-USB-color-black / dp / B009D79VH4 / ref = ie = UTF8 cm_cr_arp_d_rvw_txt ""&gt; Transcend TS-RDF5K - card Reader USB memory, black color &lt;/a&gt; &amp; nbsp;? and checked values ​​changed drastically: reading values ​​of 95.83 MB / s and 89.60 MB / s wri"&amp;"ting. Values ​​rather better than other cards I have. I have also put capture rates of other cards that have so you can compare if you are hesitating between this model or another. For what I use, it is for a 4K camcorder, or bursts make photos and burn t"&amp;"hem in a raw format SLR is ideal. If you have a 1080p camcorder or a normal compact camera, not worth this extra outlay of money, maybe you are more interested in one of the other I put in pictures. As you can see in the screenshots that I have set, the 2"&amp;"56GB remain in 238GB reais mania with manufacturers equate 1MB to 1000B instead of 1024B as it should be, but that the truth is that they do all The manufacturers. It is formatted in exFAT. CONCLUSIONS What rating would you give? Would I recommend it? The"&amp;"se two questions are what we all do when we buy anything, and the answer is always the same: DEPENDS ON WHAT YOU USE AND WHAT ARE YOUR EXPECTATIONS. In my opinion this SD card is ideal for use in devices requiring high write speed of around 90 MB / s. 4K "&amp;"camcorders, SLR raw burst, etc. But your case is not worth the extra money, you could watch one of the other cards I put in the images, which are a bit slower, but they are significantly cheaper. Eye with the card reader. You can play a trick as I did to "&amp;"me. I put below a summary of what your strengths and weaknesses to help you decide. STRENGTHS: --Article well finished and good quality. --Good read and write speeds, hovering around 90 MB / s. --Licencia for a year for a recovery program deleted images. "&amp;"--In a few days you have at home and with the guarantee that gives Amazon. WEAKNESSES: - less storage space than advertised. 256GB 238GB stay in. --Precio, it is quite expensive. But you need so much speed there is enough cheaper options.")</f>
        <v>SanDisk memory card Extreme Pro SDXC Today we will discuss how this SD card. I personally am going to use my camera with 4K video. As I think I have decided to mention to my impressions. I hope you find them useful. Card came in a box, inside I found the 256GB SDXC Class 10 U3 and V30 and a coupon for one year for the program to recover accidentally deleted photos "RescuePro Deluxe". In case you do not know, the kind of card determines the speed of it. The higher the class, the faster it is. In particular this ensures that reach 95 MB / s. In my first tests, I used the card reader that is built into the box from my PC, obtaining values ​​disappointing reading 46.06 MB / s and 45.30 MB / s write, despite being the USB 3.0 Reader . Then I thought: Why do I have spent so much on such a fast card if he does the same as a slow? Then I tried an external USB reader I have for SD cards, namely this: &amp; nbsp; &lt;a data-hook = "product-link-linked" class = "a-link-normal" href = "/ Transcend-TS-RDF5K-Reader -of-memory-card-USB-color-black / dp / B009D79VH4 / ref = ie = UTF8 cm_cr_arp_d_rvw_txt "&gt; Transcend TS-RDF5K - card Reader USB memory, black color &lt;/a&gt; &amp; nbsp;? and checked values ​​changed drastically: reading values ​​of 95.83 MB / s and 89.60 MB / s writing. Values ​​rather better than other cards I have. I have also put capture rates of other cards that have so you can compare if you are hesitating between this model or another. For what I use, it is for a 4K camcorder, or bursts make photos and burn them in a raw format SLR is ideal. If you have a 1080p camcorder or a normal compact camera, not worth this extra outlay of money, maybe you are more interested in one of the other I put in pictures. As you can see in the screenshots that I have set, the 256GB remain in 238GB reais mania with manufacturers equate 1MB to 1000B instead of 1024B as it should be, but that the truth is that they do all The manufacturers. It is formatted in exFAT. CONCLUSIONS What rating would you give? Would I recommend it? These two questions are what we all do when we buy anything, and the answer is always the same: DEPENDS ON WHAT YOU USE AND WHAT ARE YOUR EXPECTATIONS. In my opinion this SD card is ideal for use in devices requiring high write speed of around 90 MB / s. 4K camcorders, SLR raw burst, etc. But your case is not worth the extra money, you could watch one of the other cards I put in the images, which are a bit slower, but they are significantly cheaper. Eye with the card reader. You can play a trick as I did to me. I put below a summary of what your strengths and weaknesses to help you decide. STRENGTHS: --Article well finished and good quality. --Good read and write speeds, hovering around 90 MB / s. --Licencia for a year for a recovery program deleted images. --In a few days you have at home and with the guarantee that gives Amazon. WEAKNESSES: - less storage space than advertised. 256GB 238GB stay in. --Precio, it is quite expensive. But you need so much speed there is enough cheaper options.</v>
      </c>
    </row>
    <row r="17356">
      <c r="A17356" s="1">
        <v>4.0</v>
      </c>
      <c r="B17356" s="1" t="s">
        <v>17190</v>
      </c>
      <c r="C17356" t="str">
        <f>IFERROR(__xludf.DUMMYFUNCTION("GOOGLETRANSLATE(B17356, ""es"", ""en"")"),"Surprising. Very useful Very useful for many jobs and letter readings reduced")</f>
        <v>Surprising. Very useful Very useful for many jobs and letter readings reduced</v>
      </c>
    </row>
    <row r="17357">
      <c r="A17357" s="1">
        <v>5.0</v>
      </c>
      <c r="B17357" s="1" t="s">
        <v>17191</v>
      </c>
      <c r="C17357" t="str">
        <f>IFERROR(__xludf.DUMMYFUNCTION("GOOGLETRANSLATE(B17357, ""es"", ""en"")"),"Very cool Like the photo")</f>
        <v>Very cool Like the photo</v>
      </c>
    </row>
    <row r="17358">
      <c r="A17358" s="1">
        <v>5.0</v>
      </c>
      <c r="B17358" s="1" t="s">
        <v>17192</v>
      </c>
      <c r="C17358" t="str">
        <f>IFERROR(__xludf.DUMMYFUNCTION("GOOGLETRANSLATE(B17358, ""es"", ""en"")"),"I bought them perfect to take with Vans slip and fan me great, not seen and have the rubber behind the buenisima to not eat the shoe :) I liked a lot")</f>
        <v>I bought them perfect to take with Vans slip and fan me great, not seen and have the rubber behind the buenisima to not eat the shoe :) I liked a lot</v>
      </c>
    </row>
    <row r="17359">
      <c r="A17359" s="1">
        <v>5.0</v>
      </c>
      <c r="B17359" s="1" t="s">
        <v>17193</v>
      </c>
      <c r="C17359" t="str">
        <f>IFERROR(__xludf.DUMMYFUNCTION("GOOGLETRANSLATE(B17359, ""es"", ""en"")"),"Good service and product All good")</f>
        <v>Good service and product All good</v>
      </c>
    </row>
    <row r="17360">
      <c r="A17360" s="1">
        <v>5.0</v>
      </c>
      <c r="B17360" s="1" t="s">
        <v>17194</v>
      </c>
      <c r="C17360" t="str">
        <f>IFERROR(__xludf.DUMMYFUNCTION("GOOGLETRANSLATE(B17360, ""es"", ""en"")"),"Good sound knowing the price it has. Sound good when you get well place it in the ear. They do not sound very high but the price is not more you can ask.")</f>
        <v>Good sound knowing the price it has. Sound good when you get well place it in the ear. They do not sound very high but the price is not more you can ask.</v>
      </c>
    </row>
    <row r="17361">
      <c r="A17361" s="1">
        <v>5.0</v>
      </c>
      <c r="B17361" s="1" t="s">
        <v>17195</v>
      </c>
      <c r="C17361" t="str">
        <f>IFERROR(__xludf.DUMMYFUNCTION("GOOGLETRANSLATE(B17361, ""es"", ""en"")"),"Melisa From 10, I really like. absolute, easy to handle and great comfort sucks. Fits anywhere and useful accessories")</f>
        <v>Melisa From 10, I really like. absolute, easy to handle and great comfort sucks. Fits anywhere and useful accessories</v>
      </c>
    </row>
    <row r="17362">
      <c r="A17362" s="1">
        <v>5.0</v>
      </c>
      <c r="B17362" s="1" t="s">
        <v>17196</v>
      </c>
      <c r="C17362" t="str">
        <f>IFERROR(__xludf.DUMMYFUNCTION("GOOGLETRANSLATE(B17362, ""es"", ""en"")"),"I like I like")</f>
        <v>I like I like</v>
      </c>
    </row>
    <row r="17363">
      <c r="A17363" s="1">
        <v>5.0</v>
      </c>
      <c r="B17363" s="1" t="s">
        <v>17197</v>
      </c>
      <c r="C17363" t="str">
        <f>IFERROR(__xludf.DUMMYFUNCTION("GOOGLETRANSLATE(B17363, ""es"", ""en"")"),"Outstanding quality high quality device. very versatile and powerful. Easy to use. Q it only would tell the SRES Cecotec is that the sticker pasted on the device because it cost God and help remove are saved. thanks")</f>
        <v>Outstanding quality high quality device. very versatile and powerful. Easy to use. Q it only would tell the SRES Cecotec is that the sticker pasted on the device because it cost God and help remove are saved. thanks</v>
      </c>
    </row>
    <row r="17364">
      <c r="A17364" s="1">
        <v>5.0</v>
      </c>
      <c r="B17364" s="1" t="s">
        <v>17198</v>
      </c>
      <c r="C17364" t="str">
        <f>IFERROR(__xludf.DUMMYFUNCTION("GOOGLETRANSLATE(B17364, ""es"", ""en"")"),"Ines Buy one to test me go favula I measure 1.60 and weight 55kl and I are super-cool me down a little the knees are very cómodos.una week after I ordered 3 for me and 2 more for my daughter and are very happy in the girnasio with them")</f>
        <v>Ines Buy one to test me go favula I measure 1.60 and weight 55kl and I are super-cool me down a little the knees are very cómodos.una week after I ordered 3 for me and 2 more for my daughter and are very happy in the girnasio with them</v>
      </c>
    </row>
    <row r="17365">
      <c r="A17365" s="1">
        <v>5.0</v>
      </c>
      <c r="B17365" s="1" t="s">
        <v>17199</v>
      </c>
      <c r="C17365" t="str">
        <f>IFERROR(__xludf.DUMMYFUNCTION("GOOGLETRANSLATE(B17365, ""es"", ""en"")"),"Good sound Having tried many different microphones in which I have to connect to a sound card to be heard more or less I have decent been amazed with this one I had to connect it to your computer and set 2 parameters and has better sound quality than many"&amp;" others who put sound card, the components are of good quality so more content can not be the only quibble so to speak I found is that every time I turn my computer to work correctly I have to disconnect and reconnect.")</f>
        <v>Good sound Having tried many different microphones in which I have to connect to a sound card to be heard more or less I have decent been amazed with this one I had to connect it to your computer and set 2 parameters and has better sound quality than many others who put sound card, the components are of good quality so more content can not be the only quibble so to speak I found is that every time I turn my computer to work correctly I have to disconnect and reconnect.</v>
      </c>
    </row>
    <row r="17366">
      <c r="A17366" s="1">
        <v>5.0</v>
      </c>
      <c r="B17366" s="1" t="s">
        <v>17200</v>
      </c>
      <c r="C17366" t="str">
        <f>IFERROR(__xludf.DUMMYFUNCTION("GOOGLETRANSLATE(B17366, ""es"", ""en"")"),"Worth moving to the SDD not think this in particular because I could not compare with those of other brands. But changing a conventional hard drive to an SSD is spectacular in terms of speed. Although still remain very expensive compared to convenconales,"&amp;" the truth is that it's worth as the main install disk for the OS.")</f>
        <v>Worth moving to the SDD not think this in particular because I could not compare with those of other brands. But changing a conventional hard drive to an SSD is spectacular in terms of speed. Although still remain very expensive compared to convenconales, the truth is that it's worth as the main install disk for the OS.</v>
      </c>
    </row>
    <row r="17367">
      <c r="A17367" s="1">
        <v>5.0</v>
      </c>
      <c r="B17367" s="1" t="s">
        <v>17201</v>
      </c>
      <c r="C17367" t="str">
        <f>IFERROR(__xludf.DUMMYFUNCTION("GOOGLETRANSLATE(B17367, ""es"", ""en"")"),"Ultra lijeros &lt;div id = ""video-block-RIPDO1ZWREF8B"" class = ""a-section a-spacing-small a-spacing-top mini video-block""&gt; &lt;div tabindex = ""0"" class = ""airy airy-svg vmin-unsupported airy-skin-beacon ""style ="" background-color: rgb (0, 0, 0) positio"&amp;"n: relative; width: 100%; height: 100%; font-size: 0px; overflow: hidden; outline : none; ""&gt; &lt;div class ="" airy-renderer-container ""style ="" position: relative; height: 100%; width: 100%; ""&gt; &lt;video id ="" 14 ""preload ="" auto ""src ="" https://image"&amp;"s-eu.ssl-images-amazon.com/images/I/A18pG-SmTCS.mp4 ""style ="" position: absolute; left: 0px; top: 0px; overflow: hidden; height: 1px; width : 1px; ""&gt; &lt;/ video&gt; &lt;/ div&gt; &lt;div id ="" airy-slate-preload ""style ="" background-color: rgb (0, 0, 0); backgrou"&amp;"nd-image: url (&amp; quot; https: //images-eu.ssl-images-amazon.com/images/I/A1c2N42ODWS.png&amp;quot;); background-size: Contain; background-position: center center; background-repeat: no-repeat; position: absolute; top : 0px; left: 0px; visibility: visible; wid"&amp;"th: 100%; height: 100%; ""&gt; &lt;/ div&gt; &lt;iframe scrolling ="" no ""frameborder ="" 0 ""src ="" about: blank ""style ="" display: none; ""&gt; &lt;/ iframe&gt; &lt;div tabindex ="" - 1 ""class ="" airy-controls-container ""style ="" opacity: 0 ; visibility: hidden; ""&gt; &lt;d"&amp;"iv tabindex ="" - 1 ""class ="" airy-screen-size-toggle airy-fullscreen ""&gt; &lt;/ div&gt; &lt;div tabindex ="" - 1 ""class ="" airy-container-bottom "" &gt; &lt;div tabindex = ""- 1"" class = ""airy-track-bar-spacer-left"" style = ""width: 11px;""&gt; &lt;/ div&gt; &lt;div tabindex"&amp;" = ""- 1"" class = ""airy-play- airy toggle-play ""style ="" width: 12px; margin-right: 12px; ""&gt; &lt;/ div&gt; &lt;div tabindex ="" - 1 ""class ="" airy-audio-elements ""style ="" float: right; width: 34px; ""&gt; &lt;div tabindex ="" - 1 ""class ="" airy-audio-toggle "&amp;"airy-on ""&gt; &lt;/ div&gt; &lt;div tabindex ="" - 1 ""class ="" airy-audio-container ""style = ""opacity: 0; visibility: hidden; ""&gt; &lt;div tabindex ="" - 1 ""class ="" airy-audio-track-bar ""style ="" height: 80%; ""&gt; &lt;div tabindex ="" - 1 ""class ="" airy-audio- Sc"&amp;"rubber-bar ""style ="" height: 85%; ""&gt; &lt;/ div&gt; &lt;div tabindex ="" - 1 ""class ="" airy-audio-scrubber ""style ="" height: 12px; bottom: 85% ""&gt; &lt;/ div&gt; &lt;/ div&gt; &lt;/ div&gt; &lt;/ div&gt; &lt;div tabindex ="" - 1 ""class ="" airy-duration-label ""style ="" float: right;"&amp;" width: 26px; margin-right: 4px; text-align: center; ""&gt; 0:00 &lt;/ div&gt; &lt;div tabindex ="" - 1 ""class ="" airy-track-bar-spacer-right ""style ="" float: right; width: 11px; ""&gt; &lt;/ div&gt; &lt;div tabindex ="" - 1 ""class ="" airy-track-bar-container ""style ="" m"&amp;"argin-left: 35px; margin-right: 75px; ""&gt; &lt;div tabindex ="" - 1 ""class ="" airy-airy-track-bar vertically-centering-table ""&gt; &lt;div tabindex ="" - 1 ""class ="" airy-Vertical-centering- table-cell ""&gt; &lt;div tabindex ="" - 1 ""class ="" airy-track-bar-eleme"&amp;"nts ""&gt; &lt;div tabindex ="" - 1 ""class ="" airy-progress-bar ""&gt; &lt;/ div&gt; &lt;div tabindex = ""- 1"" class = ""airy-scrubber-bar""&gt; &lt;/ div&gt; &lt;div tabindex = ""- 1"" class = ""airy-scrubber""&gt; &lt;div tabindex = ""- 1"" class = ""airy-scrubber- icon ""&gt; &lt;/ div&gt; &lt;di"&amp;"v tabindex ="" - 1 ""class ="" airy-adjusted-AUI-tooltip ""style ="" opacity: 0; visibility: hidden; ""&gt; &lt;div tabindex ="" - 1 ""class ="" airy-adjusted-aui-tooltip-inner ""&gt; &lt;div tabindex ="" - 1 ""class ="" airy-current-time-label ""&gt; 0: 00 &lt;/ div&gt; &lt;/ d"&amp;"iv&gt; &lt;div tabindex = ""- 1"" class = ""airy-adjusted-AUI-arrow-border""&gt; &lt;div tabindex = ""- 1"" class = ""airy-adjusted-AUI-arrow"" &gt; &lt;/ div&gt; &lt;/ div&gt; &lt;/ div&gt; &lt;/ div&gt; &lt;/ div&gt; &lt;/ div&gt; &lt;/ div&gt; &lt;/ div&gt; &lt;/ div&gt; &lt;/ div&gt; &lt;div tabindex = ""- 1"" class = ""airy-ag"&amp;"e-gate airy-stage airy-Vertical-centering-table airy-dialog"" style = ""opacity: 0; visibility: hidden; ""&gt; &lt;div tabindex ="" - 1 ""class ="" airy-age-gate-Vertical-centering-table-cell airy-Vertical-centering-table-cell ""&gt; &lt;div tabindex ="" - 1 ""class "&amp;"= ""airy-Vertical-centering-wrapper airy-age-gate-elements-wrapper""&gt; &lt;div tabindex = ""- 1"" class = ""airy-age-gate-elements airy-dialog-elements""&gt; &lt;div tabindex = "" -1 ""class ="" airy-age-gate-prompt ""&gt; This video is not Intended for all audiences "&amp;"What date were you born &lt;/ div&gt; &lt;div tabindex =.?"" - 1 ""class ="" airy-age-gate -inputs airy-dialog-inner-elements ""&gt; &lt;select tabindex ="" - 1 ""class ="" airy-age-gate-month ""&gt; &lt;option value ="" 1 ""&gt; January &lt;/ option&gt; &lt;option value ="" 2 ""&gt; Februa"&amp;"ry &lt;/ option&gt; &lt;option value ="" 3 ""&gt; March &lt;/ option&gt; &lt;option value ="" 4 ""&gt; April &lt;/ option&gt; &lt;option value ="" 5 ""&gt; May &lt;/ option&gt; &lt;option value = ""6""&gt; June &lt;/ option&gt; &lt;option value = ""7""&gt; July &lt;/ option&gt; &lt;option value = ""8""&gt; August &lt;/ option&gt; &lt;"&amp;"option value = ""9""&gt; September &lt;/ option&gt; &lt;option value = ""10""&gt; October &lt;/ option&gt; &lt;option value = ""11""&gt; November &lt;/ option&gt; &lt;option value = ""12""&gt; December &lt;/ option&gt; &lt;/ select&gt; &lt;select tabindex = ""- 1"" class = ""airy-age-gate-day""&gt; &lt;opti on val"&amp;"ue = ""1""&gt; 1 &lt;/ option&gt; &lt;option value = ""2""&gt; 2 &lt;/ option&gt; &lt;option value = ""3""&gt; 3 &lt;/ option&gt; &lt;option value = ""4""&gt; 4 &lt;/ option &gt; &lt;option value = ""5""&gt; 5 &lt;/ option&gt; &lt;option value = ""6""&gt; 6 &lt;/ option&gt; &lt;option value = ""7""&gt; 7 &lt;/ option&gt; &lt;option value"&amp;" = ""8""&gt; 8 &lt; / option&gt; &lt;option value = ""9""&gt; 9 &lt;/ option&gt; &lt;option value = ""10""&gt; 10 &lt;/ option&gt; &lt;option value = ""11""&gt; 11 &lt;/ option&gt; &lt;option value = ""12""&gt; 12 &lt;/ option&gt; &lt;option value = ""13""&gt; 13 &lt;/ option&gt; &lt;option value = ""14""&gt; 14 &lt;/ option&gt; &lt;opti"&amp;"on value = ""15""&gt; 15 &lt;/ option&gt; &lt;option value = ""16 ""&gt; 16 &lt;/ option&gt; &lt;option value ="" 17 ""&gt; 17 &lt;/ option&gt; &lt;option value ="" 18 ""&gt; 18 &lt;/ option&gt; &lt;option value ="" 19 ""&gt; 19 &lt;/ option&gt; &lt;option value = ""20""&gt; 20 &lt;/ option&gt; &lt;option value = ""21""&gt; 21 &lt;"&amp;"/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optio"&amp;"n value = ""2018""&gt; 2018 &lt;/ option&gt; &lt;option value = ""2017""&gt; 2017 &lt;/ option&gt; &lt;option value = ""2016""&gt; ​​2016 &lt;/ option&gt; &lt;option value = ""2015""&gt; 2015 &lt;/ option &gt; &lt;option value = ""2014""&gt; 2014 &lt;/ option&gt; &lt;option value = ""2013""&gt; 2013 &lt;/ option&gt; &lt;optio"&amp;"n value = ""2012""&gt; 2012 &lt;/ option&gt; &lt;option value = ""2011""&gt; 2011 &lt; / option&gt; &lt;option value = ""2010""&gt; 2010 &lt;/ option&gt; &lt;option value = ""2009""&gt; 2009 &lt;/ option&gt; &lt;option value = ""2008""&gt; 2008 &lt;/ option&gt; &lt;option value = ""2007""&gt; 2007 &lt;/ option&gt; &lt;option "&amp;"value = ""2006""&gt; 2006 &lt;/ option&gt; &lt;option value = ""2005""&gt; 2005 &lt;/ option&gt; &lt;option value = ""2004""&gt; 2004 &lt;/ option&gt; &lt;option value = ""2003 ""&gt; 2003 &lt;/ option&gt; &lt;option value ="" 2002 ""&gt; 2002 &lt;/ option&gt; &lt;option value ="" 2001 ""&gt; 2001 &lt;/ option&gt; &lt;option "&amp;"value ="" 2000 ""&gt; 2000 &lt;/ option&gt; &lt;option value = ""1999""&gt; 1999 &lt;/ option&gt; &lt;option value = ""1998""&gt; 1998 &lt;/ option&gt; &lt;option value = ""1997""&gt; 1997 &lt;/ option&gt; &lt;option value = ""1996""&gt; 1996 &lt;/ option&gt; &lt;option value = ""1995""&gt; 1995 &lt;/ option&gt; &lt;option va"&amp;"lue = ""1994""&gt; 1994 &lt;/ option&gt; &lt;option value = ""1993""&gt; 1993 &lt;/ option&gt; &lt;option value = ""1992""&gt; 1992 &lt;/ option&gt; &lt;option value = ""1991""&gt; 1991 &lt;/ option&gt; &lt;option value = ""1990""&gt; 1990 &lt;/ option&gt; &lt;option value = "" 1989 ""&gt; 1989 &lt;/ option&gt; &lt;option val"&amp;"ue ="" 1988 ""&gt; 1988 &lt;/ option&gt; &lt;option value ="" 1987 ""&gt; 1987 &lt;/ option&gt; &lt;option value ="" 1986 ""&gt; 1986 &lt;/ option&gt; &lt;value option = ""1985""&gt; 1985 &lt;/ option&gt; &lt;option value = ""1984""&gt; 1984 &lt;/ option&gt; &lt;option value = ""1983""&gt; 1983 &lt;/ option&gt; &lt;option val"&amp;"ue = ""1982""&gt; 1982 &lt;/ option&gt; &lt; option value = ""1981""&gt; 1981 &lt;/ option&gt; &lt;option value = ""1980""&gt; 1980 &lt;/ option&gt; &lt;option value = ""1979""&gt; 1979 &lt;/ option&gt; &lt;option value = ""1978""&gt; 1978 &lt;/ option &gt; &lt;option value = ""1977""&gt; 1977 &lt;/ option&gt; &lt;option valu"&amp;"e = ""1976""&gt; 1976 &lt;/ option&gt; &lt;option value = ""1975""&gt; 1975 &lt;/ option&gt; &lt;option value = ""1974""&gt; 1974 &lt; / option&gt; &lt;option value = ""1973""&gt; 1973 &lt;/ option&gt; &lt;option value = ""1972""&gt; 1972 &lt;/ option&gt; &lt;option value = ""1971""&gt; 1971 &lt;/ option&gt; &lt;option value "&amp;"= ""1970""&gt;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="&amp;" ""1958""&gt; 1958 &lt;/ option&gt; &lt;option value = ""1957""&gt; 1957 &lt;/ option&gt; &lt;option value = ""1956""&gt; 1956 &lt;/ option&gt; &lt;option value = ""1955""&gt; 1955 &lt;/ option&gt; &lt;option value = ""1954""&gt; 1954 &lt;/ option&gt; &lt;option value = ""1953""&gt; 1953 &lt;/ option&gt; &lt;option value = """&amp;"1952""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&lt;value option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""1"&amp;"928""&gt;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""1916""&gt;"&amp;" 1916 &lt;/ option&gt; &lt;option value = ""1915"" &gt; 1915 &lt;/ option&gt; &lt;option value = ""1914""&gt; 1914 &lt;/ option&gt; &lt;option value = ""1913""&gt; 1913 &lt;/ option&gt; &lt;option value = ""1912""&gt; 1912 &lt;/ option&gt; &lt;option value = "" 1911 ""&gt; 1911 &lt;/ option&gt; &lt;option value ="" 1910 """&amp;"&gt; 1910 &lt;/ option&gt; &lt;option value ="" 1909 ""&gt; 1909 &lt;/ option&gt; &lt;option value ="" 1908 ""&gt; 1908 &lt;/ option&gt; &lt;value option = ""1907""&gt; 1907 &lt;/ option&gt; &lt;option value = ""1906""&gt; 1906 &lt;/ option&gt; &lt;option value = ""1905""&gt; 1905 &lt;/ option&gt; &lt;option value = ""1904""&gt;"&amp;" 1904 &lt;/ option&gt; &lt; option value = ""1903""&gt; 1903 &lt;/ option&gt; &lt;option value = ""1902""&gt; 1902 &lt;/ option&gt; &lt;option value = ""1901""&gt; 19 01 &lt;/ option&gt; &lt;option value = ""1900""&gt; 1900 &lt;/ option&gt; &lt;/ select&gt; &lt;div tabindex = ""- 1"" class = ""airy-age-gate-submit ai"&amp;"ry-submit-button airy airy-submit- disabled ""&gt; Submit &lt;/ div&gt; &lt;/ div&gt; &lt;/ div&gt; &lt;/ div&gt; &lt;/ div&gt; &lt;/ div&gt; &lt;div tabindex ="" - 1 ""class ="" airy-install-flash-dialog airy-stage airy -vertical-centering-table-dialog airy airy-denied ""style ="" opacity: 0; vi"&amp;"sibility: hidden; ""&gt; &lt;div tabindex ="" - 1 ""class ="" airy-install-flash-Vertical-centering-table-cell airy-Vertical-centering-table-cell ""&gt; &lt;div tabindex ="" - 1 ""class = ""airy-Vertical-centering-wrapper airy-install-flash-elements-wrapper""&gt; &lt;div t"&amp;"abindex = ""- 1"" class = ""airy-install-flash-elements airy-dialog-elements""&gt; &lt;div tabindex = "" -1 ""class ="" airy-install-flash-prompt ""&gt; Adobe Flash Player is required to watch this video &lt;/ div&gt; &lt;div tabindex =."" - 1 ""class ="" airy-install-flas"&amp;"h-button-wrapper airy -dialog-inner-elements ""&gt; &lt;div tabindex ="" - 1 ""class ="" airy-install-flash-button airy-button ""&gt; install Flash Player &lt;/ div&gt; &lt;/ div&gt; &lt;/ div&gt; &lt;/ div&gt; &lt;/ div&gt; &lt;/ div&gt; &lt;div tabindex = ""- 1"" class = ""airy-video-unsupported-dial"&amp;"og airy-stage airy-Vertical-centering-table airy-dialog airy-denied"" style = ""opacity: 0; visibility: hidden; ""&gt; &lt;div tabindex ="" - 1 ""class ="" airy-video-unsupported-Vertical-centering-table-cell airy-Vertical-centering-table-cell ""&gt; &lt;div tabindex"&amp;" ="" - 1 ""class = ""airy-Vertical-centering-wrapper airy-video-unsupported-elements-wrapper""&gt; &lt;div tabindex = ""- 1"" class = ""airy-video-unsupported-elements airy-dialog-elements""&gt; &lt;div tabindex = "" -1 ""class ="" airy-video-unsupported-prompt ""&gt; &lt;"&amp;"/ 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""v"&amp;"isibility: hidden;""&gt; &lt;/ div&gt; &lt;/ div&gt; &lt;/ div&gt; &lt;/ div&gt; &lt;div tabindex = ""- 1 ""class ="" airy-ads-screen-size-toggle airy-screen-size-toggle-fullscreen airy ""style ="" visibility: hidden; ""&gt; &lt;/ div&gt; &lt;div tabindex = ""-1"" class = ""airy-ad-prompt-contain"&amp;"er"" style = ""visibility: hidden;""&gt; &lt;div tabindex = ""- 1"" class = ""airy-ad-prompt-Vertical-centering-table-vertically airy centering-table ""&gt; &lt;div tabindex ="" - 1 ""class ="" airy-ad-prompt-Vertical-centering-table-cell airy-Vertical-centering-tabl"&amp;"e-cell ""&gt; &lt;div tabindex ="" - 1 ""class = ""airy-ad-prompt-label""&gt; &lt;/ div&gt; &lt;/ div&gt; &lt;/ div&gt; &lt;/ div&gt; &lt;div tabindex = ""- 1"" class = ""airy-ads-controls-container"" style = ""visibility: hidden; ""&gt; &lt;div tabindex ="" - 1 ""class ="" airy-ads-audio-toggle "&amp;"airy-audio-toggle airy-on ""style ="" visibility: hidden; ""&gt; &lt;/ div&gt; &lt;div tabindex ="" - 1 ""class ="" airy-time-remaining-label-container ""&gt; &lt;div tabindex ="" - 1 ""class ="" airy-time-remaining-Vertical-centering-table airy-Vertical-centering-table """&amp;"&gt; &lt;div tabindex = ""- 1"" class = ""airy-time-remaining-Vertical-centering-table-cell airy-Vertical-centering-table-cell""&gt; &lt;div tabindex = ""- 1"" class = ""airy-Vertical-centering-wrapper airy-time-remaining-label-wrapper ""&gt; &lt;div tabindex ="" - 1 ""cla"&amp;"ss ="" airy-time-remaining-label ""style ="" visibility: hidden; ""&gt; &lt;/ div&gt; &lt;div tabi ndex = ""- 1"" class = ""airy-ad-skip"" style = ""visibility: hidden;""&gt; &lt;/ div&gt; &lt;div tabindex = ""- 1"" class = ""airy-ad-end"" style = ""visibility: hidden ""&gt; &lt;/ div"&amp;"&gt; &lt;/ div&gt; &lt;/ div&gt; &lt;/ div&gt; &lt;/ div&gt; &lt;div tabindex ="" - 1 ""class ="" airy-learn-more ""style ="" visibility: hidden; ""&gt; &lt;/ div&gt; &lt;/ div&gt; &lt;div tabindex = ""- 1"" class = ""airy-play-toggle-hint-stage airy-stage airy-cursor""&gt; &lt;div tabindex = ""- 1"" class ="&amp;" ""airy-play -toggle-hint-Vertical-centering-table-cell airy-Vertical-centering-table-cell airy-cursor ""&gt; &lt;div tabindex ="" - 1 ""class ="" airy-play-toggle-hint-container airy-scalable- Hint-container ""&gt; &lt;div tabindex ="" - 1 ""class ="" airy-play-togg"&amp;"le-hint-dummy airy-scalable-dummy ""&gt; &lt;/ div&gt; &lt;div tabindex ="" - 1 ""class ="" airy-play -toggle-hint hint airy-airy-play-hint ""style ="" opacity: 1; visibility: visible; ""&gt; &lt;/ div&gt; &lt;/ div&gt; &lt;/ div&gt; &lt;/ div&gt; &lt;div tabindex ="" - 1 ""class ="" airy-replay-"&amp;"hint-stage airy-stage ""style ="" visibility: hidden ; ""&gt; &lt;div tabindex ="" - 1 ""class ="" airy-replay-hint-Vertical-centering-table-cell airy-Vertical-centering-table-cell airy-cursor ""&gt; &lt;div tabindex ="" - 1 ""class = ""airy-replay-hint-container air"&amp;"y-scalable-hint-container""&gt; &lt;div tabindex = ""- 1"" class = ""airy-replay-hint-dummy airy-scalable-dummy""&gt; &lt;/ div&gt; &lt;div tabindex = ""- 1"" class = ""airy-replay-hint airy-hint""&gt; &lt;/ div&gt; &lt;/ div&gt; &lt;/ div&gt; &lt;/ div&gt; &lt;div tabindex = ""- 1"" class = ""airy-aut"&amp;"oplay-hint -stage airy-stage ""style ="" visibility: hidden; ""&gt; &lt;div tabindex ="" - 1 ""class ="" airy-autoplay-hint-Vertical-centering-table-cell airy-Vertical-centering-table-cell airy- cursor ""&gt; &lt;div tabindex ="" - 1 ""class ="" autoplay airy-airy-hi"&amp;"nt-container-scalable-hint-container ""&gt; &lt;div tabindex ="" - 1 ""class ="" airy-autoplay-hint-dummy airy- scalable-dummy ""&gt; &lt;/ div&gt; &lt;/ div&gt; &lt;/ div&gt; &lt;/ div&gt; &lt;/ div&gt; &lt;/ div&gt; &lt;input type ="" hidden ""name ="" ""value ="" https: // images-eu .ssl-images-amaz"&amp;"on.com / images / I / A18pG-SmTCS.mp4 ""Class ="" video-url ""&gt; &lt;input type ="" hidden ""name ="" ""value ="" https://images-eu.ssl-images-amazon.com/images/I/A1c2N42ODWS.png ""class ="" video-slate-img-url ""&gt; &amp; nbsp; very fast delivery. At first glance "&amp;"nothing caught my attention receive their size, I thought it would be an inconvenience but at all, I was impressed with the catch weight successfully are ultra lijeros. Once loaded went to try runing in a session and checked all functions, very good sound"&amp;", adapting to the ear, lijeros and do not move at all. The truth is that very pleased with this purchase")</f>
        <v>Ultra lijeros &lt;div id = "video-block-RIPDO1ZWREF8B"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14 "preload =" auto "src =" https://images-eu.ssl-images-amazon.com/images/I/A18pG-SmTCS.mp4 "style =" position: absolute; left: 0px; top: 0px; overflow: hidden; height: 1px; width : 1px; "&gt; &lt;/ video&gt; &lt;/ div&gt; &lt;div id =" airy-slate-preload "style =" background-color: rgb (0, 0, 0); background-image: url (&amp; quot; https: //images-eu.ssl-images-amazon.com/images/I/A1c2N42ODWS.png&amp;quot;); background-size: Contain; background-position: center center; background-repeat: no-repeat; position: absolute; top : 0px; left: 0px; visibility: visible; width: 100%; height: 100%; "&gt; &lt;/ div&gt; &lt;iframe scrolling =" no "frameborder =" 0 "src =" about: blank "style =" display: none; "&gt; &lt;/ iframe&gt; &lt;div tabindex =" - 1 "class =" airy-controls-container "style =" opacity: 0 ;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A18pG-SmTCS.mp4 "Class =" video-url "&gt; &lt;input type =" hidden "name =" "value =" https://images-eu.ssl-images-amazon.com/images/I/A1c2N42ODWS.png "class =" video-slate-img-url "&gt; &amp; nbsp; very fast delivery. At first glance nothing caught my attention receive their size, I thought it would be an inconvenience but at all, I was impressed with the catch weight successfully are ultra lijeros. Once loaded went to try runing in a session and checked all functions, very good sound, adapting to the ear, lijeros and do not move at all. The truth is that very pleased with this purchase</v>
      </c>
    </row>
    <row r="17368">
      <c r="A17368" s="1">
        <v>5.0</v>
      </c>
      <c r="B17368" s="1" t="s">
        <v>17202</v>
      </c>
      <c r="C17368" t="str">
        <f>IFERROR(__xludf.DUMMYFUNCTION("GOOGLETRANSLATE(B17368, ""es"", ""en"")"),"Quality Good Quality. Running shoes lifelong, keeping style, comfort but above all quality. Good buy.")</f>
        <v>Quality Good Quality. Running shoes lifelong, keeping style, comfort but above all quality. Good buy.</v>
      </c>
    </row>
    <row r="17369">
      <c r="A17369" s="1">
        <v>5.0</v>
      </c>
      <c r="B17369" s="1" t="s">
        <v>17203</v>
      </c>
      <c r="C17369" t="str">
        <f>IFERROR(__xludf.DUMMYFUNCTION("GOOGLETRANSLATE(B17369, ""es"", ""en"")"),"Micro.para house Micro has a more than acceptable quality for home consumption. Nobody thinks that is a shure or sengeiser, but the price can not be compared. If you want for your recordings, broadcasts or playing online, it's perfect. For professional is"&amp;"sues I think you have to keep releasing ""some more money.")</f>
        <v>Micro.para house Micro has a more than acceptable quality for home consumption. Nobody thinks that is a shure or sengeiser, but the price can not be compared. If you want for your recordings, broadcasts or playing online, it's perfect. For professional issues I think you have to keep releasing "some more money.</v>
      </c>
    </row>
    <row r="17370">
      <c r="A17370" s="1">
        <v>5.0</v>
      </c>
      <c r="B17370" s="1" t="s">
        <v>17204</v>
      </c>
      <c r="C17370" t="str">
        <f>IFERROR(__xludf.DUMMYFUNCTION("GOOGLETRANSLATE(B17370, ""es"", ""en"")"),"Marta are some nice tights and feel very bien.Yo took the XL and the rather high waist be holding me well and I favor the gut, very happy verdad.Estoy")</f>
        <v>Marta are some nice tights and feel very bien.Yo took the XL and the rather high waist be holding me well and I favor the gut, very happy verdad.Estoy</v>
      </c>
    </row>
    <row r="17371">
      <c r="A17371" s="1">
        <v>5.0</v>
      </c>
      <c r="B17371" s="1" t="s">
        <v>17205</v>
      </c>
      <c r="C17371" t="str">
        <f>IFERROR(__xludf.DUMMYFUNCTION("GOOGLETRANSLATE(B17371, ""es"", ""en"")"),"Comfortable shoes, good price, is for an older man with difficulty buttoning the shoe as being very comfortable Velcro for.")</f>
        <v>Comfortable shoes, good price, is for an older man with difficulty buttoning the shoe as being very comfortable Velcro for.</v>
      </c>
    </row>
    <row r="17372">
      <c r="A17372" s="1">
        <v>5.0</v>
      </c>
      <c r="B17372" s="1" t="s">
        <v>17206</v>
      </c>
      <c r="C17372" t="str">
        <f>IFERROR(__xludf.DUMMYFUNCTION("GOOGLETRANSLATE(B17372, ""es"", ""en"")"),"Perfect basic design")</f>
        <v>Perfect basic design</v>
      </c>
    </row>
    <row r="17373">
      <c r="A17373" s="1">
        <v>5.0</v>
      </c>
      <c r="B17373" s="1" t="s">
        <v>17207</v>
      </c>
      <c r="C17373" t="str">
        <f>IFERROR(__xludf.DUMMYFUNCTION("GOOGLETRANSLATE(B17373, ""es"", ""en"")"),"Functions as it has to work and is very stable structure is solid, and the microphone is perfectly hold the clamp to the table is solid, although expected to support itself rotase slightly looser, in stability, sometimes you you have to push a bit the scr"&amp;"ew (1 time in 3 months) the finish is great and is very resultón if you wind a bit different cable through it.")</f>
        <v>Functions as it has to work and is very stable structure is solid, and the microphone is perfectly hold the clamp to the table is solid, although expected to support itself rotase slightly looser, in stability, sometimes you you have to push a bit the screw (1 time in 3 months) the finish is great and is very resultón if you wind a bit different cable through it.</v>
      </c>
    </row>
    <row r="17374">
      <c r="A17374" s="1">
        <v>5.0</v>
      </c>
      <c r="B17374" s="1" t="s">
        <v>17208</v>
      </c>
      <c r="C17374" t="str">
        <f>IFERROR(__xludf.DUMMYFUNCTION("GOOGLETRANSLATE(B17374, ""es"", ""en"")"),"Good buy at this price I would consider a smart band with very good presence. It provides advisories for various applications but can not perform control over them. you can only view the application notifications. I have not yet used sports functionalitie"&amp;"s so I can not comment. Otherwise fulfilled. Making a basic use of the clock and squeezing have reached the maximum 17 days battery. Today we charge for the second time since the initial charge. This, to me, is the aspect that is appreciated this watch. D"&amp;"oes not provide the versatility of features from other models and brands, but let me know what I need, you are what is expected of a standard clock and I'm not aware of your battery every two or three days. I give it five stars because it was aware of wha"&amp;"t this device offers, on the other hand, is the price you (away from the 200 or 300 euros asking for others). So you get what you pay for. Good buy knowing what you're buying. Do not expect more for what you're paying.")</f>
        <v>Good buy at this price I would consider a smart band with very good presence. It provides advisories for various applications but can not perform control over them. you can only view the application notifications. I have not yet used sports functionalities so I can not comment. Otherwise fulfilled. Making a basic use of the clock and squeezing have reached the maximum 17 days battery. Today we charge for the second time since the initial charge. This, to me, is the aspect that is appreciated this watch. Does not provide the versatility of features from other models and brands, but let me know what I need, you are what is expected of a standard clock and I'm not aware of your battery every two or three days. I give it five stars because it was aware of what this device offers, on the other hand, is the price you (away from the 200 or 300 euros asking for others). So you get what you pay for. Good buy knowing what you're buying. Do not expect more for what you're paying.</v>
      </c>
    </row>
    <row r="17375">
      <c r="A17375" s="1">
        <v>5.0</v>
      </c>
      <c r="B17375" s="1" t="s">
        <v>17209</v>
      </c>
      <c r="C17375" t="str">
        <f>IFERROR(__xludf.DUMMYFUNCTION("GOOGLETRANSLATE(B17375, ""es"", ""en"")"),"Precious and precious phenomenal feel, should keep a cap on the hook because we have long hair is hooked and can lose is the only downside")</f>
        <v>Precious and precious phenomenal feel, should keep a cap on the hook because we have long hair is hooked and can lose is the only downside</v>
      </c>
    </row>
    <row r="17376">
      <c r="A17376" s="1">
        <v>2.0</v>
      </c>
      <c r="B17376" s="1" t="s">
        <v>17210</v>
      </c>
      <c r="C17376" t="str">
        <f>IFERROR(__xludf.DUMMYFUNCTION("GOOGLETRANSLATE(B17376, ""es"", ""en"")"),"Very nice but bad experience very poor quality, a week to have it and use it daily the strap broke. Terrible do not recommend it.")</f>
        <v>Very nice but bad experience very poor quality, a week to have it and use it daily the strap broke. Terrible do not recommend it.</v>
      </c>
    </row>
    <row r="17377">
      <c r="A17377" s="1">
        <v>3.0</v>
      </c>
      <c r="B17377" s="1" t="s">
        <v>17211</v>
      </c>
      <c r="C17377" t="str">
        <f>IFERROR(__xludf.DUMMYFUNCTION("GOOGLETRANSLATE(B17377, ""es"", ""en"")"),"Two meters short is too short to play.")</f>
        <v>Two meters short is too short to play.</v>
      </c>
    </row>
    <row r="17378">
      <c r="A17378" s="1">
        <v>1.0</v>
      </c>
      <c r="B17378" s="1" t="s">
        <v>17212</v>
      </c>
      <c r="C17378" t="str">
        <f>IFERROR(__xludf.DUMMYFUNCTION("GOOGLETRANSLATE(B17378, ""es"", ""en"")"),"Tara have. Hi, I have spent about 10 years at least using this model and these socks can confirm that they have a defect, not if they are just the ones I came to my or all. But of course that part of the ankle is smaller, and that I am very skinny and wha"&amp;"tever I tightened so much that hurt me. I not return them because I have already opened to wear them. A pity, but certainly not buy again.")</f>
        <v>Tara have. Hi, I have spent about 10 years at least using this model and these socks can confirm that they have a defect, not if they are just the ones I came to my or all. But of course that part of the ankle is smaller, and that I am very skinny and whatever I tightened so much that hurt me. I not return them because I have already opened to wear them. A pity, but certainly not buy again.</v>
      </c>
    </row>
    <row r="17379">
      <c r="A17379" s="1">
        <v>1.0</v>
      </c>
      <c r="B17379" s="1" t="s">
        <v>17213</v>
      </c>
      <c r="C17379" t="str">
        <f>IFERROR(__xludf.DUMMYFUNCTION("GOOGLETRANSLATE(B17379, ""es"", ""en"")"),"Poor quality is taking off part of the back before the USB. or hitting")</f>
        <v>Poor quality is taking off part of the back before the USB. or hitting</v>
      </c>
    </row>
    <row r="17380">
      <c r="A17380" s="1">
        <v>4.0</v>
      </c>
      <c r="B17380" s="1" t="s">
        <v>17214</v>
      </c>
      <c r="C17380" t="str">
        <f>IFERROR(__xludf.DUMMYFUNCTION("GOOGLETRANSLATE(B17380, ""es"", ""en"")"),"Quality recommended good price, I do not know how much it will take to get ugly but the price is right")</f>
        <v>Quality recommended good price, I do not know how much it will take to get ugly but the price is right</v>
      </c>
    </row>
    <row r="17381">
      <c r="A17381" s="1">
        <v>4.0</v>
      </c>
      <c r="B17381" s="1" t="s">
        <v>17215</v>
      </c>
      <c r="C17381" t="str">
        <f>IFERROR(__xludf.DUMMYFUNCTION("GOOGLETRANSLATE(B17381, ""es"", ""en"")"),"I love what I was looking for. Very good.")</f>
        <v>I love what I was looking for. Very good.</v>
      </c>
    </row>
    <row r="17382">
      <c r="A17382" s="1">
        <v>4.0</v>
      </c>
      <c r="B17382" s="1" t="s">
        <v>17216</v>
      </c>
      <c r="C17382" t="str">
        <f>IFERROR(__xludf.DUMMYFUNCTION("GOOGLETRANSLATE(B17382, ""es"", ""en"")"),"I bought this acceptable hard disk hard drive capacity and price. Transfer speeds are acceptable, not very fast, but not too slow, I use it as storage for photos and videos and well. The main problem I see is that heat dissipation shines by its absence, t"&amp;"he hard drive is plastic and heated. Transporting the hard drive is perfect, lightweight and does not need a power cord. Overall, I'm happy with the purchase.")</f>
        <v>I bought this acceptable hard disk hard drive capacity and price. Transfer speeds are acceptable, not very fast, but not too slow, I use it as storage for photos and videos and well. The main problem I see is that heat dissipation shines by its absence, the hard drive is plastic and heated. Transporting the hard drive is perfect, lightweight and does not need a power cord. Overall, I'm happy with the purchase.</v>
      </c>
    </row>
    <row r="17383">
      <c r="A17383" s="1">
        <v>4.0</v>
      </c>
      <c r="B17383" s="1" t="s">
        <v>17217</v>
      </c>
      <c r="C17383" t="str">
        <f>IFERROR(__xludf.DUMMYFUNCTION("GOOGLETRANSLATE(B17383, ""es"", ""en"")"),"Ok Comodo")</f>
        <v>Ok Comodo</v>
      </c>
    </row>
    <row r="17384">
      <c r="A17384" s="1">
        <v>5.0</v>
      </c>
      <c r="B17384" s="1" t="s">
        <v>17218</v>
      </c>
      <c r="C17384" t="str">
        <f>IFERROR(__xludf.DUMMYFUNCTION("GOOGLETRANSLATE(B17384, ""es"", ""en"")"),"superb quality I opted for this brand and this particular model and the truth that has not disappointed at all, speed recording image data with the camera memory réflex.Amplia")</f>
        <v>superb quality I opted for this brand and this particular model and the truth that has not disappointed at all, speed recording image data with the camera memory réflex.Amplia</v>
      </c>
    </row>
    <row r="17385">
      <c r="A17385" s="1">
        <v>5.0</v>
      </c>
      <c r="B17385" s="1" t="s">
        <v>17219</v>
      </c>
      <c r="C17385" t="str">
        <f>IFERROR(__xludf.DUMMYFUNCTION("GOOGLETRANSLATE(B17385, ""es"", ""en"")"),"They are pretty good quality and good quality.")</f>
        <v>They are pretty good quality and good quality.</v>
      </c>
    </row>
    <row r="17386">
      <c r="A17386" s="1">
        <v>5.0</v>
      </c>
      <c r="B17386" s="1" t="s">
        <v>17220</v>
      </c>
      <c r="C17386" t="str">
        <f>IFERROR(__xludf.DUMMYFUNCTION("GOOGLETRANSLATE(B17386, ""es"", ""en"")"),"Mouse Love")</f>
        <v>Mouse Love</v>
      </c>
    </row>
    <row r="17387">
      <c r="A17387" s="1">
        <v>5.0</v>
      </c>
      <c r="B17387" s="1" t="s">
        <v>17221</v>
      </c>
      <c r="C17387" t="str">
        <f>IFERROR(__xludf.DUMMYFUNCTION("GOOGLETRANSLATE(B17387, ""es"", ""en"")"),"Talla accurate beautiful and comfortable, beautiful and comfortable.")</f>
        <v>Talla accurate beautiful and comfortable, beautiful and comfortable.</v>
      </c>
    </row>
    <row r="17388">
      <c r="A17388" s="1">
        <v>5.0</v>
      </c>
      <c r="B17388" s="1" t="s">
        <v>17222</v>
      </c>
      <c r="C17388" t="str">
        <f>IFERROR(__xludf.DUMMYFUNCTION("GOOGLETRANSLATE(B17388, ""es"", ""en"")"),"colored socks. Hello! The socks are as I expected, because I having a foot 43, picked up to size 42 and so remain as I like to bring to me are straight. The colors are great I like them all. Someday I wear one of each color and that multiplies the options"&amp;" one .Positivo rare .Quizás opinion entirely with that percentage of cotton foot perspires much better than those who are totally synthetic.")</f>
        <v>colored socks. Hello! The socks are as I expected, because I having a foot 43, picked up to size 42 and so remain as I like to bring to me are straight. The colors are great I like them all. Someday I wear one of each color and that multiplies the options one .Positivo rare .Quizás opinion entirely with that percentage of cotton foot perspires much better than those who are totally synthetic.</v>
      </c>
    </row>
    <row r="17389">
      <c r="A17389" s="1">
        <v>5.0</v>
      </c>
      <c r="B17389" s="1" t="s">
        <v>17223</v>
      </c>
      <c r="C17389" t="str">
        <f>IFERROR(__xludf.DUMMYFUNCTION("GOOGLETRANSLATE(B17389, ""es"", ""en"")"),"Cleaning efficiency and great product Product 5stars I was amazed cleaning efficiency, very little noise Maybe it was seen as going through the step of a cm from the kitchen. The app is very easy to install and operate ... Another thing is how easy it is "&amp;"to leave other places where k and had were not able to leave without alluda. The variety of accessories that brings impressive thing is that others do not bring. In order to perfect a product.")</f>
        <v>Cleaning efficiency and great product Product 5stars I was amazed cleaning efficiency, very little noise Maybe it was seen as going through the step of a cm from the kitchen. The app is very easy to install and operate ... Another thing is how easy it is to leave other places where k and had were not able to leave without alluda. The variety of accessories that brings impressive thing is that others do not bring. In order to perfect a product.</v>
      </c>
    </row>
    <row r="17390">
      <c r="A17390" s="1">
        <v>5.0</v>
      </c>
      <c r="B17390" s="1" t="s">
        <v>17224</v>
      </c>
      <c r="C17390" t="str">
        <f>IFERROR(__xludf.DUMMYFUNCTION("GOOGLETRANSLATE(B17390, ""es"", ""en"")"),"3 pairs of small silver earrings 3 pairs of earrings come. 2 4mm, 3mm 2 and 2 of 2 mm. 925. seal has not been black since I have created or allergy.")</f>
        <v>3 pairs of small silver earrings 3 pairs of earrings come. 2 4mm, 3mm 2 and 2 of 2 mm. 925. seal has not been black since I have created or allergy.</v>
      </c>
    </row>
    <row r="17391">
      <c r="A17391" s="1">
        <v>5.0</v>
      </c>
      <c r="B17391" s="1" t="s">
        <v>17225</v>
      </c>
      <c r="C17391" t="str">
        <f>IFERROR(__xludf.DUMMYFUNCTION("GOOGLETRANSLATE(B17391, ""es"", ""en"")"),"Comfy while you're away from home and effective pain relieving Everything you need to know about Thermacare is reflected in the accompanying photograph. You have to consider mainly, which is indicated to relieve pain and muscle fatigue. But does not solve"&amp;" back problems or joint. If you suffer pain beyond those produced by fatigue, work or some specific activity, you should go to your doctor to diagnose you properly. That said, in our case has been helpful to relieve lumbar discomfort of my wife. At home y"&amp;"ou can put a heating pad, but at work or in the car no. And therein lies mainly Thermacare effectiveness in its portability. It is thin enough to not disturb under clothing and does not require cables. It puts when you have a crisis before leaving home an"&amp;"d takes him until he returns at night. It will not cure your problem, but it relieves pain and allows you to develop your professional work with some normalcy. That alone justifies spending (which incidentally while we use it and paying for it) and I can "&amp;"only speak well of a product already known before. The price is slightly better than the pharmacy of the neighborhood and well worth take with you on the road or in the car.")</f>
        <v>Comfy while you're away from home and effective pain relieving Everything you need to know about Thermacare is reflected in the accompanying photograph. You have to consider mainly, which is indicated to relieve pain and muscle fatigue. But does not solve back problems or joint. If you suffer pain beyond those produced by fatigue, work or some specific activity, you should go to your doctor to diagnose you properly. That said, in our case has been helpful to relieve lumbar discomfort of my wife. At home you can put a heating pad, but at work or in the car no. And therein lies mainly Thermacare effectiveness in its portability. It is thin enough to not disturb under clothing and does not require cables. It puts when you have a crisis before leaving home and takes him until he returns at night. It will not cure your problem, but it relieves pain and allows you to develop your professional work with some normalcy. That alone justifies spending (which incidentally while we use it and paying for it) and I can only speak well of a product already known before. The price is slightly better than the pharmacy of the neighborhood and well worth take with you on the road or in the car.</v>
      </c>
    </row>
    <row r="17392">
      <c r="A17392" s="1">
        <v>5.0</v>
      </c>
      <c r="B17392" s="1" t="s">
        <v>17226</v>
      </c>
      <c r="C17392" t="str">
        <f>IFERROR(__xludf.DUMMYFUNCTION("GOOGLETRANSLATE(B17392, ""es"", ""en"")"),"With excellent've I brushed all home doors installing parquet without any problems")</f>
        <v>With excellent've I brushed all home doors installing parquet without any problems</v>
      </c>
    </row>
    <row r="17393">
      <c r="A17393" s="1">
        <v>5.0</v>
      </c>
      <c r="B17393" s="1" t="s">
        <v>17227</v>
      </c>
      <c r="C17393" t="str">
        <f>IFERROR(__xludf.DUMMYFUNCTION("GOOGLETRANSLATE(B17393, ""es"", ""en"")"),"Comfortable, beautiful, carved small. The've bought for my twelve year old daughter, I ordered a size too, from my experience with this brand carving small, are beautiful and very comfortable, gorgeous light blue, finally, I recommend them. Price .. what "&amp;"usually cost the this brand.")</f>
        <v>Comfortable, beautiful, carved small. The've bought for my twelve year old daughter, I ordered a size too, from my experience with this brand carving small, are beautiful and very comfortable, gorgeous light blue, finally, I recommend them. Price .. what usually cost the this brand.</v>
      </c>
    </row>
    <row r="17394">
      <c r="A17394" s="1">
        <v>5.0</v>
      </c>
      <c r="B17394" s="1" t="s">
        <v>17228</v>
      </c>
      <c r="C17394" t="str">
        <f>IFERROR(__xludf.DUMMYFUNCTION("GOOGLETRANSLATE(B17394, ""es"", ""en"")"),"Just what I wanted. I like Crocs because they adapt perfectly to the foot, with fine round tip. I needed a shoe and slip this model meets the requirement perfectly. It is a closed footwear and summer may be too hot but in that case I'll buy a pair of sand"&amp;"als. Crocs, of course!")</f>
        <v>Just what I wanted. I like Crocs because they adapt perfectly to the foot, with fine round tip. I needed a shoe and slip this model meets the requirement perfectly. It is a closed footwear and summer may be too hot but in that case I'll buy a pair of sandals. Crocs, of course!</v>
      </c>
    </row>
    <row r="17395">
      <c r="A17395" s="1">
        <v>5.0</v>
      </c>
      <c r="B17395" s="1" t="s">
        <v>17229</v>
      </c>
      <c r="C17395" t="str">
        <f>IFERROR(__xludf.DUMMYFUNCTION("GOOGLETRANSLATE(B17395, ""es"", ""en"")"),"Sound quality I was amazed by the quality of the sound both serious and acute, they fit perfectly in the ear and ear, as they come with various sizes to fit and secured their best in the ear. Playing sports do not fall if you install them correctly pads y"&amp;"our size The battery life is very good, and more than meets what it says in the manual that is in Castilian The magnets have to ""collar"" is very well to keep up with hands unoccupied")</f>
        <v>Sound quality I was amazed by the quality of the sound both serious and acute, they fit perfectly in the ear and ear, as they come with various sizes to fit and secured their best in the ear. Playing sports do not fall if you install them correctly pads your size The battery life is very good, and more than meets what it says in the manual that is in Castilian The magnets have to "collar" is very well to keep up with hands unoccupied</v>
      </c>
    </row>
    <row r="17396">
      <c r="A17396" s="1">
        <v>5.0</v>
      </c>
      <c r="B17396" s="1" t="s">
        <v>17230</v>
      </c>
      <c r="C17396" t="str">
        <f>IFERROR(__xludf.DUMMYFUNCTION("GOOGLETRANSLATE(B17396, ""es"", ""en"")"),"Good value recommended purchase price.")</f>
        <v>Good value recommended purchase price.</v>
      </c>
    </row>
    <row r="17397">
      <c r="A17397" s="1">
        <v>5.0</v>
      </c>
      <c r="B17397" s="1" t="s">
        <v>17231</v>
      </c>
      <c r="C17397" t="str">
        <f>IFERROR(__xludf.DUMMYFUNCTION("GOOGLETRANSLATE(B17397, ""es"", ""en"")"),"Excellent Very good quality, especially sound, use a powered speaker.")</f>
        <v>Excellent Very good quality, especially sound, use a powered speaker.</v>
      </c>
    </row>
    <row r="17398">
      <c r="A17398" s="1">
        <v>5.0</v>
      </c>
      <c r="B17398" s="1" t="s">
        <v>17232</v>
      </c>
      <c r="C17398" t="str">
        <f>IFERROR(__xludf.DUMMYFUNCTION("GOOGLETRANSLATE(B17398, ""es"", ""en"")"),"It was fine for a gift and arrived super fast. I liked the look of the box. It leaves than usual. large numbers.")</f>
        <v>It was fine for a gift and arrived super fast. I liked the look of the box. It leaves than usual. large numbers.</v>
      </c>
    </row>
    <row r="17399">
      <c r="A17399" s="1">
        <v>5.0</v>
      </c>
      <c r="B17399" s="1" t="s">
        <v>17233</v>
      </c>
      <c r="C17399" t="str">
        <f>IFERROR(__xludf.DUMMYFUNCTION("GOOGLETRANSLATE(B17399, ""es"", ""en"")"),"Very good are very nice and comfortable.")</f>
        <v>Very good are very nice and comfortable.</v>
      </c>
    </row>
    <row r="17400">
      <c r="A17400" s="1">
        <v>5.0</v>
      </c>
      <c r="B17400" s="1" t="s">
        <v>17234</v>
      </c>
      <c r="C17400" t="str">
        <f>IFERROR(__xludf.DUMMYFUNCTION("GOOGLETRANSLATE(B17400, ""es"", ""en"")"),"Everything perfect arrived on schedule and perfect")</f>
        <v>Everything perfect arrived on schedule and perfect</v>
      </c>
    </row>
    <row r="17401">
      <c r="A17401" s="1">
        <v>5.0</v>
      </c>
      <c r="B17401" s="1" t="s">
        <v>17235</v>
      </c>
      <c r="C17401" t="str">
        <f>IFERROR(__xludf.DUMMYFUNCTION("GOOGLETRANSLATE(B17401, ""es"", ""en"")"),"As part of the ear because I bought a fellow gym recommended them to me seeing that I had I constantly fell, they have that pin to the silicone fit preventing fall with the movement. I have surprised the great sound quality that have served to pick up a c"&amp;"all with one touch. The box weighs a little but well worth it took all week still using them without charge. With a match with quick and easy mobile.")</f>
        <v>As part of the ear because I bought a fellow gym recommended them to me seeing that I had I constantly fell, they have that pin to the silicone fit preventing fall with the movement. I have surprised the great sound quality that have served to pick up a call with one touch. The box weighs a little but well worth it took all week still using them without charge. With a match with quick and easy mobile.</v>
      </c>
    </row>
    <row r="17402">
      <c r="A17402" s="1">
        <v>5.0</v>
      </c>
      <c r="B17402" s="1" t="s">
        <v>17236</v>
      </c>
      <c r="C17402" t="str">
        <f>IFERROR(__xludf.DUMMYFUNCTION("GOOGLETRANSLATE(B17402, ""es"", ""en"")"),"A good M.2 SSD 2280 is the second PCIe SSD M.2 2280 240GB Express GEN3.0x4 NVMe I have mounted on the motherboard, in my case an MSI X370 Pro Gammming Coal is on the 2nd port PCIe Express Gen3. 0x4 NVMe, giving me a slightly lower rate to 1, but very good"&amp;" in any case, uns 1700 MB in both reading and writing. Very good product I recommend.")</f>
        <v>A good M.2 SSD 2280 is the second PCIe SSD M.2 2280 240GB Express GEN3.0x4 NVMe I have mounted on the motherboard, in my case an MSI X370 Pro Gammming Coal is on the 2nd port PCIe Express Gen3. 0x4 NVMe, giving me a slightly lower rate to 1, but very good in any case, uns 1700 MB in both reading and writing. Very good product I recommend.</v>
      </c>
    </row>
    <row r="17403">
      <c r="A17403" s="1">
        <v>2.0</v>
      </c>
      <c r="B17403" s="1" t="s">
        <v>17237</v>
      </c>
      <c r="C17403" t="str">
        <f>IFERROR(__xludf.DUMMYFUNCTION("GOOGLETRANSLATE(B17403, ""es"", ""en"")"),"Satisfied half came somewhat used to the serious boot least 1 sample or something other something scratched the heel so satisfied in half, I guess that's the price you pay for online purchase with these offers. I hope that both this mark being used and me"&amp;"ets the expectations of these boots")</f>
        <v>Satisfied half came somewhat used to the serious boot least 1 sample or something other something scratched the heel so satisfied in half, I guess that's the price you pay for online purchase with these offers. I hope that both this mark being used and meets the expectations of these boots</v>
      </c>
    </row>
    <row r="17404">
      <c r="A17404" s="1">
        <v>3.0</v>
      </c>
      <c r="B17404" s="1" t="s">
        <v>17238</v>
      </c>
      <c r="C17404" t="str">
        <f>IFERROR(__xludf.DUMMYFUNCTION("GOOGLETRANSLATE(B17404, ""es"", ""en"")"),"Casio quality medium-low. Is the fifth clock Casio Casio have and obviously the quality makes the clock neither ahead nor delayed. Yes, the materials are very unwell, plastic bad. Although the price seems normal to me.")</f>
        <v>Casio quality medium-low. Is the fifth clock Casio Casio have and obviously the quality makes the clock neither ahead nor delayed. Yes, the materials are very unwell, plastic bad. Although the price seems normal to me.</v>
      </c>
    </row>
    <row r="17405">
      <c r="A17405" s="1">
        <v>3.0</v>
      </c>
      <c r="B17405" s="1" t="s">
        <v>17239</v>
      </c>
      <c r="C17405" t="str">
        <f>IFERROR(__xludf.DUMMYFUNCTION("GOOGLETRANSLATE(B17405, ""es"", ""en"")"),"Still somewhat indecisive Over time you may update this review of the product. Right now I'm confused because sometimes I notice too much noise and temperature is not maintained very low (when I have liquid-cooled and 4 fans plus a temperature fairly cool"&amp;" room) Sometimes slow to enter the data located on the hard drive. But hey, removing it, works well, normal. Nothing to write, but hoped to emphasize more things like speed, not the fact that it seems that locks when trying to access (sometimes, not so of"&amp;"ten to be unbearable but enough to be annoying) If you do not cause major filing drawbacks and goes to lock it, I would give it a 8 out of 10. Right now I stay in 5 of 10 because I'm a little to the expectation of what will behave.")</f>
        <v>Still somewhat indecisive Over time you may update this review of the product. Right now I'm confused because sometimes I notice too much noise and temperature is not maintained very low (when I have liquid-cooled and 4 fans plus a temperature fairly cool room) Sometimes slow to enter the data located on the hard drive. But hey, removing it, works well, normal. Nothing to write, but hoped to emphasize more things like speed, not the fact that it seems that locks when trying to access (sometimes, not so often to be unbearable but enough to be annoying) If you do not cause major filing drawbacks and goes to lock it, I would give it a 8 out of 10. Right now I stay in 5 of 10 because I'm a little to the expectation of what will behave.</v>
      </c>
    </row>
    <row r="17406">
      <c r="A17406" s="1">
        <v>1.0</v>
      </c>
      <c r="B17406" s="1" t="s">
        <v>17240</v>
      </c>
      <c r="C17406" t="str">
        <f>IFERROR(__xludf.DUMMYFUNCTION("GOOGLETRANSLATE(B17406, ""es"", ""en"")"),"tiny tiny")</f>
        <v>tiny tiny</v>
      </c>
    </row>
    <row r="17407">
      <c r="A17407" s="1">
        <v>1.0</v>
      </c>
      <c r="B17407" s="1" t="s">
        <v>17241</v>
      </c>
      <c r="C17407" t="str">
        <f>IFERROR(__xludf.DUMMYFUNCTION("GOOGLETRANSLATE(B17407, ""es"", ""en"")"),"NOT BAD, THE FOLLOWING. A FINAL what you pay. THAT IS ALL THAT CREATED. SLOWLY, Remains ""caught"" ... I HAVE TOTAL trashed. WORTHLESS. BEST other options.")</f>
        <v>NOT BAD, THE FOLLOWING. A FINAL what you pay. THAT IS ALL THAT CREATED. SLOWLY, Remains "caught" ... I HAVE TOTAL trashed. WORTHLESS. BEST other options.</v>
      </c>
    </row>
    <row r="17408">
      <c r="A17408" s="1">
        <v>4.0</v>
      </c>
      <c r="B17408" s="1" t="s">
        <v>17242</v>
      </c>
      <c r="C17408" t="str">
        <f>IFERROR(__xludf.DUMMYFUNCTION("GOOGLETRANSLATE(B17408, ""es"", ""en"")"),"I've been very good just a couple of months in and it seems to work, I lost a couple of sentimetros, bad protective tapes must be changed quite frequently")</f>
        <v>I've been very good just a couple of months in and it seems to work, I lost a couple of sentimetros, bad protective tapes must be changed quite frequently</v>
      </c>
    </row>
    <row r="17409">
      <c r="A17409" s="1">
        <v>4.0</v>
      </c>
      <c r="B17409" s="1" t="s">
        <v>17243</v>
      </c>
      <c r="C17409" t="str">
        <f>IFERROR(__xludf.DUMMYFUNCTION("GOOGLETRANSLATE(B17409, ""es"", ""en"")"),"A good help learning to relax takes you a couple of days to get used to the pace proposed in the Dodow but worth it. I'm more relaxed and not take so long to go back to sleep when I wake up.")</f>
        <v>A good help learning to relax takes you a couple of days to get used to the pace proposed in the Dodow but worth it. I'm more relaxed and not take so long to go back to sleep when I wake up.</v>
      </c>
    </row>
    <row r="17410">
      <c r="A17410" s="1">
        <v>4.0</v>
      </c>
      <c r="B17410" s="1" t="s">
        <v>17244</v>
      </c>
      <c r="C17410" t="str">
        <f>IFERROR(__xludf.DUMMYFUNCTION("GOOGLETRANSLATE(B17410, ""es"", ""en"")"),"Pretty good is pretty good, although I thought ke threw more steam, although it has two functions seem to me like")</f>
        <v>Pretty good is pretty good, although I thought ke threw more steam, although it has two functions seem to me like</v>
      </c>
    </row>
    <row r="17411">
      <c r="A17411" s="1">
        <v>4.0</v>
      </c>
      <c r="B17411" s="1" t="s">
        <v>17245</v>
      </c>
      <c r="C17411" t="str">
        <f>IFERROR(__xludf.DUMMYFUNCTION("GOOGLETRANSLATE(B17411, ""es"", ""en"")"),"I like pretty but made the mistake of not compare to other measures that have so it's very big for my taste. Still use.")</f>
        <v>I like pretty but made the mistake of not compare to other measures that have so it's very big for my taste. Still use.</v>
      </c>
    </row>
    <row r="17412">
      <c r="A17412" s="1">
        <v>4.0</v>
      </c>
      <c r="B17412" s="1" t="s">
        <v>17246</v>
      </c>
      <c r="C17412" t="str">
        <f>IFERROR(__xludf.DUMMYFUNCTION("GOOGLETRANSLATE(B17412, ""es"", ""en"")"),"Good blender I use it for my baby purees and goes great, the trouble is that if you take a small amount not bat at all")</f>
        <v>Good blender I use it for my baby purees and goes great, the trouble is that if you take a small amount not bat at all</v>
      </c>
    </row>
    <row r="17413">
      <c r="A17413" s="1">
        <v>5.0</v>
      </c>
      <c r="B17413" s="1" t="s">
        <v>17247</v>
      </c>
      <c r="C17413" t="str">
        <f>IFERROR(__xludf.DUMMYFUNCTION("GOOGLETRANSLATE(B17413, ""es"", ""en"")"),"A success of quality casio watch in a very cool format. I have black and white, work great and last long pile. The vibrating alarm is also a plus.")</f>
        <v>A success of quality casio watch in a very cool format. I have black and white, work great and last long pile. The vibrating alarm is also a plus.</v>
      </c>
    </row>
    <row r="17414">
      <c r="A17414" s="1">
        <v>5.0</v>
      </c>
      <c r="B17414" s="1" t="s">
        <v>17248</v>
      </c>
      <c r="C17414" t="str">
        <f>IFERROR(__xludf.DUMMYFUNCTION("GOOGLETRANSLATE(B17414, ""es"", ""en"")"),"Humidifier Simple and looks good in the house, we have scented the entire floor and we love it just makes no noise. We are very pleased with the")</f>
        <v>Humidifier Simple and looks good in the house, we have scented the entire floor and we love it just makes no noise. We are very pleased with the</v>
      </c>
    </row>
    <row r="17415">
      <c r="A17415" s="1">
        <v>5.0</v>
      </c>
      <c r="B17415" s="1" t="s">
        <v>17249</v>
      </c>
      <c r="C17415" t="str">
        <f>IFERROR(__xludf.DUMMYFUNCTION("GOOGLETRANSLATE(B17415, ""es"", ""en"")"),"Perfect and very fast corresponds exactly with the description. Is high quality, made of leather and very cheap, since the price easily bends when a similar bag is looking at any big store or warehouse known.")</f>
        <v>Perfect and very fast corresponds exactly with the description. Is high quality, made of leather and very cheap, since the price easily bends when a similar bag is looking at any big store or warehouse known.</v>
      </c>
    </row>
    <row r="17416">
      <c r="A17416" s="1">
        <v>5.0</v>
      </c>
      <c r="B17416" s="1" t="s">
        <v>17250</v>
      </c>
      <c r="C17416" t="str">
        <f>IFERROR(__xludf.DUMMYFUNCTION("GOOGLETRANSLATE(B17416, ""es"", ""en"")"),"elegant Beautiful")</f>
        <v>elegant Beautiful</v>
      </c>
    </row>
    <row r="17417">
      <c r="A17417" s="1">
        <v>5.0</v>
      </c>
      <c r="B17417" s="1" t="s">
        <v>17251</v>
      </c>
      <c r="C17417" t="str">
        <f>IFERROR(__xludf.DUMMYFUNCTION("GOOGLETRANSLATE(B17417, ""es"", ""en"")"),"Comfort and style in a single shoe My wife was looking for a nice, convenient footwear and has been found. These shoes can use them daily and with all kinds of costumes. Silver tone brings joviality and slippers are very comfortable. Laces fit very well a"&amp;"nd are easy to clean. GEOX sneakers are a wise move to give away.")</f>
        <v>Comfort and style in a single shoe My wife was looking for a nice, convenient footwear and has been found. These shoes can use them daily and with all kinds of costumes. Silver tone brings joviality and slippers are very comfortable. Laces fit very well and are easy to clean. GEOX sneakers are a wise move to give away.</v>
      </c>
    </row>
    <row r="17418">
      <c r="A17418" s="1">
        <v>5.0</v>
      </c>
      <c r="B17418" s="1" t="s">
        <v>17252</v>
      </c>
      <c r="C17418" t="str">
        <f>IFERROR(__xludf.DUMMYFUNCTION("GOOGLETRANSLATE(B17418, ""es"", ""en"")"),"Nice watch at a good price Very cool. Good size. Important warranty is sealed and signed from the store.")</f>
        <v>Nice watch at a good price Very cool. Good size. Important warranty is sealed and signed from the store.</v>
      </c>
    </row>
    <row r="17419">
      <c r="A17419" s="1">
        <v>5.0</v>
      </c>
      <c r="B17419" s="1" t="s">
        <v>17253</v>
      </c>
      <c r="C17419" t="str">
        <f>IFERROR(__xludf.DUMMYFUNCTION("GOOGLETRANSLATE(B17419, ""es"", ""en"")"),"Excellent is easy to use and set the alarm. Has up to 7 distinct sounds alarm clock and change color luz.El design is beautiful. The light is bright. And also it has good radio signal.")</f>
        <v>Excellent is easy to use and set the alarm. Has up to 7 distinct sounds alarm clock and change color luz.El design is beautiful. The light is bright. And also it has good radio signal.</v>
      </c>
    </row>
    <row r="17420">
      <c r="A17420" s="1">
        <v>5.0</v>
      </c>
      <c r="B17420" s="1" t="s">
        <v>17254</v>
      </c>
      <c r="C17420" t="str">
        <f>IFERROR(__xludf.DUMMYFUNCTION("GOOGLETRANSLATE(B17420, ""es"", ""en"")"),"Quality quality money")</f>
        <v>Quality quality money</v>
      </c>
    </row>
    <row r="17421">
      <c r="A17421" s="1">
        <v>5.0</v>
      </c>
      <c r="B17421" s="1" t="s">
        <v>17255</v>
      </c>
      <c r="C17421" t="str">
        <f>IFERROR(__xludf.DUMMYFUNCTION("GOOGLETRANSLATE(B17421, ""es"", ""en"")"),"I love beautiful and striking. As seen in the photo. Turquoise and red colors. With any black garment go well")</f>
        <v>I love beautiful and striking. As seen in the photo. Turquoise and red colors. With any black garment go well</v>
      </c>
    </row>
    <row r="17422">
      <c r="A17422" s="1">
        <v>5.0</v>
      </c>
      <c r="B17422" s="1" t="s">
        <v>17256</v>
      </c>
      <c r="C17422" t="str">
        <f>IFERROR(__xludf.DUMMYFUNCTION("GOOGLETRANSLATE(B17422, ""es"", ""en"")"),"Great value for the price. The clock meets and exceeds what I expected and more for that price. If everything works correctly, you can not ask for more. Since it seems better than it is. The move is good for those who have the thick wrist. It goes very we"&amp;"ll and if the solar theme works as it should, you forget the stack. To put some but auque then seemed good as it is, it would be that the chain instead of 20 mm I had put 22 mm because the clock is big box but also looks good as well. For the price you ha"&amp;"ve, I find it highly recommendable. Regards.")</f>
        <v>Great value for the price. The clock meets and exceeds what I expected and more for that price. If everything works correctly, you can not ask for more. Since it seems better than it is. The move is good for those who have the thick wrist. It goes very well and if the solar theme works as it should, you forget the stack. To put some but auque then seemed good as it is, it would be that the chain instead of 20 mm I had put 22 mm because the clock is big box but also looks good as well. For the price you have, I find it highly recommendable. Regards.</v>
      </c>
    </row>
    <row r="17423">
      <c r="A17423" s="1">
        <v>5.0</v>
      </c>
      <c r="B17423" s="1" t="s">
        <v>17257</v>
      </c>
      <c r="C17423" t="str">
        <f>IFERROR(__xludf.DUMMYFUNCTION("GOOGLETRANSLATE(B17423, ""es"", ""en"")"),"Wonderful comfort. Super lightweight and comfortable.")</f>
        <v>Wonderful comfort. Super lightweight and comfortable.</v>
      </c>
    </row>
    <row r="17424">
      <c r="A17424" s="1">
        <v>5.0</v>
      </c>
      <c r="B17424" s="1" t="s">
        <v>17258</v>
      </c>
      <c r="C17424" t="str">
        <f>IFERROR(__xludf.DUMMYFUNCTION("GOOGLETRANSLATE(B17424, ""es"", ""en"")"),"Everything perfect The quantity and price is fine. I have finally been able to reuse the virobi because where I live there is no way to find spare parts.")</f>
        <v>Everything perfect The quantity and price is fine. I have finally been able to reuse the virobi because where I live there is no way to find spare parts.</v>
      </c>
    </row>
    <row r="17425">
      <c r="A17425" s="1">
        <v>5.0</v>
      </c>
      <c r="B17425" s="1" t="s">
        <v>17259</v>
      </c>
      <c r="C17425" t="str">
        <f>IFERROR(__xludf.DUMMYFUNCTION("GOOGLETRANSLATE(B17425, ""es"", ""en"")"),"Fast Good speed data transmission")</f>
        <v>Fast Good speed data transmission</v>
      </c>
    </row>
    <row r="17426">
      <c r="A17426" s="1">
        <v>5.0</v>
      </c>
      <c r="B17426" s="1" t="s">
        <v>17260</v>
      </c>
      <c r="C17426" t="str">
        <f>IFERROR(__xludf.DUMMYFUNCTION("GOOGLETRANSLATE(B17426, ""es"", ""en"")"),"Design compatible with formal wear and sportswear Buenos finishes, sufficient capacity to everything you need (wallet, two pairs of glasses, mobile, notebook, etc.)")</f>
        <v>Design compatible with formal wear and sportswear Buenos finishes, sufficient capacity to everything you need (wallet, two pairs of glasses, mobile, notebook, etc.)</v>
      </c>
    </row>
    <row r="17427">
      <c r="A17427" s="1">
        <v>5.0</v>
      </c>
      <c r="B17427" s="1" t="s">
        <v>17261</v>
      </c>
      <c r="C17427" t="str">
        <f>IFERROR(__xludf.DUMMYFUNCTION("GOOGLETRANSLATE(B17427, ""es"", ""en"")"),"Purchased for Amazfit Bip bought this strap for Amazfit Bip, and positioning is performed in seconds really easily. The appearance in this watch is impeccable.")</f>
        <v>Purchased for Amazfit Bip bought this strap for Amazfit Bip, and positioning is performed in seconds really easily. The appearance in this watch is impeccable.</v>
      </c>
    </row>
    <row r="17428">
      <c r="A17428" s="1">
        <v>5.0</v>
      </c>
      <c r="B17428" s="1" t="s">
        <v>17262</v>
      </c>
      <c r="C17428" t="str">
        <f>IFERROR(__xludf.DUMMYFUNCTION("GOOGLETRANSLATE(B17428, ""es"", ""en"")"),"Perfect in design and quality / price Last One !!! Unbreakable, plenty of alarms, stopwatch, LED light, comfortable, and tough-looking. The size is good, and despite what others say the numbers are perfectly visible.")</f>
        <v>Perfect in design and quality / price Last One !!! Unbreakable, plenty of alarms, stopwatch, LED light, comfortable, and tough-looking. The size is good, and despite what others say the numbers are perfectly visible.</v>
      </c>
    </row>
    <row r="17429">
      <c r="A17429" s="1">
        <v>5.0</v>
      </c>
      <c r="B17429" s="1" t="s">
        <v>17263</v>
      </c>
      <c r="C17429" t="str">
        <f>IFERROR(__xludf.DUMMYFUNCTION("GOOGLETRANSLATE(B17429, ""es"", ""en"")"),"beautiful, ideal for gift I bought it on sale for just under half euro and buy 4 have been slow in coming, but well worth it, the stones pretty noticeable and collectively look good. If you wide wrist maybe squeeze a little and do not advise it, but is pe"&amp;"rfect if you want to use it to give a minimum investment and a very nice touch, I would have given 2 friends and are delighted. Did you return to buy? Yes, even at the normal price, it is worth. I do not ask for votes for the comments that you have to lea"&amp;"ve each person, if you liked and would appreciate it, thanks.")</f>
        <v>beautiful, ideal for gift I bought it on sale for just under half euro and buy 4 have been slow in coming, but well worth it, the stones pretty noticeable and collectively look good. If you wide wrist maybe squeeze a little and do not advise it, but is perfect if you want to use it to give a minimum investment and a very nice touch, I would have given 2 friends and are delighted. Did you return to buy? Yes, even at the normal price, it is worth. I do not ask for votes for the comments that you have to leave each person, if you liked and would appreciate it, thanks.</v>
      </c>
    </row>
    <row r="17430">
      <c r="A17430" s="1">
        <v>5.0</v>
      </c>
      <c r="B17430" s="1" t="s">
        <v>17264</v>
      </c>
      <c r="C17430" t="str">
        <f>IFERROR(__xludf.DUMMYFUNCTION("GOOGLETRANSLATE(B17430, ""es"", ""en"")"),"First helmets sound good buy for more than $ 100, and the truth is that it shows the clarity of the sound compared to others I had lying around. I use to listen to music, movies and even video games with loudness equalization activated windows.")</f>
        <v>First helmets sound good buy for more than $ 100, and the truth is that it shows the clarity of the sound compared to others I had lying around. I use to listen to music, movies and even video games with loudness equalization activated windows.</v>
      </c>
    </row>
    <row r="17431">
      <c r="A17431" s="1">
        <v>2.0</v>
      </c>
      <c r="B17431" s="1" t="s">
        <v>17265</v>
      </c>
      <c r="C17431" t="str">
        <f>IFERROR(__xludf.DUMMYFUNCTION("GOOGLETRANSLATE(B17431, ""es"", ""en"")"),"Regular Too simple")</f>
        <v>Regular Too simple</v>
      </c>
    </row>
    <row r="17432">
      <c r="A17432" s="1">
        <v>3.0</v>
      </c>
      <c r="B17432" s="1" t="s">
        <v>17266</v>
      </c>
      <c r="C17432" t="str">
        <f>IFERROR(__xludf.DUMMYFUNCTION("GOOGLETRANSLATE(B17432, ""es"", ""en"")"),"Very small size gives very little at least one number less, I had to return")</f>
        <v>Very small size gives very little at least one number less, I had to return</v>
      </c>
    </row>
    <row r="17433">
      <c r="A17433" s="1">
        <v>3.0</v>
      </c>
      <c r="B17433" s="1" t="s">
        <v>17267</v>
      </c>
      <c r="C17433" t="str">
        <f>IFERROR(__xludf.DUMMYFUNCTION("GOOGLETRANSLATE(B17433, ""es"", ""en"")"),"NORMAL a paperback book, paperback. But we, the ordinary. It's what I expected. Good buy. Buy more of this collection.")</f>
        <v>NORMAL a paperback book, paperback. But we, the ordinary. It's what I expected. Good buy. Buy more of this collection.</v>
      </c>
    </row>
    <row r="17434">
      <c r="A17434" s="1">
        <v>1.0</v>
      </c>
      <c r="B17434" s="1" t="s">
        <v>17268</v>
      </c>
      <c r="C17434" t="str">
        <f>IFERROR(__xludf.DUMMYFUNCTION("GOOGLETRANSLATE(B17434, ""es"", ""en"")"),"A poor little time left to serve, they are worse than the bazaars.")</f>
        <v>A poor little time left to serve, they are worse than the bazaars.</v>
      </c>
    </row>
    <row r="17435">
      <c r="A17435" s="1">
        <v>1.0</v>
      </c>
      <c r="B17435" s="1" t="s">
        <v>17269</v>
      </c>
      <c r="C17435" t="str">
        <f>IFERROR(__xludf.DUMMYFUNCTION("GOOGLETRANSLATE(B17435, ""es"", ""en"")"),"Resistance to water does not meet advertised at all. Not even resists water in the shower, not to comment on a pool")</f>
        <v>Resistance to water does not meet advertised at all. Not even resists water in the shower, not to comment on a pool</v>
      </c>
    </row>
    <row r="17436">
      <c r="A17436" s="1">
        <v>1.0</v>
      </c>
      <c r="B17436" s="1" t="s">
        <v>17270</v>
      </c>
      <c r="C17436" t="str">
        <f>IFERROR(__xludf.DUMMYFUNCTION("GOOGLETRANSLATE(B17436, ""es"", ""en"")"),"Error costs not get me another model but that model was quite complicated and the return although I've already got a fair bit size relative to usual")</f>
        <v>Error costs not get me another model but that model was quite complicated and the return although I've already got a fair bit size relative to usual</v>
      </c>
    </row>
    <row r="17437">
      <c r="A17437" s="1">
        <v>4.0</v>
      </c>
      <c r="B17437" s="1" t="s">
        <v>17271</v>
      </c>
      <c r="C17437" t="str">
        <f>IFERROR(__xludf.DUMMYFUNCTION("GOOGLETRANSLATE(B17437, ""es"", ""en"")"),"They are good for my son lame that takes them around the world and I have to eggs")</f>
        <v>They are good for my son lame that takes them around the world and I have to eggs</v>
      </c>
    </row>
    <row r="17438">
      <c r="A17438" s="1">
        <v>4.0</v>
      </c>
      <c r="B17438" s="1" t="s">
        <v>17272</v>
      </c>
      <c r="C17438" t="str">
        <f>IFERROR(__xludf.DUMMYFUNCTION("GOOGLETRANSLATE(B17438, ""es"", ""en"")"),"Not bad weighs heavily weighs heavily is the only downside")</f>
        <v>Not bad weighs heavily weighs heavily is the only downside</v>
      </c>
    </row>
    <row r="17439">
      <c r="A17439" s="1">
        <v>4.0</v>
      </c>
      <c r="B17439" s="1" t="s">
        <v>17273</v>
      </c>
      <c r="C17439" t="str">
        <f>IFERROR(__xludf.DUMMYFUNCTION("GOOGLETRANSLATE(B17439, ""es"", ""en"")"),"Good quality Over time I have acquired several targetas of this brand and have generally not been disappointed. Good quality / price although personally I give a very normal and it has not stopped me use to measure their performance.")</f>
        <v>Good quality Over time I have acquired several targetas of this brand and have generally not been disappointed. Good quality / price although personally I give a very normal and it has not stopped me use to measure their performance.</v>
      </c>
    </row>
    <row r="17440">
      <c r="A17440" s="1">
        <v>4.0</v>
      </c>
      <c r="B17440" s="1" t="s">
        <v>17274</v>
      </c>
      <c r="C17440" t="str">
        <f>IFERROR(__xludf.DUMMYFUNCTION("GOOGLETRANSLATE(B17440, ""es"", ""en"")"),"Very good flash drive for backup Typical flash memory and 32Gb marking but only have 29 GB effective. In this case are 114 128 GB rather theoretical. Reading performance is rather modest for USB 3.1, but the write performance is 50% higher compared to oth"&amp;"er models of Sandisk pendrive I have and Kingston. I bought it on sale on Black Friday and I'm really happy with the writing speed, I recommend the product.")</f>
        <v>Very good flash drive for backup Typical flash memory and 32Gb marking but only have 29 GB effective. In this case are 114 128 GB rather theoretical. Reading performance is rather modest for USB 3.1, but the write performance is 50% higher compared to other models of Sandisk pendrive I have and Kingston. I bought it on sale on Black Friday and I'm really happy with the writing speed, I recommend the product.</v>
      </c>
    </row>
    <row r="17441">
      <c r="A17441" s="1">
        <v>4.0</v>
      </c>
      <c r="B17441" s="1" t="s">
        <v>17275</v>
      </c>
      <c r="C17441" t="str">
        <f>IFERROR(__xludf.DUMMYFUNCTION("GOOGLETRANSLATE(B17441, ""es"", ""en"")"),"Roque bosch The product goes well the only thing that I can not link it to Google it home not find me in implementing plugs otherwise doing pretty well can generate schedules and all groups that I see tutorials that there is another option that does not a"&amp;"ppear in the application plug would like to know if there are any switches that support your application and some sort of appliance all devices that are compatible for future use thanks")</f>
        <v>Roque bosch The product goes well the only thing that I can not link it to Google it home not find me in implementing plugs otherwise doing pretty well can generate schedules and all groups that I see tutorials that there is another option that does not appear in the application plug would like to know if there are any switches that support your application and some sort of appliance all devices that are compatible for future use thanks</v>
      </c>
    </row>
    <row r="17442">
      <c r="A17442" s="1">
        <v>5.0</v>
      </c>
      <c r="B17442" s="1" t="s">
        <v>17276</v>
      </c>
      <c r="C17442" t="str">
        <f>IFERROR(__xludf.DUMMYFUNCTION("GOOGLETRANSLATE(B17442, ""es"", ""en"")"),"Precious and precious are very comfortable and very comfortable. They arrived on Sunday! Earlier than you expected. Delighted with them, and had used before.")</f>
        <v>Precious and precious are very comfortable and very comfortable. They arrived on Sunday! Earlier than you expected. Delighted with them, and had used before.</v>
      </c>
    </row>
    <row r="17443">
      <c r="A17443" s="1">
        <v>5.0</v>
      </c>
      <c r="B17443" s="1" t="s">
        <v>17277</v>
      </c>
      <c r="C17443" t="str">
        <f>IFERROR(__xludf.DUMMYFUNCTION("GOOGLETRANSLATE(B17443, ""es"", ""en"")"),"as I was not lived without this A basic for any PC")</f>
        <v>as I was not lived without this A basic for any PC</v>
      </c>
    </row>
    <row r="17444">
      <c r="A17444" s="1">
        <v>5.0</v>
      </c>
      <c r="B17444" s="1" t="s">
        <v>17278</v>
      </c>
      <c r="C17444" t="str">
        <f>IFERROR(__xludf.DUMMYFUNCTION("GOOGLETRANSLATE(B17444, ""es"", ""en"")"),"It is as it is described as described in the announcement, it works correctly and arrive within the deadline.")</f>
        <v>It is as it is described as described in the announcement, it works correctly and arrive within the deadline.</v>
      </c>
    </row>
    <row r="17445">
      <c r="A17445" s="1">
        <v>5.0</v>
      </c>
      <c r="B17445" s="1" t="s">
        <v>17279</v>
      </c>
      <c r="C17445" t="str">
        <f>IFERROR(__xludf.DUMMYFUNCTION("GOOGLETRANSLATE(B17445, ""es"", ""en"")"),"Nice, quality and comfortable are my first New Balance and doubted in size, but it is normal for other brands. They are very comfortable, very nice design (to my taste, this is very personal, of course) and seem to have good quality although premiering an"&amp;"d I just have to see how endure. At the moment, very happy with the purchase.")</f>
        <v>Nice, quality and comfortable are my first New Balance and doubted in size, but it is normal for other brands. They are very comfortable, very nice design (to my taste, this is very personal, of course) and seem to have good quality although premiering and I just have to see how endure. At the moment, very happy with the purchase.</v>
      </c>
    </row>
    <row r="17446">
      <c r="A17446" s="1">
        <v>5.0</v>
      </c>
      <c r="B17446" s="1" t="s">
        <v>17280</v>
      </c>
      <c r="C17446" t="str">
        <f>IFERROR(__xludf.DUMMYFUNCTION("GOOGLETRANSLATE(B17446, ""es"", ""en"")"),"Good product for a good price is a good product for at asking price is, the rubber is soft, the buckle is correct but improvable, if I recommend purchase.")</f>
        <v>Good product for a good price is a good product for at asking price is, the rubber is soft, the buckle is correct but improvable, if I recommend purchase.</v>
      </c>
    </row>
    <row r="17447">
      <c r="A17447" s="1">
        <v>5.0</v>
      </c>
      <c r="B17447" s="1" t="s">
        <v>17281</v>
      </c>
      <c r="C17447" t="str">
        <f>IFERROR(__xludf.DUMMYFUNCTION("GOOGLETRANSLATE(B17447, ""es"", ""en"")"),"Very very very comfortable very comfortable. Tieben a color very successful")</f>
        <v>Very very very comfortable very comfortable. Tieben a color very successful</v>
      </c>
    </row>
    <row r="17448">
      <c r="A17448" s="1">
        <v>5.0</v>
      </c>
      <c r="B17448" s="1" t="s">
        <v>17282</v>
      </c>
      <c r="C17448" t="str">
        <f>IFERROR(__xludf.DUMMYFUNCTION("GOOGLETRANSLATE(B17448, ""es"", ""en"")"),"Microfono excellent incredible price / quality. A good material with very good finishes. It also comes with a tripod and an antipop filter. 100% Recommended")</f>
        <v>Microfono excellent incredible price / quality. A good material with very good finishes. It also comes with a tripod and an antipop filter. 100% Recommended</v>
      </c>
    </row>
    <row r="17449">
      <c r="A17449" s="1">
        <v>5.0</v>
      </c>
      <c r="B17449" s="1" t="s">
        <v>17283</v>
      </c>
      <c r="C17449" t="str">
        <f>IFERROR(__xludf.DUMMYFUNCTION("GOOGLETRANSLATE(B17449, ""es"", ""en"")"),"Ideal for foot good quality than thin.")</f>
        <v>Ideal for foot good quality than thin.</v>
      </c>
    </row>
    <row r="17450">
      <c r="A17450" s="1">
        <v>5.0</v>
      </c>
      <c r="B17450" s="1" t="s">
        <v>17284</v>
      </c>
      <c r="C17450" t="str">
        <f>IFERROR(__xludf.DUMMYFUNCTION("GOOGLETRANSLATE(B17450, ""es"", ""en"")"),"spectacular Lindos")</f>
        <v>spectacular Lindos</v>
      </c>
    </row>
    <row r="17451">
      <c r="A17451" s="1">
        <v>5.0</v>
      </c>
      <c r="B17451" s="1" t="s">
        <v>17285</v>
      </c>
      <c r="C17451" t="str">
        <f>IFERROR(__xludf.DUMMYFUNCTION("GOOGLETRANSLATE(B17451, ""es"", ""en"")"),"Better than the description very good. I use it in winter as heated beds and autonomy is more than 2 hours it says the description.")</f>
        <v>Better than the description very good. I use it in winter as heated beds and autonomy is more than 2 hours it says the description.</v>
      </c>
    </row>
    <row r="17452">
      <c r="A17452" s="1">
        <v>5.0</v>
      </c>
      <c r="B17452" s="1" t="s">
        <v>17286</v>
      </c>
      <c r="C17452" t="str">
        <f>IFERROR(__xludf.DUMMYFUNCTION("GOOGLETRANSLATE(B17452, ""es"", ""en"")"),"A small shoulder bag oco, but not bad")</f>
        <v>A small shoulder bag oco, but not bad</v>
      </c>
    </row>
    <row r="17453">
      <c r="A17453" s="1">
        <v>5.0</v>
      </c>
      <c r="B17453" s="1" t="s">
        <v>17287</v>
      </c>
      <c r="C17453" t="str">
        <f>IFERROR(__xludf.DUMMYFUNCTION("GOOGLETRANSLATE(B17453, ""es"", ""en"")"),"GOOD BUY THE TRUTH IS THAT IS THE FIRST OIL TO USE BECAUSE I also just bought SAME TIME THE DIFUSOR MAKES VERY GOOD SMELL LIKE, so if I put 10 drops LIKE THE SMELL IS QUITE INTENSE AS would buy SIN NO DOUBT ALTHOUGH MAYBE NEXT TIME WILL bUY THE BRAND FOR "&amp;"PROVAR NAISSANCE")</f>
        <v>GOOD BUY THE TRUTH IS THAT IS THE FIRST OIL TO USE BECAUSE I also just bought SAME TIME THE DIFUSOR MAKES VERY GOOD SMELL LIKE, so if I put 10 drops LIKE THE SMELL IS QUITE INTENSE AS would buy SIN NO DOUBT ALTHOUGH MAYBE NEXT TIME WILL bUY THE BRAND FOR PROVAR NAISSANCE</v>
      </c>
    </row>
    <row r="17454">
      <c r="A17454" s="1">
        <v>5.0</v>
      </c>
      <c r="B17454" s="1" t="s">
        <v>17288</v>
      </c>
      <c r="C17454" t="str">
        <f>IFERROR(__xludf.DUMMYFUNCTION("GOOGLETRANSLATE(B17454, ""es"", ""en"")"),"Very nice wine with your box with rose. very good")</f>
        <v>Very nice wine with your box with rose. very good</v>
      </c>
    </row>
    <row r="17455">
      <c r="A17455" s="1">
        <v>5.0</v>
      </c>
      <c r="B17455" s="1" t="s">
        <v>17289</v>
      </c>
      <c r="C17455" t="str">
        <f>IFERROR(__xludf.DUMMYFUNCTION("GOOGLETRANSLATE(B17455, ""es"", ""en"")"),"Lightweight and the battery lasts long. Pergectamente headphones work. Synchronizing the first with my mobile Android. They sound loud and clear (although the bass is not his forte). Exercise are great because they weigh very little, the battery lasts the"&amp;"m enough and not isolated from the whole of the outside so you can go jogging without fear of not hearing cars.")</f>
        <v>Lightweight and the battery lasts long. Pergectamente headphones work. Synchronizing the first with my mobile Android. They sound loud and clear (although the bass is not his forte). Exercise are great because they weigh very little, the battery lasts them enough and not isolated from the whole of the outside so you can go jogging without fear of not hearing cars.</v>
      </c>
    </row>
    <row r="17456">
      <c r="A17456" s="1">
        <v>5.0</v>
      </c>
      <c r="B17456" s="1" t="s">
        <v>17290</v>
      </c>
      <c r="C17456" t="str">
        <f>IFERROR(__xludf.DUMMYFUNCTION("GOOGLETRANSLATE(B17456, ""es"", ""en"")"),"They were magnificent perfetas")</f>
        <v>They were magnificent perfetas</v>
      </c>
    </row>
    <row r="17457">
      <c r="A17457" s="1">
        <v>5.0</v>
      </c>
      <c r="B17457" s="1" t="s">
        <v>17291</v>
      </c>
      <c r="C17457" t="str">
        <f>IFERROR(__xludf.DUMMYFUNCTION("GOOGLETRANSLATE(B17457, ""es"", ""en"")"),"Puma shoes. I remain perfectly as expected, as are the third Puma shoes I buy.")</f>
        <v>Puma shoes. I remain perfectly as expected, as are the third Puma shoes I buy.</v>
      </c>
    </row>
    <row r="17458">
      <c r="A17458" s="1">
        <v>5.0</v>
      </c>
      <c r="B17458" s="1" t="s">
        <v>17292</v>
      </c>
      <c r="C17458" t="str">
        <f>IFERROR(__xludf.DUMMYFUNCTION("GOOGLETRANSLATE(B17458, ""es"", ""en"")"),"Simple and easy to use. Simple and easy to use, just what I needed. The vessel carries a handy cover to protect the food in the fridge.")</f>
        <v>Simple and easy to use. Simple and easy to use, just what I needed. The vessel carries a handy cover to protect the food in the fridge.</v>
      </c>
    </row>
    <row r="17459">
      <c r="A17459" s="1">
        <v>5.0</v>
      </c>
      <c r="B17459" s="1" t="s">
        <v>17293</v>
      </c>
      <c r="C17459" t="str">
        <f>IFERROR(__xludf.DUMMYFUNCTION("GOOGLETRANSLATE(B17459, ""es"", ""en"")"),"Perfect The product corresponds to the description. There was no problem with the size (I took that prefer a narrow widths to me are perfect. The good kind (resist washing) and the correct shipment.")</f>
        <v>Perfect The product corresponds to the description. There was no problem with the size (I took that prefer a narrow widths to me are perfect. The good kind (resist washing) and the correct shipment.</v>
      </c>
    </row>
    <row r="17460">
      <c r="A17460" s="1">
        <v>5.0</v>
      </c>
      <c r="B17460" s="1" t="s">
        <v>17294</v>
      </c>
      <c r="C17460" t="str">
        <f>IFERROR(__xludf.DUMMYFUNCTION("GOOGLETRANSLATE(B17460, ""es"", ""en"")"),"More well. Bonitos k in fotoa")</f>
        <v>More well. Bonitos k in fotoa</v>
      </c>
    </row>
    <row r="17461">
      <c r="A17461" s="1">
        <v>2.0</v>
      </c>
      <c r="B17461" s="1" t="s">
        <v>17295</v>
      </c>
      <c r="C17461" t="str">
        <f>IFERROR(__xludf.DUMMYFUNCTION("GOOGLETRANSLATE(B17461, ""es"", ""en"")"),"No corresponding size. Come in their original box and the eye are quite good, however, it does not seem to be original, since they have the same shape as the store. In addition, the size did not match.")</f>
        <v>No corresponding size. Come in their original box and the eye are quite good, however, it does not seem to be original, since they have the same shape as the store. In addition, the size did not match.</v>
      </c>
    </row>
    <row r="17462">
      <c r="A17462" s="1">
        <v>3.0</v>
      </c>
      <c r="B17462" s="1" t="s">
        <v>17296</v>
      </c>
      <c r="C17462" t="str">
        <f>IFERROR(__xludf.DUMMYFUNCTION("GOOGLETRANSLATE(B17462, ""es"", ""en"")"),"Good quality but without verifying the product The truth still pretty good that I came with a small striped mark not returned because I still urged that are of good quality")</f>
        <v>Good quality but without verifying the product The truth still pretty good that I came with a small striped mark not returned because I still urged that are of good quality</v>
      </c>
    </row>
    <row r="17463">
      <c r="A17463" s="1">
        <v>3.0</v>
      </c>
      <c r="B17463" s="1" t="s">
        <v>17297</v>
      </c>
      <c r="C17463" t="str">
        <f>IFERROR(__xludf.DUMMYFUNCTION("GOOGLETRANSLATE(B17463, ""es"", ""en"")"),"nice design, simple materials The clock is visually appealing. When you take it very noticeable lijero and a metal simple. I have one just like 20 years ago is much more robust. Still, at this price I think it's a good buy. The (plastic) glass ralla easil"&amp;"y.")</f>
        <v>nice design, simple materials The clock is visually appealing. When you take it very noticeable lijero and a metal simple. I have one just like 20 years ago is much more robust. Still, at this price I think it's a good buy. The (plastic) glass ralla easily.</v>
      </c>
    </row>
    <row r="17464">
      <c r="A17464" s="1">
        <v>1.0</v>
      </c>
      <c r="B17464" s="1" t="s">
        <v>17298</v>
      </c>
      <c r="C17464" t="str">
        <f>IFERROR(__xludf.DUMMYFUNCTION("GOOGLETRANSLATE(B17464, ""es"", ""en"")"),"Lie. He says it is water resistant and is not true.")</f>
        <v>Lie. He says it is water resistant and is not true.</v>
      </c>
    </row>
    <row r="17465">
      <c r="A17465" s="1">
        <v>1.0</v>
      </c>
      <c r="B17465" s="1" t="s">
        <v>17299</v>
      </c>
      <c r="C17465" t="str">
        <f>IFERROR(__xludf.DUMMYFUNCTION("GOOGLETRANSLATE(B17465, ""es"", ""en"")"),"bad investment very cool but money thrown away because I have tested on several devices and does not recognize me, not if you come defective or wrong with him")</f>
        <v>bad investment very cool but money thrown away because I have tested on several devices and does not recognize me, not if you come defective or wrong with him</v>
      </c>
    </row>
    <row r="17466">
      <c r="A17466" s="1">
        <v>4.0</v>
      </c>
      <c r="B17466" s="1" t="s">
        <v>17300</v>
      </c>
      <c r="C17466" t="str">
        <f>IFERROR(__xludf.DUMMYFUNCTION("GOOGLETRANSLATE(B17466, ""es"", ""en"")"),"All ok. Must be constant constant you ai I like that you get Reaultados. I do not like the instructions say not to use more than 15 minutes because it is heated. Better if hotkeys. Fast shipping and expected product comes in good condition. Would buy")</f>
        <v>All ok. Must be constant constant you ai I like that you get Reaultados. I do not like the instructions say not to use more than 15 minutes because it is heated. Better if hotkeys. Fast shipping and expected product comes in good condition. Would buy</v>
      </c>
    </row>
    <row r="17467">
      <c r="A17467" s="1">
        <v>4.0</v>
      </c>
      <c r="B17467" s="1" t="s">
        <v>17301</v>
      </c>
      <c r="C17467" t="str">
        <f>IFERROR(__xludf.DUMMYFUNCTION("GOOGLETRANSLATE(B17467, ""es"", ""en"")"),"Viky Tal cual he expected !! Not very big is perfect for women. The sphere is plastic but it looks good quality.")</f>
        <v>Viky Tal cual he expected !! Not very big is perfect for women. The sphere is plastic but it looks good quality.</v>
      </c>
    </row>
    <row r="17468">
      <c r="A17468" s="1">
        <v>4.0</v>
      </c>
      <c r="B17468" s="1" t="s">
        <v>17302</v>
      </c>
      <c r="C17468" t="str">
        <f>IFERROR(__xludf.DUMMYFUNCTION("GOOGLETRANSLATE(B17468, ""es"", ""en"")"),"Recommended to bring the basic quality of the product is quite acceptable, seams well miss, I did not find fault, zippers are good, just a tad short hanging strap could be a little longer. Overall good product")</f>
        <v>Recommended to bring the basic quality of the product is quite acceptable, seams well miss, I did not find fault, zippers are good, just a tad short hanging strap could be a little longer. Overall good product</v>
      </c>
    </row>
    <row r="17469">
      <c r="A17469" s="1">
        <v>4.0</v>
      </c>
      <c r="B17469" s="1" t="s">
        <v>17303</v>
      </c>
      <c r="C17469" t="str">
        <f>IFERROR(__xludf.DUMMYFUNCTION("GOOGLETRANSLATE(B17469, ""es"", ""en"")"),"Chiruca 39 was what I expected and had worn boots of this brand and find bad my number in 39 shops set price. Good service arrived in two days")</f>
        <v>Chiruca 39 was what I expected and had worn boots of this brand and find bad my number in 39 shops set price. Good service arrived in two days</v>
      </c>
    </row>
    <row r="17470">
      <c r="A17470" s="1">
        <v>5.0</v>
      </c>
      <c r="B17470" s="1" t="s">
        <v>17304</v>
      </c>
      <c r="C17470" t="str">
        <f>IFERROR(__xludf.DUMMYFUNCTION("GOOGLETRANSLATE(B17470, ""es"", ""en"")"),"Excellent I am using it to make a schedule of rewards are great, I used to Olímpia palstificadora for plasticizing hot and Watermark carrying completely disappears, well packed and I arrived a day before the expected, very happy with the buy buy again !!")</f>
        <v>Excellent I am using it to make a schedule of rewards are great, I used to Olímpia palstificadora for plasticizing hot and Watermark carrying completely disappears, well packed and I arrived a day before the expected, very happy with the buy buy again !!</v>
      </c>
    </row>
    <row r="17471">
      <c r="A17471" s="1">
        <v>5.0</v>
      </c>
      <c r="B17471" s="1" t="s">
        <v>17305</v>
      </c>
      <c r="C17471" t="str">
        <f>IFERROR(__xludf.DUMMYFUNCTION("GOOGLETRANSLATE(B17471, ""es"", ""en"")"),"Diez already knew and my neck pain, or pain or stories What I do, and here find the most economical")</f>
        <v>Diez already knew and my neck pain, or pain or stories What I do, and here find the most economical</v>
      </c>
    </row>
    <row r="17472">
      <c r="A17472" s="1">
        <v>5.0</v>
      </c>
      <c r="B17472" s="1" t="s">
        <v>17306</v>
      </c>
      <c r="C17472" t="str">
        <f>IFERROR(__xludf.DUMMYFUNCTION("GOOGLETRANSLATE(B17472, ""es"", ""en"")"),"A buy 5 stars The shipment was super fast, arrived in less than 24 hours. sufficient packaging, not the product expensive. It comes with charger cable and two additional sponges in case you break or lose. The finish is super smart, super lightweight and e"&amp;"asy handling. The sound quality is very good. No doubt I recommend it to 100%, and of course I would buy without hesitation.")</f>
        <v>A buy 5 stars The shipment was super fast, arrived in less than 24 hours. sufficient packaging, not the product expensive. It comes with charger cable and two additional sponges in case you break or lose. The finish is super smart, super lightweight and easy handling. The sound quality is very good. No doubt I recommend it to 100%, and of course I would buy without hesitation.</v>
      </c>
    </row>
    <row r="17473">
      <c r="A17473" s="1">
        <v>5.0</v>
      </c>
      <c r="B17473" s="1" t="s">
        <v>17307</v>
      </c>
      <c r="C17473" t="str">
        <f>IFERROR(__xludf.DUMMYFUNCTION("GOOGLETRANSLATE(B17473, ""es"", ""en"")"),"Very good service I am very happy with the purchase, works perfectly and both the care provided by the seller and delivery have been very good")</f>
        <v>Very good service I am very happy with the purchase, works perfectly and both the care provided by the seller and delivery have been very good</v>
      </c>
    </row>
    <row r="17474">
      <c r="A17474" s="1">
        <v>5.0</v>
      </c>
      <c r="B17474" s="1" t="s">
        <v>17308</v>
      </c>
      <c r="C17474" t="str">
        <f>IFERROR(__xludf.DUMMYFUNCTION("GOOGLETRANSLATE(B17474, ""es"", ""en"")"),"Good quality / price good quality / price")</f>
        <v>Good quality / price good quality / price</v>
      </c>
    </row>
    <row r="17475">
      <c r="A17475" s="1">
        <v>5.0</v>
      </c>
      <c r="B17475" s="1" t="s">
        <v>17309</v>
      </c>
      <c r="C17475" t="str">
        <f>IFERROR(__xludf.DUMMYFUNCTION("GOOGLETRANSLATE(B17475, ""es"", ""en"")"),"Very good! I loved and certainly bought")</f>
        <v>Very good! I loved and certainly bought</v>
      </c>
    </row>
    <row r="17476">
      <c r="A17476" s="1">
        <v>5.0</v>
      </c>
      <c r="B17476" s="1" t="s">
        <v>17310</v>
      </c>
      <c r="C17476" t="str">
        <f>IFERROR(__xludf.DUMMYFUNCTION("GOOGLETRANSLATE(B17476, ""es"", ""en"")"),"Comodo Comodo")</f>
        <v>Comodo Comodo</v>
      </c>
    </row>
    <row r="17477">
      <c r="A17477" s="1">
        <v>5.0</v>
      </c>
      <c r="B17477" s="1" t="s">
        <v>17311</v>
      </c>
      <c r="C17477" t="str">
        <f>IFERROR(__xludf.DUMMYFUNCTION("GOOGLETRANSLATE(B17477, ""es"", ""en"")"),"Good value have good visibility although it is a little big on the wrist.")</f>
        <v>Good value have good visibility although it is a little big on the wrist.</v>
      </c>
    </row>
    <row r="17478">
      <c r="A17478" s="1">
        <v>5.0</v>
      </c>
      <c r="B17478" s="1" t="s">
        <v>17312</v>
      </c>
      <c r="C17478" t="str">
        <f>IFERROR(__xludf.DUMMYFUNCTION("GOOGLETRANSLATE(B17478, ""es"", ""en"")"),"Perfect all good money. Received 1 day before. Perfect size for DINA4 and practical pockets, seams seem to hold up well.")</f>
        <v>Perfect all good money. Received 1 day before. Perfect size for DINA4 and practical pockets, seams seem to hold up well.</v>
      </c>
    </row>
    <row r="17479">
      <c r="A17479" s="1">
        <v>5.0</v>
      </c>
      <c r="B17479" s="1" t="s">
        <v>17313</v>
      </c>
      <c r="C17479" t="str">
        <f>IFERROR(__xludf.DUMMYFUNCTION("GOOGLETRANSLATE(B17479, ""es"", ""en"")"),"A unique product and not abused manufacturer in price, despite using a single system (the less you know) on the market. It's a great idea to combine with breast milk, so the baby must strive for only ooze, when absorbed, it never falls just like the rest "&amp;"of bottles.")</f>
        <v>A unique product and not abused manufacturer in price, despite using a single system (the less you know) on the market. It's a great idea to combine with breast milk, so the baby must strive for only ooze, when absorbed, it never falls just like the rest of bottles.</v>
      </c>
    </row>
    <row r="17480">
      <c r="A17480" s="1">
        <v>5.0</v>
      </c>
      <c r="B17480" s="1" t="s">
        <v>17314</v>
      </c>
      <c r="C17480" t="str">
        <f>IFERROR(__xludf.DUMMYFUNCTION("GOOGLETRANSLATE(B17480, ""es"", ""en"")"),"Very comfortable very comfortable, they do not slip and can be cleaned very easily")</f>
        <v>Very comfortable very comfortable, they do not slip and can be cleaned very easily</v>
      </c>
    </row>
    <row r="17481">
      <c r="A17481" s="1">
        <v>5.0</v>
      </c>
      <c r="B17481" s="1" t="s">
        <v>17315</v>
      </c>
      <c r="C17481" t="str">
        <f>IFERROR(__xludf.DUMMYFUNCTION("GOOGLETRANSLATE(B17481, ""es"", ""en"")"),"Very pretty. ideal size, good quality chain.")</f>
        <v>Very pretty. ideal size, good quality chain.</v>
      </c>
    </row>
    <row r="17482">
      <c r="A17482" s="1">
        <v>5.0</v>
      </c>
      <c r="B17482" s="1" t="s">
        <v>17316</v>
      </c>
      <c r="C17482" t="str">
        <f>IFERROR(__xludf.DUMMYFUNCTION("GOOGLETRANSLATE(B17482, ""es"", ""en"")"),"recommended very pleased with purchase, it is ideal, small, comfortable and doing very well, has no power but agran time to beat, especially fruits, if you add a little liquid goes swimmingly")</f>
        <v>recommended very pleased with purchase, it is ideal, small, comfortable and doing very well, has no power but agran time to beat, especially fruits, if you add a little liquid goes swimmingly</v>
      </c>
    </row>
    <row r="17483">
      <c r="A17483" s="1">
        <v>5.0</v>
      </c>
      <c r="B17483" s="1" t="s">
        <v>17317</v>
      </c>
      <c r="C17483" t="str">
        <f>IFERROR(__xludf.DUMMYFUNCTION("GOOGLETRANSLATE(B17483, ""es"", ""en"")"),"I loved detail, x the price is super nice, very nice and fine. With her pink bag tous, his typesetter and certified tous. Perfect for gift and treat yourself, a good price.")</f>
        <v>I loved detail, x the price is super nice, very nice and fine. With her pink bag tous, his typesetter and certified tous. Perfect for gift and treat yourself, a good price.</v>
      </c>
    </row>
    <row r="17484">
      <c r="A17484" s="1">
        <v>5.0</v>
      </c>
      <c r="B17484" s="1" t="s">
        <v>17318</v>
      </c>
      <c r="C17484" t="str">
        <f>IFERROR(__xludf.DUMMYFUNCTION("GOOGLETRANSLATE(B17484, ""es"", ""en"")"),"Right, it's what he says. As it described.")</f>
        <v>Right, it's what he says. As it described.</v>
      </c>
    </row>
    <row r="17485">
      <c r="A17485" s="1">
        <v>5.0</v>
      </c>
      <c r="B17485" s="1" t="s">
        <v>17319</v>
      </c>
      <c r="C17485" t="str">
        <f>IFERROR(__xludf.DUMMYFUNCTION("GOOGLETRANSLATE(B17485, ""es"", ""en"")"),"Appearance and professional use is the first measuring tape to buy independently. I always had givers with toolboxes or DIY packs. The difference is huge. It is rigid and remains firmly in place without problems. The best is the brake. If I had to complai"&amp;"n about something, it is that it is too big, but that's my fault for having chosen 5m. With 3m there would be more than enough. If you buy back would stay with the vesion of 3m.")</f>
        <v>Appearance and professional use is the first measuring tape to buy independently. I always had givers with toolboxes or DIY packs. The difference is huge. It is rigid and remains firmly in place without problems. The best is the brake. If I had to complain about something, it is that it is too big, but that's my fault for having chosen 5m. With 3m there would be more than enough. If you buy back would stay with the vesion of 3m.</v>
      </c>
    </row>
    <row r="17486">
      <c r="A17486" s="1">
        <v>5.0</v>
      </c>
      <c r="B17486" s="1" t="s">
        <v>17320</v>
      </c>
      <c r="C17486" t="str">
        <f>IFERROR(__xludf.DUMMYFUNCTION("GOOGLETRANSLATE(B17486, ""es"", ""en"")"),"well Perfect")</f>
        <v>well Perfect</v>
      </c>
    </row>
    <row r="17487">
      <c r="A17487" s="1">
        <v>5.0</v>
      </c>
      <c r="B17487" s="1" t="s">
        <v>17321</v>
      </c>
      <c r="C17487" t="str">
        <f>IFERROR(__xludf.DUMMYFUNCTION("GOOGLETRANSLATE(B17487, ""es"", ""en"")"),"Very cool microphone karaoke microphone that already have bought my daughter and was delighted. Buy this model as it had good reviews, and I hit the nail. Has a speaker where you can play songs from any device that transmits via Bluetooth, and is very fun"&amp;"ny voice echoes has, with the possibility of incorporating a memory card. Golden color, in my case, I feel fabulous, and includes cable for charging and connecting to another device. Battery pretty hard, and my little estabencantada, I managed fully ...")</f>
        <v>Very cool microphone karaoke microphone that already have bought my daughter and was delighted. Buy this model as it had good reviews, and I hit the nail. Has a speaker where you can play songs from any device that transmits via Bluetooth, and is very funny voice echoes has, with the possibility of incorporating a memory card. Golden color, in my case, I feel fabulous, and includes cable for charging and connecting to another device. Battery pretty hard, and my little estabencantada, I managed fully ...</v>
      </c>
    </row>
    <row r="17488">
      <c r="A17488" s="1">
        <v>5.0</v>
      </c>
      <c r="B17488" s="1" t="s">
        <v>17322</v>
      </c>
      <c r="C17488" t="str">
        <f>IFERROR(__xludf.DUMMYFUNCTION("GOOGLETRANSLATE(B17488, ""es"", ""en"")"),"Encantan💖 not weigh Preciosos.me")</f>
        <v>Encantan💖 not weigh Preciosos.me</v>
      </c>
    </row>
    <row r="17489">
      <c r="A17489" s="1">
        <v>2.0</v>
      </c>
      <c r="B17489" s="1" t="s">
        <v>17323</v>
      </c>
      <c r="C17489" t="str">
        <f>IFERROR(__xludf.DUMMYFUNCTION("GOOGLETRANSLATE(B17489, ""es"", ""en"")"),"I expected more from Black &amp; Decker After several months using it, I must say that I do not just do it. There are certain faults. Says ice pick, and it is true, but only homemade ice pica, ie, small buckets from home. Do not expect super huge ice of the p"&amp;"ique. While it is true that crushes you'll quickly (a gazpacho leaves him great, does not strain missing), it is necessary to take water or some kind of liquid so that it can trituar good things. Ie only does his work well with X amount of liquid in the c"&amp;"ontainer, but the cuchillqs move and not grind anything. The jar is glass and plastic cover with a mechanism that does not have any loss. Even if you put the blender at full power, stops having made a full stop and a Conclusion wonder, do not be led by th"&amp;"e positive comments of people who give up the product for free to try it, I believe with all due respect to They are not 100% objectives.")</f>
        <v>I expected more from Black &amp; Decker After several months using it, I must say that I do not just do it. There are certain faults. Says ice pick, and it is true, but only homemade ice pica, ie, small buckets from home. Do not expect super huge ice of the pique. While it is true that crushes you'll quickly (a gazpacho leaves him great, does not strain missing), it is necessary to take water or some kind of liquid so that it can trituar good things. Ie only does his work well with X amount of liquid in the container, but the cuchillqs move and not grind anything. The jar is glass and plastic cover with a mechanism that does not have any loss. Even if you put the blender at full power, stops having made a full stop and a Conclusion wonder, do not be led by the positive comments of people who give up the product for free to try it, I believe with all due respect to They are not 100% objectives.</v>
      </c>
    </row>
    <row r="17490">
      <c r="A17490" s="1">
        <v>3.0</v>
      </c>
      <c r="B17490" s="1" t="s">
        <v>17324</v>
      </c>
      <c r="C17490" t="str">
        <f>IFERROR(__xludf.DUMMYFUNCTION("GOOGLETRANSLATE(B17490, ""es"", ""en"")"),"Good for the price you did not expect more for the money they have. For the pictures I thought it would be different sizes to make different heights of the fingers, but are all the same size. The material is bad, but as I say, for the price it does not ex"&amp;"pect more.")</f>
        <v>Good for the price you did not expect more for the money they have. For the pictures I thought it would be different sizes to make different heights of the fingers, but are all the same size. The material is bad, but as I say, for the price it does not expect more.</v>
      </c>
    </row>
    <row r="17491">
      <c r="A17491" s="1">
        <v>3.0</v>
      </c>
      <c r="B17491" s="1" t="s">
        <v>17325</v>
      </c>
      <c r="C17491" t="str">
        <f>IFERROR(__xludf.DUMMYFUNCTION("GOOGLETRANSLATE(B17491, ""es"", ""en"")"),"It was a gift and was a gift really liked and really liked")</f>
        <v>It was a gift and was a gift really liked and really liked</v>
      </c>
    </row>
    <row r="17492">
      <c r="A17492" s="1">
        <v>1.0</v>
      </c>
      <c r="B17492" s="1" t="s">
        <v>17326</v>
      </c>
      <c r="C17492" t="str">
        <f>IFERROR(__xludf.DUMMYFUNCTION("GOOGLETRANSLATE(B17492, ""es"", ""en"")"),"False! Are false, they are not apple. Lamentable by Amazon. With only noticeable differences touching them.")</f>
        <v>False! Are false, they are not apple. Lamentable by Amazon. With only noticeable differences touching them.</v>
      </c>
    </row>
    <row r="17493">
      <c r="A17493" s="1">
        <v>1.0</v>
      </c>
      <c r="B17493" s="1" t="s">
        <v>17327</v>
      </c>
      <c r="C17493" t="str">
        <f>IFERROR(__xludf.DUMMYFUNCTION("GOOGLETRANSLATE(B17493, ""es"", ""en"")"),"Alexandra poor quality, very synthetic and design is not what's in the photo. It back, it seems a small market. Alexandra")</f>
        <v>Alexandra poor quality, very synthetic and design is not what's in the photo. It back, it seems a small market. Alexandra</v>
      </c>
    </row>
    <row r="17494">
      <c r="A17494" s="1">
        <v>4.0</v>
      </c>
      <c r="B17494" s="1" t="s">
        <v>17328</v>
      </c>
      <c r="C17494" t="str">
        <f>IFERROR(__xludf.DUMMYFUNCTION("GOOGLETRANSLATE(B17494, ""es"", ""en"")"),"Very good This very well")</f>
        <v>Very good This very well</v>
      </c>
    </row>
    <row r="17495">
      <c r="A17495" s="1">
        <v>4.0</v>
      </c>
      <c r="B17495" s="1" t="s">
        <v>17329</v>
      </c>
      <c r="C17495" t="str">
        <f>IFERROR(__xludf.DUMMYFUNCTION("GOOGLETRANSLATE(B17495, ""es"", ""en"")"),"SUPER SIZE AND QUALITY OK")</f>
        <v>SUPER SIZE AND QUALITY OK</v>
      </c>
    </row>
    <row r="17496">
      <c r="A17496" s="1">
        <v>4.0</v>
      </c>
      <c r="B17496" s="1" t="s">
        <v>17330</v>
      </c>
      <c r="C17496" t="str">
        <f>IFERROR(__xludf.DUMMYFUNCTION("GOOGLETRANSLATE(B17496, ""es"", ""en"")"),"Shreds perfect moment works perfectly ... the blade difficult access to clean")</f>
        <v>Shreds perfect moment works perfectly ... the blade difficult access to clean</v>
      </c>
    </row>
    <row r="17497">
      <c r="A17497" s="1">
        <v>4.0</v>
      </c>
      <c r="B17497" s="1" t="s">
        <v>17331</v>
      </c>
      <c r="C17497" t="str">
        <f>IFERROR(__xludf.DUMMYFUNCTION("GOOGLETRANSLATE(B17497, ""es"", ""en"")"),"CLOCK - MEETS WITH WHAT THE GIFT required design and functionality that has done what we wanted. The only thing I did not like is the box in which he went.")</f>
        <v>CLOCK - MEETS WITH WHAT THE GIFT required design and functionality that has done what we wanted. The only thing I did not like is the box in which he went.</v>
      </c>
    </row>
    <row r="17498">
      <c r="A17498" s="1">
        <v>4.0</v>
      </c>
      <c r="B17498" s="1" t="s">
        <v>17332</v>
      </c>
      <c r="C17498" t="str">
        <f>IFERROR(__xludf.DUMMYFUNCTION("GOOGLETRANSLATE(B17498, ""es"", ""en"")"),"Does not pick color option Llego well, I play the blue and is very nice and well catch pens Perhaps if they gave option to choose what would buy")</f>
        <v>Does not pick color option Llego well, I play the blue and is very nice and well catch pens Perhaps if they gave option to choose what would buy</v>
      </c>
    </row>
    <row r="17499">
      <c r="A17499" s="1">
        <v>5.0</v>
      </c>
      <c r="B17499" s="1" t="s">
        <v>17333</v>
      </c>
      <c r="C17499" t="str">
        <f>IFERROR(__xludf.DUMMYFUNCTION("GOOGLETRANSLATE(B17499, ""es"", ""en"")"),"Good design good quality.")</f>
        <v>Good design good quality.</v>
      </c>
    </row>
    <row r="17500">
      <c r="A17500" s="1">
        <v>5.0</v>
      </c>
      <c r="B17500" s="1" t="s">
        <v>17334</v>
      </c>
      <c r="C17500" t="str">
        <f>IFERROR(__xludf.DUMMYFUNCTION("GOOGLETRANSLATE(B17500, ""es"", ""en"")"),"Trouble all right")</f>
        <v>Trouble all right</v>
      </c>
    </row>
    <row r="17501">
      <c r="A17501" s="1">
        <v>5.0</v>
      </c>
      <c r="B17501" s="1" t="s">
        <v>17335</v>
      </c>
      <c r="C17501" t="str">
        <f>IFERROR(__xludf.DUMMYFUNCTION("GOOGLETRANSLATE(B17501, ""es"", ""en"")"),"Good value Buy these headphones because I wanted to have some to listen to music wirelessly and make phone calls with complete freedom, because when you talk on the phone with a wired headset and doing other things, surely you ever You will have passed th"&amp;"at have touched the wire and you have headphones hook ear or will you tell me not? Sending by Amazon wonderful as always on a business day mellegaron home. The headphones come beautifully presented in a small box very subtle, bring cable micro USB chargin"&amp;"g to load (not including charger, you have to put your or connect it to the USB of your PC) also carry a spare pads that never hurts . They say that the installation is super simple barely out of the box you get the right pressing him to the handset and l"&amp;"onger matches, then do the same with the left and voila, the truth is wonderful, very fast. Once I have done, provided the bluetooh your mobile is on the out of the box you put them and connect automatically. Its sound quality could say that is not the be"&amp;"st but if this quite well considering their value. I did a test with them listening to music, I go away about 10 meters from where he had located the mobile and truth still sounded as if he had to side. I've been making several phone calls and I have not "&amp;"had any problems, they listen to me perfectly and I them too. For your convenience you could say they are quite comfortable, I have no hits. They adapt well enough to the ear and have good grip.")</f>
        <v>Good value Buy these headphones because I wanted to have some to listen to music wirelessly and make phone calls with complete freedom, because when you talk on the phone with a wired headset and doing other things, surely you ever You will have passed that have touched the wire and you have headphones hook ear or will you tell me not? Sending by Amazon wonderful as always on a business day mellegaron home. The headphones come beautifully presented in a small box very subtle, bring cable micro USB charging to load (not including charger, you have to put your or connect it to the USB of your PC) also carry a spare pads that never hurts . They say that the installation is super simple barely out of the box you get the right pressing him to the handset and longer matches, then do the same with the left and voila, the truth is wonderful, very fast. Once I have done, provided the bluetooh your mobile is on the out of the box you put them and connect automatically. Its sound quality could say that is not the best but if this quite well considering their value. I did a test with them listening to music, I go away about 10 meters from where he had located the mobile and truth still sounded as if he had to side. I've been making several phone calls and I have not had any problems, they listen to me perfectly and I them too. For your convenience you could say they are quite comfortable, I have no hits. They adapt well enough to the ear and have good grip.</v>
      </c>
    </row>
    <row r="17502">
      <c r="A17502" s="1">
        <v>5.0</v>
      </c>
      <c r="B17502" s="1" t="s">
        <v>17336</v>
      </c>
      <c r="C17502" t="str">
        <f>IFERROR(__xludf.DUMMYFUNCTION("GOOGLETRANSLATE(B17502, ""es"", ""en"")"),"Small but efficient Ideal size for small spaces, have different colored lights. Fulfills its function.")</f>
        <v>Small but efficient Ideal size for small spaces, have different colored lights. Fulfills its function.</v>
      </c>
    </row>
    <row r="17503">
      <c r="A17503" s="1">
        <v>5.0</v>
      </c>
      <c r="B17503" s="1" t="s">
        <v>17337</v>
      </c>
      <c r="C17503" t="str">
        <f>IFERROR(__xludf.DUMMYFUNCTION("GOOGLETRANSLATE(B17503, ""es"", ""en"")"),"Casio Very good product. Very pleased with this article, it represents a strong and elegant clock time can be taken to most situations")</f>
        <v>Casio Very good product. Very pleased with this article, it represents a strong and elegant clock time can be taken to most situations</v>
      </c>
    </row>
    <row r="17504">
      <c r="A17504" s="1">
        <v>5.0</v>
      </c>
      <c r="B17504" s="1" t="s">
        <v>17338</v>
      </c>
      <c r="C17504" t="str">
        <f>IFERROR(__xludf.DUMMYFUNCTION("GOOGLETRANSLATE(B17504, ""es"", ""en"")"),"Cracking robot is the caña.El soil mapping works very well.The impecable.Super leaves it simple to utilizar.Se I connect to the wifi in sengundos. I thought that when scrubbing would not do me well, surprised how well it does. If I had known I would not h"&amp;"ave taken long, it saves me a very long time in cleaning the command where I want and when I want. No crazy follows its cleaning pattern to perfection.")</f>
        <v>Cracking robot is the caña.El soil mapping works very well.The impecable.Super leaves it simple to utilizar.Se I connect to the wifi in sengundos. I thought that when scrubbing would not do me well, surprised how well it does. If I had known I would not have taken long, it saves me a very long time in cleaning the command where I want and when I want. No crazy follows its cleaning pattern to perfection.</v>
      </c>
    </row>
    <row r="17505">
      <c r="A17505" s="1">
        <v>5.0</v>
      </c>
      <c r="B17505" s="1" t="s">
        <v>17339</v>
      </c>
      <c r="C17505" t="str">
        <f>IFERROR(__xludf.DUMMYFUNCTION("GOOGLETRANSLATE(B17505, ""es"", ""en"")"),"Good product Necklace")</f>
        <v>Good product Necklace</v>
      </c>
    </row>
    <row r="17506">
      <c r="A17506" s="1">
        <v>5.0</v>
      </c>
      <c r="B17506" s="1" t="s">
        <v>17340</v>
      </c>
      <c r="C17506" t="str">
        <f>IFERROR(__xludf.DUMMYFUNCTION("GOOGLETRANSLATE(B17506, ""es"", ""en"")"),"Very pleased with elegant watch mens watch, very thorough and minimalist, loque makes it very elegant and a very good price. It has two hands red, emphasizing the black background. It does not weigh much and is very well with any clothing to match. In sho"&amp;"rt, very happy.")</f>
        <v>Very pleased with elegant watch mens watch, very thorough and minimalist, loque makes it very elegant and a very good price. It has two hands red, emphasizing the black background. It does not weigh much and is very well with any clothing to match. In short, very happy.</v>
      </c>
    </row>
    <row r="17507">
      <c r="A17507" s="1">
        <v>5.0</v>
      </c>
      <c r="B17507" s="1" t="s">
        <v>17341</v>
      </c>
      <c r="C17507" t="str">
        <f>IFERROR(__xludf.DUMMYFUNCTION("GOOGLETRANSLATE(B17507, ""es"", ""en"")"),"This light and very nice very good for the money you have and is very nice")</f>
        <v>This light and very nice very good for the money you have and is very nice</v>
      </c>
    </row>
    <row r="17508">
      <c r="A17508" s="1">
        <v>5.0</v>
      </c>
      <c r="B17508" s="1" t="s">
        <v>17342</v>
      </c>
      <c r="C17508" t="str">
        <f>IFERROR(__xludf.DUMMYFUNCTION("GOOGLETRANSLATE(B17508, ""es"", ""en"")"),"Lacks good quality instruction manual. To this day, the micro has stopped working. I bought others just because I like.")</f>
        <v>Lacks good quality instruction manual. To this day, the micro has stopped working. I bought others just because I like.</v>
      </c>
    </row>
    <row r="17509">
      <c r="A17509" s="1">
        <v>5.0</v>
      </c>
      <c r="B17509" s="1" t="s">
        <v>17343</v>
      </c>
      <c r="C17509" t="str">
        <f>IFERROR(__xludf.DUMMYFUNCTION("GOOGLETRANSLATE(B17509, ""es"", ""en"")"),"Perfect Perfect. As it described. good buy")</f>
        <v>Perfect Perfect. As it described. good buy</v>
      </c>
    </row>
    <row r="17510">
      <c r="A17510" s="1">
        <v>5.0</v>
      </c>
      <c r="B17510" s="1" t="s">
        <v>17344</v>
      </c>
      <c r="C17510" t="str">
        <f>IFERROR(__xludf.DUMMYFUNCTION("GOOGLETRANSLATE(B17510, ""es"", ""en"")"),"Practice and access almost anywhere in the title I put it practice and access almost anywhere because I really think it's a wise move. It's small, so you can put it under furniture (furniture with legs or hollow, of course), reaches corners, etc. In addit"&amp;"ion, the handle is of the ""compounds"" for sections. So you can adapt it to your height or need. The system has the base rubber that makes the interchangeable cloth not slip every now and disengaging, which happens with other mops of this type. In additi"&amp;"on, a squishy base to prevent knocks against furniture and others. Spare parts are padded and also absorbent, so you can use it on wet surfaces. Definitely I recommend it.")</f>
        <v>Practice and access almost anywhere in the title I put it practice and access almost anywhere because I really think it's a wise move. It's small, so you can put it under furniture (furniture with legs or hollow, of course), reaches corners, etc. In addition, the handle is of the "compounds" for sections. So you can adapt it to your height or need. The system has the base rubber that makes the interchangeable cloth not slip every now and disengaging, which happens with other mops of this type. In addition, a squishy base to prevent knocks against furniture and others. Spare parts are padded and also absorbent, so you can use it on wet surfaces. Definitely I recommend it.</v>
      </c>
    </row>
    <row r="17511">
      <c r="A17511" s="1">
        <v>5.0</v>
      </c>
      <c r="B17511" s="1" t="s">
        <v>17345</v>
      </c>
      <c r="C17511" t="str">
        <f>IFERROR(__xludf.DUMMYFUNCTION("GOOGLETRANSLATE(B17511, ""es"", ""en"")"),"Comodisimos Comfort charge in the same box, the aesthetics of the product, its sound quality and ease of use that was very important (and difficult to get to me) for me make this very satisfied with the purchase. I recommend a great article.")</f>
        <v>Comodisimos Comfort charge in the same box, the aesthetics of the product, its sound quality and ease of use that was very important (and difficult to get to me) for me make this very satisfied with the purchase. I recommend a great article.</v>
      </c>
    </row>
    <row r="17512">
      <c r="A17512" s="1">
        <v>5.0</v>
      </c>
      <c r="B17512" s="1" t="s">
        <v>17346</v>
      </c>
      <c r="C17512" t="str">
        <f>IFERROR(__xludf.DUMMYFUNCTION("GOOGLETRANSLATE(B17512, ""es"", ""en"")"),". Soft and light")</f>
        <v>. Soft and light</v>
      </c>
    </row>
    <row r="17513">
      <c r="A17513" s="1">
        <v>5.0</v>
      </c>
      <c r="B17513" s="1" t="s">
        <v>17347</v>
      </c>
      <c r="C17513" t="str">
        <f>IFERROR(__xludf.DUMMYFUNCTION("GOOGLETRANSLATE(B17513, ""es"", ""en"")"),"I get to everywhere thanks to the handle to see in the photo I expected it to be smaller, but it's a big boy. He is looking for a massager with handle because it came to the massage myself everywhere, even in the back that is where you normally use and I "&amp;"have a lot pain. Each cabezam plays a different role, and it shows.")</f>
        <v>I get to everywhere thanks to the handle to see in the photo I expected it to be smaller, but it's a big boy. He is looking for a massager with handle because it came to the massage myself everywhere, even in the back that is where you normally use and I have a lot pain. Each cabezam plays a different role, and it shows.</v>
      </c>
    </row>
    <row r="17514">
      <c r="A17514" s="1">
        <v>5.0</v>
      </c>
      <c r="B17514" s="1" t="s">
        <v>17348</v>
      </c>
      <c r="C17514" t="str">
        <f>IFERROR(__xludf.DUMMYFUNCTION("GOOGLETRANSLATE(B17514, ""es"", ""en"")"),"Laser pointer going very well. I use Windows and Linux presentation slides go. The laser has good light and powerful.")</f>
        <v>Laser pointer going very well. I use Windows and Linux presentation slides go. The laser has good light and powerful.</v>
      </c>
    </row>
    <row r="17515">
      <c r="A17515" s="1">
        <v>5.0</v>
      </c>
      <c r="B17515" s="1" t="s">
        <v>17349</v>
      </c>
      <c r="C17515" t="str">
        <f>IFERROR(__xludf.DUMMYFUNCTION("GOOGLETRANSLATE(B17515, ""es"", ""en"")"),"Very good! Nothing to do whatsoever with the Chinese, the difference is huge.")</f>
        <v>Very good! Nothing to do whatsoever with the Chinese, the difference is huge.</v>
      </c>
    </row>
    <row r="17516">
      <c r="A17516" s="1">
        <v>5.0</v>
      </c>
      <c r="B17516" s="1" t="s">
        <v>17350</v>
      </c>
      <c r="C17516" t="str">
        <f>IFERROR(__xludf.DUMMYFUNCTION("GOOGLETRANSLATE(B17516, ""es"", ""en"")"),"Miguel of the best Casio watches is an SUV that is never broken and hold what you throw.")</f>
        <v>Miguel of the best Casio watches is an SUV that is never broken and hold what you throw.</v>
      </c>
    </row>
    <row r="17517">
      <c r="A17517" s="1">
        <v>2.0</v>
      </c>
      <c r="B17517" s="1" t="s">
        <v>17351</v>
      </c>
      <c r="C17517" t="str">
        <f>IFERROR(__xludf.DUMMYFUNCTION("GOOGLETRANSLATE(B17517, ""es"", ""en"")"),"Regular We have received the product in the estimated time, but did not like me much because I think super little expensive for what it is, in the larger picture the rest seemed quite right Thanks Cristina.")</f>
        <v>Regular We have received the product in the estimated time, but did not like me much because I think super little expensive for what it is, in the larger picture the rest seemed quite right Thanks Cristina.</v>
      </c>
    </row>
    <row r="17518">
      <c r="A17518" s="1">
        <v>3.0</v>
      </c>
      <c r="B17518" s="1" t="s">
        <v>17352</v>
      </c>
      <c r="C17518" t="str">
        <f>IFERROR(__xludf.DUMMYFUNCTION("GOOGLETRANSLATE(B17518, ""es"", ""en"")"),"The sole slips right into me room")</f>
        <v>The sole slips right into me room</v>
      </c>
    </row>
    <row r="17519">
      <c r="A17519" s="1">
        <v>1.0</v>
      </c>
      <c r="B17519" s="1" t="s">
        <v>17353</v>
      </c>
      <c r="C17519" t="str">
        <f>IFERROR(__xludf.DUMMYFUNCTION("GOOGLETRANSLATE(B17519, ""es"", ""en"")"),"Poor quality not work shoddy product! volume commands do not work ... when I connect to the phone is not heard and you have to remove them and put it back until it gets .... very disappointed that the price is cheap but esque is a scam, besides that I bou"&amp;"ght 2 units and both presents the same failures ... are worthless.")</f>
        <v>Poor quality not work shoddy product! volume commands do not work ... when I connect to the phone is not heard and you have to remove them and put it back until it gets .... very disappointed that the price is cheap but esque is a scam, besides that I bought 2 units and both presents the same failures ... are worthless.</v>
      </c>
    </row>
    <row r="17520">
      <c r="A17520" s="1">
        <v>1.0</v>
      </c>
      <c r="B17520" s="1" t="s">
        <v>17354</v>
      </c>
      <c r="C17520" t="str">
        <f>IFERROR(__xludf.DUMMYFUNCTION("GOOGLETRANSLATE(B17520, ""es"", ""en"")"),"It is not solid transparent plastic thing always breaks")</f>
        <v>It is not solid transparent plastic thing always breaks</v>
      </c>
    </row>
    <row r="17521">
      <c r="A17521" s="1">
        <v>4.0</v>
      </c>
      <c r="B17521" s="1" t="s">
        <v>17355</v>
      </c>
      <c r="C17521" t="str">
        <f>IFERROR(__xludf.DUMMYFUNCTION("GOOGLETRANSLATE(B17521, ""es"", ""en"")"),"Very convenient Easy to use, small and tough, is a drive pen very convenient to carry in a small pocket for anyone to use at any time, the bad is that it is USB 2.0 and is somewhat slow, but for a few documents how many is enough .")</f>
        <v>Very convenient Easy to use, small and tough, is a drive pen very convenient to carry in a small pocket for anyone to use at any time, the bad is that it is USB 2.0 and is somewhat slow, but for a few documents how many is enough .</v>
      </c>
    </row>
    <row r="17522">
      <c r="A17522" s="1">
        <v>4.0</v>
      </c>
      <c r="B17522" s="1" t="s">
        <v>17356</v>
      </c>
      <c r="C17522" t="str">
        <f>IFERROR(__xludf.DUMMYFUNCTION("GOOGLETRANSLATE(B17522, ""es"", ""en"")"),"perfect watch out for its simplicity of lines, to carrying just the basics makes it easier readable. With an index of reliability and accuracy over its price. Anyway elegant design for a small fee.")</f>
        <v>perfect watch out for its simplicity of lines, to carrying just the basics makes it easier readable. With an index of reliability and accuracy over its price. Anyway elegant design for a small fee.</v>
      </c>
    </row>
    <row r="17523">
      <c r="A17523" s="1">
        <v>4.0</v>
      </c>
      <c r="B17523" s="1" t="s">
        <v>17357</v>
      </c>
      <c r="C17523" t="str">
        <f>IFERROR(__xludf.DUMMYFUNCTION("GOOGLETRANSLATE(B17523, ""es"", ""en"")"),"Fulfills its function I've bought for placing notes and fairly, also has 3 positions. The only downside is that the bottom holding notes / book came loose (attached photo), but it's something I can fix with a little glue, and in my case is a part of the s"&amp;"cratched metal (attached photo). But value is fine for what I want.")</f>
        <v>Fulfills its function I've bought for placing notes and fairly, also has 3 positions. The only downside is that the bottom holding notes / book came loose (attached photo), but it's something I can fix with a little glue, and in my case is a part of the scratched metal (attached photo). But value is fine for what I want.</v>
      </c>
    </row>
    <row r="17524">
      <c r="A17524" s="1">
        <v>4.0</v>
      </c>
      <c r="B17524" s="1" t="s">
        <v>17358</v>
      </c>
      <c r="C17524" t="str">
        <f>IFERROR(__xludf.DUMMYFUNCTION("GOOGLETRANSLATE(B17524, ""es"", ""en"")"),"Perfectly fulfills its function A kettle that meets perfectly. It is elegant and simple, the water level is transparent, which makes it much easier filling if it is for specific things (to fill a hot water bottle when you know what capacity is the bag). A"&amp;"t home we use it for everything, even to avoid waiting for start to boil the cooking water for macaroni, for example, put the kettle on while we prepare the ingredients, pot, etc ... and when you want to water features have already boiling on the fire sta"&amp;"rts a pas pis after being heated in the kettle. A detail very curious and I have no idea why it happens, it is that the water heated in hard kettle much warmer weather than heated to fire or microwave, I get water bag on the bed and takes many hot hours. "&amp;"The price / quality ratio is pretty good, within the price, lower middle which is an additional incentive to practicality.")</f>
        <v>Perfectly fulfills its function A kettle that meets perfectly. It is elegant and simple, the water level is transparent, which makes it much easier filling if it is for specific things (to fill a hot water bottle when you know what capacity is the bag). At home we use it for everything, even to avoid waiting for start to boil the cooking water for macaroni, for example, put the kettle on while we prepare the ingredients, pot, etc ... and when you want to water features have already boiling on the fire starts a pas pis after being heated in the kettle. A detail very curious and I have no idea why it happens, it is that the water heated in hard kettle much warmer weather than heated to fire or microwave, I get water bag on the bed and takes many hot hours. The price / quality ratio is pretty good, within the price, lower middle which is an additional incentive to practicality.</v>
      </c>
    </row>
    <row r="17525">
      <c r="A17525" s="1">
        <v>4.0</v>
      </c>
      <c r="B17525" s="1" t="s">
        <v>17359</v>
      </c>
      <c r="C17525" t="str">
        <f>IFERROR(__xludf.DUMMYFUNCTION("GOOGLETRANSLATE(B17525, ""es"", ""en"")"),"Practical and good quality case to protect the glass bottle is very good idea. Improves adhesion of the hand and step extends the life of the heat of the liquid. Against ... because she had seen the cover in a nice gray color with yellow-green spikes and "&amp;"then comes another color. Not bad but I think it should match the web image with the product that comes home.")</f>
        <v>Practical and good quality case to protect the glass bottle is very good idea. Improves adhesion of the hand and step extends the life of the heat of the liquid. Against ... because she had seen the cover in a nice gray color with yellow-green spikes and then comes another color. Not bad but I think it should match the web image with the product that comes home.</v>
      </c>
    </row>
    <row r="17526">
      <c r="A17526" s="1">
        <v>5.0</v>
      </c>
      <c r="B17526" s="1" t="s">
        <v>17360</v>
      </c>
      <c r="C17526" t="str">
        <f>IFERROR(__xludf.DUMMYFUNCTION("GOOGLETRANSLATE(B17526, ""es"", ""en"")"),"Chain is very good and the quality is excellent'm very happy with the chain was a gift for my mother and is very nice and very good quality recommend")</f>
        <v>Chain is very good and the quality is excellent'm very happy with the chain was a gift for my mother and is very nice and very good quality recommend</v>
      </c>
    </row>
    <row r="17527">
      <c r="A17527" s="1">
        <v>5.0</v>
      </c>
      <c r="B17527" s="1" t="s">
        <v>17361</v>
      </c>
      <c r="C17527" t="str">
        <f>IFERROR(__xludf.DUMMYFUNCTION("GOOGLETRANSLATE(B17527, ""es"", ""en"")"),"Phenomenal hooded sweatshirt terrific, very warm, good size, carves a tad larger than other carvings, but I ordered a size M that is using my husband and looks good. very good quality and an even better price")</f>
        <v>Phenomenal hooded sweatshirt terrific, very warm, good size, carves a tad larger than other carvings, but I ordered a size M that is using my husband and looks good. very good quality and an even better price</v>
      </c>
    </row>
    <row r="17528">
      <c r="A17528" s="1">
        <v>5.0</v>
      </c>
      <c r="B17528" s="1" t="s">
        <v>17362</v>
      </c>
      <c r="C17528" t="str">
        <f>IFERROR(__xludf.DUMMYFUNCTION("GOOGLETRANSLATE(B17528, ""es"", ""en"")"),"Okay good brand, good product, good price to buy it because it was priced although I recognize that I will have for a long time but tape for small business I recommend you buy it because it is easily cut and quality.")</f>
        <v>Okay good brand, good product, good price to buy it because it was priced although I recognize that I will have for a long time but tape for small business I recommend you buy it because it is easily cut and quality.</v>
      </c>
    </row>
    <row r="17529">
      <c r="A17529" s="1">
        <v>5.0</v>
      </c>
      <c r="B17529" s="1" t="s">
        <v>17363</v>
      </c>
      <c r="C17529" t="str">
        <f>IFERROR(__xludf.DUMMYFUNCTION("GOOGLETRANSLATE(B17529, ""es"", ""en"")"),"Photo nice watch as it bought the watch for a gift and were happy. Well packed and very nice wine box ideal for this purpose. Beautifully presented in its box with new labels and everything. As is the description of the clock in weight, 5 bars, diameter, "&amp;"circumference, etc ... Sobra remove a link nothing better whilst fitting the wrist and it makes sense for anyone with wrist bigger ... that's normal when shopping a clock wherever that may be. Perfect !!")</f>
        <v>Photo nice watch as it bought the watch for a gift and were happy. Well packed and very nice wine box ideal for this purpose. Beautifully presented in its box with new labels and everything. As is the description of the clock in weight, 5 bars, diameter, circumference, etc ... Sobra remove a link nothing better whilst fitting the wrist and it makes sense for anyone with wrist bigger ... that's normal when shopping a clock wherever that may be. Perfect !!</v>
      </c>
    </row>
    <row r="17530">
      <c r="A17530" s="1">
        <v>5.0</v>
      </c>
      <c r="B17530" s="1" t="s">
        <v>17364</v>
      </c>
      <c r="C17530" t="str">
        <f>IFERROR(__xludf.DUMMYFUNCTION("GOOGLETRANSLATE(B17530, ""es"", ""en"")"),"Backpack Crusade All right!")</f>
        <v>Backpack Crusade All right!</v>
      </c>
    </row>
    <row r="17531">
      <c r="A17531" s="1">
        <v>5.0</v>
      </c>
      <c r="B17531" s="1" t="s">
        <v>17365</v>
      </c>
      <c r="C17531" t="str">
        <f>IFERROR(__xludf.DUMMYFUNCTION("GOOGLETRANSLATE(B17531, ""es"", ""en"")"),"I bought it great for me because I found the right size and have successful, is fairly light but looks cool and casual while sporting. casio quality")</f>
        <v>I bought it great for me because I found the right size and have successful, is fairly light but looks cool and casual while sporting. casio quality</v>
      </c>
    </row>
    <row r="17532">
      <c r="A17532" s="1">
        <v>5.0</v>
      </c>
      <c r="B17532" s="1" t="s">
        <v>17366</v>
      </c>
      <c r="C17532" t="str">
        <f>IFERROR(__xludf.DUMMYFUNCTION("GOOGLETRANSLATE(B17532, ""es"", ""en"")"),"Comfortable shoes comfortable and beautiful, useful for day to day and for sport")</f>
        <v>Comfortable shoes comfortable and beautiful, useful for day to day and for sport</v>
      </c>
    </row>
    <row r="17533">
      <c r="A17533" s="1">
        <v>5.0</v>
      </c>
      <c r="B17533" s="1" t="s">
        <v>17367</v>
      </c>
      <c r="C17533" t="str">
        <f>IFERROR(__xludf.DUMMYFUNCTION("GOOGLETRANSLATE(B17533, ""es"", ""en"")"),"Useful for crafts and students he had never used any and have found it very useful and easy to use. I printed cards with scissors and the finish was not perfect than expected, with this pileup cut it is perfect and fast.")</f>
        <v>Useful for crafts and students he had never used any and have found it very useful and easy to use. I printed cards with scissors and the finish was not perfect than expected, with this pileup cut it is perfect and fast.</v>
      </c>
    </row>
    <row r="17534">
      <c r="A17534" s="1">
        <v>5.0</v>
      </c>
      <c r="B17534" s="1" t="s">
        <v>17368</v>
      </c>
      <c r="C17534" t="str">
        <f>IFERROR(__xludf.DUMMYFUNCTION("GOOGLETRANSLATE(B17534, ""es"", ""en"")"),"Very comfortable, a good buy is an ideal bolso_mochila to take the necessary, I use to go to work and carry documentation, water, hard disk .... is very comfortable and very fast shipment arrived.")</f>
        <v>Very comfortable, a good buy is an ideal bolso_mochila to take the necessary, I use to go to work and carry documentation, water, hard disk .... is very comfortable and very fast shipment arrived.</v>
      </c>
    </row>
    <row r="17535">
      <c r="A17535" s="1">
        <v>5.0</v>
      </c>
      <c r="B17535" s="1" t="s">
        <v>17369</v>
      </c>
      <c r="C17535" t="str">
        <f>IFERROR(__xludf.DUMMYFUNCTION("GOOGLETRANSLATE(B17535, ""es"", ""en"")"),"WD never disappoints. I'm a big fan of WD, the truth for me are the best hard drives out there, this is a very good price for the 4 TB of storage are 5400 rpm that some may seem little, but being a disc I only use to store, I prefer it that way since the "&amp;"7200 rpm drives are slightly faster but also have greater wear.")</f>
        <v>WD never disappoints. I'm a big fan of WD, the truth for me are the best hard drives out there, this is a very good price for the 4 TB of storage are 5400 rpm that some may seem little, but being a disc I only use to store, I prefer it that way since the 7200 rpm drives are slightly faster but also have greater wear.</v>
      </c>
    </row>
    <row r="17536">
      <c r="A17536" s="1">
        <v>5.0</v>
      </c>
      <c r="B17536" s="1" t="s">
        <v>17370</v>
      </c>
      <c r="C17536" t="str">
        <f>IFERROR(__xludf.DUMMYFUNCTION("GOOGLETRANSLATE(B17536, ""es"", ""en"")"),"Very happy Super lightweight and comfortable recommend")</f>
        <v>Very happy Super lightweight and comfortable recommend</v>
      </c>
    </row>
    <row r="17537">
      <c r="A17537" s="1">
        <v>5.0</v>
      </c>
      <c r="B17537" s="1" t="s">
        <v>17371</v>
      </c>
      <c r="C17537" t="str">
        <f>IFERROR(__xludf.DUMMYFUNCTION("GOOGLETRANSLATE(B17537, ""es"", ""en"")"),"Hand mixer The 3 b the best so far all good money machine")</f>
        <v>Hand mixer The 3 b the best so far all good money machine</v>
      </c>
    </row>
    <row r="17538">
      <c r="A17538" s="1">
        <v>5.0</v>
      </c>
      <c r="B17538" s="1" t="s">
        <v>17372</v>
      </c>
      <c r="C17538" t="str">
        <f>IFERROR(__xludf.DUMMYFUNCTION("GOOGLETRANSLATE(B17538, ""es"", ""en"")"),"Very good indeed! New Year new cables! I've been testing this cable for a few days and I loved it! Blue is my favorite and in addition to being fabric are not many knots. The calvija going to the guitar has angle and thus prevents excessively bend and bre"&amp;"ak the cable before it is due! Charmed!")</f>
        <v>Very good indeed! New Year new cables! I've been testing this cable for a few days and I loved it! Blue is my favorite and in addition to being fabric are not many knots. The calvija going to the guitar has angle and thus prevents excessively bend and break the cable before it is due! Charmed!</v>
      </c>
    </row>
    <row r="17539">
      <c r="A17539" s="1">
        <v>5.0</v>
      </c>
      <c r="B17539" s="1" t="s">
        <v>17373</v>
      </c>
      <c r="C17539" t="str">
        <f>IFERROR(__xludf.DUMMYFUNCTION("GOOGLETRANSLATE(B17539, ""es"", ""en"")"),"DESPERTARES NICE !! Alarm clock with different functions .... I love the sound of the alarm, always he wore the typical sound of alarm, but with this watch awakening becomes more pleasant, put the alarm and set up the sound and lights, which love to put m"&amp;"e so before the alarm sounds, enpieza red lights from sunrise to Light yellow simulating the day ... the awakening is more enjoyable ... I set apart also if there are days when I can not sleep ... the sound of the stream, which is so nice that just taking"&amp;" asleep quickly ... different lights, sounds, alarms ... I loved !!!")</f>
        <v>DESPERTARES NICE !! Alarm clock with different functions .... I love the sound of the alarm, always he wore the typical sound of alarm, but with this watch awakening becomes more pleasant, put the alarm and set up the sound and lights, which love to put me so before the alarm sounds, enpieza red lights from sunrise to Light yellow simulating the day ... the awakening is more enjoyable ... I set apart also if there are days when I can not sleep ... the sound of the stream, which is so nice that just taking asleep quickly ... different lights, sounds, alarms ... I loved !!!</v>
      </c>
    </row>
    <row r="17540">
      <c r="A17540" s="1">
        <v>5.0</v>
      </c>
      <c r="B17540" s="1" t="s">
        <v>17374</v>
      </c>
      <c r="C17540" t="str">
        <f>IFERROR(__xludf.DUMMYFUNCTION("GOOGLETRANSLATE(B17540, ""es"", ""en"")"),"I recommend insuperable makes no noise and is a wonderful lavender oil also brings and already could use to arriving no need to buy it I give it a 10")</f>
        <v>I recommend insuperable makes no noise and is a wonderful lavender oil also brings and already could use to arriving no need to buy it I give it a 10</v>
      </c>
    </row>
    <row r="17541">
      <c r="A17541" s="1">
        <v>5.0</v>
      </c>
      <c r="B17541" s="1" t="s">
        <v>17375</v>
      </c>
      <c r="C17541" t="str">
        <f>IFERROR(__xludf.DUMMYFUNCTION("GOOGLETRANSLATE(B17541, ""es"", ""en"")"),"Microfono impressive with a very good quality. To say that this piece of microphone to use it many Gameplays or vblogs and the quality is excellent. The price a little high but you have to see that the quality of the product is very good. I came from one "&amp;"of the same Ice Blue marten and do not see as it shows the difference in the sound many friends tell me. I recommend this product 100% ..... Blue Yeti Microphone Silver | unboxing | rewiew | Spanish | [...]")</f>
        <v>Microfono impressive with a very good quality. To say that this piece of microphone to use it many Gameplays or vblogs and the quality is excellent. The price a little high but you have to see that the quality of the product is very good. I came from one of the same Ice Blue marten and do not see as it shows the difference in the sound many friends tell me. I recommend this product 100% ..... Blue Yeti Microphone Silver | unboxing | rewiew | Spanish | [...]</v>
      </c>
    </row>
    <row r="17542">
      <c r="A17542" s="1">
        <v>5.0</v>
      </c>
      <c r="B17542" s="1" t="s">
        <v>17376</v>
      </c>
      <c r="C17542" t="str">
        <f>IFERROR(__xludf.DUMMYFUNCTION("GOOGLETRANSLATE(B17542, ""es"", ""en"")"),"Buy good quality this microphone for my brother who had long been asking covers usually do very often, and needed a microphone that was quality, and this certainly is. It is also a very complete kit comes with everything you need to start it from the star"&amp;"t.")</f>
        <v>Buy good quality this microphone for my brother who had long been asking covers usually do very often, and needed a microphone that was quality, and this certainly is. It is also a very complete kit comes with everything you need to start it from the start.</v>
      </c>
    </row>
    <row r="17543">
      <c r="A17543" s="1">
        <v>5.0</v>
      </c>
      <c r="B17543" s="1" t="s">
        <v>17377</v>
      </c>
      <c r="C17543" t="str">
        <f>IFERROR(__xludf.DUMMYFUNCTION("GOOGLETRANSLATE(B17543, ""es"", ""en"")"),"Ideal for mixed breastfeeding The best I have since not drip until the baby suck the others who have both just tilt comes to my baby not given time to swallow and comes off everywhere")</f>
        <v>Ideal for mixed breastfeeding The best I have since not drip until the baby suck the others who have both just tilt comes to my baby not given time to swallow and comes off everywhere</v>
      </c>
    </row>
    <row r="17544">
      <c r="A17544" s="1">
        <v>5.0</v>
      </c>
      <c r="B17544" s="1" t="s">
        <v>17378</v>
      </c>
      <c r="C17544" t="str">
        <f>IFERROR(__xludf.DUMMYFUNCTION("GOOGLETRANSLATE(B17544, ""es"", ""en"")"),"Go watch all vacilón, no need to say more")</f>
        <v>Go watch all vacilón, no need to say more</v>
      </c>
    </row>
    <row r="17545">
      <c r="A17545" s="1">
        <v>2.0</v>
      </c>
      <c r="B17545" s="1" t="s">
        <v>17379</v>
      </c>
      <c r="C17545" t="str">
        <f>IFERROR(__xludf.DUMMYFUNCTION("GOOGLETRANSLATE(B17545, ""es"", ""en"")"),"takes too long to seal prefer the Slime seals better than this")</f>
        <v>takes too long to seal prefer the Slime seals better than this</v>
      </c>
    </row>
    <row r="17546">
      <c r="A17546" s="1">
        <v>3.0</v>
      </c>
      <c r="B17546" s="1" t="s">
        <v>17380</v>
      </c>
      <c r="C17546" t="str">
        <f>IFERROR(__xludf.DUMMYFUNCTION("GOOGLETRANSLATE(B17546, ""es"", ""en"")"),"A very original necklace simple gold colored pulling more coppery. In addition to the collar it comes with earrings and a string of the same color as the collar. It comes in a box as shown in the picture, well packaged and protected, ideal for a gift or f"&amp;"or Mother's Day.")</f>
        <v>A very original necklace simple gold colored pulling more coppery. In addition to the collar it comes with earrings and a string of the same color as the collar. It comes in a box as shown in the picture, well packaged and protected, ideal for a gift or for Mother's Day.</v>
      </c>
    </row>
    <row r="17547">
      <c r="A17547" s="1">
        <v>3.0</v>
      </c>
      <c r="B17547" s="1" t="s">
        <v>17381</v>
      </c>
      <c r="C17547" t="str">
        <f>IFERROR(__xludf.DUMMYFUNCTION("GOOGLETRANSLATE(B17547, ""es"", ""en"")"),"Good quality, heavy and rather large are a little heavier than I imagined and I also get something bigger for the front especially. (I use 11 American 45Eu) Original product.")</f>
        <v>Good quality, heavy and rather large are a little heavier than I imagined and I also get something bigger for the front especially. (I use 11 American 45Eu) Original product.</v>
      </c>
    </row>
    <row r="17548">
      <c r="A17548" s="1">
        <v>1.0</v>
      </c>
      <c r="B17548" s="1" t="s">
        <v>17382</v>
      </c>
      <c r="C17548" t="str">
        <f>IFERROR(__xludf.DUMMYFUNCTION("GOOGLETRANSLATE(B17548, ""es"", ""en"")"),"I do not wear scam using them, even on a daily basis and have already been broken. My wife has some original and has spent years with them. You have cheated me, to me and to all who have purchased from this seller.")</f>
        <v>I do not wear scam using them, even on a daily basis and have already been broken. My wife has some original and has spent years with them. You have cheated me, to me and to all who have purchased from this seller.</v>
      </c>
    </row>
    <row r="17549">
      <c r="A17549" s="1">
        <v>1.0</v>
      </c>
      <c r="B17549" s="1" t="s">
        <v>17383</v>
      </c>
      <c r="C17549" t="str">
        <f>IFERROR(__xludf.DUMMYFUNCTION("GOOGLETRANSLATE(B17549, ""es"", ""en"")"),"Trash Disco Disaster, fatal in PC consumes much voltage or current that almost blocks the pc. In the wii does not recognize either the Wii format. Buy nefarious")</f>
        <v>Trash Disco Disaster, fatal in PC consumes much voltage or current that almost blocks the pc. In the wii does not recognize either the Wii format. Buy nefarious</v>
      </c>
    </row>
    <row r="17550">
      <c r="A17550" s="1">
        <v>4.0</v>
      </c>
      <c r="B17550" s="1" t="s">
        <v>17384</v>
      </c>
      <c r="C17550" t="str">
        <f>IFERROR(__xludf.DUMMYFUNCTION("GOOGLETRANSLATE(B17550, ""es"", ""en"")"),"Description as-is, puntalidad delivery have not tried it yet, but if you've installed, is quite thick 2.5mm chose. If you are going to get into an eye corrugated tube, as only enter 2 cables per tube (in a normal year) otherwise no problem, fast shipping,"&amp;" well packaged. All this lack of soundcheck, which will be subjective because it depends on the equipment mount.")</f>
        <v>Description as-is, puntalidad delivery have not tried it yet, but if you've installed, is quite thick 2.5mm chose. If you are going to get into an eye corrugated tube, as only enter 2 cables per tube (in a normal year) otherwise no problem, fast shipping, well packaged. All this lack of soundcheck, which will be subjective because it depends on the equipment mount.</v>
      </c>
    </row>
    <row r="17551">
      <c r="A17551" s="1">
        <v>4.0</v>
      </c>
      <c r="B17551" s="1" t="s">
        <v>17385</v>
      </c>
      <c r="C17551" t="str">
        <f>IFERROR(__xludf.DUMMYFUNCTION("GOOGLETRANSLATE(B17551, ""es"", ""en"")"),"A great gift! The truth is that the result has been very good. I did quite quickly and could have been much better, but even with little time I managed to put on a good anniversary gift. I used everything that came with the box, so I have not put as many "&amp;"pictures, yet my husband has loved the surprise. The only downside is that the box arrived pretty mashed me!")</f>
        <v>A great gift! The truth is that the result has been very good. I did quite quickly and could have been much better, but even with little time I managed to put on a good anniversary gift. I used everything that came with the box, so I have not put as many pictures, yet my husband has loved the surprise. The only downside is that the box arrived pretty mashed me!</v>
      </c>
    </row>
    <row r="17552">
      <c r="A17552" s="1">
        <v>4.0</v>
      </c>
      <c r="B17552" s="1" t="s">
        <v>17386</v>
      </c>
      <c r="C17552" t="str">
        <f>IFERROR(__xludf.DUMMYFUNCTION("GOOGLETRANSLATE(B17552, ""es"", ""en"")"),"These tights are perfect super comfy very light and give nothing perfect heat to make sport with her highly recommended.")</f>
        <v>These tights are perfect super comfy very light and give nothing perfect heat to make sport with her highly recommended.</v>
      </c>
    </row>
    <row r="17553">
      <c r="A17553" s="1">
        <v>4.0</v>
      </c>
      <c r="B17553" s="1" t="s">
        <v>17387</v>
      </c>
      <c r="C17553" t="str">
        <f>IFERROR(__xludf.DUMMYFUNCTION("GOOGLETRANSLATE(B17553, ""es"", ""en"")"),"Well to carry the essentials. I have almost a month and everything works fine (zippers and blazers). for keys, glasses, wallets, mobile, plastic bag to go shopping and even a small bottle of water.")</f>
        <v>Well to carry the essentials. I have almost a month and everything works fine (zippers and blazers). for keys, glasses, wallets, mobile, plastic bag to go shopping and even a small bottle of water.</v>
      </c>
    </row>
    <row r="17554">
      <c r="A17554" s="1">
        <v>4.0</v>
      </c>
      <c r="B17554" s="1" t="s">
        <v>17388</v>
      </c>
      <c r="C17554" t="str">
        <f>IFERROR(__xludf.DUMMYFUNCTION("GOOGLETRANSLATE(B17554, ""es"", ""en"")"),"I expected meet are comfortable I do not like to fold takes a little pair them with a device I use to hear the TV without disturbing")</f>
        <v>I expected meet are comfortable I do not like to fold takes a little pair them with a device I use to hear the TV without disturbing</v>
      </c>
    </row>
    <row r="17555">
      <c r="A17555" s="1">
        <v>5.0</v>
      </c>
      <c r="B17555" s="1" t="s">
        <v>17389</v>
      </c>
      <c r="C17555" t="str">
        <f>IFERROR(__xludf.DUMMYFUNCTION("GOOGLETRANSLATE(B17555, ""es"", ""en"")"),"👏👏 Very fast. And perfect")</f>
        <v>👏👏 Very fast. And perfect</v>
      </c>
    </row>
    <row r="17556">
      <c r="A17556" s="1">
        <v>5.0</v>
      </c>
      <c r="B17556" s="1" t="s">
        <v>17390</v>
      </c>
      <c r="C17556" t="str">
        <f>IFERROR(__xludf.DUMMYFUNCTION("GOOGLETRANSLATE(B17556, ""es"", ""en"")"),"Good Product suited to the characteristics, as in the picture")</f>
        <v>Good Product suited to the characteristics, as in the picture</v>
      </c>
    </row>
    <row r="17557">
      <c r="A17557" s="1">
        <v>5.0</v>
      </c>
      <c r="B17557" s="1" t="s">
        <v>17391</v>
      </c>
      <c r="C17557" t="str">
        <f>IFERROR(__xludf.DUMMYFUNCTION("GOOGLETRANSLATE(B17557, ""es"", ""en"")"),"Perfect everything. Identical to the photo. Original brand. Regarding the size is true that carve a little big but does not become as large as a number more in my case. I asked for my number and I always go well, had asked for a number less would bother w"&amp;"ith small. Regarding the seller very fast shipping.")</f>
        <v>Perfect everything. Identical to the photo. Original brand. Regarding the size is true that carve a little big but does not become as large as a number more in my case. I asked for my number and I always go well, had asked for a number less would bother with small. Regarding the seller very fast shipping.</v>
      </c>
    </row>
    <row r="17558">
      <c r="A17558" s="1">
        <v>5.0</v>
      </c>
      <c r="B17558" s="1" t="s">
        <v>17392</v>
      </c>
      <c r="C17558" t="str">
        <f>IFERROR(__xludf.DUMMYFUNCTION("GOOGLETRANSLATE(B17558, ""es"", ""en"")"),"Good as always very good price quality.")</f>
        <v>Good as always very good price quality.</v>
      </c>
    </row>
    <row r="17559">
      <c r="A17559" s="1">
        <v>5.0</v>
      </c>
      <c r="B17559" s="1" t="s">
        <v>17393</v>
      </c>
      <c r="C17559" t="str">
        <f>IFERROR(__xludf.DUMMYFUNCTION("GOOGLETRANSLATE(B17559, ""es"", ""en"")"),"Very nice A very nice portfolio with embroidered logo and fulfills its function very well so it is perfect for its function")</f>
        <v>Very nice A very nice portfolio with embroidered logo and fulfills its function very well so it is perfect for its function</v>
      </c>
    </row>
    <row r="17560">
      <c r="A17560" s="1">
        <v>5.0</v>
      </c>
      <c r="B17560" s="1" t="s">
        <v>17394</v>
      </c>
      <c r="C17560" t="str">
        <f>IFERROR(__xludf.DUMMYFUNCTION("GOOGLETRANSLATE(B17560, ""es"", ""en"")"),"Bonita Bonita")</f>
        <v>Bonita Bonita</v>
      </c>
    </row>
    <row r="17561">
      <c r="A17561" s="1">
        <v>5.0</v>
      </c>
      <c r="B17561" s="1" t="s">
        <v>17395</v>
      </c>
      <c r="C17561" t="str">
        <f>IFERROR(__xludf.DUMMYFUNCTION("GOOGLETRANSLATE(B17561, ""es"", ""en"")"),"Quality assurance I use a shoe 40 and 41 shoes. Converse with use as shoes, 40 are original and come in their box, all perfect.")</f>
        <v>Quality assurance I use a shoe 40 and 41 shoes. Converse with use as shoes, 40 are original and come in their box, all perfect.</v>
      </c>
    </row>
    <row r="17562">
      <c r="A17562" s="1">
        <v>5.0</v>
      </c>
      <c r="B17562" s="1" t="s">
        <v>17396</v>
      </c>
      <c r="C17562" t="str">
        <f>IFERROR(__xludf.DUMMYFUNCTION("GOOGLETRANSLATE(B17562, ""es"", ""en"")"),"Good decision although it has many compartments accustomed to always use the big but is very functional. I consider successful the space reserved for mobile since carrying the backpack can be reached hear the ringing or vibration of the call. I am very sa"&amp;"tisfied and in summer, when I do not wear jacket, daily use.")</f>
        <v>Good decision although it has many compartments accustomed to always use the big but is very functional. I consider successful the space reserved for mobile since carrying the backpack can be reached hear the ringing or vibration of the call. I am very satisfied and in summer, when I do not wear jacket, daily use.</v>
      </c>
    </row>
    <row r="17563">
      <c r="A17563" s="1">
        <v>5.0</v>
      </c>
      <c r="B17563" s="1" t="s">
        <v>17397</v>
      </c>
      <c r="C17563" t="str">
        <f>IFERROR(__xludf.DUMMYFUNCTION("GOOGLETRANSLATE(B17563, ""es"", ""en"")"),"Safe. I can fall asleep with a lit blanket because an hour later turns itself off. The recominedo much.")</f>
        <v>Safe. I can fall asleep with a lit blanket because an hour later turns itself off. The recominedo much.</v>
      </c>
    </row>
    <row r="17564">
      <c r="A17564" s="1">
        <v>5.0</v>
      </c>
      <c r="B17564" s="1" t="s">
        <v>17398</v>
      </c>
      <c r="C17564" t="str">
        <f>IFERROR(__xludf.DUMMYFUNCTION("GOOGLETRANSLATE(B17564, ""es"", ""en"")"),"comfortable shoes are very comfortable and look good recommended fabricados..muy")</f>
        <v>comfortable shoes are very comfortable and look good recommended fabricados..muy</v>
      </c>
    </row>
    <row r="17565">
      <c r="A17565" s="1">
        <v>5.0</v>
      </c>
      <c r="B17565" s="1" t="s">
        <v>17399</v>
      </c>
      <c r="C17565" t="str">
        <f>IFERROR(__xludf.DUMMYFUNCTION("GOOGLETRANSLATE(B17565, ""es"", ""en"")"),"All fit like a glove")</f>
        <v>All fit like a glove</v>
      </c>
    </row>
    <row r="17566">
      <c r="A17566" s="1">
        <v>5.0</v>
      </c>
      <c r="B17566" s="1" t="s">
        <v>17400</v>
      </c>
      <c r="C17566" t="str">
        <f>IFERROR(__xludf.DUMMYFUNCTION("GOOGLETRANSLATE(B17566, ""es"", ""en"")"),"I highly recommend Very good")</f>
        <v>I highly recommend Very good</v>
      </c>
    </row>
    <row r="17567">
      <c r="A17567" s="1">
        <v>5.0</v>
      </c>
      <c r="B17567" s="1" t="s">
        <v>17401</v>
      </c>
      <c r="C17567" t="str">
        <f>IFERROR(__xludf.DUMMYFUNCTION("GOOGLETRANSLATE(B17567, ""es"", ""en"")"),"Perfect. They were to give away and arrived on time and perfect. Very comfortable and are as indicated by the size. No buts.")</f>
        <v>Perfect. They were to give away and arrived on time and perfect. Very comfortable and are as indicated by the size. No buts.</v>
      </c>
    </row>
    <row r="17568">
      <c r="A17568" s="1">
        <v>5.0</v>
      </c>
      <c r="B17568" s="1" t="s">
        <v>17402</v>
      </c>
      <c r="C17568" t="str">
        <f>IFERROR(__xludf.DUMMYFUNCTION("GOOGLETRANSLATE(B17568, ""es"", ""en"")"),"Full Pack is very complete, is microphone, speaker in one. Bring wire connection and auxiliary jack microSD cards. The appearance is very pretty, pink and white. You can link via Bluetooth. It has echo function. The speaker quality is very good. It sounds"&amp;" very crisp sound.")</f>
        <v>Full Pack is very complete, is microphone, speaker in one. Bring wire connection and auxiliary jack microSD cards. The appearance is very pretty, pink and white. You can link via Bluetooth. It has echo function. The speaker quality is very good. It sounds very crisp sound.</v>
      </c>
    </row>
    <row r="17569">
      <c r="A17569" s="1">
        <v>5.0</v>
      </c>
      <c r="B17569" s="1" t="s">
        <v>17403</v>
      </c>
      <c r="C17569" t="str">
        <f>IFERROR(__xludf.DUMMYFUNCTION("GOOGLETRANSLATE(B17569, ""es"", ""en"")"),"Cool and elegant worth worth")</f>
        <v>Cool and elegant worth worth</v>
      </c>
    </row>
    <row r="17570">
      <c r="A17570" s="1">
        <v>5.0</v>
      </c>
      <c r="B17570" s="1" t="s">
        <v>17404</v>
      </c>
      <c r="C17570" t="str">
        <f>IFERROR(__xludf.DUMMYFUNCTION("GOOGLETRANSLATE(B17570, ""es"", ""en"")"),"Useful. We bought it as a gift for my mother who lately does not go back very well and seems to have liked. It is quite easy to use and does not weigh much. We are happy with the result.")</f>
        <v>Useful. We bought it as a gift for my mother who lately does not go back very well and seems to have liked. It is quite easy to use and does not weigh much. We are happy with the result.</v>
      </c>
    </row>
    <row r="17571">
      <c r="A17571" s="1">
        <v>5.0</v>
      </c>
      <c r="B17571" s="1" t="s">
        <v>17405</v>
      </c>
      <c r="C17571" t="str">
        <f>IFERROR(__xludf.DUMMYFUNCTION("GOOGLETRANSLATE(B17571, ""es"", ""en"")"),"is very delicate loved me is chulisima")</f>
        <v>is very delicate loved me is chulisima</v>
      </c>
    </row>
    <row r="17572">
      <c r="A17572" s="1">
        <v>5.0</v>
      </c>
      <c r="B17572" s="1" t="s">
        <v>17406</v>
      </c>
      <c r="C17572" t="str">
        <f>IFERROR(__xludf.DUMMYFUNCTION("GOOGLETRANSLATE(B17572, ""es"", ""en"")"),"Value good value for money, just what I expected")</f>
        <v>Value good value for money, just what I expected</v>
      </c>
    </row>
    <row r="17573">
      <c r="A17573" s="1">
        <v>5.0</v>
      </c>
      <c r="B17573" s="1" t="s">
        <v>17407</v>
      </c>
      <c r="C17573" t="str">
        <f>IFERROR(__xludf.DUMMYFUNCTION("GOOGLETRANSLATE(B17573, ""es"", ""en"")"),"The best headphones I've tried are bestial of incredible noise cancellation (will only hear silence) ..... I'm in love with audio supercalidad Sony have these good buys with them ... I weigh nothing not bother anything to the ear and bluetooth 30 hours a "&amp;"bygone highly recommended amazon ..... and sends it all in perfect condition and well sealed again.")</f>
        <v>The best headphones I've tried are bestial of incredible noise cancellation (will only hear silence) ..... I'm in love with audio supercalidad Sony have these good buys with them ... I weigh nothing not bother anything to the ear and bluetooth 30 hours a bygone highly recommended amazon ..... and sends it all in perfect condition and well sealed again.</v>
      </c>
    </row>
    <row r="17574">
      <c r="A17574" s="1">
        <v>2.0</v>
      </c>
      <c r="B17574" s="1" t="s">
        <v>17408</v>
      </c>
      <c r="C17574" t="str">
        <f>IFERROR(__xludf.DUMMYFUNCTION("GOOGLETRANSLATE(B17574, ""es"", ""en"")"),"The cap fits too. The cap fits and costs too draw. Not bad, but not up to standard. It is manufactured in China and I have a rule not to use kitchen utensils manufactured outside the EU. Have a tea strainer made think in Germany (CHG3388-00) is better fin"&amp;"ish and is cheaper - it also comes with its box -.")</f>
        <v>The cap fits too. The cap fits and costs too draw. Not bad, but not up to standard. It is manufactured in China and I have a rule not to use kitchen utensils manufactured outside the EU. Have a tea strainer made think in Germany (CHG3388-00) is better finish and is cheaper - it also comes with its box -.</v>
      </c>
    </row>
    <row r="17575">
      <c r="A17575" s="1">
        <v>3.0</v>
      </c>
      <c r="B17575" s="1" t="s">
        <v>17409</v>
      </c>
      <c r="C17575" t="str">
        <f>IFERROR(__xludf.DUMMYFUNCTION("GOOGLETRANSLATE(B17575, ""es"", ""en"")"),"Not very good Falla much")</f>
        <v>Not very good Falla much</v>
      </c>
    </row>
    <row r="17576">
      <c r="A17576" s="1">
        <v>1.0</v>
      </c>
      <c r="B17576" s="1" t="s">
        <v>17410</v>
      </c>
      <c r="C17576" t="str">
        <f>IFERROR(__xludf.DUMMYFUNCTION("GOOGLETRANSLATE(B17576, ""es"", ""en"")"),"No shock wears liked because it takes different strokes visible. One of which produces cuts to the catch.")</f>
        <v>No shock wears liked because it takes different strokes visible. One of which produces cuts to the catch.</v>
      </c>
    </row>
    <row r="17577">
      <c r="A17577" s="1">
        <v>1.0</v>
      </c>
      <c r="B17577" s="1" t="s">
        <v>17411</v>
      </c>
      <c r="C17577" t="str">
        <f>IFERROR(__xludf.DUMMYFUNCTION("GOOGLETRANSLATE(B17577, ""es"", ""en"")"),"Broken After one year of use at low volume, one speaker stopped working, not to mention that the cable was released from his headset after a few months of use, without putting a single pull.")</f>
        <v>Broken After one year of use at low volume, one speaker stopped working, not to mention that the cable was released from his headset after a few months of use, without putting a single pull.</v>
      </c>
    </row>
    <row r="17578">
      <c r="A17578" s="1">
        <v>1.0</v>
      </c>
      <c r="B17578" s="1" t="s">
        <v>17412</v>
      </c>
      <c r="C17578" t="str">
        <f>IFERROR(__xludf.DUMMYFUNCTION("GOOGLETRANSLATE(B17578, ""es"", ""en"")"),"Bad sound when run are comfortable, and do not fall off the ear (the use for sports). The container well, and carries parts for the handset. But the sound quality is bad, (especially when you start running, a rhythmic hum is heard with the strides of the "&amp;"race). I do not recommend running")</f>
        <v>Bad sound when run are comfortable, and do not fall off the ear (the use for sports). The container well, and carries parts for the handset. But the sound quality is bad, (especially when you start running, a rhythmic hum is heard with the strides of the race). I do not recommend running</v>
      </c>
    </row>
    <row r="17579">
      <c r="A17579" s="1">
        <v>4.0</v>
      </c>
      <c r="B17579" s="1" t="s">
        <v>17413</v>
      </c>
      <c r="C17579" t="str">
        <f>IFERROR(__xludf.DUMMYFUNCTION("GOOGLETRANSLATE(B17579, ""es"", ""en"")"),"Pretty good for what it is pretty good")</f>
        <v>Pretty good for what it is pretty good</v>
      </c>
    </row>
    <row r="17580">
      <c r="A17580" s="1">
        <v>4.0</v>
      </c>
      <c r="B17580" s="1" t="s">
        <v>17414</v>
      </c>
      <c r="C17580" t="str">
        <f>IFERROR(__xludf.DUMMYFUNCTION("GOOGLETRANSLATE(B17580, ""es"", ""en"")"),"I needed simple with the functions needed, easy to use, price adjusted; what I was looking for. Pending check if you need a lot of sun exposure.")</f>
        <v>I needed simple with the functions needed, easy to use, price adjusted; what I was looking for. Pending check if you need a lot of sun exposure.</v>
      </c>
    </row>
    <row r="17581">
      <c r="A17581" s="1">
        <v>4.0</v>
      </c>
      <c r="B17581" s="1" t="s">
        <v>17415</v>
      </c>
      <c r="C17581" t="str">
        <f>IFERROR(__xludf.DUMMYFUNCTION("GOOGLETRANSLATE(B17581, ""es"", ""en"")"),"Ok dispenser zeal highly recommended for its great value and being made from strong materials and good manageable finish.")</f>
        <v>Ok dispenser zeal highly recommended for its great value and being made from strong materials and good manageable finish.</v>
      </c>
    </row>
    <row r="17582">
      <c r="A17582" s="1">
        <v>4.0</v>
      </c>
      <c r="B17582" s="1" t="s">
        <v>17416</v>
      </c>
      <c r="C17582" t="str">
        <f>IFERROR(__xludf.DUMMYFUNCTION("GOOGLETRANSLATE(B17582, ""es"", ""en"")"),"Relief from back pain I like the placement system with relief and especially thanks to the heat given off for hours. Change a couple of things on the one hand soften the tissue type that is carrying something hard at the ends and scrape some skin. On the "&amp;"other hand it would be nice to have a hardness that part which must grip velcro cotton and because it seems slightly off if no longer subject well")</f>
        <v>Relief from back pain I like the placement system with relief and especially thanks to the heat given off for hours. Change a couple of things on the one hand soften the tissue type that is carrying something hard at the ends and scrape some skin. On the other hand it would be nice to have a hardness that part which must grip velcro cotton and because it seems slightly off if no longer subject well</v>
      </c>
    </row>
    <row r="17583">
      <c r="A17583" s="1">
        <v>5.0</v>
      </c>
      <c r="B17583" s="1" t="s">
        <v>17417</v>
      </c>
      <c r="C17583" t="str">
        <f>IFERROR(__xludf.DUMMYFUNCTION("GOOGLETRANSLATE(B17583, ""es"", ""en"")"),"Very good buy good product, good quality and nice, comfortable, to give cane! The size you wear is normally")</f>
        <v>Very good buy good product, good quality and nice, comfortable, to give cane! The size you wear is normally</v>
      </c>
    </row>
    <row r="17584">
      <c r="A17584" s="1">
        <v>5.0</v>
      </c>
      <c r="B17584" s="1" t="s">
        <v>17418</v>
      </c>
      <c r="C17584" t="str">
        <f>IFERROR(__xludf.DUMMYFUNCTION("GOOGLETRANSLATE(B17584, ""es"", ""en"")"),"Very comfortable is a cozy electric blanket, with which I can enjoy warm on the couch or in bed on cold winter nights. The quality is exceptional and feel, very soft. The dimension is large, heated very fast and is very safe. very happy purchase.")</f>
        <v>Very comfortable is a cozy electric blanket, with which I can enjoy warm on the couch or in bed on cold winter nights. The quality is exceptional and feel, very soft. The dimension is large, heated very fast and is very safe. very happy purchase.</v>
      </c>
    </row>
    <row r="17585">
      <c r="A17585" s="1">
        <v>5.0</v>
      </c>
      <c r="B17585" s="1" t="s">
        <v>17419</v>
      </c>
      <c r="C17585" t="str">
        <f>IFERROR(__xludf.DUMMYFUNCTION("GOOGLETRANSLATE(B17585, ""es"", ""en"")"),"A really great product perfect product works great! I recommend it (very good value). Easy to use, 4 temperatures, fast, ...).")</f>
        <v>A really great product perfect product works great! I recommend it (very good value). Easy to use, 4 temperatures, fast, ...).</v>
      </c>
    </row>
    <row r="17586">
      <c r="A17586" s="1">
        <v>5.0</v>
      </c>
      <c r="B17586" s="1" t="s">
        <v>17420</v>
      </c>
      <c r="C17586" t="str">
        <f>IFERROR(__xludf.DUMMYFUNCTION("GOOGLETRANSLATE(B17586, ""es"", ""en"")"),"100% 100 Professional Good tool")</f>
        <v>100% 100 Professional Good tool</v>
      </c>
    </row>
    <row r="17587">
      <c r="A17587" s="1">
        <v>5.0</v>
      </c>
      <c r="B17587" s="1" t="s">
        <v>17421</v>
      </c>
      <c r="C17587" t="str">
        <f>IFERROR(__xludf.DUMMYFUNCTION("GOOGLETRANSLATE(B17587, ""es"", ""en"")"),"Cool pendrive was a good surprise because sometimes some pendrive not have very good quality in appearance and nitions, that troco chocolate if it looks real hehe, and works well")</f>
        <v>Cool pendrive was a good surprise because sometimes some pendrive not have very good quality in appearance and nitions, that troco chocolate if it looks real hehe, and works well</v>
      </c>
    </row>
    <row r="17588">
      <c r="A17588" s="1">
        <v>5.0</v>
      </c>
      <c r="B17588" s="1" t="s">
        <v>17422</v>
      </c>
      <c r="C17588" t="str">
        <f>IFERROR(__xludf.DUMMYFUNCTION("GOOGLETRANSLATE(B17588, ""es"", ""en"")"),"Recommended for perfect functionality Value")</f>
        <v>Recommended for perfect functionality Value</v>
      </c>
    </row>
    <row r="17589">
      <c r="A17589" s="1">
        <v>5.0</v>
      </c>
      <c r="B17589" s="1" t="s">
        <v>17423</v>
      </c>
      <c r="C17589" t="str">
        <f>IFERROR(__xludf.DUMMYFUNCTION("GOOGLETRANSLATE(B17589, ""es"", ""en"")"),"Phenomenal Encantada with the product.")</f>
        <v>Phenomenal Encantada with the product.</v>
      </c>
    </row>
    <row r="17590">
      <c r="A17590" s="1">
        <v>5.0</v>
      </c>
      <c r="B17590" s="1" t="s">
        <v>17424</v>
      </c>
      <c r="C17590" t="str">
        <f>IFERROR(__xludf.DUMMYFUNCTION("GOOGLETRANSLATE(B17590, ""es"", ""en"")"),"Fantastic bag canvas bag man Nice. When you open look at the quality of the fabric and leather cuffs. It has many sections. Ideal for always wear, accommodates tablet, books, all kinds of cards and documentation. It is comfortable and barely weighs. Fully"&amp;" satisfied with the purchase.")</f>
        <v>Fantastic bag canvas bag man Nice. When you open look at the quality of the fabric and leather cuffs. It has many sections. Ideal for always wear, accommodates tablet, books, all kinds of cards and documentation. It is comfortable and barely weighs. Fully satisfied with the purchase.</v>
      </c>
    </row>
    <row r="17591">
      <c r="A17591" s="1">
        <v>5.0</v>
      </c>
      <c r="B17591" s="1" t="s">
        <v>17425</v>
      </c>
      <c r="C17591" t="str">
        <f>IFERROR(__xludf.DUMMYFUNCTION("GOOGLETRANSLATE(B17591, ""es"", ""en"")"),"Excellent Since I bought it I stopped using it. It is easy to use and above all clean. A great buy")</f>
        <v>Excellent Since I bought it I stopped using it. It is easy to use and above all clean. A great buy</v>
      </c>
    </row>
    <row r="17592">
      <c r="A17592" s="1">
        <v>5.0</v>
      </c>
      <c r="B17592" s="1" t="s">
        <v>17426</v>
      </c>
      <c r="C17592" t="str">
        <f>IFERROR(__xludf.DUMMYFUNCTION("GOOGLETRANSLATE(B17592, ""es"", ""en"")"),"Contractures relief. I bought it because I have the massager neck and cervical fastidiadisimos, and the result is still pretty good, relieves pain hurts but at the moment when working on my contractures. It is very easy to use and intuitive, although a li"&amp;"ttle lioel ponertelo take the position, giving the button with your hand, and go take stance on the appliance.")</f>
        <v>Contractures relief. I bought it because I have the massager neck and cervical fastidiadisimos, and the result is still pretty good, relieves pain hurts but at the moment when working on my contractures. It is very easy to use and intuitive, although a little lioel ponertelo take the position, giving the button with your hand, and go take stance on the appliance.</v>
      </c>
    </row>
    <row r="17593">
      <c r="A17593" s="1">
        <v>5.0</v>
      </c>
      <c r="B17593" s="1" t="s">
        <v>1425</v>
      </c>
      <c r="C17593" t="str">
        <f>IFERROR(__xludf.DUMMYFUNCTION("GOOGLETRANSLATE(B17593, ""es"", ""en"")"),"perfect perfect")</f>
        <v>perfect perfect</v>
      </c>
    </row>
    <row r="17594">
      <c r="A17594" s="1">
        <v>5.0</v>
      </c>
      <c r="B17594" s="1" t="s">
        <v>17427</v>
      </c>
      <c r="C17594" t="str">
        <f>IFERROR(__xludf.DUMMYFUNCTION("GOOGLETRANSLATE(B17594, ""es"", ""en"")"),"the best of all very good job, always guaranteed quality and finish")</f>
        <v>the best of all very good job, always guaranteed quality and finish</v>
      </c>
    </row>
    <row r="17595">
      <c r="A17595" s="1">
        <v>5.0</v>
      </c>
      <c r="B17595" s="1" t="s">
        <v>17428</v>
      </c>
      <c r="C17595" t="str">
        <f>IFERROR(__xludf.DUMMYFUNCTION("GOOGLETRANSLATE(B17595, ""es"", ""en"")"),"Very handy not liked me ..me loved adapted great comfort in office, shooting high as I wanted, reinforced where it's needed ... I've agusto")</f>
        <v>Very handy not liked me ..me loved adapted great comfort in office, shooting high as I wanted, reinforced where it's needed ... I've agusto</v>
      </c>
    </row>
    <row r="17596">
      <c r="A17596" s="1">
        <v>5.0</v>
      </c>
      <c r="B17596" s="1" t="s">
        <v>17429</v>
      </c>
      <c r="C17596" t="str">
        <f>IFERROR(__xludf.DUMMYFUNCTION("GOOGLETRANSLATE(B17596, ""es"", ""en"")"),"As expected Very cool and excellent quality")</f>
        <v>As expected Very cool and excellent quality</v>
      </c>
    </row>
    <row r="17597">
      <c r="A17597" s="1">
        <v>5.0</v>
      </c>
      <c r="B17597" s="1" t="s">
        <v>17430</v>
      </c>
      <c r="C17597" t="str">
        <f>IFERROR(__xludf.DUMMYFUNCTION("GOOGLETRANSLATE(B17597, ""es"", ""en"")"),"Fabulous I recommend it! Punctual delivery and very well packaged. The massager is spectacular.")</f>
        <v>Fabulous I recommend it! Punctual delivery and very well packaged. The massager is spectacular.</v>
      </c>
    </row>
    <row r="17598">
      <c r="A17598" s="1">
        <v>5.0</v>
      </c>
      <c r="B17598" s="1" t="s">
        <v>17431</v>
      </c>
      <c r="C17598" t="str">
        <f>IFERROR(__xludf.DUMMYFUNCTION("GOOGLETRANSLATE(B17598, ""es"", ""en"")"),"Used for Pocket practical uniform in the hospital and not stain pens")</f>
        <v>Used for Pocket practical uniform in the hospital and not stain pens</v>
      </c>
    </row>
    <row r="17599">
      <c r="A17599" s="1">
        <v>5.0</v>
      </c>
      <c r="B17599" s="1" t="s">
        <v>17432</v>
      </c>
      <c r="C17599" t="str">
        <f>IFERROR(__xludf.DUMMYFUNCTION("GOOGLETRANSLATE(B17599, ""es"", ""en"")"),"Is a great product The product is very good, the sound is quite audible, is very good for use in sports because it does not have wool and can make you feel free. The product comes with two earphones and a storable box loadable, and the battery can be used"&amp;" by simply placing the box into the socket with the cable provided with the product. Many times, use has every night, but still not need recharging. He is very handsome, very practical and easy to sign in via your mobile phone. I really recommend this pro"&amp;"duct as a gift to buy another plan.")</f>
        <v>Is a great product The product is very good, the sound is quite audible, is very good for use in sports because it does not have wool and can make you feel free. The product comes with two earphones and a storable box loadable, and the battery can be used by simply placing the box into the socket with the cable provided with the product. Many times, use has every night, but still not need recharging. He is very handsome, very practical and easy to sign in via your mobile phone. I really recommend this product as a gift to buy another plan.</v>
      </c>
    </row>
    <row r="17600">
      <c r="A17600" s="1">
        <v>5.0</v>
      </c>
      <c r="B17600" s="1" t="s">
        <v>17433</v>
      </c>
      <c r="C17600" t="str">
        <f>IFERROR(__xludf.DUMMYFUNCTION("GOOGLETRANSLATE(B17600, ""es"", ""en"")"),"buy super good quality / price. It has a lot of power. the format is a little shaky but nice")</f>
        <v>buy super good quality / price. It has a lot of power. the format is a little shaky but nice</v>
      </c>
    </row>
    <row r="17601">
      <c r="A17601" s="1">
        <v>2.0</v>
      </c>
      <c r="B17601" s="1" t="s">
        <v>17434</v>
      </c>
      <c r="C17601" t="str">
        <f>IFERROR(__xludf.DUMMYFUNCTION("GOOGLETRANSLATE(B17601, ""es"", ""en"")"),"A little disappointed especially for the micro I've been testing and to the end he did not like. I used it for guitar and sing. The sound of the guitar pretty good, but the microphone is poor quality and never could control it docked. In fact, it has only"&amp;" a volume control and miss option, which moves both the guitar as a microphone, impossible to adjust")</f>
        <v>A little disappointed especially for the micro I've been testing and to the end he did not like. I used it for guitar and sing. The sound of the guitar pretty good, but the microphone is poor quality and never could control it docked. In fact, it has only a volume control and miss option, which moves both the guitar as a microphone, impossible to adjust</v>
      </c>
    </row>
    <row r="17602">
      <c r="A17602" s="1">
        <v>3.0</v>
      </c>
      <c r="B17602" s="1" t="s">
        <v>17435</v>
      </c>
      <c r="C17602" t="str">
        <f>IFERROR(__xludf.DUMMYFUNCTION("GOOGLETRANSLATE(B17602, ""es"", ""en"")"),"No normal wear shoes gel in the sole so comfortable but may be more")</f>
        <v>No normal wear shoes gel in the sole so comfortable but may be more</v>
      </c>
    </row>
    <row r="17603">
      <c r="A17603" s="1">
        <v>3.0</v>
      </c>
      <c r="B17603" s="1" t="s">
        <v>17436</v>
      </c>
      <c r="C17603" t="str">
        <f>IFERROR(__xludf.DUMMYFUNCTION("GOOGLETRANSLATE(B17603, ""es"", ""en"")"),"Excellent quality. Low volume for use in a Samsung s9. The sound is excellent especially in serious but I wanted to use them are not worth me. They are excellent headphones to hear a hifi (I've tried on my computer Denon with vinyl and the sound is perfec"&amp;"t). However, for use in mobile (spotify) they are not the best choice because the sound is not too high (at the least a samsung s9) and there is no way to upload the settings. As I say the sound is crystal clear and the bass are perfect and undistorted so"&amp;"und for my taste but low (and I'm not deaf).")</f>
        <v>Excellent quality. Low volume for use in a Samsung s9. The sound is excellent especially in serious but I wanted to use them are not worth me. They are excellent headphones to hear a hifi (I've tried on my computer Denon with vinyl and the sound is perfect). However, for use in mobile (spotify) they are not the best choice because the sound is not too high (at the least a samsung s9) and there is no way to upload the settings. As I say the sound is crystal clear and the bass are perfect and undistorted sound for my taste but low (and I'm not deaf).</v>
      </c>
    </row>
    <row r="17604">
      <c r="A17604" s="1">
        <v>3.0</v>
      </c>
      <c r="B17604" s="1" t="s">
        <v>17437</v>
      </c>
      <c r="C17604" t="str">
        <f>IFERROR(__xludf.DUMMYFUNCTION("GOOGLETRANSLATE(B17604, ""es"", ""en"")"),"I lacked instructions instructions with some proposals for creation")</f>
        <v>I lacked instructions instructions with some proposals for creation</v>
      </c>
    </row>
    <row r="17605">
      <c r="A17605" s="1">
        <v>1.0</v>
      </c>
      <c r="B17605" s="1" t="s">
        <v>17438</v>
      </c>
      <c r="C17605" t="str">
        <f>IFERROR(__xludf.DUMMYFUNCTION("GOOGLETRANSLATE(B17605, ""es"", ""en"")"),"Humidifier, lights but no steam No steam comes out, lights but no steam !!")</f>
        <v>Humidifier, lights but no steam No steam comes out, lights but no steam !!</v>
      </c>
    </row>
    <row r="17606">
      <c r="A17606" s="1">
        <v>1.0</v>
      </c>
      <c r="B17606" s="1" t="s">
        <v>17439</v>
      </c>
      <c r="C17606" t="str">
        <f>IFERROR(__xludf.DUMMYFUNCTION("GOOGLETRANSLATE(B17606, ""es"", ""en"")"),"Fiasco have a microphone behringer c1U and nothing is compatible, not thread a thread either leaving the microphone dancing (not remains fixed) do not recommend at all this article if you said microphone.")</f>
        <v>Fiasco have a microphone behringer c1U and nothing is compatible, not thread a thread either leaving the microphone dancing (not remains fixed) do not recommend at all this article if you said microphone.</v>
      </c>
    </row>
    <row r="17607">
      <c r="A17607" s="1">
        <v>4.0</v>
      </c>
      <c r="B17607" s="1" t="s">
        <v>17440</v>
      </c>
      <c r="C17607" t="str">
        <f>IFERROR(__xludf.DUMMYFUNCTION("GOOGLETRANSLATE(B17607, ""es"", ""en"")"),"Good card Definitely the best memory card I've had so far. It is fast (not as much as the specifications say) but serves its purpose perfectly. It comes well protected. He has not given me any problems even after several months of use.")</f>
        <v>Good card Definitely the best memory card I've had so far. It is fast (not as much as the specifications say) but serves its purpose perfectly. It comes well protected. He has not given me any problems even after several months of use.</v>
      </c>
    </row>
    <row r="17608">
      <c r="A17608" s="1">
        <v>4.0</v>
      </c>
      <c r="B17608" s="1" t="s">
        <v>17441</v>
      </c>
      <c r="C17608" t="str">
        <f>IFERROR(__xludf.DUMMYFUNCTION("GOOGLETRANSLATE(B17608, ""es"", ""en"")"),"They were a perfect size and height gift is perfect for the person who they were. They arrived just in time. They are very breathable and comfortable, so yes, if you're going to get much cane is not going to last much. For the price you get what you expec"&amp;"t.")</f>
        <v>They were a perfect size and height gift is perfect for the person who they were. They arrived just in time. They are very breathable and comfortable, so yes, if you're going to get much cane is not going to last much. For the price you get what you expect.</v>
      </c>
    </row>
    <row r="17609">
      <c r="A17609" s="1">
        <v>4.0</v>
      </c>
      <c r="B17609" s="1" t="s">
        <v>17442</v>
      </c>
      <c r="C17609" t="str">
        <f>IFERROR(__xludf.DUMMYFUNCTION("GOOGLETRANSLATE(B17609, ""es"", ""en"")"),"Arrives on time and not mine that took longer than agreed. It is good for swimming, meets promised.")</f>
        <v>Arrives on time and not mine that took longer than agreed. It is good for swimming, meets promised.</v>
      </c>
    </row>
    <row r="17610">
      <c r="A17610" s="1">
        <v>4.0</v>
      </c>
      <c r="B17610" s="1" t="s">
        <v>17443</v>
      </c>
      <c r="C17610" t="str">
        <f>IFERROR(__xludf.DUMMYFUNCTION("GOOGLETRANSLATE(B17610, ""es"", ""en"")"),"Good product to massage massage")</f>
        <v>Good product to massage massage</v>
      </c>
    </row>
    <row r="17611">
      <c r="A17611" s="1">
        <v>4.0</v>
      </c>
      <c r="B17611" s="1" t="s">
        <v>17444</v>
      </c>
      <c r="C17611" t="str">
        <f>IFERROR(__xludf.DUMMYFUNCTION("GOOGLETRANSLATE(B17611, ""es"", ""en"")"),"Good support in my case because I had returned as a link with my microfon, which is standard and puts microphone is standard but there was no way to link. Asique fijate have the corresponding thread")</f>
        <v>Good support in my case because I had returned as a link with my microfon, which is standard and puts microphone is standard but there was no way to link. Asique fijate have the corresponding thread</v>
      </c>
    </row>
    <row r="17612">
      <c r="A17612" s="1">
        <v>5.0</v>
      </c>
      <c r="B17612" s="1" t="s">
        <v>17445</v>
      </c>
      <c r="C17612" t="str">
        <f>IFERROR(__xludf.DUMMYFUNCTION("GOOGLETRANSLATE(B17612, ""es"", ""en"")"),"Alleviate the pain. Very easy to use. Cash My father and older, happy shopping. Very much alleviates pain, avoids taking medication. Health is the most important. Very easy to use.")</f>
        <v>Alleviate the pain. Very easy to use. Cash My father and older, happy shopping. Very much alleviates pain, avoids taking medication. Health is the most important. Very easy to use.</v>
      </c>
    </row>
    <row r="17613">
      <c r="A17613" s="1">
        <v>5.0</v>
      </c>
      <c r="B17613" s="1" t="s">
        <v>17446</v>
      </c>
      <c r="C17613" t="str">
        <f>IFERROR(__xludf.DUMMYFUNCTION("GOOGLETRANSLATE(B17613, ""es"", ""en"")"),"stockings Long enough quality and quality.")</f>
        <v>stockings Long enough quality and quality.</v>
      </c>
    </row>
    <row r="17614">
      <c r="A17614" s="1">
        <v>5.0</v>
      </c>
      <c r="B17614" s="1" t="s">
        <v>17447</v>
      </c>
      <c r="C17614" t="str">
        <f>IFERROR(__xludf.DUMMYFUNCTION("GOOGLETRANSLATE(B17614, ""es"", ""en"")"),"What I was looking looks great and gives a great atmosphere to the house actually I recommend")</f>
        <v>What I was looking looks great and gives a great atmosphere to the house actually I recommend</v>
      </c>
    </row>
    <row r="17615">
      <c r="A17615" s="1">
        <v>5.0</v>
      </c>
      <c r="B17615" s="1" t="s">
        <v>17448</v>
      </c>
      <c r="C17615" t="str">
        <f>IFERROR(__xludf.DUMMYFUNCTION("GOOGLETRANSLATE(B17615, ""es"", ""en"")"),"Original and good value / price I have found original and has fulfilled its function. I've used it for a wedding at sunset on the beach combined with burgundy dress and a flower arrangement preserved in the same tones. Care must be taken to remove them th"&amp;"at the flowers do not come off, they easily slide through the ends (the only paste)")</f>
        <v>Original and good value / price I have found original and has fulfilled its function. I've used it for a wedding at sunset on the beach combined with burgundy dress and a flower arrangement preserved in the same tones. Care must be taken to remove them that the flowers do not come off, they easily slide through the ends (the only paste)</v>
      </c>
    </row>
    <row r="17616">
      <c r="A17616" s="1">
        <v>5.0</v>
      </c>
      <c r="B17616" s="1" t="s">
        <v>17449</v>
      </c>
      <c r="C17616" t="str">
        <f>IFERROR(__xludf.DUMMYFUNCTION("GOOGLETRANSLATE(B17616, ""es"", ""en"")"),"Meets efficient described. Good size and weight helps make better pressure. It is easy to use with one hand for a person of normal and long enough strength.")</f>
        <v>Meets efficient described. Good size and weight helps make better pressure. It is easy to use with one hand for a person of normal and long enough strength.</v>
      </c>
    </row>
    <row r="17617">
      <c r="A17617" s="1">
        <v>5.0</v>
      </c>
      <c r="B17617" s="1" t="s">
        <v>17450</v>
      </c>
      <c r="C17617" t="str">
        <f>IFERROR(__xludf.DUMMYFUNCTION("GOOGLETRANSLATE(B17617, ""es"", ""en"")"),"I love. They are very cool, very comfortable and the closure is perfect.")</f>
        <v>I love. They are very cool, very comfortable and the closure is perfect.</v>
      </c>
    </row>
    <row r="17618">
      <c r="A17618" s="1">
        <v>5.0</v>
      </c>
      <c r="B17618" s="1" t="s">
        <v>17451</v>
      </c>
      <c r="C17618" t="str">
        <f>IFERROR(__xludf.DUMMYFUNCTION("GOOGLETRANSLATE(B17618, ""es"", ""en"")"),"Product Quality Color, size and excellent materials, good finishes and very comodadas.")</f>
        <v>Product Quality Color, size and excellent materials, good finishes and very comodadas.</v>
      </c>
    </row>
    <row r="17619">
      <c r="A17619" s="1">
        <v>5.0</v>
      </c>
      <c r="B17619" s="1" t="s">
        <v>17452</v>
      </c>
      <c r="C17619" t="str">
        <f>IFERROR(__xludf.DUMMYFUNCTION("GOOGLETRANSLATE(B17619, ""es"", ""en"")"),"Juli Very comfortable, a fair bit but two days later it adapted to the foot, everything perfect good quality and good price")</f>
        <v>Juli Very comfortable, a fair bit but two days later it adapted to the foot, everything perfect good quality and good price</v>
      </c>
    </row>
    <row r="17620">
      <c r="A17620" s="1">
        <v>5.0</v>
      </c>
      <c r="B17620" s="1" t="s">
        <v>17453</v>
      </c>
      <c r="C17620" t="str">
        <f>IFERROR(__xludf.DUMMYFUNCTION("GOOGLETRANSLATE(B17620, ""es"", ""en"")"),"Very happy with purchase is very convenient, has good materials and essential see you can use it without hands. This massager is lightweight, seemingly quality material and good finishes. I've used it in several areas of the body and the feeling is very g"&amp;"ood after, ideal to relax the muscles after exercise. I would definitely buy it with my eyes closed. Very happy with purchase.")</f>
        <v>Very happy with purchase is very convenient, has good materials and essential see you can use it without hands. This massager is lightweight, seemingly quality material and good finishes. I've used it in several areas of the body and the feeling is very good after, ideal to relax the muscles after exercise. I would definitely buy it with my eyes closed. Very happy with purchase.</v>
      </c>
    </row>
    <row r="17621">
      <c r="A17621" s="1">
        <v>5.0</v>
      </c>
      <c r="B17621" s="1" t="s">
        <v>17454</v>
      </c>
      <c r="C17621" t="str">
        <f>IFERROR(__xludf.DUMMYFUNCTION("GOOGLETRANSLATE(B17621, ""es"", ""en"")"),"Always Under Armor I have tried many compressors meshes many brands and have always ended up buying Under Armor, worth waiting for an offer, it is a quality product and durable, the only ones who have endured so much have been the Skin brand but have seve"&amp;"ral UA and continue with the level of understanding than others with the passage of time and wear are losing. Very happy and with an excellent price.")</f>
        <v>Always Under Armor I have tried many compressors meshes many brands and have always ended up buying Under Armor, worth waiting for an offer, it is a quality product and durable, the only ones who have endured so much have been the Skin brand but have several UA and continue with the level of understanding than others with the passage of time and wear are losing. Very happy and with an excellent price.</v>
      </c>
    </row>
    <row r="17622">
      <c r="A17622" s="1">
        <v>5.0</v>
      </c>
      <c r="B17622" s="1" t="s">
        <v>17455</v>
      </c>
      <c r="C17622" t="str">
        <f>IFERROR(__xludf.DUMMYFUNCTION("GOOGLETRANSLATE(B17622, ""es"", ""en"")"),"Edito: Everything perfect in the pack missing two teats and caps. Ie, the top two bottles does not come. In the photos and description of the product come complete 4 bottles of the pack. I hope to receive news and to modify this comment because they have "&amp;"given me a solution. Edito the previous comment: I have made a replacement of the product and perfect as it comes into the picture. I'm glad the solution and speed. Bottles as usual mam brand does not disappoint in quality")</f>
        <v>Edito: Everything perfect in the pack missing two teats and caps. Ie, the top two bottles does not come. In the photos and description of the product come complete 4 bottles of the pack. I hope to receive news and to modify this comment because they have given me a solution. Edito the previous comment: I have made a replacement of the product and perfect as it comes into the picture. I'm glad the solution and speed. Bottles as usual mam brand does not disappoint in quality</v>
      </c>
    </row>
    <row r="17623">
      <c r="A17623" s="1">
        <v>5.0</v>
      </c>
      <c r="B17623" s="1" t="s">
        <v>17456</v>
      </c>
      <c r="C17623" t="str">
        <f>IFERROR(__xludf.DUMMYFUNCTION("GOOGLETRANSLATE(B17623, ""es"", ""en"")"),"Excellent strikes me how fast binding with headphones with the mobile device you're using, connect as you take them out of the case. Using them without stopping to medium-high volume it seems that hold about 4 hours. to have the battery again to stop ther"&amp;"e to wait about an hour. Ergonomic in-ear design, I'm a little sybaritic with these details and these headphones specifically fit well and do not bother and have a high noise cancellation. I wish I had more designs in different colors.")</f>
        <v>Excellent strikes me how fast binding with headphones with the mobile device you're using, connect as you take them out of the case. Using them without stopping to medium-high volume it seems that hold about 4 hours. to have the battery again to stop there to wait about an hour. Ergonomic in-ear design, I'm a little sybaritic with these details and these headphones specifically fit well and do not bother and have a high noise cancellation. I wish I had more designs in different colors.</v>
      </c>
    </row>
    <row r="17624">
      <c r="A17624" s="1">
        <v>5.0</v>
      </c>
      <c r="B17624" s="1" t="s">
        <v>17457</v>
      </c>
      <c r="C17624" t="str">
        <f>IFERROR(__xludf.DUMMYFUNCTION("GOOGLETRANSLATE(B17624, ""es"", ""en"")"),"Very comfortable and pleasant comfortable")</f>
        <v>Very comfortable and pleasant comfortable</v>
      </c>
    </row>
    <row r="17625">
      <c r="A17625" s="1">
        <v>5.0</v>
      </c>
      <c r="B17625" s="1" t="s">
        <v>17458</v>
      </c>
      <c r="C17625" t="str">
        <f>IFERROR(__xludf.DUMMYFUNCTION("GOOGLETRANSLATE(B17625, ""es"", ""en"")"),"Perfect Perfect")</f>
        <v>Perfect Perfect</v>
      </c>
    </row>
    <row r="17626">
      <c r="A17626" s="1">
        <v>5.0</v>
      </c>
      <c r="B17626" s="1" t="s">
        <v>17459</v>
      </c>
      <c r="C17626" t="str">
        <f>IFERROR(__xludf.DUMMYFUNCTION("GOOGLETRANSLATE(B17626, ""es"", ""en"")"),"After 6 months of intensive use on a server follows such perfect and as explained in the title, the hard drive I am using it intensively since January 2017 and being to July 2017 still works perfectly. A hard drive highly recommended.")</f>
        <v>After 6 months of intensive use on a server follows such perfect and as explained in the title, the hard drive I am using it intensively since January 2017 and being to July 2017 still works perfectly. A hard drive highly recommended.</v>
      </c>
    </row>
    <row r="17627">
      <c r="A17627" s="1">
        <v>5.0</v>
      </c>
      <c r="B17627" s="1" t="s">
        <v>17460</v>
      </c>
      <c r="C17627" t="str">
        <f>IFERROR(__xludf.DUMMYFUNCTION("GOOGLETRANSLATE(B17627, ""es"", ""en"")"),"Practical, light and powerful &lt;div id = ""video-block-R1BW9XCQ9PXPJI"" class = ""a-section a-spacing-small a-spacing-top mini video-block""&gt; &lt;/ div&gt; &lt;input type = ""hidden"" name = """" value = ""https://images-eu.ssl-images-amazon.com/images/I/81nwmaKDfT"&amp;"S.mp4"" class = ""video-url""&gt; &lt;input type = ""hidden"" name = """" value = ""https://images-eu.ssl-images-amazon.com/images/I/811DTFT18wS.png"" class = ""video-slate-img-url""&gt; &amp; nbsp; he wanted a glass blender q it was more comfortable q my conventional"&amp;" mixer. I decided this because I liked x line and the relationship between functionality and price. It has proved to be even better than expected q and q for the price did not have very high expectations. Surprisingly despite this, the blender works great"&amp;". It is powerful and very practical, can quickly make any smoothie or juice then q can be with its glass stopper. Cleaning machine is easy both tap (sink) as dishwasher")</f>
        <v>Practical, light and powerful &lt;div id = "video-block-R1BW9XCQ9PXPJI" class = "a-section a-spacing-small a-spacing-top mini video-block"&gt; &lt;/ div&gt; &lt;input type = "hidden" name = "" value = "https://images-eu.ssl-images-amazon.com/images/I/81nwmaKDfTS.mp4" class = "video-url"&gt; &lt;input type = "hidden" name = "" value = "https://images-eu.ssl-images-amazon.com/images/I/811DTFT18wS.png" class = "video-slate-img-url"&gt; &amp; nbsp; he wanted a glass blender q it was more comfortable q my conventional mixer. I decided this because I liked x line and the relationship between functionality and price. It has proved to be even better than expected q and q for the price did not have very high expectations. Surprisingly despite this, the blender works great. It is powerful and very practical, can quickly make any smoothie or juice then q can be with its glass stopper. Cleaning machine is easy both tap (sink) as dishwasher</v>
      </c>
    </row>
    <row r="17628">
      <c r="A17628" s="1">
        <v>5.0</v>
      </c>
      <c r="B17628" s="1" t="s">
        <v>17461</v>
      </c>
      <c r="C17628" t="str">
        <f>IFERROR(__xludf.DUMMYFUNCTION("GOOGLETRANSLATE(B17628, ""es"", ""en"")"),"Comfy shoes-boots most comfortable I've been in my life")</f>
        <v>Comfy shoes-boots most comfortable I've been in my life</v>
      </c>
    </row>
    <row r="17629">
      <c r="A17629" s="1">
        <v>5.0</v>
      </c>
      <c r="B17629" s="1" t="s">
        <v>17462</v>
      </c>
      <c r="C17629" t="str">
        <f>IFERROR(__xludf.DUMMYFUNCTION("GOOGLETRANSLATE(B17629, ""es"", ""en"")"),"the best muscle cream I've ever met CHANGE LANGUAGE llevos years muscualres stories: back, sprains, falls, blows etc and this is the best I've visited, not so much for pain that is not your fincion but to ""let go"" muscles ""has a Indeed cold and then al"&amp;"ternating heat and constractura Soltanto pd will wash hands thoroughly after using it twice. all these creams MUHC has menthol and if you touch your eyes or intimate parter conoceras hell")</f>
        <v>the best muscle cream I've ever met CHANGE LANGUAGE llevos years muscualres stories: back, sprains, falls, blows etc and this is the best I've visited, not so much for pain that is not your fincion but to "let go" muscles "has a Indeed cold and then alternating heat and constractura Soltanto pd will wash hands thoroughly after using it twice. all these creams MUHC has menthol and if you touch your eyes or intimate parter conoceras hell</v>
      </c>
    </row>
    <row r="17630">
      <c r="A17630" s="1">
        <v>5.0</v>
      </c>
      <c r="B17630" s="1" t="s">
        <v>17463</v>
      </c>
      <c r="C17630" t="str">
        <f>IFERROR(__xludf.DUMMYFUNCTION("GOOGLETRANSLATE(B17630, ""es"", ""en"")"),"Blows and removes peaks priced very tight protective excellent sound, with double protection, very good.")</f>
        <v>Blows and removes peaks priced very tight protective excellent sound, with double protection, very good.</v>
      </c>
    </row>
    <row r="17631">
      <c r="A17631" s="1">
        <v>2.0</v>
      </c>
      <c r="B17631" s="1" t="s">
        <v>17464</v>
      </c>
      <c r="C17631" t="str">
        <f>IFERROR(__xludf.DUMMYFUNCTION("GOOGLETRANSLATE(B17631, ""es"", ""en"")"),"Quality shoe brand for being that come from Amazon and thought it would be original and the quality of the shoe do not think that is original")</f>
        <v>Quality shoe brand for being that come from Amazon and thought it would be original and the quality of the shoe do not think that is original</v>
      </c>
    </row>
    <row r="17632">
      <c r="A17632" s="1">
        <v>3.0</v>
      </c>
      <c r="B17632" s="1" t="s">
        <v>17465</v>
      </c>
      <c r="C17632" t="str">
        <f>IFERROR(__xludf.DUMMYFUNCTION("GOOGLETRANSLATE(B17632, ""es"", ""en"")"),"Only quality has a downside, which is difficult to combine electric blue and waited a little bigger sincerely. However, it has several levels of heat, heat fast and two people are super-comfortable with it, he has a timer and three hours off. It is comfor"&amp;"table and welcoming, just a very very very blue electrico🤙por else is a big electric blanket that you will save money on heating 👏👏👏👏")</f>
        <v>Only quality has a downside, which is difficult to combine electric blue and waited a little bigger sincerely. However, it has several levels of heat, heat fast and two people are super-comfortable with it, he has a timer and three hours off. It is comfortable and welcoming, just a very very very blue electrico🤙por else is a big electric blanket that you will save money on heating 👏👏👏👏</v>
      </c>
    </row>
    <row r="17633">
      <c r="A17633" s="1">
        <v>3.0</v>
      </c>
      <c r="B17633" s="1" t="s">
        <v>17466</v>
      </c>
      <c r="C17633" t="str">
        <f>IFERROR(__xludf.DUMMYFUNCTION("GOOGLETRANSLATE(B17633, ""es"", ""en"")"),"Frescor x seconds to dark circles as not working dry very fast and hardly noticeable change")</f>
        <v>Frescor x seconds to dark circles as not working dry very fast and hardly noticeable change</v>
      </c>
    </row>
    <row r="17634">
      <c r="A17634" s="1">
        <v>1.0</v>
      </c>
      <c r="B17634" s="1" t="s">
        <v>17467</v>
      </c>
      <c r="C17634" t="str">
        <f>IFERROR(__xludf.DUMMYFUNCTION("GOOGLETRANSLATE(B17634, ""es"", ""en"")"),"A scam and a shame a shame, even a month took with him and it gives problems, the first all rosy, now after taking only 4tb of the 20GB disc information takes as estimated by the computer, 9 hours. What a scam hard drive. If you want a hard drive that wil"&amp;"l last course this is not it. The biggest scam I've seen.")</f>
        <v>A scam and a shame a shame, even a month took with him and it gives problems, the first all rosy, now after taking only 4tb of the 20GB disc information takes as estimated by the computer, 9 hours. What a scam hard drive. If you want a hard drive that will last course this is not it. The biggest scam I've seen.</v>
      </c>
    </row>
    <row r="17635">
      <c r="A17635" s="1">
        <v>1.0</v>
      </c>
      <c r="B17635" s="1" t="s">
        <v>17468</v>
      </c>
      <c r="C17635" t="str">
        <f>IFERROR(__xludf.DUMMYFUNCTION("GOOGLETRANSLATE(B17635, ""es"", ""en"")"),"at the beginning very well and one day stopped working ... I liked his speed to the grind and make juice, and comfortable use. One day left and run ... I've used 2 months.")</f>
        <v>at the beginning very well and one day stopped working ... I liked his speed to the grind and make juice, and comfortable use. One day left and run ... I've used 2 months.</v>
      </c>
    </row>
    <row r="17636">
      <c r="A17636" s="1">
        <v>4.0</v>
      </c>
      <c r="B17636" s="1" t="s">
        <v>17469</v>
      </c>
      <c r="C17636" t="str">
        <f>IFERROR(__xludf.DUMMYFUNCTION("GOOGLETRANSLATE(B17636, ""es"", ""en"")"),"very nice looks good, fits all kinds of wrist or ankle. It seems durable. all great moment")</f>
        <v>very nice looks good, fits all kinds of wrist or ankle. It seems durable. all great moment</v>
      </c>
    </row>
    <row r="17637">
      <c r="A17637" s="1">
        <v>4.0</v>
      </c>
      <c r="B17637" s="1" t="s">
        <v>17470</v>
      </c>
      <c r="C17637" t="str">
        <f>IFERROR(__xludf.DUMMYFUNCTION("GOOGLETRANSLATE(B17637, ""es"", ""en"")"),"Buy recommended but looking much The overall sound is very basic, value for money is ok but I expected a little more.")</f>
        <v>Buy recommended but looking much The overall sound is very basic, value for money is ok but I expected a little more.</v>
      </c>
    </row>
    <row r="17638">
      <c r="A17638" s="1">
        <v>4.0</v>
      </c>
      <c r="B17638" s="1" t="s">
        <v>238</v>
      </c>
      <c r="C17638" t="str">
        <f>IFERROR(__xludf.DUMMYFUNCTION("GOOGLETRANSLATE(B17638, ""es"", ""en"")"),"perfect perfect")</f>
        <v>perfect perfect</v>
      </c>
    </row>
    <row r="17639">
      <c r="A17639" s="1">
        <v>4.0</v>
      </c>
      <c r="B17639" s="1" t="s">
        <v>17471</v>
      </c>
      <c r="C17639" t="str">
        <f>IFERROR(__xludf.DUMMYFUNCTION("GOOGLETRANSLATE(B17639, ""es"", ""en"")"),"I expected As you see in the picture is smaller than the idea that you do with the photo of the seller, but the least (and reviewing other opinions) has come and is very nice. Do not last long with the current appearance but in truth, you can not demand m"&amp;"ore for the price you have (costs plus a stamp for a letter from Madrid to Madrid), so overall, I'm happy.")</f>
        <v>I expected As you see in the picture is smaller than the idea that you do with the photo of the seller, but the least (and reviewing other opinions) has come and is very nice. Do not last long with the current appearance but in truth, you can not demand more for the price you have (costs plus a stamp for a letter from Madrid to Madrid), so overall, I'm happy.</v>
      </c>
    </row>
    <row r="17640">
      <c r="A17640" s="1">
        <v>4.0</v>
      </c>
      <c r="B17640" s="1" t="s">
        <v>17472</v>
      </c>
      <c r="C17640" t="str">
        <f>IFERROR(__xludf.DUMMYFUNCTION("GOOGLETRANSLATE(B17640, ""es"", ""en"")"),"Good. To save photos")</f>
        <v>Good. To save photos</v>
      </c>
    </row>
    <row r="17641">
      <c r="A17641" s="1">
        <v>5.0</v>
      </c>
      <c r="B17641" s="1" t="s">
        <v>17473</v>
      </c>
      <c r="C17641" t="str">
        <f>IFERROR(__xludf.DUMMYFUNCTION("GOOGLETRANSLATE(B17641, ""es"", ""en"")"),"Not very happy with this v2 are the first 574 that I do not fit like a glove. The staff seems very poor and little heel lifts, so the first annoys days talonera")</f>
        <v>Not very happy with this v2 are the first 574 that I do not fit like a glove. The staff seems very poor and little heel lifts, so the first annoys days talonera</v>
      </c>
    </row>
    <row r="17642">
      <c r="A17642" s="1">
        <v>5.0</v>
      </c>
      <c r="B17642" s="1" t="s">
        <v>17474</v>
      </c>
      <c r="C17642" t="str">
        <f>IFERROR(__xludf.DUMMYFUNCTION("GOOGLETRANSLATE(B17642, ""es"", ""en"")"),"Perfect I have not stopped using it since I bought it, it is very stylish and comfortable, I repeat")</f>
        <v>Perfect I have not stopped using it since I bought it, it is very stylish and comfortable, I repeat</v>
      </c>
    </row>
    <row r="17643">
      <c r="A17643" s="1">
        <v>5.0</v>
      </c>
      <c r="B17643" s="1" t="s">
        <v>17475</v>
      </c>
      <c r="C17643" t="str">
        <f>IFERROR(__xludf.DUMMYFUNCTION("GOOGLETRANSLATE(B17643, ""es"", ""en"")"),"Value very nice and elegant, good material")</f>
        <v>Value very nice and elegant, good material</v>
      </c>
    </row>
    <row r="17644">
      <c r="A17644" s="1">
        <v>5.0</v>
      </c>
      <c r="B17644" s="1" t="s">
        <v>17476</v>
      </c>
      <c r="C17644" t="str">
        <f>IFERROR(__xludf.DUMMYFUNCTION("GOOGLETRANSLATE(B17644, ""es"", ""en"")"),"That's fine works well has a nice effect but do not expect great thing is no masseuse")</f>
        <v>That's fine works well has a nice effect but do not expect great thing is no masseuse</v>
      </c>
    </row>
    <row r="17645">
      <c r="A17645" s="1">
        <v>5.0</v>
      </c>
      <c r="B17645" s="1" t="s">
        <v>17477</v>
      </c>
      <c r="C17645" t="str">
        <f>IFERROR(__xludf.DUMMYFUNCTION("GOOGLETRANSLATE(B17645, ""es"", ""en"")"),"Kettle laptop is fine for traveling.")</f>
        <v>Kettle laptop is fine for traveling.</v>
      </c>
    </row>
    <row r="17646">
      <c r="A17646" s="1">
        <v>5.0</v>
      </c>
      <c r="B17646" s="1" t="s">
        <v>17478</v>
      </c>
      <c r="C17646" t="str">
        <f>IFERROR(__xludf.DUMMYFUNCTION("GOOGLETRANSLATE(B17646, ""es"", ""en"")"),"He bought oil set essences and essential oils needed half a bottle to give odor in the house since and I bought these with a few drops da smell all very happy home")</f>
        <v>He bought oil set essences and essential oils needed half a bottle to give odor in the house since and I bought these with a few drops da smell all very happy home</v>
      </c>
    </row>
    <row r="17647">
      <c r="A17647" s="1">
        <v>5.0</v>
      </c>
      <c r="B17647" s="1" t="s">
        <v>17479</v>
      </c>
      <c r="C17647" t="str">
        <f>IFERROR(__xludf.DUMMYFUNCTION("GOOGLETRANSLATE(B17647, ""es"", ""en"")"),"Quality, perfect. All good and perfect")</f>
        <v>Quality, perfect. All good and perfect</v>
      </c>
    </row>
    <row r="17648">
      <c r="A17648" s="1">
        <v>5.0</v>
      </c>
      <c r="B17648" s="1" t="s">
        <v>17480</v>
      </c>
      <c r="C17648" t="str">
        <f>IFERROR(__xludf.DUMMYFUNCTION("GOOGLETRANSLATE(B17648, ""es"", ""en"")"),"""Vaso"" No good comes with the lid and is lightweight, easy to wash and you can use other terinas NUK until you learn to drink from the next; My 10 month old daughter uses one phenomenal from 8.")</f>
        <v>"Vaso" No good comes with the lid and is lightweight, easy to wash and you can use other terinas NUK until you learn to drink from the next; My 10 month old daughter uses one phenomenal from 8.</v>
      </c>
    </row>
    <row r="17649">
      <c r="A17649" s="1">
        <v>5.0</v>
      </c>
      <c r="B17649" s="1" t="s">
        <v>17481</v>
      </c>
      <c r="C17649" t="str">
        <f>IFERROR(__xludf.DUMMYFUNCTION("GOOGLETRANSLATE(B17649, ""es"", ""en"")"),"All very good quality.")</f>
        <v>All very good quality.</v>
      </c>
    </row>
    <row r="17650">
      <c r="A17650" s="1">
        <v>5.0</v>
      </c>
      <c r="B17650" s="1" t="s">
        <v>17482</v>
      </c>
      <c r="C17650" t="str">
        <f>IFERROR(__xludf.DUMMYFUNCTION("GOOGLETRANSLATE(B17650, ""es"", ""en"")"),"You manta have to stretch well to hot throughout the blanket")</f>
        <v>You manta have to stretch well to hot throughout the blanket</v>
      </c>
    </row>
    <row r="17651">
      <c r="A17651" s="1">
        <v>5.0</v>
      </c>
      <c r="B17651" s="1" t="s">
        <v>17483</v>
      </c>
      <c r="C17651" t="str">
        <f>IFERROR(__xludf.DUMMYFUNCTION("GOOGLETRANSLATE(B17651, ""es"", ""en"")"),"Excellent product are magnificent, very nice, super comfortable and not heavy. Product recommended 100%")</f>
        <v>Excellent product are magnificent, very nice, super comfortable and not heavy. Product recommended 100%</v>
      </c>
    </row>
    <row r="17652">
      <c r="A17652" s="1">
        <v>5.0</v>
      </c>
      <c r="B17652" s="1" t="s">
        <v>17484</v>
      </c>
      <c r="C17652" t="str">
        <f>IFERROR(__xludf.DUMMYFUNCTION("GOOGLETRANSLATE(B17652, ""es"", ""en"")"),"Prepare hand blender protein shakes perfectly. Easy cleaning and parts are very easy to assemble. It has five speeds and turbo mode. Castilian instructions.")</f>
        <v>Prepare hand blender protein shakes perfectly. Easy cleaning and parts are very easy to assemble. It has five speeds and turbo mode. Castilian instructions.</v>
      </c>
    </row>
    <row r="17653">
      <c r="A17653" s="1">
        <v>5.0</v>
      </c>
      <c r="B17653" s="1" t="s">
        <v>17485</v>
      </c>
      <c r="C17653" t="str">
        <f>IFERROR(__xludf.DUMMYFUNCTION("GOOGLETRANSLATE(B17653, ""es"", ""en"")"),"A great toaster am very happy with the toaster. Tuesta good bread, breads supports long and thick, and has a very nice design. It should be borne in mind that is quite large, but nothing to say against him.")</f>
        <v>A great toaster am very happy with the toaster. Tuesta good bread, breads supports long and thick, and has a very nice design. It should be borne in mind that is quite large, but nothing to say against him.</v>
      </c>
    </row>
    <row r="17654">
      <c r="A17654" s="1">
        <v>5.0</v>
      </c>
      <c r="B17654" s="1" t="s">
        <v>238</v>
      </c>
      <c r="C17654" t="str">
        <f>IFERROR(__xludf.DUMMYFUNCTION("GOOGLETRANSLATE(B17654, ""es"", ""en"")"),"perfect perfect")</f>
        <v>perfect perfect</v>
      </c>
    </row>
    <row r="17655">
      <c r="A17655" s="1">
        <v>5.0</v>
      </c>
      <c r="B17655" s="1" t="s">
        <v>17486</v>
      </c>
      <c r="C17655" t="str">
        <f>IFERROR(__xludf.DUMMYFUNCTION("GOOGLETRANSLATE(B17655, ""es"", ""en"")"),"Good product at a good price Luckily though menthol carry, does not sting too much: defeat the really cool mouth. The transfer is large 1 liter), and I guess that's why get so economical. Compared with pharmacies and other shops, the price is perfect")</f>
        <v>Good product at a good price Luckily though menthol carry, does not sting too much: defeat the really cool mouth. The transfer is large 1 liter), and I guess that's why get so economical. Compared with pharmacies and other shops, the price is perfect</v>
      </c>
    </row>
    <row r="17656">
      <c r="A17656" s="1">
        <v>5.0</v>
      </c>
      <c r="B17656" s="1" t="s">
        <v>17487</v>
      </c>
      <c r="C17656" t="str">
        <f>IFERROR(__xludf.DUMMYFUNCTION("GOOGLETRANSLATE(B17656, ""es"", ""en"")"),"Comfortable comfortable and highly supporting")</f>
        <v>Comfortable comfortable and highly supporting</v>
      </c>
    </row>
    <row r="17657">
      <c r="A17657" s="1">
        <v>5.0</v>
      </c>
      <c r="B17657" s="1" t="s">
        <v>17488</v>
      </c>
      <c r="C17657" t="str">
        <f>IFERROR(__xludf.DUMMYFUNCTION("GOOGLETRANSLATE(B17657, ""es"", ""en"")"),"Perfect shoes good shoes are comfortable and fit very well, missing try on several routes, but so far there are good feelings, I hope it stays that way.")</f>
        <v>Perfect shoes good shoes are comfortable and fit very well, missing try on several routes, but so far there are good feelings, I hope it stays that way.</v>
      </c>
    </row>
    <row r="17658">
      <c r="A17658" s="1">
        <v>5.0</v>
      </c>
      <c r="B17658" s="1" t="s">
        <v>17489</v>
      </c>
      <c r="C17658" t="str">
        <f>IFERROR(__xludf.DUMMYFUNCTION("GOOGLETRANSLATE(B17658, ""es"", ""en"")"),"PRICE Wonderful staff has good quality and quality acabado.Recomiendo using staples (Petrus or helmet), so that stapling is perfecto.Merece it.")</f>
        <v>PRICE Wonderful staff has good quality and quality acabado.Recomiendo using staples (Petrus or helmet), so that stapling is perfecto.Merece it.</v>
      </c>
    </row>
    <row r="17659">
      <c r="A17659" s="1">
        <v>5.0</v>
      </c>
      <c r="B17659" s="1" t="s">
        <v>17490</v>
      </c>
      <c r="C17659" t="str">
        <f>IFERROR(__xludf.DUMMYFUNCTION("GOOGLETRANSLATE(B17659, ""es"", ""en"")"),"Pretty good Nice for being so small: 1.8cm.")</f>
        <v>Pretty good Nice for being so small: 1.8cm.</v>
      </c>
    </row>
    <row r="17660">
      <c r="A17660" s="1">
        <v>2.0</v>
      </c>
      <c r="B17660" s="1" t="s">
        <v>17491</v>
      </c>
      <c r="C17660" t="str">
        <f>IFERROR(__xludf.DUMMYFUNCTION("GOOGLETRANSLATE(B17660, ""es"", ""en"")"),"Disappointment. Buy this product I thought that comfortable serious, but it's not, it's like Levara headphones in their ears, and that I have big head, the battery does not last what the description says, the sound is normal, Connection is normal, finally"&amp;", for the price they have, okay.")</f>
        <v>Disappointment. Buy this product I thought that comfortable serious, but it's not, it's like Levara headphones in their ears, and that I have big head, the battery does not last what the description says, the sound is normal, Connection is normal, finally, for the price they have, okay.</v>
      </c>
    </row>
    <row r="17661">
      <c r="A17661" s="1">
        <v>3.0</v>
      </c>
      <c r="B17661" s="1" t="s">
        <v>17492</v>
      </c>
      <c r="C17661" t="str">
        <f>IFERROR(__xludf.DUMMYFUNCTION("GOOGLETRANSLATE(B17661, ""es"", ""en"")"),"Very good A very thin and elegant chain seems good quality. EDIT: It has broken me to the place only a month :(")</f>
        <v>Very good A very thin and elegant chain seems good quality. EDIT: It has broken me to the place only a month :(</v>
      </c>
    </row>
    <row r="17662">
      <c r="A17662" s="1">
        <v>1.0</v>
      </c>
      <c r="B17662" s="1" t="s">
        <v>17493</v>
      </c>
      <c r="C17662" t="str">
        <f>IFERROR(__xludf.DUMMYFUNCTION("GOOGLETRANSLATE(B17662, ""es"", ""en"")"),"Sorry, it was a bad buy. He had many years one that worked acceptably me, so I bought it. But this time I was right. I'm sorry, I did not work well.")</f>
        <v>Sorry, it was a bad buy. He had many years one that worked acceptably me, so I bought it. But this time I was right. I'm sorry, I did not work well.</v>
      </c>
    </row>
    <row r="17663">
      <c r="A17663" s="1">
        <v>1.0</v>
      </c>
      <c r="B17663" s="1" t="s">
        <v>17494</v>
      </c>
      <c r="C17663" t="str">
        <f>IFERROR(__xludf.DUMMYFUNCTION("GOOGLETRANSLATE(B17663, ""es"", ""en"")"),"Gender is bad pants sheltering, but I see me forced to change the opinion I gave in his day. After four days the whole genre is touched and balls. A disaster.")</f>
        <v>Gender is bad pants sheltering, but I see me forced to change the opinion I gave in his day. After four days the whole genre is touched and balls. A disaster.</v>
      </c>
    </row>
    <row r="17664">
      <c r="A17664" s="1">
        <v>4.0</v>
      </c>
      <c r="B17664" s="1" t="s">
        <v>17495</v>
      </c>
      <c r="C17664" t="str">
        <f>IFERROR(__xludf.DUMMYFUNCTION("GOOGLETRANSLATE(B17664, ""es"", ""en"")"),"right clock, disastrous and useless box. The clock is as described, I like and comfortable. What I do not like is the case. Not Casio, not worth for that clock as neither closes when guards. It is an elongated metal box and mashed q is not designed to wat"&amp;"ch like that. Disappointing this point.")</f>
        <v>right clock, disastrous and useless box. The clock is as described, I like and comfortable. What I do not like is the case. Not Casio, not worth for that clock as neither closes when guards. It is an elongated metal box and mashed q is not designed to watch like that. Disappointing this point.</v>
      </c>
    </row>
    <row r="17665">
      <c r="A17665" s="1">
        <v>4.0</v>
      </c>
      <c r="B17665" s="1" t="s">
        <v>17496</v>
      </c>
      <c r="C17665" t="str">
        <f>IFERROR(__xludf.DUMMYFUNCTION("GOOGLETRANSLATE(B17665, ""es"", ""en"")"),"Recommended for the price it is not bad")</f>
        <v>Recommended for the price it is not bad</v>
      </c>
    </row>
    <row r="17666">
      <c r="A17666" s="1">
        <v>4.0</v>
      </c>
      <c r="B17666" s="1" t="s">
        <v>17497</v>
      </c>
      <c r="C17666" t="str">
        <f>IFERROR(__xludf.DUMMYFUNCTION("GOOGLETRANSLATE(B17666, ""es"", ""en"")"),"Meets specified The mixer works perfectly and are fine accessories, especially avoiding splashing puree. Overall good buy.")</f>
        <v>Meets specified The mixer works perfectly and are fine accessories, especially avoiding splashing puree. Overall good buy.</v>
      </c>
    </row>
    <row r="17667">
      <c r="A17667" s="1">
        <v>4.0</v>
      </c>
      <c r="B17667" s="1" t="s">
        <v>17498</v>
      </c>
      <c r="C17667" t="str">
        <f>IFERROR(__xludf.DUMMYFUNCTION("GOOGLETRANSLATE(B17667, ""es"", ""en"")"),"Satisfaction!! Bien.- practically everything, good quality, comfort, autonomy, good overall performance. Bien.- less sensitive touch system, sometimes some options are activated by accident. Perhaps serious shallower than expected. Details also, it is rec"&amp;"ommended !!")</f>
        <v>Satisfaction!! Bien.- practically everything, good quality, comfort, autonomy, good overall performance. Bien.- less sensitive touch system, sometimes some options are activated by accident. Perhaps serious shallower than expected. Details also, it is recommended !!</v>
      </c>
    </row>
    <row r="17668">
      <c r="A17668" s="1">
        <v>5.0</v>
      </c>
      <c r="B17668" s="1" t="s">
        <v>17499</v>
      </c>
      <c r="C17668" t="str">
        <f>IFERROR(__xludf.DUMMYFUNCTION("GOOGLETRANSLATE(B17668, ""es"", ""en"")"),"Good quality good quality adjusted price. The measure is correct and fit well to the foot. Perfect for dress or work")</f>
        <v>Good quality good quality adjusted price. The measure is correct and fit well to the foot. Perfect for dress or work</v>
      </c>
    </row>
    <row r="17669">
      <c r="A17669" s="1">
        <v>5.0</v>
      </c>
      <c r="B17669" s="1" t="s">
        <v>17500</v>
      </c>
      <c r="C17669" t="str">
        <f>IFERROR(__xludf.DUMMYFUNCTION("GOOGLETRANSLATE(B17669, ""es"", ""en"")"),"EXPERIMENT WITH SUCCESS A friend brought me an old ASUS Eee PC with SSD small factory capacity which barely let in a WIN XP ... (note: the owner SSD was ... impossible ASUS format change by one more) . So I decided to lose some boot speed, but installing "&amp;"a WIN 7 on microSD and so the SSD going to be a mere Storag, .... The theme was not squander this netbook .... goal achieved .. ..luego to get to the desktop, suffers the limitations of the hardaware of the netbook, but it has nothing to do with the micro"&amp;"SD, which has resulted in high quality")</f>
        <v>EXPERIMENT WITH SUCCESS A friend brought me an old ASUS Eee PC with SSD small factory capacity which barely let in a WIN XP ... (note: the owner SSD was ... impossible ASUS format change by one more) . So I decided to lose some boot speed, but installing a WIN 7 on microSD and so the SSD going to be a mere Storag, .... The theme was not squander this netbook .... goal achieved .. ..luego to get to the desktop, suffers the limitations of the hardaware of the netbook, but it has nothing to do with the microSD, which has resulted in high quality</v>
      </c>
    </row>
    <row r="17670">
      <c r="A17670" s="1">
        <v>5.0</v>
      </c>
      <c r="B17670" s="1" t="s">
        <v>17501</v>
      </c>
      <c r="C17670" t="str">
        <f>IFERROR(__xludf.DUMMYFUNCTION("GOOGLETRANSLATE(B17670, ""es"", ""en"")"),"His perfect role ago, it came very fast and well protected, had very very dry almoadillas time and was able to recover")</f>
        <v>His perfect role ago, it came very fast and well protected, had very very dry almoadillas time and was able to recover</v>
      </c>
    </row>
    <row r="17671">
      <c r="A17671" s="1">
        <v>5.0</v>
      </c>
      <c r="B17671" s="1" t="s">
        <v>17502</v>
      </c>
      <c r="C17671" t="str">
        <f>IFERROR(__xludf.DUMMYFUNCTION("GOOGLETRANSLATE(B17671, ""es"", ""en"")"),"Perfect are very comfortable, especially at the waist because they have a wide rubber. As it puts in the description. They also came very soon.")</f>
        <v>Perfect are very comfortable, especially at the waist because they have a wide rubber. As it puts in the description. They also came very soon.</v>
      </c>
    </row>
    <row r="17672">
      <c r="A17672" s="1">
        <v>5.0</v>
      </c>
      <c r="B17672" s="1" t="s">
        <v>17503</v>
      </c>
      <c r="C17672" t="str">
        <f>IFERROR(__xludf.DUMMYFUNCTION("GOOGLETRANSLATE(B17672, ""es"", ""en"")"),"Always be faithful to Tommee Tippee not use any other bottle .... I'm a fan of Tommee Tippee because I'm coming for the third and although not all bottles recycled .. they bought new and always the same brand. The system with the hole up for anti colic is"&amp;" great above very comfortable and come in other sizes. Then the retinas are easy to find. I recommend this because the nipple is more like a nipple.")</f>
        <v>Always be faithful to Tommee Tippee not use any other bottle .... I'm a fan of Tommee Tippee because I'm coming for the third and although not all bottles recycled .. they bought new and always the same brand. The system with the hole up for anti colic is great above very comfortable and come in other sizes. Then the retinas are easy to find. I recommend this because the nipple is more like a nipple.</v>
      </c>
    </row>
    <row r="17673">
      <c r="A17673" s="1">
        <v>5.0</v>
      </c>
      <c r="B17673" s="1" t="s">
        <v>17504</v>
      </c>
      <c r="C17673" t="str">
        <f>IFERROR(__xludf.DUMMYFUNCTION("GOOGLETRANSLATE(B17673, ""es"", ""en"")"),"Excellent Very Good small on the outside but very nice inside and capacity")</f>
        <v>Excellent Very Good small on the outside but very nice inside and capacity</v>
      </c>
    </row>
    <row r="17674">
      <c r="A17674" s="1">
        <v>5.0</v>
      </c>
      <c r="B17674" s="1" t="s">
        <v>17505</v>
      </c>
      <c r="C17674" t="str">
        <f>IFERROR(__xludf.DUMMYFUNCTION("GOOGLETRANSLATE(B17674, ""es"", ""en"")"),"very well and it is perfect for water, and the color is intense and lasting watch itself is beautiful and endures and lasts long")</f>
        <v>very well and it is perfect for water, and the color is intense and lasting watch itself is beautiful and endures and lasts long</v>
      </c>
    </row>
    <row r="17675">
      <c r="A17675" s="1">
        <v>5.0</v>
      </c>
      <c r="B17675" s="1" t="s">
        <v>17506</v>
      </c>
      <c r="C17675" t="str">
        <f>IFERROR(__xludf.DUMMYFUNCTION("GOOGLETRANSLATE(B17675, ""es"", ""en"")"),"Biberon is bigger than I expected but I like the product.")</f>
        <v>Biberon is bigger than I expected but I like the product.</v>
      </c>
    </row>
    <row r="17676">
      <c r="A17676" s="1">
        <v>5.0</v>
      </c>
      <c r="B17676" s="1" t="s">
        <v>17507</v>
      </c>
      <c r="C17676" t="str">
        <f>IFERROR(__xludf.DUMMYFUNCTION("GOOGLETRANSLATE(B17676, ""es"", ""en"")"),"They are very nice Bonitos")</f>
        <v>They are very nice Bonitos</v>
      </c>
    </row>
    <row r="17677">
      <c r="A17677" s="1">
        <v>5.0</v>
      </c>
      <c r="B17677" s="1" t="s">
        <v>17508</v>
      </c>
      <c r="C17677" t="str">
        <f>IFERROR(__xludf.DUMMYFUNCTION("GOOGLETRANSLATE(B17677, ""es"", ""en"")"),"Flattering Meshes are pretty good fit, comfortable and good quality fabric. I have washed a few times and are perfect")</f>
        <v>Flattering Meshes are pretty good fit, comfortable and good quality fabric. I have washed a few times and are perfect</v>
      </c>
    </row>
    <row r="17678">
      <c r="A17678" s="1">
        <v>5.0</v>
      </c>
      <c r="B17678" s="1" t="s">
        <v>17509</v>
      </c>
      <c r="C17678" t="str">
        <f>IFERROR(__xludf.DUMMYFUNCTION("GOOGLETRANSLATE(B17678, ""es"", ""en"")"),"certainly when I will spend buying. Cloth Microfiber Cleaning Towels Kitchen dishcloths Negro10 Units 30 x 40 cm, buy a DE10 package, and the truth that thrilled with them, I use them to clean the glass, dust and others, resist very well with water and pr"&amp;"oducts chemicals such as ammonia, wood and other, certainly when I will spend buying.")</f>
        <v>certainly when I will spend buying. Cloth Microfiber Cleaning Towels Kitchen dishcloths Negro10 Units 30 x 40 cm, buy a DE10 package, and the truth that thrilled with them, I use them to clean the glass, dust and others, resist very well with water and products chemicals such as ammonia, wood and other, certainly when I will spend buying.</v>
      </c>
    </row>
    <row r="17679">
      <c r="A17679" s="1">
        <v>5.0</v>
      </c>
      <c r="B17679" s="1" t="s">
        <v>17510</v>
      </c>
      <c r="C17679" t="str">
        <f>IFERROR(__xludf.DUMMYFUNCTION("GOOGLETRANSLATE(B17679, ""es"", ""en"")"),"Useful and good very rapid delivery, baby bottle already knew this because I love Mam brand can be sterilized in the micro and my baby likes tb MBF as I have no problem between nipple and nipple. I recommend it")</f>
        <v>Useful and good very rapid delivery, baby bottle already knew this because I love Mam brand can be sterilized in the micro and my baby likes tb MBF as I have no problem between nipple and nipple. I recommend it</v>
      </c>
    </row>
    <row r="17680">
      <c r="A17680" s="1">
        <v>5.0</v>
      </c>
      <c r="B17680" s="1" t="s">
        <v>17511</v>
      </c>
      <c r="C17680" t="str">
        <f>IFERROR(__xludf.DUMMYFUNCTION("GOOGLETRANSLATE(B17680, ""es"", ""en"")"),"very good use and grabbed 45 43/44 BR size and I are perfect sole is not deformed, I've taken a lot of time during the summer and walked a lot and are new")</f>
        <v>very good use and grabbed 45 43/44 BR size and I are perfect sole is not deformed, I've taken a lot of time during the summer and walked a lot and are new</v>
      </c>
    </row>
    <row r="17681">
      <c r="A17681" s="1">
        <v>5.0</v>
      </c>
      <c r="B17681" s="1" t="s">
        <v>17512</v>
      </c>
      <c r="C17681" t="str">
        <f>IFERROR(__xludf.DUMMYFUNCTION("GOOGLETRANSLATE(B17681, ""es"", ""en"")"),"Great buy headphones are very good quality. Immersive sound, you hear nothing from the outside. The sound quality is quite good, better than in severe acute where the sound saturates a little. Highly recommended. The price is a must.")</f>
        <v>Great buy headphones are very good quality. Immersive sound, you hear nothing from the outside. The sound quality is quite good, better than in severe acute where the sound saturates a little. Highly recommended. The price is a must.</v>
      </c>
    </row>
    <row r="17682">
      <c r="A17682" s="1">
        <v>5.0</v>
      </c>
      <c r="B17682" s="1" t="s">
        <v>17513</v>
      </c>
      <c r="C17682" t="str">
        <f>IFERROR(__xludf.DUMMYFUNCTION("GOOGLETRANSLATE(B17682, ""es"", ""en"")"),"Good morning good money, the product my wife is delighted, really thank you very much, odor of very natural.")</f>
        <v>Good morning good money, the product my wife is delighted, really thank you very much, odor of very natural.</v>
      </c>
    </row>
    <row r="17683">
      <c r="A17683" s="1">
        <v>5.0</v>
      </c>
      <c r="B17683" s="1" t="s">
        <v>17514</v>
      </c>
      <c r="C17683" t="str">
        <f>IFERROR(__xludf.DUMMYFUNCTION("GOOGLETRANSLATE(B17683, ""es"", ""en"")"),"Very good very good. And I bought before and are great. Very good quality and very good sound. Always start by the cable union pin stuck them in my pocket but I have durao more than a year. So great q")</f>
        <v>Very good very good. And I bought before and are great. Very good quality and very good sound. Always start by the cable union pin stuck them in my pocket but I have durao more than a year. So great q</v>
      </c>
    </row>
    <row r="17684">
      <c r="A17684" s="1">
        <v>5.0</v>
      </c>
      <c r="B17684" s="1" t="s">
        <v>17515</v>
      </c>
      <c r="C17684" t="str">
        <f>IFERROR(__xludf.DUMMYFUNCTION("GOOGLETRANSLATE(B17684, ""es"", ""en"")"),"I ordered a very comfortable 41 is the number that I use and I will perfect. They are comfortable but not to run or spend much time with them to the somewhat rigid one.")</f>
        <v>I ordered a very comfortable 41 is the number that I use and I will perfect. They are comfortable but not to run or spend much time with them to the somewhat rigid one.</v>
      </c>
    </row>
    <row r="17685">
      <c r="A17685" s="1">
        <v>5.0</v>
      </c>
      <c r="B17685" s="1" t="s">
        <v>17516</v>
      </c>
      <c r="C17685" t="str">
        <f>IFERROR(__xludf.DUMMYFUNCTION("GOOGLETRANSLATE(B17685, ""es"", ""en"")"),"cheap and easy option Easy to paste. Resistant")</f>
        <v>cheap and easy option Easy to paste. Resistant</v>
      </c>
    </row>
    <row r="17686">
      <c r="A17686" s="1">
        <v>2.0</v>
      </c>
      <c r="B17686" s="1" t="s">
        <v>17517</v>
      </c>
      <c r="C17686" t="str">
        <f>IFERROR(__xludf.DUMMYFUNCTION("GOOGLETRANSLATE(B17686, ""es"", ""en"")"),". It does not work well")</f>
        <v>. It does not work well</v>
      </c>
    </row>
    <row r="17687">
      <c r="A17687" s="1">
        <v>3.0</v>
      </c>
      <c r="B17687" s="1" t="s">
        <v>17518</v>
      </c>
      <c r="C17687" t="str">
        <f>IFERROR(__xludf.DUMMYFUNCTION("GOOGLETRANSLATE(B17687, ""es"", ""en"")"),"Portfolio briefcase fabric is very resistant")</f>
        <v>Portfolio briefcase fabric is very resistant</v>
      </c>
    </row>
    <row r="17688">
      <c r="A17688" s="1">
        <v>3.0</v>
      </c>
      <c r="B17688" s="1" t="s">
        <v>17519</v>
      </c>
      <c r="C17688" t="str">
        <f>IFERROR(__xludf.DUMMYFUNCTION("GOOGLETRANSLATE(B17688, ""es"", ""en"")"),"I did not like I bought it because it was the best chest bla bla mimicked. My daughter was more than accustomed to the chest and was unable to get even a drop of milk from the bottle. I even tried to suckle and cost me quite a rare thing because when plac"&amp;"ed face down dripped. Wash was torture because it takes a thousand pieces and if not assembled does not work well. No, I do not like anything I or my daughter and that is a very good brand. For how expensive it was expecting something else.")</f>
        <v>I did not like I bought it because it was the best chest bla bla mimicked. My daughter was more than accustomed to the chest and was unable to get even a drop of milk from the bottle. I even tried to suckle and cost me quite a rare thing because when placed face down dripped. Wash was torture because it takes a thousand pieces and if not assembled does not work well. No, I do not like anything I or my daughter and that is a very good brand. For how expensive it was expecting something else.</v>
      </c>
    </row>
    <row r="17689">
      <c r="A17689" s="1">
        <v>1.0</v>
      </c>
      <c r="B17689" s="1" t="s">
        <v>17520</v>
      </c>
      <c r="C17689" t="str">
        <f>IFERROR(__xludf.DUMMYFUNCTION("GOOGLETRANSLATE(B17689, ""es"", ""en"")"),"I like not learn that the product is the q I ask but a number of smaller shoe. They were not heard")</f>
        <v>I like not learn that the product is the q I ask but a number of smaller shoe. They were not heard</v>
      </c>
    </row>
    <row r="17690">
      <c r="A17690" s="1">
        <v>1.0</v>
      </c>
      <c r="B17690" s="1" t="s">
        <v>17521</v>
      </c>
      <c r="C17690" t="str">
        <f>IFERROR(__xludf.DUMMYFUNCTION("GOOGLETRANSLATE(B17690, ""es"", ""en"")"),"Radiator Duster is too wide to go through the slats of a modern radiator. The mop comes to shooting it. And I threw.")</f>
        <v>Radiator Duster is too wide to go through the slats of a modern radiator. The mop comes to shooting it. And I threw.</v>
      </c>
    </row>
    <row r="17691">
      <c r="A17691" s="1">
        <v>4.0</v>
      </c>
      <c r="B17691" s="1" t="s">
        <v>17522</v>
      </c>
      <c r="C17691" t="str">
        <f>IFERROR(__xludf.DUMMYFUNCTION("GOOGLETRANSLATE(B17691, ""es"", ""en"")"),"Decepcion What I did not like is that they have not told me that the top model was cheaper than this.")</f>
        <v>Decepcion What I did not like is that they have not told me that the top model was cheaper than this.</v>
      </c>
    </row>
    <row r="17692">
      <c r="A17692" s="1">
        <v>4.0</v>
      </c>
      <c r="B17692" s="1" t="s">
        <v>17523</v>
      </c>
      <c r="C17692" t="str">
        <f>IFERROR(__xludf.DUMMYFUNCTION("GOOGLETRANSLATE(B17692, ""es"", ""en"")"),"Very nice quality. Seems good quality and durable, I have not got to use it, I have returned because it seemed too small for what I wanted, the normal size has little capacity. Several pockets that will be very useful. Which can be used as a shoulder bag,"&amp;" backpack and suitcase is a plus. As main drawback I think it would be more comfortable if you could open up the zipper.")</f>
        <v>Very nice quality. Seems good quality and durable, I have not got to use it, I have returned because it seemed too small for what I wanted, the normal size has little capacity. Several pockets that will be very useful. Which can be used as a shoulder bag, backpack and suitcase is a plus. As main drawback I think it would be more comfortable if you could open up the zipper.</v>
      </c>
    </row>
    <row r="17693">
      <c r="A17693" s="1">
        <v>4.0</v>
      </c>
      <c r="B17693" s="1" t="s">
        <v>17524</v>
      </c>
      <c r="C17693" t="str">
        <f>IFERROR(__xludf.DUMMYFUNCTION("GOOGLETRANSLATE(B17693, ""es"", ""en"")"),"Present. It was a gift for a friend and she loved it. Is a good watch for men and the functions are suitable for making good use.")</f>
        <v>Present. It was a gift for a friend and she loved it. Is a good watch for men and the functions are suitable for making good use.</v>
      </c>
    </row>
    <row r="17694">
      <c r="A17694" s="1">
        <v>4.0</v>
      </c>
      <c r="B17694" s="1" t="s">
        <v>17525</v>
      </c>
      <c r="C17694" t="str">
        <f>IFERROR(__xludf.DUMMYFUNCTION("GOOGLETRANSLATE(B17694, ""es"", ""en"")"),"Good product good genre")</f>
        <v>Good product good genre</v>
      </c>
    </row>
    <row r="17695">
      <c r="A17695" s="1">
        <v>4.0</v>
      </c>
      <c r="B17695" s="1" t="s">
        <v>17526</v>
      </c>
      <c r="C17695" t="str">
        <f>IFERROR(__xludf.DUMMYFUNCTION("GOOGLETRANSLATE(B17695, ""es"", ""en"")"),"Good buy good buy very happy")</f>
        <v>Good buy good buy very happy</v>
      </c>
    </row>
    <row r="17696">
      <c r="A17696" s="1">
        <v>5.0</v>
      </c>
      <c r="B17696" s="1" t="s">
        <v>17527</v>
      </c>
      <c r="C17696" t="str">
        <f>IFERROR(__xludf.DUMMYFUNCTION("GOOGLETRANSLATE(B17696, ""es"", ""en"")"),"Leaves skin hydrated and smooth skin very hydrated without fat. Ideal to apply twice a day. Morning and then apply the cream and at night, I applied it with nothing. I love!")</f>
        <v>Leaves skin hydrated and smooth skin very hydrated without fat. Ideal to apply twice a day. Morning and then apply the cream and at night, I applied it with nothing. I love!</v>
      </c>
    </row>
    <row r="17697">
      <c r="A17697" s="1">
        <v>5.0</v>
      </c>
      <c r="B17697" s="1" t="s">
        <v>17528</v>
      </c>
      <c r="C17697" t="str">
        <f>IFERROR(__xludf.DUMMYFUNCTION("GOOGLETRANSLATE(B17697, ""es"", ""en"")"),"Very nice &lt;div id = ""video-block-R26HJYWWGPG55D"" class = ""a-section a-spacing-small a-spacing-top mini video-block""&gt; &lt;div tabindex = ""0"" class = ""airy airy-svg vmin-supported airy-skin-beacon ""style ="" background-color: rgb (0, 0, 0) position: re"&amp;"lative; width: 100%; height: 100%; font-size: 0px; overflow: hidden; outline : none; ""&gt; &lt;div class ="" airy-renderer-container ""style ="" position: relative; height: 100%; width: 100%; ""&gt; &lt;video id ="" 78 ""preload ="" auto ""src ="" https://images-eu."&amp;"ssl-images-amazon.com/images/I/B1WwyHOipPS.mp4 ""style ="" position: absolute; left: 0px; top: 0px; overflow: hidden; height: 1px; width: 1px ; ""&gt; &lt;/ video&gt; &lt;/ div&gt; &lt;div id ="" airy-slate-preload ""style ="" background-color: rgb (0, 0, 0); background-im"&amp;"age: url (&amp; quot; https: // images-eu.ssl-images-amazon.com/images/I/91V1jkd9TQS.png&amp;quot;); background-size: Contain; background-position: center center; background-repeat: no-repeat; position: absolute; top: 0px ; left: 0px; visibility: visible; width: "&amp;"100%; height: 100%; ""&gt; &lt;/ div&gt; &lt;iframe scrolling ="" no "" frameborder = ""0"" src = ""about: blank"" style = ""display: none;""&gt; &lt;/ iframe&gt; &lt;div tabindex = ""- 1"" class = ""airy-controls-container"" style = ""opacity: 0; visibility: hidden; ""&gt; &lt;div ta"&amp;"bindex ="" - 1 ""class ="" airy-screen-size-toggle airy-fullscreen ""&gt; &lt;/ div&gt; &lt;div tabindex ="" - 1 ""class ="" airy-container-bottom "" &gt; &lt;div tabindex = ""- 1"" class = ""airy-track-bar-spacer-left"" style = ""width: 11px;""&gt; &lt;/ div&gt; &lt;div tabindex = """&amp;"- 1"" class = ""airy-play- airy toggle-play ""style ="" width: 12px; margin-right: 12px; ""&gt; &lt;/ div&gt; &lt;div tabindex ="" - 1 ""class ="" airy-audio-elements ""style ="" float: right; width: 34px; ""&gt; &lt;div tabindex ="" - 1 ""class ="" airy-audio-toggle airy-"&amp;"on ""&gt; &lt;/ div&gt; &lt;div tabindex ="" - 1 ""class ="" airy-audio-container ""style = ""opacity: 0; visibility: hidden; ""&gt; &lt;div tabindex ="" - 1 ""class ="" airy-audio-track-bar ""style ="" height: 80%; ""&gt; &lt;div tabindex ="" - 1 ""class ="" airy-audio- Scrubbe"&amp;"r-bar ""style ="" height: 85%; ""&gt; &lt;/ div&gt; &lt;div tabindex ="" - 1 ""class ="" airy-audio-scrubber ""style ="" height: 12px; bottom: 85% ""&gt; &lt;/ div&gt; &lt;/ div&gt; &lt;/ div&gt; &lt;/ div&gt; &lt;div tabindex ="" - 1 ""class ="" airy-duration-label ""style ="" float: right; widt"&amp;"h: 26px; margin-right: 4px; text-align: center; ""&gt; 0:00 &lt;/ div&gt; &lt;div tabindex ="" - 1 ""class ="" airy-track-bar-spacer-right ""style ="" float: right; width: 11px; ""&gt; &lt;/ div&gt; &lt;div tabindex ="" - 1 ""class ="" airy-track-bar-container ""style ="" margin"&amp;"-left: 35px; margin-right: 75px; ""&gt; &lt;div tabindex ="" - 1 ""class ="" airy-airy-track-bar vertically-centering-table ""&gt; &lt;div tabindex ="" - 1 ""class ="" airy-Vertical-centering- table-cell ""&gt; &lt;div tabindex ="" - 1 ""class ="" airy-track-bar-elements "&amp;"""&gt; &lt;div tabindex ="" - 1 ""class ="" airy-progress-bar ""&gt; &lt;/ div&gt; &lt;div tabindex = ""- 1"" class = ""airy-scrubber-bar""&gt; &lt;/ div&gt; &lt;div tabindex = ""- 1"" class = ""airy-scrubber""&gt; &lt;div tabindex = ""- 1"" class = ""airy-scrubber- icon ""&gt; &lt;/ div&gt; &lt;div ta"&amp;"bindex ="" - 1 ""class ="" airy-adjusted-AUI-tooltip ""style ="" opacity: 0; visibility: hidden; ""&gt; &lt;div tabindex ="" - 1 ""class ="" airy-adjusted-aui-tooltip-inner ""&gt; &lt;div tabindex ="" - 1 ""class ="" airy-current-time-label ""&gt; 0: 00 &lt;/ div&gt; &lt;/ div&gt; "&amp;"&lt;div tabindex = ""- 1"" class = ""airy-adjusted-AUI-arrow-border""&gt; &lt;div tabindex = ""- 1"" class = ""airy-adjusted-AUI-arrow"" &gt; &lt;/ div&gt; &lt;/ div&gt; &lt;/ div&gt; &lt;/ div&gt; &lt;/ div&gt; &lt;/ div&gt; &lt;/ div&gt; &lt;/ div&gt; &lt;/ div&gt; &lt;/ div&gt; &lt;div tabindex = ""- 1"" class = ""airy-age-ga"&amp;"te airy-stage airy-Vertical-centering-table airy-dialog"" style = ""opacity: 0; visibility: hidden; ""&gt; &lt;div tabindex ="" - 1 ""class ="" airy-age-gate-Vertical-centering-table-cell airy-Vertical-centering-table-cell ""&gt; &lt;div tabindex ="" - 1 ""class = """&amp;"airy-Vertical-centering-wrapper airy-age-gate-elements-wrapper""&gt; &lt;div tabindex = ""- 1"" class = ""airy-age-gate-elements airy-dialog-elements""&gt; &lt;div tabindex = "" -1 ""class ="" airy-age-gate-prompt ""&gt; This video is not Intended for all audiences What"&amp;" date were you born &lt;/ div&gt; &lt;div tabindex =.?"" - 1 ""class ="" airy-age-gate -inputs airy-dialog-inner-elements ""&gt; &lt;select tabindex ="" - 1 ""class ="" airy-age-gate-month ""&gt; &lt;option value ="" 1 ""&gt; January &lt;/ option&gt; &lt;option value ="" 2 ""&gt; February &lt;"&amp;"/ option&gt; &lt;option value ="" 3 ""&gt; March &lt;/ option&gt; &lt;option value ="" 4 ""&gt; April &lt;/ option&gt; &lt;option value ="" 5 ""&gt; May &lt;/ option&gt; &lt;option value = ""6""&gt; June &lt;/ option&gt; &lt;option value = ""7""&gt; July &lt;/ option&gt; &lt;option value = ""8""&gt; August &lt;/ option&gt; &lt;opti"&amp;"on value = ""9""&gt; September &lt;/ option&gt; &lt;option value = ""10""&gt; October &lt;/ option&gt; &lt;option value = ""11""&gt; November &lt;/ option&gt; &lt;option value = ""12""&gt; December &lt;/ option&gt; &lt;/ select&gt; &lt;select tabindex = ""- 1"" class = ""airy-age-gate-day""&gt; &lt;opti on value ="&amp;" ""1""&gt; 1 &lt;/ option&gt; &lt;option value = ""2""&gt; 2 &lt;/ option&gt; &lt;option value = ""3""&gt; 3 &lt;/ option&gt; &lt;option value = ""4""&gt; 4 &lt;/ option &gt; &lt;option value = ""5""&gt; 5 &lt;/ option&gt; &lt;option value = ""6""&gt; 6 &lt;/ option&gt; &lt;option value = ""7""&gt; 7 &lt;/ option&gt; &lt;option value = "&amp;"""8""&gt; 8 &lt; / option&gt; &lt;option value = ""9""&gt; 9 &lt;/ option&gt; &lt;option value = ""10""&gt; 10 &lt;/ option&gt; &lt;option value = ""11""&gt; 11 &lt;/ option&gt; &lt;option value = ""12""&gt; 12 &lt;/ option&gt; &lt;option value = ""13""&gt; 13 &lt;/ option&gt; &lt;option value = ""14""&gt; 14 &lt;/ option&gt; &lt;option "&amp;"value = ""15""&gt; 15 &lt;/ option&gt; &lt;option value = ""16 ""&gt; 16 &lt;/ option&gt; &lt;option value ="" 17 ""&gt; 17 &lt;/ option&gt; &lt;option value ="" 18 ""&gt; 18 &lt;/ option&gt; &lt;option value ="" 19 ""&gt; 19 &lt;/ option&gt; &lt;option value = ""20""&gt; 20 &lt;/ option&gt; &lt;option value = ""21""&gt; 21 &lt;/ o"&amp;"ption&gt; &lt;option value = ""22""&gt; 22 &lt;/ option&gt; &lt;option value = ""23""&gt; 23 &lt;/ option&gt; &lt;option value = ""24""&gt; 24 &lt;/ option&gt; &lt;option value = ""25""&gt; 25 &lt;/ option&gt; &lt;option value = ""26""&gt; 26 &lt;/ option&gt; &lt;option value = ""27""&gt; 27 &lt;/ option&gt; &lt;option value = ""28"&amp;"""&gt; 28 &lt;/ option&gt; &lt;option value = ""29""&gt; 29 &lt;/ option&gt; &lt;option value = ""30""&gt; 30 &lt;/ option&gt; &lt;option value = ""31""&gt; 31 &lt;/ option&gt; &lt;/ select&gt; &lt;select tabindex = ""- 1"" class = ""airy-age-gate-year""&gt; &lt;option value = ""2019""&gt; 2019 &lt;/ option&gt; &lt; option va"&amp;"lue = ""2018""&gt; 2018 &lt;/ option&gt; &lt;option value = ""2017""&gt; 2017 &lt;/ option&gt; &lt;option value = ""2016""&gt; ​​2016 &lt;/ option&gt; &lt;option value = ""2015""&gt; 2015 &lt;/ option &gt; &lt;option value = ""2014""&gt; 2014 &lt;/ option&gt; &lt;option value = ""2013""&gt; 2013 &lt;/ option&gt; &lt;option va"&amp;"lue = ""2012""&gt; 2012 &lt;/ option&gt; &lt;option value = ""2011""&gt; 2011 &lt; / option&gt; &lt;option value = ""2010""&gt; 2010 &lt;/ option&gt; &lt;option value = ""2009""&gt; 2009 &lt;/ option&gt; &lt;option value = ""2008""&gt; 2008 &lt;/ option&gt; &lt;option value = ""2007""&gt; 2007 &lt;/ option&gt; &lt;option valu"&amp;"e = ""2006""&gt; 2006 &lt;/ option&gt; &lt;option value = ""2005""&gt; 2005 &lt;/ option&gt; &lt;option value = ""2004""&gt; 2004 &lt;/ option&gt; &lt;option value = ""2003 ""&gt; 2003 &lt;/ option&gt; &lt;option value ="" 2002 ""&gt; 2002 &lt;/ option&gt; &lt;option value ="" 2001 ""&gt; 2001 &lt;/ option&gt; &lt;option valu"&amp;"e ="" 2000 ""&gt; 2000 &lt;/ option&gt; &lt;option value = ""1999""&gt; 1999 &lt;/ option&gt; &lt;option value = ""1998""&gt; 1998 &lt;/ option&gt; &lt;option value = ""1997""&gt; 1997 &lt;/ option&gt; &lt;option value = ""1996""&gt; 1996 &lt;/ option&gt; &lt;option value = ""1995""&gt; 1995 &lt;/ option&gt; &lt;option value "&amp;"= ""1994""&gt;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&lt;value option = ""1985""&gt; 1985 &lt;/ option&gt; &lt;option value = ""1984""&gt; 1984 &lt;/ option&gt; &lt;option value = ""1983""&gt; 1983 &lt;/ option&gt; &lt;option value ="&amp;" ""1982""&gt;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&lt;value option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&lt;value option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airy-stage airy -vertical-centering-table-dialog airy airy-denied ""style ="" opacity: 0; visib"&amp;"ility: hidden; ""&gt; &lt;div tabindex ="" - 1 ""class ="" airy-install-flash-Vertical-centering-table-cell airy-Vertical-centering-table-cell ""&gt; &lt;div tabindex ="" - 1 ""class = ""airy-Vertical-centering-wrapper airy-install-flash-elements-wrapper""&gt; &lt;div tabi"&amp;"ndex = ""- 1"" class = ""airy-install-flash-elements airy-dialog-elements""&gt; &lt;div tabindex = "" -1 ""class ="" airy-install-flash-prompt ""&gt; Adobe Flash Player is required to watch this video &lt;/ div&gt; &lt;div tabindex =."" - 1 ""class ="" airy-install-flash-b"&amp;"utton-wrapper airy -dialog-inner-elements ""&gt; &lt;div tabindex ="" - 1 ""class ="" airy-install-flash-button airy-button ""&gt; install Flash Player &lt;/ div&gt; &lt;/ div&gt; &lt;/ div&gt; &lt;/ div&gt; &lt;/ div&gt; &lt;/ div&gt; &lt;div tabindex = ""- 1"" class = ""airy-video-unsupported-dialog "&amp;"airy-stage airy-Vertical-centering-table 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 "&amp;"div&gt; &lt;/ div&gt; &lt;/ div&gt; &lt;/ div&gt; &lt;/ div&gt; &lt;div tabindex ="" - 1 ""class ="" airy-loading- spinner-stage airy-stage ""&gt; &lt;div tabindex ="" - 1 ""class ="" airy-loading-spinner-Vertical-centering-table-cell airy-Vertical-centering-table-cell ""&gt; &lt;div tabindex ="""&amp;" - 1 ""class ="" airy-loading-spinner-container airy-scalable-hint-container ""&gt; &lt;div tabindex ="" - 1 ""class ="" airy-loading-spinner-dummy airy-scalable-dummy ""&gt; &lt;/ div&gt; &lt; div tabindex = ""- 1"" class = ""airy-loading-spinner airy-hint"" style = ""vis"&amp;"ibility: hidden;""&gt; &lt;/ div&gt; &lt;/ div&gt; &lt;/ div&gt; &lt;/ div&gt; &lt;div tabindex = ""- 1 ""class ="" airy-ads-screen-size-toggle airy-screen-size-toggle-fullscreen airy ""style ="" visibility: hidden; ""&gt; &lt;/ div&gt; &lt;div tabindex = ""-1"" class = ""airy-ad-prompt-container"&amp;""" style = ""visibility: hidden;""&gt; &lt;div tabindex = ""- 1"" class = ""airy-ad-prompt-Vertical-centering-table-vertically airy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ai"&amp;"ry-audio-toggle airy-on ""style ="" visibility: hidden; ""&gt; &lt;/ div&gt; &lt;div tabindex ="" - 1 ""class ="" airy-time-remaining-label-container ""&gt; &lt;div tabindex ="" - 1 ""class ="" airy-time-remaining-Vertical-centering-table airy-Vertical-centering-table ""&gt; "&amp;"&lt;div tabindex = ""- 1"" class = ""airy-time-remaining-Vertical-centering-table-cell airy-Vertical-centering-table-cell""&gt; &lt;div tabindex = ""- 1"" class = ""airy-Vertical-centering-wrapper airy-time-remaining-label-wrapper ""&gt; &lt;div tabindex ="" - 1 ""class"&amp;" ="" airy-time-remaining-label ""style ="" visibility: hidden; ""&gt; &lt;/ div&gt; &lt;div tabi ndex = ""- 1"" class = ""airy-ad-skip"" style = ""visibility: hidden;""&gt; &lt;/ div&gt; &lt;div tabindex = ""- 1"" class = ""airy-ad-end"" style = ""visibility: hidden ""&gt; &lt;/ div&gt; "&amp;"&lt;/ div&gt; &lt;/ div&gt; &lt;/ div&gt; &lt;/ div&gt; &lt;div tabindex ="" - 1 ""class ="" airy-learn-more ""style ="" visibility: hidden; ""&gt; &lt;/ div&gt; &lt;/ div&gt; &lt;div tabindex = ""- 1"" class = ""airy-play-toggle-hint-stage airy-stage airy-cursor""&gt; &lt;div tabindex = ""- 1"" class = "&amp;"""airy-play -toggle-hint-Vertical-centering-table-cell airy-Vertical-centering-table-cell airy-cursor ""&gt; &lt;div tabindex ="" - 1 ""class ="" airy-play-toggle-hint-container airy-scalable- Hint-container ""&gt; &lt;div tabindex ="" - 1 ""class ="" airy-play-toggl"&amp;"e-hint-dummy airy-scalable-dummy ""&gt; &lt;/ div&gt; &lt;div tabindex ="" - 1 ""class ="" airy-play -toggle-hint hint airy-airy-play-hint ""style ="" opacity: 1; visibility: visible; ""&gt; &lt;/ div&gt; &lt;/ div&gt; &lt;/ div&gt; &lt;/ div&gt; &lt;div tabindex ="" - 1 ""class ="" airy-replay-h"&amp;"int-stage airy-stage ""style ="" visibility: hidden ; ""&gt; &lt;div tabindex ="" - 1 ""class ="" airy-replay-hint-Vertical-centering-table-cell airy-Vertical-centering-table-cell airy-cursor ""&gt; &lt;div tabindex ="" - 1 ""class = ""airy-replay-hint-container airy"&amp;"-scalable-hint-container""&gt; &lt;div tabindex = ""- 1"" class = ""airy-replay-hint-dummy airy-scalable-dummy""&gt; &lt;/ div&gt; &lt;div tabindex = ""- 1"" class = ""airy-replay-hint airy-hint""&gt; &lt;/ div&gt; &lt;/ div&gt; &lt;/ div&gt; &lt;/ div&gt; &lt;div tabindex = ""- 1"" class = ""airy-auto"&amp;"play-hint -stage airy-stage ""style ="" visibility: hidden; ""&gt; &lt;div tabindex ="" - 1 ""class ="" airy-autoplay-hint-Vertical-centering-table-cell airy-Vertical-centering-table-cell airy- cursor ""&gt; &lt;div tabindex ="" - 1 ""class ="" autoplay airy-airy-hin"&amp;"t-container-scalable-hint-container ""&gt; &lt;div tabindex ="" - 1 ""class ="" airy-autoplay-hint-dummy airy- scalable-dummy ""&gt; &lt;/ div&gt; &lt;/ div&gt; &lt;/ div&gt; &lt;/ div&gt; &lt;/ div&gt; &lt;/ div&gt; &lt;input type ="" hidden ""name ="" ""value ="" https: // images-eu .ssl-images-amazo"&amp;"n.com / images / I / B1WwyHOipPS.mp4 ""Class ="" video-url ""&gt; &lt;input type ="" hidden ""name ="" ""value ="" https://images-eu.ssl-images-amazon.com/images/I/91V1jkd9TQS.png ""class ="" video-slate-img-url ""&gt; &amp; nbsp; I love Humidifiers, is a gift that al"&amp;"ways fits. It works well with multiple colors and timer modes. Without any noise. In addition to give a humidified atmosphere, it brings a smell to the room with essential oils. I like very much.")</f>
        <v>Very nice &lt;div id = "video-block-R26HJYWWGPG55D" class = "a-section a-spacing-small a-spacing-top mini video-block"&gt; &lt;div tabindex = "0" class = "airy airy-svg vmin-supported airy-skin-beacon "style =" background-color: rgb (0, 0, 0) position: relative; width: 100%; height: 100%; font-size: 0px; overflow: hidden; outline : none; "&gt; &lt;div class =" airy-renderer-container "style =" position: relative; height: 100%; width: 100%; "&gt; &lt;video id =" 78 "preload =" auto "src =" https://images-eu.ssl-images-amazon.com/images/I/B1WwyHOipPS.mp4 "style =" position: absolute; left: 0px; top: 0px; overflow: hidden; height: 1px; width: 1px ; "&gt; &lt;/ video&gt; &lt;/ div&gt; &lt;div id =" airy-slate-preload "style =" background-color: rgb (0, 0, 0); background-image: url (&amp; quot; https: // images-eu.ssl-images-amazon.com/images/I/91V1jkd9TQS.png&amp;quot;); background-size: Contain; background-position: center center; background-repeat: no-repeat; position: absolute; top: 0px ; left: 0px; visibility: visible; width: 100%; height: 100%; "&gt; &lt;/ div&gt; &lt;iframe scrolling =" no "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B1WwyHOipPS.mp4 "Class =" video-url "&gt; &lt;input type =" hidden "name =" "value =" https://images-eu.ssl-images-amazon.com/images/I/91V1jkd9TQS.png "class =" video-slate-img-url "&gt; &amp; nbsp; I love Humidifiers, is a gift that always fits. It works well with multiple colors and timer modes. Without any noise. In addition to give a humidified atmosphere, it brings a smell to the room with essential oils. I like very much.</v>
      </c>
    </row>
    <row r="17698">
      <c r="A17698" s="1">
        <v>5.0</v>
      </c>
      <c r="B17698" s="1" t="s">
        <v>17529</v>
      </c>
      <c r="C17698" t="str">
        <f>IFERROR(__xludf.DUMMYFUNCTION("GOOGLETRANSLATE(B17698, ""es"", ""en"")"),"Professionalism good price I bought it as a gift for my father to see that I needed a professional recording microphone was recording programs. He was very happy with the result. A being a USB microphone does not depend on the sound card of the computer o"&amp;"n which it is plugged, so any team can take advantage of its quality (always a good software is used).")</f>
        <v>Professionalism good price I bought it as a gift for my father to see that I needed a professional recording microphone was recording programs. He was very happy with the result. A being a USB microphone does not depend on the sound card of the computer on which it is plugged, so any team can take advantage of its quality (always a good software is used).</v>
      </c>
    </row>
    <row r="17699">
      <c r="A17699" s="1">
        <v>5.0</v>
      </c>
      <c r="B17699" s="1" t="s">
        <v>17530</v>
      </c>
      <c r="C17699" t="str">
        <f>IFERROR(__xludf.DUMMYFUNCTION("GOOGLETRANSLATE(B17699, ""es"", ""en"")"),"Very bueno¡ I was pleasantly surprised vacuums and scrub in a single pass. Tengo.un hard and dark park. He leaves nothing to envy impecable¡¡¡ Iroomba having my mother.")</f>
        <v>Very bueno¡ I was pleasantly surprised vacuums and scrub in a single pass. Tengo.un hard and dark park. He leaves nothing to envy impecable¡¡¡ Iroomba having my mother.</v>
      </c>
    </row>
    <row r="17700">
      <c r="A17700" s="1">
        <v>5.0</v>
      </c>
      <c r="B17700" s="1" t="s">
        <v>17531</v>
      </c>
      <c r="C17700" t="str">
        <f>IFERROR(__xludf.DUMMYFUNCTION("GOOGLETRANSLATE(B17700, ""es"", ""en"")"),"It is practical and comfortable light, has great ability, and that is waterproof makes it very practical. Very good buy.")</f>
        <v>It is practical and comfortable light, has great ability, and that is waterproof makes it very practical. Very good buy.</v>
      </c>
    </row>
    <row r="17701">
      <c r="A17701" s="1">
        <v>5.0</v>
      </c>
      <c r="B17701" s="1" t="s">
        <v>17532</v>
      </c>
      <c r="C17701" t="str">
        <f>IFERROR(__xludf.DUMMYFUNCTION("GOOGLETRANSLATE(B17701, ""es"", ""en"")"),"Works like a charm!! I like this mini mixer because it has the right size for one person and your laptop glass is very easy to take it and does not occupy much space as others. Power is very good and crushes everything smoothly. It comes with everything y"&amp;"ou need so you can take you anywhere your shake. Easy to use and clean. Ideal for individual shakes")</f>
        <v>Works like a charm!! I like this mini mixer because it has the right size for one person and your laptop glass is very easy to take it and does not occupy much space as others. Power is very good and crushes everything smoothly. It comes with everything you need so you can take you anywhere your shake. Easy to use and clean. Ideal for individual shakes</v>
      </c>
    </row>
    <row r="17702">
      <c r="A17702" s="1">
        <v>5.0</v>
      </c>
      <c r="B17702" s="1" t="s">
        <v>17533</v>
      </c>
      <c r="C17702" t="str">
        <f>IFERROR(__xludf.DUMMYFUNCTION("GOOGLETRANSLATE(B17702, ""es"", ""en"")"),"Simply Turbo 2in1 Vileda Vileda, nothing to add")</f>
        <v>Simply Turbo 2in1 Vileda Vileda, nothing to add</v>
      </c>
    </row>
    <row r="17703">
      <c r="A17703" s="1">
        <v>5.0</v>
      </c>
      <c r="B17703" s="1" t="s">
        <v>17534</v>
      </c>
      <c r="C17703" t="str">
        <f>IFERROR(__xludf.DUMMYFUNCTION("GOOGLETRANSLATE(B17703, ""es"", ""en"")"),"Well presented elegant in its case, positions are very smart because they have a single line. They look good with everything you put yourself.")</f>
        <v>Well presented elegant in its case, positions are very smart because they have a single line. They look good with everything you put yourself.</v>
      </c>
    </row>
    <row r="17704">
      <c r="A17704" s="1">
        <v>5.0</v>
      </c>
      <c r="B17704" s="1" t="s">
        <v>17535</v>
      </c>
      <c r="C17704" t="str">
        <f>IFERROR(__xludf.DUMMYFUNCTION("GOOGLETRANSLATE(B17704, ""es"", ""en"")"),"Comodo I've caught my sister doing sport and is quite comfortable .It is very soft fabric, size and perhaps a less better.")</f>
        <v>Comodo I've caught my sister doing sport and is quite comfortable .It is very soft fabric, size and perhaps a less better.</v>
      </c>
    </row>
    <row r="17705">
      <c r="A17705" s="1">
        <v>5.0</v>
      </c>
      <c r="B17705" s="1" t="s">
        <v>17536</v>
      </c>
      <c r="C17705" t="str">
        <f>IFERROR(__xludf.DUMMYFUNCTION("GOOGLETRANSLATE(B17705, ""es"", ""en"")"),"Good buy Good price, good capacity, good performance. Purchased for camera, use it directly with the SD adapter that accompanies format. the best performance is seen in quick bursts shots and HD video recording. It may not be the high end in terms of memo"&amp;"ry cards, but it is a recognized brand with good performance. On 64Gb I do not think I need say any more that I no longer have to carry any other replacement card :)")</f>
        <v>Good buy Good price, good capacity, good performance. Purchased for camera, use it directly with the SD adapter that accompanies format. the best performance is seen in quick bursts shots and HD video recording. It may not be the high end in terms of memory cards, but it is a recognized brand with good performance. On 64Gb I do not think I need say any more that I no longer have to carry any other replacement card :)</v>
      </c>
    </row>
    <row r="17706">
      <c r="A17706" s="1">
        <v>5.0</v>
      </c>
      <c r="B17706" s="1" t="s">
        <v>17537</v>
      </c>
      <c r="C17706" t="str">
        <f>IFERROR(__xludf.DUMMYFUNCTION("GOOGLETRANSLATE(B17706, ""es"", ""en"")"),"Chancla blade are integral comfortable and it is true that in the summer if you move a lot can get sweaty feet")</f>
        <v>Chancla blade are integral comfortable and it is true that in the summer if you move a lot can get sweaty feet</v>
      </c>
    </row>
    <row r="17707">
      <c r="A17707" s="1">
        <v>5.0</v>
      </c>
      <c r="B17707" s="1" t="s">
        <v>17538</v>
      </c>
      <c r="C17707" t="str">
        <f>IFERROR(__xludf.DUMMYFUNCTION("GOOGLETRANSLATE(B17707, ""es"", ""en"")"),"Were they are very good for a gift and was very happy person")</f>
        <v>Were they are very good for a gift and was very happy person</v>
      </c>
    </row>
    <row r="17708">
      <c r="A17708" s="1">
        <v>5.0</v>
      </c>
      <c r="B17708" s="1" t="s">
        <v>17539</v>
      </c>
      <c r="C17708" t="str">
        <f>IFERROR(__xludf.DUMMYFUNCTION("GOOGLETRANSLATE(B17708, ""es"", ""en"")"),"Rapides and effectiveness at a reasonable Small, fast and convenient price. He had doubts whether it would be puny, but nothing. Pica well, in less than a minute I have a smoothie, I like pulp, but I'm sure if more time is left is removed, I used to mix f"&amp;"rozen meats and vegetables and doing very well. That if meat and sticky stuff, cleanliness is another matter.")</f>
        <v>Rapides and effectiveness at a reasonable Small, fast and convenient price. He had doubts whether it would be puny, but nothing. Pica well, in less than a minute I have a smoothie, I like pulp, but I'm sure if more time is left is removed, I used to mix frozen meats and vegetables and doing very well. That if meat and sticky stuff, cleanliness is another matter.</v>
      </c>
    </row>
    <row r="17709">
      <c r="A17709" s="1">
        <v>5.0</v>
      </c>
      <c r="B17709" s="1" t="s">
        <v>17540</v>
      </c>
      <c r="C17709" t="str">
        <f>IFERROR(__xludf.DUMMYFUNCTION("GOOGLETRANSLATE(B17709, ""es"", ""en"")"),"It has been wonderful to try lots of different bottles anti-colic, and this is the first one that really meets the requirements of the word.")</f>
        <v>It has been wonderful to try lots of different bottles anti-colic, and this is the first one that really meets the requirements of the word.</v>
      </c>
    </row>
    <row r="17710">
      <c r="A17710" s="1">
        <v>5.0</v>
      </c>
      <c r="B17710" s="1" t="s">
        <v>17541</v>
      </c>
      <c r="C17710" t="str">
        <f>IFERROR(__xludf.DUMMYFUNCTION("GOOGLETRANSLATE(B17710, ""es"", ""en"")"),"Small, well compartmentalized Fantastic product, excellent value for money, the right size to weigh mobile, wallet, keys and a bottle of water. Good quality seams and zippers.")</f>
        <v>Small, well compartmentalized Fantastic product, excellent value for money, the right size to weigh mobile, wallet, keys and a bottle of water. Good quality seams and zippers.</v>
      </c>
    </row>
    <row r="17711">
      <c r="A17711" s="1">
        <v>5.0</v>
      </c>
      <c r="B17711" s="1" t="s">
        <v>17542</v>
      </c>
      <c r="C17711" t="str">
        <f>IFERROR(__xludf.DUMMYFUNCTION("GOOGLETRANSLATE(B17711, ""es"", ""en"")"),"A good gift necklace simple but elegant, perfect for Mother's Day, the chain is fine but it looks good quality, ideal if you have no idea what to give and want to have a detail with that special someone.")</f>
        <v>A good gift necklace simple but elegant, perfect for Mother's Day, the chain is fine but it looks good quality, ideal if you have no idea what to give and want to have a detail with that special someone.</v>
      </c>
    </row>
    <row r="17712">
      <c r="A17712" s="1">
        <v>5.0</v>
      </c>
      <c r="B17712" s="1" t="s">
        <v>17543</v>
      </c>
      <c r="C17712" t="str">
        <f>IFERROR(__xludf.DUMMYFUNCTION("GOOGLETRANSLATE(B17712, ""es"", ""en"")"),"Small and handy for essences A common, tiny and does the job very decently humidificaador. I decided on this for a price a little tighter and good reviews, if I was not convinced it back, I took a few days and I'm staying. I use it for bathing, but not by"&amp;" moisture if not the essence, I love that smell lemony bath with a few drops of Lemongrass enough. It's like most other programs, 1 hours, 2, and 6 hours and indefinite. plus a whole goes out when left without water. He has convinced me. Very good")</f>
        <v>Small and handy for essences A common, tiny and does the job very decently humidificaador. I decided on this for a price a little tighter and good reviews, if I was not convinced it back, I took a few days and I'm staying. I use it for bathing, but not by moisture if not the essence, I love that smell lemony bath with a few drops of Lemongrass enough. It's like most other programs, 1 hours, 2, and 6 hours and indefinite. plus a whole goes out when left without water. He has convinced me. Very good</v>
      </c>
    </row>
    <row r="17713">
      <c r="A17713" s="1">
        <v>5.0</v>
      </c>
      <c r="B17713" s="1" t="s">
        <v>17544</v>
      </c>
      <c r="C17713" t="str">
        <f>IFERROR(__xludf.DUMMYFUNCTION("GOOGLETRANSLATE(B17713, ""es"", ""en"")"),"Portable sports. I bought a blender for use in the gym and meet expectations. It works without cable, making it ideal to take her anywhere without plugging in. It is loaded via a USB cable and battery life. The capacity is just right for milkshakes. Anoth"&amp;"er thing I like is that the blades do not work when the glass is removed, this ensures that the blades do not work and I can cut.")</f>
        <v>Portable sports. I bought a blender for use in the gym and meet expectations. It works without cable, making it ideal to take her anywhere without plugging in. It is loaded via a USB cable and battery life. The capacity is just right for milkshakes. Another thing I like is that the blades do not work when the glass is removed, this ensures that the blades do not work and I can cut.</v>
      </c>
    </row>
    <row r="17714">
      <c r="A17714" s="1">
        <v>5.0</v>
      </c>
      <c r="B17714" s="1" t="s">
        <v>17545</v>
      </c>
      <c r="C17714" t="str">
        <f>IFERROR(__xludf.DUMMYFUNCTION("GOOGLETRANSLATE(B17714, ""es"", ""en"")"),"Excellent performance and price per Gbyte &lt;div id = ""video-block-R188XVZWSTPXRI"" class = ""a-section a-spacing-small a-spacing-top mini video-block""&gt; &lt;/ div&gt; &lt;input type = ""hidden ""name ="" ""value ="" https://images-eu.ssl-images-amazon.com/images/I"&amp;"/91W0xIXAMzS.mp4 ""class ="" video-url ""&gt; &lt;input type ="" hidden ""name ="" ""value ="" https://images-eu.ssl-images-amazon.com/images/I/91TFe9WXPkS.png ""class ="" video-slate-img-url ""&gt; &amp; nbsp; Harnessing the Prime Day and offer Amazon put this hard d"&amp;"rive, I bought a more than acceptable price (83 euros) in terms of value was an excellent deal. Already he had in mind buying a SSD to speed up my computer for about 4 years and I was mulling this hard drive Crucial and the other brand with more sales and"&amp;" more favorable opinions, SAMSUMG 850 EVO. &lt;A data-hook = ""product-link-linked"" class = ""link-to-normal"" href = ""/ Samsung-850-EVO-hard-disk-solid-500-GB-Serial-ATA-III-540- ? MB-s-5.2.34-black / dp / B00P73B1E4 / ref = ie = UTF8 cm_cr_arp_d_rvw_txt "&amp;"""&gt; Samsung 850 EVO - solid-state drive (500 GB Serial ATA III, 540 MB / s, 2.5""), black &lt;/a&gt; as for comparisons of the characteristics of both, which can be found in the ""Benchmark"" that exist on the web, we see that have similar characteristics and r"&amp;"esponses, so either of these two SDD is an excellent choice for buy, because at the time of writing, are on Amazon the same price. at the time to drop either of them (like the day of the Prime day occurred) that would, in my opinion, the hard drive to cho"&amp;"ose from, . If the price is similar, perhaps the Samsung is the best choice for buyers comments, although this is relative and is a personal opinion for the Crucial MX500 these are: - Incoporpora Micron ® 3D NA ND -. Supports up SATA 6.0Gb / s (there are "&amp;"three speeds SATA I (1.5Gb / s), SATA II (3.0Gb / s) and SATA III (6.0Gb / s)). - 560 MB / s sequential read and 510 MB / s maximum write. - 5 year warranty by the manufacturer (for Spain only 3). In the case of the Samsung 850 this are: - 3D V-NAND techn"&amp;"ology of Samsung. - Interface SATA 6 Gb / s, compatible with the SATA interface 3 Gb / s &amp; amp; SATA 1.5 Gb / s. - Up to 540MB / s and 520MB sequential read / write s - 5 year warranty by the manufacturer. Another option is to buy the Crucial MX500 1TB ha"&amp;"ving a relationship price / excellent Gbyte, but it was too expensive for me, if the price is hovering around 170 euros will remain a recommended purchase. Shopping experience As for my shopping experience, I made the following points. At the time of purc"&amp;"hase it was two options: easy open package or original box, a little more expensive. The easy open package is that the hard drive you send it in in a plastic blister with instructions and a cardboard envelope, as I have shown in the photographs. I think s"&amp;"omething nefarious that does not protect the product from shock at the least a padded envelope should have been included, being the product of which is, nevertheless arrived in perfect condition. First thing is to check the hours of use of the hard drive,"&amp;" such verification resulted it was a completely new and unused hard disk. In my case assembly I mounted SSD as the main hard drive of my laptop, replacing the previous normal for this and I have put in place of the DVD recorder laptop, buying an adapter f"&amp;"or it. As the SSD was already formatted install from scratch Windows 10 on it, saying that if you have digital original license of the operating system, once this is installed correctly, the digital license is updated and not lost. Taking back your licens"&amp;"e completely legal and active. Use Once assembled and tested, the result is outstanding, a huge amount noticeable change hard drive, the boot is immediately running applications, installation, etc., rejuvenates the computer in terms of execution speed is "&amp;"amazing what influences. It is advisable to install the application from Crucial Storage Executive Crucial page gives you information about the health of the hard drive among others and allows updating the firmware of the hard drive itself easily and comf"&amp;"ortably. Eye, in my case using the automatic updater application made to enter the operating system loop, to the damage the boot sector error recognized them, in my case solution: reinstall Windows 10 again. So to avoid problems updating the firmware from"&amp;" the downloaded firmware file itself, not from the automatic choice of the Crucial Storage Executive. Final summary. Things I liked - excellent hard drive price I bought it, even at the current price still is, it shows outrageous performance laptop with i"&amp;"nstalled. - A being a memory, not noise. - A price identical both Samsung as Crucial is an excellent option. - Support on the website of the manufacturer both software and firmware updates. Things have not liked - Shipping with little protection, even if "&amp;"the product is new unused, at the least a padded envelope would be ideal. Unhesitatingly recommended price for the quality it has and for the excellent performance. In the week that I use is the day and night in speed of execution and start over normal ha"&amp;"rd disk had. I hope this review is useful. Editing after a month of use. I have not had any problems so far with no loss of operating system or bad sectors or anything like that. I think the main problems encountered is performing cloning, so if possible "&amp;"Realize a clean installation of Windows 10. Issue 28/11/2018. Performance remains the same, the temperature remains low and no data loss and defective sectors, used as the primary disk operating system, delighted with the SSD.")</f>
        <v>Excellent performance and price per Gbyte &lt;div id = "video-block-R188XVZWSTPXRI" class = "a-section a-spacing-small a-spacing-top mini video-block"&gt; &lt;/ div&gt; &lt;input type = "hidden "name =" "value =" https://images-eu.ssl-images-amazon.com/images/I/91W0xIXAMzS.mp4 "class =" video-url "&gt; &lt;input type =" hidden "name =" "value =" https://images-eu.ssl-images-amazon.com/images/I/91TFe9WXPkS.png "class =" video-slate-img-url "&gt; &amp; nbsp; Harnessing the Prime Day and offer Amazon put this hard drive, I bought a more than acceptable price (83 euros) in terms of value was an excellent deal. Already he had in mind buying a SSD to speed up my computer for about 4 years and I was mulling this hard drive Crucial and the other brand with more sales and more favorable opinions, SAMSUMG 850 EVO. &lt;A data-hook = "product-link-linked" class = "link-to-normal" href = "/ Samsung-850-EVO-hard-disk-solid-500-GB-Serial-ATA-III-540- ? MB-s-5.2.34-black / dp / B00P73B1E4 / ref = ie = UTF8 cm_cr_arp_d_rvw_txt "&gt; Samsung 850 EVO - solid-state drive (500 GB Serial ATA III, 540 MB / s, 2.5"), black &lt;/a&gt; as for comparisons of the characteristics of both, which can be found in the "Benchmark" that exist on the web, we see that have similar characteristics and responses, so either of these two SDD is an excellent choice for buy, because at the time of writing, are on Amazon the same price. at the time to drop either of them (like the day of the Prime day occurred) that would, in my opinion, the hard drive to choose from, . If the price is similar, perhaps the Samsung is the best choice for buyers comments, although this is relative and is a personal opinion for the Crucial MX500 these are: - Incoporpora Micron ® 3D NA ND -. Supports up SATA 6.0Gb / s (there are three speeds SATA I (1.5Gb / s), SATA II (3.0Gb / s) and SATA III (6.0Gb / s)). - 560 MB / s sequential read and 510 MB / s maximum write. - 5 year warranty by the manufacturer (for Spain only 3). In the case of the Samsung 850 this are: - 3D V-NAND technology of Samsung. - Interface SATA 6 Gb / s, compatible with the SATA interface 3 Gb / s &amp; amp; SATA 1.5 Gb / s. - Up to 540MB / s and 520MB sequential read / write s - 5 year warranty by the manufacturer. Another option is to buy the Crucial MX500 1TB having a relationship price / excellent Gbyte, but it was too expensive for me, if the price is hovering around 170 euros will remain a recommended purchase. Shopping experience As for my shopping experience, I made the following points. At the time of purchase it was two options: easy open package or original box, a little more expensive. The easy open package is that the hard drive you send it in in a plastic blister with instructions and a cardboard envelope, as I have shown in the photographs. I think something nefarious that does not protect the product from shock at the least a padded envelope should have been included, being the product of which is, nevertheless arrived in perfect condition. First thing is to check the hours of use of the hard drive, such verification resulted it was a completely new and unused hard disk. In my case assembly I mounted SSD as the main hard drive of my laptop, replacing the previous normal for this and I have put in place of the DVD recorder laptop, buying an adapter for it. As the SSD was already formatted install from scratch Windows 10 on it, saying that if you have digital original license of the operating system, once this is installed correctly, the digital license is updated and not lost. Taking back your license completely legal and active. Use Once assembled and tested, the result is outstanding, a huge amount noticeable change hard drive, the boot is immediately running applications, installation, etc., rejuvenates the computer in terms of execution speed is amazing what influences. It is advisable to install the application from Crucial Storage Executive Crucial page gives you information about the health of the hard drive among others and allows updating the firmware of the hard drive itself easily and comfortably. Eye, in my case using the automatic updater application made to enter the operating system loop, to the damage the boot sector error recognized them, in my case solution: reinstall Windows 10 again. So to avoid problems updating the firmware from the downloaded firmware file itself, not from the automatic choice of the Crucial Storage Executive. Final summary. Things I liked - excellent hard drive price I bought it, even at the current price still is, it shows outrageous performance laptop with installed. - A being a memory, not noise. - A price identical both Samsung as Crucial is an excellent option. - Support on the website of the manufacturer both software and firmware updates. Things have not liked - Shipping with little protection, even if the product is new unused, at the least a padded envelope would be ideal. Unhesitatingly recommended price for the quality it has and for the excellent performance. In the week that I use is the day and night in speed of execution and start over normal hard disk had. I hope this review is useful. Editing after a month of use. I have not had any problems so far with no loss of operating system or bad sectors or anything like that. I think the main problems encountered is performing cloning, so if possible Realize a clean installation of Windows 10. Issue 28/11/2018. Performance remains the same, the temperature remains low and no data loss and defective sectors, used as the primary disk operating system, delighted with the SSD.</v>
      </c>
    </row>
    <row r="17715">
      <c r="A17715" s="1">
        <v>2.0</v>
      </c>
      <c r="B17715" s="1" t="s">
        <v>17546</v>
      </c>
      <c r="C17715" t="str">
        <f>IFERROR(__xludf.DUMMYFUNCTION("GOOGLETRANSLATE(B17715, ""es"", ""en"")"),"2 months to two months stopped working a channel stereo ... I understand that is something fixable, so I would not put a single star. Otherwise well")</f>
        <v>2 months to two months stopped working a channel stereo ... I understand that is something fixable, so I would not put a single star. Otherwise well</v>
      </c>
    </row>
    <row r="17716">
      <c r="A17716" s="1">
        <v>3.0</v>
      </c>
      <c r="B17716" s="1" t="s">
        <v>17547</v>
      </c>
      <c r="C17716" t="str">
        <f>IFERROR(__xludf.DUMMYFUNCTION("GOOGLETRANSLATE(B17716, ""es"", ""en"")"),"This price seems resistant quality bie")</f>
        <v>This price seems resistant quality bie</v>
      </c>
    </row>
    <row r="17717">
      <c r="A17717" s="1">
        <v>1.0</v>
      </c>
      <c r="B17717" s="1" t="s">
        <v>17548</v>
      </c>
      <c r="C17717" t="str">
        <f>IFERROR(__xludf.DUMMYFUNCTION("GOOGLETRANSLATE(B17717, ""es"", ""en"")"),"Extremelly low quality audio, totally useless. Extremelly low quality audio, totally useless. For voice calls quality is bad, but you can use it, but for any kind of audio quality is so bad, it is totally worthless. Of course, considering the price it was"&amp;" expected, but now it is confirmed :) Sound quality so low that makes them useless supplement. For voice calls quality it is very low, but can be used, but for any kind of audio sound quality is so bad that makes them totally inadvisable. Of course unsurp"&amp;"risingly seeing the low price, but it can be confirmed that it is.")</f>
        <v>Extremelly low quality audio, totally useless. Extremelly low quality audio, totally useless. For voice calls quality is bad, but you can use it, but for any kind of audio quality is so bad, it is totally worthless. Of course, considering the price it was expected, but now it is confirmed :) Sound quality so low that makes them useless supplement. For voice calls quality it is very low, but can be used, but for any kind of audio sound quality is so bad that makes them totally inadvisable. Of course unsurprisingly seeing the low price, but it can be confirmed that it is.</v>
      </c>
    </row>
    <row r="17718">
      <c r="A17718" s="1">
        <v>1.0</v>
      </c>
      <c r="B17718" s="1" t="s">
        <v>17549</v>
      </c>
      <c r="C17718" t="str">
        <f>IFERROR(__xludf.DUMMYFUNCTION("GOOGLETRANSLATE(B17718, ""es"", ""en"")"),"""Platiquero"" Disappointing. It is that plastic is a mile away. I do not recommend purchase")</f>
        <v>"Platiquero" Disappointing. It is that plastic is a mile away. I do not recommend purchase</v>
      </c>
    </row>
    <row r="17719">
      <c r="A17719" s="1">
        <v>1.0</v>
      </c>
      <c r="B17719" s="1" t="s">
        <v>17550</v>
      </c>
      <c r="C17719" t="str">
        <f>IFERROR(__xludf.DUMMYFUNCTION("GOOGLETRANSLATE(B17719, ""es"", ""en"")"),"Low quality low quality")</f>
        <v>Low quality low quality</v>
      </c>
    </row>
    <row r="17720">
      <c r="A17720" s="1">
        <v>4.0</v>
      </c>
      <c r="B17720" s="1" t="s">
        <v>17551</v>
      </c>
      <c r="C17720" t="str">
        <f>IFERROR(__xludf.DUMMYFUNCTION("GOOGLETRANSLATE(B17720, ""es"", ""en"")"),"great feedback")</f>
        <v>great feedback</v>
      </c>
    </row>
    <row r="17721">
      <c r="A17721" s="1">
        <v>4.0</v>
      </c>
      <c r="B17721" s="1" t="s">
        <v>17552</v>
      </c>
      <c r="C17721" t="str">
        <f>IFERROR(__xludf.DUMMYFUNCTION("GOOGLETRANSLATE(B17721, ""es"", ""en"")"),"Quality incredible price. This keyboard has surprised me very pleasantly, I needed something cheap and met for studio home, and left me totally impressed, comes perfectly packaged, and spotless plastics has noticeable quality, and has the feel of an ordin"&amp;"ary synthesizer on the keys, I've used it with logic pro xy is perfect. Poser only one that I can put (and is more for pleasure) is the resonance that has the same keyboard, note that has empty spaces inside, as I say, this is something very personal and "&amp;"does not interfere with midi recording, as I say quality incredible price.")</f>
        <v>Quality incredible price. This keyboard has surprised me very pleasantly, I needed something cheap and met for studio home, and left me totally impressed, comes perfectly packaged, and spotless plastics has noticeable quality, and has the feel of an ordinary synthesizer on the keys, I've used it with logic pro xy is perfect. Poser only one that I can put (and is more for pleasure) is the resonance that has the same keyboard, note that has empty spaces inside, as I say, this is something very personal and does not interfere with midi recording, as I say quality incredible price.</v>
      </c>
    </row>
    <row r="17722">
      <c r="A17722" s="1">
        <v>4.0</v>
      </c>
      <c r="B17722" s="1" t="s">
        <v>17553</v>
      </c>
      <c r="C17722" t="str">
        <f>IFERROR(__xludf.DUMMYFUNCTION("GOOGLETRANSLATE(B17722, ""es"", ""en"")"),"I bought these headphones Decentes the question. I had a Dodocool which were fantastic, but the year broke down one of the headphones. I bought them, but my surprise is that the manufacturer has gotten worse in building materials and sound quality. The I "&amp;"returned immediately. I bought these, which come in his round cover with everything you need. Their sound is between the cheapest and about Premiun. But I liked the first Dodocool I bought.")</f>
        <v>I bought these headphones Decentes the question. I had a Dodocool which were fantastic, but the year broke down one of the headphones. I bought them, but my surprise is that the manufacturer has gotten worse in building materials and sound quality. The I returned immediately. I bought these, which come in his round cover with everything you need. Their sound is between the cheapest and about Premiun. But I liked the first Dodocool I bought.</v>
      </c>
    </row>
    <row r="17723">
      <c r="A17723" s="1">
        <v>4.0</v>
      </c>
      <c r="B17723" s="1" t="s">
        <v>17554</v>
      </c>
      <c r="C17723" t="str">
        <f>IFERROR(__xludf.DUMMYFUNCTION("GOOGLETRANSLATE(B17723, ""es"", ""en"")"),"It is great to give him regale my sister for her birthday and she loved it! Especially that it comes disassembled for all that you do to your taste.")</f>
        <v>It is great to give him regale my sister for her birthday and she loved it! Especially that it comes disassembled for all that you do to your taste.</v>
      </c>
    </row>
    <row r="17724">
      <c r="A17724" s="1">
        <v>4.0</v>
      </c>
      <c r="B17724" s="1" t="s">
        <v>17555</v>
      </c>
      <c r="C17724" t="str">
        <f>IFERROR(__xludf.DUMMYFUNCTION("GOOGLETRANSLATE(B17724, ""es"", ""en"")"),"Very useful are strong and lllamativos colors for difirenciar indices - is easily read what is written in black.")</f>
        <v>Very useful are strong and lllamativos colors for difirenciar indices - is easily read what is written in black.</v>
      </c>
    </row>
    <row r="17725">
      <c r="A17725" s="1">
        <v>5.0</v>
      </c>
      <c r="B17725" s="1" t="s">
        <v>17556</v>
      </c>
      <c r="C17725" t="str">
        <f>IFERROR(__xludf.DUMMYFUNCTION("GOOGLETRANSLATE(B17725, ""es"", ""en"")"),"Very good headphones for the price you have! I was not all when I decided to buy these headphones, but the truth is that I am very happy with them. I leave summary of what I like: BOX - The product is very well protected in a box wrapped in plastic. - Ins"&amp;"ide include: instruction manual, carrying case, headphones, ear-gums, charging cable (USB - microUSB). EXPERIENCE - The headphones work perfectly well and with good quality at low. They have nothing to envy to other more expensive. - The Bluetooth connect"&amp;"ion to Apple devices (which are what I have) works perfectly (and even iPhone and iPad tells you the percentage of battery you have left). Although there are those that have better coverage. There would have to improve. - The gums are perfectly suited to "&amp;"the ear but are not rigid but a flexible rubber and maybe someone does not go too well, but in my case, I use them to walk down the street or at home, rather than enough. The instructions explain how to pair up and how they are controlled using the button"&amp;"s on / off and volume.")</f>
        <v>Very good headphones for the price you have! I was not all when I decided to buy these headphones, but the truth is that I am very happy with them. I leave summary of what I like: BOX - The product is very well protected in a box wrapped in plastic. - Inside include: instruction manual, carrying case, headphones, ear-gums, charging cable (USB - microUSB). EXPERIENCE - The headphones work perfectly well and with good quality at low. They have nothing to envy to other more expensive. - The Bluetooth connection to Apple devices (which are what I have) works perfectly (and even iPhone and iPad tells you the percentage of battery you have left). Although there are those that have better coverage. There would have to improve. - The gums are perfectly suited to the ear but are not rigid but a flexible rubber and maybe someone does not go too well, but in my case, I use them to walk down the street or at home, rather than enough. The instructions explain how to pair up and how they are controlled using the buttons on / off and volume.</v>
      </c>
    </row>
    <row r="17726">
      <c r="A17726" s="1">
        <v>5.0</v>
      </c>
      <c r="B17726" s="1" t="s">
        <v>17557</v>
      </c>
      <c r="C17726" t="str">
        <f>IFERROR(__xludf.DUMMYFUNCTION("GOOGLETRANSLATE(B17726, ""es"", ""en"")"),"I bought a master purchase Lexar Professional SDXC 128GB for 36 €. A chollazo. I is the use as support disk will permanently inserted in the reader SDXC a MacMini. The transfer rate does not detract from that of a HHD and for that price acts as a removabl"&amp;"e disk. Very satisfied.")</f>
        <v>I bought a master purchase Lexar Professional SDXC 128GB for 36 €. A chollazo. I is the use as support disk will permanently inserted in the reader SDXC a MacMini. The transfer rate does not detract from that of a HHD and for that price acts as a removable disk. Very satisfied.</v>
      </c>
    </row>
    <row r="17727">
      <c r="A17727" s="1">
        <v>5.0</v>
      </c>
      <c r="B17727" s="1" t="s">
        <v>17558</v>
      </c>
      <c r="C17727" t="str">
        <f>IFERROR(__xludf.DUMMYFUNCTION("GOOGLETRANSLATE(B17727, ""es"", ""en"")"),"That calentita that agustito am with my sweatshirt pelito did not think I was coming asin but surprised me a lot is super heated suavecita and amount. And the model is combined with a tracksuit or a pair of pants. He wears a hat with rope and zip. Quality"&amp;" is good because the fabric is gordita and suabe and sizing is accurate.")</f>
        <v>That calentita that agustito am with my sweatshirt pelito did not think I was coming asin but surprised me a lot is super heated suavecita and amount. And the model is combined with a tracksuit or a pair of pants. He wears a hat with rope and zip. Quality is good because the fabric is gordita and suabe and sizing is accurate.</v>
      </c>
    </row>
    <row r="17728">
      <c r="A17728" s="1">
        <v>5.0</v>
      </c>
      <c r="B17728" s="1" t="s">
        <v>17559</v>
      </c>
      <c r="C17728" t="str">
        <f>IFERROR(__xludf.DUMMYFUNCTION("GOOGLETRANSLATE(B17728, ""es"", ""en"")"),"Resistant, practical and light shoe lightweight and practical water plus salt water resistant provided it is done right after washing maintenance use slippers and allowed to dry in the shade. EYE, high elasticity: I have 42.5 / 43 shoes normally, but size"&amp;" 42 fits perfectly")</f>
        <v>Resistant, practical and light shoe lightweight and practical water plus salt water resistant provided it is done right after washing maintenance use slippers and allowed to dry in the shade. EYE, high elasticity: I have 42.5 / 43 shoes normally, but size 42 fits perfectly</v>
      </c>
    </row>
    <row r="17729">
      <c r="A17729" s="1">
        <v>5.0</v>
      </c>
      <c r="B17729" s="1" t="s">
        <v>17560</v>
      </c>
      <c r="C17729" t="str">
        <f>IFERROR(__xludf.DUMMYFUNCTION("GOOGLETRANSLATE(B17729, ""es"", ""en"")"),"Good detail who likes crafts this is fine. I am still in progress, but has many sections to place photos or autographs. Comes disassembled in a bag, but it is very easy to do.")</f>
        <v>Good detail who likes crafts this is fine. I am still in progress, but has many sections to place photos or autographs. Comes disassembled in a bag, but it is very easy to do.</v>
      </c>
    </row>
    <row r="17730">
      <c r="A17730" s="1">
        <v>5.0</v>
      </c>
      <c r="B17730" s="1" t="s">
        <v>17561</v>
      </c>
      <c r="C17730" t="str">
        <f>IFERROR(__xludf.DUMMYFUNCTION("GOOGLETRANSLATE(B17730, ""es"", ""en"")"),"Perfect perfect. They arrived early, fit perfectly and I chose the model")</f>
        <v>Perfect perfect. They arrived early, fit perfectly and I chose the model</v>
      </c>
    </row>
    <row r="17731">
      <c r="A17731" s="1">
        <v>5.0</v>
      </c>
      <c r="B17731" s="1" t="s">
        <v>17562</v>
      </c>
      <c r="C17731" t="str">
        <f>IFERROR(__xludf.DUMMYFUNCTION("GOOGLETRANSLATE(B17731, ""es"", ""en"")"),"Perfect Exactly what I expected. According to size marked, I ordered a 38. are very comfortable and very nice. I recommend")</f>
        <v>Perfect Exactly what I expected. According to size marked, I ordered a 38. are very comfortable and very nice. I recommend</v>
      </c>
    </row>
    <row r="17732">
      <c r="A17732" s="1">
        <v>5.0</v>
      </c>
      <c r="B17732" s="1" t="s">
        <v>17563</v>
      </c>
      <c r="C17732" t="str">
        <f>IFERROR(__xludf.DUMMYFUNCTION("GOOGLETRANSLATE(B17732, ""es"", ""en"")"),"It arrived on time Very good quality")</f>
        <v>It arrived on time Very good quality</v>
      </c>
    </row>
    <row r="17733">
      <c r="A17733" s="1">
        <v>5.0</v>
      </c>
      <c r="B17733" s="1" t="s">
        <v>17564</v>
      </c>
      <c r="C17733" t="str">
        <f>IFERROR(__xludf.DUMMYFUNCTION("GOOGLETRANSLATE(B17733, ""es"", ""en"")"),"Bonitas Puma sneakers!")</f>
        <v>Bonitas Puma sneakers!</v>
      </c>
    </row>
    <row r="17734">
      <c r="A17734" s="1">
        <v>5.0</v>
      </c>
      <c r="B17734" s="1" t="s">
        <v>17565</v>
      </c>
      <c r="C17734" t="str">
        <f>IFERROR(__xludf.DUMMYFUNCTION("GOOGLETRANSLATE(B17734, ""es"", ""en"")"),"Cahqueta a bit small")</f>
        <v>Cahqueta a bit small</v>
      </c>
    </row>
    <row r="17735">
      <c r="A17735" s="1">
        <v>5.0</v>
      </c>
      <c r="B17735" s="1" t="s">
        <v>17566</v>
      </c>
      <c r="C17735" t="str">
        <f>IFERROR(__xludf.DUMMYFUNCTION("GOOGLETRANSLATE(B17735, ""es"", ""en"")"),"As perfect description All very well")</f>
        <v>As perfect description All very well</v>
      </c>
    </row>
    <row r="17736">
      <c r="A17736" s="1">
        <v>5.0</v>
      </c>
      <c r="B17736" s="1" t="s">
        <v>17567</v>
      </c>
      <c r="C17736" t="str">
        <f>IFERROR(__xludf.DUMMYFUNCTION("GOOGLETRANSLATE(B17736, ""es"", ""en"")"),"Snow socks good quality, good fabric and resilient, remain perfectly, I recommend it.")</f>
        <v>Snow socks good quality, good fabric and resilient, remain perfectly, I recommend it.</v>
      </c>
    </row>
    <row r="17737">
      <c r="A17737" s="1">
        <v>5.0</v>
      </c>
      <c r="B17737" s="1" t="s">
        <v>17568</v>
      </c>
      <c r="C17737" t="str">
        <f>IFERROR(__xludf.DUMMYFUNCTION("GOOGLETRANSLATE(B17737, ""es"", ""en"")"),"Perfect spans the width of the table and is very protected. Parce durable and good.")</f>
        <v>Perfect spans the width of the table and is very protected. Parce durable and good.</v>
      </c>
    </row>
    <row r="17738">
      <c r="A17738" s="1">
        <v>5.0</v>
      </c>
      <c r="B17738" s="1" t="s">
        <v>17569</v>
      </c>
      <c r="C17738" t="str">
        <f>IFERROR(__xludf.DUMMYFUNCTION("GOOGLETRANSLATE(B17738, ""es"", ""en"")"),"I love Perfect")</f>
        <v>I love Perfect</v>
      </c>
    </row>
    <row r="17739">
      <c r="A17739" s="1">
        <v>5.0</v>
      </c>
      <c r="B17739" s="1" t="s">
        <v>17570</v>
      </c>
      <c r="C17739" t="str">
        <f>IFERROR(__xludf.DUMMYFUNCTION("GOOGLETRANSLATE(B17739, ""es"", ""en"")"),"A perfect USB to a very small price that could buy the day Prime, was just what I needed to take movies and other files without having to go with a big pendrive pants. This is tiny, in fact I have placed on the key ring and I passed unnoticed. You just ha"&amp;"ve previously reformatting to FAT32 if you want to get fit files over 3Gb as movies and other, otherwise not allow you to encumber thereby lose a bit transfer rate, but you gain that transport can pelis anywhere.")</f>
        <v>A perfect USB to a very small price that could buy the day Prime, was just what I needed to take movies and other files without having to go with a big pendrive pants. This is tiny, in fact I have placed on the key ring and I passed unnoticed. You just have previously reformatting to FAT32 if you want to get fit files over 3Gb as movies and other, otherwise not allow you to encumber thereby lose a bit transfer rate, but you gain that transport can pelis anywhere.</v>
      </c>
    </row>
    <row r="17740">
      <c r="A17740" s="1">
        <v>5.0</v>
      </c>
      <c r="B17740" s="1" t="s">
        <v>17571</v>
      </c>
      <c r="C17740" t="str">
        <f>IFERROR(__xludf.DUMMYFUNCTION("GOOGLETRANSLATE(B17740, ""es"", ""en"")"),"The Dr. Martens always I was unable to release them, asked for my number but I was too big. The returned and am awaiting return to bring me a number less")</f>
        <v>The Dr. Martens always I was unable to release them, asked for my number but I was too big. The returned and am awaiting return to bring me a number less</v>
      </c>
    </row>
    <row r="17741">
      <c r="A17741" s="1">
        <v>5.0</v>
      </c>
      <c r="B17741" s="1" t="s">
        <v>17572</v>
      </c>
      <c r="C17741" t="str">
        <f>IFERROR(__xludf.DUMMYFUNCTION("GOOGLETRANSLATE(B17741, ""es"", ""en"")"),"A classic shoe! Timberland classic boots extraordinary. They are a little hard at the beginning, but after a few weeks perfectly conform. Manufactured in one piece. No water. Boots to last over time.")</f>
        <v>A classic shoe! Timberland classic boots extraordinary. They are a little hard at the beginning, but after a few weeks perfectly conform. Manufactured in one piece. No water. Boots to last over time.</v>
      </c>
    </row>
    <row r="17742">
      <c r="A17742" s="1">
        <v>5.0</v>
      </c>
      <c r="B17742" s="1" t="s">
        <v>17573</v>
      </c>
      <c r="C17742" t="str">
        <f>IFERROR(__xludf.DUMMYFUNCTION("GOOGLETRANSLATE(B17742, ""es"", ""en"")"),"Great, my life has changed! Since I have these multipurpose dishcloths, saving time and I can devote myself to other things, no longer waste time between change dishcloths, I am now a completely different person!")</f>
        <v>Great, my life has changed! Since I have these multipurpose dishcloths, saving time and I can devote myself to other things, no longer waste time between change dishcloths, I am now a completely different person!</v>
      </c>
    </row>
    <row r="17743">
      <c r="A17743" s="1">
        <v>5.0</v>
      </c>
      <c r="B17743" s="1" t="s">
        <v>17574</v>
      </c>
      <c r="C17743" t="str">
        <f>IFERROR(__xludf.DUMMYFUNCTION("GOOGLETRANSLATE(B17743, ""es"", ""en"")"),"Elegant and practical &lt;div id = ""video-block-R1ID6LOL1U1QBV"" class = ""a-section a-spacing-small a-spacing-top mini video-block""&gt; &lt;/ div&gt; &lt;input type = ""hidden"" name = """" value = ""https://images-eu.ssl-images-amazon.com/images/I/91T6ugUjAFS.mp4"" "&amp;"class = ""video-url""&gt; &lt;input type = ""hidden"" name = """" value = ""https://images-eu.ssl-images-amazon.com/images/I/71mSXvgcAiS.png"" class = ""video-slate-img-url""&gt; &amp; nbsp; is a very nice and practical kettle. Very good value for money. I like it in "&amp;"1.8L I had was the other one liter and for a little family and had to boil water twice.")</f>
        <v>Elegant and practical &lt;div id = "video-block-R1ID6LOL1U1QBV" class = "a-section a-spacing-small a-spacing-top mini video-block"&gt; &lt;/ div&gt; &lt;input type = "hidden" name = "" value = "https://images-eu.ssl-images-amazon.com/images/I/91T6ugUjAFS.mp4" class = "video-url"&gt; &lt;input type = "hidden" name = "" value = "https://images-eu.ssl-images-amazon.com/images/I/71mSXvgcAiS.png" class = "video-slate-img-url"&gt; &amp; nbsp; is a very nice and practical kettle. Very good value for money. I like it in 1.8L I had was the other one liter and for a little family and had to boil water twice.</v>
      </c>
    </row>
    <row r="17744">
      <c r="A17744" s="1">
        <v>2.0</v>
      </c>
      <c r="B17744" s="1" t="s">
        <v>17575</v>
      </c>
      <c r="C17744" t="str">
        <f>IFERROR(__xludf.DUMMYFUNCTION("GOOGLETRANSLATE(B17744, ""es"", ""en"")"),"not misleading product corresponds to du quanto size.")</f>
        <v>not misleading product corresponds to du quanto size.</v>
      </c>
    </row>
    <row r="17745">
      <c r="A17745" s="1">
        <v>3.0</v>
      </c>
      <c r="B17745" s="1" t="s">
        <v>17576</v>
      </c>
      <c r="C17745" t="str">
        <f>IFERROR(__xludf.DUMMYFUNCTION("GOOGLETRANSLATE(B17745, ""es"", ""en"")"),"There are better options. It is small, the edges do not sit at the table remain as raised, poor quality.")</f>
        <v>There are better options. It is small, the edges do not sit at the table remain as raised, poor quality.</v>
      </c>
    </row>
    <row r="17746">
      <c r="A17746" s="1">
        <v>3.0</v>
      </c>
      <c r="B17746" s="1" t="s">
        <v>17577</v>
      </c>
      <c r="C17746" t="str">
        <f>IFERROR(__xludf.DUMMYFUNCTION("GOOGLETRANSLATE(B17746, ""es"", ""en"")"),"Rapidisimo As in the picture I love")</f>
        <v>Rapidisimo As in the picture I love</v>
      </c>
    </row>
    <row r="17747">
      <c r="A17747" s="1">
        <v>3.0</v>
      </c>
      <c r="B17747" s="1" t="s">
        <v>17578</v>
      </c>
      <c r="C17747" t="str">
        <f>IFERROR(__xludf.DUMMYFUNCTION("GOOGLETRANSLATE(B17747, ""es"", ""en"")"),"I waited more regular and more comfortable sound quality and volume")</f>
        <v>I waited more regular and more comfortable sound quality and volume</v>
      </c>
    </row>
    <row r="17748">
      <c r="A17748" s="1">
        <v>1.0</v>
      </c>
      <c r="B17748" s="1" t="s">
        <v>17579</v>
      </c>
      <c r="C17748" t="str">
        <f>IFERROR(__xludf.DUMMYFUNCTION("GOOGLETRANSLATE(B17748, ""es"", ""en"")"),"Very small very, very, small, one enters a tablet 7 ""very fair.")</f>
        <v>Very small very, very, small, one enters a tablet 7 "very fair.</v>
      </c>
    </row>
    <row r="17749">
      <c r="A17749" s="1">
        <v>1.0</v>
      </c>
      <c r="B17749" s="1" t="s">
        <v>17580</v>
      </c>
      <c r="C17749" t="str">
        <f>IFERROR(__xludf.DUMMYFUNCTION("GOOGLETRANSLATE(B17749, ""es"", ""en"")"),"There are NO are original original slippers. The O CONVERSE does not come with the characteristic star as it comes on the official website of Converse.")</f>
        <v>There are NO are original original slippers. The O CONVERSE does not come with the characteristic star as it comes on the official website of Converse.</v>
      </c>
    </row>
    <row r="17750">
      <c r="A17750" s="1">
        <v>4.0</v>
      </c>
      <c r="B17750" s="1" t="s">
        <v>17581</v>
      </c>
      <c r="C17750" t="str">
        <f>IFERROR(__xludf.DUMMYFUNCTION("GOOGLETRANSLATE(B17750, ""es"", ""en"")"),"I seem fragile Slate arrived on time and in perfect condition, the only downside I see is that it has a very weak board, but for the price you can not ask for more.")</f>
        <v>I seem fragile Slate arrived on time and in perfect condition, the only downside I see is that it has a very weak board, but for the price you can not ask for more.</v>
      </c>
    </row>
    <row r="17751">
      <c r="A17751" s="1">
        <v>4.0</v>
      </c>
      <c r="B17751" s="1" t="s">
        <v>17582</v>
      </c>
      <c r="C17751" t="str">
        <f>IFERROR(__xludf.DUMMYFUNCTION("GOOGLETRANSLATE(B17751, ""es"", ""en"")"),"Encuadernadora The product came fast and is very useful to save time and money encuadernando documents. Installation and operation is simple.")</f>
        <v>Encuadernadora The product came fast and is very useful to save time and money encuadernando documents. Installation and operation is simple.</v>
      </c>
    </row>
    <row r="17752">
      <c r="A17752" s="1">
        <v>4.0</v>
      </c>
      <c r="B17752" s="1" t="s">
        <v>17583</v>
      </c>
      <c r="C17752" t="str">
        <f>IFERROR(__xludf.DUMMYFUNCTION("GOOGLETRANSLATE(B17752, ""es"", ""en"")"),":) The terms satisfactory to the article, successfully delivered as specified in the description of the product, so good. Sent succesfully. Approved :)")</f>
        <v>:) The terms satisfactory to the article, successfully delivered as specified in the description of the product, so good. Sent succesfully. Approved :)</v>
      </c>
    </row>
    <row r="17753">
      <c r="A17753" s="1">
        <v>4.0</v>
      </c>
      <c r="B17753" s="1" t="s">
        <v>17584</v>
      </c>
      <c r="C17753" t="str">
        <f>IFERROR(__xludf.DUMMYFUNCTION("GOOGLETRANSLATE(B17753, ""es"", ""en"")"),"Necessary for mobile with little capacity. If your phone is low-medium or medium range and do not have enough capacity for all applications and photos you would like to save need one of these. SanDisk is a reference mark storage devices and this card clas"&amp;"s 10 will give more than good data transfer rates.")</f>
        <v>Necessary for mobile with little capacity. If your phone is low-medium or medium range and do not have enough capacity for all applications and photos you would like to save need one of these. SanDisk is a reference mark storage devices and this card class 10 will give more than good data transfer rates.</v>
      </c>
    </row>
    <row r="17754">
      <c r="A17754" s="1">
        <v>4.0</v>
      </c>
      <c r="B17754" s="1" t="s">
        <v>17585</v>
      </c>
      <c r="C17754" t="str">
        <f>IFERROR(__xludf.DUMMYFUNCTION("GOOGLETRANSLATE(B17754, ""es"", ""en"")"),"Battle headset with good value for money fulfill their function. The sound quality is acceptable, but considering the price can not ask for more. Hands-free calls are heard well. The cable is typically not usually entangle a lot, but in return, ""Rumbles"&amp;""" to the rubbing with clothes. To avoid this, you can use a clamp that comes with headphones and allows the cable to hook the collar. At the end of a couple of months of intensive use and regular treatment, sometimes the right ear not heard, and sometime"&amp;"s the phone does not recognize the helmets, but I guess it is to treat them with little care (hitting, beach sand, etc.)")</f>
        <v>Battle headset with good value for money fulfill their function. The sound quality is acceptable, but considering the price can not ask for more. Hands-free calls are heard well. The cable is typically not usually entangle a lot, but in return, "Rumbles" to the rubbing with clothes. To avoid this, you can use a clamp that comes with headphones and allows the cable to hook the collar. At the end of a couple of months of intensive use and regular treatment, sometimes the right ear not heard, and sometimes the phone does not recognize the helmets, but I guess it is to treat them with little care (hitting, beach sand, etc.)</v>
      </c>
    </row>
    <row r="17755">
      <c r="A17755" s="1">
        <v>5.0</v>
      </c>
      <c r="B17755" s="1" t="s">
        <v>17586</v>
      </c>
      <c r="C17755" t="str">
        <f>IFERROR(__xludf.DUMMYFUNCTION("GOOGLETRANSLATE(B17755, ""es"", ""en"")"),"Charmed! Reduced size but really it not needed anymore! Perfect for storing anywhere. The material is durable and solid, seem to hold out long.")</f>
        <v>Charmed! Reduced size but really it not needed anymore! Perfect for storing anywhere. The material is durable and solid, seem to hold out long.</v>
      </c>
    </row>
    <row r="17756">
      <c r="A17756" s="1">
        <v>5.0</v>
      </c>
      <c r="B17756" s="1" t="s">
        <v>17587</v>
      </c>
      <c r="C17756" t="str">
        <f>IFERROR(__xludf.DUMMYFUNCTION("GOOGLETRANSLATE(B17756, ""es"", ""en"")"),"Perfect great. We had to make a return by the size and everything was very fast. 10")</f>
        <v>Perfect great. We had to make a return by the size and everything was very fast. 10</v>
      </c>
    </row>
    <row r="17757">
      <c r="A17757" s="1">
        <v>5.0</v>
      </c>
      <c r="B17757" s="1" t="s">
        <v>17588</v>
      </c>
      <c r="C17757" t="str">
        <f>IFERROR(__xludf.DUMMYFUNCTION("GOOGLETRANSLATE(B17757, ""es"", ""en"")"),"Good and cheap perfect for gift giving and cheap")</f>
        <v>Good and cheap perfect for gift giving and cheap</v>
      </c>
    </row>
    <row r="17758">
      <c r="A17758" s="1">
        <v>5.0</v>
      </c>
      <c r="B17758" s="1" t="s">
        <v>17589</v>
      </c>
      <c r="C17758" t="str">
        <f>IFERROR(__xludf.DUMMYFUNCTION("GOOGLETRANSLATE(B17758, ""es"", ""en"")"),"Will Verbatim quality about a year to this product say that not one of the 100 was away, amazing. The only downside to this day, the price, 7 euros more expensive than when I realize the purchase. Moreover, shipping and correct packaging (MRW).")</f>
        <v>Will Verbatim quality about a year to this product say that not one of the 100 was away, amazing. The only downside to this day, the price, 7 euros more expensive than when I realize the purchase. Moreover, shipping and correct packaging (MRW).</v>
      </c>
    </row>
    <row r="17759">
      <c r="A17759" s="1">
        <v>5.0</v>
      </c>
      <c r="B17759" s="1" t="s">
        <v>17590</v>
      </c>
      <c r="C17759" t="str">
        <f>IFERROR(__xludf.DUMMYFUNCTION("GOOGLETRANSLATE(B17759, ""es"", ""en"")"),"Watch amazing beautiful color came in one day is very nice gold with black color and great brand Casio")</f>
        <v>Watch amazing beautiful color came in one day is very nice gold with black color and great brand Casio</v>
      </c>
    </row>
    <row r="17760">
      <c r="A17760" s="1">
        <v>5.0</v>
      </c>
      <c r="B17760" s="1" t="s">
        <v>17591</v>
      </c>
      <c r="C17760" t="str">
        <f>IFERROR(__xludf.DUMMYFUNCTION("GOOGLETRANSLATE(B17760, ""es"", ""en"")"),"Jesus Villalgordo A game with earrings ... is fantastic combination of both. It was a gift wedding anniversary and my friend was delighted with earrings and pendant set.")</f>
        <v>Jesus Villalgordo A game with earrings ... is fantastic combination of both. It was a gift wedding anniversary and my friend was delighted with earrings and pendant set.</v>
      </c>
    </row>
    <row r="17761">
      <c r="A17761" s="1">
        <v>5.0</v>
      </c>
      <c r="B17761" s="1" t="s">
        <v>17592</v>
      </c>
      <c r="C17761" t="str">
        <f>IFERROR(__xludf.DUMMYFUNCTION("GOOGLETRANSLATE(B17761, ""es"", ""en"")"),"Price quality is not bad can say that the thickness of the wire is 2.5mm, too thick for what I wanted (my fault) I had to peel copper, very good sound but beware that the cable is very stiff and difficult to work with ...")</f>
        <v>Price quality is not bad can say that the thickness of the wire is 2.5mm, too thick for what I wanted (my fault) I had to peel copper, very good sound but beware that the cable is very stiff and difficult to work with ...</v>
      </c>
    </row>
    <row r="17762">
      <c r="A17762" s="1">
        <v>5.0</v>
      </c>
      <c r="B17762" s="1" t="s">
        <v>17593</v>
      </c>
      <c r="C17762" t="str">
        <f>IFERROR(__xludf.DUMMYFUNCTION("GOOGLETRANSLATE(B17762, ""es"", ""en"")"),"Perfect in the original packaging of the manufacturer with an adapter for your computer, much usable space of 32 GB theoretical initials. I've placed on an Android phone, you have not given me any problems. Very happy, I would buy it.")</f>
        <v>Perfect in the original packaging of the manufacturer with an adapter for your computer, much usable space of 32 GB theoretical initials. I've placed on an Android phone, you have not given me any problems. Very happy, I would buy it.</v>
      </c>
    </row>
    <row r="17763">
      <c r="A17763" s="1">
        <v>5.0</v>
      </c>
      <c r="B17763" s="1" t="s">
        <v>17594</v>
      </c>
      <c r="C17763" t="str">
        <f>IFERROR(__xludf.DUMMYFUNCTION("GOOGLETRANSLATE(B17763, ""es"", ""en"")"),"Best way to revive a laptop or PC slow SSD These are indispensable to whoever your PC / Laptop win loading speed, especially if the operating system Windows. Not the best brand or the fastest but they have very good deals for you get 500GB SSD (more than "&amp;"enough for OS and a program with long load times). I highly recommend it as a lover of this kind of computer hard drive and also use the Crucial brand, as I said before, it offers quite often very good.")</f>
        <v>Best way to revive a laptop or PC slow SSD These are indispensable to whoever your PC / Laptop win loading speed, especially if the operating system Windows. Not the best brand or the fastest but they have very good deals for you get 500GB SSD (more than enough for OS and a program with long load times). I highly recommend it as a lover of this kind of computer hard drive and also use the Crucial brand, as I said before, it offers quite often very good.</v>
      </c>
    </row>
    <row r="17764">
      <c r="A17764" s="1">
        <v>5.0</v>
      </c>
      <c r="B17764" s="1" t="s">
        <v>17595</v>
      </c>
      <c r="C17764" t="str">
        <f>IFERROR(__xludf.DUMMYFUNCTION("GOOGLETRANSLATE(B17764, ""es"", ""en"")"),"Good quality, adequate design strength and good quality, durable outsole, you comfortable and warm in the wool interior.Me love!")</f>
        <v>Good quality, adequate design strength and good quality, durable outsole, you comfortable and warm in the wool interior.Me love!</v>
      </c>
    </row>
    <row r="17765">
      <c r="A17765" s="1">
        <v>5.0</v>
      </c>
      <c r="B17765" s="1" t="s">
        <v>17596</v>
      </c>
      <c r="C17765" t="str">
        <f>IFERROR(__xludf.DUMMYFUNCTION("GOOGLETRANSLATE(B17765, ""es"", ""en"")"),"Durable and comfortable. The size is totally real and are very sturdy and comfortable. Above they are like mini points where you support your foot inside so you do not slip your foot into the slipper itself. I think a great idea and are of very good quali"&amp;"ty.")</f>
        <v>Durable and comfortable. The size is totally real and are very sturdy and comfortable. Above they are like mini points where you support your foot inside so you do not slip your foot into the slipper itself. I think a great idea and are of very good quality.</v>
      </c>
    </row>
    <row r="17766">
      <c r="A17766" s="1">
        <v>5.0</v>
      </c>
      <c r="B17766" s="1" t="s">
        <v>17597</v>
      </c>
      <c r="C17766" t="str">
        <f>IFERROR(__xludf.DUMMYFUNCTION("GOOGLETRANSLATE(B17766, ""es"", ""en"")"),"Excellent Very Good and good quality")</f>
        <v>Excellent Very Good and good quality</v>
      </c>
    </row>
    <row r="17767">
      <c r="A17767" s="1">
        <v>5.0</v>
      </c>
      <c r="B17767" s="1" t="s">
        <v>17598</v>
      </c>
      <c r="C17767" t="str">
        <f>IFERROR(__xludf.DUMMYFUNCTION("GOOGLETRANSLATE(B17767, ""es"", ""en"")"),"Pava with adjustable temperature I bought a second time, the first for my mother and the second for personal use, since it is excellent quality and allows us to regulate and maintain the temperature of the water to mate, I'm considering buying a third gif"&amp;"t, Super fast shipping and arrives in perfect condition.")</f>
        <v>Pava with adjustable temperature I bought a second time, the first for my mother and the second for personal use, since it is excellent quality and allows us to regulate and maintain the temperature of the water to mate, I'm considering buying a third gift, Super fast shipping and arrives in perfect condition.</v>
      </c>
    </row>
    <row r="17768">
      <c r="A17768" s="1">
        <v>5.0</v>
      </c>
      <c r="B17768" s="1" t="s">
        <v>17599</v>
      </c>
      <c r="C17768" t="str">
        <f>IFERROR(__xludf.DUMMYFUNCTION("GOOGLETRANSLATE(B17768, ""es"", ""en"")"),"I like very much. The value for money is good, I really like I bought them for me and I have to say I am very happy, they are light are pink gold, are small and very practical, I have to say I'm extremely fascinated, I wear them all days. They are very ni"&amp;"ce for a story.")</f>
        <v>I like very much. The value for money is good, I really like I bought them for me and I have to say I am very happy, they are light are pink gold, are small and very practical, I have to say I'm extremely fascinated, I wear them all days. They are very nice for a story.</v>
      </c>
    </row>
    <row r="17769">
      <c r="A17769" s="1">
        <v>5.0</v>
      </c>
      <c r="B17769" s="1" t="s">
        <v>17600</v>
      </c>
      <c r="C17769" t="str">
        <f>IFERROR(__xludf.DUMMYFUNCTION("GOOGLETRANSLATE(B17769, ""es"", ""en"")"),"Pasada always boots boots, comfortable, practical, durable and cool. Always use them for rockers outfits, conciertos.Las definitely recommend for both boy and girl.")</f>
        <v>Pasada always boots boots, comfortable, practical, durable and cool. Always use them for rockers outfits, conciertos.Las definitely recommend for both boy and girl.</v>
      </c>
    </row>
    <row r="17770">
      <c r="A17770" s="1">
        <v>5.0</v>
      </c>
      <c r="B17770" s="1" t="s">
        <v>17601</v>
      </c>
      <c r="C17770" t="str">
        <f>IFERROR(__xludf.DUMMYFUNCTION("GOOGLETRANSLATE(B17770, ""es"", ""en"")"),"These are your boots do not do many reviews, but I've loved, I went to Iceland in April and buy two, one for me and the other for my girlfriend, I ordered a 46 A number more than they use, not never used and are very comfortable from the beginning, I did "&amp;"not have to do them, I have not gone cold and has done a lot (Iba with socks winter), I walk a lot and also snow on a river getting the boot until well into the ice of a glacier with crampons, mud, everything. And always dry and comfortable. If you need c"&amp;"omfortable boots and fits-all friend are are your boots. My girlfriend is also very pleased (with boots)")</f>
        <v>These are your boots do not do many reviews, but I've loved, I went to Iceland in April and buy two, one for me and the other for my girlfriend, I ordered a 46 A number more than they use, not never used and are very comfortable from the beginning, I did not have to do them, I have not gone cold and has done a lot (Iba with socks winter), I walk a lot and also snow on a river getting the boot until well into the ice of a glacier with crampons, mud, everything. And always dry and comfortable. If you need comfortable boots and fits-all friend are are your boots. My girlfriend is also very pleased (with boots)</v>
      </c>
    </row>
    <row r="17771">
      <c r="A17771" s="1">
        <v>5.0</v>
      </c>
      <c r="B17771" s="1" t="s">
        <v>17602</v>
      </c>
      <c r="C17771" t="str">
        <f>IFERROR(__xludf.DUMMYFUNCTION("GOOGLETRANSLATE(B17771, ""es"", ""en"")"),"Back to the classic with today's comfort shoes beautiful. But fast shipping. great price.")</f>
        <v>Back to the classic with today's comfort shoes beautiful. But fast shipping. great price.</v>
      </c>
    </row>
    <row r="17772">
      <c r="A17772" s="1">
        <v>5.0</v>
      </c>
      <c r="B17772" s="1" t="s">
        <v>17603</v>
      </c>
      <c r="C17772" t="str">
        <f>IFERROR(__xludf.DUMMYFUNCTION("GOOGLETRANSLATE(B17772, ""es"", ""en"")"),"After the Favotito my son to try several brands of bottles and teats this is a favorite of my son and what else to say ....")</f>
        <v>After the Favotito my son to try several brands of bottles and teats this is a favorite of my son and what else to say ....</v>
      </c>
    </row>
    <row r="17773">
      <c r="A17773" s="1">
        <v>5.0</v>
      </c>
      <c r="B17773" s="1" t="s">
        <v>17604</v>
      </c>
      <c r="C17773" t="str">
        <f>IFERROR(__xludf.DUMMYFUNCTION("GOOGLETRANSLATE(B17773, ""es"", ""en"")"),"I recommend good and durable Material")</f>
        <v>I recommend good and durable Material</v>
      </c>
    </row>
    <row r="17774">
      <c r="A17774" s="1">
        <v>2.0</v>
      </c>
      <c r="B17774" s="1" t="s">
        <v>17605</v>
      </c>
      <c r="C17774" t="str">
        <f>IFERROR(__xludf.DUMMYFUNCTION("GOOGLETRANSLATE(B17774, ""es"", ""en"")"),"A sleazy out of the USB port housing is released. I was not served.")</f>
        <v>A sleazy out of the USB port housing is released. I was not served.</v>
      </c>
    </row>
    <row r="17775">
      <c r="A17775" s="1">
        <v>3.0</v>
      </c>
      <c r="B17775" s="1" t="s">
        <v>17606</v>
      </c>
      <c r="C17775" t="str">
        <f>IFERROR(__xludf.DUMMYFUNCTION("GOOGLETRANSLATE(B17775, ""es"", ""en"")"),"Very comfortable but very premature wear very comfortable, but the sole too fast ... I have bought in August and the sole is worn and wears ... just 2 months of use ... I'm disappointed.")</f>
        <v>Very comfortable but very premature wear very comfortable, but the sole too fast ... I have bought in August and the sole is worn and wears ... just 2 months of use ... I'm disappointed.</v>
      </c>
    </row>
    <row r="17776">
      <c r="A17776" s="1">
        <v>1.0</v>
      </c>
      <c r="B17776" s="1" t="s">
        <v>17607</v>
      </c>
      <c r="C17776" t="str">
        <f>IFERROR(__xludf.DUMMYFUNCTION("GOOGLETRANSLATE(B17776, ""es"", ""en"")"),"Comfort when making mixed Correra your convenience, I hechado missing, insoles for better grip of the foot.")</f>
        <v>Comfort when making mixed Correra your convenience, I hechado missing, insoles for better grip of the foot.</v>
      </c>
    </row>
    <row r="17777">
      <c r="A17777" s="1">
        <v>1.0</v>
      </c>
      <c r="B17777" s="1" t="s">
        <v>17608</v>
      </c>
      <c r="C17777" t="str">
        <f>IFERROR(__xludf.DUMMYFUNCTION("GOOGLETRANSLATE(B17777, ""es"", ""en"")"),"It's not genuine fatal skin and smells !! All you have genuine leather is a sign that comes in the cabinet, this is plastic. Quality is terribly bad in the lining and to top it ... smells awful inside the bag, a chemical smell nauseating. I think it's a h"&amp;"oax and it back immediately")</f>
        <v>It's not genuine fatal skin and smells !! All you have genuine leather is a sign that comes in the cabinet, this is plastic. Quality is terribly bad in the lining and to top it ... smells awful inside the bag, a chemical smell nauseating. I think it's a hoax and it back immediately</v>
      </c>
    </row>
    <row r="17778">
      <c r="A17778" s="1">
        <v>4.0</v>
      </c>
      <c r="B17778" s="1" t="s">
        <v>17609</v>
      </c>
      <c r="C17778" t="str">
        <f>IFERROR(__xludf.DUMMYFUNCTION("GOOGLETRANSLATE(B17778, ""es"", ""en"")"),"Pffff, look at the Sandisk Ultra before hoped it was better than my Sandisk Ultra 32 Gb and it is not despite being ""theoretically"" faster. It took me more than 20 € and then buy a second price appreciated by more than 10 € I bought and have not yet bee"&amp;"n released. Lexar is not the first but I think I buy Sandisk is more serious.")</f>
        <v>Pffff, look at the Sandisk Ultra before hoped it was better than my Sandisk Ultra 32 Gb and it is not despite being "theoretically" faster. It took me more than 20 € and then buy a second price appreciated by more than 10 € I bought and have not yet been released. Lexar is not the first but I think I buy Sandisk is more serious.</v>
      </c>
    </row>
    <row r="17779">
      <c r="A17779" s="1">
        <v>4.0</v>
      </c>
      <c r="B17779" s="1" t="s">
        <v>17610</v>
      </c>
      <c r="C17779" t="str">
        <f>IFERROR(__xludf.DUMMYFUNCTION("GOOGLETRANSLATE(B17779, ""es"", ""en"")"),"Fastening Hold a lot but the problem as always when a large size bra (105D) is holding crush is used, the shape of the chest is ugly and sports without much impact (pilates, yoga) is more uncomfortable than practical.")</f>
        <v>Fastening Hold a lot but the problem as always when a large size bra (105D) is holding crush is used, the shape of the chest is ugly and sports without much impact (pilates, yoga) is more uncomfortable than practical.</v>
      </c>
    </row>
    <row r="17780">
      <c r="A17780" s="1">
        <v>4.0</v>
      </c>
      <c r="B17780" s="1" t="s">
        <v>17611</v>
      </c>
      <c r="C17780" t="str">
        <f>IFERROR(__xludf.DUMMYFUNCTION("GOOGLETRANSLATE(B17780, ""es"", ""en"")"),"Comodida have good cut, it is comfortable and advertising is unobtrusive")</f>
        <v>Comodida have good cut, it is comfortable and advertising is unobtrusive</v>
      </c>
    </row>
    <row r="17781">
      <c r="A17781" s="1">
        <v>4.0</v>
      </c>
      <c r="B17781" s="1" t="s">
        <v>17612</v>
      </c>
      <c r="C17781" t="str">
        <f>IFERROR(__xludf.DUMMYFUNCTION("GOOGLETRANSLATE(B17781, ""es"", ""en"")"),"Good choice sometimes made me weird things, disconnections because if strange noises, imagine it would be because I had connected the front USB to the pass it to the rear stop them, but that if I use it only as a warehouse as USB gives a 175MB medium whic"&amp;"h is not bad, has no power button and I do not see a bad idea, you can put it into a part that is not seen and it is like having an internal disk as it comes on when you turn on your PC and automatically turns off when you turn off that one internal pc al"&amp;"ike. If you get it you will regret not is a good choice.")</f>
        <v>Good choice sometimes made me weird things, disconnections because if strange noises, imagine it would be because I had connected the front USB to the pass it to the rear stop them, but that if I use it only as a warehouse as USB gives a 175MB medium which is not bad, has no power button and I do not see a bad idea, you can put it into a part that is not seen and it is like having an internal disk as it comes on when you turn on your PC and automatically turns off when you turn off that one internal pc alike. If you get it you will regret not is a good choice.</v>
      </c>
    </row>
    <row r="17782">
      <c r="A17782" s="1">
        <v>5.0</v>
      </c>
      <c r="B17782" s="1" t="s">
        <v>17613</v>
      </c>
      <c r="C17782" t="str">
        <f>IFERROR(__xludf.DUMMYFUNCTION("GOOGLETRANSLATE(B17782, ""es"", ""en"")"),"comfort was what I expected, comfortable and very light, came before the promised time, I was concerned about the size, but has great result")</f>
        <v>comfort was what I expected, comfortable and very light, came before the promised time, I was concerned about the size, but has great result</v>
      </c>
    </row>
    <row r="17783">
      <c r="A17783" s="1">
        <v>5.0</v>
      </c>
      <c r="B17783" s="1" t="s">
        <v>17614</v>
      </c>
      <c r="C17783" t="str">
        <f>IFERROR(__xludf.DUMMYFUNCTION("GOOGLETRANSLATE(B17783, ""es"", ""en"")"),"and watch as good as I needed SUPPORTS WATER TO MORE THAN 5 meters but not because I do not know under more than 5 meters.")</f>
        <v>and watch as good as I needed SUPPORTS WATER TO MORE THAN 5 meters but not because I do not know under more than 5 meters.</v>
      </c>
    </row>
    <row r="17784">
      <c r="A17784" s="1">
        <v>5.0</v>
      </c>
      <c r="B17784" s="1" t="s">
        <v>17615</v>
      </c>
      <c r="C17784" t="str">
        <f>IFERROR(__xludf.DUMMYFUNCTION("GOOGLETRANSLATE(B17784, ""es"", ""en"")"),"Good quality and I always used this brand and the truth that got ugly silicone not changed them through the hole that broke own use. And buying here always get good prices.")</f>
        <v>Good quality and I always used this brand and the truth that got ugly silicone not changed them through the hole that broke own use. And buying here always get good prices.</v>
      </c>
    </row>
    <row r="17785">
      <c r="A17785" s="1">
        <v>5.0</v>
      </c>
      <c r="B17785" s="1" t="s">
        <v>17616</v>
      </c>
      <c r="C17785" t="str">
        <f>IFERROR(__xludf.DUMMYFUNCTION("GOOGLETRANSLATE(B17785, ""es"", ""en"")"),"It was a great little reluctant to broadcasters and I decided to buy this and am very delighted!")</f>
        <v>It was a great little reluctant to broadcasters and I decided to buy this and am very delighted!</v>
      </c>
    </row>
    <row r="17786">
      <c r="A17786" s="1">
        <v>5.0</v>
      </c>
      <c r="B17786" s="1" t="s">
        <v>17617</v>
      </c>
      <c r="C17786" t="str">
        <f>IFERROR(__xludf.DUMMYFUNCTION("GOOGLETRANSLATE(B17786, ""es"", ""en"")"),"Great is great, unlike others that concentrate the heat in the center, esre distributes it throughout the blanket, as I tried it two nights will buy one for my mother and we contentisimas")</f>
        <v>Great is great, unlike others that concentrate the heat in the center, esre distributes it throughout the blanket, as I tried it two nights will buy one for my mother and we contentisimas</v>
      </c>
    </row>
    <row r="17787">
      <c r="A17787" s="1">
        <v>5.0</v>
      </c>
      <c r="B17787" s="1" t="s">
        <v>17618</v>
      </c>
      <c r="C17787" t="str">
        <f>IFERROR(__xludf.DUMMYFUNCTION("GOOGLETRANSLATE(B17787, ""es"", ""en"")"),"Very nice very nice and do not give allergy.")</f>
        <v>Very nice very nice and do not give allergy.</v>
      </c>
    </row>
    <row r="17788">
      <c r="A17788" s="1">
        <v>5.0</v>
      </c>
      <c r="B17788" s="1" t="s">
        <v>17619</v>
      </c>
      <c r="C17788" t="str">
        <f>IFERROR(__xludf.DUMMYFUNCTION("GOOGLETRANSLATE(B17788, ""es"", ""en"")"),"Fresh and fast absorve Serum in bottle with easy dispenser 30 ml dropper in potecito glass. It is for the eye area, but I put myself in the face. The skin absorbs it quickly and have a cool feeling. Its fragrance is pleasant. It is still early to see resu"&amp;"lts, but I feel more supple skin.")</f>
        <v>Fresh and fast absorve Serum in bottle with easy dispenser 30 ml dropper in potecito glass. It is for the eye area, but I put myself in the face. The skin absorbs it quickly and have a cool feeling. Its fragrance is pleasant. It is still early to see results, but I feel more supple skin.</v>
      </c>
    </row>
    <row r="17789">
      <c r="A17789" s="1">
        <v>5.0</v>
      </c>
      <c r="B17789" s="1" t="s">
        <v>17620</v>
      </c>
      <c r="C17789" t="str">
        <f>IFERROR(__xludf.DUMMYFUNCTION("GOOGLETRANSLATE(B17789, ""es"", ""en"")"),"ALL PERFECT The clock is more beautiful than the pictures, it has come all perfect and schedule. I recommend buying and the seller. Thank you")</f>
        <v>ALL PERFECT The clock is more beautiful than the pictures, it has come all perfect and schedule. I recommend buying and the seller. Thank you</v>
      </c>
    </row>
    <row r="17790">
      <c r="A17790" s="1">
        <v>5.0</v>
      </c>
      <c r="B17790" s="1" t="s">
        <v>17621</v>
      </c>
      <c r="C17790" t="str">
        <f>IFERROR(__xludf.DUMMYFUNCTION("GOOGLETRANSLATE(B17790, ""es"", ""en"")"),"Super good buy I was surprised. I thought it would be nice to have one and now I use it every day. It is very comfortable, besides having an extraordinary value for money (it is the cheapest). I loved the remote control works perfectly and the lights too."&amp;" I recommend it to everybody.")</f>
        <v>Super good buy I was surprised. I thought it would be nice to have one and now I use it every day. It is very comfortable, besides having an extraordinary value for money (it is the cheapest). I loved the remote control works perfectly and the lights too. I recommend it to everybody.</v>
      </c>
    </row>
    <row r="17791">
      <c r="A17791" s="1">
        <v>5.0</v>
      </c>
      <c r="B17791" s="1" t="s">
        <v>17622</v>
      </c>
      <c r="C17791" t="str">
        <f>IFERROR(__xludf.DUMMYFUNCTION("GOOGLETRANSLATE(B17791, ""es"", ""en"")"),"Perfect adhesion good product, good product.")</f>
        <v>Perfect adhesion good product, good product.</v>
      </c>
    </row>
    <row r="17792">
      <c r="A17792" s="1">
        <v>5.0</v>
      </c>
      <c r="B17792" s="1" t="s">
        <v>17623</v>
      </c>
      <c r="C17792" t="str">
        <f>IFERROR(__xludf.DUMMYFUNCTION("GOOGLETRANSLATE(B17792, ""es"", ""en"")"),"Very comfortable rarely find clothes me that does not have a complaint, if it is too wide, if the sleeves are too short ... this, despite being polyester, a plastic fabric which fled like the plague it is extremely comfortable, warm and light, basically e"&amp;"verything a person looking for a jacket. Wine presented in a plastic bag, plain and simple, which came folded jacket. The jacket is a lightweight, very comfortable fabric. It has a pair of rubber with pins to adjust the jacket to the waist and hem. The po"&amp;"ckets have excellent size and close zipper. The sleeves are tight on the wrists thanks to the rubber bearing. The filling is wadding, which, being a hollow fiber, forms an air chamber which allows heating and maintaining heat easily. It is a highly recomm"&amp;"endable jacket, although eye with color, if you have pets, black is a magnet for hairs.")</f>
        <v>Very comfortable rarely find clothes me that does not have a complaint, if it is too wide, if the sleeves are too short ... this, despite being polyester, a plastic fabric which fled like the plague it is extremely comfortable, warm and light, basically everything a person looking for a jacket. Wine presented in a plastic bag, plain and simple, which came folded jacket. The jacket is a lightweight, very comfortable fabric. It has a pair of rubber with pins to adjust the jacket to the waist and hem. The pockets have excellent size and close zipper. The sleeves are tight on the wrists thanks to the rubber bearing. The filling is wadding, which, being a hollow fiber, forms an air chamber which allows heating and maintaining heat easily. It is a highly recommendable jacket, although eye with color, if you have pets, black is a magnet for hairs.</v>
      </c>
    </row>
    <row r="17793">
      <c r="A17793" s="1">
        <v>5.0</v>
      </c>
      <c r="B17793" s="1" t="s">
        <v>17624</v>
      </c>
      <c r="C17793" t="str">
        <f>IFERROR(__xludf.DUMMYFUNCTION("GOOGLETRANSLATE(B17793, ""es"", ""en"")"),"While the quality of the sound is amazing but the cable is too skinny for my taste, the feeling of being very delicate, although it is true that I have not had any problems so far")</f>
        <v>While the quality of the sound is amazing but the cable is too skinny for my taste, the feeling of being very delicate, although it is true that I have not had any problems so far</v>
      </c>
    </row>
    <row r="17794">
      <c r="A17794" s="1">
        <v>5.0</v>
      </c>
      <c r="B17794" s="1" t="s">
        <v>17625</v>
      </c>
      <c r="C17794" t="str">
        <f>IFERROR(__xludf.DUMMYFUNCTION("GOOGLETRANSLATE(B17794, ""es"", ""en"")"),"good quality cards and services!")</f>
        <v>good quality cards and services!</v>
      </c>
    </row>
    <row r="17795">
      <c r="A17795" s="1">
        <v>5.0</v>
      </c>
      <c r="B17795" s="1" t="s">
        <v>17626</v>
      </c>
      <c r="C17795" t="str">
        <f>IFERROR(__xludf.DUMMYFUNCTION("GOOGLETRANSLATE(B17795, ""es"", ""en"")"),"Very practical quality I very good fixation does prguras with cables hold time well.")</f>
        <v>Very practical quality I very good fixation does prguras with cables hold time well.</v>
      </c>
    </row>
    <row r="17796">
      <c r="A17796" s="1">
        <v>5.0</v>
      </c>
      <c r="B17796" s="1" t="s">
        <v>17627</v>
      </c>
      <c r="C17796" t="str">
        <f>IFERROR(__xludf.DUMMYFUNCTION("GOOGLETRANSLATE(B17796, ""es"", ""en"")"),"Híper comfortable and not show through I love this brand of tights for the gym. No show through, they are very comfortable to wear, fit figure, unrelieved with washed ... worth.")</f>
        <v>Híper comfortable and not show through I love this brand of tights for the gym. No show through, they are very comfortable to wear, fit figure, unrelieved with washed ... worth.</v>
      </c>
    </row>
    <row r="17797">
      <c r="A17797" s="1">
        <v>5.0</v>
      </c>
      <c r="B17797" s="1" t="s">
        <v>17628</v>
      </c>
      <c r="C17797" t="str">
        <f>IFERROR(__xludf.DUMMYFUNCTION("GOOGLETRANSLATE(B17797, ""es"", ""en"")"),"A great pack I bought a breast pump Medela swing in European version therefore not bring the nipple calm. Purchased separately was much more expensive than buying this pack, because you always need to have several bottles.")</f>
        <v>A great pack I bought a breast pump Medela swing in European version therefore not bring the nipple calm. Purchased separately was much more expensive than buying this pack, because you always need to have several bottles.</v>
      </c>
    </row>
    <row r="17798">
      <c r="A17798" s="1">
        <v>5.0</v>
      </c>
      <c r="B17798" s="1" t="s">
        <v>17629</v>
      </c>
      <c r="C17798" t="str">
        <f>IFERROR(__xludf.DUMMYFUNCTION("GOOGLETRANSLATE(B17798, ""es"", ""en"")"),"Virginia Beck Garcia remains as expected, they are also Comodisimos, are perfectly suited for. the ideal summer, always with the feeling of having the foot subject")</f>
        <v>Virginia Beck Garcia remains as expected, they are also Comodisimos, are perfectly suited for. the ideal summer, always with the feeling of having the foot subject</v>
      </c>
    </row>
    <row r="17799">
      <c r="A17799" s="1">
        <v>5.0</v>
      </c>
      <c r="B17799" s="1" t="s">
        <v>17630</v>
      </c>
      <c r="C17799" t="str">
        <f>IFERROR(__xludf.DUMMYFUNCTION("GOOGLETRANSLATE(B17799, ""es"", ""en"")"),"Well and fast Fast, canned sound I imagine the price. If you can be there to invest a little more and buy some more quality.")</f>
        <v>Well and fast Fast, canned sound I imagine the price. If you can be there to invest a little more and buy some more quality.</v>
      </c>
    </row>
    <row r="17800">
      <c r="A17800" s="1">
        <v>2.0</v>
      </c>
      <c r="B17800" s="1" t="s">
        <v>17631</v>
      </c>
      <c r="C17800" t="str">
        <f>IFERROR(__xludf.DUMMYFUNCTION("GOOGLETRANSLATE(B17800, ""es"", ""en"")"),"A DISASTER There has been no opportunity to test its operation. First shipment, the cracked glass; second shipment, bent blades; third attempt, blades bent even more. Finally it decided to abandon the purchase. GOOD CARE OF AMAZON, I must say. They have a"&amp;" big problem")</f>
        <v>A DISASTER There has been no opportunity to test its operation. First shipment, the cracked glass; second shipment, bent blades; third attempt, blades bent even more. Finally it decided to abandon the purchase. GOOD CARE OF AMAZON, I must say. They have a big problem</v>
      </c>
    </row>
    <row r="17801">
      <c r="A17801" s="1">
        <v>3.0</v>
      </c>
      <c r="B17801" s="1" t="s">
        <v>17632</v>
      </c>
      <c r="C17801" t="str">
        <f>IFERROR(__xludf.DUMMYFUNCTION("GOOGLETRANSLATE(B17801, ""es"", ""en"")"),"Too small for adult too small for an adult. They are beautiful and valid for a little girl.")</f>
        <v>Too small for adult too small for an adult. They are beautiful and valid for a little girl.</v>
      </c>
    </row>
    <row r="17802">
      <c r="A17802" s="1">
        <v>3.0</v>
      </c>
      <c r="B17802" s="1" t="s">
        <v>17633</v>
      </c>
      <c r="C17802" t="str">
        <f>IFERROR(__xludf.DUMMYFUNCTION("GOOGLETRANSLATE(B17802, ""es"", ""en"")"),"No low without volume for the price they have this right, they are very beautiful and aesthetic. they are comfortable. But for my taste, they do not have much volume and if you put it to the maximum noticed a little cluttering speakers. If you're not fuss"&amp;"ed can you like, but for me is an understatement.")</f>
        <v>No low without volume for the price they have this right, they are very beautiful and aesthetic. they are comfortable. But for my taste, they do not have much volume and if you put it to the maximum noticed a little cluttering speakers. If you're not fussed can you like, but for me is an understatement.</v>
      </c>
    </row>
    <row r="17803">
      <c r="A17803" s="1">
        <v>1.0</v>
      </c>
      <c r="B17803" s="1" t="s">
        <v>17634</v>
      </c>
      <c r="C17803" t="str">
        <f>IFERROR(__xludf.DUMMYFUNCTION("GOOGLETRANSLATE(B17803, ""es"", ""en"")"),"absorbs all external sounds works fatal")</f>
        <v>absorbs all external sounds works fatal</v>
      </c>
    </row>
    <row r="17804">
      <c r="A17804" s="1">
        <v>1.0</v>
      </c>
      <c r="B17804" s="1" t="s">
        <v>17635</v>
      </c>
      <c r="C17804" t="str">
        <f>IFERROR(__xludf.DUMMYFUNCTION("GOOGLETRANSLATE(B17804, ""es"", ""en"")"),"Could be heard are heard more or less well, sound tinny. They contacted me to offer free products to change the rating. Trying to change even before sending anything.")</f>
        <v>Could be heard are heard more or less well, sound tinny. They contacted me to offer free products to change the rating. Trying to change even before sending anything.</v>
      </c>
    </row>
    <row r="17805">
      <c r="A17805" s="1">
        <v>4.0</v>
      </c>
      <c r="B17805" s="1" t="s">
        <v>17636</v>
      </c>
      <c r="C17805" t="str">
        <f>IFERROR(__xludf.DUMMYFUNCTION("GOOGLETRANSLATE(B17805, ""es"", ""en"")"),"Pretty and looks good quality ... small sizes")</f>
        <v>Pretty and looks good quality ... small sizes</v>
      </c>
    </row>
    <row r="17806">
      <c r="A17806" s="1">
        <v>4.0</v>
      </c>
      <c r="B17806" s="1" t="s">
        <v>17637</v>
      </c>
      <c r="C17806" t="str">
        <f>IFERROR(__xludf.DUMMYFUNCTION("GOOGLETRANSLATE(B17806, ""es"", ""en"")"),"Most importantly they have a good product and good work congratulations I like so safe to arriving but not able to open it took a month and a half without opening it please I have to do to open it because it has the keys and stack inside thanks")</f>
        <v>Most importantly they have a good product and good work congratulations I like so safe to arriving but not able to open it took a month and a half without opening it please I have to do to open it because it has the keys and stack inside thanks</v>
      </c>
    </row>
    <row r="17807">
      <c r="A17807" s="1">
        <v>4.0</v>
      </c>
      <c r="B17807" s="1" t="s">
        <v>17638</v>
      </c>
      <c r="C17807" t="str">
        <f>IFERROR(__xludf.DUMMYFUNCTION("GOOGLETRANSLATE(B17807, ""es"", ""en"")"),"The Litus had in my hands and we know that it is good shoes, the only thing it back why I went small. But if I recommend it. And the service as usual very good.")</f>
        <v>The Litus had in my hands and we know that it is good shoes, the only thing it back why I went small. But if I recommend it. And the service as usual very good.</v>
      </c>
    </row>
    <row r="17808">
      <c r="A17808" s="1">
        <v>4.0</v>
      </c>
      <c r="B17808" s="1" t="s">
        <v>17639</v>
      </c>
      <c r="C17808" t="str">
        <f>IFERROR(__xludf.DUMMYFUNCTION("GOOGLETRANSLATE(B17808, ""es"", ""en"")"),"Very nice CASIO watch was a gift and enjoyed it, although it has a downside that is, the belt caught a little skin, hair, told me that the person using it is a man.")</f>
        <v>Very nice CASIO watch was a gift and enjoyed it, although it has a downside that is, the belt caught a little skin, hair, told me that the person using it is a man.</v>
      </c>
    </row>
    <row r="17809">
      <c r="A17809" s="1">
        <v>4.0</v>
      </c>
      <c r="B17809" s="1" t="s">
        <v>17640</v>
      </c>
      <c r="C17809" t="str">
        <f>IFERROR(__xludf.DUMMYFUNCTION("GOOGLETRANSLATE(B17809, ""es"", ""en"")"),"Good for the price ... well and gives me allergies")</f>
        <v>Good for the price ... well and gives me allergies</v>
      </c>
    </row>
    <row r="17810">
      <c r="A17810" s="1">
        <v>5.0</v>
      </c>
      <c r="B17810" s="1" t="s">
        <v>17641</v>
      </c>
      <c r="C17810" t="str">
        <f>IFERROR(__xludf.DUMMYFUNCTION("GOOGLETRANSLATE(B17810, ""es"", ""en"")"),"Robust and elegant took several weeks with this belt and I'm happy. It is robust and elegant. The metal edges of the belt are softened and do not spoil the sleeves of shirts or jackets")</f>
        <v>Robust and elegant took several weeks with this belt and I'm happy. It is robust and elegant. The metal edges of the belt are softened and do not spoil the sleeves of shirts or jackets</v>
      </c>
    </row>
    <row r="17811">
      <c r="A17811" s="1">
        <v>5.0</v>
      </c>
      <c r="B17811" s="1" t="s">
        <v>17642</v>
      </c>
      <c r="C17811" t="str">
        <f>IFERROR(__xludf.DUMMYFUNCTION("GOOGLETRANSLATE(B17811, ""es"", ""en"")"),"Very elegant very, very nice for the price it has. It is simple and elegant. Attention to the length of the necklace if you want more or less long.")</f>
        <v>Very elegant very, very nice for the price it has. It is simple and elegant. Attention to the length of the necklace if you want more or less long.</v>
      </c>
    </row>
    <row r="17812">
      <c r="A17812" s="1">
        <v>5.0</v>
      </c>
      <c r="B17812" s="1" t="s">
        <v>17643</v>
      </c>
      <c r="C17812" t="str">
        <f>IFERROR(__xludf.DUMMYFUNCTION("GOOGLETRANSLATE(B17812, ""es"", ""en"")"),"Better keyboard to produce with laptop and Reason 9.5 This keyboard offers great functions, and enables production with a laptop or PC, easy handling, improved respect keys previous version.")</f>
        <v>Better keyboard to produce with laptop and Reason 9.5 This keyboard offers great functions, and enables production with a laptop or PC, easy handling, improved respect keys previous version.</v>
      </c>
    </row>
    <row r="17813">
      <c r="A17813" s="1">
        <v>5.0</v>
      </c>
      <c r="B17813" s="1" t="s">
        <v>17644</v>
      </c>
      <c r="C17813" t="str">
        <f>IFERROR(__xludf.DUMMYFUNCTION("GOOGLETRANSLATE(B17813, ""es"", ""en"")"),"The shoes have arrived in perfect condition with the Clarks box. The shoes have arrived in perfect condition with the Clarks box.")</f>
        <v>The shoes have arrived in perfect condition with the Clarks box. The shoes have arrived in perfect condition with the Clarks box.</v>
      </c>
    </row>
    <row r="17814">
      <c r="A17814" s="1">
        <v>5.0</v>
      </c>
      <c r="B17814" s="1" t="s">
        <v>17645</v>
      </c>
      <c r="C17814" t="str">
        <f>IFERROR(__xludf.DUMMYFUNCTION("GOOGLETRANSLATE(B17814, ""es"", ""en"")"),"Easy to use Love")</f>
        <v>Easy to use Love</v>
      </c>
    </row>
    <row r="17815">
      <c r="A17815" s="1">
        <v>5.0</v>
      </c>
      <c r="B17815" s="1" t="s">
        <v>17646</v>
      </c>
      <c r="C17815" t="str">
        <f>IFERROR(__xludf.DUMMYFUNCTION("GOOGLETRANSLATE(B17815, ""es"", ""en"")"),"A useful and satisfying being 150 cm long is thought to be short. Not so, it comes from the feet to the area where the pillow starts. In the position of maximum heat should only be at the beginning, then ideally a minimum or heat is excessive. It should b"&amp;"e placed under the bottom sheet and prevents staining to being white. I can not judge the duration or outcome of washing. Its width of 80 cm is sufficient for a body, it serves to any bed if the user is placed above individually. Very useful.")</f>
        <v>A useful and satisfying being 150 cm long is thought to be short. Not so, it comes from the feet to the area where the pillow starts. In the position of maximum heat should only be at the beginning, then ideally a minimum or heat is excessive. It should be placed under the bottom sheet and prevents staining to being white. I can not judge the duration or outcome of washing. Its width of 80 cm is sufficient for a body, it serves to any bed if the user is placed above individually. Very useful.</v>
      </c>
    </row>
    <row r="17816">
      <c r="A17816" s="1">
        <v>5.0</v>
      </c>
      <c r="B17816" s="1" t="s">
        <v>17647</v>
      </c>
      <c r="C17816" t="str">
        <f>IFERROR(__xludf.DUMMYFUNCTION("GOOGLETRANSLATE(B17816, ""es"", ""en"")"),"I make a fool !! Comfortable and discreet. I recommend it.")</f>
        <v>I make a fool !! Comfortable and discreet. I recommend it.</v>
      </c>
    </row>
    <row r="17817">
      <c r="A17817" s="1">
        <v>5.0</v>
      </c>
      <c r="B17817" s="1" t="s">
        <v>17648</v>
      </c>
      <c r="C17817" t="str">
        <f>IFERROR(__xludf.DUMMYFUNCTION("GOOGLETRANSLATE(B17817, ""es"", ""en"")"),"Perfect Very good price, and does the job")</f>
        <v>Perfect Very good price, and does the job</v>
      </c>
    </row>
    <row r="17818">
      <c r="A17818" s="1">
        <v>5.0</v>
      </c>
      <c r="B17818" s="1" t="s">
        <v>17649</v>
      </c>
      <c r="C17818" t="str">
        <f>IFERROR(__xludf.DUMMYFUNCTION("GOOGLETRANSLATE(B17818, ""es"", ""en"")"),"Simple and useful simple to install. A noticeable improvement for any team.")</f>
        <v>Simple and useful simple to install. A noticeable improvement for any team.</v>
      </c>
    </row>
    <row r="17819">
      <c r="A17819" s="1">
        <v>5.0</v>
      </c>
      <c r="B17819" s="1" t="s">
        <v>17650</v>
      </c>
      <c r="C17819" t="str">
        <f>IFERROR(__xludf.DUMMYFUNCTION("GOOGLETRANSLATE(B17819, ""es"", ""en"")"),"Cheap Buenos")</f>
        <v>Cheap Buenos</v>
      </c>
    </row>
    <row r="17820">
      <c r="A17820" s="1">
        <v>5.0</v>
      </c>
      <c r="B17820" s="1" t="s">
        <v>17651</v>
      </c>
      <c r="C17820" t="str">
        <f>IFERROR(__xludf.DUMMYFUNCTION("GOOGLETRANSLATE(B17820, ""es"", ""en"")"),"A powerful magnifier is an interesting product to see really small things, details, etc. It is also not an expensive product. Deliveries were made in the agreed type without problems.")</f>
        <v>A powerful magnifier is an interesting product to see really small things, details, etc. It is also not an expensive product. Deliveries were made in the agreed type without problems.</v>
      </c>
    </row>
    <row r="17821">
      <c r="A17821" s="1">
        <v>5.0</v>
      </c>
      <c r="B17821" s="1" t="s">
        <v>17652</v>
      </c>
      <c r="C17821" t="str">
        <f>IFERROR(__xludf.DUMMYFUNCTION("GOOGLETRANSLATE(B17821, ""es"", ""en"")"),"Natural odor smell good, are natural and intense odors. Humidifier go well with just a few drops. I tried to make homemade soap with EDTAs essences and smell good.")</f>
        <v>Natural odor smell good, are natural and intense odors. Humidifier go well with just a few drops. I tried to make homemade soap with EDTAs essences and smell good.</v>
      </c>
    </row>
    <row r="17822">
      <c r="A17822" s="1">
        <v>5.0</v>
      </c>
      <c r="B17822" s="1" t="s">
        <v>17653</v>
      </c>
      <c r="C17822" t="str">
        <f>IFERROR(__xludf.DUMMYFUNCTION("GOOGLETRANSLATE(B17822, ""es"", ""en"")"),"Good, nice and cheap good shoes and a spectacular price")</f>
        <v>Good, nice and cheap good shoes and a spectacular price</v>
      </c>
    </row>
    <row r="17823">
      <c r="A17823" s="1">
        <v>5.0</v>
      </c>
      <c r="B17823" s="1" t="s">
        <v>17654</v>
      </c>
      <c r="C17823" t="str">
        <f>IFERROR(__xludf.DUMMYFUNCTION("GOOGLETRANSLATE(B17823, ""es"", ""en"")"),"Best shoes Todo perfecto")</f>
        <v>Best shoes Todo perfecto</v>
      </c>
    </row>
    <row r="17824">
      <c r="A17824" s="1">
        <v>5.0</v>
      </c>
      <c r="B17824" s="1" t="s">
        <v>238</v>
      </c>
      <c r="C17824" t="str">
        <f>IFERROR(__xludf.DUMMYFUNCTION("GOOGLETRANSLATE(B17824, ""es"", ""en"")"),"perfect perfect")</f>
        <v>perfect perfect</v>
      </c>
    </row>
    <row r="17825">
      <c r="A17825" s="1">
        <v>5.0</v>
      </c>
      <c r="B17825" s="1" t="s">
        <v>17655</v>
      </c>
      <c r="C17825" t="str">
        <f>IFERROR(__xludf.DUMMYFUNCTION("GOOGLETRANSLATE(B17825, ""es"", ""en"")"),"Everything perfect everything perfect size and quality")</f>
        <v>Everything perfect everything perfect size and quality</v>
      </c>
    </row>
    <row r="17826">
      <c r="A17826" s="1">
        <v>5.0</v>
      </c>
      <c r="B17826" s="1" t="s">
        <v>17656</v>
      </c>
      <c r="C17826" t="str">
        <f>IFERROR(__xludf.DUMMYFUNCTION("GOOGLETRANSLATE(B17826, ""es"", ""en"")"),"Surprised I bought for my partner, because it is very pink color: the is not expected, when he saw his first expression was ""alaaa that chuloos Be you'll head How much you have cost!?"" He did not believe it when I told him 12 €. Not when he heard them. "&amp;"Outstanding design, outstanding quality and a sound that does not correspond to the price, really, value for money design is a real highlight of Amazon. fully recommended")</f>
        <v>Surprised I bought for my partner, because it is very pink color: the is not expected, when he saw his first expression was "alaaa that chuloos Be you'll head How much you have cost!?" He did not believe it when I told him 12 €. Not when he heard them. Outstanding design, outstanding quality and a sound that does not correspond to the price, really, value for money design is a real highlight of Amazon. fully recommended</v>
      </c>
    </row>
    <row r="17827">
      <c r="A17827" s="1">
        <v>5.0</v>
      </c>
      <c r="B17827" s="1" t="s">
        <v>17657</v>
      </c>
      <c r="C17827" t="str">
        <f>IFERROR(__xludf.DUMMYFUNCTION("GOOGLETRANSLATE(B17827, ""es"", ""en"")"),"very comfortable great for running, hold well ideal for very active sports ... the sound is flat but escucha.muy well, is quick link to the phone, for objecting to something a little big, but comfortable. I recommend it for sport")</f>
        <v>very comfortable great for running, hold well ideal for very active sports ... the sound is flat but escucha.muy well, is quick link to the phone, for objecting to something a little big, but comfortable. I recommend it for sport</v>
      </c>
    </row>
    <row r="17828">
      <c r="A17828" s="1">
        <v>5.0</v>
      </c>
      <c r="B17828" s="1" t="s">
        <v>17658</v>
      </c>
      <c r="C17828" t="str">
        <f>IFERROR(__xludf.DUMMYFUNCTION("GOOGLETRANSLATE(B17828, ""es"", ""en"")"),"Little Man I bought with the money he gave me the YouTube partner and I have already recorded some podcast with. Good quality and easy to carry and store. With this you will be the most talkative reporter in your neighborhood.")</f>
        <v>Little Man I bought with the money he gave me the YouTube partner and I have already recorded some podcast with. Good quality and easy to carry and store. With this you will be the most talkative reporter in your neighborhood.</v>
      </c>
    </row>
    <row r="17829">
      <c r="A17829" s="1">
        <v>2.0</v>
      </c>
      <c r="B17829" s="1" t="s">
        <v>17659</v>
      </c>
      <c r="C17829" t="str">
        <f>IFERROR(__xludf.DUMMYFUNCTION("GOOGLETRANSLATE(B17829, ""es"", ""en"")"),"I get no ironing board did not get her pilot does not stay lit, sometimes loose a blast of heat that accompanies him water loss and is not living ... Does anyone happens?")</f>
        <v>I get no ironing board did not get her pilot does not stay lit, sometimes loose a blast of heat that accompanies him water loss and is not living ... Does anyone happens?</v>
      </c>
    </row>
    <row r="17830">
      <c r="A17830" s="1">
        <v>3.0</v>
      </c>
      <c r="B17830" s="1" t="s">
        <v>17660</v>
      </c>
      <c r="C17830" t="str">
        <f>IFERROR(__xludf.DUMMYFUNCTION("GOOGLETRANSLATE(B17830, ""es"", ""en"")"),"M size See, things like fabric is not great but for the price you are fine. It's not a downer or anything, in terms of size so that you have referred wear 38 in stretch pants (or sagging a bit) and size 40 in pants are tighter (we know that the subject of"&amp;" the sizing depends and varies the merchant) Asique with those sizes into account what I asked was for this mesh M and is tight but did not tighten much less, okay")</f>
        <v>M size See, things like fabric is not great but for the price you are fine. It's not a downer or anything, in terms of size so that you have referred wear 38 in stretch pants (or sagging a bit) and size 40 in pants are tighter (we know that the subject of the sizing depends and varies the merchant) Asique with those sizes into account what I asked was for this mesh M and is tight but did not tighten much less, okay</v>
      </c>
    </row>
    <row r="17831">
      <c r="A17831" s="1">
        <v>3.0</v>
      </c>
      <c r="B17831" s="1" t="s">
        <v>17661</v>
      </c>
      <c r="C17831" t="str">
        <f>IFERROR(__xludf.DUMMYFUNCTION("GOOGLETRANSLATE(B17831, ""es"", ""en"")"),"small very comfortable, good finish and weigh nothing, but the sizes do not correspond to European size. I recommend ordering one more even 2 numbers. I bought two, the first that I had small, will I have left my son who is delighted with them as well.")</f>
        <v>small very comfortable, good finish and weigh nothing, but the sizes do not correspond to European size. I recommend ordering one more even 2 numbers. I bought two, the first that I had small, will I have left my son who is delighted with them as well.</v>
      </c>
    </row>
    <row r="17832">
      <c r="A17832" s="1">
        <v>1.0</v>
      </c>
      <c r="B17832" s="1" t="s">
        <v>17662</v>
      </c>
      <c r="C17832" t="str">
        <f>IFERROR(__xludf.DUMMYFUNCTION("GOOGLETRANSLATE(B17832, ""es"", ""en"")"),"Do not feel like waiting. Pedi a size S is normally used in other sports brands but in my case I do not feel good, shoulder and waist looser but hip narrower pockets are open and does not favor, so I've had q give back.")</f>
        <v>Do not feel like waiting. Pedi a size S is normally used in other sports brands but in my case I do not feel good, shoulder and waist looser but hip narrower pockets are open and does not favor, so I've had q give back.</v>
      </c>
    </row>
    <row r="17833">
      <c r="A17833" s="1">
        <v>1.0</v>
      </c>
      <c r="B17833" s="1" t="s">
        <v>17663</v>
      </c>
      <c r="C17833" t="str">
        <f>IFERROR(__xludf.DUMMYFUNCTION("GOOGLETRANSLATE(B17833, ""es"", ""en"")"),"Discontent with headphones I read in the comments that equal hear that true, for my point of vistar not listen to anything like it. Where more difference is when sound is low. I would not recommend.")</f>
        <v>Discontent with headphones I read in the comments that equal hear that true, for my point of vistar not listen to anything like it. Where more difference is when sound is low. I would not recommend.</v>
      </c>
    </row>
    <row r="17834">
      <c r="A17834" s="1">
        <v>1.0</v>
      </c>
      <c r="B17834" s="1" t="s">
        <v>17664</v>
      </c>
      <c r="C17834" t="str">
        <f>IFERROR(__xludf.DUMMYFUNCTION("GOOGLETRANSLATE(B17834, ""es"", ""en"")"),"I will not buy again are pretty To dress for work not")</f>
        <v>I will not buy again are pretty To dress for work not</v>
      </c>
    </row>
    <row r="17835">
      <c r="A17835" s="1">
        <v>4.0</v>
      </c>
      <c r="B17835" s="1" t="s">
        <v>17665</v>
      </c>
      <c r="C17835" t="str">
        <f>IFERROR(__xludf.DUMMYFUNCTION("GOOGLETRANSLATE(B17835, ""es"", ""en"")"),"A large Pelin I are a little large (use the 45EU in virtually all types of shoes) 44 and a half perhaps one would be best.")</f>
        <v>A large Pelin I are a little large (use the 45EU in virtually all types of shoes) 44 and a half perhaps one would be best.</v>
      </c>
    </row>
    <row r="17836">
      <c r="A17836" s="1">
        <v>4.0</v>
      </c>
      <c r="B17836" s="1" t="s">
        <v>17666</v>
      </c>
      <c r="C17836" t="str">
        <f>IFERROR(__xludf.DUMMYFUNCTION("GOOGLETRANSLATE(B17836, ""es"", ""en"")"),"Casual backpack is a practical bag, the size is sufuciente to bring personal stuff, I especially like the way the strap to carry on the chest or back.")</f>
        <v>Casual backpack is a practical bag, the size is sufuciente to bring personal stuff, I especially like the way the strap to carry on the chest or back.</v>
      </c>
    </row>
    <row r="17837">
      <c r="A17837" s="1">
        <v>4.0</v>
      </c>
      <c r="B17837" s="1" t="s">
        <v>17667</v>
      </c>
      <c r="C17837" t="str">
        <f>IFERROR(__xludf.DUMMYFUNCTION("GOOGLETRANSLATE(B17837, ""es"", ""en"")"),"Good size perfect size for what I was looking all that came out a few spots I guess it will be lime.")</f>
        <v>Good size perfect size for what I was looking all that came out a few spots I guess it will be lime.</v>
      </c>
    </row>
    <row r="17838">
      <c r="A17838" s="1">
        <v>4.0</v>
      </c>
      <c r="B17838" s="1" t="s">
        <v>17668</v>
      </c>
      <c r="C17838" t="str">
        <f>IFERROR(__xludf.DUMMYFUNCTION("GOOGLETRANSLATE(B17838, ""es"", ""en"")"),"José slightly simple chain, pendant fine, comes in a box, money well recommend it for small engagement gifts")</f>
        <v>José slightly simple chain, pendant fine, comes in a box, money well recommend it for small engagement gifts</v>
      </c>
    </row>
    <row r="17839">
      <c r="A17839" s="1">
        <v>4.0</v>
      </c>
      <c r="B17839" s="1" t="s">
        <v>17669</v>
      </c>
      <c r="C17839" t="str">
        <f>IFERROR(__xludf.DUMMYFUNCTION("GOOGLETRANSLATE(B17839, ""es"", ""en"")"),"It is correct waterproofs. Great value for money. So if ... a fair bit. So far I have not gone with her to run, but looks good. I miss pockets.")</f>
        <v>It is correct waterproofs. Great value for money. So if ... a fair bit. So far I have not gone with her to run, but looks good. I miss pockets.</v>
      </c>
    </row>
    <row r="17840">
      <c r="A17840" s="1">
        <v>5.0</v>
      </c>
      <c r="B17840" s="1" t="s">
        <v>17670</v>
      </c>
      <c r="C17840" t="str">
        <f>IFERROR(__xludf.DUMMYFUNCTION("GOOGLETRANSLATE(B17840, ""es"", ""en"")"),"Updated 15 Sep 2019 The quality is outstanding very good finishes, sewing is almost perfect, a shoe very comfortable that make the foot only to walk a little, do not bother in the first few uses, maybe if you put a small point in the sole, at the beginnin"&amp;"g is a bit hard, but eventually disappearing just that hardness and become very comfortable. Say that over time do not lose their original form or undergo deformations due to use. After some time still perfectly new, I love them! Neither rorutas, and defo"&amp;"rmation ... etc! Purchase more than good. 10!")</f>
        <v>Updated 15 Sep 2019 The quality is outstanding very good finishes, sewing is almost perfect, a shoe very comfortable that make the foot only to walk a little, do not bother in the first few uses, maybe if you put a small point in the sole, at the beginning is a bit hard, but eventually disappearing just that hardness and become very comfortable. Say that over time do not lose their original form or undergo deformations due to use. After some time still perfectly new, I love them! Neither rorutas, and deformation ... etc! Purchase more than good. 10!</v>
      </c>
    </row>
    <row r="17841">
      <c r="A17841" s="1">
        <v>5.0</v>
      </c>
      <c r="B17841" s="1" t="s">
        <v>17671</v>
      </c>
      <c r="C17841" t="str">
        <f>IFERROR(__xludf.DUMMYFUNCTION("GOOGLETRANSLATE(B17841, ""es"", ""en"")"),"Okay what I expected")</f>
        <v>Okay what I expected</v>
      </c>
    </row>
    <row r="17842">
      <c r="A17842" s="1">
        <v>5.0</v>
      </c>
      <c r="B17842" s="1" t="s">
        <v>17672</v>
      </c>
      <c r="C17842" t="str">
        <f>IFERROR(__xludf.DUMMYFUNCTION("GOOGLETRANSLATE(B17842, ""es"", ""en"")"),"What entertains them. I love kids and do not stop. It has a good sound and you can link to your device móvil.Esta great.")</f>
        <v>What entertains them. I love kids and do not stop. It has a good sound and you can link to your device móvil.Esta great.</v>
      </c>
    </row>
    <row r="17843">
      <c r="A17843" s="1">
        <v>5.0</v>
      </c>
      <c r="B17843" s="1" t="s">
        <v>17673</v>
      </c>
      <c r="C17843" t="str">
        <f>IFERROR(__xludf.DUMMYFUNCTION("GOOGLETRANSLATE(B17843, ""es"", ""en"")"),"The elegant bought for a gift")</f>
        <v>The elegant bought for a gift</v>
      </c>
    </row>
    <row r="17844">
      <c r="A17844" s="1">
        <v>5.0</v>
      </c>
      <c r="B17844" s="1" t="s">
        <v>17674</v>
      </c>
      <c r="C17844" t="str">
        <f>IFERROR(__xludf.DUMMYFUNCTION("GOOGLETRANSLATE(B17844, ""es"", ""en"")"),"Good value for money is fine to see if they are interested in the saga. My 10 year old daughter still has very heavy reading so we will wait to buy more.")</f>
        <v>Good value for money is fine to see if they are interested in the saga. My 10 year old daughter still has very heavy reading so we will wait to buy more.</v>
      </c>
    </row>
    <row r="17845">
      <c r="A17845" s="1">
        <v>5.0</v>
      </c>
      <c r="B17845" s="1" t="s">
        <v>17675</v>
      </c>
      <c r="C17845" t="str">
        <f>IFERROR(__xludf.DUMMYFUNCTION("GOOGLETRANSLATE(B17845, ""es"", ""en"")"),"I recommend it absolutely wonderful. I ordered one, and checking that was exactly what I ordered another. Quality unbeatable price. Teat bottle soft and comfortable")</f>
        <v>I recommend it absolutely wonderful. I ordered one, and checking that was exactly what I ordered another. Quality unbeatable price. Teat bottle soft and comfortable</v>
      </c>
    </row>
    <row r="17846">
      <c r="A17846" s="1">
        <v>5.0</v>
      </c>
      <c r="B17846" s="1" t="s">
        <v>17676</v>
      </c>
      <c r="C17846" t="str">
        <f>IFERROR(__xludf.DUMMYFUNCTION("GOOGLETRANSLATE(B17846, ""es"", ""en"")"),"The service you have. How comfortable it is. 👍")</f>
        <v>The service you have. How comfortable it is. 👍</v>
      </c>
    </row>
    <row r="17847">
      <c r="A17847" s="1">
        <v>5.0</v>
      </c>
      <c r="B17847" s="1" t="s">
        <v>17677</v>
      </c>
      <c r="C17847" t="str">
        <f>IFERROR(__xludf.DUMMYFUNCTION("GOOGLETRANSLATE(B17847, ""es"", ""en"")"),"Pau For this great price you regale and liked what I recommend if you have little cash and want to look good.")</f>
        <v>Pau For this great price you regale and liked what I recommend if you have little cash and want to look good.</v>
      </c>
    </row>
    <row r="17848">
      <c r="A17848" s="1">
        <v>5.0</v>
      </c>
      <c r="B17848" s="1" t="s">
        <v>17678</v>
      </c>
      <c r="C17848" t="str">
        <f>IFERROR(__xludf.DUMMYFUNCTION("GOOGLETRANSLATE(B17848, ""es"", ""en"")"),"The small vacuum cleaner comes in handy. Is very powerful and manageable, it reaches every corner. It cleans very easily. It is the best that can be separated into two parts, thus having the option to use it as a handheld vacuum cleaner. This is very usef"&amp;"ul for sofas or even suck in the car. Fully recommended.")</f>
        <v>The small vacuum cleaner comes in handy. Is very powerful and manageable, it reaches every corner. It cleans very easily. It is the best that can be separated into two parts, thus having the option to use it as a handheld vacuum cleaner. This is very useful for sofas or even suck in the car. Fully recommended.</v>
      </c>
    </row>
    <row r="17849">
      <c r="A17849" s="1">
        <v>5.0</v>
      </c>
      <c r="B17849" s="1" t="s">
        <v>17679</v>
      </c>
      <c r="C17849" t="str">
        <f>IFERROR(__xludf.DUMMYFUNCTION("GOOGLETRANSLATE(B17849, ""es"", ""en"")"),"Price Quality My wife is delighted with. Compared to others who have purchased in my environment this gain in price because running is the same as the most expensive.")</f>
        <v>Price Quality My wife is delighted with. Compared to others who have purchased in my environment this gain in price because running is the same as the most expensive.</v>
      </c>
    </row>
    <row r="17850">
      <c r="A17850" s="1">
        <v>5.0</v>
      </c>
      <c r="B17850" s="1" t="s">
        <v>17680</v>
      </c>
      <c r="C17850" t="str">
        <f>IFERROR(__xludf.DUMMYFUNCTION("GOOGLETRANSLATE(B17850, ""es"", ""en"")"),"Watches accordance with the time in which we live, live in the present. I like the quality of the product, when you buy a CASIO high-end like this and knowing it's tough sun know you're not going to ever worry about changing batteries, and is quite comfor"&amp;"table with having such a compact size and be resistant to shock if you put a metal strap with a special adapter, which are available online, looks like a clock out, and is easier to remove and put, say that a dress watch has to be metallic, silver, bright"&amp;", round, analog, times have changed, we are in the era of sophisticated, intelligent and digital clocks ultimately, as I like to me, I have no analog one because I do not like, they look like from another era, and I like watches with futuristic look, I do"&amp;" not care what other people think, I live in the present age, not the past. And only buy durable as CASIO watches to cane them, or smart to feel that I have a computer on the wrist and I like it to look like something robotic, a piece of technology and at"&amp;"tract attention.")</f>
        <v>Watches accordance with the time in which we live, live in the present. I like the quality of the product, when you buy a CASIO high-end like this and knowing it's tough sun know you're not going to ever worry about changing batteries, and is quite comfortable with having such a compact size and be resistant to shock if you put a metal strap with a special adapter, which are available online, looks like a clock out, and is easier to remove and put, say that a dress watch has to be metallic, silver, bright, round, analog, times have changed, we are in the era of sophisticated, intelligent and digital clocks ultimately, as I like to me, I have no analog one because I do not like, they look like from another era, and I like watches with futuristic look, I do not care what other people think, I live in the present age, not the past. And only buy durable as CASIO watches to cane them, or smart to feel that I have a computer on the wrist and I like it to look like something robotic, a piece of technology and attract attention.</v>
      </c>
    </row>
    <row r="17851">
      <c r="A17851" s="1">
        <v>5.0</v>
      </c>
      <c r="B17851" s="1" t="s">
        <v>17681</v>
      </c>
      <c r="C17851" t="str">
        <f>IFERROR(__xludf.DUMMYFUNCTION("GOOGLETRANSLATE(B17851, ""es"", ""en"")"),"Practical and cute arrive on time. So cute")</f>
        <v>Practical and cute arrive on time. So cute</v>
      </c>
    </row>
    <row r="17852">
      <c r="A17852" s="1">
        <v>5.0</v>
      </c>
      <c r="B17852" s="1" t="s">
        <v>17682</v>
      </c>
      <c r="C17852" t="str">
        <f>IFERROR(__xludf.DUMMYFUNCTION("GOOGLETRANSLATE(B17852, ""es"", ""en"")"),"Whiteboard 200 x 120 cm Although initially there was a problem with the dealer, contact the supplier and solved in 1 day. The product is very good, good quality and beautiful. The packaging is fantastic, comes with a great protection included an iron aggl"&amp;"omerate fairly thick. I recommend it 100%")</f>
        <v>Whiteboard 200 x 120 cm Although initially there was a problem with the dealer, contact the supplier and solved in 1 day. The product is very good, good quality and beautiful. The packaging is fantastic, comes with a great protection included an iron agglomerate fairly thick. I recommend it 100%</v>
      </c>
    </row>
    <row r="17853">
      <c r="A17853" s="1">
        <v>5.0</v>
      </c>
      <c r="B17853" s="1" t="s">
        <v>17683</v>
      </c>
      <c r="C17853" t="str">
        <f>IFERROR(__xludf.DUMMYFUNCTION("GOOGLETRANSLATE(B17853, ""es"", ""en"")"),"Like a glove I had already used this brand of footwear and therefore, the order this product at Amazon, I was reasonably sure that I was not mistaken in shoe size. Shoe is a high quality light, while resilient, breathable and super cushioned ride, which i"&amp;"s beneficial for the heel, knee, the hip joint and spine. In addition to cleaning is put into the washing machine and ... voila!. I love the Skechers (^^)")</f>
        <v>Like a glove I had already used this brand of footwear and therefore, the order this product at Amazon, I was reasonably sure that I was not mistaken in shoe size. Shoe is a high quality light, while resilient, breathable and super cushioned ride, which is beneficial for the heel, knee, the hip joint and spine. In addition to cleaning is put into the washing machine and ... voila!. I love the Skechers (^^)</v>
      </c>
    </row>
    <row r="17854">
      <c r="A17854" s="1">
        <v>5.0</v>
      </c>
      <c r="B17854" s="1" t="s">
        <v>17684</v>
      </c>
      <c r="C17854" t="str">
        <f>IFERROR(__xludf.DUMMYFUNCTION("GOOGLETRANSLATE(B17854, ""es"", ""en"")"),"Lotus Fantastico and very good came early")</f>
        <v>Lotus Fantastico and very good came early</v>
      </c>
    </row>
    <row r="17855">
      <c r="A17855" s="1">
        <v>5.0</v>
      </c>
      <c r="B17855" s="1" t="s">
        <v>17685</v>
      </c>
      <c r="C17855" t="str">
        <f>IFERROR(__xludf.DUMMYFUNCTION("GOOGLETRANSLATE(B17855, ""es"", ""en"")"),"INCREDIBLE Mother, do not know how not discovered before and I did not speak of this model nor the doctors or midwives or nurses, it is not fair. If you are breast feeding and have to use bottle for some reason, it will hurt the chest, to return to work, "&amp;"the baby does not catch either the chest and ye giving milk breast, etc., this is the best bottle. I tried before discovering this bottle of Medela, other brands like Nuk, Avent, Poodle, Dr. Brown .... and my baby has suffered many colic, but since we dis"&amp;"covered this and we are using it, he has not been hit again it has been our salvation. I tried other products that were not Medela, in bottles, liners, nipples and breast pumps and not worth rightly speak both Medela breastfeeding groups worth.")</f>
        <v>INCREDIBLE Mother, do not know how not discovered before and I did not speak of this model nor the doctors or midwives or nurses, it is not fair. If you are breast feeding and have to use bottle for some reason, it will hurt the chest, to return to work, the baby does not catch either the chest and ye giving milk breast, etc., this is the best bottle. I tried before discovering this bottle of Medela, other brands like Nuk, Avent, Poodle, Dr. Brown .... and my baby has suffered many colic, but since we discovered this and we are using it, he has not been hit again it has been our salvation. I tried other products that were not Medela, in bottles, liners, nipples and breast pumps and not worth rightly speak both Medela breastfeeding groups worth.</v>
      </c>
    </row>
    <row r="17856">
      <c r="A17856" s="1">
        <v>5.0</v>
      </c>
      <c r="B17856" s="1" t="s">
        <v>17686</v>
      </c>
      <c r="C17856" t="str">
        <f>IFERROR(__xludf.DUMMYFUNCTION("GOOGLETRANSLATE(B17856, ""es"", ""en"")"),"Buy Genial ideal. Super powerful and cleaned very well. A fantastic buy. And it is very strong")</f>
        <v>Buy Genial ideal. Super powerful and cleaned very well. A fantastic buy. And it is very strong</v>
      </c>
    </row>
    <row r="17857">
      <c r="A17857" s="1">
        <v>5.0</v>
      </c>
      <c r="B17857" s="1" t="s">
        <v>17687</v>
      </c>
      <c r="C17857" t="str">
        <f>IFERROR(__xludf.DUMMYFUNCTION("GOOGLETRANSLATE(B17857, ""es"", ""en"")"),"MARAVILLA came super tightly closed. When I asked other online products have reached me shedder for lack of security in the packaging, but this has been perfect. Bring a mini spatula makes it much easier to take the patch. They are very impregnated, pleas"&amp;"ant smells. The feeling to put on the ojera is super good, very fresh. (* Tip: If you keep in the refrigerator because it increases the feeling of cold) do not slip. In the remove the skin is soft and fresh muuuuu. I LOVE.")</f>
        <v>MARAVILLA came super tightly closed. When I asked other online products have reached me shedder for lack of security in the packaging, but this has been perfect. Bring a mini spatula makes it much easier to take the patch. They are very impregnated, pleasant smells. The feeling to put on the ojera is super good, very fresh. (* Tip: If you keep in the refrigerator because it increases the feeling of cold) do not slip. In the remove the skin is soft and fresh muuuuu. I LOVE.</v>
      </c>
    </row>
    <row r="17858">
      <c r="A17858" s="1">
        <v>5.0</v>
      </c>
      <c r="B17858" s="1" t="s">
        <v>17688</v>
      </c>
      <c r="C17858" t="str">
        <f>IFERROR(__xludf.DUMMYFUNCTION("GOOGLETRANSLATE(B17858, ""es"", ""en"")"),"Good brand I bought a month now and really happy with the result makes, comfortable grip and pabellon Contento well with purchase")</f>
        <v>Good brand I bought a month now and really happy with the result makes, comfortable grip and pabellon Contento well with purchase</v>
      </c>
    </row>
    <row r="17859">
      <c r="A17859" s="1">
        <v>2.0</v>
      </c>
      <c r="B17859" s="1" t="s">
        <v>17689</v>
      </c>
      <c r="C17859" t="str">
        <f>IFERROR(__xludf.DUMMYFUNCTION("GOOGLETRANSLATE(B17859, ""es"", ""en"")"),"Afternoon opinion, but well")</f>
        <v>Afternoon opinion, but well</v>
      </c>
    </row>
    <row r="17860">
      <c r="A17860" s="1">
        <v>3.0</v>
      </c>
      <c r="B17860" s="1" t="s">
        <v>17690</v>
      </c>
      <c r="C17860" t="str">
        <f>IFERROR(__xludf.DUMMYFUNCTION("GOOGLETRANSLATE(B17860, ""es"", ""en"")"),"Cushioning. improved durability. Saucony shoes good on line (US designed and manufactured actually in Southeast Asia). Its strong point is the wide width and damping based on its Everun technology that lets you run long distances to heavy runners (89 kg i"&amp;"n my case) without being knees, hips and ankles in the process. The weak point is that as other users, including me has happened to me appears torn the inside of the fabric of the heel from the 250 ms.")</f>
        <v>Cushioning. improved durability. Saucony shoes good on line (US designed and manufactured actually in Southeast Asia). Its strong point is the wide width and damping based on its Everun technology that lets you run long distances to heavy runners (89 kg in my case) without being knees, hips and ankles in the process. The weak point is that as other users, including me has happened to me appears torn the inside of the fabric of the heel from the 250 ms.</v>
      </c>
    </row>
    <row r="17861">
      <c r="A17861" s="1">
        <v>3.0</v>
      </c>
      <c r="B17861" s="1" t="s">
        <v>17691</v>
      </c>
      <c r="C17861" t="str">
        <f>IFERROR(__xludf.DUMMYFUNCTION("GOOGLETRANSLATE(B17861, ""es"", ""en"")"),"No instruction comes without instructions and is not very intuitive as are the different parts. The splashguard system does not work directly (splashes from the sides, even including using the container)")</f>
        <v>No instruction comes without instructions and is not very intuitive as are the different parts. The splashguard system does not work directly (splashes from the sides, even including using the container)</v>
      </c>
    </row>
    <row r="17862">
      <c r="A17862" s="1">
        <v>1.0</v>
      </c>
      <c r="B17862" s="1" t="s">
        <v>17692</v>
      </c>
      <c r="C17862" t="str">
        <f>IFERROR(__xludf.DUMMYFUNCTION("GOOGLETRANSLATE(B17862, ""es"", ""en"")"),"Disappointment. Aesthetically it looks original, but not a recommended purchase. After less than two weeks of use you were stains on the inside, despite being used only in the shower. I had the original long ago and lasted me years.")</f>
        <v>Disappointment. Aesthetically it looks original, but not a recommended purchase. After less than two weeks of use you were stains on the inside, despite being used only in the shower. I had the original long ago and lasted me years.</v>
      </c>
    </row>
    <row r="17863">
      <c r="A17863" s="1">
        <v>1.0</v>
      </c>
      <c r="B17863" s="1" t="s">
        <v>17693</v>
      </c>
      <c r="C17863" t="str">
        <f>IFERROR(__xludf.DUMMYFUNCTION("GOOGLETRANSLATE(B17863, ""es"", ""en"")"),"Only works one works one, I'll have to return it. I get the feeling that they are the same that were returned by other users and not just withdraw from the sales network.")</f>
        <v>Only works one works one, I'll have to return it. I get the feeling that they are the same that were returned by other users and not just withdraw from the sales network.</v>
      </c>
    </row>
    <row r="17864">
      <c r="A17864" s="1">
        <v>4.0</v>
      </c>
      <c r="B17864" s="1" t="s">
        <v>17694</v>
      </c>
      <c r="C17864" t="str">
        <f>IFERROR(__xludf.DUMMYFUNCTION("GOOGLETRANSLATE(B17864, ""es"", ""en"")"),"A good little robot kitchen robot kitchen, perfect for cuts and scratches of everyday products, size is not very big and is very easy to clean and install the blades")</f>
        <v>A good little robot kitchen robot kitchen, perfect for cuts and scratches of everyday products, size is not very big and is very easy to clean and install the blades</v>
      </c>
    </row>
    <row r="17865">
      <c r="A17865" s="1">
        <v>4.0</v>
      </c>
      <c r="B17865" s="1" t="s">
        <v>17695</v>
      </c>
      <c r="C17865" t="str">
        <f>IFERROR(__xludf.DUMMYFUNCTION("GOOGLETRANSLATE(B17865, ""es"", ""en"")"),"Recommended fit many folios per case and I love, I have several even of the same color")</f>
        <v>Recommended fit many folios per case and I love, I have several even of the same color</v>
      </c>
    </row>
    <row r="17866">
      <c r="A17866" s="1">
        <v>4.0</v>
      </c>
      <c r="B17866" s="1" t="s">
        <v>17696</v>
      </c>
      <c r="C17866" t="str">
        <f>IFERROR(__xludf.DUMMYFUNCTION("GOOGLETRANSLATE(B17866, ""es"", ""en"")"),"good product all right")</f>
        <v>good product all right</v>
      </c>
    </row>
    <row r="17867">
      <c r="A17867" s="1">
        <v>4.0</v>
      </c>
      <c r="B17867" s="1" t="s">
        <v>17697</v>
      </c>
      <c r="C17867" t="str">
        <f>IFERROR(__xludf.DUMMYFUNCTION("GOOGLETRANSLATE(B17867, ""es"", ""en"")"),"32 GB micro SD card comes in a package with the adapter. I had several of the same manufacturer as external storage mobile and have never given me any problems.")</f>
        <v>32 GB micro SD card comes in a package with the adapter. I had several of the same manufacturer as external storage mobile and have never given me any problems.</v>
      </c>
    </row>
    <row r="17868">
      <c r="A17868" s="1">
        <v>4.0</v>
      </c>
      <c r="B17868" s="1" t="s">
        <v>17698</v>
      </c>
      <c r="C17868" t="str">
        <f>IFERROR(__xludf.DUMMYFUNCTION("GOOGLETRANSLATE(B17868, ""es"", ""en"")"),"CE Quality Plus 1 degreaser is amazing. I use it by mixing with water and put in the instructions and leave me the house squeaky clean grease and dirt. I recommend it")</f>
        <v>CE Quality Plus 1 degreaser is amazing. I use it by mixing with water and put in the instructions and leave me the house squeaky clean grease and dirt. I recommend it</v>
      </c>
    </row>
    <row r="17869">
      <c r="A17869" s="1">
        <v>5.0</v>
      </c>
      <c r="B17869" s="1" t="s">
        <v>17699</v>
      </c>
      <c r="C17869" t="str">
        <f>IFERROR(__xludf.DUMMYFUNCTION("GOOGLETRANSLATE(B17869, ""es"", ""en"")"),"Very good fun for teens")</f>
        <v>Very good fun for teens</v>
      </c>
    </row>
    <row r="17870">
      <c r="A17870" s="1">
        <v>5.0</v>
      </c>
      <c r="B17870" s="1" t="s">
        <v>17700</v>
      </c>
      <c r="C17870" t="str">
        <f>IFERROR(__xludf.DUMMYFUNCTION("GOOGLETRANSLATE(B17870, ""es"", ""en"")"),"What what you were looking APPROPRIATE")</f>
        <v>What what you were looking APPROPRIATE</v>
      </c>
    </row>
    <row r="17871">
      <c r="A17871" s="1">
        <v>5.0</v>
      </c>
      <c r="B17871" s="1" t="s">
        <v>17701</v>
      </c>
      <c r="C17871" t="str">
        <f>IFERROR(__xludf.DUMMYFUNCTION("GOOGLETRANSLATE(B17871, ""es"", ""en"")"),"Perfect for children and adults was a wise move to have my child entertained on those rainy days. day singing with different voices you can do through it is passed. As it is described. Perfect.")</f>
        <v>Perfect for children and adults was a wise move to have my child entertained on those rainy days. day singing with different voices you can do through it is passed. As it is described. Perfect.</v>
      </c>
    </row>
    <row r="17872">
      <c r="A17872" s="1">
        <v>5.0</v>
      </c>
      <c r="B17872" s="1" t="s">
        <v>17702</v>
      </c>
      <c r="C17872" t="str">
        <f>IFERROR(__xludf.DUMMYFUNCTION("GOOGLETRANSLATE(B17872, ""es"", ""en"")"),"Very large I value positive product aspects of quality that receives the touch, the larger than normal size, or that I've had, that covering such a large part of the back gives a very good feeling heat and alleviates I have quite a contracture. I am very "&amp;"pleased with purchase")</f>
        <v>Very large I value positive product aspects of quality that receives the touch, the larger than normal size, or that I've had, that covering such a large part of the back gives a very good feeling heat and alleviates I have quite a contracture. I am very pleased with purchase</v>
      </c>
    </row>
    <row r="17873">
      <c r="A17873" s="1">
        <v>5.0</v>
      </c>
      <c r="B17873" s="1" t="s">
        <v>17703</v>
      </c>
      <c r="C17873" t="str">
        <f>IFERROR(__xludf.DUMMYFUNCTION("GOOGLETRANSLATE(B17873, ""es"", ""en"")"),"Perfect perfect, they are cute and comfortable. The waist is necessary, as indicated in the table of measures. No slip and have good damping two essential things in volleyball shoes.")</f>
        <v>Perfect perfect, they are cute and comfortable. The waist is necessary, as indicated in the table of measures. No slip and have good damping two essential things in volleyball shoes.</v>
      </c>
    </row>
    <row r="17874">
      <c r="A17874" s="1">
        <v>5.0</v>
      </c>
      <c r="B17874" s="1" t="s">
        <v>17704</v>
      </c>
      <c r="C17874" t="str">
        <f>IFERROR(__xludf.DUMMYFUNCTION("GOOGLETRANSLATE(B17874, ""es"", ""en"")"),"He ran all good merchandise TOP")</f>
        <v>He ran all good merchandise TOP</v>
      </c>
    </row>
    <row r="17875">
      <c r="A17875" s="1">
        <v>5.0</v>
      </c>
      <c r="B17875" s="1" t="s">
        <v>17705</v>
      </c>
      <c r="C17875" t="str">
        <f>IFERROR(__xludf.DUMMYFUNCTION("GOOGLETRANSLATE(B17875, ""es"", ""en"")"),"Briefcase great! I bought it for work (insurance) and perfectly holds all the daily movement, the fabric is durable and light rain holds without stalling inside (with stronger rain have not tried it ... never will) Ultimately I put 5 stars because the qua"&amp;"lity price is unbeatable in my opinion.")</f>
        <v>Briefcase great! I bought it for work (insurance) and perfectly holds all the daily movement, the fabric is durable and light rain holds without stalling inside (with stronger rain have not tried it ... never will) Ultimately I put 5 stars because the quality price is unbeatable in my opinion.</v>
      </c>
    </row>
    <row r="17876">
      <c r="A17876" s="1">
        <v>5.0</v>
      </c>
      <c r="B17876" s="1" t="s">
        <v>17706</v>
      </c>
      <c r="C17876" t="str">
        <f>IFERROR(__xludf.DUMMYFUNCTION("GOOGLETRANSLATE(B17876, ""es"", ""en"")"),"Your perfect leathers always new")</f>
        <v>Your perfect leathers always new</v>
      </c>
    </row>
    <row r="17877">
      <c r="A17877" s="1">
        <v>5.0</v>
      </c>
      <c r="B17877" s="1" t="s">
        <v>17707</v>
      </c>
      <c r="C17877" t="str">
        <f>IFERROR(__xludf.DUMMYFUNCTION("GOOGLETRANSLATE(B17877, ""es"", ""en"")"),"The perfect shoe quality, arrived on time")</f>
        <v>The perfect shoe quality, arrived on time</v>
      </c>
    </row>
    <row r="17878">
      <c r="A17878" s="1">
        <v>5.0</v>
      </c>
      <c r="B17878" s="1" t="s">
        <v>17708</v>
      </c>
      <c r="C17878" t="str">
        <f>IFERROR(__xludf.DUMMYFUNCTION("GOOGLETRANSLATE(B17878, ""es"", ""en"")"),"Just what I expected Very good product")</f>
        <v>Just what I expected Very good product</v>
      </c>
    </row>
    <row r="17879">
      <c r="A17879" s="1">
        <v>5.0</v>
      </c>
      <c r="B17879" s="1" t="s">
        <v>17709</v>
      </c>
      <c r="C17879" t="str">
        <f>IFERROR(__xludf.DUMMYFUNCTION("GOOGLETRANSLATE(B17879, ""es"", ""en"")"),"perfect perfect")</f>
        <v>perfect perfect</v>
      </c>
    </row>
    <row r="17880">
      <c r="A17880" s="1">
        <v>5.0</v>
      </c>
      <c r="B17880" s="1" t="s">
        <v>17710</v>
      </c>
      <c r="C17880" t="str">
        <f>IFERROR(__xludf.DUMMYFUNCTION("GOOGLETRANSLATE(B17880, ""es"", ""en"")"),"Excellent quality and usability microphone has excellent sound quality. It works with any computer, mobile and even cameras. The measurement of the cable is considerably longer and thus increases the ease of use. The adapters allow use on any device and a"&amp;"ttach metal clip anywhere on clothing. Perfect for interviews. It includes storage bag.")</f>
        <v>Excellent quality and usability microphone has excellent sound quality. It works with any computer, mobile and even cameras. The measurement of the cable is considerably longer and thus increases the ease of use. The adapters allow use on any device and attach metal clip anywhere on clothing. Perfect for interviews. It includes storage bag.</v>
      </c>
    </row>
    <row r="17881">
      <c r="A17881" s="1">
        <v>5.0</v>
      </c>
      <c r="B17881" s="1" t="s">
        <v>17711</v>
      </c>
      <c r="C17881" t="str">
        <f>IFERROR(__xludf.DUMMYFUNCTION("GOOGLETRANSLATE(B17881, ""es"", ""en"")"),"Llego excellent and very well finished. A little big 39 European. I am 39 todosos shoes in Spain but this I stay pretty big, I think q 38 or 38.5 would have been perfect. Immediately contactarin me to give me a solution. I recommend 100x100")</f>
        <v>Llego excellent and very well finished. A little big 39 European. I am 39 todosos shoes in Spain but this I stay pretty big, I think q 38 or 38.5 would have been perfect. Immediately contactarin me to give me a solution. I recommend 100x100</v>
      </c>
    </row>
    <row r="17882">
      <c r="A17882" s="1">
        <v>5.0</v>
      </c>
      <c r="B17882" s="1" t="s">
        <v>17712</v>
      </c>
      <c r="C17882" t="str">
        <f>IFERROR(__xludf.DUMMYFUNCTION("GOOGLETRANSLATE(B17882, ""es"", ""en"")"),"Perfect needed to revive a notebook of 11 years with an SSD without spending too much money. This album is perfect for that. There are faster disks, but if you have a Core Duo processor not worth investing much more. My Win 7 Home now we start in 15 secon"&amp;"ds and is much more fluid. I recommend doing a clean install and not clone the old disk. In my case I used the Rufus tool to create a pendrive installer (need the installation ISO) as my Windows 7 disk installer no longer read the player who is not alread"&amp;"y thin myt. Once installed the few applications that I need 75GB are still free, more than enough. Once installed everything I've done a backup in case you ever have to use it.")</f>
        <v>Perfect needed to revive a notebook of 11 years with an SSD without spending too much money. This album is perfect for that. There are faster disks, but if you have a Core Duo processor not worth investing much more. My Win 7 Home now we start in 15 seconds and is much more fluid. I recommend doing a clean install and not clone the old disk. In my case I used the Rufus tool to create a pendrive installer (need the installation ISO) as my Windows 7 disk installer no longer read the player who is not already thin myt. Once installed the few applications that I need 75GB are still free, more than enough. Once installed everything I've done a backup in case you ever have to use it.</v>
      </c>
    </row>
    <row r="17883">
      <c r="A17883" s="1">
        <v>5.0</v>
      </c>
      <c r="B17883" s="1" t="s">
        <v>17713</v>
      </c>
      <c r="C17883" t="str">
        <f>IFERROR(__xludf.DUMMYFUNCTION("GOOGLETRANSLATE(B17883, ""es"", ""en"")"),"Very fast. Really notice, but it can be difficult to clone. 480GB SSD, good capacity. It goes very very fast, loading the S.O. (14 seconds w10), ripping programs (almost instantly) and turning off the notebook (just 10SG). It is physically very easy to in"&amp;"stall, but if you have to clone a disk (OS) this may not be as easy as cloning and change one another. Make sure to have someone who understands BIOS settings, etc. Cloning programs in their basic versions have limited options. Ideally, the ssd is mine cl"&amp;"oning capacity or higher. If it is smaller, the thing is complicated by what I said the software ""free"".")</f>
        <v>Very fast. Really notice, but it can be difficult to clone. 480GB SSD, good capacity. It goes very very fast, loading the S.O. (14 seconds w10), ripping programs (almost instantly) and turning off the notebook (just 10SG). It is physically very easy to install, but if you have to clone a disk (OS) this may not be as easy as cloning and change one another. Make sure to have someone who understands BIOS settings, etc. Cloning programs in their basic versions have limited options. Ideally, the ssd is mine cloning capacity or higher. If it is smaller, the thing is complicated by what I said the software "free".</v>
      </c>
    </row>
    <row r="17884">
      <c r="A17884" s="1">
        <v>5.0</v>
      </c>
      <c r="B17884" s="1" t="s">
        <v>17714</v>
      </c>
      <c r="C17884" t="str">
        <f>IFERROR(__xludf.DUMMYFUNCTION("GOOGLETRANSLATE(B17884, ""es"", ""en"")"),"Raconable excellent price to a mixer powerful, with good, good quality, very durable and extremely easy to clean. I just do not understand is that the ""0dB"", because it makes the noise they make all these juicers, logically (I guess it will be a mistran"&amp;"slation). Obviously, from 0 decibels anything ... Very fast delivery and proper packaging. Highly recommended.")</f>
        <v>Raconable excellent price to a mixer powerful, with good, good quality, very durable and extremely easy to clean. I just do not understand is that the "0dB", because it makes the noise they make all these juicers, logically (I guess it will be a mistranslation). Obviously, from 0 decibels anything ... Very fast delivery and proper packaging. Highly recommended.</v>
      </c>
    </row>
    <row r="17885">
      <c r="A17885" s="1">
        <v>5.0</v>
      </c>
      <c r="B17885" s="1" t="s">
        <v>17715</v>
      </c>
      <c r="C17885" t="str">
        <f>IFERROR(__xludf.DUMMYFUNCTION("GOOGLETRANSLATE(B17885, ""es"", ""en"")"),"I never tried very cool colors and my daughter and I are delighted !!")</f>
        <v>I never tried very cool colors and my daughter and I are delighted !!</v>
      </c>
    </row>
    <row r="17886">
      <c r="A17886" s="1">
        <v>5.0</v>
      </c>
      <c r="B17886" s="1" t="s">
        <v>17716</v>
      </c>
      <c r="C17886" t="str">
        <f>IFERROR(__xludf.DUMMYFUNCTION("GOOGLETRANSLATE(B17886, ""es"", ""en"")"),"Fantastic Great price for a very good product")</f>
        <v>Fantastic Great price for a very good product</v>
      </c>
    </row>
    <row r="17887">
      <c r="A17887" s="1">
        <v>2.0</v>
      </c>
      <c r="B17887" s="1" t="s">
        <v>42</v>
      </c>
      <c r="C17887" t="str">
        <f>IFERROR(__xludf.DUMMYFUNCTION("GOOGLETRANSLATE(B17887, ""es"", ""en"")"),"Well well")</f>
        <v>Well well</v>
      </c>
    </row>
    <row r="17888">
      <c r="A17888" s="1">
        <v>3.0</v>
      </c>
      <c r="B17888" s="1" t="s">
        <v>17717</v>
      </c>
      <c r="C17888" t="str">
        <f>IFERROR(__xludf.DUMMYFUNCTION("GOOGLETRANSLATE(B17888, ""es"", ""en"")"),"The halo of light is not well managed Probably a second version of the device improves the halo of light that is poorly defined and not be what it promises. The idea is good, the execution fails. Now I would not buy nor recommend.")</f>
        <v>The halo of light is not well managed Probably a second version of the device improves the halo of light that is poorly defined and not be what it promises. The idea is good, the execution fails. Now I would not buy nor recommend.</v>
      </c>
    </row>
    <row r="17889">
      <c r="A17889" s="1">
        <v>3.0</v>
      </c>
      <c r="B17889" s="1" t="s">
        <v>17718</v>
      </c>
      <c r="C17889" t="str">
        <f>IFERROR(__xludf.DUMMYFUNCTION("GOOGLETRANSLATE(B17889, ""es"", ""en"")"),"Quality leather I liked the quality of the materials, the size it is. I did not like zippers, I think shortly begin to fail.")</f>
        <v>Quality leather I liked the quality of the materials, the size it is. I did not like zippers, I think shortly begin to fail.</v>
      </c>
    </row>
    <row r="17890">
      <c r="A17890" s="1">
        <v>1.0</v>
      </c>
      <c r="B17890" s="1" t="s">
        <v>17719</v>
      </c>
      <c r="C17890" t="str">
        <f>IFERROR(__xludf.DUMMYFUNCTION("GOOGLETRANSLATE(B17890, ""es"", ""en"")"),"Disappointed A boat was completely empty. Disappointed.")</f>
        <v>Disappointed A boat was completely empty. Disappointed.</v>
      </c>
    </row>
    <row r="17891">
      <c r="A17891" s="1">
        <v>1.0</v>
      </c>
      <c r="B17891" s="1" t="s">
        <v>17720</v>
      </c>
      <c r="C17891" t="str">
        <f>IFERROR(__xludf.DUMMYFUNCTION("GOOGLETRANSLATE(B17891, ""es"", ""en"")"),"Malaroma I do not like smells only orange")</f>
        <v>Malaroma I do not like smells only orange</v>
      </c>
    </row>
    <row r="17892">
      <c r="A17892" s="1">
        <v>4.0</v>
      </c>
      <c r="B17892" s="1" t="s">
        <v>17721</v>
      </c>
      <c r="C17892" t="str">
        <f>IFERROR(__xludf.DUMMYFUNCTION("GOOGLETRANSLATE(B17892, ""es"", ""en"")"),"Good price to do the same as other much more expensive Among seeking Pranamat but I was surprised high price so I decided to try the ""Amazon's choice"" was this. The truth is that it meets all its promises, the only bad thing is that one of the circles s"&amp;"tuck bad wine, off-grid. Recommendable!")</f>
        <v>Good price to do the same as other much more expensive Among seeking Pranamat but I was surprised high price so I decided to try the "Amazon's choice" was this. The truth is that it meets all its promises, the only bad thing is that one of the circles stuck bad wine, off-grid. Recommendable!</v>
      </c>
    </row>
    <row r="17893">
      <c r="A17893" s="1">
        <v>4.0</v>
      </c>
      <c r="B17893" s="1" t="s">
        <v>17722</v>
      </c>
      <c r="C17893" t="str">
        <f>IFERROR(__xludf.DUMMYFUNCTION("GOOGLETRANSLATE(B17893, ""es"", ""en"")"),"Maria earrings have reached the next day if any pedido.Muy tightly wrapped. They are very nice, do not give allergy, today have released for an event and spent the whole day with them and I felt very comfortable. The size is approximately 1 cm, which is t"&amp;"he silver and then the diamantito. They feel very well, very fine")</f>
        <v>Maria earrings have reached the next day if any pedido.Muy tightly wrapped. They are very nice, do not give allergy, today have released for an event and spent the whole day with them and I felt very comfortable. The size is approximately 1 cm, which is the silver and then the diamantito. They feel very well, very fine</v>
      </c>
    </row>
    <row r="17894">
      <c r="A17894" s="1">
        <v>4.0</v>
      </c>
      <c r="B17894" s="1" t="s">
        <v>17723</v>
      </c>
      <c r="C17894" t="str">
        <f>IFERROR(__xludf.DUMMYFUNCTION("GOOGLETRANSLATE(B17894, ""es"", ""en"")"),"Not recommended change my opinion! The blender has lasted me two months .... is broken / cast a plastic part of the mixer and no longer works, and worst of all service says that the warranty does not cover it. I think so fatal a known brand and good quali"&amp;"ty in most of its articles do not cover the guarantee of the mixer and lasted me two months with normal use, to crush cooked purees and vegetables.")</f>
        <v>Not recommended change my opinion! The blender has lasted me two months .... is broken / cast a plastic part of the mixer and no longer works, and worst of all service says that the warranty does not cover it. I think so fatal a known brand and good quality in most of its articles do not cover the guarantee of the mixer and lasted me two months with normal use, to crush cooked purees and vegetables.</v>
      </c>
    </row>
    <row r="17895">
      <c r="A17895" s="1">
        <v>4.0</v>
      </c>
      <c r="B17895" s="1" t="s">
        <v>17724</v>
      </c>
      <c r="C17895" t="str">
        <f>IFERROR(__xludf.DUMMYFUNCTION("GOOGLETRANSLATE(B17895, ""es"", ""en"")"),"The bag is pretty big boy and appears to have good materials and seams. I bought this product to carry much equipment to draw out, wipes, computer things like headphones, flash drives, also keys, medical papers and bag holds quite well that and I catch al"&amp;"most every time I go out. To give you an initial hits, it's a pain to pass the main belt, right where you have the main pocket, you do have to withdraw it and is somewhat cumbersome, in addition to not having handle what you have to catch where you can, t"&amp;"o pick it up and bring it to the table or you go to leave, as the midpoint in favor, grab a side strap and you can catch it as if it had a handle. Another thing is that you can use with half the length of the belt and I have the distance. The worst part i"&amp;"s that a deteriorated rubbing, right where you have gotten a metal case, are you gone something the color of the skin and do not know if that is good throughout, with quality leather, alleged mind. (With use less than 2 months)")</f>
        <v>The bag is pretty big boy and appears to have good materials and seams. I bought this product to carry much equipment to draw out, wipes, computer things like headphones, flash drives, also keys, medical papers and bag holds quite well that and I catch almost every time I go out. To give you an initial hits, it's a pain to pass the main belt, right where you have the main pocket, you do have to withdraw it and is somewhat cumbersome, in addition to not having handle what you have to catch where you can, to pick it up and bring it to the table or you go to leave, as the midpoint in favor, grab a side strap and you can catch it as if it had a handle. Another thing is that you can use with half the length of the belt and I have the distance. The worst part is that a deteriorated rubbing, right where you have gotten a metal case, are you gone something the color of the skin and do not know if that is good throughout, with quality leather, alleged mind. (With use less than 2 months)</v>
      </c>
    </row>
    <row r="17896">
      <c r="A17896" s="1">
        <v>5.0</v>
      </c>
      <c r="B17896" s="1" t="s">
        <v>17725</v>
      </c>
      <c r="C17896" t="str">
        <f>IFERROR(__xludf.DUMMYFUNCTION("GOOGLETRANSLATE(B17896, ""es"", ""en"")"),"Great quality and super beautiful color.")</f>
        <v>Great quality and super beautiful color.</v>
      </c>
    </row>
    <row r="17897">
      <c r="A17897" s="1">
        <v>5.0</v>
      </c>
      <c r="B17897" s="1" t="s">
        <v>17726</v>
      </c>
      <c r="C17897" t="str">
        <f>IFERROR(__xludf.DUMMYFUNCTION("GOOGLETRANSLATE(B17897, ""es"", ""en"")"),"Laura The sleeves are fine and the plastic is thick so they are not typical that covers all shrivel. Satisfied with the purchase.")</f>
        <v>Laura The sleeves are fine and the plastic is thick so they are not typical that covers all shrivel. Satisfied with the purchase.</v>
      </c>
    </row>
    <row r="17898">
      <c r="A17898" s="1">
        <v>5.0</v>
      </c>
      <c r="B17898" s="1" t="s">
        <v>680</v>
      </c>
      <c r="C17898" t="str">
        <f>IFERROR(__xludf.DUMMYFUNCTION("GOOGLETRANSLATE(B17898, ""es"", ""en"")"),"Good good")</f>
        <v>Good good</v>
      </c>
    </row>
    <row r="17899">
      <c r="A17899" s="1">
        <v>5.0</v>
      </c>
      <c r="B17899" s="1" t="s">
        <v>17727</v>
      </c>
      <c r="C17899" t="str">
        <f>IFERROR(__xludf.DUMMYFUNCTION("GOOGLETRANSLATE(B17899, ""es"", ""en"")"),"Fast and efficient heats water in less than 2 minutes, ideal for water bottle, itself off when it has heated the water")</f>
        <v>Fast and efficient heats water in less than 2 minutes, ideal for water bottle, itself off when it has heated the water</v>
      </c>
    </row>
    <row r="17900">
      <c r="A17900" s="1">
        <v>5.0</v>
      </c>
      <c r="B17900" s="1" t="s">
        <v>17728</v>
      </c>
      <c r="C17900" t="str">
        <f>IFERROR(__xludf.DUMMYFUNCTION("GOOGLETRANSLATE(B17900, ""es"", ""en"")"),"warm, soft and comfortable fabric of this thermal clothing is very soft and comfortable, I thought it would not be enough because it seemed thin, but it was an excellent choice. Keeps you warm and comfortable to use all day")</f>
        <v>warm, soft and comfortable fabric of this thermal clothing is very soft and comfortable, I thought it would not be enough because it seemed thin, but it was an excellent choice. Keeps you warm and comfortable to use all day</v>
      </c>
    </row>
    <row r="17901">
      <c r="A17901" s="1">
        <v>5.0</v>
      </c>
      <c r="B17901" s="1" t="s">
        <v>17729</v>
      </c>
      <c r="C17901" t="str">
        <f>IFERROR(__xludf.DUMMYFUNCTION("GOOGLETRANSLATE(B17901, ""es"", ""en"")"),"I am delighted great success, super comfortable and fast and above me I can take to make me work my smoothies. You take her bottle, wash it and you have water bottle all day")</f>
        <v>I am delighted great success, super comfortable and fast and above me I can take to make me work my smoothies. You take her bottle, wash it and you have water bottle all day</v>
      </c>
    </row>
    <row r="17902">
      <c r="A17902" s="1">
        <v>5.0</v>
      </c>
      <c r="B17902" s="1" t="s">
        <v>17730</v>
      </c>
      <c r="C17902" t="str">
        <f>IFERROR(__xludf.DUMMYFUNCTION("GOOGLETRANSLATE(B17902, ""es"", ""en"")"),"Good nice and cheap I arrived today, super fast because I ordered on Friday, phenomenal works so far never thought at that price would have items so good")</f>
        <v>Good nice and cheap I arrived today, super fast because I ordered on Friday, phenomenal works so far never thought at that price would have items so good</v>
      </c>
    </row>
    <row r="17903">
      <c r="A17903" s="1">
        <v>5.0</v>
      </c>
      <c r="B17903" s="1" t="s">
        <v>17731</v>
      </c>
      <c r="C17903" t="str">
        <f>IFERROR(__xludf.DUMMYFUNCTION("GOOGLETRANSLATE(B17903, ""es"", ""en"")"),"Good quality and value. Headphones and nozzle quality.")</f>
        <v>Good quality and value. Headphones and nozzle quality.</v>
      </c>
    </row>
    <row r="17904">
      <c r="A17904" s="1">
        <v>5.0</v>
      </c>
      <c r="B17904" s="1" t="s">
        <v>17732</v>
      </c>
      <c r="C17904" t="str">
        <f>IFERROR(__xludf.DUMMYFUNCTION("GOOGLETRANSLATE(B17904, ""es"", ""en"")"),"Perfectly fulfills its function We looked for a magnetic board and this model fulfills its function fantastically. We doubted between another of the same brand that was a little more expensive, but writing to the brand they said it was the same model ... "&amp;"So when buying a blackboard keep that in mind and I will spare yourselves a few euros. Otherwise, all good!")</f>
        <v>Perfectly fulfills its function We looked for a magnetic board and this model fulfills its function fantastically. We doubted between another of the same brand that was a little more expensive, but writing to the brand they said it was the same model ... So when buying a blackboard keep that in mind and I will spare yourselves a few euros. Otherwise, all good!</v>
      </c>
    </row>
    <row r="17905">
      <c r="A17905" s="1">
        <v>5.0</v>
      </c>
      <c r="B17905" s="1" t="s">
        <v>17733</v>
      </c>
      <c r="C17905" t="str">
        <f>IFERROR(__xludf.DUMMYFUNCTION("GOOGLETRANSLATE(B17905, ""es"", ""en"")"),"Nice, very comfortable and quality are perfectly suited to the foot. Sole thick enough not to notice the stones. Very comfortable and beautiful. Highly recommended.")</f>
        <v>Nice, very comfortable and quality are perfectly suited to the foot. Sole thick enough not to notice the stones. Very comfortable and beautiful. Highly recommended.</v>
      </c>
    </row>
    <row r="17906">
      <c r="A17906" s="1">
        <v>5.0</v>
      </c>
      <c r="B17906" s="1" t="s">
        <v>17734</v>
      </c>
      <c r="C17906" t="str">
        <f>IFERROR(__xludf.DUMMYFUNCTION("GOOGLETRANSLATE(B17906, ""es"", ""en"")"),"Everything OK Everything OK")</f>
        <v>Everything OK Everything OK</v>
      </c>
    </row>
    <row r="17907">
      <c r="A17907" s="1">
        <v>5.0</v>
      </c>
      <c r="B17907" s="1" t="s">
        <v>17735</v>
      </c>
      <c r="C17907" t="str">
        <f>IFERROR(__xludf.DUMMYFUNCTION("GOOGLETRANSLATE(B17907, ""es"", ""en"")"),"Jose very good watch, I have over two years and it works perfectly, I use it to dive and no problem is of very good quality, the strap is very durable and shows no signs of deterioration. I am very satisfied with this purchase")</f>
        <v>Jose very good watch, I have over two years and it works perfectly, I use it to dive and no problem is of very good quality, the strap is very durable and shows no signs of deterioration. I am very satisfied with this purchase</v>
      </c>
    </row>
    <row r="17908">
      <c r="A17908" s="1">
        <v>5.0</v>
      </c>
      <c r="B17908" s="1" t="s">
        <v>17736</v>
      </c>
      <c r="C17908" t="str">
        <f>IFERROR(__xludf.DUMMYFUNCTION("GOOGLETRANSLATE(B17908, ""es"", ""en"")"),"All ok fulfill their function perfectly")</f>
        <v>All ok fulfill their function perfectly</v>
      </c>
    </row>
    <row r="17909">
      <c r="A17909" s="1">
        <v>5.0</v>
      </c>
      <c r="B17909" s="1" t="s">
        <v>17737</v>
      </c>
      <c r="C17909" t="str">
        <f>IFERROR(__xludf.DUMMYFUNCTION("GOOGLETRANSLATE(B17909, ""es"", ""en"")"),"It was expected just what I expected")</f>
        <v>It was expected just what I expected</v>
      </c>
    </row>
    <row r="17910">
      <c r="A17910" s="1">
        <v>5.0</v>
      </c>
      <c r="B17910" s="1" t="s">
        <v>17738</v>
      </c>
      <c r="C17910" t="str">
        <f>IFERROR(__xludf.DUMMYFUNCTION("GOOGLETRANSLATE(B17910, ""es"", ""en"")"),"MEETS EXPECTATIONS is a hard drive, not much more to say, but cost nothing to install, works perfectly and took months to use it without any problem, others came very fast. Very happy with the purchase.")</f>
        <v>MEETS EXPECTATIONS is a hard drive, not much more to say, but cost nothing to install, works perfectly and took months to use it without any problem, others came very fast. Very happy with the purchase.</v>
      </c>
    </row>
    <row r="17911">
      <c r="A17911" s="1">
        <v>5.0</v>
      </c>
      <c r="B17911" s="1" t="s">
        <v>17739</v>
      </c>
      <c r="C17911" t="str">
        <f>IFERROR(__xludf.DUMMYFUNCTION("GOOGLETRANSLATE(B17911, ""es"", ""en"")"),"Perfect for running and Gym camiste very good, especially if you buy with good price. Gym and suitable for outdoor, camiste remains dry at all times. Very good quality. I wear M and S buy because they saw a large the model, but both sizes are fine if you "&amp;"usually wear a M.")</f>
        <v>Perfect for running and Gym camiste very good, especially if you buy with good price. Gym and suitable for outdoor, camiste remains dry at all times. Very good quality. I wear M and S buy because they saw a large the model, but both sizes are fine if you usually wear a M.</v>
      </c>
    </row>
    <row r="17912">
      <c r="A17912" s="1">
        <v>5.0</v>
      </c>
      <c r="B17912" s="1" t="s">
        <v>17740</v>
      </c>
      <c r="C17912" t="str">
        <f>IFERROR(__xludf.DUMMYFUNCTION("GOOGLETRANSLATE(B17912, ""es"", ""en"")"),"Skechers Originals OG 85 Goldn Gurl If you've tried in the store previously, you will not have any problems.")</f>
        <v>Skechers Originals OG 85 Goldn Gurl If you've tried in the store previously, you will not have any problems.</v>
      </c>
    </row>
    <row r="17913">
      <c r="A17913" s="1">
        <v>5.0</v>
      </c>
      <c r="B17913" s="1" t="s">
        <v>17741</v>
      </c>
      <c r="C17913" t="str">
        <f>IFERROR(__xludf.DUMMYFUNCTION("GOOGLETRANSLATE(B17913, ""es"", ""en"")"),"Perfect had one like from about 7 ago - I bought 8 years to take the job and when I ran out the stack decided to replace it just because a button was no longer good of the whole. Watches are comfortable and practically indestructible, guess that's why car"&amp;"ry more than 35 years selling.")</f>
        <v>Perfect had one like from about 7 ago - I bought 8 years to take the job and when I ran out the stack decided to replace it just because a button was no longer good of the whole. Watches are comfortable and practically indestructible, guess that's why carry more than 35 years selling.</v>
      </c>
    </row>
    <row r="17914">
      <c r="A17914" s="1">
        <v>5.0</v>
      </c>
      <c r="B17914" s="1" t="s">
        <v>17742</v>
      </c>
      <c r="C17914" t="str">
        <f>IFERROR(__xludf.DUMMYFUNCTION("GOOGLETRANSLATE(B17914, ""es"", ""en"")"),"Very good sound quality, battery life and comfort. Very good bluetooth headphones, do not fall to the exercise, they are quickly and easily connect to mobile, battery hard enough and also with the charging case can be loaded several times. The esruche is "&amp;"small and does not occupy too. The sound quality is great dem. A product highly recommended.")</f>
        <v>Very good sound quality, battery life and comfort. Very good bluetooth headphones, do not fall to the exercise, they are quickly and easily connect to mobile, battery hard enough and also with the charging case can be loaded several times. The esruche is small and does not occupy too. The sound quality is great dem. A product highly recommended.</v>
      </c>
    </row>
    <row r="17915">
      <c r="A17915" s="1">
        <v>2.0</v>
      </c>
      <c r="B17915" s="1" t="s">
        <v>17743</v>
      </c>
      <c r="C17915" t="str">
        <f>IFERROR(__xludf.DUMMYFUNCTION("GOOGLETRANSLATE(B17915, ""es"", ""en"")"),"You uncomfortable to walk they well finished, as usual NB, but the insole is completely flat, has no minimum bridge or heel elevation and for a person of 70-80 kg is the feeling of sinking into the heels. By the way, they are not properly collected. It is"&amp;" obviously not a shoe for sports; but even to be a casual, I do not look comfortable.")</f>
        <v>You uncomfortable to walk they well finished, as usual NB, but the insole is completely flat, has no minimum bridge or heel elevation and for a person of 70-80 kg is the feeling of sinking into the heels. By the way, they are not properly collected. It is obviously not a shoe for sports; but even to be a casual, I do not look comfortable.</v>
      </c>
    </row>
    <row r="17916">
      <c r="A17916" s="1">
        <v>3.0</v>
      </c>
      <c r="B17916" s="1" t="s">
        <v>17744</v>
      </c>
      <c r="C17916" t="str">
        <f>IFERROR(__xludf.DUMMYFUNCTION("GOOGLETRANSLATE(B17916, ""es"", ""en"")"),"It does not have chemicals for linen you have to take perborate and a few drops of essential oil you like.")</f>
        <v>It does not have chemicals for linen you have to take perborate and a few drops of essential oil you like.</v>
      </c>
    </row>
    <row r="17917">
      <c r="A17917" s="1">
        <v>1.0</v>
      </c>
      <c r="B17917" s="1" t="s">
        <v>17745</v>
      </c>
      <c r="C17917" t="str">
        <f>IFERROR(__xludf.DUMMYFUNCTION("GOOGLETRANSLATE(B17917, ""es"", ""en"")"),"Just not to buy it lasted us two months. It has been used less than 10 times and the machine has been losing power to the point that has stopped working. I do not recommend buying anything for this article.")</f>
        <v>Just not to buy it lasted us two months. It has been used less than 10 times and the machine has been losing power to the point that has stopped working. I do not recommend buying anything for this article.</v>
      </c>
    </row>
    <row r="17918">
      <c r="A17918" s="1">
        <v>1.0</v>
      </c>
      <c r="B17918" s="1" t="s">
        <v>17746</v>
      </c>
      <c r="C17918" t="str">
        <f>IFERROR(__xludf.DUMMYFUNCTION("GOOGLETRANSLATE(B17918, ""es"", ""en"")"),"Mismatch is desemparejaron and left no way to charge it, I had to return")</f>
        <v>Mismatch is desemparejaron and left no way to charge it, I had to return</v>
      </c>
    </row>
    <row r="17919">
      <c r="A17919" s="1">
        <v>4.0</v>
      </c>
      <c r="B17919" s="1" t="s">
        <v>17747</v>
      </c>
      <c r="C17919" t="str">
        <f>IFERROR(__xludf.DUMMYFUNCTION("GOOGLETRANSLATE(B17919, ""es"", ""en"")"),"Energy Beautiful, elegant and well made. I am pleased with this bracelet, I do not always wear clothes according Thanks. a greeting")</f>
        <v>Energy Beautiful, elegant and well made. I am pleased with this bracelet, I do not always wear clothes according Thanks. a greeting</v>
      </c>
    </row>
    <row r="17920">
      <c r="A17920" s="1">
        <v>4.0</v>
      </c>
      <c r="B17920" s="1" t="s">
        <v>17748</v>
      </c>
      <c r="C17920" t="str">
        <f>IFERROR(__xludf.DUMMYFUNCTION("GOOGLETRANSLATE(B17920, ""es"", ""en"")"),"Consistent. It seems good quality and good material good price")</f>
        <v>Consistent. It seems good quality and good material good price</v>
      </c>
    </row>
    <row r="17921">
      <c r="A17921" s="1">
        <v>4.0</v>
      </c>
      <c r="B17921" s="1" t="s">
        <v>17749</v>
      </c>
      <c r="C17921" t="str">
        <f>IFERROR(__xludf.DUMMYFUNCTION("GOOGLETRANSLATE(B17921, ""es"", ""en"")"),"Belt and culotte for training. It is a strip that holds good lumbar and abdominal part. bueno.Bien tissue size. I have used to run and in the gym and the truth is that I felt comfortable with it. I do not bike will result because it has no pads. Maybe wit"&amp;"h a basic culotte above it could also be used for bicycle.")</f>
        <v>Belt and culotte for training. It is a strip that holds good lumbar and abdominal part. bueno.Bien tissue size. I have used to run and in the gym and the truth is that I felt comfortable with it. I do not bike will result because it has no pads. Maybe with a basic culotte above it could also be used for bicycle.</v>
      </c>
    </row>
    <row r="17922">
      <c r="A17922" s="1">
        <v>4.0</v>
      </c>
      <c r="B17922" s="1" t="s">
        <v>17750</v>
      </c>
      <c r="C17922" t="str">
        <f>IFERROR(__xludf.DUMMYFUNCTION("GOOGLETRANSLATE(B17922, ""es"", ""en"")"),"More or less what I expected much help to the vision of small jobs, but the after hours it will hurt the face of the weight of carry.")</f>
        <v>More or less what I expected much help to the vision of small jobs, but the after hours it will hurt the face of the weight of carry.</v>
      </c>
    </row>
    <row r="17923">
      <c r="A17923" s="1">
        <v>4.0</v>
      </c>
      <c r="B17923" s="1" t="s">
        <v>17751</v>
      </c>
      <c r="C17923" t="str">
        <f>IFERROR(__xludf.DUMMYFUNCTION("GOOGLETRANSLATE(B17923, ""es"", ""en"")"),"Basically what I was looking for occasional use that I give it is more than enough. The LED light lenses and do their work. It's a bit heavy due to batteries and their continued use can cause discomfort on the bridge of the nose")</f>
        <v>Basically what I was looking for occasional use that I give it is more than enough. The LED light lenses and do their work. It's a bit heavy due to batteries and their continued use can cause discomfort on the bridge of the nose</v>
      </c>
    </row>
    <row r="17924">
      <c r="A17924" s="1">
        <v>5.0</v>
      </c>
      <c r="B17924" s="1" t="s">
        <v>17752</v>
      </c>
      <c r="C17924" t="str">
        <f>IFERROR(__xludf.DUMMYFUNCTION("GOOGLETRANSLATE(B17924, ""es"", ""en"")"),"Fantastic Works great. Plenty meets expectations. I bought it for use on different devices (mobile, camera, tablet) and have not had any problems to the use in all of them. I'm so glad I bought a second unit. Speed ​​is very good, more than enough capacit"&amp;"y and comes with an adapter to read with your computer or use on cameras. I am delighted with it. Along with the Samsung Evo is the best memory card quality / price ratio.")</f>
        <v>Fantastic Works great. Plenty meets expectations. I bought it for use on different devices (mobile, camera, tablet) and have not had any problems to the use in all of them. I'm so glad I bought a second unit. Speed ​​is very good, more than enough capacity and comes with an adapter to read with your computer or use on cameras. I am delighted with it. Along with the Samsung Evo is the best memory card quality / price ratio.</v>
      </c>
    </row>
    <row r="17925">
      <c r="A17925" s="1">
        <v>5.0</v>
      </c>
      <c r="B17925" s="1" t="s">
        <v>17753</v>
      </c>
      <c r="C17925" t="str">
        <f>IFERROR(__xludf.DUMMYFUNCTION("GOOGLETRANSLATE(B17925, ""es"", ""en"")"),"There are precious few simple earrings, but very nice and fine. Are precious ear. They are silver because it really hurt and I'm allergic to metals except gold and silver. I recommend purchase. I repeat without any doubt.")</f>
        <v>There are precious few simple earrings, but very nice and fine. Are precious ear. They are silver because it really hurt and I'm allergic to metals except gold and silver. I recommend purchase. I repeat without any doubt.</v>
      </c>
    </row>
    <row r="17926">
      <c r="A17926" s="1">
        <v>5.0</v>
      </c>
      <c r="B17926" s="1" t="s">
        <v>17754</v>
      </c>
      <c r="C17926" t="str">
        <f>IFERROR(__xludf.DUMMYFUNCTION("GOOGLETRANSLATE(B17926, ""es"", ""en"")"),"I love Burn product, if you want to stop buying bottled soap this is ideal. It serves as a multipurpose, also for scrubbing floors and surfaces. Leaves it really clean, considering that there is only Boil the shells of nuts less than 10 minutes and ready."&amp;" You can add the essential oil you like to have a nice scent, but the very smell of the nut is not at all bad.")</f>
        <v>I love Burn product, if you want to stop buying bottled soap this is ideal. It serves as a multipurpose, also for scrubbing floors and surfaces. Leaves it really clean, considering that there is only Boil the shells of nuts less than 10 minutes and ready. You can add the essential oil you like to have a nice scent, but the very smell of the nut is not at all bad.</v>
      </c>
    </row>
    <row r="17927">
      <c r="A17927" s="1">
        <v>5.0</v>
      </c>
      <c r="B17927" s="1" t="s">
        <v>17755</v>
      </c>
      <c r="C17927" t="str">
        <f>IFERROR(__xludf.DUMMYFUNCTION("GOOGLETRANSLATE(B17927, ""es"", ""en"")"),"Very nice Recomendables")</f>
        <v>Very nice Recomendables</v>
      </c>
    </row>
    <row r="17928">
      <c r="A17928" s="1">
        <v>5.0</v>
      </c>
      <c r="B17928" s="1" t="s">
        <v>17756</v>
      </c>
      <c r="C17928" t="str">
        <f>IFERROR(__xludf.DUMMYFUNCTION("GOOGLETRANSLATE(B17928, ""es"", ""en"")"),"I love to I bought to give to my mother. It's true what they say the comments wrist is very small but for me is a plus because my mother is super small wrist. The bear is small but it is concealed the mark. My mother has been delighted :)")</f>
        <v>I love to I bought to give to my mother. It's true what they say the comments wrist is very small but for me is a plus because my mother is super small wrist. The bear is small but it is concealed the mark. My mother has been delighted :)</v>
      </c>
    </row>
    <row r="17929">
      <c r="A17929" s="1">
        <v>5.0</v>
      </c>
      <c r="B17929" s="1" t="s">
        <v>17757</v>
      </c>
      <c r="C17929" t="str">
        <f>IFERROR(__xludf.DUMMYFUNCTION("GOOGLETRANSLATE(B17929, ""es"", ""en"")"),"Good product had been looking for a new home air freshener and although not strictly an air freshener I decided to buy this humidifier and a package of essential oils to acclimate the house. perfectly fills a room or living normal size, depending on use e"&amp;"ssential oils that scent will last more or less time after turning off the timer. The humidifier is super quiet, nothing to give the button ""Mist"" sounds a small beep and already beginning to smoke out. The only noise that occurs occasionally is the gur"&amp;"gling of the water evaporating but I consider relaxing so for me it is no problem to bedtime with the job. It has four built-in timers that are activated by pressing the ""Mist"" button on. Durations are 1, 3, 6 hours or until the water runs out. All mode"&amp;"s are automatically switched off when the sensor runs out of water. Regarding the light, although it is not mandatory to use an effect quite showy with smoke coming out of your chimney. It has several modes of use, always pressing the ""Light"" button: - "&amp;"The first time makes a series of colors, from red, to green, to blue, etc, gradually. - The second press stops in color that were at that time. - From there, the following keystrokes do the same cycle of colors (in hard or soft tone) but the automatic fix"&amp;"ed color. If for example you like blue, it would give the button 10 times for example. The light produced is soft, yet a little intense, sleeping with it on in my opinion is a bit annoying, but as I said at the beginning is not mandatory that the light is"&amp;" on for the humidifier to operate. In the Open box may appear missing plug, but the same box tells you that is within the same humidifier. Also includes a dispenser 150 more ml to more easily fill water tank can fill to 300 ml. Photo included plug for som"&amp;"eone interested in comparison with a normal plug a computer tower.")</f>
        <v>Good product had been looking for a new home air freshener and although not strictly an air freshener I decided to buy this humidifier and a package of essential oils to acclimate the house. perfectly fills a room or living normal size, depending on use essential oils that scent will last more or less time after turning off the timer. The humidifier is super quiet, nothing to give the button "Mist" sounds a small beep and already beginning to smoke out. The only noise that occurs occasionally is the gurgling of the water evaporating but I consider relaxing so for me it is no problem to bedtime with the job. It has four built-in timers that are activated by pressing the "Mist" button on. Durations are 1, 3, 6 hours or until the water runs out. All modes are automatically switched off when the sensor runs out of water. Regarding the light, although it is not mandatory to use an effect quite showy with smoke coming out of your chimney. It has several modes of use, always pressing the "Light" button: - The first time makes a series of colors, from red, to green, to blue, etc, gradually. - The second press stops in color that were at that time. - From there, the following keystrokes do the same cycle of colors (in hard or soft tone) but the automatic fixed color. If for example you like blue, it would give the button 10 times for example. The light produced is soft, yet a little intense, sleeping with it on in my opinion is a bit annoying, but as I said at the beginning is not mandatory that the light is on for the humidifier to operate. In the Open box may appear missing plug, but the same box tells you that is within the same humidifier. Also includes a dispenser 150 more ml to more easily fill water tank can fill to 300 ml. Photo included plug for someone interested in comparison with a normal plug a computer tower.</v>
      </c>
    </row>
    <row r="17930">
      <c r="A17930" s="1">
        <v>5.0</v>
      </c>
      <c r="B17930" s="1" t="s">
        <v>17758</v>
      </c>
      <c r="C17930" t="str">
        <f>IFERROR(__xludf.DUMMYFUNCTION("GOOGLETRANSLATE(B17930, ""es"", ""en"")"),"LEGGING FOR GYM are comfy, elastic and very pleasant to the touch. They feel great and fit the great body. I feel very light and comfortable with them. The fabric is of good quality. She loved to go to the gym and I usually do maintenance several days a w"&amp;"eek. Very happy with the purchase.")</f>
        <v>LEGGING FOR GYM are comfy, elastic and very pleasant to the touch. They feel great and fit the great body. I feel very light and comfortable with them. The fabric is of good quality. She loved to go to the gym and I usually do maintenance several days a week. Very happy with the purchase.</v>
      </c>
    </row>
    <row r="17931">
      <c r="A17931" s="1">
        <v>5.0</v>
      </c>
      <c r="B17931" s="1" t="s">
        <v>17759</v>
      </c>
      <c r="C17931" t="str">
        <f>IFERROR(__xludf.DUMMYFUNCTION("GOOGLETRANSLATE(B17931, ""es"", ""en"")"),"It was fantastic that sought, my apartment is super clean. I have 2 dogs that hair falls out a lot and I can finally have my house clean")</f>
        <v>It was fantastic that sought, my apartment is super clean. I have 2 dogs that hair falls out a lot and I can finally have my house clean</v>
      </c>
    </row>
    <row r="17932">
      <c r="A17932" s="1">
        <v>5.0</v>
      </c>
      <c r="B17932" s="1" t="s">
        <v>17760</v>
      </c>
      <c r="C17932" t="str">
        <f>IFERROR(__xludf.DUMMYFUNCTION("GOOGLETRANSLATE(B17932, ""es"", ""en"")"),"Good and effective I gave it to my wife. Haunted. It has a lot of strength and heat is an extra function. It seems durable and of good quality. We took a week of use and to date, score of 10.")</f>
        <v>Good and effective I gave it to my wife. Haunted. It has a lot of strength and heat is an extra function. It seems durable and of good quality. We took a week of use and to date, score of 10.</v>
      </c>
    </row>
    <row r="17933">
      <c r="A17933" s="1">
        <v>5.0</v>
      </c>
      <c r="B17933" s="1" t="s">
        <v>17761</v>
      </c>
      <c r="C17933" t="str">
        <f>IFERROR(__xludf.DUMMYFUNCTION("GOOGLETRANSLATE(B17933, ""es"", ""en"")"),"Resurrects an old portable product reconditioned, purchased at a lower price and without being used ... only slightly damaged packaging. Used to retrieve an old Toshiba satellite, which had long been unused because of its slowness, it was becoming despera"&amp;"te. With a modest Pentium dual core with 2GB of ram and installing W10, the improvement is spectacular .... starts in less than 15 seconds and from that moment you start using any program or surf the net. Failing to do some test, I could not tell the spee"&amp;"d difference between this and his older brother MX, of which I have already installed several. A hit and a very good price if you find any unit Reconditioned")</f>
        <v>Resurrects an old portable product reconditioned, purchased at a lower price and without being used ... only slightly damaged packaging. Used to retrieve an old Toshiba satellite, which had long been unused because of its slowness, it was becoming desperate. With a modest Pentium dual core with 2GB of ram and installing W10, the improvement is spectacular .... starts in less than 15 seconds and from that moment you start using any program or surf the net. Failing to do some test, I could not tell the speed difference between this and his older brother MX, of which I have already installed several. A hit and a very good price if you find any unit Reconditioned</v>
      </c>
    </row>
    <row r="17934">
      <c r="A17934" s="1">
        <v>5.0</v>
      </c>
      <c r="B17934" s="1" t="s">
        <v>17762</v>
      </c>
      <c r="C17934" t="str">
        <f>IFERROR(__xludf.DUMMYFUNCTION("GOOGLETRANSLATE(B17934, ""es"", ""en"")"),"It's perfect Just what I wanted was for a gift and the truth was I bought a seat black and comes with straps in brown muyyy nice and spacious with many bolcillo")</f>
        <v>It's perfect Just what I wanted was for a gift and the truth was I bought a seat black and comes with straps in brown muyyy nice and spacious with many bolcillo</v>
      </c>
    </row>
    <row r="17935">
      <c r="A17935" s="1">
        <v>5.0</v>
      </c>
      <c r="B17935" s="1" t="s">
        <v>17763</v>
      </c>
      <c r="C17935" t="str">
        <f>IFERROR(__xludf.DUMMYFUNCTION("GOOGLETRANSLATE(B17935, ""es"", ""en"")"),"Bag high quality bag is made of dark brown canvas. It has an adjustable length belt and with three compartments which are closed by zippers. The central compartment is the largest. Its interior is lined with brown fabric even darker. On the rear side ther"&amp;"e is a smaller compartment also lined with brown fabric of the same color. On the front side, if we open the zipper, we will find different compartments of different sizes, suitable for putting pens, cards, calculators, etc. And be able to have perfectly "&amp;"organized. I must say that my bag does not smell bad or wrong topped. I found loose threads as I read in other reviews. Approximate measurements can see in the photos. I liked it a lot. It is a good bag for man to keep everything organized. I recommend it"&amp;" to you. Product yielded Analysis")</f>
        <v>Bag high quality bag is made of dark brown canvas. It has an adjustable length belt and with three compartments which are closed by zippers. The central compartment is the largest. Its interior is lined with brown fabric even darker. On the rear side there is a smaller compartment also lined with brown fabric of the same color. On the front side, if we open the zipper, we will find different compartments of different sizes, suitable for putting pens, cards, calculators, etc. And be able to have perfectly organized. I must say that my bag does not smell bad or wrong topped. I found loose threads as I read in other reviews. Approximate measurements can see in the photos. I liked it a lot. It is a good bag for man to keep everything organized. I recommend it to you. Product yielded Analysis</v>
      </c>
    </row>
    <row r="17936">
      <c r="A17936" s="1">
        <v>5.0</v>
      </c>
      <c r="B17936" s="1" t="s">
        <v>17764</v>
      </c>
      <c r="C17936" t="str">
        <f>IFERROR(__xludf.DUMMYFUNCTION("GOOGLETRANSLATE(B17936, ""es"", ""en"")"),"Normal plain paper")</f>
        <v>Normal plain paper</v>
      </c>
    </row>
    <row r="17937">
      <c r="A17937" s="1">
        <v>5.0</v>
      </c>
      <c r="B17937" s="1" t="s">
        <v>17765</v>
      </c>
      <c r="C17937" t="str">
        <f>IFERROR(__xludf.DUMMYFUNCTION("GOOGLETRANSLATE(B17937, ""es"", ""en"")"),"Nice gift thought they were bigger but the quality and presentation of the package is excellent nice gift")</f>
        <v>Nice gift thought they were bigger but the quality and presentation of the package is excellent nice gift</v>
      </c>
    </row>
    <row r="17938">
      <c r="A17938" s="1">
        <v>5.0</v>
      </c>
      <c r="B17938" s="1" t="s">
        <v>17766</v>
      </c>
      <c r="C17938" t="str">
        <f>IFERROR(__xludf.DUMMYFUNCTION("GOOGLETRANSLATE(B17938, ""es"", ""en"")"),"Very pretty good buy, buy recommended, similar to the original converse. Size is correct with which use regularly.")</f>
        <v>Very pretty good buy, buy recommended, similar to the original converse. Size is correct with which use regularly.</v>
      </c>
    </row>
    <row r="17939">
      <c r="A17939" s="1">
        <v>5.0</v>
      </c>
      <c r="B17939" s="1" t="s">
        <v>17767</v>
      </c>
      <c r="C17939" t="str">
        <f>IFERROR(__xludf.DUMMYFUNCTION("GOOGLETRANSLATE(B17939, ""es"", ""en"")"),"Perfect and very nice jacket The jacket is very nice, very good material quality and feel great. A highly recommendable product. A success for adidas.")</f>
        <v>Perfect and very nice jacket The jacket is very nice, very good material quality and feel great. A highly recommendable product. A success for adidas.</v>
      </c>
    </row>
    <row r="17940">
      <c r="A17940" s="1">
        <v>5.0</v>
      </c>
      <c r="B17940" s="1" t="s">
        <v>17768</v>
      </c>
      <c r="C17940" t="str">
        <f>IFERROR(__xludf.DUMMYFUNCTION("GOOGLETRANSLATE(B17940, ""es"", ""en"")"),"While they are fine, meet expectations I imagined with all of the law. They not have made any hole")</f>
        <v>While they are fine, meet expectations I imagined with all of the law. They not have made any hole</v>
      </c>
    </row>
    <row r="17941">
      <c r="A17941" s="1">
        <v>5.0</v>
      </c>
      <c r="B17941" s="1" t="s">
        <v>17769</v>
      </c>
      <c r="C17941" t="str">
        <f>IFERROR(__xludf.DUMMYFUNCTION("GOOGLETRANSLATE(B17941, ""es"", ""en"")"),"Of the few skate shoes used to make skate or dangerous moves A car hit me while riding bike a week ago, fortunately left unscathed except burns and lacerations on her legs, however, although the shoes carry a huge quemazo soled and side, I have fully inta"&amp;"ct feet. In other shirts he would now receive a skin graft, instead I'm looking to catch others. This is a lady slipper place. Purchase two pairs. Already.")</f>
        <v>Of the few skate shoes used to make skate or dangerous moves A car hit me while riding bike a week ago, fortunately left unscathed except burns and lacerations on her legs, however, although the shoes carry a huge quemazo soled and side, I have fully intact feet. In other shirts he would now receive a skin graft, instead I'm looking to catch others. This is a lady slipper place. Purchase two pairs. Already.</v>
      </c>
    </row>
    <row r="17942">
      <c r="A17942" s="1">
        <v>5.0</v>
      </c>
      <c r="B17942" s="1" t="s">
        <v>17770</v>
      </c>
      <c r="C17942" t="str">
        <f>IFERROR(__xludf.DUMMYFUNCTION("GOOGLETRANSLATE(B17942, ""es"", ""en"")"),"Buenos patches, reduce bags are patches to remove the bags that are created under the eyes. I bought for my wife because it's something you use occasionally, especially when little rest. It has tried a couple of times and the truth that the effect is noti"&amp;"ceable. After them half an hour put the bags are significantly reduced. So very happy, good product.")</f>
        <v>Buenos patches, reduce bags are patches to remove the bags that are created under the eyes. I bought for my wife because it's something you use occasionally, especially when little rest. It has tried a couple of times and the truth that the effect is noticeable. After them half an hour put the bags are significantly reduced. So very happy, good product.</v>
      </c>
    </row>
    <row r="17943">
      <c r="A17943" s="1">
        <v>2.0</v>
      </c>
      <c r="B17943" s="1" t="s">
        <v>17771</v>
      </c>
      <c r="C17943" t="str">
        <f>IFERROR(__xludf.DUMMYFUNCTION("GOOGLETRANSLATE(B17943, ""es"", ""en"")"),"bad, very nice very showy but bad not been 10 months and the truth really bad, shit comes from all sides and remove screwdriver should be used until the tube is broken in pieces, loses strength ... to we see that the technical service such works that we a"&amp;"re going")</f>
        <v>bad, very nice very showy but bad not been 10 months and the truth really bad, shit comes from all sides and remove screwdriver should be used until the tube is broken in pieces, loses strength ... to we see that the technical service such works that we are going</v>
      </c>
    </row>
    <row r="17944">
      <c r="A17944" s="1">
        <v>3.0</v>
      </c>
      <c r="B17944" s="1" t="s">
        <v>17772</v>
      </c>
      <c r="C17944" t="str">
        <f>IFERROR(__xludf.DUMMYFUNCTION("GOOGLETRANSLATE(B17944, ""es"", ""en"")"),"Regular are not bad")</f>
        <v>Regular are not bad</v>
      </c>
    </row>
    <row r="17945">
      <c r="A17945" s="1">
        <v>3.0</v>
      </c>
      <c r="B17945" s="1" t="s">
        <v>17773</v>
      </c>
      <c r="C17945" t="str">
        <f>IFERROR(__xludf.DUMMYFUNCTION("GOOGLETRANSLATE(B17945, ""es"", ""en"")"),"To use 4 to 5 days weekly race lasts just easy to replace. It is the original question mark for those who do not want a white mark. Ie, it will last the same as above. Edito to 28AGO2019 As I mentioned earlier, he has returned to last two years. To be a w"&amp;"atch that cost more than 400 € is evident the poor quality of the material from which it is made. This Suunto is made to withstand all types of weather, sweat etc career, but his leash. We therefore under three stars.")</f>
        <v>To use 4 to 5 days weekly race lasts just easy to replace. It is the original question mark for those who do not want a white mark. Ie, it will last the same as above. Edito to 28AGO2019 As I mentioned earlier, he has returned to last two years. To be a watch that cost more than 400 € is evident the poor quality of the material from which it is made. This Suunto is made to withstand all types of weather, sweat etc career, but his leash. We therefore under three stars.</v>
      </c>
    </row>
    <row r="17946">
      <c r="A17946" s="1">
        <v>1.0</v>
      </c>
      <c r="B17946" s="1" t="s">
        <v>17774</v>
      </c>
      <c r="C17946" t="str">
        <f>IFERROR(__xludf.DUMMYFUNCTION("GOOGLETRANSLATE(B17946, ""es"", ""en"")"),"Amazon did not bother to pack it or protect it very well for WD. too quiet. It delivers what it promises. but zero for Amazon. Namely that blows they have been able to. I do not give less stars because the HD works well. Very unhappy with Amazon.")</f>
        <v>Amazon did not bother to pack it or protect it very well for WD. too quiet. It delivers what it promises. but zero for Amazon. Namely that blows they have been able to. I do not give less stars because the HD works well. Very unhappy with Amazon.</v>
      </c>
    </row>
    <row r="17947">
      <c r="A17947" s="1">
        <v>1.0</v>
      </c>
      <c r="B17947" s="1" t="s">
        <v>17775</v>
      </c>
      <c r="C17947" t="str">
        <f>IFERROR(__xludf.DUMMYFUNCTION("GOOGLETRANSLATE(B17947, ""es"", ""en"")"),"Always very disappointed had bought targetas memory of the brand best known and also the most expensive. I saw that this was cheaper and had good reviews and I decided to buy it. Everything was going well until after 1 month or so, after the card will hav"&amp;"e full and wanting to see the videos to your computer, doing absolutely nothing, all the videos I had recorded magically erased. Really write and not give credit to what happened ... What I am is certain that the videos themselves are erased and I am stil"&amp;"l looking for them ... really disgusted with this and very frustrated because I had important things stored there ... and the saying ""that what you pay"" ... Here I could check")</f>
        <v>Always very disappointed had bought targetas memory of the brand best known and also the most expensive. I saw that this was cheaper and had good reviews and I decided to buy it. Everything was going well until after 1 month or so, after the card will have full and wanting to see the videos to your computer, doing absolutely nothing, all the videos I had recorded magically erased. Really write and not give credit to what happened ... What I am is certain that the videos themselves are erased and I am still looking for them ... really disgusted with this and very frustrated because I had important things stored there ... and the saying "that what you pay" ... Here I could check</v>
      </c>
    </row>
    <row r="17948">
      <c r="A17948" s="1">
        <v>1.0</v>
      </c>
      <c r="B17948" s="1" t="s">
        <v>17776</v>
      </c>
      <c r="C17948" t="str">
        <f>IFERROR(__xludf.DUMMYFUNCTION("GOOGLETRANSLATE(B17948, ""es"", ""en"")"),"Disgusted Fatal, a month take with them and are already broken, are comfortable but the fabric material is lousy.")</f>
        <v>Disgusted Fatal, a month take with them and are already broken, are comfortable but the fabric material is lousy.</v>
      </c>
    </row>
    <row r="17949">
      <c r="A17949" s="1">
        <v>4.0</v>
      </c>
      <c r="B17949" s="1" t="s">
        <v>17777</v>
      </c>
      <c r="C17949" t="str">
        <f>IFERROR(__xludf.DUMMYFUNCTION("GOOGLETRANSLATE(B17949, ""es"", ""en"")"),"Heavy runners have run with these shoes for years and have wanted to return to them because I remembered very good. So far I've only run a couple of times but nothing else wear it, the first impression, it was not as I remembered. It may be that today are"&amp;" already assigned and have noticed that these squeezed me a little at the front (I have a habit of asking the least average number over my foot so no biggie size). However, the stride and good cushioning and are comfortable. The second day I found more ag"&amp;"usto so, I imagine, I slowly go by them and trust, sure I'll like")</f>
        <v>Heavy runners have run with these shoes for years and have wanted to return to them because I remembered very good. So far I've only run a couple of times but nothing else wear it, the first impression, it was not as I remembered. It may be that today are already assigned and have noticed that these squeezed me a little at the front (I have a habit of asking the least average number over my foot so no biggie size). However, the stride and good cushioning and are comfortable. The second day I found more agusto so, I imagine, I slowly go by them and trust, sure I'll like</v>
      </c>
    </row>
    <row r="17950">
      <c r="A17950" s="1">
        <v>4.0</v>
      </c>
      <c r="B17950" s="1" t="s">
        <v>17778</v>
      </c>
      <c r="C17950" t="str">
        <f>IFERROR(__xludf.DUMMYFUNCTION("GOOGLETRANSLATE(B17950, ""es"", ""en"")"),"Pendrive good, although heated, like all mini formats. Pendrive good, although heated, like all mini formats, but does not burn. Data transmission is good, but not to shoot rockets. I read comments about his supposed fragility, but I do not find justified"&amp;". Come on, it is not iron, is plastic and must be looked after just. Until today without problems. I recommend purchase.")</f>
        <v>Pendrive good, although heated, like all mini formats. Pendrive good, although heated, like all mini formats, but does not burn. Data transmission is good, but not to shoot rockets. I read comments about his supposed fragility, but I do not find justified. Come on, it is not iron, is plastic and must be looked after just. Until today without problems. I recommend purchase.</v>
      </c>
    </row>
    <row r="17951">
      <c r="A17951" s="1">
        <v>4.0</v>
      </c>
      <c r="B17951" s="1" t="s">
        <v>17779</v>
      </c>
      <c r="C17951" t="str">
        <f>IFERROR(__xludf.DUMMYFUNCTION("GOOGLETRANSLATE(B17951, ""es"", ""en"")"),"practical, ecological and versatile purchase was a good idea. It can wash and last long!")</f>
        <v>practical, ecological and versatile purchase was a good idea. It can wash and last long!</v>
      </c>
    </row>
    <row r="17952">
      <c r="A17952" s="1">
        <v>4.0</v>
      </c>
      <c r="B17952" s="1" t="s">
        <v>17780</v>
      </c>
      <c r="C17952" t="str">
        <f>IFERROR(__xludf.DUMMYFUNCTION("GOOGLETRANSLATE(B17952, ""es"", ""en"")"),"easy assembly is not the strongest, but rather fulfills its mission")</f>
        <v>easy assembly is not the strongest, but rather fulfills its mission</v>
      </c>
    </row>
    <row r="17953">
      <c r="A17953" s="1">
        <v>4.0</v>
      </c>
      <c r="B17953" s="1" t="s">
        <v>17781</v>
      </c>
      <c r="C17953" t="str">
        <f>IFERROR(__xludf.DUMMYFUNCTION("GOOGLETRANSLATE(B17953, ""es"", ""en"")"),"Very good microphone. It is a microphone that delivers what it offers is perfect for normal daily use, captures voice from a comfortable distance that you do not need to have the microphone in your mouth and clearly (and without buying any microphone stan"&amp;"d or arm extensible). Has a curious aesthetic, striking my very nice look, it's a really good microphone for price more than enough for everyday use, the only downside is that its software (Sound Deck) is needed to take full advantage of the microphone, m"&amp;"ainly the option of including noise reduction.")</f>
        <v>Very good microphone. It is a microphone that delivers what it offers is perfect for normal daily use, captures voice from a comfortable distance that you do not need to have the microphone in your mouth and clearly (and without buying any microphone stand or arm extensible). Has a curious aesthetic, striking my very nice look, it's a really good microphone for price more than enough for everyday use, the only downside is that its software (Sound Deck) is needed to take full advantage of the microphone, mainly the option of including noise reduction.</v>
      </c>
    </row>
    <row r="17954">
      <c r="A17954" s="1">
        <v>5.0</v>
      </c>
      <c r="B17954" s="1" t="s">
        <v>17782</v>
      </c>
      <c r="C17954" t="str">
        <f>IFERROR(__xludf.DUMMYFUNCTION("GOOGLETRANSLATE(B17954, ""es"", ""en"")"),"Perfect value for money is a simple and elegant album once, I bought pasta gray, and black pages. It is well finished and pages are of average weight.")</f>
        <v>Perfect value for money is a simple and elegant album once, I bought pasta gray, and black pages. It is well finished and pages are of average weight.</v>
      </c>
    </row>
    <row r="17955">
      <c r="A17955" s="1">
        <v>5.0</v>
      </c>
      <c r="B17955" s="1" t="s">
        <v>17783</v>
      </c>
      <c r="C17955" t="str">
        <f>IFERROR(__xludf.DUMMYFUNCTION("GOOGLETRANSLATE(B17955, ""es"", ""en"")"),"Perfect Price Perfect quality, perfectly fulfills without being something professional sound picks it up without pergarse the microphone to his mouth. Good power without fittings or noise.")</f>
        <v>Perfect Price Perfect quality, perfectly fulfills without being something professional sound picks it up without pergarse the microphone to his mouth. Good power without fittings or noise.</v>
      </c>
    </row>
    <row r="17956">
      <c r="A17956" s="1">
        <v>5.0</v>
      </c>
      <c r="B17956" s="1" t="s">
        <v>17784</v>
      </c>
      <c r="C17956" t="str">
        <f>IFERROR(__xludf.DUMMYFUNCTION("GOOGLETRANSLATE(B17956, ""es"", ""en"")"),"Worth the expense. Great boots, as expected, and had a higher cane and these are even more comfortable. Very good buy, they are also national product. Advise your purchase. Quality spectacular price. Worth.")</f>
        <v>Worth the expense. Great boots, as expected, and had a higher cane and these are even more comfortable. Very good buy, they are also national product. Advise your purchase. Quality spectacular price. Worth.</v>
      </c>
    </row>
    <row r="17957">
      <c r="A17957" s="1">
        <v>5.0</v>
      </c>
      <c r="B17957" s="1" t="s">
        <v>17785</v>
      </c>
      <c r="C17957" t="str">
        <f>IFERROR(__xludf.DUMMYFUNCTION("GOOGLETRANSLATE(B17957, ""es"", ""en"")"),"Accurate, very low weight Good watch, the normaluchos materials, the light weight of the clock suggests that it is fragile. The box in which they send could also improve. But it is good buy.")</f>
        <v>Accurate, very low weight Good watch, the normaluchos materials, the light weight of the clock suggests that it is fragile. The box in which they send could also improve. But it is good buy.</v>
      </c>
    </row>
    <row r="17958">
      <c r="A17958" s="1">
        <v>5.0</v>
      </c>
      <c r="B17958" s="1" t="s">
        <v>17786</v>
      </c>
      <c r="C17958" t="str">
        <f>IFERROR(__xludf.DUMMYFUNCTION("GOOGLETRANSLATE(B17958, ""es"", ""en"")"),"Well wrapped well! Such in the photo and box, each outstanding in sachets")</f>
        <v>Well wrapped well! Such in the photo and box, each outstanding in sachets</v>
      </c>
    </row>
    <row r="17959">
      <c r="A17959" s="1">
        <v>5.0</v>
      </c>
      <c r="B17959" s="1" t="s">
        <v>17787</v>
      </c>
      <c r="C17959" t="str">
        <f>IFERROR(__xludf.DUMMYFUNCTION("GOOGLETRANSLATE(B17959, ""es"", ""en"")"),"Pleasantly surprised came from a Bosch 600w with which cost me a good time to make peanut butter or Nutella hazelnut cream type, I had to pause because the engine was burning and there were always grumitos. He released the mincer for peanut butter and in "&amp;"less than 3 minutes was ready without having to stop and texture of trade, not a single crumb. The engine weighs a little more but is more robust, is offset by foot grind and does not weigh anything. It costs a little sepapar engine accessories but not an"&amp;"noying, they fit perfectly and do not dance, they remain very biene assembled. The engine warms but not more than the bosch. I was surprised that makes half the noise. I have not tried the disposer or stand mounting rod, my interest was more for the mince"&amp;"r which incidentally is 1 liter and 200ml. The lid can scrub the sink normal, not like most that you can not even get wet and unhealthy so I see it. The vessel that brings is also very good size although plastic gives me the feeling that you break or crac"&amp;"k if dropped or to be streaking less use, I have left saved because I have other, equally mistaken. We'll see if this holds blender time, use that I give is daily.")</f>
        <v>Pleasantly surprised came from a Bosch 600w with which cost me a good time to make peanut butter or Nutella hazelnut cream type, I had to pause because the engine was burning and there were always grumitos. He released the mincer for peanut butter and in less than 3 minutes was ready without having to stop and texture of trade, not a single crumb. The engine weighs a little more but is more robust, is offset by foot grind and does not weigh anything. It costs a little sepapar engine accessories but not annoying, they fit perfectly and do not dance, they remain very biene assembled. The engine warms but not more than the bosch. I was surprised that makes half the noise. I have not tried the disposer or stand mounting rod, my interest was more for the mincer which incidentally is 1 liter and 200ml. The lid can scrub the sink normal, not like most that you can not even get wet and unhealthy so I see it. The vessel that brings is also very good size although plastic gives me the feeling that you break or crack if dropped or to be streaking less use, I have left saved because I have other, equally mistaken. We'll see if this holds blender time, use that I give is daily.</v>
      </c>
    </row>
    <row r="17960">
      <c r="A17960" s="1">
        <v>5.0</v>
      </c>
      <c r="B17960" s="1" t="s">
        <v>1425</v>
      </c>
      <c r="C17960" t="str">
        <f>IFERROR(__xludf.DUMMYFUNCTION("GOOGLETRANSLATE(B17960, ""es"", ""en"")"),"perfect perfect")</f>
        <v>perfect perfect</v>
      </c>
    </row>
    <row r="17961">
      <c r="A17961" s="1">
        <v>5.0</v>
      </c>
      <c r="B17961" s="1" t="s">
        <v>17788</v>
      </c>
      <c r="C17961" t="str">
        <f>IFERROR(__xludf.DUMMYFUNCTION("GOOGLETRANSLATE(B17961, ""es"", ""en"")"),"A great acquisition have problems in one ear and these headphones have been great to me, are connected quickly and and bluetooth thanks to them I can hear movies perfectly without disturbing others, have enough range, I've moved around the house and heard"&amp;" perfectly, they are lightweight, adaptable and easy to store in a bag and bring to finish are nice looking. They come with a cable to charge it through any USB charger output. As for the value for money it is very well have seen more expensive, but they "&amp;"perfectly meet the target.")</f>
        <v>A great acquisition have problems in one ear and these headphones have been great to me, are connected quickly and and bluetooth thanks to them I can hear movies perfectly without disturbing others, have enough range, I've moved around the house and heard perfectly, they are lightweight, adaptable and easy to store in a bag and bring to finish are nice looking. They come with a cable to charge it through any USB charger output. As for the value for money it is very well have seen more expensive, but they perfectly meet the target.</v>
      </c>
    </row>
    <row r="17962">
      <c r="A17962" s="1">
        <v>5.0</v>
      </c>
      <c r="B17962" s="1" t="s">
        <v>17789</v>
      </c>
      <c r="C17962" t="str">
        <f>IFERROR(__xludf.DUMMYFUNCTION("GOOGLETRANSLATE(B17962, ""es"", ""en"")"),"I like very comfortable and are very comfortable for everyday use. The sizing is small, I use 38 and had to replace them with a full size. 39 I look good if somewhat fair, but I would not change them again. Yes I recommend buying but considering they are "&amp;"small sizes and certainly have to buy a full size minimum.")</f>
        <v>I like very comfortable and are very comfortable for everyday use. The sizing is small, I use 38 and had to replace them with a full size. 39 I look good if somewhat fair, but I would not change them again. Yes I recommend buying but considering they are small sizes and certainly have to buy a full size minimum.</v>
      </c>
    </row>
    <row r="17963">
      <c r="A17963" s="1">
        <v>5.0</v>
      </c>
      <c r="B17963" s="1" t="s">
        <v>17790</v>
      </c>
      <c r="C17963" t="str">
        <f>IFERROR(__xludf.DUMMYFUNCTION("GOOGLETRANSLATE(B17963, ""es"", ""en"")"),"CORK ADHESIVE Several small sheets together can form spaces that fit every need. THIN BUT ARE JOINED THE MAY HAVE A very useful THICK. I LOVED")</f>
        <v>CORK ADHESIVE Several small sheets together can form spaces that fit every need. THIN BUT ARE JOINED THE MAY HAVE A very useful THICK. I LOVED</v>
      </c>
    </row>
    <row r="17964">
      <c r="A17964" s="1">
        <v>5.0</v>
      </c>
      <c r="B17964" s="1" t="s">
        <v>17791</v>
      </c>
      <c r="C17964" t="str">
        <f>IFERROR(__xludf.DUMMYFUNCTION("GOOGLETRANSLATE(B17964, ""es"", ""en"")"),"If you can pay, do not hesitate! It has a high price but they are just a very caring and excellent quality. Ideal for walking or going on a trip or to cold areas with a lot of rain. Excellent!")</f>
        <v>If you can pay, do not hesitate! It has a high price but they are just a very caring and excellent quality. Ideal for walking or going on a trip or to cold areas with a lot of rain. Excellent!</v>
      </c>
    </row>
    <row r="17965">
      <c r="A17965" s="1">
        <v>5.0</v>
      </c>
      <c r="B17965" s="1" t="s">
        <v>17792</v>
      </c>
      <c r="C17965" t="str">
        <f>IFERROR(__xludf.DUMMYFUNCTION("GOOGLETRANSLATE(B17965, ""es"", ""en"")"),"Seite original oils with very pleasant odors Set the original essential oils are not the typical boring coming when all packs, I love the diffuser and to give a more pleasant smell of my green cleaners made by me. Todsvia am experimenting with different m"&amp;"ixtures and pure scents, and I'm not sure all of the which is my favorite.")</f>
        <v>Seite original oils with very pleasant odors Set the original essential oils are not the typical boring coming when all packs, I love the diffuser and to give a more pleasant smell of my green cleaners made by me. Todsvia am experimenting with different mixtures and pure scents, and I'm not sure all of the which is my favorite.</v>
      </c>
    </row>
    <row r="17966">
      <c r="A17966" s="1">
        <v>5.0</v>
      </c>
      <c r="B17966" s="1" t="s">
        <v>17793</v>
      </c>
      <c r="C17966" t="str">
        <f>IFERROR(__xludf.DUMMYFUNCTION("GOOGLETRANSLATE(B17966, ""es"", ""en"")"),"Economic good price and nice")</f>
        <v>Economic good price and nice</v>
      </c>
    </row>
    <row r="17967">
      <c r="A17967" s="1">
        <v>5.0</v>
      </c>
      <c r="B17967" s="1" t="s">
        <v>17794</v>
      </c>
      <c r="C17967" t="str">
        <f>IFERROR(__xludf.DUMMYFUNCTION("GOOGLETRANSLATE(B17967, ""es"", ""en"")"),"Fifth pair of shoes and 30 years using them is the best or one of the best Spanish shoes in the world. Spanish manufacturing and design. They are the fifth pair of shoes in my life that I buy this model nautical and always brand Camper, of course. I usual"&amp;"ly last roughly about 5 years. I use both summer and winter. To dress more or less (in) formally. Even with bermudas. They are of excellent quality, comfortable and as I said the design not found anywhere else outside Spain so when I see them out are fixe"&amp;"d on them pleasantly. The keep buying lifetime.")</f>
        <v>Fifth pair of shoes and 30 years using them is the best or one of the best Spanish shoes in the world. Spanish manufacturing and design. They are the fifth pair of shoes in my life that I buy this model nautical and always brand Camper, of course. I usually last roughly about 5 years. I use both summer and winter. To dress more or less (in) formally. Even with bermudas. They are of excellent quality, comfortable and as I said the design not found anywhere else outside Spain so when I see them out are fixed on them pleasantly. The keep buying lifetime.</v>
      </c>
    </row>
    <row r="17968">
      <c r="A17968" s="1">
        <v>5.0</v>
      </c>
      <c r="B17968" s="1" t="s">
        <v>17795</v>
      </c>
      <c r="C17968" t="str">
        <f>IFERROR(__xludf.DUMMYFUNCTION("GOOGLETRANSLATE(B17968, ""es"", ""en"")"),"Very good and pretty close though overtightened foot, I guess giving Iran with use. Carve well.")</f>
        <v>Very good and pretty close though overtightened foot, I guess giving Iran with use. Carve well.</v>
      </c>
    </row>
    <row r="17969">
      <c r="A17969" s="1">
        <v>5.0</v>
      </c>
      <c r="B17969" s="1" t="s">
        <v>17796</v>
      </c>
      <c r="C17969" t="str">
        <f>IFERROR(__xludf.DUMMYFUNCTION("GOOGLETRANSLATE(B17969, ""es"", ""en"")"),"The quality. It is very handy and weighs little.")</f>
        <v>The quality. It is very handy and weighs little.</v>
      </c>
    </row>
    <row r="17970">
      <c r="A17970" s="1">
        <v>5.0</v>
      </c>
      <c r="B17970" s="1" t="s">
        <v>17797</v>
      </c>
      <c r="C17970" t="str">
        <f>IFERROR(__xludf.DUMMYFUNCTION("GOOGLETRANSLATE(B17970, ""es"", ""en"")"),"Hi Very comfortable walking, I really like.")</f>
        <v>Hi Very comfortable walking, I really like.</v>
      </c>
    </row>
    <row r="17971">
      <c r="A17971" s="1">
        <v>5.0</v>
      </c>
      <c r="B17971" s="1" t="s">
        <v>17798</v>
      </c>
      <c r="C17971" t="str">
        <f>IFERROR(__xludf.DUMMYFUNCTION("GOOGLETRANSLATE(B17971, ""es"", ""en"")"),"Very good value very comfortable")</f>
        <v>Very good value very comfortable</v>
      </c>
    </row>
    <row r="17972">
      <c r="A17972" s="1">
        <v>2.0</v>
      </c>
      <c r="B17972" s="1" t="s">
        <v>17799</v>
      </c>
      <c r="C17972" t="str">
        <f>IFERROR(__xludf.DUMMYFUNCTION("GOOGLETRANSLATE(B17972, ""es"", ""en"")"),"Once blue shoes since 5 days has been broad, poor quality, and sliding when it should not.")</f>
        <v>Once blue shoes since 5 days has been broad, poor quality, and sliding when it should not.</v>
      </c>
    </row>
    <row r="17973">
      <c r="A17973" s="1">
        <v>3.0</v>
      </c>
      <c r="B17973" s="1" t="s">
        <v>17800</v>
      </c>
      <c r="C17973" t="str">
        <f>IFERROR(__xludf.DUMMYFUNCTION("GOOGLETRANSLATE(B17973, ""es"", ""en"")"),"Excellent reloy vendedormuy little detail. Excellent reloy but when you buy a new reloy or any other product should come in his now hope orijinal box that the reloy works well because it still is not me and put .And another thing how much gsrantia have an"&amp;"d send me the bill for the reloy to my email kikobuenomoreno@gmail.com in pdf then remove it in a stationery.")</f>
        <v>Excellent reloy vendedormuy little detail. Excellent reloy but when you buy a new reloy or any other product should come in his now hope orijinal box that the reloy works well because it still is not me and put .And another thing how much gsrantia have and send me the bill for the reloy to my email kikobuenomoreno@gmail.com in pdf then remove it in a stationery.</v>
      </c>
    </row>
    <row r="17974">
      <c r="A17974" s="1">
        <v>3.0</v>
      </c>
      <c r="B17974" s="1" t="s">
        <v>17801</v>
      </c>
      <c r="C17974" t="str">
        <f>IFERROR(__xludf.DUMMYFUNCTION("GOOGLETRANSLATE(B17974, ""es"", ""en"")"),"To use school and little else use my product for small to manulalidades. It is true that the price they can not ask much but just worth to stick very light things. A little weighing a little glue can not stand and fall. That said, for use by the child at "&amp;"school are worth but for any other use short stay")</f>
        <v>To use school and little else use my product for small to manulalidades. It is true that the price they can not ask much but just worth to stick very light things. A little weighing a little glue can not stand and fall. That said, for use by the child at school are worth but for any other use short stay</v>
      </c>
    </row>
    <row r="17975">
      <c r="A17975" s="1">
        <v>3.0</v>
      </c>
      <c r="B17975" s="1" t="s">
        <v>17802</v>
      </c>
      <c r="C17975" t="str">
        <f>IFERROR(__xludf.DUMMYFUNCTION("GOOGLETRANSLATE(B17975, ""es"", ""en"")"),"LETTER TOO SMALL MEETING AND I bought it for a 9 year old girl because I thought that being a small format that is not weighed would be more manageable and better for it. That's fine, but the text is tightly and is not easy reading, plus the lyrics are qu"&amp;"ite small. On the other hand it does not have a single drawing, only the front and back and becomes more dense and heavy reading. The story is fine but do not see it appealing to children on those grounds. Best alternative format or another publisher for "&amp;"them.")</f>
        <v>LETTER TOO SMALL MEETING AND I bought it for a 9 year old girl because I thought that being a small format that is not weighed would be more manageable and better for it. That's fine, but the text is tightly and is not easy reading, plus the lyrics are quite small. On the other hand it does not have a single drawing, only the front and back and becomes more dense and heavy reading. The story is fine but do not see it appealing to children on those grounds. Best alternative format or another publisher for them.</v>
      </c>
    </row>
    <row r="17976">
      <c r="A17976" s="1">
        <v>1.0</v>
      </c>
      <c r="B17976" s="1" t="s">
        <v>17803</v>
      </c>
      <c r="C17976" t="str">
        <f>IFERROR(__xludf.DUMMYFUNCTION("GOOGLETRANSLATE(B17976, ""es"", ""en"")"),"Do not know, packing .. not liked, because I've never had ... it has always come broken, and I bought another model.")</f>
        <v>Do not know, packing .. not liked, because I've never had ... it has always come broken, and I bought another model.</v>
      </c>
    </row>
    <row r="17977">
      <c r="A17977" s="1">
        <v>1.0</v>
      </c>
      <c r="B17977" s="1" t="s">
        <v>17804</v>
      </c>
      <c r="C17977" t="str">
        <f>IFERROR(__xludf.DUMMYFUNCTION("GOOGLETRANSLATE(B17977, ""es"", ""en"")"),"Worse than bad only used 1 day. They started making noise from 1 minute if pisaras and double over a metal plate, I guess that leads into the sole protection. Disillusioned because the design itself is nice.")</f>
        <v>Worse than bad only used 1 day. They started making noise from 1 minute if pisaras and double over a metal plate, I guess that leads into the sole protection. Disillusioned because the design itself is nice.</v>
      </c>
    </row>
    <row r="17978">
      <c r="A17978" s="1">
        <v>4.0</v>
      </c>
      <c r="B17978" s="1" t="s">
        <v>17805</v>
      </c>
      <c r="C17978" t="str">
        <f>IFERROR(__xludf.DUMMYFUNCTION("GOOGLETRANSLATE(B17978, ""es"", ""en"")"),"Very good it is fine for birthday gift. I liked it a lot. 30 comes with waxes 5 within your package.")</f>
        <v>Very good it is fine for birthday gift. I liked it a lot. 30 comes with waxes 5 within your package.</v>
      </c>
    </row>
    <row r="17979">
      <c r="A17979" s="1">
        <v>4.0</v>
      </c>
      <c r="B17979" s="1" t="s">
        <v>17806</v>
      </c>
      <c r="C17979" t="str">
        <f>IFERROR(__xludf.DUMMYFUNCTION("GOOGLETRANSLATE(B17979, ""es"", ""en"")"),"Good buy, short height perform their function perfectly. Ideally they were higher or could regulate its height. But it's as easy as, if necessary, put a book underneath. The base is heavy enough to not to move.")</f>
        <v>Good buy, short height perform their function perfectly. Ideally they were higher or could regulate its height. But it's as easy as, if necessary, put a book underneath. The base is heavy enough to not to move.</v>
      </c>
    </row>
    <row r="17980">
      <c r="A17980" s="1">
        <v>4.0</v>
      </c>
      <c r="B17980" s="1" t="s">
        <v>17807</v>
      </c>
      <c r="C17980" t="str">
        <f>IFERROR(__xludf.DUMMYFUNCTION("GOOGLETRANSLATE(B17980, ""es"", ""en"")"),"Daniel The shoes are very comfortable but I get a little big")</f>
        <v>Daniel The shoes are very comfortable but I get a little big</v>
      </c>
    </row>
    <row r="17981">
      <c r="A17981" s="1">
        <v>4.0</v>
      </c>
      <c r="B17981" s="1" t="s">
        <v>17808</v>
      </c>
      <c r="C17981" t="str">
        <f>IFERROR(__xludf.DUMMYFUNCTION("GOOGLETRANSLATE(B17981, ""es"", ""en"")"),"Good socks but only for winter")</f>
        <v>Good socks but only for winter</v>
      </c>
    </row>
    <row r="17982">
      <c r="A17982" s="1">
        <v>5.0</v>
      </c>
      <c r="B17982" s="1" t="s">
        <v>17809</v>
      </c>
      <c r="C17982" t="str">
        <f>IFERROR(__xludf.DUMMYFUNCTION("GOOGLETRANSLATE(B17982, ""es"", ""en"")"),"Comodo Like")</f>
        <v>Comodo Like</v>
      </c>
    </row>
    <row r="17983">
      <c r="A17983" s="1">
        <v>5.0</v>
      </c>
      <c r="B17983" s="1" t="s">
        <v>17810</v>
      </c>
      <c r="C17983" t="str">
        <f>IFERROR(__xludf.DUMMYFUNCTION("GOOGLETRANSLATE(B17983, ""es"", ""en"")"),"Good price for a ssd !! I can not appreciate good because I think came defectuoso.Tras install windows I began to disk errors and imformacion so I've had to return and ask other than to rule it problem motherboard is not kept. In any case when you try the"&amp;" other (one Kingston) confirmeth whether or not it was defective and will add it to the comment. EDITED (I have to rectify my opinion on this article because with the new album the same thing happens so it's no problem hard drive)")</f>
        <v>Good price for a ssd !! I can not appreciate good because I think came defectuoso.Tras install windows I began to disk errors and imformacion so I've had to return and ask other than to rule it problem motherboard is not kept. In any case when you try the other (one Kingston) confirmeth whether or not it was defective and will add it to the comment. EDITED (I have to rectify my opinion on this article because with the new album the same thing happens so it's no problem hard drive)</v>
      </c>
    </row>
    <row r="17984">
      <c r="A17984" s="1">
        <v>5.0</v>
      </c>
      <c r="B17984" s="1" t="s">
        <v>17811</v>
      </c>
      <c r="C17984" t="str">
        <f>IFERROR(__xludf.DUMMYFUNCTION("GOOGLETRANSLATE(B17984, ""es"", ""en"")"),"He quickly design and Russel Hobbs kettle has a very nice design, it is worth paying a little more because it will be continually view, water heats in a very fast way")</f>
        <v>He quickly design and Russel Hobbs kettle has a very nice design, it is worth paying a little more because it will be continually view, water heats in a very fast way</v>
      </c>
    </row>
    <row r="17985">
      <c r="A17985" s="1">
        <v>5.0</v>
      </c>
      <c r="B17985" s="1" t="s">
        <v>17812</v>
      </c>
      <c r="C17985" t="str">
        <f>IFERROR(__xludf.DUMMYFUNCTION("GOOGLETRANSLATE(B17985, ""es"", ""en"")"),"Meet expectations Regarding the use nike size 47 / 47.5 and 47 1/3 adidas, these asics with size 47 fit me perfect. The sole is hard, but I think that is already known in advance seeing the kind of shoe that is.")</f>
        <v>Meet expectations Regarding the use nike size 47 / 47.5 and 47 1/3 adidas, these asics with size 47 fit me perfect. The sole is hard, but I think that is already known in advance seeing the kind of shoe that is.</v>
      </c>
    </row>
    <row r="17986">
      <c r="A17986" s="1">
        <v>5.0</v>
      </c>
      <c r="B17986" s="1" t="s">
        <v>17813</v>
      </c>
      <c r="C17986" t="str">
        <f>IFERROR(__xludf.DUMMYFUNCTION("GOOGLETRANSLATE(B17986, ""es"", ""en"")"),"It meets expectations met, but did not know a fact. You have to download the app on the device before use. But it's simple, follow a few steps and you can download your files on the memory card. The adapter is a nice touch, although I do not need because "&amp;"my phone had room for micro. I recommend it to anyone who does not need a mass storage. Also it came well protected.")</f>
        <v>It meets expectations met, but did not know a fact. You have to download the app on the device before use. But it's simple, follow a few steps and you can download your files on the memory card. The adapter is a nice touch, although I do not need because my phone had room for micro. I recommend it to anyone who does not need a mass storage. Also it came well protected.</v>
      </c>
    </row>
    <row r="17987">
      <c r="A17987" s="1">
        <v>5.0</v>
      </c>
      <c r="B17987" s="1" t="s">
        <v>17814</v>
      </c>
      <c r="C17987" t="str">
        <f>IFERROR(__xludf.DUMMYFUNCTION("GOOGLETRANSLATE(B17987, ""es"", ""en"")"),"ideal was what I needed ... by the way ... on the advice directricesde just 5 or 10 ..no palaberas can exijoir that all products Let's put an rollazo that time is worth gold and ...")</f>
        <v>ideal was what I needed ... by the way ... on the advice directricesde just 5 or 10 ..no palaberas can exijoir that all products Let's put an rollazo that time is worth gold and ...</v>
      </c>
    </row>
    <row r="17988">
      <c r="A17988" s="1">
        <v>5.0</v>
      </c>
      <c r="B17988" s="1" t="s">
        <v>17815</v>
      </c>
      <c r="C17988" t="str">
        <f>IFERROR(__xludf.DUMMYFUNCTION("GOOGLETRANSLATE(B17988, ""es"", ""en"")"),"Good product. The magnet works well, the draft is also magnetized. I am satisfied with the product itself. The only buy a good pen. Those who come with the product are very bad that neither seen.")</f>
        <v>Good product. The magnet works well, the draft is also magnetized. I am satisfied with the product itself. The only buy a good pen. Those who come with the product are very bad that neither seen.</v>
      </c>
    </row>
    <row r="17989">
      <c r="A17989" s="1">
        <v>5.0</v>
      </c>
      <c r="B17989" s="1" t="s">
        <v>17816</v>
      </c>
      <c r="C17989" t="str">
        <f>IFERROR(__xludf.DUMMYFUNCTION("GOOGLETRANSLATE(B17989, ""es"", ""en"")"),"acceptable quality good value for money, the suetido is very varied in color and sizing are high and low size. Comfortable and well washed. My problems have not given me any.")</f>
        <v>acceptable quality good value for money, the suetido is very varied in color and sizing are high and low size. Comfortable and well washed. My problems have not given me any.</v>
      </c>
    </row>
    <row r="17990">
      <c r="A17990" s="1">
        <v>5.0</v>
      </c>
      <c r="B17990" s="1" t="s">
        <v>17817</v>
      </c>
      <c r="C17990" t="str">
        <f>IFERROR(__xludf.DUMMYFUNCTION("GOOGLETRANSLATE(B17990, ""es"", ""en"")"),"meets The full article described as described, it is comfortable.")</f>
        <v>meets The full article described as described, it is comfortable.</v>
      </c>
    </row>
    <row r="17991">
      <c r="A17991" s="1">
        <v>5.0</v>
      </c>
      <c r="B17991" s="1" t="s">
        <v>17818</v>
      </c>
      <c r="C17991" t="str">
        <f>IFERROR(__xludf.DUMMYFUNCTION("GOOGLETRANSLATE(B17991, ""es"", ""en"")"),"Perfect Love, are very nice, very comfortable arrived a day earlier than planned purchase 100% recommended")</f>
        <v>Perfect Love, are very nice, very comfortable arrived a day earlier than planned purchase 100% recommended</v>
      </c>
    </row>
    <row r="17992">
      <c r="A17992" s="1">
        <v>5.0</v>
      </c>
      <c r="B17992" s="1" t="s">
        <v>17819</v>
      </c>
      <c r="C17992" t="str">
        <f>IFERROR(__xludf.DUMMYFUNCTION("GOOGLETRANSLATE(B17992, ""es"", ""en"")"),"Happy with purchase We hear very well, they are quite comfortable, doing sports do not fall and grip the ear is comfortable. The battery lasts more than 5 hours listening to music and conversations are understood quite well.")</f>
        <v>Happy with purchase We hear very well, they are quite comfortable, doing sports do not fall and grip the ear is comfortable. The battery lasts more than 5 hours listening to music and conversations are understood quite well.</v>
      </c>
    </row>
    <row r="17993">
      <c r="A17993" s="1">
        <v>5.0</v>
      </c>
      <c r="B17993" s="1" t="s">
        <v>17820</v>
      </c>
      <c r="C17993" t="str">
        <f>IFERROR(__xludf.DUMMYFUNCTION("GOOGLETRANSLATE(B17993, ""es"", ""en"")"),"The background color 100% excellent, I love")</f>
        <v>The background color 100% excellent, I love</v>
      </c>
    </row>
    <row r="17994">
      <c r="A17994" s="1">
        <v>5.0</v>
      </c>
      <c r="B17994" s="1" t="s">
        <v>17821</v>
      </c>
      <c r="C17994" t="str">
        <f>IFERROR(__xludf.DUMMYFUNCTION("GOOGLETRANSLATE(B17994, ""es"", ""en"")"),"I was looking like a kettle for some time. That is good choice for the money spent. Robust and attractive, surely not disappoint.")</f>
        <v>I was looking like a kettle for some time. That is good choice for the money spent. Robust and attractive, surely not disappoint.</v>
      </c>
    </row>
    <row r="17995">
      <c r="A17995" s="1">
        <v>5.0</v>
      </c>
      <c r="B17995" s="1" t="s">
        <v>17822</v>
      </c>
      <c r="C17995" t="str">
        <f>IFERROR(__xludf.DUMMYFUNCTION("GOOGLETRANSLATE(B17995, ""es"", ""en"")"),"Affordable headphones with good grip small ears bluetooth headset on the ear almost imperceptible. They have multiple padded to accommodate ears without moving. Regarding pairing, at the beginning it is a little confusing and slow to mate the first time b"&amp;"ut then do it fairly quickly. The sound is right and good volume. x is handled touch to the handset. They can be used together or separately.")</f>
        <v>Affordable headphones with good grip small ears bluetooth headset on the ear almost imperceptible. They have multiple padded to accommodate ears without moving. Regarding pairing, at the beginning it is a little confusing and slow to mate the first time but then do it fairly quickly. The sound is right and good volume. x is handled touch to the handset. They can be used together or separately.</v>
      </c>
    </row>
    <row r="17996">
      <c r="A17996" s="1">
        <v>5.0</v>
      </c>
      <c r="B17996" s="1" t="s">
        <v>17823</v>
      </c>
      <c r="C17996" t="str">
        <f>IFERROR(__xludf.DUMMYFUNCTION("GOOGLETRANSLATE(B17996, ""es"", ""en"")"),"A most elegant Casio Casio's a pretty ""sport"" that is stylish without going over ""snobbish"". It works perfectly, I have a year ago, that I gave it my partner and I ended up being me. Thus, it is also great on a woman doll, though ... Who said we shoul"&amp;"d take young women and great men watches? In any case it is not too big or small, is suitable for anyone and I would say combinable with almost any look.")</f>
        <v>A most elegant Casio Casio's a pretty "sport" that is stylish without going over "snobbish". It works perfectly, I have a year ago, that I gave it my partner and I ended up being me. Thus, it is also great on a woman doll, though ... Who said we should take young women and great men watches? In any case it is not too big or small, is suitable for anyone and I would say combinable with almost any look.</v>
      </c>
    </row>
    <row r="17997">
      <c r="A17997" s="1">
        <v>5.0</v>
      </c>
      <c r="B17997" s="1" t="s">
        <v>17824</v>
      </c>
      <c r="C17997" t="str">
        <f>IFERROR(__xludf.DUMMYFUNCTION("GOOGLETRANSLATE(B17997, ""es"", ""en"")"),"Botas good product quality, the sizing is correct. The expected color. This product is in line with the expectations I had of him. Very good price")</f>
        <v>Botas good product quality, the sizing is correct. The expected color. This product is in line with the expectations I had of him. Very good price</v>
      </c>
    </row>
    <row r="17998">
      <c r="A17998" s="1">
        <v>5.0</v>
      </c>
      <c r="B17998" s="1" t="s">
        <v>17825</v>
      </c>
      <c r="C17998" t="str">
        <f>IFERROR(__xludf.DUMMYFUNCTION("GOOGLETRANSLATE(B17998, ""es"", ""en"")"),"All delivery and overall quality")</f>
        <v>All delivery and overall quality</v>
      </c>
    </row>
    <row r="17999">
      <c r="A17999" s="1">
        <v>5.0</v>
      </c>
      <c r="B17999" s="1" t="s">
        <v>17826</v>
      </c>
      <c r="C17999" t="str">
        <f>IFERROR(__xludf.DUMMYFUNCTION("GOOGLETRANSLATE(B17999, ""es"", ""en"")"),"TXEMA Perfect, by size, by how well the measures are, by the amount of elche coming out of the nipple. Good price, good brand")</f>
        <v>TXEMA Perfect, by size, by how well the measures are, by the amount of elche coming out of the nipple. Good price, good brand</v>
      </c>
    </row>
    <row r="18000">
      <c r="A18000" s="1">
        <v>5.0</v>
      </c>
      <c r="B18000" s="1" t="s">
        <v>17827</v>
      </c>
      <c r="C18000" t="str">
        <f>IFERROR(__xludf.DUMMYFUNCTION("GOOGLETRANSLATE(B18000, ""es"", ""en"")"),"This appliance quality and price we use it daily at home and is perfect for its design and capacity.")</f>
        <v>This appliance quality and price we use it daily at home and is perfect for its design and capacity.</v>
      </c>
    </row>
    <row r="18001">
      <c r="A18001" s="1">
        <v>2.0</v>
      </c>
      <c r="B18001" s="1" t="s">
        <v>17828</v>
      </c>
      <c r="C18001" t="str">
        <f>IFERROR(__xludf.DUMMYFUNCTION("GOOGLETRANSLATE(B18001, ""es"", ""en"")"),"Not the best electric blanket has good finishes but technically is a blanket to warm and cold days you turn it to the least 2 hours before going to bed and always in the average or maximum choice because of the slowness of heating resistors distributed by"&amp;" the inner surface. In short, makes his role but for a little extra money and even less, get a programmer with more options and more efficient heating")</f>
        <v>Not the best electric blanket has good finishes but technically is a blanket to warm and cold days you turn it to the least 2 hours before going to bed and always in the average or maximum choice because of the slowness of heating resistors distributed by the inner surface. In short, makes his role but for a little extra money and even less, get a programmer with more options and more efficient heating</v>
      </c>
    </row>
    <row r="18002">
      <c r="A18002" s="1">
        <v>3.0</v>
      </c>
      <c r="B18002" s="1" t="s">
        <v>17829</v>
      </c>
      <c r="C18002" t="str">
        <f>IFERROR(__xludf.DUMMYFUNCTION("GOOGLETRANSLATE(B18002, ""es"", ""en"")"),"So comfortable are spectacularly comfortable, have a foot wide and rather flat so finding footwear that is comfortable for me is usually complicated. It's like wearing a sport. Edito and I put it three stars because, where I have come, one of the tabs wil"&amp;"l always go for the side. Regarding the sizes, I usually use on shirts and shoes 46 (Panama Jack) 45, 45.5 and asked me is perfect. If above last will be perfect.")</f>
        <v>So comfortable are spectacularly comfortable, have a foot wide and rather flat so finding footwear that is comfortable for me is usually complicated. It's like wearing a sport. Edito and I put it three stars because, where I have come, one of the tabs will always go for the side. Regarding the sizes, I usually use on shirts and shoes 46 (Panama Jack) 45, 45.5 and asked me is perfect. If above last will be perfect.</v>
      </c>
    </row>
    <row r="18003">
      <c r="A18003" s="1">
        <v>1.0</v>
      </c>
      <c r="B18003" s="1" t="s">
        <v>17830</v>
      </c>
      <c r="C18003" t="str">
        <f>IFERROR(__xludf.DUMMYFUNCTION("GOOGLETRANSLATE(B18003, ""es"", ""en"")"),"I have not had good sound quality has not gone well the truth, helmet left a steady whistle that prevented the sound quality in terms of manipulation by touch very well be heard, only that the sound was not optimal")</f>
        <v>I have not had good sound quality has not gone well the truth, helmet left a steady whistle that prevented the sound quality in terms of manipulation by touch very well be heard, only that the sound was not optimal</v>
      </c>
    </row>
    <row r="18004">
      <c r="A18004" s="1">
        <v>1.0</v>
      </c>
      <c r="B18004" s="1" t="s">
        <v>17831</v>
      </c>
      <c r="C18004" t="str">
        <f>IFERROR(__xludf.DUMMYFUNCTION("GOOGLETRANSLATE(B18004, ""es"", ""en"")"),"Very small paraser 48mm watch is tiny box")</f>
        <v>Very small paraser 48mm watch is tiny box</v>
      </c>
    </row>
    <row r="18005">
      <c r="A18005" s="1">
        <v>4.0</v>
      </c>
      <c r="B18005" s="1" t="s">
        <v>17832</v>
      </c>
      <c r="C18005" t="str">
        <f>IFERROR(__xludf.DUMMYFUNCTION("GOOGLETRANSLATE(B18005, ""es"", ""en"")"),"I use it to be perfect at home. I recommend are very comfortable")</f>
        <v>I use it to be perfect at home. I recommend are very comfortable</v>
      </c>
    </row>
    <row r="18006">
      <c r="A18006" s="1">
        <v>4.0</v>
      </c>
      <c r="B18006" s="1" t="s">
        <v>17833</v>
      </c>
      <c r="C18006" t="str">
        <f>IFERROR(__xludf.DUMMYFUNCTION("GOOGLETRANSLATE(B18006, ""es"", ""en"")"),"The convenience use daily to dress ,,, are very comfortable and lightweight")</f>
        <v>The convenience use daily to dress ,,, are very comfortable and lightweight</v>
      </c>
    </row>
    <row r="18007">
      <c r="A18007" s="1">
        <v>4.0</v>
      </c>
      <c r="B18007" s="1" t="s">
        <v>17834</v>
      </c>
      <c r="C18007" t="str">
        <f>IFERROR(__xludf.DUMMYFUNCTION("GOOGLETRANSLATE(B18007, ""es"", ""en"")"),"Banding Tesa works great, practical and comfortable")</f>
        <v>Banding Tesa works great, practical and comfortable</v>
      </c>
    </row>
    <row r="18008">
      <c r="A18008" s="1">
        <v>4.0</v>
      </c>
      <c r="B18008" s="1" t="s">
        <v>17835</v>
      </c>
      <c r="C18008" t="str">
        <f>IFERROR(__xludf.DUMMYFUNCTION("GOOGLETRANSLATE(B18008, ""es"", ""en"")"),"As advertised as advertised")</f>
        <v>As advertised as advertised</v>
      </c>
    </row>
    <row r="18009">
      <c r="A18009" s="1">
        <v>4.0</v>
      </c>
      <c r="B18009" s="1" t="s">
        <v>17836</v>
      </c>
      <c r="C18009" t="str">
        <f>IFERROR(__xludf.DUMMYFUNCTION("GOOGLETRANSLATE(B18009, ""es"", ""en"")"),"Priducto good .... just a nice watch but the vusibilidad is not very good, but it looks, I imagine will not drink the stack in a month. For the rest, size, style, functions, handling very well .... that if you buy € 104, € 200 would not have bought.")</f>
        <v>Priducto good .... just a nice watch but the vusibilidad is not very good, but it looks, I imagine will not drink the stack in a month. For the rest, size, style, functions, handling very well .... that if you buy € 104, € 200 would not have bought.</v>
      </c>
    </row>
    <row r="18010">
      <c r="A18010" s="1">
        <v>5.0</v>
      </c>
      <c r="B18010" s="1" t="s">
        <v>17837</v>
      </c>
      <c r="C18010" t="str">
        <f>IFERROR(__xludf.DUMMYFUNCTION("GOOGLETRANSLATE(B18010, ""es"", ""en"")"),"Shirts skeachers Todo perfecto !! Shirts super comfy")</f>
        <v>Shirts skeachers Todo perfecto !! Shirts super comfy</v>
      </c>
    </row>
    <row r="18011">
      <c r="A18011" s="1">
        <v>5.0</v>
      </c>
      <c r="B18011" s="1" t="s">
        <v>17838</v>
      </c>
      <c r="C18011" t="str">
        <f>IFERROR(__xludf.DUMMYFUNCTION("GOOGLETRANSLATE(B18011, ""es"", ""en"")"),"Headphones with good sound and very comfortable These headphones are great and the sound quality is amazing. I use them mainly for jogging and one thing that I value very much part of the sound is remaining tight because it is quite uncomfortable that are"&amp;" falling, those with the hook having stays adjusted perfectly and very comfortable to wear. I'm using the daily running about about an hour and after 5 days still have battery. Another advantage of these headphones is where you store, which in turn is a c"&amp;"harging station, which is great when no electricity is available.")</f>
        <v>Headphones with good sound and very comfortable These headphones are great and the sound quality is amazing. I use them mainly for jogging and one thing that I value very much part of the sound is remaining tight because it is quite uncomfortable that are falling, those with the hook having stays adjusted perfectly and very comfortable to wear. I'm using the daily running about about an hour and after 5 days still have battery. Another advantage of these headphones is where you store, which in turn is a charging station, which is great when no electricity is available.</v>
      </c>
    </row>
    <row r="18012">
      <c r="A18012" s="1">
        <v>5.0</v>
      </c>
      <c r="B18012" s="1" t="s">
        <v>17839</v>
      </c>
      <c r="C18012" t="str">
        <f>IFERROR(__xludf.DUMMYFUNCTION("GOOGLETRANSLATE(B18012, ""es"", ""en"")"),"It goes very well Aguanta many hours hot water, use it to prepare my baby bottles and doing very well. The only downside is that it smells like tar, I hope to go disappearing uses odor.")</f>
        <v>It goes very well Aguanta many hours hot water, use it to prepare my baby bottles and doing very well. The only downside is that it smells like tar, I hope to go disappearing uses odor.</v>
      </c>
    </row>
    <row r="18013">
      <c r="A18013" s="1">
        <v>5.0</v>
      </c>
      <c r="B18013" s="1" t="s">
        <v>17840</v>
      </c>
      <c r="C18013" t="str">
        <f>IFERROR(__xludf.DUMMYFUNCTION("GOOGLETRANSLATE(B18013, ""es"", ""en"")"),"Good converter works great and I have not had any problems, both VGA and HDMI. Definitely a must buy for any Mac user.")</f>
        <v>Good converter works great and I have not had any problems, both VGA and HDMI. Definitely a must buy for any Mac user.</v>
      </c>
    </row>
    <row r="18014">
      <c r="A18014" s="1">
        <v>5.0</v>
      </c>
      <c r="B18014" s="1" t="s">
        <v>238</v>
      </c>
      <c r="C18014" t="str">
        <f>IFERROR(__xludf.DUMMYFUNCTION("GOOGLETRANSLATE(B18014, ""es"", ""en"")"),"perfect perfect")</f>
        <v>perfect perfect</v>
      </c>
    </row>
    <row r="18015">
      <c r="A18015" s="1">
        <v>5.0</v>
      </c>
      <c r="B18015" s="1" t="s">
        <v>17841</v>
      </c>
      <c r="C18015" t="str">
        <f>IFERROR(__xludf.DUMMYFUNCTION("GOOGLETRANSLATE(B18015, ""es"", ""en"")"),"Mandatory for all new Macbook users needs no description because it is very simple. It should be sold in all supermarkets as it is an indispensable solution for new users Macbook, right price to a current pendrive device. Recommended to all my friends and"&amp;" acquaintances.")</f>
        <v>Mandatory for all new Macbook users needs no description because it is very simple. It should be sold in all supermarkets as it is an indispensable solution for new users Macbook, right price to a current pendrive device. Recommended to all my friends and acquaintances.</v>
      </c>
    </row>
    <row r="18016">
      <c r="A18016" s="1">
        <v>5.0</v>
      </c>
      <c r="B18016" s="1" t="s">
        <v>17842</v>
      </c>
      <c r="C18016" t="str">
        <f>IFERROR(__xludf.DUMMYFUNCTION("GOOGLETRANSLATE(B18016, ""es"", ""en"")"),"M.2 speed and capacity Fantastic format hard drive to equip a minicomputer for not much money. M.2 connect into the slot and work. Very fast and sized to make us the only drive of your system.")</f>
        <v>M.2 speed and capacity Fantastic format hard drive to equip a minicomputer for not much money. M.2 connect into the slot and work. Very fast and sized to make us the only drive of your system.</v>
      </c>
    </row>
    <row r="18017">
      <c r="A18017" s="1">
        <v>5.0</v>
      </c>
      <c r="B18017" s="1" t="s">
        <v>17843</v>
      </c>
      <c r="C18017" t="str">
        <f>IFERROR(__xludf.DUMMYFUNCTION("GOOGLETRANSLATE(B18017, ""es"", ""en"")"),"Easy to clean and fits the baby the best bottle you have. No chokes and uses from very tiny. With Philips Teat 1 it is very easy to contrast with other bottles in which the retina is bent too much or too rígida.Es easy to clean and ergonomic.")</f>
        <v>Easy to clean and fits the baby the best bottle you have. No chokes and uses from very tiny. With Philips Teat 1 it is very easy to contrast with other bottles in which the retina is bent too much or too rígida.Es easy to clean and ergonomic.</v>
      </c>
    </row>
    <row r="18018">
      <c r="A18018" s="1">
        <v>5.0</v>
      </c>
      <c r="B18018" s="1" t="s">
        <v>17844</v>
      </c>
      <c r="C18018" t="str">
        <f>IFERROR(__xludf.DUMMYFUNCTION("GOOGLETRANSLATE(B18018, ""es"", ""en"")"),"Funcioinando perfectly Package has arrived quickly and well packaged. The three pendrives run smoothly. They are small, which is what I wanted, and well, to record music for the car, fulfill their purpose perfectly. As for the seller, thank speed and of c"&amp;"ourse, recommend it as a trusted seller.")</f>
        <v>Funcioinando perfectly Package has arrived quickly and well packaged. The three pendrives run smoothly. They are small, which is what I wanted, and well, to record music for the car, fulfill their purpose perfectly. As for the seller, thank speed and of course, recommend it as a trusted seller.</v>
      </c>
    </row>
    <row r="18019">
      <c r="A18019" s="1">
        <v>5.0</v>
      </c>
      <c r="B18019" s="1" t="s">
        <v>17845</v>
      </c>
      <c r="C18019" t="str">
        <f>IFERROR(__xludf.DUMMYFUNCTION("GOOGLETRANSLATE(B18019, ""es"", ""en"")"),"Very nice watch good watch. Elegant. The metal strap very comfortable, better than it appears. Product originates Delivered in box with manual.")</f>
        <v>Very nice watch good watch. Elegant. The metal strap very comfortable, better than it appears. Product originates Delivered in box with manual.</v>
      </c>
    </row>
    <row r="18020">
      <c r="A18020" s="1">
        <v>5.0</v>
      </c>
      <c r="B18020" s="1" t="s">
        <v>17846</v>
      </c>
      <c r="C18020" t="str">
        <f>IFERROR(__xludf.DUMMYFUNCTION("GOOGLETRANSLATE(B18020, ""es"", ""en"")"),"Fun is fun but not much volume, sounds good")</f>
        <v>Fun is fun but not much volume, sounds good</v>
      </c>
    </row>
    <row r="18021">
      <c r="A18021" s="1">
        <v>5.0</v>
      </c>
      <c r="B18021" s="1" t="s">
        <v>17847</v>
      </c>
      <c r="C18021" t="str">
        <f>IFERROR(__xludf.DUMMYFUNCTION("GOOGLETRANSLATE(B18021, ""es"", ""en"")"),"Microphone is perhaps the most appropriate microphone for money; nice retro design, with technical features more than acceptable for podcasting, video call, etc. Say that as in all microphones that are connected by USB, latency is zero, when listening thr"&amp;"ough headphones connected to the microphone. To set the zero latency, Control Panel - Sound - Record - Stereo Mix I (this has to be set as ""Default Device)"").")</f>
        <v>Microphone is perhaps the most appropriate microphone for money; nice retro design, with technical features more than acceptable for podcasting, video call, etc. Say that as in all microphones that are connected by USB, latency is zero, when listening through headphones connected to the microphone. To set the zero latency, Control Panel - Sound - Record - Stereo Mix I (this has to be set as "Default Device)").</v>
      </c>
    </row>
    <row r="18022">
      <c r="A18022" s="1">
        <v>5.0</v>
      </c>
      <c r="B18022" s="1" t="s">
        <v>17848</v>
      </c>
      <c r="C18022" t="str">
        <f>IFERROR(__xludf.DUMMYFUNCTION("GOOGLETRANSLATE(B18022, ""es"", ""en"")"),"Perfect size Anteriormnte had tnido d 6 and 8mm and one m was small and the other large, m cost much find the size of 7mm q is the q is the perfect size for the nose, has close but once not closed notice anything and it opens very easily")</f>
        <v>Perfect size Anteriormnte had tnido d 6 and 8mm and one m was small and the other large, m cost much find the size of 7mm q is the q is the perfect size for the nose, has close but once not closed notice anything and it opens very easily</v>
      </c>
    </row>
    <row r="18023">
      <c r="A18023" s="1">
        <v>5.0</v>
      </c>
      <c r="B18023" s="1" t="s">
        <v>17849</v>
      </c>
      <c r="C18023" t="str">
        <f>IFERROR(__xludf.DUMMYFUNCTION("GOOGLETRANSLATE(B18023, ""es"", ""en"")"),"How easy to use and convenient to carry, good tight I like so much good power and very easy and practical, is great for preparing drinks and take this great work I liked me very much recommend")</f>
        <v>How easy to use and convenient to carry, good tight I like so much good power and very easy and practical, is great for preparing drinks and take this great work I liked me very much recommend</v>
      </c>
    </row>
    <row r="18024">
      <c r="A18024" s="1">
        <v>5.0</v>
      </c>
      <c r="B18024" s="1" t="s">
        <v>17850</v>
      </c>
      <c r="C18024" t="str">
        <f>IFERROR(__xludf.DUMMYFUNCTION("GOOGLETRANSLATE(B18024, ""es"", ""en"")"),"It is difficult to put a nice rings and discreet. The size is ideal. The only thing is it is very complicated ponel earrings. Thinning is the enchache")</f>
        <v>It is difficult to put a nice rings and discreet. The size is ideal. The only thing is it is very complicated ponel earrings. Thinning is the enchache</v>
      </c>
    </row>
    <row r="18025">
      <c r="A18025" s="1">
        <v>5.0</v>
      </c>
      <c r="B18025" s="1" t="s">
        <v>17851</v>
      </c>
      <c r="C18025" t="str">
        <f>IFERROR(__xludf.DUMMYFUNCTION("GOOGLETRANSLATE(B18025, ""es"", ""en"")"),"Happy Mother My mother is happy")</f>
        <v>Happy Mother My mother is happy</v>
      </c>
    </row>
    <row r="18026">
      <c r="A18026" s="1">
        <v>5.0</v>
      </c>
      <c r="B18026" s="1" t="s">
        <v>17852</v>
      </c>
      <c r="C18026" t="str">
        <f>IFERROR(__xludf.DUMMYFUNCTION("GOOGLETRANSLATE(B18026, ""es"", ""en"")"),"Easy to use is very easy to use and control, it is not complicated or anything, had bought thinking it is full of water too, but massager, but the end I would stay because it is sooo comfortable when you are tired and massage In the feet!!")</f>
        <v>Easy to use is very easy to use and control, it is not complicated or anything, had bought thinking it is full of water too, but massager, but the end I would stay because it is sooo comfortable when you are tired and massage In the feet!!</v>
      </c>
    </row>
    <row r="18027">
      <c r="A18027" s="1">
        <v>5.0</v>
      </c>
      <c r="B18027" s="1" t="s">
        <v>17853</v>
      </c>
      <c r="C18027" t="str">
        <f>IFERROR(__xludf.DUMMYFUNCTION("GOOGLETRANSLATE(B18027, ""es"", ""en"")"),"Great teapot is simple but perfect. Just what I needed!!! It meets all my expectations. I'm very happy. I recommend it.")</f>
        <v>Great teapot is simple but perfect. Just what I needed!!! It meets all my expectations. I'm very happy. I recommend it.</v>
      </c>
    </row>
    <row r="18028">
      <c r="A18028" s="1">
        <v>5.0</v>
      </c>
      <c r="B18028" s="1" t="s">
        <v>17854</v>
      </c>
      <c r="C18028" t="str">
        <f>IFERROR(__xludf.DUMMYFUNCTION("GOOGLETRANSLATE(B18028, ""es"", ""en"")"),"As described As described. Perhaps the number is slightly right. Wear liner inside so they feel that they will be calentitas but that condition is not met in the todo.Son comfortable and wide")</f>
        <v>As described As described. Perhaps the number is slightly right. Wear liner inside so they feel that they will be calentitas but that condition is not met in the todo.Son comfortable and wide</v>
      </c>
    </row>
    <row r="18029">
      <c r="A18029" s="1">
        <v>2.0</v>
      </c>
      <c r="B18029" s="1" t="s">
        <v>17855</v>
      </c>
      <c r="C18029" t="str">
        <f>IFERROR(__xludf.DUMMYFUNCTION("GOOGLETRANSLATE(B18029, ""es"", ""en"")"),"Oils ... Well ... oils used for an aromatic diffuser but there are few smells worthwhile. They are very artificial low durability in the environment")</f>
        <v>Oils ... Well ... oils used for an aromatic diffuser but there are few smells worthwhile. They are very artificial low durability in the environment</v>
      </c>
    </row>
    <row r="18030">
      <c r="A18030" s="1">
        <v>3.0</v>
      </c>
      <c r="B18030" s="1" t="s">
        <v>17856</v>
      </c>
      <c r="C18030" t="str">
        <f>IFERROR(__xludf.DUMMYFUNCTION("GOOGLETRANSLATE(B18030, ""es"", ""en"")"),"audio headphones for the price cuts they have heard right. They are comfortable. The only downside I put him, is that occasionally you cut the audio.")</f>
        <v>audio headphones for the price cuts they have heard right. They are comfortable. The only downside I put him, is that occasionally you cut the audio.</v>
      </c>
    </row>
    <row r="18031">
      <c r="A18031" s="1">
        <v>3.0</v>
      </c>
      <c r="B18031" s="1" t="s">
        <v>17857</v>
      </c>
      <c r="C18031" t="str">
        <f>IFERROR(__xludf.DUMMYFUNCTION("GOOGLETRANSLATE(B18031, ""es"", ""en"")"),"Noise Canceling good touch but patetico I had before about Bose QC35, and I must say noise cancellation works best on Sony. However, I am not able to understand the touch controls. When I want to do volume break up when I want to pause hop song ... it's a"&amp;" mess. And the crown is narrow and noticed his pressure on the head. The I'll try on a trip this week but it's safer than back and buy Bose QC35II.")</f>
        <v>Noise Canceling good touch but patetico I had before about Bose QC35, and I must say noise cancellation works best on Sony. However, I am not able to understand the touch controls. When I want to do volume break up when I want to pause hop song ... it's a mess. And the crown is narrow and noticed his pressure on the head. The I'll try on a trip this week but it's safer than back and buy Bose QC35II.</v>
      </c>
    </row>
    <row r="18032">
      <c r="A18032" s="1">
        <v>1.0</v>
      </c>
      <c r="B18032" s="1" t="s">
        <v>17858</v>
      </c>
      <c r="C18032" t="str">
        <f>IFERROR(__xludf.DUMMYFUNCTION("GOOGLETRANSLATE(B18032, ""es"", ""en"")"),"Faulty or false. O is defective, or it is a forgery. It never worked well, made me lose photos and songs, and after formatting several times, I have had to withdraw from the mobile. I have written reporting and have not answered me. Better not to buy. Som"&amp;"etimes chollos are expensive.")</f>
        <v>Faulty or false. O is defective, or it is a forgery. It never worked well, made me lose photos and songs, and after formatting several times, I have had to withdraw from the mobile. I have written reporting and have not answered me. Better not to buy. Sometimes chollos are expensive.</v>
      </c>
    </row>
    <row r="18033">
      <c r="A18033" s="1">
        <v>1.0</v>
      </c>
      <c r="B18033" s="1" t="s">
        <v>17859</v>
      </c>
      <c r="C18033" t="str">
        <f>IFERROR(__xludf.DUMMYFUNCTION("GOOGLETRANSLATE(B18033, ""es"", ""en"")"),"RESPONSE BY MUTIS poor quality and very small, I HAVE PROBLEMS IN ADDITION TO RETURN, WE MUST SEND MAIL FOR POSTAGE PAID TO RETURN IT, WHY HAVE guess LABELS WITH INTERNATIONAL RETURN AND DO ME postpaid been answered. THE OTHER HAVE GIVEN ME solution that "&amp;"I returned PART OF THE AMOUNT YOU HAVE ANSWERED ME EITHER BUT WHAT WOULD BE THE AMOUNT")</f>
        <v>RESPONSE BY MUTIS poor quality and very small, I HAVE PROBLEMS IN ADDITION TO RETURN, WE MUST SEND MAIL FOR POSTAGE PAID TO RETURN IT, WHY HAVE guess LABELS WITH INTERNATIONAL RETURN AND DO ME postpaid been answered. THE OTHER HAVE GIVEN ME solution that I returned PART OF THE AMOUNT YOU HAVE ANSWERED ME EITHER BUT WHAT WOULD BE THE AMOUNT</v>
      </c>
    </row>
    <row r="18034">
      <c r="A18034" s="1">
        <v>4.0</v>
      </c>
      <c r="B18034" s="1" t="s">
        <v>17860</v>
      </c>
      <c r="C18034" t="str">
        <f>IFERROR(__xludf.DUMMYFUNCTION("GOOGLETRANSLATE(B18034, ""es"", ""en"")"),"Very happy simple to use and practice")</f>
        <v>Very happy simple to use and practice</v>
      </c>
    </row>
    <row r="18035">
      <c r="A18035" s="1">
        <v>4.0</v>
      </c>
      <c r="B18035" s="1" t="s">
        <v>17861</v>
      </c>
      <c r="C18035" t="str">
        <f>IFERROR(__xludf.DUMMYFUNCTION("GOOGLETRANSLATE(B18035, ""es"", ""en"")"),"happy I am happy with the product, quality and comfort is what I expected but being a product overseas, size is a little smaller than the same here in Spain.")</f>
        <v>happy I am happy with the product, quality and comfort is what I expected but being a product overseas, size is a little smaller than the same here in Spain.</v>
      </c>
    </row>
    <row r="18036">
      <c r="A18036" s="1">
        <v>4.0</v>
      </c>
      <c r="B18036" s="1" t="s">
        <v>17862</v>
      </c>
      <c r="C18036" t="str">
        <f>IFERROR(__xludf.DUMMYFUNCTION("GOOGLETRANSLATE(B18036, ""es"", ""en"")"),"Okay, recommended hoped it was something bigger but not bad for the price it is, it takes something warm but it works well, be as tough, washable material.")</f>
        <v>Okay, recommended hoped it was something bigger but not bad for the price it is, it takes something warm but it works well, be as tough, washable material.</v>
      </c>
    </row>
    <row r="18037">
      <c r="A18037" s="1">
        <v>4.0</v>
      </c>
      <c r="B18037" s="1" t="s">
        <v>17863</v>
      </c>
      <c r="C18037" t="str">
        <f>IFERROR(__xludf.DUMMYFUNCTION("GOOGLETRANSLATE(B18037, ""es"", ""en"")"),"comfortable comfortable")</f>
        <v>comfortable comfortable</v>
      </c>
    </row>
    <row r="18038">
      <c r="A18038" s="1">
        <v>4.0</v>
      </c>
      <c r="B18038" s="1" t="s">
        <v>17864</v>
      </c>
      <c r="C18038" t="str">
        <f>IFERROR(__xludf.DUMMYFUNCTION("GOOGLETRANSLATE(B18038, ""es"", ""en"")"),"terminations Gusto")</f>
        <v>terminations Gusto</v>
      </c>
    </row>
    <row r="18039">
      <c r="A18039" s="1">
        <v>5.0</v>
      </c>
      <c r="B18039" s="1" t="s">
        <v>17865</v>
      </c>
      <c r="C18039" t="str">
        <f>IFERROR(__xludf.DUMMYFUNCTION("GOOGLETRANSLATE(B18039, ""es"", ""en"")"),"Meets my expectations. Overall the product is expected.")</f>
        <v>Meets my expectations. Overall the product is expected.</v>
      </c>
    </row>
    <row r="18040">
      <c r="A18040" s="1">
        <v>5.0</v>
      </c>
      <c r="B18040" s="1" t="s">
        <v>17866</v>
      </c>
      <c r="C18040" t="str">
        <f>IFERROR(__xludf.DUMMYFUNCTION("GOOGLETRANSLATE(B18040, ""es"", ""en"")"),"useful and practical accessory Good quality at a good price.")</f>
        <v>useful and practical accessory Good quality at a good price.</v>
      </c>
    </row>
    <row r="18041">
      <c r="A18041" s="1">
        <v>5.0</v>
      </c>
      <c r="B18041" s="1" t="s">
        <v>17867</v>
      </c>
      <c r="C18041" t="str">
        <f>IFERROR(__xludf.DUMMYFUNCTION("GOOGLETRANSLATE(B18041, ""es"", ""en"")"),"It deserves much worth needed a hard drive that did not have an exorbitant price and I did this has completely convinced me. It is a 500GB hard drive memory that works very fast data transmission and the truth is well worth it. It is also fairly flat and "&amp;"has a very small size. highly recommended")</f>
        <v>It deserves much worth needed a hard drive that did not have an exorbitant price and I did this has completely convinced me. It is a 500GB hard drive memory that works very fast data transmission and the truth is well worth it. It is also fairly flat and has a very small size. highly recommended</v>
      </c>
    </row>
    <row r="18042">
      <c r="A18042" s="1">
        <v>5.0</v>
      </c>
      <c r="B18042" s="1" t="s">
        <v>17868</v>
      </c>
      <c r="C18042" t="str">
        <f>IFERROR(__xludf.DUMMYFUNCTION("GOOGLETRANSLATE(B18042, ""es"", ""en"")"),"It works very well. Recommended Good product, different vibration modes are changed by pressing the button command. The remote control works perfectly. recommendable")</f>
        <v>It works very well. Recommended Good product, different vibration modes are changed by pressing the button command. The remote control works perfectly. recommendable</v>
      </c>
    </row>
    <row r="18043">
      <c r="A18043" s="1">
        <v>5.0</v>
      </c>
      <c r="B18043" s="1" t="s">
        <v>17869</v>
      </c>
      <c r="C18043" t="str">
        <f>IFERROR(__xludf.DUMMYFUNCTION("GOOGLETRANSLATE(B18043, ""es"", ""en"")"),"They are great! Buy them as a gift for my mother and the truth esque is delighted to have been right 100%, she used to go out to do running and says they are Comodisimos to use, I myself and proven and has sound quality very good. It also has a very good "&amp;"detail and the same box in which loads guards and helmets will also be used to charge the phone, generally a very good price-quality ratio")</f>
        <v>They are great! Buy them as a gift for my mother and the truth esque is delighted to have been right 100%, she used to go out to do running and says they are Comodisimos to use, I myself and proven and has sound quality very good. It also has a very good detail and the same box in which loads guards and helmets will also be used to charge the phone, generally a very good price-quality ratio</v>
      </c>
    </row>
    <row r="18044">
      <c r="A18044" s="1">
        <v>5.0</v>
      </c>
      <c r="B18044" s="1" t="s">
        <v>17870</v>
      </c>
      <c r="C18044" t="str">
        <f>IFERROR(__xludf.DUMMYFUNCTION("GOOGLETRANSLATE(B18044, ""es"", ""en"")"),"Very good is perfect, your money very good and what I like is that it is foldable, which allows me to save it or transport it more easily.")</f>
        <v>Very good is perfect, your money very good and what I like is that it is foldable, which allows me to save it or transport it more easily.</v>
      </c>
    </row>
    <row r="18045">
      <c r="A18045" s="1">
        <v>5.0</v>
      </c>
      <c r="B18045" s="1" t="s">
        <v>17871</v>
      </c>
      <c r="C18045" t="str">
        <f>IFERROR(__xludf.DUMMYFUNCTION("GOOGLETRANSLATE(B18045, ""es"", ""en"")"),"Good custard cream lovely, totally recommended, much cheaper than in pharmacy, both before and after training definitely a good buy")</f>
        <v>Good custard cream lovely, totally recommended, much cheaper than in pharmacy, both before and after training definitely a good buy</v>
      </c>
    </row>
    <row r="18046">
      <c r="A18046" s="1">
        <v>5.0</v>
      </c>
      <c r="B18046" s="1" t="s">
        <v>17872</v>
      </c>
      <c r="C18046" t="str">
        <f>IFERROR(__xludf.DUMMYFUNCTION("GOOGLETRANSLATE(B18046, ""es"", ""en"")"),"The product is good buy como.se indicates.")</f>
        <v>The product is good buy como.se indicates.</v>
      </c>
    </row>
    <row r="18047">
      <c r="A18047" s="1">
        <v>5.0</v>
      </c>
      <c r="B18047" s="1" t="s">
        <v>17873</v>
      </c>
      <c r="C18047" t="str">
        <f>IFERROR(__xludf.DUMMYFUNCTION("GOOGLETRANSLATE(B18047, ""es"", ""en"")"),"Perfect Perfect, such is as expected!")</f>
        <v>Perfect Perfect, such is as expected!</v>
      </c>
    </row>
    <row r="18048">
      <c r="A18048" s="1">
        <v>5.0</v>
      </c>
      <c r="B18048" s="1" t="s">
        <v>17874</v>
      </c>
      <c r="C18048" t="str">
        <f>IFERROR(__xludf.DUMMYFUNCTION("GOOGLETRANSLATE(B18048, ""es"", ""en"")"),"CUSHION ELECTRIC - VERY COMFORTABLE Hello, is phenomenal, heated quickly, you can go to bed with her, without worrying about pay for it. Neck and back covers well for its size it fits great person and children. For three heat intensities permit. IS FANTAS"&amp;"TIC.")</f>
        <v>CUSHION ELECTRIC - VERY COMFORTABLE Hello, is phenomenal, heated quickly, you can go to bed with her, without worrying about pay for it. Neck and back covers well for its size it fits great person and children. For three heat intensities permit. IS FANTASTIC.</v>
      </c>
    </row>
    <row r="18049">
      <c r="A18049" s="1">
        <v>5.0</v>
      </c>
      <c r="B18049" s="1" t="s">
        <v>17875</v>
      </c>
      <c r="C18049" t="str">
        <f>IFERROR(__xludf.DUMMYFUNCTION("GOOGLETRANSLATE(B18049, ""es"", ""en"")"),"Very good microphone. Product very good, the sound is perfect and very nice. I recommend putting the gain down to the minimum and audio from the microphone in Windows to 50% to avoid background noise.")</f>
        <v>Very good microphone. Product very good, the sound is perfect and very nice. I recommend putting the gain down to the minimum and audio from the microphone in Windows to 50% to avoid background noise.</v>
      </c>
    </row>
    <row r="18050">
      <c r="A18050" s="1">
        <v>5.0</v>
      </c>
      <c r="B18050" s="1" t="s">
        <v>17876</v>
      </c>
      <c r="C18050" t="str">
        <f>IFERROR(__xludf.DUMMYFUNCTION("GOOGLETRANSLATE(B18050, ""es"", ""en"")"),"Works perfectly and is small and discreet does what he has to do and fits in any pocket. I use it with presentations in PDF, so the keys ""black screen"" do not work (they are designed for PowerPoint and are not reprogrammable), but the truth is that I se"&amp;"e not so useful.")</f>
        <v>Works perfectly and is small and discreet does what he has to do and fits in any pocket. I use it with presentations in PDF, so the keys "black screen" do not work (they are designed for PowerPoint and are not reprogrammable), but the truth is that I see not so useful.</v>
      </c>
    </row>
    <row r="18051">
      <c r="A18051" s="1">
        <v>5.0</v>
      </c>
      <c r="B18051" s="1" t="s">
        <v>17877</v>
      </c>
      <c r="C18051" t="str">
        <f>IFERROR(__xludf.DUMMYFUNCTION("GOOGLETRANSLATE(B18051, ""es"", ""en"")"),"Recommended This brand I really like, used them with my oldest daughter because he was the only one who cogia, and the little I have is caught by the good experience and good too.")</f>
        <v>Recommended This brand I really like, used them with my oldest daughter because he was the only one who cogia, and the little I have is caught by the good experience and good too.</v>
      </c>
    </row>
    <row r="18052">
      <c r="A18052" s="1">
        <v>5.0</v>
      </c>
      <c r="B18052" s="1" t="s">
        <v>17878</v>
      </c>
      <c r="C18052" t="str">
        <f>IFERROR(__xludf.DUMMYFUNCTION("GOOGLETRANSLATE(B18052, ""es"", ""en"")"),"I perfect size between 38.5 / 39 and size 39 is perfect. Also, if you have the walk width are much better than Converse All Star, because they are much wider")</f>
        <v>I perfect size between 38.5 / 39 and size 39 is perfect. Also, if you have the walk width are much better than Converse All Star, because they are much wider</v>
      </c>
    </row>
    <row r="18053">
      <c r="A18053" s="1">
        <v>5.0</v>
      </c>
      <c r="B18053" s="1" t="s">
        <v>17879</v>
      </c>
      <c r="C18053" t="str">
        <f>IFERROR(__xludf.DUMMYFUNCTION("GOOGLETRANSLATE(B18053, ""es"", ""en"")"),"Good quality product satisfactory materials. good finish")</f>
        <v>Good quality product satisfactory materials. good finish</v>
      </c>
    </row>
    <row r="18054">
      <c r="A18054" s="1">
        <v>5.0</v>
      </c>
      <c r="B18054" s="1" t="s">
        <v>17880</v>
      </c>
      <c r="C18054" t="str">
        <f>IFERROR(__xludf.DUMMYFUNCTION("GOOGLETRANSLATE(B18054, ""es"", ""en"")"),"perfect for my entire watch is exactly as seen in the pictures why I do not understand the comments that the numbers do not look ... looks like in the picture, light enough clockwork, not a flashlight. .. otherwise is a G-Shock, if you like this kind of w"&amp;"atches is your watch, for my very nice")</f>
        <v>perfect for my entire watch is exactly as seen in the pictures why I do not understand the comments that the numbers do not look ... looks like in the picture, light enough clockwork, not a flashlight. .. otherwise is a G-Shock, if you like this kind of watches is your watch, for my very nice</v>
      </c>
    </row>
    <row r="18055">
      <c r="A18055" s="1">
        <v>5.0</v>
      </c>
      <c r="B18055" s="1" t="s">
        <v>17881</v>
      </c>
      <c r="C18055" t="str">
        <f>IFERROR(__xludf.DUMMYFUNCTION("GOOGLETRANSLATE(B18055, ""es"", ""en"")"),"Great looking perfect what I love! It's perfect everything works great !!")</f>
        <v>Great looking perfect what I love! It's perfect everything works great !!</v>
      </c>
    </row>
    <row r="18056">
      <c r="A18056" s="1">
        <v>5.0</v>
      </c>
      <c r="B18056" s="1" t="s">
        <v>17882</v>
      </c>
      <c r="C18056" t="str">
        <f>IFERROR(__xludf.DUMMYFUNCTION("GOOGLETRANSLATE(B18056, ""es"", ""en"")"),"Highly recommended Botas perfect price and still excellent thanks to a deal I found, I recommend them because they are possible at all times")</f>
        <v>Highly recommended Botas perfect price and still excellent thanks to a deal I found, I recommend them because they are possible at all times</v>
      </c>
    </row>
    <row r="18057">
      <c r="A18057" s="1">
        <v>2.0</v>
      </c>
      <c r="B18057" s="1" t="s">
        <v>17883</v>
      </c>
      <c r="C18057" t="str">
        <f>IFERROR(__xludf.DUMMYFUNCTION("GOOGLETRANSLATE(B18057, ""es"", ""en"")"),"Sleazy This product is very cheap but I really think it does not make up both buying in some cases. I explained, I have acquired over these bracelets to give away but several of them have broken me a few days of use and in situations ""normal"". One of th"&amp;"em as I drove her arm without straining and over as he took her to wear it. I do not recommend this product. In this case, ""it cheap if it came out expensive.""")</f>
        <v>Sleazy This product is very cheap but I really think it does not make up both buying in some cases. I explained, I have acquired over these bracelets to give away but several of them have broken me a few days of use and in situations "normal". One of them as I drove her arm without straining and over as he took her to wear it. I do not recommend this product. In this case, "it cheap if it came out expensive."</v>
      </c>
    </row>
    <row r="18058">
      <c r="A18058" s="1">
        <v>3.0</v>
      </c>
      <c r="B18058" s="1" t="s">
        <v>17884</v>
      </c>
      <c r="C18058" t="str">
        <f>IFERROR(__xludf.DUMMYFUNCTION("GOOGLETRANSLATE(B18058, ""es"", ""en"")"),"Calodad Roomba / Roomba price good quality basic price (230 € at the time of purchase) that perfectly does the job leaving aside things like the programmer etc etc .... highly recommended")</f>
        <v>Calodad Roomba / Roomba price good quality basic price (230 € at the time of purchase) that perfectly does the job leaving aside things like the programmer etc etc .... highly recommended</v>
      </c>
    </row>
    <row r="18059">
      <c r="A18059" s="1">
        <v>1.0</v>
      </c>
      <c r="B18059" s="1" t="s">
        <v>17885</v>
      </c>
      <c r="C18059" t="str">
        <f>IFERROR(__xludf.DUMMYFUNCTION("GOOGLETRANSLATE(B18059, ""es"", ""en"")"),"Is broken in the area of ​​the finger to the tip is broken, as worn by the big toe on both feet. I do not recommend it.")</f>
        <v>Is broken in the area of ​​the finger to the tip is broken, as worn by the big toe on both feet. I do not recommend it.</v>
      </c>
    </row>
    <row r="18060">
      <c r="A18060" s="1">
        <v>1.0</v>
      </c>
      <c r="B18060" s="1" t="s">
        <v>17886</v>
      </c>
      <c r="C18060" t="str">
        <f>IFERROR(__xludf.DUMMYFUNCTION("GOOGLETRANSLATE(B18060, ""es"", ""en"")"),"LED TV is not worth not worth Led TV, when pointing to a green dot LED display is dimmed to almost nothing.")</f>
        <v>LED TV is not worth not worth Led TV, when pointing to a green dot LED display is dimmed to almost nothing.</v>
      </c>
    </row>
    <row r="18061">
      <c r="A18061" s="1">
        <v>1.0</v>
      </c>
      <c r="B18061" s="1" t="s">
        <v>17887</v>
      </c>
      <c r="C18061" t="str">
        <f>IFERROR(__xludf.DUMMYFUNCTION("GOOGLETRANSLATE(B18061, ""es"", ""en"")"),"Nothing sarisdecho with buying the chain has been completely black within a week and hanging it oxidizes slowly with black parts ... So buying has been nothing satisfactory ...")</f>
        <v>Nothing sarisdecho with buying the chain has been completely black within a week and hanging it oxidizes slowly with black parts ... So buying has been nothing satisfactory ...</v>
      </c>
    </row>
    <row r="18062">
      <c r="A18062" s="1">
        <v>4.0</v>
      </c>
      <c r="B18062" s="1" t="s">
        <v>17888</v>
      </c>
      <c r="C18062" t="str">
        <f>IFERROR(__xludf.DUMMYFUNCTION("GOOGLETRANSLATE(B18062, ""es"", ""en"")"),"They fulfill its function well and warm the foot Good purchase as hiking sock for several hours in winter. The flowers are small size, recommend taking one size bigger than usual, because tightened enough.")</f>
        <v>They fulfill its function well and warm the foot Good purchase as hiking sock for several hours in winter. The flowers are small size, recommend taking one size bigger than usual, because tightened enough.</v>
      </c>
    </row>
    <row r="18063">
      <c r="A18063" s="1">
        <v>4.0</v>
      </c>
      <c r="B18063" s="1" t="s">
        <v>17889</v>
      </c>
      <c r="C18063" t="str">
        <f>IFERROR(__xludf.DUMMYFUNCTION("GOOGLETRANSLATE(B18063, ""es"", ""en"")"),"Manageable comfortable good size")</f>
        <v>Manageable comfortable good size</v>
      </c>
    </row>
    <row r="18064">
      <c r="A18064" s="1">
        <v>4.0</v>
      </c>
      <c r="B18064" s="1" t="s">
        <v>17890</v>
      </c>
      <c r="C18064" t="str">
        <f>IFERROR(__xludf.DUMMYFUNCTION("GOOGLETRANSLATE(B18064, ""es"", ""en"")"),"Pleased with purchase With one week of use, it works well and I am happy with the purchase. It's smart for the day. Should improve battery life.")</f>
        <v>Pleased with purchase With one week of use, it works well and I am happy with the purchase. It's smart for the day. Should improve battery life.</v>
      </c>
    </row>
    <row r="18065">
      <c r="A18065" s="1">
        <v>4.0</v>
      </c>
      <c r="B18065" s="1" t="s">
        <v>17891</v>
      </c>
      <c r="C18065" t="str">
        <f>IFERROR(__xludf.DUMMYFUNCTION("GOOGLETRANSLATE(B18065, ""es"", ""en"")"),"Good eats esperava..Mejor Linino quality Superga done before in italia..Esto model after 3 months of use enterior rivestimento detaches ..")</f>
        <v>Good eats esperava..Mejor Linino quality Superga done before in italia..Esto model after 3 months of use enterior rivestimento detaches ..</v>
      </c>
    </row>
    <row r="18066">
      <c r="A18066" s="1">
        <v>5.0</v>
      </c>
      <c r="B18066" s="1" t="s">
        <v>17892</v>
      </c>
      <c r="C18066" t="str">
        <f>IFERROR(__xludf.DUMMYFUNCTION("GOOGLETRANSLATE(B18066, ""es"", ""en"")"),"The best price for the best mixer the market is spoiled our previous blender in the foot and lace as the cost was greater than the mixer itself decided to come back to buy a Taurus. It was our first mixer and lasted a lot and we could all. Decided to swit"&amp;"ch brands (Braun) and was never as powerful as we had. Again, we have repurchased another Taurus. It is a model with a lot of boost (1000w) and turbo. In the time that we use, we have never used the turbo. Such is the power not needed and does it all. Ver"&amp;"y ergonomic but thought it would have more body. It's not a criticism, just seems a bit small. Mashed leaves very fine and to move the mass of gluten free cupcakes that we handled very well. We hope it lasts many years as the first because I think it is a"&amp;" very good brand.")</f>
        <v>The best price for the best mixer the market is spoiled our previous blender in the foot and lace as the cost was greater than the mixer itself decided to come back to buy a Taurus. It was our first mixer and lasted a lot and we could all. Decided to switch brands (Braun) and was never as powerful as we had. Again, we have repurchased another Taurus. It is a model with a lot of boost (1000w) and turbo. In the time that we use, we have never used the turbo. Such is the power not needed and does it all. Very ergonomic but thought it would have more body. It's not a criticism, just seems a bit small. Mashed leaves very fine and to move the mass of gluten free cupcakes that we handled very well. We hope it lasts many years as the first because I think it is a very good brand.</v>
      </c>
    </row>
    <row r="18067">
      <c r="A18067" s="1">
        <v>5.0</v>
      </c>
      <c r="B18067" s="1" t="s">
        <v>17893</v>
      </c>
      <c r="C18067" t="str">
        <f>IFERROR(__xludf.DUMMYFUNCTION("GOOGLETRANSLATE(B18067, ""es"", ""en"")"),"Beautiful view hanging pendant, small and light, wears all")</f>
        <v>Beautiful view hanging pendant, small and light, wears all</v>
      </c>
    </row>
    <row r="18068">
      <c r="A18068" s="1">
        <v>5.0</v>
      </c>
      <c r="B18068" s="1" t="s">
        <v>17894</v>
      </c>
      <c r="C18068" t="str">
        <f>IFERROR(__xludf.DUMMYFUNCTION("GOOGLETRANSLATE(B18068, ""es"", ""en"")"),"Very good buy is very good and its fastening system is fantastic and avoid losing my ban3")</f>
        <v>Very good buy is very good and its fastening system is fantastic and avoid losing my ban3</v>
      </c>
    </row>
    <row r="18069">
      <c r="A18069" s="1">
        <v>5.0</v>
      </c>
      <c r="B18069" s="1" t="s">
        <v>17895</v>
      </c>
      <c r="C18069" t="str">
        <f>IFERROR(__xludf.DUMMYFUNCTION("GOOGLETRANSLATE(B18069, ""es"", ""en"")"),"Cincher with tourmaline is a strip / reducing trousers, with tourmaline. Tourmaline improves circulation and has slimming effect. It is soft and comfortable. Easy to apply and remove. The shape and colors as in the pictures. Very happy with the purchase.")</f>
        <v>Cincher with tourmaline is a strip / reducing trousers, with tourmaline. Tourmaline improves circulation and has slimming effect. It is soft and comfortable. Easy to apply and remove. The shape and colors as in the pictures. Very happy with the purchase.</v>
      </c>
    </row>
    <row r="18070">
      <c r="A18070" s="1">
        <v>5.0</v>
      </c>
      <c r="B18070" s="1" t="s">
        <v>17896</v>
      </c>
      <c r="C18070" t="str">
        <f>IFERROR(__xludf.DUMMYFUNCTION("GOOGLETRANSLATE(B18070, ""es"", ""en"")"),"Bracelet very nice and very beautiful bracelet practice. I had a problem with the registration as pedi and changed several entries. But quickly they responded to my email and will fix the problem.")</f>
        <v>Bracelet very nice and very beautiful bracelet practice. I had a problem with the registration as pedi and changed several entries. But quickly they responded to my email and will fix the problem.</v>
      </c>
    </row>
    <row r="18071">
      <c r="A18071" s="1">
        <v>5.0</v>
      </c>
      <c r="B18071" s="1" t="s">
        <v>17897</v>
      </c>
      <c r="C18071" t="str">
        <f>IFERROR(__xludf.DUMMYFUNCTION("GOOGLETRANSLATE(B18071, ""es"", ""en"")"),"In comments different product mix. Headphones very well. It misses a manual in Castilian, although with English I've managed. It works great, I expected. By the way, Amazon, comments from users are mixed products, at the least happens to me. I entered thi"&amp;"s purchase, for example, and there were questions and answers of other products that had nothing to do with him. You should take a look at that. In short: it only took hours using them but recommended one hundred percent.")</f>
        <v>In comments different product mix. Headphones very well. It misses a manual in Castilian, although with English I've managed. It works great, I expected. By the way, Amazon, comments from users are mixed products, at the least happens to me. I entered this purchase, for example, and there were questions and answers of other products that had nothing to do with him. You should take a look at that. In short: it only took hours using them but recommended one hundred percent.</v>
      </c>
    </row>
    <row r="18072">
      <c r="A18072" s="1">
        <v>5.0</v>
      </c>
      <c r="B18072" s="1" t="s">
        <v>17898</v>
      </c>
      <c r="C18072" t="str">
        <f>IFERROR(__xludf.DUMMYFUNCTION("GOOGLETRANSLATE(B18072, ""es"", ""en"")"),"Wonderful wonderful. It gives a lot of heat. It has a wonderful aroma. Relaxes the area in which it applies significantly. highly recommended")</f>
        <v>Wonderful wonderful. It gives a lot of heat. It has a wonderful aroma. Relaxes the area in which it applies significantly. highly recommended</v>
      </c>
    </row>
    <row r="18073">
      <c r="A18073" s="1">
        <v>5.0</v>
      </c>
      <c r="B18073" s="1" t="s">
        <v>17899</v>
      </c>
      <c r="C18073" t="str">
        <f>IFERROR(__xludf.DUMMYFUNCTION("GOOGLETRANSLATE(B18073, ""es"", ""en"")"),"Hanging As seen in the photo")</f>
        <v>Hanging As seen in the photo</v>
      </c>
    </row>
    <row r="18074">
      <c r="A18074" s="1">
        <v>5.0</v>
      </c>
      <c r="B18074" s="1" t="s">
        <v>17900</v>
      </c>
      <c r="C18074" t="str">
        <f>IFERROR(__xludf.DUMMYFUNCTION("GOOGLETRANSLATE(B18074, ""es"", ""en"")"),"He arrived as expected !!!! Perfect, included everything advertised, and is the same as the movie! I am very happy with the purchase!!!")</f>
        <v>He arrived as expected !!!! Perfect, included everything advertised, and is the same as the movie! I am very happy with the purchase!!!</v>
      </c>
    </row>
    <row r="18075">
      <c r="A18075" s="1">
        <v>5.0</v>
      </c>
      <c r="B18075" s="1" t="s">
        <v>17901</v>
      </c>
      <c r="C18075" t="str">
        <f>IFERROR(__xludf.DUMMYFUNCTION("GOOGLETRANSLATE(B18075, ""es"", ""en"")"),"Perfect Perfect. Fulfills its function.")</f>
        <v>Perfect Perfect. Fulfills its function.</v>
      </c>
    </row>
    <row r="18076">
      <c r="A18076" s="1">
        <v>5.0</v>
      </c>
      <c r="B18076" s="1" t="s">
        <v>17902</v>
      </c>
      <c r="C18076" t="str">
        <f>IFERROR(__xludf.DUMMYFUNCTION("GOOGLETRANSLATE(B18076, ""es"", ""en"")"),"Sound quality and comfortable headphones were broken me with which I was very happy because they were very comfortable and how these looked like. So they are equal and over heard phenomenal. They arrived earlier than expected. Very happy with the purchase"&amp;".")</f>
        <v>Sound quality and comfortable headphones were broken me with which I was very happy because they were very comfortable and how these looked like. So they are equal and over heard phenomenal. They arrived earlier than expected. Very happy with the purchase.</v>
      </c>
    </row>
    <row r="18077">
      <c r="A18077" s="1">
        <v>5.0</v>
      </c>
      <c r="B18077" s="1" t="s">
        <v>17903</v>
      </c>
      <c r="C18077" t="str">
        <f>IFERROR(__xludf.DUMMYFUNCTION("GOOGLETRANSLATE(B18077, ""es"", ""en"")"),"My first article of this brand The truth is that it has very good touch and I think that this garment will spend no winter cold")</f>
        <v>My first article of this brand The truth is that it has very good touch and I think that this garment will spend no winter cold</v>
      </c>
    </row>
    <row r="18078">
      <c r="A18078" s="1">
        <v>5.0</v>
      </c>
      <c r="B18078" s="1" t="s">
        <v>17904</v>
      </c>
      <c r="C18078" t="str">
        <f>IFERROR(__xludf.DUMMYFUNCTION("GOOGLETRANSLATE(B18078, ""es"", ""en"")"),"Terrific correct recommended seller !!!")</f>
        <v>Terrific correct recommended seller !!!</v>
      </c>
    </row>
    <row r="18079">
      <c r="A18079" s="1">
        <v>5.0</v>
      </c>
      <c r="B18079" s="1" t="s">
        <v>17905</v>
      </c>
      <c r="C18079" t="str">
        <f>IFERROR(__xludf.DUMMYFUNCTION("GOOGLETRANSLATE(B18079, ""es"", ""en"")"),"A great buy. I was totally surprised this product to the price I bought it. To say that perfectly fit the ambient noise disappears and the handling is super-easy. In addition, its battery lasts quite something to thank for not being continually by pluggin"&amp;"g. The detail that I like is that has sent him several pairs of earwing parts. 100% recommended.")</f>
        <v>A great buy. I was totally surprised this product to the price I bought it. To say that perfectly fit the ambient noise disappears and the handling is super-easy. In addition, its battery lasts quite something to thank for not being continually by plugging. The detail that I like is that has sent him several pairs of earwing parts. 100% recommended.</v>
      </c>
    </row>
    <row r="18080">
      <c r="A18080" s="1">
        <v>5.0</v>
      </c>
      <c r="B18080" s="1" t="s">
        <v>17906</v>
      </c>
      <c r="C18080" t="str">
        <f>IFERROR(__xludf.DUMMYFUNCTION("GOOGLETRANSLATE(B18080, ""es"", ""en"")"),"RECOMMENDED GOOD ENOUGH")</f>
        <v>RECOMMENDED GOOD ENOUGH</v>
      </c>
    </row>
    <row r="18081">
      <c r="A18081" s="1">
        <v>5.0</v>
      </c>
      <c r="B18081" s="1" t="s">
        <v>17907</v>
      </c>
      <c r="C18081" t="str">
        <f>IFERROR(__xludf.DUMMYFUNCTION("GOOGLETRANSLATE(B18081, ""es"", ""en"")"),"Quality and comfort shoes comfortable and functional.")</f>
        <v>Quality and comfort shoes comfortable and functional.</v>
      </c>
    </row>
    <row r="18082">
      <c r="A18082" s="1">
        <v>5.0</v>
      </c>
      <c r="B18082" s="1" t="s">
        <v>17908</v>
      </c>
      <c r="C18082" t="str">
        <f>IFERROR(__xludf.DUMMYFUNCTION("GOOGLETRANSLATE(B18082, ""es"", ""en"")"),"Works effectively, when writing on the bills does not write anything, and writes on a sheet perfectly, so it's true what true and false detects q.")</f>
        <v>Works effectively, when writing on the bills does not write anything, and writes on a sheet perfectly, so it's true what true and false detects q.</v>
      </c>
    </row>
    <row r="18083">
      <c r="A18083" s="1">
        <v>5.0</v>
      </c>
      <c r="B18083" s="1" t="s">
        <v>17909</v>
      </c>
      <c r="C18083" t="str">
        <f>IFERROR(__xludf.DUMMYFUNCTION("GOOGLETRANSLATE(B18083, ""es"", ""en"")"),"Blast validates memory for reflex cameras I bought for my cátara 24MP Nikon SLR. Guardo photos in RAW format and take up a lot. Fast data transfer. Good quality price ...")</f>
        <v>Blast validates memory for reflex cameras I bought for my cátara 24MP Nikon SLR. Guardo photos in RAW format and take up a lot. Fast data transfer. Good quality price ...</v>
      </c>
    </row>
    <row r="18084">
      <c r="A18084" s="1">
        <v>5.0</v>
      </c>
      <c r="B18084" s="1" t="s">
        <v>17910</v>
      </c>
      <c r="C18084" t="str">
        <f>IFERROR(__xludf.DUMMYFUNCTION("GOOGLETRANSLATE(B18084, ""es"", ""en"")"),"Molan keep my expectations")</f>
        <v>Molan keep my expectations</v>
      </c>
    </row>
    <row r="18085">
      <c r="A18085" s="1">
        <v>2.0</v>
      </c>
      <c r="B18085" s="1" t="s">
        <v>17911</v>
      </c>
      <c r="C18085" t="str">
        <f>IFERROR(__xludf.DUMMYFUNCTION("GOOGLETRANSLATE(B18085, ""es"", ""en"")"),"They weigh boots, and come not use but weigh a bit, I hope you are comfortable, and worth what you paid and")</f>
        <v>They weigh boots, and come not use but weigh a bit, I hope you are comfortable, and worth what you paid and</v>
      </c>
    </row>
    <row r="18086">
      <c r="A18086" s="1">
        <v>3.0</v>
      </c>
      <c r="B18086" s="1" t="s">
        <v>17912</v>
      </c>
      <c r="C18086" t="str">
        <f>IFERROR(__xludf.DUMMYFUNCTION("GOOGLETRANSLATE(B18086, ""es"", ""en"")"),"Comfort very comfortable and very well transpire but the soleplate is damaged soon")</f>
        <v>Comfort very comfortable and very well transpire but the soleplate is damaged soon</v>
      </c>
    </row>
    <row r="18087">
      <c r="A18087" s="1">
        <v>3.0</v>
      </c>
      <c r="B18087" s="1" t="s">
        <v>17913</v>
      </c>
      <c r="C18087" t="str">
        <f>IFERROR(__xludf.DUMMYFUNCTION("GOOGLETRANSLATE(B18087, ""es"", ""en"")"),"They are not silver zircons and does not seem ... are very small, but are finos.Desde then zirconia shines by its absence, are alerjia plástico.Veremos if they undoubtedly are no silver silver ley.Quizás bath ?. I doubt it....")</f>
        <v>They are not silver zircons and does not seem ... are very small, but are finos.Desde then zirconia shines by its absence, are alerjia plástico.Veremos if they undoubtedly are no silver silver ley.Quizás bath ?. I doubt it....</v>
      </c>
    </row>
    <row r="18088">
      <c r="A18088" s="1">
        <v>3.0</v>
      </c>
      <c r="B18088" s="1" t="s">
        <v>17914</v>
      </c>
      <c r="C18088" t="str">
        <f>IFERROR(__xludf.DUMMYFUNCTION("GOOGLETRANSLATE(B18088, ""es"", ""en"")"),"Close My husband has spent many years using this model New Balance 373, but this time we have to return them because despite carving long as usual are too narrow and are very uncomfortable ... Shame")</f>
        <v>Close My husband has spent many years using this model New Balance 373, but this time we have to return them because despite carving long as usual are too narrow and are very uncomfortable ... Shame</v>
      </c>
    </row>
    <row r="18089">
      <c r="A18089" s="1">
        <v>1.0</v>
      </c>
      <c r="B18089" s="1" t="s">
        <v>17915</v>
      </c>
      <c r="C18089" t="str">
        <f>IFERROR(__xludf.DUMMYFUNCTION("GOOGLETRANSLATE(B18089, ""es"", ""en"")"),"Not worth it for cheap Plastic bad. He broke the third day without having used any.")</f>
        <v>Not worth it for cheap Plastic bad. He broke the third day without having used any.</v>
      </c>
    </row>
    <row r="18090">
      <c r="A18090" s="1">
        <v>4.0</v>
      </c>
      <c r="B18090" s="1" t="s">
        <v>17916</v>
      </c>
      <c r="C18090" t="str">
        <f>IFERROR(__xludf.DUMMYFUNCTION("GOOGLETRANSLATE(B18090, ""es"", ""en"")"),"Good value good value")</f>
        <v>Good value good value</v>
      </c>
    </row>
    <row r="18091">
      <c r="A18091" s="1">
        <v>4.0</v>
      </c>
      <c r="B18091" s="1" t="s">
        <v>17917</v>
      </c>
      <c r="C18091" t="str">
        <f>IFERROR(__xludf.DUMMYFUNCTION("GOOGLETRANSLATE(B18091, ""es"", ""en"")"),"Quality, price I got good, quality is the same, the price much better on Amazon and would buy")</f>
        <v>Quality, price I got good, quality is the same, the price much better on Amazon and would buy</v>
      </c>
    </row>
    <row r="18092">
      <c r="A18092" s="1">
        <v>4.0</v>
      </c>
      <c r="B18092" s="1" t="s">
        <v>17918</v>
      </c>
      <c r="C18092" t="str">
        <f>IFERROR(__xludf.DUMMYFUNCTION("GOOGLETRANSLATE(B18092, ""es"", ""en"")"),"It is the second I bought is the second buy for kids, one of them was happy and give him another dedicí equal to the sister. I like the comfort and finishes, the cable is comfortable. The price / quality is good. The sound quality is according to the pric"&amp;"e, you can not ask for more. Basically to watch videos and music medium quality.")</f>
        <v>It is the second I bought is the second buy for kids, one of them was happy and give him another dedicí equal to the sister. I like the comfort and finishes, the cable is comfortable. The price / quality is good. The sound quality is according to the price, you can not ask for more. Basically to watch videos and music medium quality.</v>
      </c>
    </row>
    <row r="18093">
      <c r="A18093" s="1">
        <v>4.0</v>
      </c>
      <c r="B18093" s="1" t="s">
        <v>17919</v>
      </c>
      <c r="C18093" t="str">
        <f>IFERROR(__xludf.DUMMYFUNCTION("GOOGLETRANSLATE(B18093, ""es"", ""en"")"),"Make calls autonomy")</f>
        <v>Make calls autonomy</v>
      </c>
    </row>
    <row r="18094">
      <c r="A18094" s="1">
        <v>4.0</v>
      </c>
      <c r="B18094" s="1" t="s">
        <v>17920</v>
      </c>
      <c r="C18094" t="str">
        <f>IFERROR(__xludf.DUMMYFUNCTION("GOOGLETRANSLATE(B18094, ""es"", ""en"")"),"Very nice and that but a big mistake. The product works fine, but if it must be by the seller, and I find it works. Cable / plug, not going. Because I had a humidifier more cable and coupled this, because otherwise it would not have put up. Now the humidi"&amp;"fier of work time. Has its lights, its button to control the time is running, the button to control lights and fog and also for others. I can not put 5 stars because I feel very bad taste that the plug / cable that is supposed to come in perfect condition"&amp;" with the product, it will not and I had to change it to another my property.")</f>
        <v>Very nice and that but a big mistake. The product works fine, but if it must be by the seller, and I find it works. Cable / plug, not going. Because I had a humidifier more cable and coupled this, because otherwise it would not have put up. Now the humidifier of work time. Has its lights, its button to control the time is running, the button to control lights and fog and also for others. I can not put 5 stars because I feel very bad taste that the plug / cable that is supposed to come in perfect condition with the product, it will not and I had to change it to another my property.</v>
      </c>
    </row>
    <row r="18095">
      <c r="A18095" s="1">
        <v>5.0</v>
      </c>
      <c r="B18095" s="1" t="s">
        <v>17921</v>
      </c>
      <c r="C18095" t="str">
        <f>IFERROR(__xludf.DUMMYFUNCTION("GOOGLETRANSLATE(B18095, ""es"", ""en"")"),"Good quality - price. Very good value for money, I also fit like a glove, that if, for summer may not perspire enough.")</f>
        <v>Good quality - price. Very good value for money, I also fit like a glove, that if, for summer may not perspire enough.</v>
      </c>
    </row>
    <row r="18096">
      <c r="A18096" s="1">
        <v>5.0</v>
      </c>
      <c r="B18096" s="1" t="s">
        <v>17922</v>
      </c>
      <c r="C18096" t="str">
        <f>IFERROR(__xludf.DUMMYFUNCTION("GOOGLETRANSLATE(B18096, ""es"", ""en"")"),"Good hard drive does the job at a good price compared to the best known brands. Has the following specifications: Hard drive capacity: 1024 GB interface hard disk: USB 3.0 speed: 5400 RPM speed data transfer: 5 Gbit / s Supported operating systems: Window"&amp;"s XP / Vista / 7, Mac OS X 10.5 / 10.6 is a very good alternative to conventional brands because it has good speed input and output data.")</f>
        <v>Good hard drive does the job at a good price compared to the best known brands. Has the following specifications: Hard drive capacity: 1024 GB interface hard disk: USB 3.0 speed: 5400 RPM speed data transfer: 5 Gbit / s Supported operating systems: Windows XP / Vista / 7, Mac OS X 10.5 / 10.6 is a very good alternative to conventional brands because it has good speed input and output data.</v>
      </c>
    </row>
    <row r="18097">
      <c r="A18097" s="1">
        <v>5.0</v>
      </c>
      <c r="B18097" s="1" t="s">
        <v>17923</v>
      </c>
      <c r="C18097" t="str">
        <f>IFERROR(__xludf.DUMMYFUNCTION("GOOGLETRANSLATE(B18097, ""es"", ""en"")"),"It handles very well I love because it traps all lint and hair, wonderful.")</f>
        <v>It handles very well I love because it traps all lint and hair, wonderful.</v>
      </c>
    </row>
    <row r="18098">
      <c r="A18098" s="1">
        <v>5.0</v>
      </c>
      <c r="B18098" s="1" t="s">
        <v>17924</v>
      </c>
      <c r="C18098" t="str">
        <f>IFERROR(__xludf.DUMMYFUNCTION("GOOGLETRANSLATE(B18098, ""es"", ""en"")"),"Suitable if you want to play sports with them Hi everyone !! This week I have these totally wireless Bluetooth headset. I wanted these headphones because normally I run in the evenings and me very uncomfortable wires hanging out as he ran. I was looking f"&amp;"or ones that were economic and that sound was in line with the price. These, as for the price, I think it is priced pretty tight. As for the sound, it offers the most you can ask for this price. No sound headphones first mark, but neither it is the price "&amp;"of that product category. An interesting point is that these headphones have a carrying case that also serves to charge the headset. With box fully charged, we will have to charge each handset several times. So we always loaded, since placing the headphon"&amp;"es, they are automatically loaded. Size are intermediate. It seems a bit big when we catch with your hands, but when ponérnoslos are not uncomfortable. In short, there are some decent headphones if what we want is to use them for sports, do not want to pa"&amp;"y too much and want a decent sound. I leave some pictures so you can see them in more detail. A greeting!!")</f>
        <v>Suitable if you want to play sports with them Hi everyone !! This week I have these totally wireless Bluetooth headset. I wanted these headphones because normally I run in the evenings and me very uncomfortable wires hanging out as he ran. I was looking for ones that were economic and that sound was in line with the price. These, as for the price, I think it is priced pretty tight. As for the sound, it offers the most you can ask for this price. No sound headphones first mark, but neither it is the price of that product category. An interesting point is that these headphones have a carrying case that also serves to charge the headset. With box fully charged, we will have to charge each handset several times. So we always loaded, since placing the headphones, they are automatically loaded. Size are intermediate. It seems a bit big when we catch with your hands, but when ponérnoslos are not uncomfortable. In short, there are some decent headphones if what we want is to use them for sports, do not want to pay too much and want a decent sound. I leave some pictures so you can see them in more detail. A greeting!!</v>
      </c>
    </row>
    <row r="18099">
      <c r="A18099" s="1">
        <v>5.0</v>
      </c>
      <c r="B18099" s="1" t="s">
        <v>17925</v>
      </c>
      <c r="C18099" t="str">
        <f>IFERROR(__xludf.DUMMYFUNCTION("GOOGLETRANSLATE(B18099, ""es"", ""en"")"),"Perfect 5TB, usb 3 red as my laptop and also Western Digital. Perfect. I've put a decent file system, btrfs, to work with safe and fast. To date, no problem. I've unplugged to the beast and has not lost me a single file. Really perfect, and makes together"&amp;" with the laptop and mouse.")</f>
        <v>Perfect 5TB, usb 3 red as my laptop and also Western Digital. Perfect. I've put a decent file system, btrfs, to work with safe and fast. To date, no problem. I've unplugged to the beast and has not lost me a single file. Really perfect, and makes together with the laptop and mouse.</v>
      </c>
    </row>
    <row r="18100">
      <c r="A18100" s="1">
        <v>5.0</v>
      </c>
      <c r="B18100" s="1" t="s">
        <v>17926</v>
      </c>
      <c r="C18100" t="str">
        <f>IFERROR(__xludf.DUMMYFUNCTION("GOOGLETRANSLATE(B18100, ""es"", ""en"")"),"They lack the Spanish miss a good photo description in Spanish and how to use the product. I use it to reduce facial fat making gentle movements around the area especially the jaw area with jowls. Ls fast delivery and quality is appreciated. Good product.")</f>
        <v>They lack the Spanish miss a good photo description in Spanish and how to use the product. I use it to reduce facial fat making gentle movements around the area especially the jaw area with jowls. Ls fast delivery and quality is appreciated. Good product.</v>
      </c>
    </row>
    <row r="18101">
      <c r="A18101" s="1">
        <v>5.0</v>
      </c>
      <c r="B18101" s="1" t="s">
        <v>17927</v>
      </c>
      <c r="C18101" t="str">
        <f>IFERROR(__xludf.DUMMYFUNCTION("GOOGLETRANSLATE(B18101, ""es"", ""en"")"),"All good numbers big happy resistant and collects fine")</f>
        <v>All good numbers big happy resistant and collects fine</v>
      </c>
    </row>
    <row r="18102">
      <c r="A18102" s="1">
        <v>5.0</v>
      </c>
      <c r="B18102" s="1" t="s">
        <v>17928</v>
      </c>
      <c r="C18102" t="str">
        <f>IFERROR(__xludf.DUMMYFUNCTION("GOOGLETRANSLATE(B18102, ""es"", ""en"")"),"I bought it just great to give to my parents and are happy with it. Nice, small with 2 glasses of good size and with a great price. Wow, Wonderful.")</f>
        <v>I bought it just great to give to my parents and are happy with it. Nice, small with 2 glasses of good size and with a great price. Wow, Wonderful.</v>
      </c>
    </row>
    <row r="18103">
      <c r="A18103" s="1">
        <v>5.0</v>
      </c>
      <c r="B18103" s="1" t="s">
        <v>17929</v>
      </c>
      <c r="C18103" t="str">
        <f>IFERROR(__xludf.DUMMYFUNCTION("GOOGLETRANSLATE(B18103, ""es"", ""en"")"),"Perfect device. &lt;Div id = ""video-block-R13AZD8X5G3GKK"" class = ""section a-a-a-spacing-small spacing-top-video mini-block""&gt; &lt;div tabindex = ""0"" class = ""airy airy-svg vmin- supported airy-skin-beacon ""style ="" background-color: rgb (0, 0, 0) posit"&amp;"ion: relative; width: 100%; height: 100%; font-size: 0px; overflow: hidden; outline: none ; ""&gt; &lt;div class ="" airy-renderer-container ""style ="" position: relative; height: 100%; width: 100%; ""&gt; &lt;video id ="" 7 ""preload ="" auto ""src ="" https: //ima"&amp;"ges-eu.ssl-images-amazon.com/images/I/81I5vxO6YkS.mp4 ""style ="" position: absolute; left: 0px; top: 0px; overflow: hidden; height: 1px; width: 1px; "" &gt; &lt;/ video&gt; &lt;/ div&gt; &lt;div id = ""airy-slate-preload"" style = ""background-color: rgb (0, 0, 0); backgr"&amp;"ound-image: url (&amp; quot; https: // images- eu.ssl-images-amazon.com/images/I/A1uUoncYTXS.png&amp;quot;); background-size: Contain; background-position: center center; background-repeat: no-repeat; position: absolute; top: 0px; left : 0px; visibility: visible;"&amp;" width: 100%; height: 100%; ""&gt; &lt;/ div&gt; &lt;iframe scrolling ="" no ""frameborder = ""0"" src = ""about: blank"" style = ""display: none;""&gt; &lt;/ iframe&gt; &lt;div tabindex = ""- 1"" class = ""airy-controls-container"" style = ""opacity: 0; visibility: hidden; ""&gt; "&amp;"&lt;div tabindex ="" - 1 ""class ="" airy-screen-size-toggle airy-fullscreen ""&gt; &lt;/ div&gt; &lt;div tabindex ="" - 1 ""class ="" airy-container-bottom "" &gt; &lt;div tabindex = ""- 1"" class = ""airy-track-bar-spacer-left"" style = ""width: 11px;""&gt; &lt;/ div&gt; &lt;div tabind"&amp;"ex = ""- 1"" class = ""airy-play- airy toggle-play ""style ="" width: 12px; margin-right: 12px; ""&gt; &lt;/ div&gt; &lt;div tabindex ="" - 1 ""class ="" airy-audio-elements ""style ="" float: right; width: 34px; ""&gt; &lt;div tabindex ="" - 1 ""class ="" airy-audio-toggl"&amp;"e airy-on ""&gt; &lt;/ div&gt; &lt;div tabindex ="" - 1 ""class ="" airy-audio-container ""style = ""opacity: 0; visibility: hidden; ""&gt; &lt;div tabindex ="" - 1 ""class ="" airy-audio-track-bar ""style ="" height: 80%; ""&gt; &lt;div tabindex ="" - 1 ""class ="" airy-audio- "&amp;"Scrubber-bar ""style ="" height: 85%; ""&gt; &lt;/ div&gt; &lt;div tabindex ="" - 1 ""class ="" airy-audio-scrubber ""style ="" height: 12px; bottom: 85% ""&gt; &lt;/ div&gt; &lt;/ div&gt; &lt;/ div&gt; &lt;/ div&gt; &lt;div tabindex ="" - 1 ""class ="" airy-duration-label ""style ="" float: righ"&amp;"t; width: 26px; margin-right: 4px; text-align: center; ""&gt; 0:07 &lt;/ div&gt; &lt;div tabindex ="" - 1 ""class ="" airy-track-bar-spacer-right ""style ="" float: right; width: 11px; ""&gt; &lt;/ div&gt; &lt;div tabindex ="" - 1 ""class ="" airy-track-bar-container ""style ="""&amp;" margin-left: 35px; margin-right: 75px; ""&gt; &lt;div tabindex ="" - 1 ""class ="" airy-airy-track-bar vertically-centering-table ""&gt; &lt;div tabindex ="" - 1 ""class ="" airy-Vertical-centering- table-cell ""&gt; &lt;div tabindex ="" - 1 ""class ="" airy-track-bar-ele"&amp;"ments ""&gt; &lt;div tabindex ="" - 1 ""class ="" airy-progress-bar ""style ="" width: 18.0277%; ""&gt; &lt;/ div&gt; &lt;div tabindex ="" - 1 ""class ="" airy-scrubber-bar ""&gt; &lt;/ div&gt; &lt;div tabindex ="" - 1 ""class ="" airy-scrubber ""&gt; &lt;div tabindex ="" - 1 ""class ="" ai"&amp;"ry-scrubber-icon ""&gt; &lt;/ div&gt; &lt;div tabindex ="" - 1 ""class ="" airy-adjusted-AUI-tooltip ""style ="" opacity: 0; visibility: hidden; ""&gt; &lt;div tabindex ="" - 1 ""class ="" airy-adjusted-aui-tooltip-inner ""&gt; &lt;div tabindex ="" - 1 ""class ="" airy-current-t"&amp;"ime-label ""&gt; 0: 00 &lt;/ div&gt; &lt;/ div&gt; &lt;div tabindex = ""- 1"" class = ""airy-adjusted-AUI-arrow-border""&gt; &lt;div tabindex = ""- 1"" class = ""airy-adjusted-AUI-arrow"" &gt; &lt;/ div&gt; &lt;/ div&gt; &lt;/ div&gt; &lt;/ div&gt; &lt;/ div&gt; &lt;/ div&gt; &lt;/ div&gt; &lt;/ div&gt; &lt;/ div&gt; &lt;/ div&gt; &lt;div tabi"&amp;"ndex = ""- 1"" class = ""airy-age-gate airy-stage airy-Vertical-centering-table airy-dialog"" style = ""opacity: 0; visibility: hidden; ""&gt; &lt;div tabindex ="" - 1 ""class ="" airy-age-gate-Vertical-centering-table-cell airy-Vertical-centering-table-cell """&amp;"&gt; &lt;div tabindex ="" - 1 ""class = ""airy-Vertical-centering-wrapper airy-age-gate-elements-wrapper""&gt; &lt;div tabindex = ""- 1"" class = ""airy-age-gate-elements airy-dialog-elements""&gt; &lt;div tabindex = "" -1 ""class ="" airy-age-gate-prompt ""&gt; This video is"&amp;" not Intended for all audiences What date were you born &lt;/ div&gt; &lt;div tabindex =.?"" - 1 ""class ="" airy-age-gate -inputs airy-dialog-inner-elements ""&gt; &lt;select tabindex ="" - 1 ""class ="" airy-age-gate-month ""&gt; &lt;option value ="" 1 ""&gt; January &lt;/ option"&amp;"&gt; &lt;option value ="" 2 ""&gt; February &lt;/ option&gt; &lt;option value ="" 3 ""&gt; March &lt;/ option&gt; &lt;option value ="" 4 ""&gt; April &lt;/ option&gt; &lt;option value ="" 5 ""&gt; May &lt;/ option&gt; &lt;option value = ""6""&gt; June &lt;/ option&gt; &lt;option value = ""7""&gt; July &lt;/ option&gt; &lt;option va"&amp;"lue = ""8""&gt; August &lt;/ option&gt; &lt;option value = ""9""&gt; September &lt;/ option&gt; &lt;option value = ""10""&gt; October &lt;/ option&gt; &lt;option value = ""11""&gt; November &lt;/ option&gt; &lt;option value = ""12""&gt; December &lt;/ option&gt; &lt;/ select&gt; &lt;select tabindex = ""- 1"" class = ""a"&amp;"iry-age-gate-day""&gt; &lt;opti on value = ""1""&gt; 1 &lt;/ option&gt; &lt;option value = ""2""&gt; 2 &lt;/ option&gt; &lt;option value = ""3""&gt; 3 &lt;/ option&gt; &lt;option value = ""4""&gt; 4 &lt;/ option &gt; &lt;option value = ""5""&gt; 5 &lt;/ option&gt; &lt;option value = ""6""&gt; 6 &lt;/ option&gt; &lt;option value = "&amp;"""7""&gt; 7 &lt;/ option&gt; &lt;option value = ""8""&gt; 8 &lt; / option&gt; &lt;option value = ""9""&gt; 9 &lt;/ option&gt; &lt;option value = ""10""&gt; 10 &lt;/ option&gt; &lt;option value = ""11""&gt; 11 &lt;/ option&gt; &lt;option value = ""12""&gt; 12 &lt;/ option&gt; &lt;option value = ""13""&gt; 13 &lt;/ option&gt; &lt;option va"&amp;"lue = ""14""&gt; 14 &lt;/ option&gt; &lt;option value = ""15""&gt; 15 &lt;/ option&gt; &lt;option value = ""16 ""&gt; 16 &lt;/ option&gt; &lt;option value ="" 17 ""&gt; 17 &lt;/ option&gt; &lt;option value ="" 18 ""&gt; 18 &lt;/ option&gt; &lt;option value ="" 19 ""&gt; 19 &lt;/ option&gt; &lt;option value = ""20""&gt; 20 &lt;/ opt"&amp;"ion&gt; &lt;option value = ""21""&gt; 21 &lt;/ option&gt; &lt;option value = ""22""&gt; 22 &lt;/ option&gt; &lt;option value = ""23""&gt; 23 &lt;/ option&gt; &lt;option value = ""24""&gt; 24 &lt;/ option&gt; &lt;option value = ""25""&gt; 25 &lt;/ option&gt; &lt;option value = ""26""&gt; 26 &lt;/ option&gt; &lt;option value = ""27"""&amp;"&gt; 27 &lt;/ option&gt; &lt;option value = ""28""&gt; 28 &lt;/ option&gt; &lt;option value = ""29""&gt; 29 &lt;/ option&gt; &lt;option value = ""30""&gt; 30 &lt;/ option&gt; &lt;option value = ""31""&gt; 31 &lt;/ option&gt; &lt;/ select&gt; &lt;select tabindex = ""- 1"" class = ""airy-age-gate-year""&gt; &lt;option value = "&amp;"""2019""&gt; 2019 &lt;/ option&gt; &lt; option value = ""2018""&gt; 2018 &lt;/ option&gt; &lt;option value = ""2017""&gt; 2017 &lt;/ option&gt; &lt;option value = ""2016""&gt; ​​2016 &lt;/ option&gt; &lt;option value = ""2015""&gt; 2015 &lt;/ option &gt; &lt;option value = ""2014""&gt; 2014 &lt;/ option&gt; &lt;option value ="&amp;" ""2013""&gt; 2013 &lt;/ option&gt; &lt;option value = ""2012""&gt; 2012 &lt;/ option&gt; &lt;option value = ""2011""&gt; 2011 &lt; / option&gt; &lt;option value = ""2010""&gt; 2010 &lt;/ option&gt; &lt;option value = ""2009""&gt; 2009 &lt;/ option&gt; &lt;option value = ""2008""&gt; 2008 &lt;/ option&gt; &lt;option value = "&amp;"""2007""&gt; 2007 &lt;/ option&gt; &lt;option value = ""2006""&gt; 2006 &lt;/ option&gt; &lt;option value = ""2005""&gt; 2005 &lt;/ option&gt; &lt;option value = ""2004""&gt; 2004 &lt;/ option&gt; &lt;option value = ""2003 ""&gt; 2003 &lt;/ option&gt; &lt;option value ="" 2002 ""&gt; 2002 &lt;/ option&gt; &lt;option value ="""&amp;" 2001 ""&gt; 2001 &lt;/ option&gt; &lt;option value ="" 2000 ""&gt; 2000 &lt;/ option&gt; &lt;option value = ""1999""&gt; 1999 &lt;/ option&gt; &lt;option value = ""1998""&gt; 1998 &lt;/ option&gt; &lt;option value = ""1997""&gt; 1997 &lt;/ option&gt; &lt;option value = ""1996""&gt; 1996 &lt;/ option&gt; &lt;option value = """&amp;"1995""&gt; 1995 &lt;/ option&gt; &lt;option value = ""1994""&gt; 1994 &lt;/ option&gt; &lt;option value = ""1993""&gt; 1993 &lt;/ option&gt; &lt;option value = ""1992""&gt; 1992 &lt;/ option&gt; &lt;option value = ""1991""&gt; 1991 &lt;/ option&gt; &lt;option value = ""1990""&gt; 1990 &lt;/ option&gt; &lt;option value = "" 19"&amp;"89 ""&gt; 1989 &lt;/ option&gt; &lt;option value ="" 1988 ""&gt; 1988 &lt;/ option&gt; &lt;option value ="" 1987 ""&gt; 1987 &lt;/ option&gt; &lt;option value ="" 1986 ""&gt; 1986 &lt;/ option&gt; &lt;value option = ""1985""&gt; 1985 &lt;/ option&gt; &lt;option value = ""1984""&gt; 1984 &lt;/ option&gt; &lt;option value = ""1"&amp;"983""&gt; 1983 &lt;/ option&gt; &lt;option value = ""1982""&gt; 1982 &lt;/ option&gt; &lt; option value = ""1981""&gt; 1981 &lt;/ option&gt; &lt;option value = ""1980""&gt; 1980 &lt;/ option&gt; &lt;option value = ""1979""&gt; 1979 &lt;/ option&gt; &lt;option value = ""1978""&gt; 1978 &lt;/ option &gt; &lt;option value = ""19"&amp;"77""&gt; 1977 &lt;/ option&gt; &lt;option value = ""1976""&gt; 1976 &lt;/ option&gt; &lt;option value = ""1975""&gt; 1975 &lt;/ option&gt; &lt;option value = ""1974""&gt; 1974 &lt; / option&gt; &lt;option value = ""1973""&gt; 1973 &lt;/ option&gt; &lt;option value = ""1972""&gt; 1972 &lt;/ option&gt; &lt;option value = ""1971"&amp;"""&gt; 1971 &lt;/ option&gt; &lt;option value = ""1970""&gt; 1970 &lt;/ option&gt; &lt;option value = ""1969""&gt; 1969 &lt;/ option&gt; &lt;option value = ""1968""&gt; 1968 &lt;/ option&gt; &lt;option value = ""1967""&gt; 1967 &lt;/ option&gt; &lt;option value = ""1966 ""&gt; 1966 &lt;/ option&gt; &lt;option value ="" 1965 "&amp;"""&gt; 1965 &lt;/ option&gt; &lt;option value ="" 1964 ""&gt; 1964 &lt;/ option&gt; &lt;option value ="" 1963 ""&gt; 1963 &lt;/ option&gt; &lt;option value = ""1962""&gt; 1962 &lt;/ option&gt; &lt;option value = ""1961""&gt; 1961 &lt;/ option&gt; &lt;option value = ""1960""&gt; 1960 &lt;/ op tion&gt; &lt;option value = ""1959"&amp;"""&gt; 1959 &lt;/ option&gt; &lt;option value = ""1958""&gt; 1958 &lt;/ option&gt; &lt;option value = ""1957""&gt; 1957 &lt;/ option&gt; &lt;option value = ""1956""&gt; 1956 &lt;/ option&gt; &lt;option value = ""1955""&gt; 1955 &lt;/ option&gt; &lt;option value = ""1954""&gt; 1954 &lt;/ option&gt; &lt;option value = ""1953""&gt;"&amp;" 1953 &lt;/ option&gt; &lt;option value = ""1952"" &gt; 1952 &lt;/ option&gt; &lt;option value = ""1951""&gt; 1951 &lt;/ option&gt; &lt;option value = ""1950""&gt; 1950 &lt;/ option&gt; &lt;option value = ""1949""&gt; 1949 &lt;/ option&gt; &lt;option value = "" 1948 ""&gt; 1948 &lt;/ option&gt; &lt;option value ="" 1947 """&amp;"&gt; 1947 &lt;/ option&gt; &lt;option value ="" 1946 ""&gt; 1946 &lt;/ option&gt; &lt;option value ="" 1945 ""&gt; 1945 &lt;/ option&gt; &lt;value option = ""1944""&gt; 1944 &lt;/ option&gt; &lt;option value = ""1943""&gt; 1943 &lt;/ option&gt; &lt;option value = ""1942""&gt; 1942 &lt;/ option&gt; &lt;option value = ""1941""&gt;"&amp;" 1941 &lt;/ option&gt; &lt; option value = ""1940""&gt; 1940 &lt;/ option&gt; &lt;option value = ""1939""&gt; 1939 &lt;/ option&gt; &lt;option value = ""1938""&gt; 1938 &lt;/ option&gt; &lt;option value = ""1937""&gt; 1937 &lt;/ option &gt; &lt;option value = ""1936""&gt; 1936 &lt;/ option&gt; &lt;option value = ""1935""&gt; "&amp;"1935 &lt;/ option&gt; &lt;option value = ""1934""&gt; 1934 &lt;/ option&gt; &lt;option value = ""1933""&gt; 1933 &lt; / option&gt; &lt;option value = ""1932""&gt; 1932 &lt;/ option&gt; &lt;option value = ""1931""&gt; 1931 &lt;/ option&gt; &lt;option v alue = ""1930""&gt; 1930 &lt;/ option&gt; &lt;option value = ""1929""&gt; 1"&amp;"929 &lt;/ option&gt; &lt;option value = ""1928""&gt; 1928 &lt;/ option&gt; &lt;option value = ""1927""&gt; 1927 &lt;/ option&gt; &lt;option value = ""1926""&gt; 1926 &lt;/ option&gt; &lt;option value = ""1925""&gt; 1925 &lt;/ option&gt; &lt;option value = ""1924""&gt; 1924 &lt;/ option&gt; &lt;option value = ""1923""&gt; 1923"&amp;" &lt;/ option&gt; &lt;option value = ""1922""&gt; 1922 &lt;/ option&gt; &lt;option value = ""1921""&gt; 1921 &lt;/ option&gt; &lt;option value = ""1920""&gt; 1920 &lt;/ option&gt; &lt;option value = ""1919""&gt; 1919 &lt;/ option&gt; &lt;option value = ""1918""&gt; 1918 &lt;/ option&gt; &lt;option value = ""1917""&gt; 1917 &lt;/"&amp;" option&gt; &lt;option value = ""1916""&gt; 1916 &lt;/ option&gt; &lt;option value = ""1915"" &gt; 1915 &lt;/ option&gt; &lt;option value = ""1914""&gt; 1914 &lt;/ option&gt; &lt;option value = ""1913""&gt; 1913 &lt;/ option&gt; &lt;option value = ""1912""&gt; 1912 &lt;/ option&gt; &lt;option value = "" 1911 ""&gt; 1911 &lt;/"&amp;" option&gt; &lt;option value ="" 1910 ""&gt; 1910 &lt;/ option&gt; &lt;option value ="" 1909 ""&gt; 1909 &lt;/ option&gt; &lt;option value ="" 1908 ""&gt; 1908 &lt;/ option&gt; &lt;value option = ""1907""&gt; 1907 &lt;/ option&gt; &lt;option value = ""1906""&gt; 1906 &lt;/ option&gt; &lt;option value = ""1905""&gt; 1905 &lt;/"&amp;" option&gt; &lt;option value = ""1904""&gt; 1904 &lt;/ option&gt; &lt; option value = ""1903""&gt; 1903 &lt;/ option&gt; &lt;option value = ""1902""&gt; 1902 &lt;/ option&gt; &lt;option value = ""1901""&gt; 19 01 &lt;/ option&gt; &lt;option value = ""1900""&gt; 1900 &lt;/ option&gt; &lt;/ select&gt; &lt;div tabindex = ""- 1"""&amp;" class = ""airy-age-gate-submit airy-submit-button airy airy-submit- disabled ""&gt; Submit &lt;/ div&gt; &lt;/ div&gt; &lt;/ div&gt; &lt;/ div&gt; &lt;/ div&gt; &lt;/ div&gt; &lt;div tabindex ="" - 1 ""class ="" airy-install-flash-dialog airy-stage airy -vertical-centering-table-dialog airy airy"&amp;"-denied ""style ="" opacity: 0; visibility: hidden; ""&gt; &lt;div tabindex ="" - 1 ""class ="" airy-install-flash-Vertical-centering-table-cell airy-Vertical-centering-table-cell ""&gt; &lt;div tabindex ="" - 1 ""class = ""airy-Vertical-centering-wrapper airy-instal"&amp;"l-flash-elements-wrapper""&gt; &lt;div tabindex = ""- 1"" class = ""airy-install-flash-elements airy-dialog-elements""&gt; &lt;div tabindex = "" -1 ""class ="" airy-install-flash-prompt ""&gt; Adobe Flash Player is required to watch this video &lt;/ div&gt; &lt;div tabindex =."""&amp;" - 1 ""class ="" airy-install-flash-button-wrapper airy -dialog-inner-elements ""&gt; &lt;div tabindex ="" - 1 ""class ="" airy-install-flash-button airy-button ""&gt; install Flash Player &lt;/ div&gt; &lt;/ div&gt; &lt;/ div&gt; &lt;/ div&gt; &lt;/ div&gt; &lt;/ div&gt; &lt;div tabindex = ""- 1"" cla"&amp;"ss = ""airy-video-unsupported-dialog airy-stage airy-Vertical-centering-table airy-dialog airy-denied"" style = ""opacity: 0; visibility: hidden; ""&gt; &lt;div tabindex ="" - 1 ""class ="" airy-video-unsupported-Vertical-centering-table-cell airy-Vertical-cent"&amp;"ering-table-cell ""&gt; &lt;div tabindex ="" - 1 ""class = ""airy-Vertical-centering-wrapper airy-video-unsupported-elements-wrapper""&gt; &lt;div tabindex = ""- 1"" class = ""airy-video-unsupported-elements airy-dialog-elements""&gt; &lt;div tabindex = "" -1 ""class ="" a"&amp;"iry-video-unsupported-prompt ""&gt; &lt;/ div&gt; &lt;/ div&gt; &lt;/ div&gt; &lt;/ div&gt; &lt;/ div&gt; &lt;div tabindex ="" - 1 ""class ="" airy-loading- spinner-stage airy-stage ""&gt; &lt;div tabindex ="" - 1 ""class ="" airy-loading-spinner-Vertical-centering-table-cell airy-Vertical-center"&amp;"ing-table-cell ""&gt; &lt;div tabindex ="" - 1 ""class ="" airy-loading-spinner-container airy-scalable-hint-container ""&gt; &lt;div tabindex ="" - 1 ""class ="" airy-loading-spinner-dummy airy-scalable-dummy ""&gt; &lt;/ div&gt; &lt; div tabindex = ""- 1"" class = ""airy-loadi"&amp;"ng-spinner airy-hint"" style = ""visibility: hidden;""&gt; &lt;/ div&gt; &lt;/ div&gt; &lt;/ div&gt; &lt;/ div&gt; &lt;div tabindex = ""- 1 ""class ="" airy-ads-screen-size-toggle airy-screen-size-toggle-fullscreen airy ""style ="" visibility: hidden; ""&gt; &lt;/ div&gt; &lt;div tabindex = ""-1"&amp;""" class = ""airy-ad-prompt-container"" style = ""visibility: hidden;""&gt; &lt;div tabindex = ""- 1"" class = ""airy-ad-prompt-Vertical-centering-table-vertically airy centering-table ""&gt; &lt;div tabindex ="" - 1 ""class ="" airy-ad-prompt-Vertical-centering-tabl"&amp;"e-cell airy-Vertical-centering-table-cell ""&gt; &lt;div tabindex ="" - 1 ""class = ""airy-ad-prompt-label""&gt; &lt;/ div&gt; &lt;/ div&gt; &lt;/ div&gt; &lt;/ div&gt; &lt;div tabindex = ""- 1"" class = ""airy-ads-controls-container"" style = ""visibility: hidden; ""&gt; &lt;div tabindex ="" - 1"&amp;" ""class ="" airy-ads-audio-toggle airy-audio-toggle airy-on ""style ="" visibility: hidden; ""&gt; &lt;/ div&gt; &lt;div tabindex ="" - 1 ""class ="" airy-time-remaining-label-container ""&gt; &lt;div tabindex ="" - 1 ""class ="" airy-time-remaining-Vertical-centering-tab"&amp;"le airy-Vertical-centering-table ""&gt; &lt;div tabindex = ""- 1"" class = ""airy-time-remaining-Vertical-centering-table-cell airy-Vertical-centering-table-cell""&gt; &lt;div tabindex = ""- 1"" class = ""airy-Vertical-centering-wrapper airy-time-remaining-label-wrap"&amp;"per ""&gt; &lt;div tabindex ="" - 1 ""class ="" airy-time-remaining-label ""style ="" visibility: hidden; ""&gt; &lt;/ div&gt; &lt;div tabi ndex = ""- 1"" class = ""airy-ad-skip"" style = ""visibility: hidden;""&gt; &lt;/ div&gt; &lt;div tabindex = ""- 1"" class = ""airy-ad-end"" styl"&amp;"e = ""visibility: hidden ""&gt; &lt;/ div&gt; &lt;/ div&gt; &lt;/ div&gt; &lt;/ div&gt; &lt;/ div&gt; &lt;div tabindex ="" - 1 ""class ="" airy-learn-more ""style ="" visibility: hidden; ""&gt; &lt;/ div&gt; &lt;/ div&gt; &lt;div tabindex = ""- 1"" class = ""airy-play-toggle-hint-stage airy-stage airy-cursor"&amp;"""&gt; &lt;div tabindex = ""- 1"" class = ""airy-play -toggle-hint-Vertical-centering-table-cell airy-Vertical-centering-table-cell airy-cursor ""&gt; &lt;div tabindex ="" - 1 ""class ="" airy-play-toggle-hint-container airy-scalable- Hint-container ""&gt; &lt;div tabindex"&amp;" ="" - 1 ""class ="" airy-play-toggle-hint-dummy airy-scalable-dummy ""&gt; &lt;/ div&gt; &lt;div tabindex ="" - 1 ""class ="" airy-play -toggle-hint hint airy-airy-play-hint ""style ="" opacity: 1; visibility: visible; ""&gt; &lt;/ div&gt; &lt;/ div&gt; &lt;/ div&gt; &lt;/ div&gt; &lt;div tabind"&amp;"ex ="" - 1 ""class ="" airy-replay-hint-stage airy-stage ""style ="" visibility: hidden ; ""&gt; &lt;div tabindex ="" - 1 ""class ="" airy-replay-hint-Vertical-centering-table-cell airy-Vertical-centering-table-cell airy-cursor ""&gt; &lt;div tabindex ="" - 1 ""class"&amp;" = ""airy-replay-hint-container airy-scalable-hint-container""&gt; &lt;div tabindex = ""- 1"" class = ""airy-replay-hint-dummy airy-scalable-dummy""&gt; &lt;/ div&gt; &lt;div tabindex = ""- 1"" class = ""airy-replay-hint airy-hint""&gt; &lt;/ div&gt; &lt;/ div&gt; &lt;/ div&gt; &lt;/ div&gt; &lt;div ta"&amp;"bindex = ""- 1"" class = ""airy-autoplay-hint -stage airy-stage ""style ="" visibility: hidden; ""&gt; &lt;div tabindex ="" - 1 ""class ="" airy-autoplay-hint-Vertical-centering-table-cell airy-Vertical-centering-table-cell airy- cursor ""&gt; &lt;div tabindex ="" - "&amp;"1 ""class ="" autoplay airy-airy-hint-container-scalable-hint-container ""&gt; &lt;div tabindex ="" - 1 ""class ="" airy-autoplay-hint-dummy airy- scalable-dummy ""&gt; &lt;/ div&gt; &lt;/ div&gt; &lt;/ div&gt; &lt;/ div&gt; &lt;/ div&gt; &lt;/ div&gt; &lt;input type ="" hidden ""name ="" ""value ="" h"&amp;"ttps: // images-eu .ssl-images-amazon.com / images / I / 81I5vxO6YkS.mp4 ""Class ="" video-url ""&gt; &lt;input type ="" hidden ""name ="" ""value ="" https://images-eu.ssl-images-amazon.com/images/I/A1uUoncYTXS.png ""class ="" video-slate-img-url ""&gt; &amp; nbsp; I"&amp;" going perfectly, since it is a device that weighs little and takes a lower slip apart, so it will not move. I was surprised, because I can use it with one hand.")</f>
        <v>Perfect device. &lt;Div id = "video-block-R13AZD8X5G3GKK" class = "section a-a-a-spacing-small spacing-top-video mini-block"&gt; &lt;div tabindex = "0" class = "airy airy-svg vmin- supported airy-skin-beacon "style =" background-color: rgb (0, 0, 0) position: relative; width: 100%; height: 100%; font-size: 0px; overflow: hidden; outline: none ; "&gt; &lt;div class =" airy-renderer-container "style =" position: relative; height: 100%; width: 100%; "&gt; &lt;video id =" 7 "preload =" auto "src =" https: //images-eu.ssl-images-amazon.com/images/I/81I5vxO6YkS.mp4 "style =" position: absolute; left: 0px; top: 0px; overflow: hidden; height: 1px; width: 1px; " &gt; &lt;/ video&gt; &lt;/ div&gt; &lt;div id = "airy-slate-preload" style = "background-color: rgb (0, 0, 0); background-image: url (&amp; quot; https: // images- eu.ssl-images-amazon.com/images/I/A1uUoncYTXS.png&amp;quot;); background-size: Contain; background-position: center center; background-repeat: no-repeat; position: absolute; top: 0px; left :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0:07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"style =" width: 18.0277%;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81I5vxO6YkS.mp4 "Class =" video-url "&gt; &lt;input type =" hidden "name =" "value =" https://images-eu.ssl-images-amazon.com/images/I/A1uUoncYTXS.png "class =" video-slate-img-url "&gt; &amp; nbsp; I going perfectly, since it is a device that weighs little and takes a lower slip apart, so it will not move. I was surprised, because I can use it with one hand.</v>
      </c>
    </row>
    <row r="18104">
      <c r="A18104" s="1">
        <v>5.0</v>
      </c>
      <c r="B18104" s="1" t="s">
        <v>17930</v>
      </c>
      <c r="C18104" t="str">
        <f>IFERROR(__xludf.DUMMYFUNCTION("GOOGLETRANSLATE(B18104, ""es"", ""en"")"),"Accessories mini format picador The container is small, ideal for small amount of food. The adjustment to the arm is not fixed to the cover which facilitates cleaning. Perfect in compact size. The minipimer normal size")</f>
        <v>Accessories mini format picador The container is small, ideal for small amount of food. The adjustment to the arm is not fixed to the cover which facilitates cleaning. Perfect in compact size. The minipimer normal size</v>
      </c>
    </row>
    <row r="18105">
      <c r="A18105" s="1">
        <v>5.0</v>
      </c>
      <c r="B18105" s="1" t="s">
        <v>17931</v>
      </c>
      <c r="C18105" t="str">
        <f>IFERROR(__xludf.DUMMYFUNCTION("GOOGLETRANSLATE(B18105, ""es"", ""en"")"),"They are tiny hoops great but are very nice and are very good. I arrive on time for the closing costs but you just have to wear them open a little longer carefully and fit perfectly. I recommend it very comfortable to wear as they are small and do not wei"&amp;"gh nothing me off to sleep because they do not bother.")</f>
        <v>They are tiny hoops great but are very nice and are very good. I arrive on time for the closing costs but you just have to wear them open a little longer carefully and fit perfectly. I recommend it very comfortable to wear as they are small and do not weigh nothing me off to sleep because they do not bother.</v>
      </c>
    </row>
    <row r="18106">
      <c r="A18106" s="1">
        <v>5.0</v>
      </c>
      <c r="B18106" s="1" t="s">
        <v>17932</v>
      </c>
      <c r="C18106" t="str">
        <f>IFERROR(__xludf.DUMMYFUNCTION("GOOGLETRANSLATE(B18106, ""es"", ""en"")"),"Simplicity and power had long wanted to buy a blender cup, to prepare smoothies or fruit juices and I found this product a great success, as both the design has, as power are fully meeting expectations. The article consists of two distinct parts, the base"&amp;"; where the engine and wheel control and pitcher, where the sharp blades will help us to prepare our juices, smoothies, etc. is - The base is constructed of plastic, combining the red and black colors to give a youthful and cheerful touch to our kitchen, "&amp;"and has 4 suckers at the bottom of the base to prevent the mixer from moving while we prepare our milkshakes. Roulette control has 4 positions, from left to right: ""P"" (functions as a button), ""Off"", ""Speed ​​1"" and ""Speed ​​2"". - The jar is thick"&amp;" glass 1.5 liters, with a side handle which helps us in the work of coupling it to the base of the blender and serving juice or smoothie prepared in it. On top of it there is a lid of semirigid plastic to prevent food from overflowing, with a smaller lid "&amp;"in its central part, plastic rigid transparent, which can be used as glass measures, as it has notches for this purpose also used to complete the cover and prevent egress of food. At the bottom of the jar is where the four sharp blades, namely a rigid pla"&amp;"stic part which serves as connection between the jug and base of the mixer. As for functionality, the power of the mixer allows both shredding our fruits and vegetables as snack to prepare delicious ice slush. I liked to force it shows not very noisy, as "&amp;"there are many on the market that are good for chopping ice and make a lot more noise when used. Regarding cleanliness of the product is very easy to clean, since the ""P"" position your roulette is designed to help in cleaning adding a little water and s"&amp;"oap to the pitcher; also this can be removed, separating the glass jug of the blades and the cover allowing cleaning of a very comfortable and easy. For these reasons, I find that buying has been a success and I'm delighted with her at home.")</f>
        <v>Simplicity and power had long wanted to buy a blender cup, to prepare smoothies or fruit juices and I found this product a great success, as both the design has, as power are fully meeting expectations. The article consists of two distinct parts, the base; where the engine and wheel control and pitcher, where the sharp blades will help us to prepare our juices, smoothies, etc. is - The base is constructed of plastic, combining the red and black colors to give a youthful and cheerful touch to our kitchen, and has 4 suckers at the bottom of the base to prevent the mixer from moving while we prepare our milkshakes. Roulette control has 4 positions, from left to right: "P" (functions as a button), "Off", "Speed ​​1" and "Speed ​​2". - The jar is thick glass 1.5 liters, with a side handle which helps us in the work of coupling it to the base of the blender and serving juice or smoothie prepared in it. On top of it there is a lid of semirigid plastic to prevent food from overflowing, with a smaller lid in its central part, plastic rigid transparent, which can be used as glass measures, as it has notches for this purpose also used to complete the cover and prevent egress of food. At the bottom of the jar is where the four sharp blades, namely a rigid plastic part which serves as connection between the jug and base of the mixer. As for functionality, the power of the mixer allows both shredding our fruits and vegetables as snack to prepare delicious ice slush. I liked to force it shows not very noisy, as there are many on the market that are good for chopping ice and make a lot more noise when used. Regarding cleanliness of the product is very easy to clean, since the "P" position your roulette is designed to help in cleaning adding a little water and soap to the pitcher; also this can be removed, separating the glass jug of the blades and the cover allowing cleaning of a very comfortable and easy. For these reasons, I find that buying has been a success and I'm delighted with her at home.</v>
      </c>
    </row>
    <row r="18107">
      <c r="A18107" s="1">
        <v>5.0</v>
      </c>
      <c r="B18107" s="1" t="s">
        <v>17933</v>
      </c>
      <c r="C18107" t="str">
        <f>IFERROR(__xludf.DUMMYFUNCTION("GOOGLETRANSLATE(B18107, ""es"", ""en"")"),"Very comfortable. And not only very comfortable, but above transpire perfect, what else can you expect for this price socks?")</f>
        <v>Very comfortable. And not only very comfortable, but above transpire perfect, what else can you expect for this price socks?</v>
      </c>
    </row>
    <row r="18108">
      <c r="A18108" s="1">
        <v>5.0</v>
      </c>
      <c r="B18108" s="1" t="s">
        <v>17934</v>
      </c>
      <c r="C18108" t="str">
        <f>IFERROR(__xludf.DUMMYFUNCTION("GOOGLETRANSLATE(B18108, ""es"", ""en"")"),"Value offer to buy a lovely garment to go for walks snow and cold winter days")</f>
        <v>Value offer to buy a lovely garment to go for walks snow and cold winter days</v>
      </c>
    </row>
    <row r="18109">
      <c r="A18109" s="1">
        <v>5.0</v>
      </c>
      <c r="B18109" s="1" t="s">
        <v>17935</v>
      </c>
      <c r="C18109" t="str">
        <f>IFERROR(__xludf.DUMMYFUNCTION("GOOGLETRANSLATE(B18109, ""es"", ""en"")"),"We recommended to buy one because the former passed away, had for many years. The brand had quite clear, and not much needed, used for vegetable purees, shakes and stuff, perfectly fulfills its mission, besides that the noise is much better than the last.")</f>
        <v>We recommended to buy one because the former passed away, had for many years. The brand had quite clear, and not much needed, used for vegetable purees, shakes and stuff, perfectly fulfills its mission, besides that the noise is much better than the last.</v>
      </c>
    </row>
    <row r="18110">
      <c r="A18110" s="1">
        <v>5.0</v>
      </c>
      <c r="B18110" s="1" t="s">
        <v>17936</v>
      </c>
      <c r="C18110" t="str">
        <f>IFERROR(__xludf.DUMMYFUNCTION("GOOGLETRANSLATE(B18110, ""es"", ""en"")"),"Good quality cable is quite long and has very good quality. Works like a charm. Nothing to envy to the more expensive cables. It does not give any noise. The cable comes with a box barbed 1mm and 1.2mm plus a hard spike which is great and very much apprec"&amp;"iated detail")</f>
        <v>Good quality cable is quite long and has very good quality. Works like a charm. Nothing to envy to the more expensive cables. It does not give any noise. The cable comes with a box barbed 1mm and 1.2mm plus a hard spike which is great and very much appreciated detail</v>
      </c>
    </row>
    <row r="18111">
      <c r="A18111" s="1">
        <v>5.0</v>
      </c>
      <c r="B18111" s="1" t="s">
        <v>17937</v>
      </c>
      <c r="C18111" t="str">
        <f>IFERROR(__xludf.DUMMYFUNCTION("GOOGLETRANSLATE(B18111, ""es"", ""en"")"),"Do not use very comfortable to run, just for daily use, but I find them very comfortable, and as they have grid are not too hot for summer, but imagine winter will be too ""fresh"" Pleased with purchase.")</f>
        <v>Do not use very comfortable to run, just for daily use, but I find them very comfortable, and as they have grid are not too hot for summer, but imagine winter will be too "fresh" Pleased with purchase.</v>
      </c>
    </row>
    <row r="18112">
      <c r="A18112" s="1">
        <v>5.0</v>
      </c>
      <c r="B18112" s="1" t="s">
        <v>17938</v>
      </c>
      <c r="C18112" t="str">
        <f>IFERROR(__xludf.DUMMYFUNCTION("GOOGLETRANSLATE(B18112, ""es"", ""en"")"),"Most beautiful beautiful than the photos and in an elegant box, my girlfriend was delighted, (it is important) xd")</f>
        <v>Most beautiful beautiful than the photos and in an elegant box, my girlfriend was delighted, (it is important) xd</v>
      </c>
    </row>
    <row r="18113">
      <c r="A18113" s="1">
        <v>5.0</v>
      </c>
      <c r="B18113" s="1" t="s">
        <v>17939</v>
      </c>
      <c r="C18113" t="str">
        <f>IFERROR(__xludf.DUMMYFUNCTION("GOOGLETRANSLATE(B18113, ""es"", ""en"")"),"Very pretty good buy I'm 39 and just bought that left me a little big but with perfect good buys templates recommend and very good price now have much last")</f>
        <v>Very pretty good buy I'm 39 and just bought that left me a little big but with perfect good buys templates recommend and very good price now have much last</v>
      </c>
    </row>
    <row r="18114">
      <c r="A18114" s="1">
        <v>2.0</v>
      </c>
      <c r="B18114" s="1" t="s">
        <v>17940</v>
      </c>
      <c r="C18114" t="str">
        <f>IFERROR(__xludf.DUMMYFUNCTION("GOOGLETRANSLATE(B18114, ""es"", ""en"")"),"Gustavo Martin Despite being my usual number of adidas 47/3. I still have very little to walk or run. I had to give")</f>
        <v>Gustavo Martin Despite being my usual number of adidas 47/3. I still have very little to walk or run. I had to give</v>
      </c>
    </row>
    <row r="18115">
      <c r="A18115" s="1">
        <v>3.0</v>
      </c>
      <c r="B18115" s="1" t="s">
        <v>17941</v>
      </c>
      <c r="C18115" t="str">
        <f>IFERROR(__xludf.DUMMYFUNCTION("GOOGLETRANSLATE(B18115, ""es"", ""en"")"),"A shoes give them a 10, but ... The shoes are perfect, exactly as expected. The typical quality of Nike, great finishes ... There might me more! Now, I have a problem and have received is that without them the alarm has been eliminated, so that I honking "&amp;"for each store where I come in. I know there is more to ask in any store you eliminate it, but it seems a big mistake on the part of the seller ... Otherwise, the shoes 10.")</f>
        <v>A shoes give them a 10, but ... The shoes are perfect, exactly as expected. The typical quality of Nike, great finishes ... There might me more! Now, I have a problem and have received is that without them the alarm has been eliminated, so that I honking for each store where I come in. I know there is more to ask in any store you eliminate it, but it seems a big mistake on the part of the seller ... Otherwise, the shoes 10.</v>
      </c>
    </row>
    <row r="18116">
      <c r="A18116" s="1">
        <v>1.0</v>
      </c>
      <c r="B18116" s="1" t="s">
        <v>17942</v>
      </c>
      <c r="C18116" t="str">
        <f>IFERROR(__xludf.DUMMYFUNCTION("GOOGLETRANSLATE(B18116, ""es"", ""en"")"),"Prettier than effective not convinced me")</f>
        <v>Prettier than effective not convinced me</v>
      </c>
    </row>
    <row r="18117">
      <c r="A18117" s="1">
        <v>1.0</v>
      </c>
      <c r="B18117" s="1" t="s">
        <v>17943</v>
      </c>
      <c r="C18117" t="str">
        <f>IFERROR(__xludf.DUMMYFUNCTION("GOOGLETRANSLATE(B18117, ""es"", ""en"")"),"A great disappointment, the ink lasts 20 sheets !! Since the day I installed only've had problemas😰 24/08. Ink packages service takes 10 days for the first time or running out of ink and I had to buy the color lasted me 20 pages !!! In less than a day I "&amp;"run out of ink !!! Something inexplicable. I called the service and if they send me another cartridge but sell it in three days, so I'm hanging here and vetoing more money without having to work imoresora. Disaster also only lets you scan in JPG or PDF an"&amp;"d do not ask more. I will return this equipment and !!!")</f>
        <v>A great disappointment, the ink lasts 20 sheets !! Since the day I installed only've had problemas😰 24/08. Ink packages service takes 10 days for the first time or running out of ink and I had to buy the color lasted me 20 pages !!! In less than a day I run out of ink !!! Something inexplicable. I called the service and if they send me another cartridge but sell it in three days, so I'm hanging here and vetoing more money without having to work imoresora. Disaster also only lets you scan in JPG or PDF and do not ask more. I will return this equipment and !!!</v>
      </c>
    </row>
    <row r="18118">
      <c r="A18118" s="1">
        <v>1.0</v>
      </c>
      <c r="B18118" s="1" t="s">
        <v>17944</v>
      </c>
      <c r="C18118" t="str">
        <f>IFERROR(__xludf.DUMMYFUNCTION("GOOGLETRANSLATE(B18118, ""es"", ""en"")"),"Shoes dancing shoes arrived later than they should, and after arriving, when I finally was able to put the buckle broke the second time I wanted them to market.")</f>
        <v>Shoes dancing shoes arrived later than they should, and after arriving, when I finally was able to put the buckle broke the second time I wanted them to market.</v>
      </c>
    </row>
    <row r="18119">
      <c r="A18119" s="1">
        <v>4.0</v>
      </c>
      <c r="B18119" s="1" t="s">
        <v>17945</v>
      </c>
      <c r="C18119" t="str">
        <f>IFERROR(__xludf.DUMMYFUNCTION("GOOGLETRANSLATE(B18119, ""es"", ""en"")"),"Smartwatch focused on sport The smarwatch is resisente and very nice, meets to spare when sporting activities, the screen is amazing, and the battery is acceptable (2.5 days). I put 4 stars because it has some negative points, starting with the (Tizen) op"&amp;"erating system, have to say it works great, but when installing applications has very few and besides payment (I come from wear years and this has thousands and most free), I would for example have Google Maps (similar, but not nearly decent work) which d"&amp;"oes not have. Another negative point to note are notifications WhatsApp, are not all implemented well and the answer becomes cumbersome. Conclusion: If you are looking for an elegant or sports watch (nor is it a Garmin, but has in plenty of pijadas not us"&amp;"ually Garmin lead) with acceptable battery, (also can make calls and answer from the same) do not hesitate, this is your watch. However if you are looking for more tinkering, and install a lot of applications I do not recommend it, (for that would go head"&amp;"-to-wear years, despite problems battery). Also I have to say that the voice assistant is not working as bad as discussed out there, at least my voice if I have any problem works well, reconoze even longer sentences.")</f>
        <v>Smartwatch focused on sport The smarwatch is resisente and very nice, meets to spare when sporting activities, the screen is amazing, and the battery is acceptable (2.5 days). I put 4 stars because it has some negative points, starting with the (Tizen) operating system, have to say it works great, but when installing applications has very few and besides payment (I come from wear years and this has thousands and most free), I would for example have Google Maps (similar, but not nearly decent work) which does not have. Another negative point to note are notifications WhatsApp, are not all implemented well and the answer becomes cumbersome. Conclusion: If you are looking for an elegant or sports watch (nor is it a Garmin, but has in plenty of pijadas not usually Garmin lead) with acceptable battery, (also can make calls and answer from the same) do not hesitate, this is your watch. However if you are looking for more tinkering, and install a lot of applications I do not recommend it, (for that would go head-to-wear years, despite problems battery). Also I have to say that the voice assistant is not working as bad as discussed out there, at least my voice if I have any problem works well, reconoze even longer sentences.</v>
      </c>
    </row>
    <row r="18120">
      <c r="A18120" s="1">
        <v>4.0</v>
      </c>
      <c r="B18120" s="1" t="s">
        <v>17946</v>
      </c>
      <c r="C18120" t="str">
        <f>IFERROR(__xludf.DUMMYFUNCTION("GOOGLETRANSLATE(B18120, ""es"", ""en"")"),"Well it's pretty good for the price it has. It seems that when it's warmer may make you sweat a lot wrist. The accessory mouse is a bit exaggerated in terms of size, but okay.")</f>
        <v>Well it's pretty good for the price it has. It seems that when it's warmer may make you sweat a lot wrist. The accessory mouse is a bit exaggerated in terms of size, but okay.</v>
      </c>
    </row>
    <row r="18121">
      <c r="A18121" s="1">
        <v>4.0</v>
      </c>
      <c r="B18121" s="1" t="s">
        <v>42</v>
      </c>
      <c r="C18121" t="str">
        <f>IFERROR(__xludf.DUMMYFUNCTION("GOOGLETRANSLATE(B18121, ""es"", ""en"")"),"Well well")</f>
        <v>Well well</v>
      </c>
    </row>
    <row r="18122">
      <c r="A18122" s="1">
        <v>4.0</v>
      </c>
      <c r="B18122" s="1" t="s">
        <v>17947</v>
      </c>
      <c r="C18122" t="str">
        <f>IFERROR(__xludf.DUMMYFUNCTION("GOOGLETRANSLATE(B18122, ""es"", ""en"")"),"They are good for the price. Helmets are good for the price, good quality / price ratio. They come with a small cloth bag for storage. You can connect via Bluetooth or cable. I bought for my daughter who is delighted .For my taste are too serious charges.")</f>
        <v>They are good for the price. Helmets are good for the price, good quality / price ratio. They come with a small cloth bag for storage. You can connect via Bluetooth or cable. I bought for my daughter who is delighted .For my taste are too serious charges.</v>
      </c>
    </row>
    <row r="18123">
      <c r="A18123" s="1">
        <v>4.0</v>
      </c>
      <c r="B18123" s="1" t="s">
        <v>17948</v>
      </c>
      <c r="C18123" t="str">
        <f>IFERROR(__xludf.DUMMYFUNCTION("GOOGLETRANSLATE(B18123, ""es"", ""en"")"),"Genial very comfortable")</f>
        <v>Genial very comfortable</v>
      </c>
    </row>
    <row r="18124">
      <c r="A18124" s="1">
        <v>5.0</v>
      </c>
      <c r="B18124" s="1" t="s">
        <v>17949</v>
      </c>
      <c r="C18124" t="str">
        <f>IFERROR(__xludf.DUMMYFUNCTION("GOOGLETRANSLATE(B18124, ""es"", ""en"")"),"Cavity lens magnifiers have q and q fits your diopter. Excellent, very useful. The perfect ... great value in shops is more expensive")</f>
        <v>Cavity lens magnifiers have q and q fits your diopter. Excellent, very useful. The perfect ... great value in shops is more expensive</v>
      </c>
    </row>
    <row r="18125">
      <c r="A18125" s="1">
        <v>5.0</v>
      </c>
      <c r="B18125" s="1" t="s">
        <v>17950</v>
      </c>
      <c r="C18125" t="str">
        <f>IFERROR(__xludf.DUMMYFUNCTION("GOOGLETRANSLATE(B18125, ""es"", ""en"")"),"To repeat. Very good Good Product")</f>
        <v>To repeat. Very good Good Product</v>
      </c>
    </row>
    <row r="18126">
      <c r="A18126" s="1">
        <v>5.0</v>
      </c>
      <c r="B18126" s="1" t="s">
        <v>17951</v>
      </c>
      <c r="C18126" t="str">
        <f>IFERROR(__xludf.DUMMYFUNCTION("GOOGLETRANSLATE(B18126, ""es"", ""en"")"),"Converse Perfect 👌")</f>
        <v>Converse Perfect 👌</v>
      </c>
    </row>
    <row r="18127">
      <c r="A18127" s="1">
        <v>5.0</v>
      </c>
      <c r="B18127" s="1" t="s">
        <v>17952</v>
      </c>
      <c r="C18127" t="str">
        <f>IFERROR(__xludf.DUMMYFUNCTION("GOOGLETRANSLATE(B18127, ""es"", ""en"")"),"Essential oils for cosmetic or Humidif. It is a set of 6 oils without added flavorings, or ambeintadores is ESSENTIAL OIL. So it will not be dissolved in water (although it can be used in humidifcadores) where you get peaks of smell much more intense than"&amp;" with essences to the water, but less constant, I like more to go perceiving changes in the smell. Also clearly they have a much more intense smell the aromas. Brings a wide range of odors from wood warmer and type like orange sweet fescos more like green"&amp;" tea. I've used for soaps and as a freshener, and we, like any other essence of quality, a good result. If you have something that makes it really cool is the packaging, which gives very good look for gift, for example.")</f>
        <v>Essential oils for cosmetic or Humidif. It is a set of 6 oils without added flavorings, or ambeintadores is ESSENTIAL OIL. So it will not be dissolved in water (although it can be used in humidifcadores) where you get peaks of smell much more intense than with essences to the water, but less constant, I like more to go perceiving changes in the smell. Also clearly they have a much more intense smell the aromas. Brings a wide range of odors from wood warmer and type like orange sweet fescos more like green tea. I've used for soaps and as a freshener, and we, like any other essence of quality, a good result. If you have something that makes it really cool is the packaging, which gives very good look for gift, for example.</v>
      </c>
    </row>
    <row r="18128">
      <c r="A18128" s="1">
        <v>5.0</v>
      </c>
      <c r="B18128" s="1" t="s">
        <v>17953</v>
      </c>
      <c r="C18128" t="str">
        <f>IFERROR(__xludf.DUMMYFUNCTION("GOOGLETRANSLATE(B18128, ""es"", ""en"")"),"Very good finish much better than the picture, assembled in China (such as iPhones, etc ...) but supervised by the Japanese, very good finish and good price. It is clear that Casio want to do something like their compatriots in the automotive industry, an"&amp;"d make this range ""brand"" Edifice to do something like Toyota or Lexus or Infiniti Nissan, and jump to a range of watches more ""category"".")</f>
        <v>Very good finish much better than the picture, assembled in China (such as iPhones, etc ...) but supervised by the Japanese, very good finish and good price. It is clear that Casio want to do something like their compatriots in the automotive industry, and make this range "brand" Edifice to do something like Toyota or Lexus or Infiniti Nissan, and jump to a range of watches more "category".</v>
      </c>
    </row>
    <row r="18129">
      <c r="A18129" s="1">
        <v>5.0</v>
      </c>
      <c r="B18129" s="1" t="s">
        <v>17954</v>
      </c>
      <c r="C18129" t="str">
        <f>IFERROR(__xludf.DUMMYFUNCTION("GOOGLETRANSLATE(B18129, ""es"", ""en"")"),"Very nice The best I have. Thick fabric and comfortable. Very flattering and super nice")</f>
        <v>Very nice The best I have. Thick fabric and comfortable. Very flattering and super nice</v>
      </c>
    </row>
    <row r="18130">
      <c r="A18130" s="1">
        <v>5.0</v>
      </c>
      <c r="B18130" s="1" t="s">
        <v>17955</v>
      </c>
      <c r="C18130" t="str">
        <f>IFERROR(__xludf.DUMMYFUNCTION("GOOGLETRANSLATE(B18130, ""es"", ""en"")"),"All right long, length is 1.70 s for long legs !!")</f>
        <v>All right long, length is 1.70 s for long legs !!</v>
      </c>
    </row>
    <row r="18131">
      <c r="A18131" s="1">
        <v>5.0</v>
      </c>
      <c r="B18131" s="1" t="s">
        <v>17956</v>
      </c>
      <c r="C18131" t="str">
        <f>IFERROR(__xludf.DUMMYFUNCTION("GOOGLETRANSLATE(B18131, ""es"", ""en"")"),"Very comfortable very comfortable, they were for a gift, the recipient is delighted with them. Repeat purchase without hesitation. Product highly recommended.")</f>
        <v>Very comfortable very comfortable, they were for a gift, the recipient is delighted with them. Repeat purchase without hesitation. Product highly recommended.</v>
      </c>
    </row>
    <row r="18132">
      <c r="A18132" s="1">
        <v>5.0</v>
      </c>
      <c r="B18132" s="1" t="s">
        <v>17957</v>
      </c>
      <c r="C18132" t="str">
        <f>IFERROR(__xludf.DUMMYFUNCTION("GOOGLETRANSLATE(B18132, ""es"", ""en"")"),"Very practical. Very happy with the purchase. It is very comfortable and convenient. A folding being occupies little space. Good value for money.")</f>
        <v>Very practical. Very happy with the purchase. It is very comfortable and convenient. A folding being occupies little space. Good value for money.</v>
      </c>
    </row>
    <row r="18133">
      <c r="A18133" s="1">
        <v>5.0</v>
      </c>
      <c r="B18133" s="1" t="s">
        <v>17958</v>
      </c>
      <c r="C18133" t="str">
        <f>IFERROR(__xludf.DUMMYFUNCTION("GOOGLETRANSLATE(B18133, ""es"", ""en"")"),"Super comfortable, very desirable Spectacularly comfortable, really respond to what was expected and very punctual in sending")</f>
        <v>Super comfortable, very desirable Spectacularly comfortable, really respond to what was expected and very punctual in sending</v>
      </c>
    </row>
    <row r="18134">
      <c r="A18134" s="1">
        <v>5.0</v>
      </c>
      <c r="B18134" s="1" t="s">
        <v>17959</v>
      </c>
      <c r="C18134" t="str">
        <f>IFERROR(__xludf.DUMMYFUNCTION("GOOGLETRANSLATE(B18134, ""es"", ""en"")"),"Perfect Perfect, sticking to the metal being must be careful once this hot, because if you touch the burning metal. For the rest more than perfect.")</f>
        <v>Perfect Perfect, sticking to the metal being must be careful once this hot, because if you touch the burning metal. For the rest more than perfect.</v>
      </c>
    </row>
    <row r="18135">
      <c r="A18135" s="1">
        <v>5.0</v>
      </c>
      <c r="B18135" s="1" t="s">
        <v>17960</v>
      </c>
      <c r="C18135" t="str">
        <f>IFERROR(__xludf.DUMMYFUNCTION("GOOGLETRANSLATE(B18135, ""es"", ""en"")"),"Sofia I love, suffer from severe pain in her shoulders and back massager me quite relieved. I use it after showering and first applied cream for pain or inchazon (legs), turn on the heat function and leaves you as new. Weighs a bit so that the one person "&amp;"do a bit tired for a long time. But still I recommend 👌👌")</f>
        <v>Sofia I love, suffer from severe pain in her shoulders and back massager me quite relieved. I use it after showering and first applied cream for pain or inchazon (legs), turn on the heat function and leaves you as new. Weighs a bit so that the one person do a bit tired for a long time. But still I recommend 👌👌</v>
      </c>
    </row>
    <row r="18136">
      <c r="A18136" s="1">
        <v>5.0</v>
      </c>
      <c r="B18136" s="1" t="s">
        <v>17961</v>
      </c>
      <c r="C18136" t="str">
        <f>IFERROR(__xludf.DUMMYFUNCTION("GOOGLETRANSLATE(B18136, ""es"", ""en"")"),"Good quality. In-ear type helmets. The aluminum body and the entire cable is coated with silicone which gives excellent rigidity not too tangling. The box is quite simple and brings the headphones, 3 sets of silicone tips in 3 different sizes, a small cli"&amp;"p for attaching helmets clothes if sports with them and a small strip of Velcro that allows to take us well they collected without helmets are bundled. The sound quality is quite good and a Xiaomi Mi 9 control volume, play and pause and call handling is p"&amp;"erfect. So you have told me good to hear talking by phone. I wore stockings pads until I tried the small and are a treat.")</f>
        <v>Good quality. In-ear type helmets. The aluminum body and the entire cable is coated with silicone which gives excellent rigidity not too tangling. The box is quite simple and brings the headphones, 3 sets of silicone tips in 3 different sizes, a small clip for attaching helmets clothes if sports with them and a small strip of Velcro that allows to take us well they collected without helmets are bundled. The sound quality is quite good and a Xiaomi Mi 9 control volume, play and pause and call handling is perfect. So you have told me good to hear talking by phone. I wore stockings pads until I tried the small and are a treat.</v>
      </c>
    </row>
    <row r="18137">
      <c r="A18137" s="1">
        <v>5.0</v>
      </c>
      <c r="B18137" s="1" t="s">
        <v>17962</v>
      </c>
      <c r="C18137" t="str">
        <f>IFERROR(__xludf.DUMMYFUNCTION("GOOGLETRANSLATE(B18137, ""es"", ""en"")"),"The best stamping ink refill've spent years using it in value is the best. No transferred last long, comfortable to use, tightly closed and kept not dry. Perfect.")</f>
        <v>The best stamping ink refill've spent years using it in value is the best. No transferred last long, comfortable to use, tightly closed and kept not dry. Perfect.</v>
      </c>
    </row>
    <row r="18138">
      <c r="A18138" s="1">
        <v>5.0</v>
      </c>
      <c r="B18138" s="1" t="s">
        <v>17963</v>
      </c>
      <c r="C18138" t="str">
        <f>IFERROR(__xludf.DUMMYFUNCTION("GOOGLETRANSLATE(B18138, ""es"", ""en"")"),"Super super comfortable you an enchanted my mother, and are the second I buy. They are very comfortable to go walking.")</f>
        <v>Super super comfortable you an enchanted my mother, and are the second I buy. They are very comfortable to go walking.</v>
      </c>
    </row>
    <row r="18139">
      <c r="A18139" s="1">
        <v>5.0</v>
      </c>
      <c r="B18139" s="1" t="s">
        <v>17964</v>
      </c>
      <c r="C18139" t="str">
        <f>IFERROR(__xludf.DUMMYFUNCTION("GOOGLETRANSLATE(B18139, ""es"", ""en"")"),"Everything I expected that Great price. a card with sufficient capacity not worry throughout the trip.")</f>
        <v>Everything I expected that Great price. a card with sufficient capacity not worry throughout the trip.</v>
      </c>
    </row>
    <row r="18140">
      <c r="A18140" s="1">
        <v>5.0</v>
      </c>
      <c r="B18140" s="1" t="s">
        <v>17965</v>
      </c>
      <c r="C18140" t="str">
        <f>IFERROR(__xludf.DUMMYFUNCTION("GOOGLETRANSLATE(B18140, ""es"", ""en"")"),"Regular I was great, but the air pump cracked me ..")</f>
        <v>Regular I was great, but the air pump cracked me ..</v>
      </c>
    </row>
    <row r="18141">
      <c r="A18141" s="1">
        <v>5.0</v>
      </c>
      <c r="B18141" s="1" t="s">
        <v>17966</v>
      </c>
      <c r="C18141" t="str">
        <f>IFERROR(__xludf.DUMMYFUNCTION("GOOGLETRANSLATE(B18141, ""es"", ""en"")"),"Highly recommended I had a more comfortable stitches in my life, both to run and to zumba")</f>
        <v>Highly recommended I had a more comfortable stitches in my life, both to run and to zumba</v>
      </c>
    </row>
    <row r="18142">
      <c r="A18142" s="1">
        <v>2.0</v>
      </c>
      <c r="B18142" s="1" t="s">
        <v>17967</v>
      </c>
      <c r="C18142" t="str">
        <f>IFERROR(__xludf.DUMMYFUNCTION("GOOGLETRANSLATE(B18142, ""es"", ""en"")"),"Poor fairly regular. I thought I would give the brand a good product, and what was my surprise when I came completely struck by one side, making it impossible to separation if need scissors. Adhesion is good, but it is so difficult to use not recommend th"&amp;"is product")</f>
        <v>Poor fairly regular. I thought I would give the brand a good product, and what was my surprise when I came completely struck by one side, making it impossible to separation if need scissors. Adhesion is good, but it is so difficult to use not recommend this product</v>
      </c>
    </row>
    <row r="18143">
      <c r="A18143" s="1">
        <v>3.0</v>
      </c>
      <c r="B18143" s="1" t="s">
        <v>17968</v>
      </c>
      <c r="C18143" t="str">
        <f>IFERROR(__xludf.DUMMYFUNCTION("GOOGLETRANSLATE(B18143, ""es"", ""en"")"),"Some are ordinary large. Normal quality, and loose termination, I left a button strip holding the heel and left to air.")</f>
        <v>Some are ordinary large. Normal quality, and loose termination, I left a button strip holding the heel and left to air.</v>
      </c>
    </row>
    <row r="18144">
      <c r="A18144" s="1">
        <v>3.0</v>
      </c>
      <c r="B18144" s="1" t="s">
        <v>17969</v>
      </c>
      <c r="C18144" t="str">
        <f>IFERROR(__xludf.DUMMYFUNCTION("GOOGLETRANSLATE(B18144, ""es"", ""en"")"),"Normalita good film, it's no wonder but does the job.")</f>
        <v>Normalita good film, it's no wonder but does the job.</v>
      </c>
    </row>
    <row r="18145">
      <c r="A18145" s="1">
        <v>1.0</v>
      </c>
      <c r="B18145" s="1" t="s">
        <v>17970</v>
      </c>
      <c r="C18145" t="str">
        <f>IFERROR(__xludf.DUMMYFUNCTION("GOOGLETRANSLATE(B18145, ""es"", ""en"")"),"Disappointing - Not recommended Three months using this watch for me and already I or delayed. I had never happened to me. Nice enough but not good at clock time is not advisable.")</f>
        <v>Disappointing - Not recommended Three months using this watch for me and already I or delayed. I had never happened to me. Nice enough but not good at clock time is not advisable.</v>
      </c>
    </row>
    <row r="18146">
      <c r="A18146" s="1">
        <v>1.0</v>
      </c>
      <c r="B18146" s="1" t="s">
        <v>17971</v>
      </c>
      <c r="C18146" t="str">
        <f>IFERROR(__xludf.DUMMYFUNCTION("GOOGLETRANSLATE(B18146, ""es"", ""en"")"),"It does not meet the Lo expectations bought for my father because he had already used this brand, but is no longer what it was to begin with the pitcher and the base not far from the all fixed to the fit them makes a lot of noise and the material leaves m"&amp;"uch to be to wish.")</f>
        <v>It does not meet the Lo expectations bought for my father because he had already used this brand, but is no longer what it was to begin with the pitcher and the base not far from the all fixed to the fit them makes a lot of noise and the material leaves much to be to wish.</v>
      </c>
    </row>
    <row r="18147">
      <c r="A18147" s="1">
        <v>4.0</v>
      </c>
      <c r="B18147" s="1" t="s">
        <v>17972</v>
      </c>
      <c r="C18147" t="str">
        <f>IFERROR(__xludf.DUMMYFUNCTION("GOOGLETRANSLATE(B18147, ""es"", ""en"")"),"Fantastic Love")</f>
        <v>Fantastic Love</v>
      </c>
    </row>
    <row r="18148">
      <c r="A18148" s="1">
        <v>4.0</v>
      </c>
      <c r="B18148" s="1" t="s">
        <v>17973</v>
      </c>
      <c r="C18148" t="str">
        <f>IFERROR(__xludf.DUMMYFUNCTION("GOOGLETRANSLATE(B18148, ""es"", ""en"")"),"Price and quality. Great")</f>
        <v>Price and quality. Great</v>
      </c>
    </row>
    <row r="18149">
      <c r="A18149" s="1">
        <v>4.0</v>
      </c>
      <c r="B18149" s="1" t="s">
        <v>17974</v>
      </c>
      <c r="C18149" t="str">
        <f>IFERROR(__xludf.DUMMYFUNCTION("GOOGLETRANSLATE(B18149, ""es"", ""en"")"),"Very good very nice, small, as in the photo.")</f>
        <v>Very good very nice, small, as in the photo.</v>
      </c>
    </row>
    <row r="18150">
      <c r="A18150" s="1">
        <v>4.0</v>
      </c>
      <c r="B18150" s="1" t="s">
        <v>17975</v>
      </c>
      <c r="C18150" t="str">
        <f>IFERROR(__xludf.DUMMYFUNCTION("GOOGLETRANSLATE(B18150, ""es"", ""en"")"),"Easy to use and robust. Easy to use and robust.")</f>
        <v>Easy to use and robust. Easy to use and robust.</v>
      </c>
    </row>
    <row r="18151">
      <c r="A18151" s="1">
        <v>5.0</v>
      </c>
      <c r="B18151" s="1" t="s">
        <v>17976</v>
      </c>
      <c r="C18151" t="str">
        <f>IFERROR(__xludf.DUMMYFUNCTION("GOOGLETRANSLATE(B18151, ""es"", ""en"")"),"Very pretty! I bought this clock lights especially because as I sleep with my young children, so it's not all dark. You can set the time to turn off the monitor, the lights simulate dusk and dawn has 7 different lights that are the colors of the rainbow, "&amp;"has a radio - clock - alarm, 3 types of sound. Battery lasts one day and comes with USB charger. It's great!!")</f>
        <v>Very pretty! I bought this clock lights especially because as I sleep with my young children, so it's not all dark. You can set the time to turn off the monitor, the lights simulate dusk and dawn has 7 different lights that are the colors of the rainbow, has a radio - clock - alarm, 3 types of sound. Battery lasts one day and comes with USB charger. It's great!!</v>
      </c>
    </row>
    <row r="18152">
      <c r="A18152" s="1">
        <v>5.0</v>
      </c>
      <c r="B18152" s="1" t="s">
        <v>17977</v>
      </c>
      <c r="C18152" t="str">
        <f>IFERROR(__xludf.DUMMYFUNCTION("GOOGLETRANSLATE(B18152, ""es"", ""en"")"),"I loved this product is great. I was surprised because it has many advantages. You can chop anything you want, make smoothies, juices, many mixtures. It comes with a variety of tools to allow make your own smoothies and take them anywhere because the jars"&amp;" and lids having. The power and speed of the device is very good. It gives very good results.")</f>
        <v>I loved this product is great. I was surprised because it has many advantages. You can chop anything you want, make smoothies, juices, many mixtures. It comes with a variety of tools to allow make your own smoothies and take them anywhere because the jars and lids having. The power and speed of the device is very good. It gives very good results.</v>
      </c>
    </row>
    <row r="18153">
      <c r="A18153" s="1">
        <v>5.0</v>
      </c>
      <c r="B18153" s="1" t="s">
        <v>17978</v>
      </c>
      <c r="C18153" t="str">
        <f>IFERROR(__xludf.DUMMYFUNCTION("GOOGLETRANSLATE(B18153, ""es"", ""en"")"),"Da perfect time, not heavy, looks perfectly. For now I have two different colors, they are missing more.")</f>
        <v>Da perfect time, not heavy, looks perfectly. For now I have two different colors, they are missing more.</v>
      </c>
    </row>
    <row r="18154">
      <c r="A18154" s="1">
        <v>5.0</v>
      </c>
      <c r="B18154" s="1" t="s">
        <v>17979</v>
      </c>
      <c r="C18154" t="str">
        <f>IFERROR(__xludf.DUMMYFUNCTION("GOOGLETRANSLATE(B18154, ""es"", ""en"")"),"perfect Chollazoooo")</f>
        <v>perfect Chollazoooo</v>
      </c>
    </row>
    <row r="18155">
      <c r="A18155" s="1">
        <v>5.0</v>
      </c>
      <c r="B18155" s="1" t="s">
        <v>17980</v>
      </c>
      <c r="C18155" t="str">
        <f>IFERROR(__xludf.DUMMYFUNCTION("GOOGLETRANSLATE(B18155, ""es"", ""en"")"),"Removes odors and moisture indoors I was surprised this product. Comocía not the effect of the activated carbon in the spaces of malodor, especially due to moisture and condensation. You need a few days but it works great and eliminates odors, and keeps t"&amp;"hem at bay. Great for holes or fitted with odor. We are delighted. Also, it's a pretty big pack, you can use it for various spaces. Very good price iven that are 6 bags.")</f>
        <v>Removes odors and moisture indoors I was surprised this product. Comocía not the effect of the activated carbon in the spaces of malodor, especially due to moisture and condensation. You need a few days but it works great and eliminates odors, and keeps them at bay. Great for holes or fitted with odor. We are delighted. Also, it's a pretty big pack, you can use it for various spaces. Very good price iven that are 6 bags.</v>
      </c>
    </row>
    <row r="18156">
      <c r="A18156" s="1">
        <v>5.0</v>
      </c>
      <c r="B18156" s="1" t="s">
        <v>17981</v>
      </c>
      <c r="C18156" t="str">
        <f>IFERROR(__xludf.DUMMYFUNCTION("GOOGLETRANSLATE(B18156, ""es"", ""en"")"),"Recommended cheap and very good quality. Belt similar to the classic Casio metal. It is perfect for the model space gray.")</f>
        <v>Recommended cheap and very good quality. Belt similar to the classic Casio metal. It is perfect for the model space gray.</v>
      </c>
    </row>
    <row r="18157">
      <c r="A18157" s="1">
        <v>5.0</v>
      </c>
      <c r="B18157" s="1" t="s">
        <v>17982</v>
      </c>
      <c r="C18157" t="str">
        <f>IFERROR(__xludf.DUMMYFUNCTION("GOOGLETRANSLATE(B18157, ""es"", ""en"")"),"Curious design seems very good, so I decided to buy it, as I watch collection. It is beautifully presented in a box with accessory to shorten the leash and everything, which is appreciated. seems finishes well finished and robust truth, the spheres are fu"&amp;"nctional all, one indicates whether it is day and night and day, another week of the year and the last is a chronometer but only seconds used with buttons side.")</f>
        <v>Curious design seems very good, so I decided to buy it, as I watch collection. It is beautifully presented in a box with accessory to shorten the leash and everything, which is appreciated. seems finishes well finished and robust truth, the spheres are functional all, one indicates whether it is day and night and day, another week of the year and the last is a chronometer but only seconds used with buttons side.</v>
      </c>
    </row>
    <row r="18158">
      <c r="A18158" s="1">
        <v>5.0</v>
      </c>
      <c r="B18158" s="1" t="s">
        <v>17983</v>
      </c>
      <c r="C18158" t="str">
        <f>IFERROR(__xludf.DUMMYFUNCTION("GOOGLETRANSLATE(B18158, ""es"", ""en"")"),"Well, nice and cheap Connects easily and can handle PowerPoint.")</f>
        <v>Well, nice and cheap Connects easily and can handle PowerPoint.</v>
      </c>
    </row>
    <row r="18159">
      <c r="A18159" s="1">
        <v>5.0</v>
      </c>
      <c r="B18159" s="1" t="s">
        <v>17984</v>
      </c>
      <c r="C18159" t="str">
        <f>IFERROR(__xludf.DUMMYFUNCTION("GOOGLETRANSLATE(B18159, ""es"", ""en"")"),"Perfect Very nice and comfortable !!!")</f>
        <v>Perfect Very nice and comfortable !!!</v>
      </c>
    </row>
    <row r="18160">
      <c r="A18160" s="1">
        <v>5.0</v>
      </c>
      <c r="B18160" s="1" t="s">
        <v>17985</v>
      </c>
      <c r="C18160" t="str">
        <f>IFERROR(__xludf.DUMMYFUNCTION("GOOGLETRANSLATE(B18160, ""es"", ""en"")"),"Product Excellent earrings seemed small when received, but I'm very happy because I have many problems with rejection jewelry and even gold and silver. Wear earrings can not stand more than two hours and most of the time, I get itchy and me have to remove"&amp;". However these earrings take them all day and do not bother me at all. I'm dumbfounded. I did not expect for anything I have received within expectations.")</f>
        <v>Product Excellent earrings seemed small when received, but I'm very happy because I have many problems with rejection jewelry and even gold and silver. Wear earrings can not stand more than two hours and most of the time, I get itchy and me have to remove. However these earrings take them all day and do not bother me at all. I'm dumbfounded. I did not expect for anything I have received within expectations.</v>
      </c>
    </row>
    <row r="18161">
      <c r="A18161" s="1">
        <v>5.0</v>
      </c>
      <c r="B18161" s="1" t="s">
        <v>17986</v>
      </c>
      <c r="C18161" t="str">
        <f>IFERROR(__xludf.DUMMYFUNCTION("GOOGLETRANSLATE(B18161, ""es"", ""en"")"),"So comfortable The debuts for the holidays, I walk a lot and I did not Llagaron came chafing. Are super comfortable and flexible. Highly recommended.")</f>
        <v>So comfortable The debuts for the holidays, I walk a lot and I did not Llagaron came chafing. Are super comfortable and flexible. Highly recommended.</v>
      </c>
    </row>
    <row r="18162">
      <c r="A18162" s="1">
        <v>5.0</v>
      </c>
      <c r="B18162" s="1" t="s">
        <v>17987</v>
      </c>
      <c r="C18162" t="str">
        <f>IFERROR(__xludf.DUMMYFUNCTION("GOOGLETRANSLATE(B18162, ""es"", ""en"")"),"Such perfect and as seen in the photo, very comfortable and beautiful. NB original, very satisfied")</f>
        <v>Such perfect and as seen in the photo, very comfortable and beautiful. NB original, very satisfied</v>
      </c>
    </row>
    <row r="18163">
      <c r="A18163" s="1">
        <v>5.0</v>
      </c>
      <c r="B18163" s="1" t="s">
        <v>17988</v>
      </c>
      <c r="C18163" t="str">
        <f>IFERROR(__xludf.DUMMYFUNCTION("GOOGLETRANSLATE(B18163, ""es"", ""en"")"),"Super quality and price Very large, I use it to heat water or cook pra tea. Nice quality. I would buy it again")</f>
        <v>Super quality and price Very large, I use it to heat water or cook pra tea. Nice quality. I would buy it again</v>
      </c>
    </row>
    <row r="18164">
      <c r="A18164" s="1">
        <v>5.0</v>
      </c>
      <c r="B18164" s="1" t="s">
        <v>17989</v>
      </c>
      <c r="C18164" t="str">
        <f>IFERROR(__xludf.DUMMYFUNCTION("GOOGLETRANSLATE(B18164, ""es"", ""en"")"),"Cinnamon Da for few uses, but probably last longer than the package of life, since that dries quickly and has to stop throwing away. Pending that Loctite remove a large container with the same applies to those who use these small units, you get 4 star.")</f>
        <v>Cinnamon Da for few uses, but probably last longer than the package of life, since that dries quickly and has to stop throwing away. Pending that Loctite remove a large container with the same applies to those who use these small units, you get 4 star.</v>
      </c>
    </row>
    <row r="18165">
      <c r="A18165" s="1">
        <v>5.0</v>
      </c>
      <c r="B18165" s="1" t="s">
        <v>17990</v>
      </c>
      <c r="C18165" t="str">
        <f>IFERROR(__xludf.DUMMYFUNCTION("GOOGLETRANSLATE(B18165, ""es"", ""en"")"),"Well moment is going very well. It has great power.")</f>
        <v>Well moment is going very well. It has great power.</v>
      </c>
    </row>
    <row r="18166">
      <c r="A18166" s="1">
        <v>5.0</v>
      </c>
      <c r="B18166" s="1" t="s">
        <v>17991</v>
      </c>
      <c r="C18166" t="str">
        <f>IFERROR(__xludf.DUMMYFUNCTION("GOOGLETRANSLATE(B18166, ""es"", ""en"")"),"I am doing very well the truth is going great, accuracy is very good, only thing that bothers a little nose when you take too long, but very good, at the least for my taste.")</f>
        <v>I am doing very well the truth is going great, accuracy is very good, only thing that bothers a little nose when you take too long, but very good, at the least for my taste.</v>
      </c>
    </row>
    <row r="18167">
      <c r="A18167" s="1">
        <v>5.0</v>
      </c>
      <c r="B18167" s="1" t="s">
        <v>17992</v>
      </c>
      <c r="C18167" t="str">
        <f>IFERROR(__xludf.DUMMYFUNCTION("GOOGLETRANSLATE(B18167, ""es"", ""en"")"),"Comfort super comfortable, like you're barefoot. We bought at the least 5 pairs of Skechers different for different people and all encantados😊")</f>
        <v>Comfort super comfortable, like you're barefoot. We bought at the least 5 pairs of Skechers different for different people and all encantados😊</v>
      </c>
    </row>
    <row r="18168">
      <c r="A18168" s="1">
        <v>5.0</v>
      </c>
      <c r="B18168" s="1" t="s">
        <v>17993</v>
      </c>
      <c r="C18168" t="str">
        <f>IFERROR(__xludf.DUMMYFUNCTION("GOOGLETRANSLATE(B18168, ""es"", ""en"")"),"good good")</f>
        <v>good good</v>
      </c>
    </row>
    <row r="18169">
      <c r="A18169" s="1">
        <v>5.0</v>
      </c>
      <c r="B18169" s="1" t="s">
        <v>17994</v>
      </c>
      <c r="C18169" t="str">
        <f>IFERROR(__xludf.DUMMYFUNCTION("GOOGLETRANSLATE(B18169, ""es"", ""en"")"),"Very glad I was surprised truth to work and isolate yourself from noise are perfect, I have classmates side talking and do not listen to music virtually putting downward. Not crowded and do not tread the ears, the battery lasts me a lot, they are my comfo"&amp;"rtable. I videoconferencing and microphone is perfect. Noise cancellation is not bad, if it is true that is with constant noise and especially more severe, passed as to the background but do not expect to give the button mutes hear nothing.")</f>
        <v>Very glad I was surprised truth to work and isolate yourself from noise are perfect, I have classmates side talking and do not listen to music virtually putting downward. Not crowded and do not tread the ears, the battery lasts me a lot, they are my comfortable. I videoconferencing and microphone is perfect. Noise cancellation is not bad, if it is true that is with constant noise and especially more severe, passed as to the background but do not expect to give the button mutes hear nothing.</v>
      </c>
    </row>
    <row r="18170">
      <c r="A18170" s="1">
        <v>2.0</v>
      </c>
      <c r="B18170" s="1" t="s">
        <v>17995</v>
      </c>
      <c r="C18170" t="str">
        <f>IFERROR(__xludf.DUMMYFUNCTION("GOOGLETRANSLATE(B18170, ""es"", ""en"")"),"Not worth much use for blow. What you see is what you get, simple and flimsy I do not think last long, I give it two stars for the amount of juice that fits in the container as it is what I need.")</f>
        <v>Not worth much use for blow. What you see is what you get, simple and flimsy I do not think last long, I give it two stars for the amount of juice that fits in the container as it is what I need.</v>
      </c>
    </row>
    <row r="18171">
      <c r="A18171" s="1">
        <v>3.0</v>
      </c>
      <c r="B18171" s="1" t="s">
        <v>17996</v>
      </c>
      <c r="C18171" t="str">
        <f>IFERROR(__xludf.DUMMYFUNCTION("GOOGLETRANSLATE(B18171, ""es"", ""en"")"),"OK, it could improve some aspect right quality. Something as simple and cheap can not be required too. However, it is a bit annoying that the arm so easily unscrewed from the grip to the leg of the micro. When bending is easy to fit it loose and inadverte"&amp;"ntly turn.")</f>
        <v>OK, it could improve some aspect right quality. Something as simple and cheap can not be required too. However, it is a bit annoying that the arm so easily unscrewed from the grip to the leg of the micro. When bending is easy to fit it loose and inadvertently turn.</v>
      </c>
    </row>
    <row r="18172">
      <c r="A18172" s="1">
        <v>3.0</v>
      </c>
      <c r="B18172" s="1" t="s">
        <v>17997</v>
      </c>
      <c r="C18172" t="str">
        <f>IFERROR(__xludf.DUMMYFUNCTION("GOOGLETRANSLATE(B18172, ""es"", ""en"")"),"Not for sport. Better not do sports with them, they fall.")</f>
        <v>Not for sport. Better not do sports with them, they fall.</v>
      </c>
    </row>
    <row r="18173">
      <c r="A18173" s="1">
        <v>1.0</v>
      </c>
      <c r="B18173" s="1" t="s">
        <v>17998</v>
      </c>
      <c r="C18173" t="str">
        <f>IFERROR(__xludf.DUMMYFUNCTION("GOOGLETRANSLATE(B18173, ""es"", ""en"")"),"False Those who came to me are more false than Judas. The insole is separated from the part of the heel and foot moves; the ""dance"" of the foot and chafe with the template is not securely attached to the shoe make me chafing. I compared with the other S"&amp;"kechers I have and have nothing to do. I feel cheated")</f>
        <v>False Those who came to me are more false than Judas. The insole is separated from the part of the heel and foot moves; the "dance" of the foot and chafe with the template is not securely attached to the shoe make me chafing. I compared with the other Skechers I have and have nothing to do. I feel cheated</v>
      </c>
    </row>
    <row r="18174">
      <c r="A18174" s="1">
        <v>1.0</v>
      </c>
      <c r="B18174" s="1" t="s">
        <v>17999</v>
      </c>
      <c r="C18174" t="str">
        <f>IFERROR(__xludf.DUMMYFUNCTION("GOOGLETRANSLATE(B18174, ""es"", ""en"")"),"fatal water leaks For me the worst buy, do not know what happens when I turn it on I get the water wets all the clothes I'm not happy ...")</f>
        <v>fatal water leaks For me the worst buy, do not know what happens when I turn it on I get the water wets all the clothes I'm not happy ...</v>
      </c>
    </row>
    <row r="18175">
      <c r="A18175" s="1">
        <v>4.0</v>
      </c>
      <c r="B18175" s="1" t="s">
        <v>18000</v>
      </c>
      <c r="C18175" t="str">
        <f>IFERROR(__xludf.DUMMYFUNCTION("GOOGLETRANSLATE(B18175, ""es"", ""en"")"),"Good value The product is just as indicated. A small light and comfortable bag. It is small enough to be comfortable performing some activity. It is large enough to carry the minimum necessary: ​​keys, wallet, phone, water bottle half-liter and little els"&amp;"e. The material is not very tough but for the price of spare backpack meets function. I recommend it for people who do not want long walks and bulges in pockets.")</f>
        <v>Good value The product is just as indicated. A small light and comfortable bag. It is small enough to be comfortable performing some activity. It is large enough to carry the minimum necessary: ​​keys, wallet, phone, water bottle half-liter and little else. The material is not very tough but for the price of spare backpack meets function. I recommend it for people who do not want long walks and bulges in pockets.</v>
      </c>
    </row>
    <row r="18176">
      <c r="A18176" s="1">
        <v>4.0</v>
      </c>
      <c r="B18176" s="1" t="s">
        <v>18001</v>
      </c>
      <c r="C18176" t="str">
        <f>IFERROR(__xludf.DUMMYFUNCTION("GOOGLETRANSLATE(B18176, ""es"", ""en"")"),"What lightweight and rugged looking, light but strong.")</f>
        <v>What lightweight and rugged looking, light but strong.</v>
      </c>
    </row>
    <row r="18177">
      <c r="A18177" s="1">
        <v>4.0</v>
      </c>
      <c r="B18177" s="1" t="s">
        <v>18002</v>
      </c>
      <c r="C18177" t="str">
        <f>IFERROR(__xludf.DUMMYFUNCTION("GOOGLETRANSLATE(B18177, ""es"", ""en"")"),"Cool, but ... they are gorgeous with extremely long lasting battery. Just one complaint. Not suitable for Samsung televisions. It costs a lot recognition and pairing and when the TV is turned off and back on, disappear and you have to repeat the difficult"&amp;" process of detection and matching. Otherwise, superb.")</f>
        <v>Cool, but ... they are gorgeous with extremely long lasting battery. Just one complaint. Not suitable for Samsung televisions. It costs a lot recognition and pairing and when the TV is turned off and back on, disappear and you have to repeat the difficult process of detection and matching. Otherwise, superb.</v>
      </c>
    </row>
    <row r="18178">
      <c r="A18178" s="1">
        <v>4.0</v>
      </c>
      <c r="B18178" s="1" t="s">
        <v>18003</v>
      </c>
      <c r="C18178" t="str">
        <f>IFERROR(__xludf.DUMMYFUNCTION("GOOGLETRANSLATE(B18178, ""es"", ""en"")"),"Francisco Javier This very well the money is quite acceptable size for me is the ideal but I will come for some kind of small, but as I say for me it is the ideal size and is quite nice")</f>
        <v>Francisco Javier This very well the money is quite acceptable size for me is the ideal but I will come for some kind of small, but as I say for me it is the ideal size and is quite nice</v>
      </c>
    </row>
    <row r="18179">
      <c r="A18179" s="1">
        <v>4.0</v>
      </c>
      <c r="B18179" s="1" t="s">
        <v>18004</v>
      </c>
      <c r="C18179" t="str">
        <f>IFERROR(__xludf.DUMMYFUNCTION("GOOGLETRANSLATE(B18179, ""es"", ""en"")"),"I have other small size Timberland so already came with the story and so successful as I expected. The model does not exactly match what I ordered, because silver has a drawing in which no ""mola"" rear area too and something slippery. My other timberland"&amp;" are more slippery yet, but are very comfortable and pretty removing the ""dibujillo"" back. a greeting")</f>
        <v>I have other small size Timberland so already came with the story and so successful as I expected. The model does not exactly match what I ordered, because silver has a drawing in which no "mola" rear area too and something slippery. My other timberland are more slippery yet, but are very comfortable and pretty removing the "dibujillo" back. a greeting</v>
      </c>
    </row>
    <row r="18180">
      <c r="A18180" s="1">
        <v>5.0</v>
      </c>
      <c r="B18180" s="1" t="s">
        <v>18005</v>
      </c>
      <c r="C18180" t="str">
        <f>IFERROR(__xludf.DUMMYFUNCTION("GOOGLETRANSLATE(B18180, ""es"", ""en"")"),"Suitable for sports socks suitable for sport. Hold well in the leg and are thick, reaching a foot above the ankle.")</f>
        <v>Suitable for sports socks suitable for sport. Hold well in the leg and are thick, reaching a foot above the ankle.</v>
      </c>
    </row>
    <row r="18181">
      <c r="A18181" s="1">
        <v>5.0</v>
      </c>
      <c r="B18181" s="1" t="s">
        <v>18006</v>
      </c>
      <c r="C18181" t="str">
        <f>IFERROR(__xludf.DUMMYFUNCTION("GOOGLETRANSLATE(B18181, ""es"", ""en"")"),"Nice Very nice, perfectly packed in its box Lotus. Easy to apply and remove")</f>
        <v>Nice Very nice, perfectly packed in its box Lotus. Easy to apply and remove</v>
      </c>
    </row>
    <row r="18182">
      <c r="A18182" s="1">
        <v>5.0</v>
      </c>
      <c r="B18182" s="1" t="s">
        <v>18007</v>
      </c>
      <c r="C18182" t="str">
        <f>IFERROR(__xludf.DUMMYFUNCTION("GOOGLETRANSLATE(B18182, ""es"", ""en"")"),"Bona purchase memory Targeta d'una coneguda brand, ho tot bé trobo, the 16GB Blast I comprat the tinc to the mobil i tot em bé works or sols Tant notice that this inn is from him that és tracta. The Paquet carries an adapter to convert per SD Tamany a gre"&amp;"at month, I probat of llegirla a l'ordinador adapter amb l'correcte i TOT.")</f>
        <v>Bona purchase memory Targeta d'una coneguda brand, ho tot bé trobo, the 16GB Blast I comprat the tinc to the mobil i tot em bé works or sols Tant notice that this inn is from him that és tracta. The Paquet carries an adapter to convert per SD Tamany a great month, I probat of llegirla a l'ordinador adapter amb l'correcte i TOT.</v>
      </c>
    </row>
    <row r="18183">
      <c r="A18183" s="1">
        <v>5.0</v>
      </c>
      <c r="B18183" s="1" t="s">
        <v>18008</v>
      </c>
      <c r="C18183" t="str">
        <f>IFERROR(__xludf.DUMMYFUNCTION("GOOGLETRANSLATE(B18183, ""es"", ""en"")"),"Good product at a good price Sandisk is a trusted brand. Very good product at an unbeatable price. It delivers what it promises. I take when they leave such deals to buy several units, it is something that's always good to have on hand")</f>
        <v>Good product at a good price Sandisk is a trusted brand. Very good product at an unbeatable price. It delivers what it promises. I take when they leave such deals to buy several units, it is something that's always good to have on hand</v>
      </c>
    </row>
    <row r="18184">
      <c r="A18184" s="1">
        <v>5.0</v>
      </c>
      <c r="B18184" s="1" t="s">
        <v>18009</v>
      </c>
      <c r="C18184" t="str">
        <f>IFERROR(__xludf.DUMMYFUNCTION("GOOGLETRANSLATE(B18184, ""es"", ""en"")"),"It arrived in perfect time and price feniomenal")</f>
        <v>It arrived in perfect time and price feniomenal</v>
      </c>
    </row>
    <row r="18185">
      <c r="A18185" s="1">
        <v>5.0</v>
      </c>
      <c r="B18185" s="1" t="s">
        <v>18010</v>
      </c>
      <c r="C18185" t="str">
        <f>IFERROR(__xludf.DUMMYFUNCTION("GOOGLETRANSLATE(B18185, ""es"", ""en"")"),"Headphones Bluetooth headsets Bluetooth first comment that set me on the reviews and I ventured and great because he needed me to go well with iPhone, first of all presentation and well protected that comes in its case including parts not only from within"&amp;" but the pendant for it ear too, was caught connecting the first quick and easy, calls are clean and fairly high off the hook easily call also an enchanted me the truth above all by how well they engage and sound.")</f>
        <v>Headphones Bluetooth headsets Bluetooth first comment that set me on the reviews and I ventured and great because he needed me to go well with iPhone, first of all presentation and well protected that comes in its case including parts not only from within but the pendant for it ear too, was caught connecting the first quick and easy, calls are clean and fairly high off the hook easily call also an enchanted me the truth above all by how well they engage and sound.</v>
      </c>
    </row>
    <row r="18186">
      <c r="A18186" s="1">
        <v>5.0</v>
      </c>
      <c r="B18186" s="1" t="s">
        <v>18011</v>
      </c>
      <c r="C18186" t="str">
        <f>IFERROR(__xludf.DUMMYFUNCTION("GOOGLETRANSLATE(B18186, ""es"", ""en"")"),"Good buy. Comfortable, breathable I use to play paddle tennis and very well know the duration missing but the first impression is very good.")</f>
        <v>Good buy. Comfortable, breathable I use to play paddle tennis and very well know the duration missing but the first impression is very good.</v>
      </c>
    </row>
    <row r="18187">
      <c r="A18187" s="1">
        <v>5.0</v>
      </c>
      <c r="B18187" s="1" t="s">
        <v>18012</v>
      </c>
      <c r="C18187" t="str">
        <f>IFERROR(__xludf.DUMMYFUNCTION("GOOGLETRANSLATE(B18187, ""es"", ""en"")"),"Perfect for women narrow buxom chest and I have a lot'm thin and that complicates the search for fasteners, used a 80-85F, and this is wonderful, believe me I've searched and tried muchiiisimos fasteners, holds you enjoyed the chest, but without crushing "&amp;"it, I would consider to reducing, reduces chest and straps and back are wide enough to support the weight and not nag back. It is perfect!")</f>
        <v>Perfect for women narrow buxom chest and I have a lot'm thin and that complicates the search for fasteners, used a 80-85F, and this is wonderful, believe me I've searched and tried muchiiisimos fasteners, holds you enjoyed the chest, but without crushing it, I would consider to reducing, reduces chest and straps and back are wide enough to support the weight and not nag back. It is perfect!</v>
      </c>
    </row>
    <row r="18188">
      <c r="A18188" s="1">
        <v>5.0</v>
      </c>
      <c r="B18188" s="1" t="s">
        <v>18013</v>
      </c>
      <c r="C18188" t="str">
        <f>IFERROR(__xludf.DUMMYFUNCTION("GOOGLETRANSLATE(B18188, ""es"", ""en"")"),"Simply brutal We all know that the disadvantage of Apple products is its inscrutability when combined with accessories that are not typical of the brand. Buy this product led by good reviews, and the result could not be better! Get off the app, and everyt"&amp;"hing goes alone! Simple. Quick. Efficient. Useful! Very useful. does not justify paying a pasta and iPhones with greater memory. It's a simple Skewer as any to carry it forever. Great!!!! To take a single paste: no slot for hooking to the I llaverlo and b"&amp;"ring always with. Value: 10!")</f>
        <v>Simply brutal We all know that the disadvantage of Apple products is its inscrutability when combined with accessories that are not typical of the brand. Buy this product led by good reviews, and the result could not be better! Get off the app, and everything goes alone! Simple. Quick. Efficient. Useful! Very useful. does not justify paying a pasta and iPhones with greater memory. It's a simple Skewer as any to carry it forever. Great!!!! To take a single paste: no slot for hooking to the I llaverlo and bring always with. Value: 10!</v>
      </c>
    </row>
    <row r="18189">
      <c r="A18189" s="1">
        <v>5.0</v>
      </c>
      <c r="B18189" s="1" t="s">
        <v>18014</v>
      </c>
      <c r="C18189" t="str">
        <f>IFERROR(__xludf.DUMMYFUNCTION("GOOGLETRANSLATE(B18189, ""es"", ""en"")"),"Very nice and beautiful light, elegant design, very happy with the purchase.")</f>
        <v>Very nice and beautiful light, elegant design, very happy with the purchase.</v>
      </c>
    </row>
    <row r="18190">
      <c r="A18190" s="1">
        <v>5.0</v>
      </c>
      <c r="B18190" s="1" t="s">
        <v>18015</v>
      </c>
      <c r="C18190" t="str">
        <f>IFERROR(__xludf.DUMMYFUNCTION("GOOGLETRANSLATE(B18190, ""es"", ""en"")"),"Great fast")</f>
        <v>Great fast</v>
      </c>
    </row>
    <row r="18191">
      <c r="A18191" s="1">
        <v>5.0</v>
      </c>
      <c r="B18191" s="1" t="s">
        <v>18016</v>
      </c>
      <c r="C18191" t="str">
        <f>IFERROR(__xludf.DUMMYFUNCTION("GOOGLETRANSLATE(B18191, ""es"", ""en"")"),"Best buy in years I spend a considerable amount in the year and technology in headphones specifically, I have a few different sizes. I travel a lot for work and was looking for a wireless noise reduction without loss of quality. They are the best. In the "&amp;"BW aesthetic PX they will win but everything else Sony are better. The battery is eternal, noise cancellation is spectacular, in fact so strong q can be calibrated through the app to suit the conditions of your ear. They can equalize, have a way to let th"&amp;"e sound environment should be moving, so you do not get hit by a car, it is compatible with Alexa and Google Home, and most importantly, they sound spectacular. They are almost 400 € but really worth.")</f>
        <v>Best buy in years I spend a considerable amount in the year and technology in headphones specifically, I have a few different sizes. I travel a lot for work and was looking for a wireless noise reduction without loss of quality. They are the best. In the BW aesthetic PX they will win but everything else Sony are better. The battery is eternal, noise cancellation is spectacular, in fact so strong q can be calibrated through the app to suit the conditions of your ear. They can equalize, have a way to let the sound environment should be moving, so you do not get hit by a car, it is compatible with Alexa and Google Home, and most importantly, they sound spectacular. They are almost 400 € but really worth.</v>
      </c>
    </row>
    <row r="18192">
      <c r="A18192" s="1">
        <v>5.0</v>
      </c>
      <c r="B18192" s="1" t="s">
        <v>18017</v>
      </c>
      <c r="C18192" t="str">
        <f>IFERROR(__xludf.DUMMYFUNCTION("GOOGLETRANSLATE(B18192, ""es"", ""en"")"),"I expected very good material. It was what I needed for my class technical drawing, I hope last me and fulfill its function.")</f>
        <v>I expected very good material. It was what I needed for my class technical drawing, I hope last me and fulfill its function.</v>
      </c>
    </row>
    <row r="18193">
      <c r="A18193" s="1">
        <v>5.0</v>
      </c>
      <c r="B18193" s="1" t="s">
        <v>18018</v>
      </c>
      <c r="C18193" t="str">
        <f>IFERROR(__xludf.DUMMYFUNCTION("GOOGLETRANSLATE(B18193, ""es"", ""en"")"),"I recommend very practical product, very good product and practical mu. The only stick a short Pelin to be perfect.")</f>
        <v>I recommend very practical product, very good product and practical mu. The only stick a short Pelin to be perfect.</v>
      </c>
    </row>
    <row r="18194">
      <c r="A18194" s="1">
        <v>5.0</v>
      </c>
      <c r="B18194" s="1" t="s">
        <v>18019</v>
      </c>
      <c r="C18194" t="str">
        <f>IFERROR(__xludf.DUMMYFUNCTION("GOOGLETRANSLATE(B18194, ""es"", ""en"")"),"Satisfied with the purchase I'm very satisfied with the purchase. They adapt very well to seat belts, are very light and do not give a sense of discomfort to the driver as others I've had, that is, you do not notice you're wearing. So far I have not appre"&amp;"ciated unusual signs of deterioration, so I also appreciated this aspect. In terms of design, good color scheme and a buema completion of the sewing of the logo and letters.")</f>
        <v>Satisfied with the purchase I'm very satisfied with the purchase. They adapt very well to seat belts, are very light and do not give a sense of discomfort to the driver as others I've had, that is, you do not notice you're wearing. So far I have not appreciated unusual signs of deterioration, so I also appreciated this aspect. In terms of design, good color scheme and a buema completion of the sewing of the logo and letters.</v>
      </c>
    </row>
    <row r="18195">
      <c r="A18195" s="1">
        <v>5.0</v>
      </c>
      <c r="B18195" s="1" t="s">
        <v>18020</v>
      </c>
      <c r="C18195" t="str">
        <f>IFERROR(__xludf.DUMMYFUNCTION("GOOGLETRANSLATE(B18195, ""es"", ""en"")"),"Comfort for the day. Very comfortable for walking, ideal for mid-season. They weigh nothing, well damped. They are like fabric and perspire, good materials.")</f>
        <v>Comfort for the day. Very comfortable for walking, ideal for mid-season. They weigh nothing, well damped. They are like fabric and perspire, good materials.</v>
      </c>
    </row>
    <row r="18196">
      <c r="A18196" s="1">
        <v>5.0</v>
      </c>
      <c r="B18196" s="1" t="s">
        <v>18021</v>
      </c>
      <c r="C18196" t="str">
        <f>IFERROR(__xludf.DUMMYFUNCTION("GOOGLETRANSLATE(B18196, ""es"", ""en"")"),"Price-quality Good price-quality")</f>
        <v>Price-quality Good price-quality</v>
      </c>
    </row>
    <row r="18197">
      <c r="A18197" s="1">
        <v>5.0</v>
      </c>
      <c r="B18197" s="1" t="s">
        <v>18022</v>
      </c>
      <c r="C18197" t="str">
        <f>IFERROR(__xludf.DUMMYFUNCTION("GOOGLETRANSLATE(B18197, ""es"", ""en"")"),"Good product I liked the price for capacity .... it only cost me give format as my s.operativo not detected ... but I recognize that works like lightning.")</f>
        <v>Good product I liked the price for capacity .... it only cost me give format as my s.operativo not detected ... but I recognize that works like lightning.</v>
      </c>
    </row>
    <row r="18198">
      <c r="A18198" s="1">
        <v>5.0</v>
      </c>
      <c r="B18198" s="1" t="s">
        <v>18023</v>
      </c>
      <c r="C18198" t="str">
        <f>IFERROR(__xludf.DUMMYFUNCTION("GOOGLETRANSLATE(B18198, ""es"", ""en"")"),"Value are very comfortable")</f>
        <v>Value are very comfortable</v>
      </c>
    </row>
    <row r="18199">
      <c r="A18199" s="1">
        <v>2.0</v>
      </c>
      <c r="B18199" s="1" t="s">
        <v>18024</v>
      </c>
      <c r="C18199" t="str">
        <f>IFERROR(__xludf.DUMMYFUNCTION("GOOGLETRANSLATE(B18199, ""es"", ""en"")"),"15 years of life These devices have a number of writing-deleted limited; on this card should not be very high. It has worked well ... During 1.5 years in mobile, without ever filled, but you can not write or erase what's in it. I had other cards that stil"&amp;"l work longer")</f>
        <v>15 years of life These devices have a number of writing-deleted limited; on this card should not be very high. It has worked well ... During 1.5 years in mobile, without ever filled, but you can not write or erase what's in it. I had other cards that still work longer</v>
      </c>
    </row>
    <row r="18200">
      <c r="A18200" s="1">
        <v>3.0</v>
      </c>
      <c r="B18200" s="1" t="s">
        <v>18025</v>
      </c>
      <c r="C18200" t="str">
        <f>IFERROR(__xludf.DUMMYFUNCTION("GOOGLETRANSLATE(B18200, ""es"", ""en"")"),"Was for a costume I would not use it daily. I took it for only a disguise. But the shipment arrived in due time and the price is right.")</f>
        <v>Was for a costume I would not use it daily. I took it for only a disguise. But the shipment arrived in due time and the price is right.</v>
      </c>
    </row>
    <row r="18201">
      <c r="A18201" s="1">
        <v>1.0</v>
      </c>
      <c r="B18201" s="1" t="s">
        <v>18026</v>
      </c>
      <c r="C18201" t="str">
        <f>IFERROR(__xludf.DUMMYFUNCTION("GOOGLETRANSLATE(B18201, ""es"", ""en"")"),"One of the fake shoes has 5 holes for the laces and the other has 4. Go disappointment. Do not trust")</f>
        <v>One of the fake shoes has 5 holes for the laces and the other has 4. Go disappointment. Do not trust</v>
      </c>
    </row>
    <row r="18202">
      <c r="A18202" s="1">
        <v>1.0</v>
      </c>
      <c r="B18202" s="1" t="s">
        <v>18027</v>
      </c>
      <c r="C18202" t="str">
        <f>IFERROR(__xludf.DUMMYFUNCTION("GOOGLETRANSLATE(B18202, ""es"", ""en"")"),"Slow, can not stand a little stress returned. The only good thing they have is the flashing light indicating activity, which should have all standard pen drives. Otherwise, he could not take one hour of intensive use and was pa pens.")</f>
        <v>Slow, can not stand a little stress returned. The only good thing they have is the flashing light indicating activity, which should have all standard pen drives. Otherwise, he could not take one hour of intensive use and was pa pens.</v>
      </c>
    </row>
    <row r="18203">
      <c r="A18203" s="1">
        <v>4.0</v>
      </c>
      <c r="B18203" s="1" t="s">
        <v>18028</v>
      </c>
      <c r="C18203" t="str">
        <f>IFERROR(__xludf.DUMMYFUNCTION("GOOGLETRANSLATE(B18203, ""es"", ""en"")"),"I almost perfect guide for the comments and I am not disappointed but I expected a little more robust, moreover perfect and granditos numbers, a good buy")</f>
        <v>I almost perfect guide for the comments and I am not disappointed but I expected a little more robust, moreover perfect and granditos numbers, a good buy</v>
      </c>
    </row>
    <row r="18204">
      <c r="A18204" s="1">
        <v>4.0</v>
      </c>
      <c r="B18204" s="1" t="s">
        <v>18029</v>
      </c>
      <c r="C18204" t="str">
        <f>IFERROR(__xludf.DUMMYFUNCTION("GOOGLETRANSLATE(B18204, ""es"", ""en"")"),"Fast shipping very good album. It does not come in any case, and packaging is not very good. Otherwise very well, the album expected of a digital western, very good product.")</f>
        <v>Fast shipping very good album. It does not come in any case, and packaging is not very good. Otherwise very well, the album expected of a digital western, very good product.</v>
      </c>
    </row>
    <row r="18205">
      <c r="A18205" s="1">
        <v>4.0</v>
      </c>
      <c r="B18205" s="1" t="s">
        <v>18030</v>
      </c>
      <c r="C18205" t="str">
        <f>IFERROR(__xludf.DUMMYFUNCTION("GOOGLETRANSLATE(B18205, ""es"", ""en"")"),"Good buy very good idea for both own use and for gift. It costs a little getting used to, but it works")</f>
        <v>Good buy very good idea for both own use and for gift. It costs a little getting used to, but it works</v>
      </c>
    </row>
    <row r="18206">
      <c r="A18206" s="1">
        <v>4.0</v>
      </c>
      <c r="B18206" s="1" t="s">
        <v>18031</v>
      </c>
      <c r="C18206" t="str">
        <f>IFERROR(__xludf.DUMMYFUNCTION("GOOGLETRANSLATE(B18206, ""es"", ""en"")"),"Sound good and proper usability The sound of the amplifier is very correct and if you travel and want to take guitar (electric or acoustic) is a very good choice to bring you amplifier. I do not think you can use to perform in public or to test group. If "&amp;"I used to practice alone and in small acoustic groups.")</f>
        <v>Sound good and proper usability The sound of the amplifier is very correct and if you travel and want to take guitar (electric or acoustic) is a very good choice to bring you amplifier. I do not think you can use to perform in public or to test group. If I used to practice alone and in small acoustic groups.</v>
      </c>
    </row>
    <row r="18207">
      <c r="A18207" s="1">
        <v>4.0</v>
      </c>
      <c r="B18207" s="1" t="s">
        <v>18032</v>
      </c>
      <c r="C18207" t="str">
        <f>IFERROR(__xludf.DUMMYFUNCTION("GOOGLETRANSLATE(B18207, ""es"", ""en"")"),"Good value good value for money. For now it works perfectly. I give my highest score")</f>
        <v>Good value good value for money. For now it works perfectly. I give my highest score</v>
      </c>
    </row>
    <row r="18208">
      <c r="A18208" s="1">
        <v>5.0</v>
      </c>
      <c r="B18208" s="1" t="s">
        <v>18033</v>
      </c>
      <c r="C18208" t="str">
        <f>IFERROR(__xludf.DUMMYFUNCTION("GOOGLETRANSLATE(B18208, ""es"", ""en"")"),"The absolute quality have on my Nintendo switch and goes perfect, it is worth spending the money that has to be assured of the quality offered")</f>
        <v>The absolute quality have on my Nintendo switch and goes perfect, it is worth spending the money that has to be assured of the quality offered</v>
      </c>
    </row>
    <row r="18209">
      <c r="A18209" s="1">
        <v>5.0</v>
      </c>
      <c r="B18209" s="1" t="s">
        <v>18034</v>
      </c>
      <c r="C18209" t="str">
        <f>IFERROR(__xludf.DUMMYFUNCTION("GOOGLETRANSLATE(B18209, ""es"", ""en"")"),"Perfect Love, carve large and if you have foot wide pelín are much more comfortable than the converse. Color as you see, I have put every day since I received them")</f>
        <v>Perfect Love, carve large and if you have foot wide pelín are much more comfortable than the converse. Color as you see, I have put every day since I received them</v>
      </c>
    </row>
    <row r="18210">
      <c r="A18210" s="1">
        <v>5.0</v>
      </c>
      <c r="B18210" s="1" t="s">
        <v>18035</v>
      </c>
      <c r="C18210" t="str">
        <f>IFERROR(__xludf.DUMMYFUNCTION("GOOGLETRANSLATE(B18210, ""es"", ""en"")"),"Wedge shoes perfect modern design is very nice but the sole is hard plastic. Money well. Very comfortable and height.")</f>
        <v>Wedge shoes perfect modern design is very nice but the sole is hard plastic. Money well. Very comfortable and height.</v>
      </c>
    </row>
    <row r="18211">
      <c r="A18211" s="1">
        <v>5.0</v>
      </c>
      <c r="B18211" s="1" t="s">
        <v>18036</v>
      </c>
      <c r="C18211" t="str">
        <f>IFERROR(__xludf.DUMMYFUNCTION("GOOGLETRANSLATE(B18211, ""es"", ""en"")"),"I recommend it makes its function properly, very good price and as always on-time delivery from Amazon, I recommend it.")</f>
        <v>I recommend it makes its function properly, very good price and as always on-time delivery from Amazon, I recommend it.</v>
      </c>
    </row>
    <row r="18212">
      <c r="A18212" s="1">
        <v>5.0</v>
      </c>
      <c r="B18212" s="1" t="s">
        <v>18037</v>
      </c>
      <c r="C18212" t="str">
        <f>IFERROR(__xludf.DUMMYFUNCTION("GOOGLETRANSLATE(B18212, ""es"", ""en"")"),"you cover very good quality compared to other cases that bend or break easily, these cases are of very good quality and made of durable material. If you want to save many documents within them advise.")</f>
        <v>you cover very good quality compared to other cases that bend or break easily, these cases are of very good quality and made of durable material. If you want to save many documents within them advise.</v>
      </c>
    </row>
    <row r="18213">
      <c r="A18213" s="1">
        <v>5.0</v>
      </c>
      <c r="B18213" s="1" t="s">
        <v>18038</v>
      </c>
      <c r="C18213" t="str">
        <f>IFERROR(__xludf.DUMMYFUNCTION("GOOGLETRANSLATE(B18213, ""es"", ""en"")"),"The sizing is as expected is perfect, neither too big nor too small. Still, keep in mind that the washing tend to shrink slightly. The shipping was very fast and without any problems. I'm delighted.")</f>
        <v>The sizing is as expected is perfect, neither too big nor too small. Still, keep in mind that the washing tend to shrink slightly. The shipping was very fast and without any problems. I'm delighted.</v>
      </c>
    </row>
    <row r="18214">
      <c r="A18214" s="1">
        <v>5.0</v>
      </c>
      <c r="B18214" s="1" t="s">
        <v>18039</v>
      </c>
      <c r="C18214" t="str">
        <f>IFERROR(__xludf.DUMMYFUNCTION("GOOGLETRANSLATE(B18214, ""es"", ""en"")"),"Perfect for pilates bought the pack of socks as a gift, the person is pleased with them, the size fits perfect to have a 38 and are very comfortable and useful for practicing pilates, and very beautiful. The bag is also useful for transport.")</f>
        <v>Perfect for pilates bought the pack of socks as a gift, the person is pleased with them, the size fits perfect to have a 38 and are very comfortable and useful for practicing pilates, and very beautiful. The bag is also useful for transport.</v>
      </c>
    </row>
    <row r="18215">
      <c r="A18215" s="1">
        <v>5.0</v>
      </c>
      <c r="B18215" s="1" t="s">
        <v>18040</v>
      </c>
      <c r="C18215" t="str">
        <f>IFERROR(__xludf.DUMMYFUNCTION("GOOGLETRANSLATE(B18215, ""es"", ""en"")"),"Teat size change is fine, in fact I want to ask some more, but I could send to the teats size 3? Because I bought came with Teat size 2 and gave me no option to change it ....")</f>
        <v>Teat size change is fine, in fact I want to ask some more, but I could send to the teats size 3? Because I bought came with Teat size 2 and gave me no option to change it ....</v>
      </c>
    </row>
    <row r="18216">
      <c r="A18216" s="1">
        <v>5.0</v>
      </c>
      <c r="B18216" s="1" t="s">
        <v>18041</v>
      </c>
      <c r="C18216" t="str">
        <f>IFERROR(__xludf.DUMMYFUNCTION("GOOGLETRANSLATE(B18216, ""es"", ""en"")"),"As he expected As in photo")</f>
        <v>As he expected As in photo</v>
      </c>
    </row>
    <row r="18217">
      <c r="A18217" s="1">
        <v>5.0</v>
      </c>
      <c r="B18217" s="1" t="s">
        <v>18042</v>
      </c>
      <c r="C18217" t="str">
        <f>IFERROR(__xludf.DUMMYFUNCTION("GOOGLETRANSLATE(B18217, ""es"", ""en"")"),"It works great. It works great. After sales service 10")</f>
        <v>It works great. It works great. After sales service 10</v>
      </c>
    </row>
    <row r="18218">
      <c r="A18218" s="1">
        <v>5.0</v>
      </c>
      <c r="B18218" s="1" t="s">
        <v>18043</v>
      </c>
      <c r="C18218" t="str">
        <f>IFERROR(__xludf.DUMMYFUNCTION("GOOGLETRANSLATE(B18218, ""es"", ""en"")"),"Canvas bag medium sized duffel bag Flexible something like just wanted what I wanted right size neither too small nor too large to accommodate a bottle of water and small objects and other small personal book. The only thing that I see a little tight othe"&amp;"rwise fine.")</f>
        <v>Canvas bag medium sized duffel bag Flexible something like just wanted what I wanted right size neither too small nor too large to accommodate a bottle of water and small objects and other small personal book. The only thing that I see a little tight otherwise fine.</v>
      </c>
    </row>
    <row r="18219">
      <c r="A18219" s="1">
        <v>5.0</v>
      </c>
      <c r="B18219" s="1" t="s">
        <v>18044</v>
      </c>
      <c r="C18219" t="str">
        <f>IFERROR(__xludf.DUMMYFUNCTION("GOOGLETRANSLATE(B18219, ""es"", ""en"")"),"How and coupled the black tinted remains faded even wash dark clothes")</f>
        <v>How and coupled the black tinted remains faded even wash dark clothes</v>
      </c>
    </row>
    <row r="18220">
      <c r="A18220" s="1">
        <v>5.0</v>
      </c>
      <c r="B18220" s="1" t="s">
        <v>18045</v>
      </c>
      <c r="C18220" t="str">
        <f>IFERROR(__xludf.DUMMYFUNCTION("GOOGLETRANSLATE(B18220, ""es"", ""en"")"),"Pretty good gift, good finish, good gift.")</f>
        <v>Pretty good gift, good finish, good gift.</v>
      </c>
    </row>
    <row r="18221">
      <c r="A18221" s="1">
        <v>5.0</v>
      </c>
      <c r="B18221" s="1" t="s">
        <v>18046</v>
      </c>
      <c r="C18221" t="str">
        <f>IFERROR(__xludf.DUMMYFUNCTION("GOOGLETRANSLATE(B18221, ""es"", ""en"")"),"Bestial Excellent sound quality and noise cancellation fabulous, that to start, then continue with the battery as it is quite long even has fast charge if we have little time to load, use a USB Type C for it. When using them are very comfortable to put as"&amp;" it has enough cushion sizes depending on the size of our ear. To get the most out we have to get down an application so you can adjust modes when handling, with just touch them because it has a touch panel and from the can answer calls, reject them and a"&amp;"ll essential settings today. Another thing is the noise cancellation that evades us from outside noise with just making a push on them to activate it so you can enjoy pure music and hard. NFC and Bluetooth features 5.0 to ensure excellent sound quality an"&amp;"d do not lose the connection. We can use with Google assistant but me has given me the option of Alexa but I have not chosen. We also have the option of using one while another can leave it in the holster, this is great but still a very elegant powerbank "&amp;"turn to charge the headset while inside this. Wonderful but perhaps they are not designed for sports like 900 that resist water and dust, yet they are bestial")</f>
        <v>Bestial Excellent sound quality and noise cancellation fabulous, that to start, then continue with the battery as it is quite long even has fast charge if we have little time to load, use a USB Type C for it. When using them are very comfortable to put as it has enough cushion sizes depending on the size of our ear. To get the most out we have to get down an application so you can adjust modes when handling, with just touch them because it has a touch panel and from the can answer calls, reject them and all essential settings today. Another thing is the noise cancellation that evades us from outside noise with just making a push on them to activate it so you can enjoy pure music and hard. NFC and Bluetooth features 5.0 to ensure excellent sound quality and do not lose the connection. We can use with Google assistant but me has given me the option of Alexa but I have not chosen. We also have the option of using one while another can leave it in the holster, this is great but still a very elegant powerbank turn to charge the headset while inside this. Wonderful but perhaps they are not designed for sports like 900 that resist water and dust, yet they are bestial</v>
      </c>
    </row>
    <row r="18222">
      <c r="A18222" s="1">
        <v>5.0</v>
      </c>
      <c r="B18222" s="1" t="s">
        <v>18047</v>
      </c>
      <c r="C18222" t="str">
        <f>IFERROR(__xludf.DUMMYFUNCTION("GOOGLETRANSLATE(B18222, ""es"", ""en"")"),"High performance for valuable data. When connected to the high reliability presataciones go together, if you need space to house information. Super-quiet, fast, high performance capacity. Only it changes it for a similar thing, a ssd 4TB. Yours and affect"&amp;"ionate greeting.")</f>
        <v>High performance for valuable data. When connected to the high reliability presataciones go together, if you need space to house information. Super-quiet, fast, high performance capacity. Only it changes it for a similar thing, a ssd 4TB. Yours and affectionate greeting.</v>
      </c>
    </row>
    <row r="18223">
      <c r="A18223" s="1">
        <v>5.0</v>
      </c>
      <c r="B18223" s="1" t="s">
        <v>18048</v>
      </c>
      <c r="C18223" t="str">
        <f>IFERROR(__xludf.DUMMYFUNCTION("GOOGLETRANSLATE(B18223, ""es"", ""en"")"),"Calodad good card and good for the price you ask for more.The epuede s no data is moved slower than some cards more expensive but not worth Parag. more for a second over transcasion")</f>
        <v>Calodad good card and good for the price you ask for more.The epuede s no data is moved slower than some cards more expensive but not worth Parag. more for a second over transcasion</v>
      </c>
    </row>
    <row r="18224">
      <c r="A18224" s="1">
        <v>5.0</v>
      </c>
      <c r="B18224" s="1" t="s">
        <v>18049</v>
      </c>
      <c r="C18224" t="str">
        <f>IFERROR(__xludf.DUMMYFUNCTION("GOOGLETRANSLATE(B18224, ""es"", ""en"")"),"I love such in the description. Very comfortable, beautiful and practical. It is important to ask for a size more than the usual number because the sizing is small (I use 40, I followed the comments of this product and bought a 41 and I just go).")</f>
        <v>I love such in the description. Very comfortable, beautiful and practical. It is important to ask for a size more than the usual number because the sizing is small (I use 40, I followed the comments of this product and bought a 41 and I just go).</v>
      </c>
    </row>
    <row r="18225">
      <c r="A18225" s="1">
        <v>5.0</v>
      </c>
      <c r="B18225" s="1" t="s">
        <v>18050</v>
      </c>
      <c r="C18225" t="str">
        <f>IFERROR(__xludf.DUMMYFUNCTION("GOOGLETRANSLATE(B18225, ""es"", ""en"")"),"I love! I love the color combination of black and green along with the style of numbers. A simple watch that perfectly fulfills its function. How only downside I say that in the dark is not much see needles, but otherwise ... Just take it off to work. As "&amp;"a postscript I will say that I came out very well priced.")</f>
        <v>I love! I love the color combination of black and green along with the style of numbers. A simple watch that perfectly fulfills its function. How only downside I say that in the dark is not much see needles, but otherwise ... Just take it off to work. As a postscript I will say that I came out very well priced.</v>
      </c>
    </row>
    <row r="18226">
      <c r="A18226" s="1">
        <v>2.0</v>
      </c>
      <c r="B18226" s="1" t="s">
        <v>18051</v>
      </c>
      <c r="C18226" t="str">
        <f>IFERROR(__xludf.DUMMYFUNCTION("GOOGLETRANSLATE(B18226, ""es"", ""en"")"),"Poor quality ! They are nice but the back d l had to convince me not all ... The staff is taking off very easily and did not seem original hesitate much but when you buy the original at a store noticed much difference.")</f>
        <v>Poor quality ! They are nice but the back d l had to convince me not all ... The staff is taking off very easily and did not seem original hesitate much but when you buy the original at a store noticed much difference.</v>
      </c>
    </row>
    <row r="18227">
      <c r="A18227" s="1">
        <v>3.0</v>
      </c>
      <c r="B18227" s="1" t="s">
        <v>18052</v>
      </c>
      <c r="C18227" t="str">
        <f>IFERROR(__xludf.DUMMYFUNCTION("GOOGLETRANSLATE(B18227, ""es"", ""en"")"),"cries a closure is left open, and when loaded. I'm a little uncomfortable putting cards on 2 sides. If you mess only by one, the back of the card to turn a page and distracts you and makes you lose time searching looks. That yes, the price is not bad.")</f>
        <v>cries a closure is left open, and when loaded. I'm a little uncomfortable putting cards on 2 sides. If you mess only by one, the back of the card to turn a page and distracts you and makes you lose time searching looks. That yes, the price is not bad.</v>
      </c>
    </row>
    <row r="18228">
      <c r="A18228" s="1">
        <v>3.0</v>
      </c>
      <c r="B18228" s="1" t="s">
        <v>18053</v>
      </c>
      <c r="C18228" t="str">
        <f>IFERROR(__xludf.DUMMYFUNCTION("GOOGLETRANSLATE(B18228, ""es"", ""en"")"),"Carve carve big shoes big, not listen to the picture and ask your usual size. Its shape is quite wide, I had to send them back because I left very loose. The color is darker than the picture still look comfortable.")</f>
        <v>Carve carve big shoes big, not listen to the picture and ask your usual size. Its shape is quite wide, I had to send them back because I left very loose. The color is darker than the picture still look comfortable.</v>
      </c>
    </row>
    <row r="18229">
      <c r="A18229" s="1">
        <v>1.0</v>
      </c>
      <c r="B18229" s="1" t="s">
        <v>18054</v>
      </c>
      <c r="C18229" t="str">
        <f>IFERROR(__xludf.DUMMYFUNCTION("GOOGLETRANSLATE(B18229, ""es"", ""en"")"),"I tried 3 DVDs disaster and none works, do not read any reader of my house. However, a package of the same brand which was home works perfectly. or the quality has dropped precipitously verbatim, or they are not original. I bought TDK and luxury funcioan "&amp;"too. Watch out.")</f>
        <v>I tried 3 DVDs disaster and none works, do not read any reader of my house. However, a package of the same brand which was home works perfectly. or the quality has dropped precipitously verbatim, or they are not original. I bought TDK and luxury funcioan too. Watch out.</v>
      </c>
    </row>
    <row r="18230">
      <c r="A18230" s="1">
        <v>1.0</v>
      </c>
      <c r="B18230" s="1" t="s">
        <v>18055</v>
      </c>
      <c r="C18230" t="str">
        <f>IFERROR(__xludf.DUMMYFUNCTION("GOOGLETRANSLATE(B18230, ""es"", ""en"")"),"Poor Relationship cara.Aun money could be cheaper improve worth spending a little more and grab one a little more expensive.")</f>
        <v>Poor Relationship cara.Aun money could be cheaper improve worth spending a little more and grab one a little more expensive.</v>
      </c>
    </row>
    <row r="18231">
      <c r="A18231" s="1">
        <v>1.0</v>
      </c>
      <c r="B18231" s="1" t="s">
        <v>18056</v>
      </c>
      <c r="C18231" t="str">
        <f>IFERROR(__xludf.DUMMYFUNCTION("GOOGLETRANSLATE(B18231, ""es"", ""en"")"),"They have good sound mediocre, the micro to talk on phone does not work. Not hear you but you put to scream. Radio is a disaster, interference between stations intuit. The only good, they are beautiful and come in a case that's fine. But run correctly, NO"&amp;"OOOOOO.")</f>
        <v>They have good sound mediocre, the micro to talk on phone does not work. Not hear you but you put to scream. Radio is a disaster, interference between stations intuit. The only good, they are beautiful and come in a case that's fine. But run correctly, NOOOOOOO.</v>
      </c>
    </row>
    <row r="18232">
      <c r="A18232" s="1">
        <v>4.0</v>
      </c>
      <c r="B18232" s="1" t="s">
        <v>18057</v>
      </c>
      <c r="C18232" t="str">
        <f>IFERROR(__xludf.DUMMYFUNCTION("GOOGLETRANSLATE(B18232, ""es"", ""en"")"),"Jared Muñoz work perfectly today and for months I bought, I think cause some static noise when no sound but you should check whether they are cable or else there is something wrong connected, but only appreciated and very little when nothing is playing, I"&amp;" crro which is the connection type jack but I'm not sure of the whole.")</f>
        <v>Jared Muñoz work perfectly today and for months I bought, I think cause some static noise when no sound but you should check whether they are cable or else there is something wrong connected, but only appreciated and very little when nothing is playing, I crro which is the connection type jack but I'm not sure of the whole.</v>
      </c>
    </row>
    <row r="18233">
      <c r="A18233" s="1">
        <v>4.0</v>
      </c>
      <c r="B18233" s="1" t="s">
        <v>18058</v>
      </c>
      <c r="C18233" t="str">
        <f>IFERROR(__xludf.DUMMYFUNCTION("GOOGLETRANSLATE(B18233, ""es"", ""en"")"),"calentitas Internal seams are rough, so if you use it without socks bother fingers but do not walk with them, because they are not walking. Leave a Minutillo after heating without wear them because they get wet. But they are very calentitas, if you sleep "&amp;"with them, but the seeds will keep you cool feet snug and warm.")</f>
        <v>calentitas Internal seams are rough, so if you use it without socks bother fingers but do not walk with them, because they are not walking. Leave a Minutillo after heating without wear them because they get wet. But they are very calentitas, if you sleep with them, but the seeds will keep you cool feet snug and warm.</v>
      </c>
    </row>
    <row r="18234">
      <c r="A18234" s="1">
        <v>4.0</v>
      </c>
      <c r="B18234" s="1" t="s">
        <v>18059</v>
      </c>
      <c r="C18234" t="str">
        <f>IFERROR(__xludf.DUMMYFUNCTION("GOOGLETRANSLATE(B18234, ""es"", ""en"")"),"Carve small Quality is good, but carve very small. The change will have broken one or two sizes.")</f>
        <v>Carve small Quality is good, but carve very small. The change will have broken one or two sizes.</v>
      </c>
    </row>
    <row r="18235">
      <c r="A18235" s="1">
        <v>4.0</v>
      </c>
      <c r="B18235" s="1" t="s">
        <v>18060</v>
      </c>
      <c r="C18235" t="str">
        <f>IFERROR(__xludf.DUMMYFUNCTION("GOOGLETRANSLATE(B18235, ""es"", ""en"")"),"Unlined booty are very cool !!!! carve large")</f>
        <v>Unlined booty are very cool !!!! carve large</v>
      </c>
    </row>
    <row r="18236">
      <c r="A18236" s="1">
        <v>4.0</v>
      </c>
      <c r="B18236" s="1" t="s">
        <v>18061</v>
      </c>
      <c r="C18236" t="str">
        <f>IFERROR(__xludf.DUMMYFUNCTION("GOOGLETRANSLATE(B18236, ""es"", ""en"")"),"Peguemos prevents fingers we all know this instant glue. This specifically what you want to avoid is that pegemos our fingers giving you a rage !!!!!!! And coneste type of dispenser is avoided even has a small problem is that you have strong pull tabs for"&amp;" sliding out the paste. But it goes well.")</f>
        <v>Peguemos prevents fingers we all know this instant glue. This specifically what you want to avoid is that pegemos our fingers giving you a rage !!!!!!! And coneste type of dispenser is avoided even has a small problem is that you have strong pull tabs for sliding out the paste. But it goes well.</v>
      </c>
    </row>
    <row r="18237">
      <c r="A18237" s="1">
        <v>5.0</v>
      </c>
      <c r="B18237" s="1" t="s">
        <v>18062</v>
      </c>
      <c r="C18237" t="str">
        <f>IFERROR(__xludf.DUMMYFUNCTION("GOOGLETRANSLATE(B18237, ""es"", ""en"")"),"Etnies ... One of the best sports you can find. The black gives everything and others very resistant because the sole of the shoe is glued and stitched ... Do not change anything !!!")</f>
        <v>Etnies ... One of the best sports you can find. The black gives everything and others very resistant because the sole of the shoe is glued and stitched ... Do not change anything !!!</v>
      </c>
    </row>
    <row r="18238">
      <c r="A18238" s="1">
        <v>5.0</v>
      </c>
      <c r="B18238" s="1" t="s">
        <v>18063</v>
      </c>
      <c r="C18238" t="str">
        <f>IFERROR(__xludf.DUMMYFUNCTION("GOOGLETRANSLATE(B18238, ""es"", ""en"")"),"Super practical. 100% recommended wonderful! It took about 2 minutes to score all the clothes of my son. The letters are placed very easily on the guides with the clip it brings. It was easy even for me I'm not very skilled and have bad pulse. Also, bring"&amp;" INK INCORPORATED, so you do not need to buy. It is too early to say how long the ink, but with how easy it is redialing, then no problem. Once placed the seal, it is quite clear the name. Even inside a green tracksuit pants looks good. In a white polo ju"&amp;"st transfers the ink, notes only if you look. Very happy with the purchase. I recommend it 100%. Especially not to waste time, anyone who has children knows that time is the most precious thing;)")</f>
        <v>Super practical. 100% recommended wonderful! It took about 2 minutes to score all the clothes of my son. The letters are placed very easily on the guides with the clip it brings. It was easy even for me I'm not very skilled and have bad pulse. Also, bring INK INCORPORATED, so you do not need to buy. It is too early to say how long the ink, but with how easy it is redialing, then no problem. Once placed the seal, it is quite clear the name. Even inside a green tracksuit pants looks good. In a white polo just transfers the ink, notes only if you look. Very happy with the purchase. I recommend it 100%. Especially not to waste time, anyone who has children knows that time is the most precious thing;)</v>
      </c>
    </row>
    <row r="18239">
      <c r="A18239" s="1">
        <v>5.0</v>
      </c>
      <c r="B18239" s="1" t="s">
        <v>18064</v>
      </c>
      <c r="C18239" t="str">
        <f>IFERROR(__xludf.DUMMYFUNCTION("GOOGLETRANSLATE(B18239, ""es"", ""en"")"),"It was a gift for a gift and liked it a lot. It comes with a chain and is very elegant neck. It arrived quickly.")</f>
        <v>It was a gift for a gift and liked it a lot. It comes with a chain and is very elegant neck. It arrived quickly.</v>
      </c>
    </row>
    <row r="18240">
      <c r="A18240" s="1">
        <v>5.0</v>
      </c>
      <c r="B18240" s="1" t="s">
        <v>18065</v>
      </c>
      <c r="C18240" t="str">
        <f>IFERROR(__xludf.DUMMYFUNCTION("GOOGLETRANSLATE(B18240, ""es"", ""en"")"),"A very nice beautiful bracelet comes with original bag A very original gift for any occasion especially Christmas. I recommend it")</f>
        <v>A very nice beautiful bracelet comes with original bag A very original gift for any occasion especially Christmas. I recommend it</v>
      </c>
    </row>
    <row r="18241">
      <c r="A18241" s="1">
        <v>5.0</v>
      </c>
      <c r="B18241" s="1" t="s">
        <v>18066</v>
      </c>
      <c r="C18241" t="str">
        <f>IFERROR(__xludf.DUMMYFUNCTION("GOOGLETRANSLATE(B18241, ""es"", ""en"")"),"Recommend After working day, comes home 10minuto massage, perfect. Perfect neck massage. It seems there are a couple of hand is on my neck. Before sleeping use this, it helps sleep comes more rapito.")</f>
        <v>Recommend After working day, comes home 10minuto massage, perfect. Perfect neck massage. It seems there are a couple of hand is on my neck. Before sleeping use this, it helps sleep comes more rapito.</v>
      </c>
    </row>
    <row r="18242">
      <c r="A18242" s="1">
        <v>5.0</v>
      </c>
      <c r="B18242" s="1" t="s">
        <v>18067</v>
      </c>
      <c r="C18242" t="str">
        <f>IFERROR(__xludf.DUMMYFUNCTION("GOOGLETRANSLATE(B18242, ""es"", ""en"")"),"I love good buy. Larger pretty colors, thick cardboard i an A4, so that the sheets do not come out and crumple them tips.")</f>
        <v>I love good buy. Larger pretty colors, thick cardboard i an A4, so that the sheets do not come out and crumple them tips.</v>
      </c>
    </row>
    <row r="18243">
      <c r="A18243" s="1">
        <v>5.0</v>
      </c>
      <c r="B18243" s="1" t="s">
        <v>18068</v>
      </c>
      <c r="C18243" t="str">
        <f>IFERROR(__xludf.DUMMYFUNCTION("GOOGLETRANSLATE(B18243, ""es"", ""en"")"),"Very good! original product, all in order!")</f>
        <v>Very good! original product, all in order!</v>
      </c>
    </row>
    <row r="18244">
      <c r="A18244" s="1">
        <v>5.0</v>
      </c>
      <c r="B18244" s="1" t="s">
        <v>18069</v>
      </c>
      <c r="C18244" t="str">
        <f>IFERROR(__xludf.DUMMYFUNCTION("GOOGLETRANSLATE(B18244, ""es"", ""en"")"),"Perfect, fast and economic Nothing to say against this memory card or Sandisk generally a brand with which I still have a Pendrive 8 GB which is more than five years, I have another SD memory following funconando and acquiring this for a Campark camera wo"&amp;"rks perfect.")</f>
        <v>Perfect, fast and economic Nothing to say against this memory card or Sandisk generally a brand with which I still have a Pendrive 8 GB which is more than five years, I have another SD memory following funconando and acquiring this for a Campark camera works perfect.</v>
      </c>
    </row>
    <row r="18245">
      <c r="A18245" s="1">
        <v>5.0</v>
      </c>
      <c r="B18245" s="1" t="s">
        <v>18070</v>
      </c>
      <c r="C18245" t="str">
        <f>IFERROR(__xludf.DUMMYFUNCTION("GOOGLETRANSLATE(B18245, ""es"", ""en"")"),"Sachets practices very practical. I used them for bag.")</f>
        <v>Sachets practices very practical. I used them for bag.</v>
      </c>
    </row>
    <row r="18246">
      <c r="A18246" s="1">
        <v>5.0</v>
      </c>
      <c r="B18246" s="1" t="s">
        <v>18071</v>
      </c>
      <c r="C18246" t="str">
        <f>IFERROR(__xludf.DUMMYFUNCTION("GOOGLETRANSLATE(B18246, ""es"", ""en"")"),"The All ended well")</f>
        <v>The All ended well</v>
      </c>
    </row>
    <row r="18247">
      <c r="A18247" s="1">
        <v>5.0</v>
      </c>
      <c r="B18247" s="1" t="s">
        <v>18072</v>
      </c>
      <c r="C18247" t="str">
        <f>IFERROR(__xludf.DUMMYFUNCTION("GOOGLETRANSLATE(B18247, ""es"", ""en"")"),"Good quality price. It is very easy to use and clean, fabulous.")</f>
        <v>Good quality price. It is very easy to use and clean, fabulous.</v>
      </c>
    </row>
    <row r="18248">
      <c r="A18248" s="1">
        <v>5.0</v>
      </c>
      <c r="B18248" s="1" t="s">
        <v>18073</v>
      </c>
      <c r="C18248" t="str">
        <f>IFERROR(__xludf.DUMMYFUNCTION("GOOGLETRANSLATE(B18248, ""es"", ""en"")"),"Perfect I liked also has good quality and price reached on the date and in good condition")</f>
        <v>Perfect I liked also has good quality and price reached on the date and in good condition</v>
      </c>
    </row>
    <row r="18249">
      <c r="A18249" s="1">
        <v>5.0</v>
      </c>
      <c r="B18249" s="1" t="s">
        <v>18074</v>
      </c>
      <c r="C18249" t="str">
        <f>IFERROR(__xludf.DUMMYFUNCTION("GOOGLETRANSLATE(B18249, ""es"", ""en"")"),"Fully it recommended Just what I expected. While the camera connects to both the smartphone and the tablet. The fully I recommend for cameras without proper wifi.")</f>
        <v>Fully it recommended Just what I expected. While the camera connects to both the smartphone and the tablet. The fully I recommend for cameras without proper wifi.</v>
      </c>
    </row>
    <row r="18250">
      <c r="A18250" s="1">
        <v>5.0</v>
      </c>
      <c r="B18250" s="1" t="s">
        <v>18075</v>
      </c>
      <c r="C18250" t="str">
        <f>IFERROR(__xludf.DUMMYFUNCTION("GOOGLETRANSLATE(B18250, ""es"", ""en"")"),"The gift you are looking for this Christmas love children and older, this particular is very versatile and has many options of use. Especially the lights drives them crazy children, also can be used as a microphone, connect the phone's music and sing!")</f>
        <v>The gift you are looking for this Christmas love children and older, this particular is very versatile and has many options of use. Especially the lights drives them crazy children, also can be used as a microphone, connect the phone's music and sing!</v>
      </c>
    </row>
    <row r="18251">
      <c r="A18251" s="1">
        <v>5.0</v>
      </c>
      <c r="B18251" s="1" t="s">
        <v>18076</v>
      </c>
      <c r="C18251" t="str">
        <f>IFERROR(__xludf.DUMMYFUNCTION("GOOGLETRANSLATE(B18251, ""es"", ""en"")"),"bag the truth looks very good bag if it has enough skin and compartment is not great I like a lot why it is a very collected size you are looking for a bag that is not very big this is great")</f>
        <v>bag the truth looks very good bag if it has enough skin and compartment is not great I like a lot why it is a very collected size you are looking for a bag that is not very big this is great</v>
      </c>
    </row>
    <row r="18252">
      <c r="A18252" s="1">
        <v>5.0</v>
      </c>
      <c r="B18252" s="1" t="s">
        <v>18077</v>
      </c>
      <c r="C18252" t="str">
        <f>IFERROR(__xludf.DUMMYFUNCTION("GOOGLETRANSLATE(B18252, ""es"", ""en"")"),"Good product good product right size (I use a 38-36 and asked me M) and not the pants up because it has a kind of silicone fixation. It has a small pocket behind and the design is very cool. When you can buy it in another color ...")</f>
        <v>Good product good product right size (I use a 38-36 and asked me M) and not the pants up because it has a kind of silicone fixation. It has a small pocket behind and the design is very cool. When you can buy it in another color ...</v>
      </c>
    </row>
    <row r="18253">
      <c r="A18253" s="1">
        <v>5.0</v>
      </c>
      <c r="B18253" s="1" t="s">
        <v>18078</v>
      </c>
      <c r="C18253" t="str">
        <f>IFERROR(__xludf.DUMMYFUNCTION("GOOGLETRANSLATE(B18253, ""es"", ""en"")"),"Excellent, I love it, it was small and it's a joy to have one is small, weightless, buttons very small, perhaps recalled bigger because I had one when I was just a kid, but then it has requested, it is a great vintage item, works perfectly and the quality"&amp;" of materials is the same as that of a lifetime. Very happy to have him, very quick shipping indeed.")</f>
        <v>Excellent, I love it, it was small and it's a joy to have one is small, weightless, buttons very small, perhaps recalled bigger because I had one when I was just a kid, but then it has requested, it is a great vintage item, works perfectly and the quality of materials is the same as that of a lifetime. Very happy to have him, very quick shipping indeed.</v>
      </c>
    </row>
    <row r="18254">
      <c r="A18254" s="1">
        <v>5.0</v>
      </c>
      <c r="B18254" s="1" t="s">
        <v>18079</v>
      </c>
      <c r="C18254" t="str">
        <f>IFERROR(__xludf.DUMMYFUNCTION("GOOGLETRANSLATE(B18254, ""es"", ""en"")"),"I gained 6 and work perfectly. I bought 6 for me and my family. You can carry on your key ring. It is aluminum, durable, and a good hole to place even in a small carabiner or key ring. The operation so far is correct. A flash drive SUV and at a good price"&amp;". Highly recommended. Regards.")</f>
        <v>I gained 6 and work perfectly. I bought 6 for me and my family. You can carry on your key ring. It is aluminum, durable, and a good hole to place even in a small carabiner or key ring. The operation so far is correct. A flash drive SUV and at a good price. Highly recommended. Regards.</v>
      </c>
    </row>
    <row r="18255">
      <c r="A18255" s="1">
        <v>5.0</v>
      </c>
      <c r="B18255" s="1" t="s">
        <v>18080</v>
      </c>
      <c r="C18255" t="str">
        <f>IFERROR(__xludf.DUMMYFUNCTION("GOOGLETRANSLATE(B18255, ""es"", ""en"")"),"Uy comfort comfortable ay be careful with zipper remains open if things fall.")</f>
        <v>Uy comfort comfortable ay be careful with zipper remains open if things fall.</v>
      </c>
    </row>
    <row r="18256">
      <c r="A18256" s="1">
        <v>2.0</v>
      </c>
      <c r="B18256" s="1" t="s">
        <v>18081</v>
      </c>
      <c r="C18256" t="str">
        <f>IFERROR(__xludf.DUMMYFUNCTION("GOOGLETRANSLATE(B18256, ""es"", ""en"")"),"Decepcion not successful espersdl")</f>
        <v>Decepcion not successful espersdl</v>
      </c>
    </row>
    <row r="18257">
      <c r="A18257" s="1">
        <v>3.0</v>
      </c>
      <c r="B18257" s="1" t="s">
        <v>18082</v>
      </c>
      <c r="C18257" t="str">
        <f>IFERROR(__xludf.DUMMYFUNCTION("GOOGLETRANSLATE(B18257, ""es"", ""en"")"),"Comfortable but it not very hot is soft and easy to put on but part of the neck must be adjusted too tight for sticking to the neck. In position 3, the highest, is not to strong. However, it may be true for those who do not need a much higher value. Conve"&amp;"nient for maintenance (washing and saved).")</f>
        <v>Comfortable but it not very hot is soft and easy to put on but part of the neck must be adjusted too tight for sticking to the neck. In position 3, the highest, is not to strong. However, it may be true for those who do not need a much higher value. Convenient for maintenance (washing and saved).</v>
      </c>
    </row>
    <row r="18258">
      <c r="A18258" s="1">
        <v>3.0</v>
      </c>
      <c r="B18258" s="1" t="s">
        <v>18083</v>
      </c>
      <c r="C18258" t="str">
        <f>IFERROR(__xludf.DUMMYFUNCTION("GOOGLETRANSLATE(B18258, ""es"", ""en"")"),"Good product. Good product. Yes, I thought would be somewhat larger, it is possible that my 7 years of small stay lean quickly. Otherwise well. They are comfortable.")</f>
        <v>Good product. Good product. Yes, I thought would be somewhat larger, it is possible that my 7 years of small stay lean quickly. Otherwise well. They are comfortable.</v>
      </c>
    </row>
    <row r="18259">
      <c r="A18259" s="1">
        <v>1.0</v>
      </c>
      <c r="B18259" s="1" t="s">
        <v>18084</v>
      </c>
      <c r="C18259" t="str">
        <f>IFERROR(__xludf.DUMMYFUNCTION("GOOGLETRANSLATE(B18259, ""es"", ""en"")"),"Malo I bought it on May 15 and I already took off inside a plastic, pasted and fixed after a few days I find it takes a few minutes and when it goes back to encerder and goes out again.")</f>
        <v>Malo I bought it on May 15 and I already took off inside a plastic, pasted and fixed after a few days I find it takes a few minutes and when it goes back to encerder and goes out again.</v>
      </c>
    </row>
    <row r="18260">
      <c r="A18260" s="1">
        <v>1.0</v>
      </c>
      <c r="B18260" s="1" t="s">
        <v>18085</v>
      </c>
      <c r="C18260" t="str">
        <f>IFERROR(__xludf.DUMMYFUNCTION("GOOGLETRANSLATE(B18260, ""es"", ""en"")"),"IS PLASTIC !!! In the description it is implied that it was glass ...")</f>
        <v>IS PLASTIC !!! In the description it is implied that it was glass ...</v>
      </c>
    </row>
    <row r="18261">
      <c r="A18261" s="1">
        <v>4.0</v>
      </c>
      <c r="B18261" s="1" t="s">
        <v>18086</v>
      </c>
      <c r="C18261" t="str">
        <f>IFERROR(__xludf.DUMMYFUNCTION("GOOGLETRANSLATE(B18261, ""es"", ""en"")"),"Many accessories, good suction handles very well")</f>
        <v>Many accessories, good suction handles very well</v>
      </c>
    </row>
    <row r="18262">
      <c r="A18262" s="1">
        <v>4.0</v>
      </c>
      <c r="B18262" s="1" t="s">
        <v>18087</v>
      </c>
      <c r="C18262" t="str">
        <f>IFERROR(__xludf.DUMMYFUNCTION("GOOGLETRANSLATE(B18262, ""es"", ""en"")"),"Good headset, but the competition is better. Not a bad product, but experience in various bluetooth headset lags behind in volume and sound quality, after trying 3 months I decided to go back for a Panasonic Bluetooth and the truth that makes no differenc"&amp;"e. The price the same and seguire choosing Panasonic.")</f>
        <v>Good headset, but the competition is better. Not a bad product, but experience in various bluetooth headset lags behind in volume and sound quality, after trying 3 months I decided to go back for a Panasonic Bluetooth and the truth that makes no difference. The price the same and seguire choosing Panasonic.</v>
      </c>
    </row>
    <row r="18263">
      <c r="A18263" s="1">
        <v>4.0</v>
      </c>
      <c r="B18263" s="1" t="s">
        <v>18088</v>
      </c>
      <c r="C18263" t="str">
        <f>IFERROR(__xludf.DUMMYFUNCTION("GOOGLETRANSLATE(B18263, ""es"", ""en"")"),"We bought this good power mixer on breaking one that had a thousand years ago. Compared to the old truth that works beautifully, it has plenty of power for what we use it is mainly in sauces. The only thing I do not like is that at normal speed makes a no"&amp;"ise a bit weird, I'm not sure it's a failure because the truth is that it works very well and turbo does not, perhaps it is normal. Like running is great us have definitely stayed. It is higher than it was before and also weighs more, but I get the impres"&amp;"sion that seems more quality because of it.")</f>
        <v>We bought this good power mixer on breaking one that had a thousand years ago. Compared to the old truth that works beautifully, it has plenty of power for what we use it is mainly in sauces. The only thing I do not like is that at normal speed makes a noise a bit weird, I'm not sure it's a failure because the truth is that it works very well and turbo does not, perhaps it is normal. Like running is great us have definitely stayed. It is higher than it was before and also weighs more, but I get the impression that seems more quality because of it.</v>
      </c>
    </row>
    <row r="18264">
      <c r="A18264" s="1">
        <v>4.0</v>
      </c>
      <c r="B18264" s="1" t="s">
        <v>18089</v>
      </c>
      <c r="C18264" t="str">
        <f>IFERROR(__xludf.DUMMYFUNCTION("GOOGLETRANSLATE(B18264, ""es"", ""en"")"),"Good Good value for money")</f>
        <v>Good Good value for money</v>
      </c>
    </row>
    <row r="18265">
      <c r="A18265" s="1">
        <v>5.0</v>
      </c>
      <c r="B18265" s="1" t="s">
        <v>18090</v>
      </c>
      <c r="C18265" t="str">
        <f>IFERROR(__xludf.DUMMYFUNCTION("GOOGLETRANSLATE(B18265, ""es"", ""en"")"),"Watch for all occasions very nice watch with many functions. The black color makes it very versatile in combining with the clothes, and this model is well in both formal and informal combinations")</f>
        <v>Watch for all occasions very nice watch with many functions. The black color makes it very versatile in combining with the clothes, and this model is well in both formal and informal combinations</v>
      </c>
    </row>
    <row r="18266">
      <c r="A18266" s="1">
        <v>5.0</v>
      </c>
      <c r="B18266" s="1" t="s">
        <v>18091</v>
      </c>
      <c r="C18266" t="str">
        <f>IFERROR(__xludf.DUMMYFUNCTION("GOOGLETRANSLATE(B18266, ""es"", ""en"")"),"Ideals perfect, as always. If you are an imitation, which I doubt, they are perfect. Same as above replacing. The size is typical of the brand, a tad larger than usual.")</f>
        <v>Ideals perfect, as always. If you are an imitation, which I doubt, they are perfect. Same as above replacing. The size is typical of the brand, a tad larger than usual.</v>
      </c>
    </row>
    <row r="18267">
      <c r="A18267" s="1">
        <v>5.0</v>
      </c>
      <c r="B18267" s="1" t="s">
        <v>18092</v>
      </c>
      <c r="C18267" t="str">
        <f>IFERROR(__xludf.DUMMYFUNCTION("GOOGLETRANSLATE(B18267, ""es"", ""en"")"),"Durable and convenient to wear it in any situation: swimming, working, mountain ... It's tough, light is powerful and basic functions more than enough for my use: date, time, another extra hour, vibrating alarm (one 'hoot' when you go swimming and it's ti"&amp;"me to fold) or sound, timer and stopwatch countdown. Stack theoretically lasts about 10 years, nothing bad.")</f>
        <v>Durable and convenient to wear it in any situation: swimming, working, mountain ... It's tough, light is powerful and basic functions more than enough for my use: date, time, another extra hour, vibrating alarm (one 'hoot' when you go swimming and it's time to fold) or sound, timer and stopwatch countdown. Stack theoretically lasts about 10 years, nothing bad.</v>
      </c>
    </row>
    <row r="18268">
      <c r="A18268" s="1">
        <v>5.0</v>
      </c>
      <c r="B18268" s="1" t="s">
        <v>18093</v>
      </c>
      <c r="C18268" t="str">
        <f>IFERROR(__xludf.DUMMYFUNCTION("GOOGLETRANSLATE(B18268, ""es"", ""en"")"),"Good buy small bag but very practical.")</f>
        <v>Good buy small bag but very practical.</v>
      </c>
    </row>
    <row r="18269">
      <c r="A18269" s="1">
        <v>5.0</v>
      </c>
      <c r="B18269" s="1" t="s">
        <v>18094</v>
      </c>
      <c r="C18269" t="str">
        <f>IFERROR(__xludf.DUMMYFUNCTION("GOOGLETRANSLATE(B18269, ""es"", ""en"")"),"As expected, they are authentic. Are genuine, all hoping the toe and heel suede and fabric are, still very nice and comfortable.")</f>
        <v>As expected, they are authentic. Are genuine, all hoping the toe and heel suede and fabric are, still very nice and comfortable.</v>
      </c>
    </row>
    <row r="18270">
      <c r="A18270" s="1">
        <v>5.0</v>
      </c>
      <c r="B18270" s="1" t="s">
        <v>18095</v>
      </c>
      <c r="C18270" t="str">
        <f>IFERROR(__xludf.DUMMYFUNCTION("GOOGLETRANSLATE(B18270, ""es"", ""en"")"),"Good price, good finishes good product well done, easy to clean and use, fast and very useful for heating water, good service and price")</f>
        <v>Good price, good finishes good product well done, easy to clean and use, fast and very useful for heating water, good service and price</v>
      </c>
    </row>
    <row r="18271">
      <c r="A18271" s="1">
        <v>5.0</v>
      </c>
      <c r="B18271" s="1" t="s">
        <v>18096</v>
      </c>
      <c r="C18271" t="str">
        <f>IFERROR(__xludf.DUMMYFUNCTION("GOOGLETRANSLATE(B18271, ""es"", ""en"")"),"It is very nice and very good quality hard cover. 100% recommended and fast shipping")</f>
        <v>It is very nice and very good quality hard cover. 100% recommended and fast shipping</v>
      </c>
    </row>
    <row r="18272">
      <c r="A18272" s="1">
        <v>5.0</v>
      </c>
      <c r="B18272" s="1" t="s">
        <v>18097</v>
      </c>
      <c r="C18272" t="str">
        <f>IFERROR(__xludf.DUMMYFUNCTION("GOOGLETRANSLATE(B18272, ""es"", ""en"")"),"Very practical very practical")</f>
        <v>Very practical very practical</v>
      </c>
    </row>
    <row r="18273">
      <c r="A18273" s="1">
        <v>5.0</v>
      </c>
      <c r="B18273" s="1" t="s">
        <v>18098</v>
      </c>
      <c r="C18273" t="str">
        <f>IFERROR(__xludf.DUMMYFUNCTION("GOOGLETRANSLATE(B18273, ""es"", ""en"")"),"better than expected We bought my partner and I to use for mostly rocky beaches. At the end, in my case I use daily, all terrains and truth better than expected. Although recently that we have made, use is quite intense and they are like the first day, ho"&amp;"pefully enough to last. The size is the daily use, it fits perfectly to the foot. They are very comfortable and cool. I will definitely return to repeat as soon as these are gone.")</f>
        <v>better than expected We bought my partner and I to use for mostly rocky beaches. At the end, in my case I use daily, all terrains and truth better than expected. Although recently that we have made, use is quite intense and they are like the first day, hopefully enough to last. The size is the daily use, it fits perfectly to the foot. They are very comfortable and cool. I will definitely return to repeat as soon as these are gone.</v>
      </c>
    </row>
    <row r="18274">
      <c r="A18274" s="1">
        <v>5.0</v>
      </c>
      <c r="B18274" s="1" t="s">
        <v>18099</v>
      </c>
      <c r="C18274" t="str">
        <f>IFERROR(__xludf.DUMMYFUNCTION("GOOGLETRANSLATE(B18274, ""es"", ""en"")"),"The cards are safe I've put in the bank cards. Good size, are protected. It costs a little slip them because it is difficult to handle but takes practice. If it were otherwise the card will come out so well.")</f>
        <v>The cards are safe I've put in the bank cards. Good size, are protected. It costs a little slip them because it is difficult to handle but takes practice. If it were otherwise the card will come out so well.</v>
      </c>
    </row>
    <row r="18275">
      <c r="A18275" s="1">
        <v>5.0</v>
      </c>
      <c r="B18275" s="1" t="s">
        <v>18100</v>
      </c>
      <c r="C18275" t="str">
        <f>IFERROR(__xludf.DUMMYFUNCTION("GOOGLETRANSLATE(B18275, ""es"", ""en"")"),"Cool sound and great comfort in sound quality and comfort, insulates well of ambient noise. I used them in a conference 4 hours without me take them off and were not uncomfortable at any time. Strongly recommended")</f>
        <v>Cool sound and great comfort in sound quality and comfort, insulates well of ambient noise. I used them in a conference 4 hours without me take them off and were not uncomfortable at any time. Strongly recommended</v>
      </c>
    </row>
    <row r="18276">
      <c r="A18276" s="1">
        <v>5.0</v>
      </c>
      <c r="B18276" s="1" t="s">
        <v>18101</v>
      </c>
      <c r="C18276" t="str">
        <f>IFERROR(__xludf.DUMMYFUNCTION("GOOGLETRANSLATE(B18276, ""es"", ""en"")"),"Very pretty happy with my purchase, I bought my usual number and I look good, comfortable, how they will be using.")</f>
        <v>Very pretty happy with my purchase, I bought my usual number and I look good, comfortable, how they will be using.</v>
      </c>
    </row>
    <row r="18277">
      <c r="A18277" s="1">
        <v>5.0</v>
      </c>
      <c r="B18277" s="1" t="s">
        <v>18102</v>
      </c>
      <c r="C18277" t="str">
        <f>IFERROR(__xludf.DUMMYFUNCTION("GOOGLETRANSLATE(B18277, ""es"", ""en"")"),"Very comfortable ride comfort and perfect sweat")</f>
        <v>Very comfortable ride comfort and perfect sweat</v>
      </c>
    </row>
    <row r="18278">
      <c r="A18278" s="1">
        <v>5.0</v>
      </c>
      <c r="B18278" s="1" t="s">
        <v>18103</v>
      </c>
      <c r="C18278" t="str">
        <f>IFERROR(__xludf.DUMMYFUNCTION("GOOGLETRANSLATE(B18278, ""es"", ""en"")"),"Very convenient Very good product, perfect packaging, superior quality, fulfills its function, perhaps because they target the most uncomfortable is putting the characters but is more than justified in a universal seal, with the advantage that you can whe"&amp;"never you want to change a difference a custom label for clothing the fundanental school. Besides Amazon prime service ... Great, you ask afternoon and you have it in the morning.")</f>
        <v>Very convenient Very good product, perfect packaging, superior quality, fulfills its function, perhaps because they target the most uncomfortable is putting the characters but is more than justified in a universal seal, with the advantage that you can whenever you want to change a difference a custom label for clothing the fundanental school. Besides Amazon prime service ... Great, you ask afternoon and you have it in the morning.</v>
      </c>
    </row>
    <row r="18279">
      <c r="A18279" s="1">
        <v>5.0</v>
      </c>
      <c r="B18279" s="1" t="s">
        <v>18104</v>
      </c>
      <c r="C18279" t="str">
        <f>IFERROR(__xludf.DUMMYFUNCTION("GOOGLETRANSLATE(B18279, ""es"", ""en"")"),"Small but effective heats water in less than 5 minutes very happy with this purchase")</f>
        <v>Small but effective heats water in less than 5 minutes very happy with this purchase</v>
      </c>
    </row>
    <row r="18280">
      <c r="A18280" s="1">
        <v>5.0</v>
      </c>
      <c r="B18280" s="1" t="s">
        <v>18105</v>
      </c>
      <c r="C18280" t="str">
        <f>IFERROR(__xludf.DUMMYFUNCTION("GOOGLETRANSLATE(B18280, ""es"", ""en"")"),"Good sound quality come in a compact box that the stuffing is then automatically loaded. The box to load it about 4 times, then connected to the current through a USB charger. Bring the USB cable for charging. They are comfortable and are well suited to t"&amp;"he pinna. The sound quality is very good and easy to connect via Bluetooth. Elegant, are not the typical sporty style, I love.")</f>
        <v>Good sound quality come in a compact box that the stuffing is then automatically loaded. The box to load it about 4 times, then connected to the current through a USB charger. Bring the USB cable for charging. They are comfortable and are well suited to the pinna. The sound quality is very good and easy to connect via Bluetooth. Elegant, are not the typical sporty style, I love.</v>
      </c>
    </row>
    <row r="18281">
      <c r="A18281" s="1">
        <v>5.0</v>
      </c>
      <c r="B18281" s="1" t="s">
        <v>18106</v>
      </c>
      <c r="C18281" t="str">
        <f>IFERROR(__xludf.DUMMYFUNCTION("GOOGLETRANSLATE(B18281, ""es"", ""en"")"),"Wired headset Very comfortable")</f>
        <v>Wired headset Very comfortable</v>
      </c>
    </row>
    <row r="18282">
      <c r="A18282" s="1">
        <v>5.0</v>
      </c>
      <c r="B18282" s="1" t="s">
        <v>18107</v>
      </c>
      <c r="C18282" t="str">
        <f>IFERROR(__xludf.DUMMYFUNCTION("GOOGLETRANSLATE(B18282, ""es"", ""en"")"),"Good quality at a good price. Good quality cotton fabric, garment very comfortable, it is well made. Size is correct. Reasonably priced.")</f>
        <v>Good quality at a good price. Good quality cotton fabric, garment very comfortable, it is well made. Size is correct. Reasonably priced.</v>
      </c>
    </row>
    <row r="18283">
      <c r="A18283" s="1">
        <v>5.0</v>
      </c>
      <c r="B18283" s="1" t="s">
        <v>18108</v>
      </c>
      <c r="C18283" t="str">
        <f>IFERROR(__xludf.DUMMYFUNCTION("GOOGLETRANSLATE(B18283, ""es"", ""en"")"),"Helmets are good sound comfortable for your ears and do chafing. The sound is good for the price they have.")</f>
        <v>Helmets are good sound comfortable for your ears and do chafing. The sound is good for the price they have.</v>
      </c>
    </row>
    <row r="18284">
      <c r="A18284" s="1">
        <v>2.0</v>
      </c>
      <c r="B18284" s="1" t="s">
        <v>18109</v>
      </c>
      <c r="C18284" t="str">
        <f>IFERROR(__xludf.DUMMYFUNCTION("GOOGLETRANSLATE(B18284, ""es"", ""en"")"),"Bienve The product apparently looks good but as important drawback is that from the first day you leave the threads of the seams all over the place, I would not take.")</f>
        <v>Bienve The product apparently looks good but as important drawback is that from the first day you leave the threads of the seams all over the place, I would not take.</v>
      </c>
    </row>
    <row r="18285">
      <c r="A18285" s="1">
        <v>3.0</v>
      </c>
      <c r="B18285" s="1" t="s">
        <v>18110</v>
      </c>
      <c r="C18285" t="str">
        <f>IFERROR(__xludf.DUMMYFUNCTION("GOOGLETRANSLATE(B18285, ""es"", ""en"")"),"The shoes depends on the good or evil, remaining, much depends on the shoe you want to wear them. If the buttonholes right and left of the shoe are too close together they do not fit, even joining them alternately. If they are far apart if they can assert"&amp;" and look good. Much it depends on the shoe. These ""strings"" are all the same length and slippers are usually the eyelets farther apart as they move away from the toe, in which case from the beginning are very weak (even alternating eyelets) and end wel"&amp;"l. It depends on the shoes.")</f>
        <v>The shoes depends on the good or evil, remaining, much depends on the shoe you want to wear them. If the buttonholes right and left of the shoe are too close together they do not fit, even joining them alternately. If they are far apart if they can assert and look good. Much it depends on the shoe. These "strings" are all the same length and slippers are usually the eyelets farther apart as they move away from the toe, in which case from the beginning are very weak (even alternating eyelets) and end well. It depends on the shoes.</v>
      </c>
    </row>
    <row r="18286">
      <c r="A18286" s="1">
        <v>3.0</v>
      </c>
      <c r="B18286" s="1" t="s">
        <v>18111</v>
      </c>
      <c r="C18286" t="str">
        <f>IFERROR(__xludf.DUMMYFUNCTION("GOOGLETRANSLATE(B18286, ""es"", ""en"")"),"They harbor need a V2.0 great for cold days but not perspire and make you sweat feet. The sole, although it is noisy at walking across the stage, insulates perfectly from the cold of the ground.")</f>
        <v>They harbor need a V2.0 great for cold days but not perspire and make you sweat feet. The sole, although it is noisy at walking across the stage, insulates perfectly from the cold of the ground.</v>
      </c>
    </row>
    <row r="18287">
      <c r="A18287" s="1">
        <v>1.0</v>
      </c>
      <c r="B18287" s="1" t="s">
        <v>18112</v>
      </c>
      <c r="C18287" t="str">
        <f>IFERROR(__xludf.DUMMYFUNCTION("GOOGLETRANSLATE(B18287, ""es"", ""en"")"),"Not worth not worth it increases very short distance and nothing spectacular, like any other cheap magnifying glass, heavy, is expensive and is uncomfortable to hand over its thickness, and by far not see a my ... . a point I am returning the product, I'm"&amp;" not at all satisfied")</f>
        <v>Not worth not worth it increases very short distance and nothing spectacular, like any other cheap magnifying glass, heavy, is expensive and is uncomfortable to hand over its thickness, and by far not see a my ... . a point I am returning the product, I'm not at all satisfied</v>
      </c>
    </row>
    <row r="18288">
      <c r="A18288" s="1">
        <v>1.0</v>
      </c>
      <c r="B18288" s="1" t="s">
        <v>18113</v>
      </c>
      <c r="C18288" t="str">
        <f>IFERROR(__xludf.DUMMYFUNCTION("GOOGLETRANSLATE(B18288, ""es"", ""en"")"),"Originals are not bought and I just checked that are not original. It does not correspond to what was advertised in the ad")</f>
        <v>Originals are not bought and I just checked that are not original. It does not correspond to what was advertised in the ad</v>
      </c>
    </row>
    <row r="18289">
      <c r="A18289" s="1">
        <v>4.0</v>
      </c>
      <c r="B18289" s="1" t="s">
        <v>18114</v>
      </c>
      <c r="C18289" t="str">
        <f>IFERROR(__xludf.DUMMYFUNCTION("GOOGLETRANSLATE(B18289, ""es"", ""en"")"),"Quality manta good price. Only it falls a bit short at the waist")</f>
        <v>Quality manta good price. Only it falls a bit short at the waist</v>
      </c>
    </row>
    <row r="18290">
      <c r="A18290" s="1">
        <v>4.0</v>
      </c>
      <c r="B18290" s="1" t="s">
        <v>18115</v>
      </c>
      <c r="C18290" t="str">
        <f>IFERROR(__xludf.DUMMYFUNCTION("GOOGLETRANSLATE(B18290, ""es"", ""en"")"),"Comfortable shoes are very beautiful shoes to make chafe the beginning but when the foot is usually very comfortable. Carve a little larger than usual size. And they do not weigh much but take the platform.")</f>
        <v>Comfortable shoes are very beautiful shoes to make chafe the beginning but when the foot is usually very comfortable. Carve a little larger than usual size. And they do not weigh much but take the platform.</v>
      </c>
    </row>
    <row r="18291">
      <c r="A18291" s="1">
        <v>4.0</v>
      </c>
      <c r="B18291" s="1" t="s">
        <v>18116</v>
      </c>
      <c r="C18291" t="str">
        <f>IFERROR(__xludf.DUMMYFUNCTION("GOOGLETRANSLATE(B18291, ""es"", ""en"")"),"Meets Currently there are no complaints, keep trying")</f>
        <v>Meets Currently there are no complaints, keep trying</v>
      </c>
    </row>
    <row r="18292">
      <c r="A18292" s="1">
        <v>4.0</v>
      </c>
      <c r="B18292" s="1" t="s">
        <v>18117</v>
      </c>
      <c r="C18292" t="str">
        <f>IFERROR(__xludf.DUMMYFUNCTION("GOOGLETRANSLATE(B18292, ""es"", ""en"")"),"Good enough truth for this as low helmets work pretty well no complaints with the sound and the cable is not bad it is tough unless you do sport regularly, have so far lasted me several months so here no problem I recommend it if you are looking for a che"&amp;"ap helmets that meet this is your choice and do not recommend it if you are looking for a headset that you are going to last long and be milk, but as I say these meet the quality you expect from them!")</f>
        <v>Good enough truth for this as low helmets work pretty well no complaints with the sound and the cable is not bad it is tough unless you do sport regularly, have so far lasted me several months so here no problem I recommend it if you are looking for a cheap helmets that meet this is your choice and do not recommend it if you are looking for a headset that you are going to last long and be milk, but as I say these meet the quality you expect from them!</v>
      </c>
    </row>
    <row r="18293">
      <c r="A18293" s="1">
        <v>4.0</v>
      </c>
      <c r="B18293" s="1" t="s">
        <v>18118</v>
      </c>
      <c r="C18293" t="str">
        <f>IFERROR(__xludf.DUMMYFUNCTION("GOOGLETRANSLATE(B18293, ""es"", ""en"")"),"Good Budget Good price for a normal return on an SSD for any team that needed a little more performance. Great for an old laptop with midrange resources.")</f>
        <v>Good Budget Good price for a normal return on an SSD for any team that needed a little more performance. Great for an old laptop with midrange resources.</v>
      </c>
    </row>
    <row r="18294">
      <c r="A18294" s="1">
        <v>5.0</v>
      </c>
      <c r="B18294" s="1" t="s">
        <v>18119</v>
      </c>
      <c r="C18294" t="str">
        <f>IFERROR(__xludf.DUMMYFUNCTION("GOOGLETRANSLATE(B18294, ""es"", ""en"")"),"Good smell This set of 6 oils is phenomenal. The presentation is very elegant if you want to give away and opening the box found 6 bottles of different smells very good. We use these oils in a diffuser and smells good. Super fast shipping")</f>
        <v>Good smell This set of 6 oils is phenomenal. The presentation is very elegant if you want to give away and opening the box found 6 bottles of different smells very good. We use these oils in a diffuser and smells good. Super fast shipping</v>
      </c>
    </row>
    <row r="18295">
      <c r="A18295" s="1">
        <v>5.0</v>
      </c>
      <c r="B18295" s="1" t="s">
        <v>18120</v>
      </c>
      <c r="C18295" t="str">
        <f>IFERROR(__xludf.DUMMYFUNCTION("GOOGLETRANSLATE(B18295, ""es"", ""en"")"),"Expected expected without unpleasant surprises")</f>
        <v>Expected expected without unpleasant surprises</v>
      </c>
    </row>
    <row r="18296">
      <c r="A18296" s="1">
        <v>5.0</v>
      </c>
      <c r="B18296" s="1" t="s">
        <v>18121</v>
      </c>
      <c r="C18296" t="str">
        <f>IFERROR(__xludf.DUMMYFUNCTION("GOOGLETRANSLATE(B18296, ""es"", ""en"")"),"I repeat bambas already had these shoes in purple, I bought in 2013. With an almost daily use, on mountain trails, and day to day in town. So I wanted to repeat them but i buy green. Good shoes, good brand, good vibram sole, .... To repeat no doubt.")</f>
        <v>I repeat bambas already had these shoes in purple, I bought in 2013. With an almost daily use, on mountain trails, and day to day in town. So I wanted to repeat them but i buy green. Good shoes, good brand, good vibram sole, .... To repeat no doubt.</v>
      </c>
    </row>
    <row r="18297">
      <c r="A18297" s="1">
        <v>5.0</v>
      </c>
      <c r="B18297" s="1" t="s">
        <v>18122</v>
      </c>
      <c r="C18297" t="str">
        <f>IFERROR(__xludf.DUMMYFUNCTION("GOOGLETRANSLATE(B18297, ""es"", ""en"")"),"Faber-Castell The best brand of very good quality and good price. They have safely arrived without a scratch. Ideal for technical drawing, the I bought my son and showing interest in technical drawing. Thank you so much.")</f>
        <v>Faber-Castell The best brand of very good quality and good price. They have safely arrived without a scratch. Ideal for technical drawing, the I bought my son and showing interest in technical drawing. Thank you so much.</v>
      </c>
    </row>
    <row r="18298">
      <c r="A18298" s="1">
        <v>5.0</v>
      </c>
      <c r="B18298" s="1" t="s">
        <v>18123</v>
      </c>
      <c r="C18298" t="str">
        <f>IFERROR(__xludf.DUMMYFUNCTION("GOOGLETRANSLATE(B18298, ""es"", ""en"")"),"SUPER Fantastico is and it really works.")</f>
        <v>SUPER Fantastico is and it really works.</v>
      </c>
    </row>
    <row r="18299">
      <c r="A18299" s="1">
        <v>5.0</v>
      </c>
      <c r="B18299" s="1" t="s">
        <v>18124</v>
      </c>
      <c r="C18299" t="str">
        <f>IFERROR(__xludf.DUMMYFUNCTION("GOOGLETRANSLATE(B18299, ""es"", ""en"")"),"Excellent. Ultralight interface pocket. Half a pack of about snuff. Fits all APPs recording / emulation, etc. A principle noticed the too high and saturating signal. Fiddling a little between the output of each app (the output in the app options) and gain"&amp;" of the irig (not is because of the ipad is automatic) got what I wanted. Zero noise and a tone very faithful to the original brands. 1 hour 30% touching brightness and wifi consumes 10% AmpliTube® connecting headphones and output amp. Thing greatly impro"&amp;"ved by connecting a DI BOX before iRig. With this you can go out there straight to take the PA without God. Live mode has just delay with this and support a seedy two bucks it is great to place it on a mic stand or lectern. you can also buy the same brand"&amp;" of very cuki.")</f>
        <v>Excellent. Ultralight interface pocket. Half a pack of about snuff. Fits all APPs recording / emulation, etc. A principle noticed the too high and saturating signal. Fiddling a little between the output of each app (the output in the app options) and gain of the irig (not is because of the ipad is automatic) got what I wanted. Zero noise and a tone very faithful to the original brands. 1 hour 30% touching brightness and wifi consumes 10% AmpliTube® connecting headphones and output amp. Thing greatly improved by connecting a DI BOX before iRig. With this you can go out there straight to take the PA without God. Live mode has just delay with this and support a seedy two bucks it is great to place it on a mic stand or lectern. you can also buy the same brand of very cuki.</v>
      </c>
    </row>
    <row r="18300">
      <c r="A18300" s="1">
        <v>5.0</v>
      </c>
      <c r="B18300" s="1" t="s">
        <v>18125</v>
      </c>
      <c r="C18300" t="str">
        <f>IFERROR(__xludf.DUMMYFUNCTION("GOOGLETRANSLATE(B18300, ""es"", ""en"")"),"Thoroughly clean and quiet What I liked most is the sencilles use the cleaning robot, your way to clean very quiet, the point of improvement would give it to the battery because in very large rooms if you put scrubbing is drain the battery and you should "&amp;"reload it or have a spare battery to finish scrubbing around the house.")</f>
        <v>Thoroughly clean and quiet What I liked most is the sencilles use the cleaning robot, your way to clean very quiet, the point of improvement would give it to the battery because in very large rooms if you put scrubbing is drain the battery and you should reload it or have a spare battery to finish scrubbing around the house.</v>
      </c>
    </row>
    <row r="18301">
      <c r="A18301" s="1">
        <v>5.0</v>
      </c>
      <c r="B18301" s="1" t="s">
        <v>18126</v>
      </c>
      <c r="C18301" t="str">
        <f>IFERROR(__xludf.DUMMYFUNCTION("GOOGLETRANSLATE(B18301, ""es"", ""en"")"),"excellent, good quality and designs like the picture ahan liked from filing to the quality of the product !!!!")</f>
        <v>excellent, good quality and designs like the picture ahan liked from filing to the quality of the product !!!!</v>
      </c>
    </row>
    <row r="18302">
      <c r="A18302" s="1">
        <v>5.0</v>
      </c>
      <c r="B18302" s="1" t="s">
        <v>18127</v>
      </c>
      <c r="C18302" t="str">
        <f>IFERROR(__xludf.DUMMYFUNCTION("GOOGLETRANSLATE(B18302, ""es"", ""en"")"),"perfect quality surprised me with the truth that for the price I expected good but I would not be surprised. Are for a gift I'm sure you'll love. They come well packaged and arrived when they said excellent")</f>
        <v>perfect quality surprised me with the truth that for the price I expected good but I would not be surprised. Are for a gift I'm sure you'll love. They come well packaged and arrived when they said excellent</v>
      </c>
    </row>
    <row r="18303">
      <c r="A18303" s="1">
        <v>5.0</v>
      </c>
      <c r="B18303" s="1" t="s">
        <v>18128</v>
      </c>
      <c r="C18303" t="str">
        <f>IFERROR(__xludf.DUMMYFUNCTION("GOOGLETRANSLATE(B18303, ""es"", ""en"")"),"Three for one very good product. A very good price. The three bottles for the price of one")</f>
        <v>Three for one very good product. A very good price. The three bottles for the price of one</v>
      </c>
    </row>
    <row r="18304">
      <c r="A18304" s="1">
        <v>5.0</v>
      </c>
      <c r="B18304" s="1" t="s">
        <v>18129</v>
      </c>
      <c r="C18304" t="str">
        <f>IFERROR(__xludf.DUMMYFUNCTION("GOOGLETRANSLATE(B18304, ""es"", ""en"")"),"The very comfortable bought for comfort and cushioning. Currently only me I have tried them and, indeed, are very comfortable.")</f>
        <v>The very comfortable bought for comfort and cushioning. Currently only me I have tried them and, indeed, are very comfortable.</v>
      </c>
    </row>
    <row r="18305">
      <c r="A18305" s="1">
        <v>5.0</v>
      </c>
      <c r="B18305" s="1" t="s">
        <v>18130</v>
      </c>
      <c r="C18305" t="str">
        <f>IFERROR(__xludf.DUMMYFUNCTION("GOOGLETRANSLATE(B18305, ""es"", ""en"")"),"A legendary model quality and finishes sublime Stunning slippers. spectacular and timeless design, besides having excellent finishes, lived up to expectations. I ordered size 43 (I usually use 43 1/3 on brands like Adidas) and I are perfect. The sensation"&amp;"al shipping, as is customary in Amazon. Everything perfect without any problems. I recommend 100% 100, worth every € invested in them.")</f>
        <v>A legendary model quality and finishes sublime Stunning slippers. spectacular and timeless design, besides having excellent finishes, lived up to expectations. I ordered size 43 (I usually use 43 1/3 on brands like Adidas) and I are perfect. The sensational shipping, as is customary in Amazon. Everything perfect without any problems. I recommend 100% 100, worth every € invested in them.</v>
      </c>
    </row>
    <row r="18306">
      <c r="A18306" s="1">
        <v>5.0</v>
      </c>
      <c r="B18306" s="1" t="s">
        <v>18131</v>
      </c>
      <c r="C18306" t="str">
        <f>IFERROR(__xludf.DUMMYFUNCTION("GOOGLETRANSLATE(B18306, ""es"", ""en"")"),"A classic at a great price My wife and I have given him has loved, not remove it. All necessary information in a classic design at a very low price. Good buy.")</f>
        <v>A classic at a great price My wife and I have given him has loved, not remove it. All necessary information in a classic design at a very low price. Good buy.</v>
      </c>
    </row>
    <row r="18307">
      <c r="A18307" s="1">
        <v>5.0</v>
      </c>
      <c r="B18307" s="1" t="s">
        <v>18132</v>
      </c>
      <c r="C18307" t="str">
        <f>IFERROR(__xludf.DUMMYFUNCTION("GOOGLETRANSLATE(B18307, ""es"", ""en"")"),"Carve small are very nice, a bit hard, it will be at the beginning, bought for cycle, ask number more than your usual size happy with purchase")</f>
        <v>Carve small are very nice, a bit hard, it will be at the beginning, bought for cycle, ask number more than your usual size happy with purchase</v>
      </c>
    </row>
    <row r="18308">
      <c r="A18308" s="1">
        <v>5.0</v>
      </c>
      <c r="B18308" s="1" t="s">
        <v>18133</v>
      </c>
      <c r="C18308" t="str">
        <f>IFERROR(__xludf.DUMMYFUNCTION("GOOGLETRANSLATE(B18308, ""es"", ""en"")"),"And 80 do not remember exactly how it was 80, but if I say so, I think so. The quality of the watch is good and has functionality of those years. The ""beep beep beep"" alarm brings me memories.")</f>
        <v>And 80 do not remember exactly how it was 80, but if I say so, I think so. The quality of the watch is good and has functionality of those years. The "beep beep beep" alarm brings me memories.</v>
      </c>
    </row>
    <row r="18309">
      <c r="A18309" s="1">
        <v>5.0</v>
      </c>
      <c r="B18309" s="1" t="s">
        <v>18134</v>
      </c>
      <c r="C18309" t="str">
        <f>IFERROR(__xludf.DUMMYFUNCTION("GOOGLETRANSLATE(B18309, ""es"", ""en"")"),"Air Jordan originals are mu 'pretty well Polque are'")</f>
        <v>Air Jordan originals are mu 'pretty well Polque are'</v>
      </c>
    </row>
    <row r="18310">
      <c r="A18310" s="1">
        <v>5.0</v>
      </c>
      <c r="B18310" s="1" t="s">
        <v>18135</v>
      </c>
      <c r="C18310" t="str">
        <f>IFERROR(__xludf.DUMMYFUNCTION("GOOGLETRANSLATE(B18310, ""es"", ""en"")"),"Very good buy are perfect take some time with them and used a lot this summer and truth that have been practically new.")</f>
        <v>Very good buy are perfect take some time with them and used a lot this summer and truth that have been practically new.</v>
      </c>
    </row>
    <row r="18311">
      <c r="A18311" s="1">
        <v>5.0</v>
      </c>
      <c r="B18311" s="1" t="s">
        <v>18136</v>
      </c>
      <c r="C18311" t="str">
        <f>IFERROR(__xludf.DUMMYFUNCTION("GOOGLETRANSLATE(B18311, ""es"", ""en"")"),"Casio always with an original touch is a gift for my son, your sister has a similar, and perfect, the Casio lifetime and the original model")</f>
        <v>Casio always with an original touch is a gift for my son, your sister has a similar, and perfect, the Casio lifetime and the original model</v>
      </c>
    </row>
    <row r="18312">
      <c r="A18312" s="1">
        <v>2.0</v>
      </c>
      <c r="B18312" s="1" t="s">
        <v>18137</v>
      </c>
      <c r="C18312" t="str">
        <f>IFERROR(__xludf.DUMMYFUNCTION("GOOGLETRANSLATE(B18312, ""es"", ""en"")"),"It breaks easily in a short time has broken the main zipper (shattered) and has unstitched loop handle, is too fragile to be used daily as befits any bag, not recommended.")</f>
        <v>It breaks easily in a short time has broken the main zipper (shattered) and has unstitched loop handle, is too fragile to be used daily as befits any bag, not recommended.</v>
      </c>
    </row>
    <row r="18313">
      <c r="A18313" s="1">
        <v>3.0</v>
      </c>
      <c r="B18313" s="1" t="s">
        <v>18138</v>
      </c>
      <c r="C18313" t="str">
        <f>IFERROR(__xludf.DUMMYFUNCTION("GOOGLETRANSLATE(B18313, ""es"", ""en"")"),"After buying them I can not use why are small and fingers bleed me. small size. Use 42.5 and I ordered a 42-43 q returned by little and went back to ask for a 43-44. Tried them with socks, I premiered down to the beach (10 minutes) and when I arrived and "&amp;"my shoes had 4 fingers bleeding. Back home was very uncomfortable and bleed again. I have cornered and I have not been used again and I have not been able to change by premiered any.")</f>
        <v>After buying them I can not use why are small and fingers bleed me. small size. Use 42.5 and I ordered a 42-43 q returned by little and went back to ask for a 43-44. Tried them with socks, I premiered down to the beach (10 minutes) and when I arrived and my shoes had 4 fingers bleeding. Back home was very uncomfortable and bleed again. I have cornered and I have not been used again and I have not been able to change by premiered any.</v>
      </c>
    </row>
    <row r="18314">
      <c r="A18314" s="1">
        <v>3.0</v>
      </c>
      <c r="B18314" s="1" t="s">
        <v>18139</v>
      </c>
      <c r="C18314" t="str">
        <f>IFERROR(__xludf.DUMMYFUNCTION("GOOGLETRANSLATE(B18314, ""es"", ""en"")"),"As disappointed shoes look very nice, but the problem is q to the going out of his feet and that is very uncomfortable, a shame because I really liked")</f>
        <v>As disappointed shoes look very nice, but the problem is q to the going out of his feet and that is very uncomfortable, a shame because I really liked</v>
      </c>
    </row>
    <row r="18315">
      <c r="A18315" s="1">
        <v>1.0</v>
      </c>
      <c r="B18315" s="1" t="s">
        <v>18140</v>
      </c>
      <c r="C18315" t="str">
        <f>IFERROR(__xludf.DUMMYFUNCTION("GOOGLETRANSLATE(B18315, ""es"", ""en"")"),"Before long stops cutting well. 6 months bought this mower and the perfect beginning ago, but thought much do long cut that well ?. At 3 months and began to engage the blade tearing the paper to the start cutting, this has increased to 6 months after purc"&amp;"hasing this happens often and is increasing. ¿Obsolescence or a system or nefarious invention ?, or perhaps the main objective of the manufacturer to sell replacement blades do you sound of something ?, yes, is what happens with printers and muuuuuuchaaaa"&amp;"s things, ""you get what caro ""I bought this because I had a cutter wheel from 25 years old already broke now, in 25 years only use 2 wheels, cutting ALWAYS scary. This I have bought or would buy or recommend, unless you buy a bunch of parts and do not h"&amp;"ave to give heavy use. I will buy another like it had even worth 5 times.")</f>
        <v>Before long stops cutting well. 6 months bought this mower and the perfect beginning ago, but thought much do long cut that well ?. At 3 months and began to engage the blade tearing the paper to the start cutting, this has increased to 6 months after purchasing this happens often and is increasing. ¿Obsolescence or a system or nefarious invention ?, or perhaps the main objective of the manufacturer to sell replacement blades do you sound of something ?, yes, is what happens with printers and muuuuuuchaaaas things, "you get what caro "I bought this because I had a cutter wheel from 25 years old already broke now, in 25 years only use 2 wheels, cutting ALWAYS scary. This I have bought or would buy or recommend, unless you buy a bunch of parts and do not have to give heavy use. I will buy another like it had even worth 5 times.</v>
      </c>
    </row>
    <row r="18316">
      <c r="A18316" s="1">
        <v>1.0</v>
      </c>
      <c r="B18316" s="1" t="s">
        <v>18141</v>
      </c>
      <c r="C18316" t="str">
        <f>IFERROR(__xludf.DUMMYFUNCTION("GOOGLETRANSLATE(B18316, ""es"", ""en"")"),"Deceives image has nothing to do with the photo, is a soft cloth and bigger bag looks on the picture")</f>
        <v>Deceives image has nothing to do with the photo, is a soft cloth and bigger bag looks on the picture</v>
      </c>
    </row>
    <row r="18317">
      <c r="A18317" s="1">
        <v>4.0</v>
      </c>
      <c r="B18317" s="1" t="s">
        <v>18142</v>
      </c>
      <c r="C18317" t="str">
        <f>IFERROR(__xludf.DUMMYFUNCTION("GOOGLETRANSLATE(B18317, ""es"", ""en"")"),"Good quality / price. Funcionanan to perfection and for the price you do not you may ask for more. If you look a little weak and finished plastic that looks that are cheap. But waiting is what a product with that price.")</f>
        <v>Good quality / price. Funcionanan to perfection and for the price you do not you may ask for more. If you look a little weak and finished plastic that looks that are cheap. But waiting is what a product with that price.</v>
      </c>
    </row>
    <row r="18318">
      <c r="A18318" s="1">
        <v>4.0</v>
      </c>
      <c r="B18318" s="1" t="s">
        <v>18143</v>
      </c>
      <c r="C18318" t="str">
        <f>IFERROR(__xludf.DUMMYFUNCTION("GOOGLETRANSLATE(B18318, ""es"", ""en"")"),"The product roll is not bad, relaxes the feet which is what I wanted.")</f>
        <v>The product roll is not bad, relaxes the feet which is what I wanted.</v>
      </c>
    </row>
    <row r="18319">
      <c r="A18319" s="1">
        <v>4.0</v>
      </c>
      <c r="B18319" s="1" t="s">
        <v>18144</v>
      </c>
      <c r="C18319" t="str">
        <f>IFERROR(__xludf.DUMMYFUNCTION("GOOGLETRANSLATE(B18319, ""es"", ""en"")"),"Indispensable for 40 yearlings Iba looking for a casio calculator watch ... like when I was young. I found it on Amazon the whole life with rubber keys, but I opted for this which is ""updated"". I see only one drawback ... the calculator buttons are extr"&amp;"emely hard!")</f>
        <v>Indispensable for 40 yearlings Iba looking for a casio calculator watch ... like when I was young. I found it on Amazon the whole life with rubber keys, but I opted for this which is "updated". I see only one drawback ... the calculator buttons are extremely hard!</v>
      </c>
    </row>
    <row r="18320">
      <c r="A18320" s="1">
        <v>4.0</v>
      </c>
      <c r="B18320" s="1" t="s">
        <v>18145</v>
      </c>
      <c r="C18320" t="str">
        <f>IFERROR(__xludf.DUMMYFUNCTION("GOOGLETRANSLATE(B18320, ""es"", ""en"")"),"Good size very complete, maybe next time I'll ask one size smaller. Otherwise all good, both delivery speed and product.")</f>
        <v>Good size very complete, maybe next time I'll ask one size smaller. Otherwise all good, both delivery speed and product.</v>
      </c>
    </row>
    <row r="18321">
      <c r="A18321" s="1">
        <v>4.0</v>
      </c>
      <c r="B18321" s="1" t="s">
        <v>18146</v>
      </c>
      <c r="C18321" t="str">
        <f>IFERROR(__xludf.DUMMYFUNCTION("GOOGLETRANSLATE(B18321, ""es"", ""en"")"),"Very good value for money. While everything is made of plastic, not even buckle is metal, works perfect and is a past. ... It is true that light can not see well in the dark time.")</f>
        <v>Very good value for money. While everything is made of plastic, not even buckle is metal, works perfect and is a past. ... It is true that light can not see well in the dark time.</v>
      </c>
    </row>
    <row r="18322">
      <c r="A18322" s="1">
        <v>5.0</v>
      </c>
      <c r="B18322" s="1" t="s">
        <v>18147</v>
      </c>
      <c r="C18322" t="str">
        <f>IFERROR(__xludf.DUMMYFUNCTION("GOOGLETRANSLATE(B18322, ""es"", ""en"")"),"Terrific perfect")</f>
        <v>Terrific perfect</v>
      </c>
    </row>
    <row r="18323">
      <c r="A18323" s="1">
        <v>5.0</v>
      </c>
      <c r="B18323" s="1" t="s">
        <v>18148</v>
      </c>
      <c r="C18323" t="str">
        <f>IFERROR(__xludf.DUMMYFUNCTION("GOOGLETRANSLATE(B18323, ""es"", ""en"")"),"Excellent!! Box is needed, because there was no need to be bigger. The material is resistant also carries inside and a drawer for coins, not expecting, which is much better yet. Excellent buy and advised both the price and the quality.")</f>
        <v>Excellent!! Box is needed, because there was no need to be bigger. The material is resistant also carries inside and a drawer for coins, not expecting, which is much better yet. Excellent buy and advised both the price and the quality.</v>
      </c>
    </row>
    <row r="18324">
      <c r="A18324" s="1">
        <v>5.0</v>
      </c>
      <c r="B18324" s="1" t="s">
        <v>18149</v>
      </c>
      <c r="C18324" t="str">
        <f>IFERROR(__xludf.DUMMYFUNCTION("GOOGLETRANSLATE(B18324, ""es"", ""en"")"),"Ok Dura little pile")</f>
        <v>Ok Dura little pile</v>
      </c>
    </row>
    <row r="18325">
      <c r="A18325" s="1">
        <v>5.0</v>
      </c>
      <c r="B18325" s="1" t="s">
        <v>18150</v>
      </c>
      <c r="C18325" t="str">
        <f>IFERROR(__xludf.DUMMYFUNCTION("GOOGLETRANSLATE(B18325, ""es"", ""en"")"),"ideal for working comfortably Mouse ideal for rest the arm when using the mouse. Recommended by ortopedias to improve pain in the carpal tunnel and tendinitis caused by the use of the mouse level arm and elbow.")</f>
        <v>ideal for working comfortably Mouse ideal for rest the arm when using the mouse. Recommended by ortopedias to improve pain in the carpal tunnel and tendinitis caused by the use of the mouse level arm and elbow.</v>
      </c>
    </row>
    <row r="18326">
      <c r="A18326" s="1">
        <v>5.0</v>
      </c>
      <c r="B18326" s="1" t="s">
        <v>18151</v>
      </c>
      <c r="C18326" t="str">
        <f>IFERROR(__xludf.DUMMYFUNCTION("GOOGLETRANSLATE(B18326, ""es"", ""en"")"),"I am delighted I am delighted, vacuums and passes leading mop leaving the shiny floor, scrubbing the option is more complicated, you can not spend the amount of water because then leaves you very wet soil. The would buy.")</f>
        <v>I am delighted I am delighted, vacuums and passes leading mop leaving the shiny floor, scrubbing the option is more complicated, you can not spend the amount of water because then leaves you very wet soil. The would buy.</v>
      </c>
    </row>
    <row r="18327">
      <c r="A18327" s="1">
        <v>5.0</v>
      </c>
      <c r="B18327" s="1" t="s">
        <v>18152</v>
      </c>
      <c r="C18327" t="str">
        <f>IFERROR(__xludf.DUMMYFUNCTION("GOOGLETRANSLATE(B18327, ""es"", ""en"")"),"GENIAL KETTLE A great kettle, perhaps for everyday use is very large as it has the capacity to 1.7l. and I use it daily for infusions so with 0.5 liters would be more than enough .. but it is great for cooking because now I have to wait for the pot starts"&amp;" to boil .. that in about 4 minutes I have list : DD")</f>
        <v>GENIAL KETTLE A great kettle, perhaps for everyday use is very large as it has the capacity to 1.7l. and I use it daily for infusions so with 0.5 liters would be more than enough .. but it is great for cooking because now I have to wait for the pot starts to boil .. that in about 4 minutes I have list : DD</v>
      </c>
    </row>
    <row r="18328">
      <c r="A18328" s="1">
        <v>5.0</v>
      </c>
      <c r="B18328" s="1" t="s">
        <v>18153</v>
      </c>
      <c r="C18328" t="str">
        <f>IFERROR(__xludf.DUMMYFUNCTION("GOOGLETRANSLATE(B18328, ""es"", ""en"")"),"It is very wearable as it appears in the photo has many departments and many things fit. I loved it")</f>
        <v>It is very wearable as it appears in the photo has many departments and many things fit. I loved it</v>
      </c>
    </row>
    <row r="18329">
      <c r="A18329" s="1">
        <v>5.0</v>
      </c>
      <c r="B18329" s="1" t="s">
        <v>18154</v>
      </c>
      <c r="C18329" t="str">
        <f>IFERROR(__xludf.DUMMYFUNCTION("GOOGLETRANSLATE(B18329, ""es"", ""en"")"),"They are perfect subfolders of good material, durillas. I like them a lot, do not bend or easily damaged. Very good.")</f>
        <v>They are perfect subfolders of good material, durillas. I like them a lot, do not bend or easily damaged. Very good.</v>
      </c>
    </row>
    <row r="18330">
      <c r="A18330" s="1">
        <v>5.0</v>
      </c>
      <c r="B18330" s="1" t="s">
        <v>18155</v>
      </c>
      <c r="C18330" t="str">
        <f>IFERROR(__xludf.DUMMYFUNCTION("GOOGLETRANSLATE(B18330, ""es"", ""en"")"),"Good quality for price they have an equal ganga.son in the foto.los recommend.")</f>
        <v>Good quality for price they have an equal ganga.son in the foto.los recommend.</v>
      </c>
    </row>
    <row r="18331">
      <c r="A18331" s="1">
        <v>5.0</v>
      </c>
      <c r="B18331" s="1" t="s">
        <v>18156</v>
      </c>
      <c r="C18331" t="str">
        <f>IFERROR(__xludf.DUMMYFUNCTION("GOOGLETRANSLATE(B18331, ""es"", ""en"")"),"Satisfied with the perfect shopping, nice quality, biggie, ceramic, thrilled and recommended ...")</f>
        <v>Satisfied with the perfect shopping, nice quality, biggie, ceramic, thrilled and recommended ...</v>
      </c>
    </row>
    <row r="18332">
      <c r="A18332" s="1">
        <v>5.0</v>
      </c>
      <c r="B18332" s="1" t="s">
        <v>18157</v>
      </c>
      <c r="C18332" t="str">
        <f>IFERROR(__xludf.DUMMYFUNCTION("GOOGLETRANSLATE(B18332, ""es"", ""en"")"),"Suggestion purchase price / quality ratio, are ideals headphones. The sound quality is not outstanding, but as low price is more than correct.")</f>
        <v>Suggestion purchase price / quality ratio, are ideals headphones. The sound quality is not outstanding, but as low price is more than correct.</v>
      </c>
    </row>
    <row r="18333">
      <c r="A18333" s="1">
        <v>5.0</v>
      </c>
      <c r="B18333" s="1" t="s">
        <v>18158</v>
      </c>
      <c r="C18333" t="str">
        <f>IFERROR(__xludf.DUMMYFUNCTION("GOOGLETRANSLATE(B18333, ""es"", ""en"")"),"Excellent price / quality ratio is powerful and durable. It's a bit noisy.")</f>
        <v>Excellent price / quality ratio is powerful and durable. It's a bit noisy.</v>
      </c>
    </row>
    <row r="18334">
      <c r="A18334" s="1">
        <v>5.0</v>
      </c>
      <c r="B18334" s="1" t="s">
        <v>18159</v>
      </c>
      <c r="C18334" t="str">
        <f>IFERROR(__xludf.DUMMYFUNCTION("GOOGLETRANSLATE(B18334, ""es"", ""en"")"),"OK, it's OK")</f>
        <v>OK, it's OK</v>
      </c>
    </row>
    <row r="18335">
      <c r="A18335" s="1">
        <v>5.0</v>
      </c>
      <c r="B18335" s="1" t="s">
        <v>18160</v>
      </c>
      <c r="C18335" t="str">
        <f>IFERROR(__xludf.DUMMYFUNCTION("GOOGLETRANSLATE(B18335, ""es"", ""en"")"),"Very beautiful and elegant and colorful light on the wrist")</f>
        <v>Very beautiful and elegant and colorful light on the wrist</v>
      </c>
    </row>
    <row r="18336">
      <c r="A18336" s="1">
        <v>5.0</v>
      </c>
      <c r="B18336" s="1" t="s">
        <v>18161</v>
      </c>
      <c r="C18336" t="str">
        <f>IFERROR(__xludf.DUMMYFUNCTION("GOOGLETRANSLATE(B18336, ""es"", ""en"")"),"Beautiful they Loved")</f>
        <v>Beautiful they Loved</v>
      </c>
    </row>
    <row r="18337">
      <c r="A18337" s="1">
        <v>5.0</v>
      </c>
      <c r="B18337" s="1" t="s">
        <v>18162</v>
      </c>
      <c r="C18337" t="str">
        <f>IFERROR(__xludf.DUMMYFUNCTION("GOOGLETRANSLATE(B18337, ""es"", ""en"")"),"Cash and reasonable. A professional product with an excellent finish. Nothing to do with unbranded imitations and worth every euro of its price.")</f>
        <v>Cash and reasonable. A professional product with an excellent finish. Nothing to do with unbranded imitations and worth every euro of its price.</v>
      </c>
    </row>
    <row r="18338">
      <c r="A18338" s="1">
        <v>5.0</v>
      </c>
      <c r="B18338" s="1" t="s">
        <v>18163</v>
      </c>
      <c r="C18338" t="str">
        <f>IFERROR(__xludf.DUMMYFUNCTION("GOOGLETRANSLATE(B18338, ""es"", ""en"")"),"A casio always what you expect from a Casio plastic, comfortable, lightweight and gives the time. For twenty euros it is fine and goes for the beach.")</f>
        <v>A casio always what you expect from a Casio plastic, comfortable, lightweight and gives the time. For twenty euros it is fine and goes for the beach.</v>
      </c>
    </row>
    <row r="18339">
      <c r="A18339" s="1">
        <v>5.0</v>
      </c>
      <c r="B18339" s="1" t="s">
        <v>18164</v>
      </c>
      <c r="C18339" t="str">
        <f>IFERROR(__xludf.DUMMYFUNCTION("GOOGLETRANSLATE(B18339, ""es"", ""en"")"),"Comfort Very comfortable and a good price, they are second to buy me")</f>
        <v>Comfort Very comfortable and a good price, they are second to buy me</v>
      </c>
    </row>
    <row r="18340">
      <c r="A18340" s="1">
        <v>5.0</v>
      </c>
      <c r="B18340" s="1" t="s">
        <v>18165</v>
      </c>
      <c r="C18340" t="str">
        <f>IFERROR(__xludf.DUMMYFUNCTION("GOOGLETRANSLATE(B18340, ""es"", ""en"")"),"The truth is very good I thought it was going to give use but still not released but certainly I think it does the job")</f>
        <v>The truth is very good I thought it was going to give use but still not released but certainly I think it does the job</v>
      </c>
    </row>
    <row r="18341">
      <c r="A18341" s="1">
        <v>2.0</v>
      </c>
      <c r="B18341" s="1" t="s">
        <v>18166</v>
      </c>
      <c r="C18341" t="str">
        <f>IFERROR(__xludf.DUMMYFUNCTION("GOOGLETRANSLATE(B18341, ""es"", ""en"")"),"Disappointing not worth what it costs. The finish of the bag is well, the length of the belt is long, mido 1.83 and carrying a little below the waist spare 20 cm. What's wrong with it? Belt, is rough and shoddy. But that's not the worst, to the side of th"&amp;"e belt has been applied a heat treatment to prevent fraying. But they have not done well. Are small balls of plastic that just arañandote neck and clothing. Moreover, the logo shown at the bottom of the bag is metallic and large, when the bag is filled pr"&amp;"otruding corners and hooks and spider. I do not recommend to parents with children as it can scratch children. I would not buy.")</f>
        <v>Disappointing not worth what it costs. The finish of the bag is well, the length of the belt is long, mido 1.83 and carrying a little below the waist spare 20 cm. What's wrong with it? Belt, is rough and shoddy. But that's not the worst, to the side of the belt has been applied a heat treatment to prevent fraying. But they have not done well. Are small balls of plastic that just arañandote neck and clothing. Moreover, the logo shown at the bottom of the bag is metallic and large, when the bag is filled protruding corners and hooks and spider. I do not recommend to parents with children as it can scratch children. I would not buy.</v>
      </c>
    </row>
    <row r="18342">
      <c r="A18342" s="1">
        <v>3.0</v>
      </c>
      <c r="B18342" s="1" t="s">
        <v>18167</v>
      </c>
      <c r="C18342" t="str">
        <f>IFERROR(__xludf.DUMMYFUNCTION("GOOGLETRANSLATE(B18342, ""es"", ""en"")"),"STAINLESS STEEL Casio watch. I liked a lot, have proven to be original and if it is. normal functions, stopwatch, alarm sounds every exact time ... But it's not silver as indicated in the statement. I think it's correctable cause and sincerely doubt. The "&amp;"material is stainless steel. Moreover delighted. Buenos closures, links, ...")</f>
        <v>STAINLESS STEEL Casio watch. I liked a lot, have proven to be original and if it is. normal functions, stopwatch, alarm sounds every exact time ... But it's not silver as indicated in the statement. I think it's correctable cause and sincerely doubt. The material is stainless steel. Moreover delighted. Buenos closures, links, ...</v>
      </c>
    </row>
    <row r="18343">
      <c r="A18343" s="1">
        <v>1.0</v>
      </c>
      <c r="B18343" s="1" t="s">
        <v>18168</v>
      </c>
      <c r="C18343" t="str">
        <f>IFERROR(__xludf.DUMMYFUNCTION("GOOGLETRANSLATE(B18343, ""es"", ""en"")"),"size well but awkward size was adequate, and the put me was perfect, it was not until I went outside and started walking when I realized that walking bent inward in the part of the fingers and the be so rigid did much damage, I had to return because he co"&amp;"uld not walk when wearing a walking time")</f>
        <v>size well but awkward size was adequate, and the put me was perfect, it was not until I went outside and started walking when I realized that walking bent inward in the part of the fingers and the be so rigid did much damage, I had to return because he could not walk when wearing a walking time</v>
      </c>
    </row>
    <row r="18344">
      <c r="A18344" s="1">
        <v>1.0</v>
      </c>
      <c r="B18344" s="1" t="s">
        <v>18169</v>
      </c>
      <c r="C18344" t="str">
        <f>IFERROR(__xludf.DUMMYFUNCTION("GOOGLETRANSLATE(B18344, ""es"", ""en"")"),"Expensive and bad is uncomfortable and very fragile Vileda eseraba being something better")</f>
        <v>Expensive and bad is uncomfortable and very fragile Vileda eseraba being something better</v>
      </c>
    </row>
    <row r="18345">
      <c r="A18345" s="1">
        <v>1.0</v>
      </c>
      <c r="B18345" s="1" t="s">
        <v>18170</v>
      </c>
      <c r="C18345" t="str">
        <f>IFERROR(__xludf.DUMMYFUNCTION("GOOGLETRANSLATE(B18345, ""es"", ""en"")"),"Low quality coat The coat was on time and everything I buy from Amazon but it is the first time a product disappoints me so much. I asked her coat color red wine and I got normal red that is too clearly, I think over shoddy. I usually wear size S but I as"&amp;"ked M to comfortably wear a jersey underneath but it is too big and the cut is not pretty. For the price I was not expecting much but something more than that surely. I do not recommend it, give it back.")</f>
        <v>Low quality coat The coat was on time and everything I buy from Amazon but it is the first time a product disappoints me so much. I asked her coat color red wine and I got normal red that is too clearly, I think over shoddy. I usually wear size S but I asked M to comfortably wear a jersey underneath but it is too big and the cut is not pretty. For the price I was not expecting much but something more than that surely. I do not recommend it, give it back.</v>
      </c>
    </row>
    <row r="18346">
      <c r="A18346" s="1">
        <v>4.0</v>
      </c>
      <c r="B18346" s="1" t="s">
        <v>18171</v>
      </c>
      <c r="C18346" t="str">
        <f>IFERROR(__xludf.DUMMYFUNCTION("GOOGLETRANSLATE(B18346, ""es"", ""en"")"),"With many questions by the material. Very Nice shirt but doubts the material. I doubt if it becomes original brand for its material and labeling. It has arrived and with wrinkled dots on the part of the chest, it's strange. After ironing it has not been r"&amp;"emoved.")</f>
        <v>With many questions by the material. Very Nice shirt but doubts the material. I doubt if it becomes original brand for its material and labeling. It has arrived and with wrinkled dots on the part of the chest, it's strange. After ironing it has not been removed.</v>
      </c>
    </row>
    <row r="18347">
      <c r="A18347" s="1">
        <v>4.0</v>
      </c>
      <c r="B18347" s="1" t="s">
        <v>18172</v>
      </c>
      <c r="C18347" t="str">
        <f>IFERROR(__xludf.DUMMYFUNCTION("GOOGLETRANSLATE(B18347, ""es"", ""en"")"),"Pegan fulfill the functions quite well the photos as a year ago and there still are stuck. The hard part is off the pegatinita of the paper you are stuck")</f>
        <v>Pegan fulfill the functions quite well the photos as a year ago and there still are stuck. The hard part is off the pegatinita of the paper you are stuck</v>
      </c>
    </row>
    <row r="18348">
      <c r="A18348" s="1">
        <v>4.0</v>
      </c>
      <c r="B18348" s="1" t="s">
        <v>18173</v>
      </c>
      <c r="C18348" t="str">
        <f>IFERROR(__xludf.DUMMYFUNCTION("GOOGLETRANSLATE(B18348, ""es"", ""en"")"),"Complement top to look nice wedding chaque gives the trick, it works great, very nice!")</f>
        <v>Complement top to look nice wedding chaque gives the trick, it works great, very nice!</v>
      </c>
    </row>
    <row r="18349">
      <c r="A18349" s="1">
        <v>4.0</v>
      </c>
      <c r="B18349" s="1" t="s">
        <v>18174</v>
      </c>
      <c r="C18349" t="str">
        <f>IFERROR(__xludf.DUMMYFUNCTION("GOOGLETRANSLATE(B18349, ""es"", ""en"")"),"It meets my expectations I wanted a bottle foamer to beat the grain of my son and doing well. I would buy")</f>
        <v>It meets my expectations I wanted a bottle foamer to beat the grain of my son and doing well. I would buy</v>
      </c>
    </row>
    <row r="18350">
      <c r="A18350" s="1">
        <v>5.0</v>
      </c>
      <c r="B18350" s="1" t="s">
        <v>18175</v>
      </c>
      <c r="C18350" t="str">
        <f>IFERROR(__xludf.DUMMYFUNCTION("GOOGLETRANSLATE(B18350, ""es"", ""en"")"),"VERY COMFORTABLE WITH DOUBTS OF FIRST SIZE WAS, BUT USE AND ME ARE A PERFECT 36. VERY COMFORTABLE AND ARE RECEIVED IN RECORD TIME.")</f>
        <v>VERY COMFORTABLE WITH DOUBTS OF FIRST SIZE WAS, BUT USE AND ME ARE A PERFECT 36. VERY COMFORTABLE AND ARE RECEIVED IN RECORD TIME.</v>
      </c>
    </row>
    <row r="18351">
      <c r="A18351" s="1">
        <v>5.0</v>
      </c>
      <c r="B18351" s="1" t="s">
        <v>18176</v>
      </c>
      <c r="C18351" t="str">
        <f>IFERROR(__xludf.DUMMYFUNCTION("GOOGLETRANSLATE(B18351, ""es"", ""en"")"),"As it is described and such as described")</f>
        <v>As it is described and such as described</v>
      </c>
    </row>
    <row r="18352">
      <c r="A18352" s="1">
        <v>5.0</v>
      </c>
      <c r="B18352" s="1" t="s">
        <v>18177</v>
      </c>
      <c r="C18352" t="str">
        <f>IFERROR(__xludf.DUMMYFUNCTION("GOOGLETRANSLATE(B18352, ""es"", ""en"")"),"Very good and very suitable for people who travel a lot Very pleased with this external hard drive. I travel a lot for work, and is extremely comfortable to carry. It's fast and the only thing is that when you work intensely heated, although at no time un"&amp;"til now it has been inconvenient.")</f>
        <v>Very good and very suitable for people who travel a lot Very pleased with this external hard drive. I travel a lot for work, and is extremely comfortable to carry. It's fast and the only thing is that when you work intensely heated, although at no time until now it has been inconvenient.</v>
      </c>
    </row>
    <row r="18353">
      <c r="A18353" s="1">
        <v>5.0</v>
      </c>
      <c r="B18353" s="1" t="s">
        <v>18178</v>
      </c>
      <c r="C18353" t="str">
        <f>IFERROR(__xludf.DUMMYFUNCTION("GOOGLETRANSLATE(B18353, ""es"", ""en"")"),"Excellent The Super recommend! I came all great. Good micro discounts, as well as mobile and camera. I usually connect my Canon 750D and going great. And with 6 meters of cable. What more could you want.")</f>
        <v>Excellent The Super recommend! I came all great. Good micro discounts, as well as mobile and camera. I usually connect my Canon 750D and going great. And with 6 meters of cable. What more could you want.</v>
      </c>
    </row>
    <row r="18354">
      <c r="A18354" s="1">
        <v>5.0</v>
      </c>
      <c r="B18354" s="1" t="s">
        <v>18179</v>
      </c>
      <c r="C18354" t="str">
        <f>IFERROR(__xludf.DUMMYFUNCTION("GOOGLETRANSLATE(B18354, ""es"", ""en"")"),"Cool I love these bottles, I tried a lot and I stay with this brand, hardly produce colic, they are very easy to clean with nice colors and bold for babies.")</f>
        <v>Cool I love these bottles, I tried a lot and I stay with this brand, hardly produce colic, they are very easy to clean with nice colors and bold for babies.</v>
      </c>
    </row>
    <row r="18355">
      <c r="A18355" s="1">
        <v>5.0</v>
      </c>
      <c r="B18355" s="1" t="s">
        <v>18180</v>
      </c>
      <c r="C18355" t="str">
        <f>IFERROR(__xludf.DUMMYFUNCTION("GOOGLETRANSLATE(B18355, ""es"", ""en"")"),"original and good product service incredible value, but only in that color")</f>
        <v>original and good product service incredible value, but only in that color</v>
      </c>
    </row>
    <row r="18356">
      <c r="A18356" s="1">
        <v>5.0</v>
      </c>
      <c r="B18356" s="1" t="s">
        <v>18181</v>
      </c>
      <c r="C18356" t="str">
        <f>IFERROR(__xludf.DUMMYFUNCTION("GOOGLETRANSLATE(B18356, ""es"", ""en"")"),"Celestina Just what I expected, fast and reaches every corner, super suave.muy contenta.lo would buy again more")</f>
        <v>Celestina Just what I expected, fast and reaches every corner, super suave.muy contenta.lo would buy again more</v>
      </c>
    </row>
    <row r="18357">
      <c r="A18357" s="1">
        <v>5.0</v>
      </c>
      <c r="B18357" s="1" t="s">
        <v>18182</v>
      </c>
      <c r="C18357" t="str">
        <f>IFERROR(__xludf.DUMMYFUNCTION("GOOGLETRANSLATE(B18357, ""es"", ""en"")"),"Real as such was the picture which I saw in the picture, very nice")</f>
        <v>Real as such was the picture which I saw in the picture, very nice</v>
      </c>
    </row>
    <row r="18358">
      <c r="A18358" s="1">
        <v>5.0</v>
      </c>
      <c r="B18358" s="1" t="s">
        <v>18183</v>
      </c>
      <c r="C18358" t="str">
        <f>IFERROR(__xludf.DUMMYFUNCTION("GOOGLETRANSLATE(B18358, ""es"", ""en"")"),"Humidifier / air freshener perfect !!! I have come a day after request. I've placed in a room of 45 square meters and a few minutes later to turn it on, it smelled great. Almost no noise. It just sounds like very subtle droplets.")</f>
        <v>Humidifier / air freshener perfect !!! I have come a day after request. I've placed in a room of 45 square meters and a few minutes later to turn it on, it smelled great. Almost no noise. It just sounds like very subtle droplets.</v>
      </c>
    </row>
    <row r="18359">
      <c r="A18359" s="1">
        <v>5.0</v>
      </c>
      <c r="B18359" s="1" t="s">
        <v>18184</v>
      </c>
      <c r="C18359" t="str">
        <f>IFERROR(__xludf.DUMMYFUNCTION("GOOGLETRANSLATE(B18359, ""es"", ""en"")"),"Contenta Encantada, buenisima quality price, great sound, best original headphones hear that my samsung")</f>
        <v>Contenta Encantada, buenisima quality price, great sound, best original headphones hear that my samsung</v>
      </c>
    </row>
    <row r="18360">
      <c r="A18360" s="1">
        <v>5.0</v>
      </c>
      <c r="B18360" s="1" t="s">
        <v>18185</v>
      </c>
      <c r="C18360" t="str">
        <f>IFERROR(__xludf.DUMMYFUNCTION("GOOGLETRANSLATE(B18360, ""es"", ""en"")"),"Brown is one of the best bottles, my son is 16 months old and used since the first month. It is not very aesthetic but there is q")</f>
        <v>Brown is one of the best bottles, my son is 16 months old and used since the first month. It is not very aesthetic but there is q</v>
      </c>
    </row>
    <row r="18361">
      <c r="A18361" s="1">
        <v>5.0</v>
      </c>
      <c r="B18361" s="1" t="s">
        <v>18186</v>
      </c>
      <c r="C18361" t="str">
        <f>IFERROR(__xludf.DUMMYFUNCTION("GOOGLETRANSLATE(B18361, ""es"", ""en"")"),"Meets functionality grounds")</f>
        <v>Meets functionality grounds</v>
      </c>
    </row>
    <row r="18362">
      <c r="A18362" s="1">
        <v>5.0</v>
      </c>
      <c r="B18362" s="1" t="s">
        <v>18187</v>
      </c>
      <c r="C18362" t="str">
        <f>IFERROR(__xludf.DUMMYFUNCTION("GOOGLETRANSLATE(B18362, ""es"", ""en"")"),"Excellent product in my opinion. perfectly fulfills its function. The robustness and practical, and the price has meeting seems like a great purchase. The shipment was faster than I expected.")</f>
        <v>Excellent product in my opinion. perfectly fulfills its function. The robustness and practical, and the price has meeting seems like a great purchase. The shipment was faster than I expected.</v>
      </c>
    </row>
    <row r="18363">
      <c r="A18363" s="1">
        <v>5.0</v>
      </c>
      <c r="B18363" s="1" t="s">
        <v>18188</v>
      </c>
      <c r="C18363" t="str">
        <f>IFERROR(__xludf.DUMMYFUNCTION("GOOGLETRANSLATE(B18363, ""es"", ""en"")"),"You gift to my girlfriend's shoes are thick-soled, great design and are as expected at the least size 39")</f>
        <v>You gift to my girlfriend's shoes are thick-soled, great design and are as expected at the least size 39</v>
      </c>
    </row>
    <row r="18364">
      <c r="A18364" s="1">
        <v>5.0</v>
      </c>
      <c r="B18364" s="1" t="s">
        <v>18189</v>
      </c>
      <c r="C18364" t="str">
        <f>IFERROR(__xludf.DUMMYFUNCTION("GOOGLETRANSLATE(B18364, ""es"", ""en"")"),"Good aroma smells good and it works perfectly Humidifier")</f>
        <v>Good aroma smells good and it works perfectly Humidifier</v>
      </c>
    </row>
    <row r="18365">
      <c r="A18365" s="1">
        <v>5.0</v>
      </c>
      <c r="B18365" s="1" t="s">
        <v>18190</v>
      </c>
      <c r="C18365" t="str">
        <f>IFERROR(__xludf.DUMMYFUNCTION("GOOGLETRANSLATE(B18365, ""es"", ""en"")"),"I loved, good quality. Good quality. Soon as it shows low swelling of dark circles and leaves a feeling of freshness, as well as moisturize the area.")</f>
        <v>I loved, good quality. Good quality. Soon as it shows low swelling of dark circles and leaves a feeling of freshness, as well as moisturize the area.</v>
      </c>
    </row>
    <row r="18366">
      <c r="A18366" s="1">
        <v>5.0</v>
      </c>
      <c r="B18366" s="1" t="s">
        <v>18191</v>
      </c>
      <c r="C18366" t="str">
        <f>IFERROR(__xludf.DUMMYFUNCTION("GOOGLETRANSLATE(B18366, ""es"", ""en"")"),"There were good shoes to work for someone else who had asked me, but it came advised that they were very good")</f>
        <v>There were good shoes to work for someone else who had asked me, but it came advised that they were very good</v>
      </c>
    </row>
    <row r="18367">
      <c r="A18367" s="1">
        <v>5.0</v>
      </c>
      <c r="B18367" s="1" t="s">
        <v>18192</v>
      </c>
      <c r="C18367" t="str">
        <f>IFERROR(__xludf.DUMMYFUNCTION("GOOGLETRANSLATE(B18367, ""es"", ""en"")"),"Recommended quality and price I had a problem with a card newcomer who did not work well (as can happen in any product) and the seller instantly pending another. great deal and the product works perfectly. The value is very good, with the support of a goo"&amp;"d brand behind")</f>
        <v>Recommended quality and price I had a problem with a card newcomer who did not work well (as can happen in any product) and the seller instantly pending another. great deal and the product works perfectly. The value is very good, with the support of a good brand behind</v>
      </c>
    </row>
    <row r="18368">
      <c r="A18368" s="1">
        <v>5.0</v>
      </c>
      <c r="B18368" s="1" t="s">
        <v>18193</v>
      </c>
      <c r="C18368" t="str">
        <f>IFERROR(__xludf.DUMMYFUNCTION("GOOGLETRANSLATE(B18368, ""es"", ""en"")"),"Well valuation work the first time, we will see with use.")</f>
        <v>Well valuation work the first time, we will see with use.</v>
      </c>
    </row>
    <row r="18369">
      <c r="A18369" s="1">
        <v>2.0</v>
      </c>
      <c r="B18369" s="1" t="s">
        <v>18194</v>
      </c>
      <c r="C18369" t="str">
        <f>IFERROR(__xludf.DUMMYFUNCTION("GOOGLETRANSLATE(B18369, ""es"", ""en"")"),"A little looser than expected thought would cover more pressure does not get one but if you touch shortly. Nevertheless if it becomes useful to take advantage bottles that they are no longer used.")</f>
        <v>A little looser than expected thought would cover more pressure does not get one but if you touch shortly. Nevertheless if it becomes useful to take advantage bottles that they are no longer used.</v>
      </c>
    </row>
    <row r="18370">
      <c r="A18370" s="1">
        <v>3.0</v>
      </c>
      <c r="B18370" s="1" t="s">
        <v>18195</v>
      </c>
      <c r="C18370" t="str">
        <f>IFERROR(__xludf.DUMMYFUNCTION("GOOGLETRANSLATE(B18370, ""es"", ""en"")"),"Suitable for children not stick very well, although it is suitable for children. I would not buy because I bought it for adults, not for children")</f>
        <v>Suitable for children not stick very well, although it is suitable for children. I would not buy because I bought it for adults, not for children</v>
      </c>
    </row>
    <row r="18371">
      <c r="A18371" s="1">
        <v>3.0</v>
      </c>
      <c r="B18371" s="1" t="s">
        <v>18196</v>
      </c>
      <c r="C18371" t="str">
        <f>IFERROR(__xludf.DUMMYFUNCTION("GOOGLETRANSLATE(B18371, ""es"", ""en"")"),"It smells very little, for small spaces freshener Air Wick Nenuco to spare. I love this kind of air fresheners, I have several scattered around the house, give a good smell are clean and economical. In addition to not having to have it plugged you can be "&amp;"placed anywhere in the house without relying on a plug. This in particular, has a characteristic smell like Nenuco colony, is very nice. Its operation is simple, you put the batteries that are included within the appliance adjusts the time fragrance eject"&amp;"ed. Low Power: expels fragrance every 17 minutes. Average power: every 12 minutes. High power: every 10 minutes. To say that the device is scheduled to work 8 hours straight and is off the other 16. Let's impressions after use, the truth is that I expecte"&amp;"d more, it smells very soft, I have it in the hallway and just spend it shows if in a very small radius away. In the end I had to put it in the room to feel its effects. For the price you have, which is not cheap I think it should be noticed much more the"&amp;" smell. I would recommend it for small spaces.")</f>
        <v>It smells very little, for small spaces freshener Air Wick Nenuco to spare. I love this kind of air fresheners, I have several scattered around the house, give a good smell are clean and economical. In addition to not having to have it plugged you can be placed anywhere in the house without relying on a plug. This in particular, has a characteristic smell like Nenuco colony, is very nice. Its operation is simple, you put the batteries that are included within the appliance adjusts the time fragrance ejected. Low Power: expels fragrance every 17 minutes. Average power: every 12 minutes. High power: every 10 minutes. To say that the device is scheduled to work 8 hours straight and is off the other 16. Let's impressions after use, the truth is that I expected more, it smells very soft, I have it in the hallway and just spend it shows if in a very small radius away. In the end I had to put it in the room to feel its effects. For the price you have, which is not cheap I think it should be noticed much more the smell. I would recommend it for small spaces.</v>
      </c>
    </row>
    <row r="18372">
      <c r="A18372" s="1">
        <v>3.0</v>
      </c>
      <c r="B18372" s="1" t="s">
        <v>18197</v>
      </c>
      <c r="C18372" t="str">
        <f>IFERROR(__xludf.DUMMYFUNCTION("GOOGLETRANSLATE(B18372, ""es"", ""en"")"),"design is nice, but not as wide as it seems ....")</f>
        <v>design is nice, but not as wide as it seems ....</v>
      </c>
    </row>
    <row r="18373">
      <c r="A18373" s="1">
        <v>1.0</v>
      </c>
      <c r="B18373" s="1" t="s">
        <v>18198</v>
      </c>
      <c r="C18373" t="str">
        <f>IFERROR(__xludf.DUMMYFUNCTION("GOOGLETRANSLATE(B18373, ""es"", ""en"")"),"Disappointed. I am a frequent user of Superga and I've had quite a few models. Quality has always been exceptional. However, with less than one month and low utilization in its first wash this occurs. The cleaning method was as specified and as I have pre"&amp;"viously done with other models. I never had this happen before. I imagine it will be a tare. I requested a refund, but I wonder if after being used this may be possible. I await the response from someone from the coaching staff. A greeting.")</f>
        <v>Disappointed. I am a frequent user of Superga and I've had quite a few models. Quality has always been exceptional. However, with less than one month and low utilization in its first wash this occurs. The cleaning method was as specified and as I have previously done with other models. I never had this happen before. I imagine it will be a tare. I requested a refund, but I wonder if after being used this may be possible. I await the response from someone from the coaching staff. A greeting.</v>
      </c>
    </row>
    <row r="18374">
      <c r="A18374" s="1">
        <v>1.0</v>
      </c>
      <c r="B18374" s="1" t="s">
        <v>18199</v>
      </c>
      <c r="C18374" t="str">
        <f>IFERROR(__xludf.DUMMYFUNCTION("GOOGLETRANSLATE(B18374, ""es"", ""en"")"),"Neither hits nor hard ... Not like anything. I got what I wanted paste. It is much better lifetime. It is finished in a flash plasma and have to tighten. In short, lost money")</f>
        <v>Neither hits nor hard ... Not like anything. I got what I wanted paste. It is much better lifetime. It is finished in a flash plasma and have to tighten. In short, lost money</v>
      </c>
    </row>
    <row r="18375">
      <c r="A18375" s="1">
        <v>4.0</v>
      </c>
      <c r="B18375" s="1" t="s">
        <v>18200</v>
      </c>
      <c r="C18375" t="str">
        <f>IFERROR(__xludf.DUMMYFUNCTION("GOOGLETRANSLATE(B18375, ""es"", ""en"")"),"Good buy Value great! Not worth paying brands having these things! Very happy with them. My number is 38 and I 38 and I cojido are perfect. Are easy to clean and comfortable.")</f>
        <v>Good buy Value great! Not worth paying brands having these things! Very happy with them. My number is 38 and I 38 and I cojido are perfect. Are easy to clean and comfortable.</v>
      </c>
    </row>
    <row r="18376">
      <c r="A18376" s="1">
        <v>4.0</v>
      </c>
      <c r="B18376" s="1" t="s">
        <v>18201</v>
      </c>
      <c r="C18376" t="str">
        <f>IFERROR(__xludf.DUMMYFUNCTION("GOOGLETRANSLATE(B18376, ""es"", ""en"")"),"Elegant pretty. It works well. Russell Hobbs toaster we TARE another good performance with retro Scythian. It really is as good as every other producer Russell Hobbs, which are fine, but what if this brand is offering a variety of designs and colors spect"&amp;"acular. Whereupon if we decorate our kitchen as a local of the 50 Americans, this is our toaster.")</f>
        <v>Elegant pretty. It works well. Russell Hobbs toaster we TARE another good performance with retro Scythian. It really is as good as every other producer Russell Hobbs, which are fine, but what if this brand is offering a variety of designs and colors spectacular. Whereupon if we decorate our kitchen as a local of the 50 Americans, this is our toaster.</v>
      </c>
    </row>
    <row r="18377">
      <c r="A18377" s="1">
        <v>4.0</v>
      </c>
      <c r="B18377" s="1" t="s">
        <v>18202</v>
      </c>
      <c r="C18377" t="str">
        <f>IFERROR(__xludf.DUMMYFUNCTION("GOOGLETRANSLATE(B18377, ""es"", ""en"")"),"For the price Andrés tienees more than acceptable and you can not ask for more. In my opinion is a very improvable aspect: the thread height of the leveler.")</f>
        <v>For the price Andrés tienees more than acceptable and you can not ask for more. In my opinion is a very improvable aspect: the thread height of the leveler.</v>
      </c>
    </row>
    <row r="18378">
      <c r="A18378" s="1">
        <v>4.0</v>
      </c>
      <c r="B18378" s="1" t="s">
        <v>18203</v>
      </c>
      <c r="C18378" t="str">
        <f>IFERROR(__xludf.DUMMYFUNCTION("GOOGLETRANSLATE(B18378, ""es"", ""en"")"),"Good comfortable with good sound and drums more than enough. I do not bother me, and I did a few km with them. The distance from the phone and headset is optimal and have not been cut because of the distance, I had several headphones and are the furthest "&amp;"capture. Happy.")</f>
        <v>Good comfortable with good sound and drums more than enough. I do not bother me, and I did a few km with them. The distance from the phone and headset is optimal and have not been cut because of the distance, I had several headphones and are the furthest capture. Happy.</v>
      </c>
    </row>
    <row r="18379">
      <c r="A18379" s="1">
        <v>4.0</v>
      </c>
      <c r="B18379" s="1" t="s">
        <v>18204</v>
      </c>
      <c r="C18379" t="str">
        <f>IFERROR(__xludf.DUMMYFUNCTION("GOOGLETRANSLATE(B18379, ""es"", ""en"")"),"Well A classic Eastpak product. The price is honest.")</f>
        <v>Well A classic Eastpak product. The price is honest.</v>
      </c>
    </row>
    <row r="18380">
      <c r="A18380" s="1">
        <v>5.0</v>
      </c>
      <c r="B18380" s="1" t="s">
        <v>18205</v>
      </c>
      <c r="C18380" t="str">
        <f>IFERROR(__xludf.DUMMYFUNCTION("GOOGLETRANSLATE(B18380, ""es"", ""en"")"),"The best of NB !! They are very comfortable, for my perfect !!")</f>
        <v>The best of NB !! They are very comfortable, for my perfect !!</v>
      </c>
    </row>
    <row r="18381">
      <c r="A18381" s="1">
        <v>5.0</v>
      </c>
      <c r="B18381" s="1" t="s">
        <v>18206</v>
      </c>
      <c r="C18381" t="str">
        <f>IFERROR(__xludf.DUMMYFUNCTION("GOOGLETRANSLATE(B18381, ""es"", ""en"")"),"the price has'm very happy. I bought it because I have an iPhone with only 16gb at home and fills nothing a pair of current applications are installed and do a few pictures, why I bought this USB. Simple operation on one side and the other is lightning mi"&amp;"cro and USB, only elijes side and ready for iPhone has an app to go and read the photos in a fairly simple manner.")</f>
        <v>the price has'm very happy. I bought it because I have an iPhone with only 16gb at home and fills nothing a pair of current applications are installed and do a few pictures, why I bought this USB. Simple operation on one side and the other is lightning micro and USB, only elijes side and ready for iPhone has an app to go and read the photos in a fairly simple manner.</v>
      </c>
    </row>
    <row r="18382">
      <c r="A18382" s="1">
        <v>5.0</v>
      </c>
      <c r="B18382" s="1" t="s">
        <v>18207</v>
      </c>
      <c r="C18382" t="str">
        <f>IFERROR(__xludf.DUMMYFUNCTION("GOOGLETRANSLATE(B18382, ""es"", ""en"")"),"Very practical is very practical. It is true that some hooks, but perfectly does its function. The capsules are easily located and is very comfortable to choose them with the rotating base.")</f>
        <v>Very practical is very practical. It is true that some hooks, but perfectly does its function. The capsules are easily located and is very comfortable to choose them with the rotating base.</v>
      </c>
    </row>
    <row r="18383">
      <c r="A18383" s="1">
        <v>5.0</v>
      </c>
      <c r="B18383" s="1" t="s">
        <v>18208</v>
      </c>
      <c r="C18383" t="str">
        <f>IFERROR(__xludf.DUMMYFUNCTION("GOOGLETRANSLATE(B18383, ""es"", ""en"")"),"Easy and simple to use easy and simple to use")</f>
        <v>Easy and simple to use easy and simple to use</v>
      </c>
    </row>
    <row r="18384">
      <c r="A18384" s="1">
        <v>5.0</v>
      </c>
      <c r="B18384" s="1" t="s">
        <v>18209</v>
      </c>
      <c r="C18384" t="str">
        <f>IFERROR(__xludf.DUMMYFUNCTION("GOOGLETRANSLATE(B18384, ""es"", ""en"")"),"I liked Las bought for my son, who between his walk and activities in the school yard often destroy their shoes very quickly; These seem to me that will last and endure more than others. Nice design, correspond to the quality of Puma, comfortable. Value i"&amp;"s excellent. Happy with the purchase and would buy them.")</f>
        <v>I liked Las bought for my son, who between his walk and activities in the school yard often destroy their shoes very quickly; These seem to me that will last and endure more than others. Nice design, correspond to the quality of Puma, comfortable. Value is excellent. Happy with the purchase and would buy them.</v>
      </c>
    </row>
    <row r="18385">
      <c r="A18385" s="1">
        <v>5.0</v>
      </c>
      <c r="B18385" s="1" t="s">
        <v>18210</v>
      </c>
      <c r="C18385" t="str">
        <f>IFERROR(__xludf.DUMMYFUNCTION("GOOGLETRANSLATE(B18385, ""es"", ""en"")"),"Very comfortable I liked a lot.")</f>
        <v>Very comfortable I liked a lot.</v>
      </c>
    </row>
    <row r="18386">
      <c r="A18386" s="1">
        <v>5.0</v>
      </c>
      <c r="B18386" s="1" t="s">
        <v>18211</v>
      </c>
      <c r="C18386" t="str">
        <f>IFERROR(__xludf.DUMMYFUNCTION("GOOGLETRANSLATE(B18386, ""es"", ""en"")"),"Pretty much smaller than the photo, it seems more real, they are very well placed. As I arrived the first buy another pair for my daughter.")</f>
        <v>Pretty much smaller than the photo, it seems more real, they are very well placed. As I arrived the first buy another pair for my daughter.</v>
      </c>
    </row>
    <row r="18387">
      <c r="A18387" s="1">
        <v>5.0</v>
      </c>
      <c r="B18387" s="1" t="s">
        <v>18212</v>
      </c>
      <c r="C18387" t="str">
        <f>IFERROR(__xludf.DUMMYFUNCTION("GOOGLETRANSLATE(B18387, ""es"", ""en"")"),"Good sound at an unbeatable price are the second he bought, this time for me. Lightweight, comfortable to wear (I have not tried Foam pads). The warm of the sound is good, to be a headset ""in ear,"" which will put them more or less hear the bass. But the"&amp;" advantage they have is that you can keep in your purse or jacket pocket. The battery life is more than acceptable. I had the opportunity to go jogging with them, but I guess there will be no problem holding. Maybe the next to be bought for my mother, to "&amp;"listen to the TV wirelessly at night. A 100% recommended. A greeting.")</f>
        <v>Good sound at an unbeatable price are the second he bought, this time for me. Lightweight, comfortable to wear (I have not tried Foam pads). The warm of the sound is good, to be a headset "in ear," which will put them more or less hear the bass. But the advantage they have is that you can keep in your purse or jacket pocket. The battery life is more than acceptable. I had the opportunity to go jogging with them, but I guess there will be no problem holding. Maybe the next to be bought for my mother, to listen to the TV wirelessly at night. A 100% recommended. A greeting.</v>
      </c>
    </row>
    <row r="18388">
      <c r="A18388" s="1">
        <v>5.0</v>
      </c>
      <c r="B18388" s="1" t="s">
        <v>18213</v>
      </c>
      <c r="C18388" t="str">
        <f>IFERROR(__xludf.DUMMYFUNCTION("GOOGLETRANSLATE(B18388, ""es"", ""en"")"),"comfort and quality always do yoga buy these socks for their adherence to the land required for balance exercises, comfort, design and affordable price")</f>
        <v>comfort and quality always do yoga buy these socks for their adherence to the land required for balance exercises, comfort, design and affordable price</v>
      </c>
    </row>
    <row r="18389">
      <c r="A18389" s="1">
        <v>5.0</v>
      </c>
      <c r="B18389" s="1" t="s">
        <v>18214</v>
      </c>
      <c r="C18389" t="str">
        <f>IFERROR(__xludf.DUMMYFUNCTION("GOOGLETRANSLATE(B18389, ""es"", ""en"")"),"The Astonishing punctuality, late one day")</f>
        <v>The Astonishing punctuality, late one day</v>
      </c>
    </row>
    <row r="18390">
      <c r="A18390" s="1">
        <v>5.0</v>
      </c>
      <c r="B18390" s="1" t="s">
        <v>18215</v>
      </c>
      <c r="C18390" t="str">
        <f>IFERROR(__xludf.DUMMYFUNCTION("GOOGLETRANSLATE(B18390, ""es"", ""en"")"),"Everything ok all very well. The only thing the foam is very wide and out of the micro. To adjust something. For the all very good.")</f>
        <v>Everything ok all very well. The only thing the foam is very wide and out of the micro. To adjust something. For the all very good.</v>
      </c>
    </row>
    <row r="18391">
      <c r="A18391" s="1">
        <v>5.0</v>
      </c>
      <c r="B18391" s="1" t="s">
        <v>18216</v>
      </c>
      <c r="C18391" t="str">
        <f>IFERROR(__xludf.DUMMYFUNCTION("GOOGLETRANSLATE(B18391, ""es"", ""en"")"),"Elegant and comfortable. I have a smartwatch for sports, and decided to buy something smarter to get another. Mine is the gold, I expected bigger but the size is perfect, looks elegant. The closure is a magnet that sticks to the wire mesh belt, so can be "&amp;"opened or closed what you want. The magnet grips well, is not released. The touchscreen works well. Regarding the battery, I charge it whole the first day, and after a week testing it at times and others, still endures, so I'm happy in that regard. Finall"&amp;"y, link Bluetooth is also simple, when you turn the clock will appear in the list of Bluetooth devices on your phone, you give and go.")</f>
        <v>Elegant and comfortable. I have a smartwatch for sports, and decided to buy something smarter to get another. Mine is the gold, I expected bigger but the size is perfect, looks elegant. The closure is a magnet that sticks to the wire mesh belt, so can be opened or closed what you want. The magnet grips well, is not released. The touchscreen works well. Regarding the battery, I charge it whole the first day, and after a week testing it at times and others, still endures, so I'm happy in that regard. Finally, link Bluetooth is also simple, when you turn the clock will appear in the list of Bluetooth devices on your phone, you give and go.</v>
      </c>
    </row>
    <row r="18392">
      <c r="A18392" s="1">
        <v>5.0</v>
      </c>
      <c r="B18392" s="1" t="s">
        <v>18217</v>
      </c>
      <c r="C18392" t="str">
        <f>IFERROR(__xludf.DUMMYFUNCTION("GOOGLETRANSLATE(B18392, ""es"", ""en"")"),"All as described fast delivery all perfect")</f>
        <v>All as described fast delivery all perfect</v>
      </c>
    </row>
    <row r="18393">
      <c r="A18393" s="1">
        <v>5.0</v>
      </c>
      <c r="B18393" s="1" t="s">
        <v>18218</v>
      </c>
      <c r="C18393" t="str">
        <f>IFERROR(__xludf.DUMMYFUNCTION("GOOGLETRANSLATE(B18393, ""es"", ""en"")"),"Good product for what is average")</f>
        <v>Good product for what is average</v>
      </c>
    </row>
    <row r="18394">
      <c r="A18394" s="1">
        <v>5.0</v>
      </c>
      <c r="B18394" s="1" t="s">
        <v>18219</v>
      </c>
      <c r="C18394" t="str">
        <f>IFERROR(__xludf.DUMMYFUNCTION("GOOGLETRANSLATE(B18394, ""es"", ""en"")"),"Good buy card has good speed in shooting bursts and good data transmission and at a great price of 21 euros on offer, could not ask for more.")</f>
        <v>Good buy card has good speed in shooting bursts and good data transmission and at a great price of 21 euros on offer, could not ask for more.</v>
      </c>
    </row>
    <row r="18395">
      <c r="A18395" s="1">
        <v>5.0</v>
      </c>
      <c r="B18395" s="1" t="s">
        <v>18220</v>
      </c>
      <c r="C18395" t="str">
        <f>IFERROR(__xludf.DUMMYFUNCTION("GOOGLETRANSLATE(B18395, ""es"", ""en"")"),"Recommendable. He came from a bluetooth philips that used for the gym and stopped loading a little time. I bought these and the change was for the better. Better sound, more comfortable, great battery life. Highly recommended.")</f>
        <v>Recommendable. He came from a bluetooth philips that used for the gym and stopped loading a little time. I bought these and the change was for the better. Better sound, more comfortable, great battery life. Highly recommended.</v>
      </c>
    </row>
    <row r="18396">
      <c r="A18396" s="1">
        <v>5.0</v>
      </c>
      <c r="B18396" s="1" t="s">
        <v>18221</v>
      </c>
      <c r="C18396" t="str">
        <f>IFERROR(__xludf.DUMMYFUNCTION("GOOGLETRANSLATE(B18396, ""es"", ""en"")"),"Very good buy I've used only 3 or 4 times but for now I'm very satisfied, usually Phillips always be a wise move. It is light and takes up little space but big enough for 1 or 2 people. Materials and finish are very good quality. Although its power is 350"&amp;"W, to make smoothies etc ... it is perfect. I can not comment on the picador or filter because I have not even tried. The only thing that maybe done something missing is that the glass has a handle to remove more easily, but it's not a big deal. very good"&amp;" price for Phillips. I recommend it completely.")</f>
        <v>Very good buy I've used only 3 or 4 times but for now I'm very satisfied, usually Phillips always be a wise move. It is light and takes up little space but big enough for 1 or 2 people. Materials and finish are very good quality. Although its power is 350W, to make smoothies etc ... it is perfect. I can not comment on the picador or filter because I have not even tried. The only thing that maybe done something missing is that the glass has a handle to remove more easily, but it's not a big deal. very good price for Phillips. I recommend it completely.</v>
      </c>
    </row>
    <row r="18397">
      <c r="A18397" s="1">
        <v>5.0</v>
      </c>
      <c r="B18397" s="1" t="s">
        <v>18222</v>
      </c>
      <c r="C18397" t="str">
        <f>IFERROR(__xludf.DUMMYFUNCTION("GOOGLETRANSLATE(B18397, ""es"", ""en"")"),"Casio lifelong As always Three BBB, wanted to change another Casio had more than ten years and this I might as well. It has the same 2 hours, alarm, timer and light. In addition the area is not very large compared to other models and does not bother wrist"&amp;", very discreet.")</f>
        <v>Casio lifelong As always Three BBB, wanted to change another Casio had more than ten years and this I might as well. It has the same 2 hours, alarm, timer and light. In addition the area is not very large compared to other models and does not bother wrist, very discreet.</v>
      </c>
    </row>
    <row r="18398">
      <c r="A18398" s="1">
        <v>2.0</v>
      </c>
      <c r="B18398" s="1" t="s">
        <v>18223</v>
      </c>
      <c r="C18398" t="str">
        <f>IFERROR(__xludf.DUMMYFUNCTION("GOOGLETRANSLATE(B18398, ""es"", ""en"")"),"Small and slips on the table I bought it for my iMac and mouse is very small, it looks bigger than it is q. Another failure is q is not well fixed to the table, sliding a bit and do not work well. If I buy another would be bigger q this")</f>
        <v>Small and slips on the table I bought it for my iMac and mouse is very small, it looks bigger than it is q. Another failure is q is not well fixed to the table, sliding a bit and do not work well. If I buy another would be bigger q this</v>
      </c>
    </row>
    <row r="18399">
      <c r="A18399" s="1">
        <v>3.0</v>
      </c>
      <c r="B18399" s="1" t="s">
        <v>18224</v>
      </c>
      <c r="C18399" t="str">
        <f>IFERROR(__xludf.DUMMYFUNCTION("GOOGLETRANSLATE(B18399, ""es"", ""en"")"),"Just what specific balance, a good watch for the day, tough, durable and comfortable. There is a good quality price relation")</f>
        <v>Just what specific balance, a good watch for the day, tough, durable and comfortable. There is a good quality price relation</v>
      </c>
    </row>
    <row r="18400">
      <c r="A18400" s="1">
        <v>1.0</v>
      </c>
      <c r="B18400" s="1" t="s">
        <v>18225</v>
      </c>
      <c r="C18400" t="str">
        <f>IFERROR(__xludf.DUMMYFUNCTION("GOOGLETRANSLATE(B18400, ""es"", ""en"")"),"Disappointment, come with Tara Unfortunately I have to return them because they come with tara. If any should I reviewed earlier. The stitching is defective and slippers exhibit considerable asymmetry. It shows both visually and on foot to the calzarlas. "&amp;"Attached photos.")</f>
        <v>Disappointment, come with Tara Unfortunately I have to return them because they come with tara. If any should I reviewed earlier. The stitching is defective and slippers exhibit considerable asymmetry. It shows both visually and on foot to the calzarlas. Attached photos.</v>
      </c>
    </row>
    <row r="18401">
      <c r="A18401" s="1">
        <v>1.0</v>
      </c>
      <c r="B18401" s="1" t="s">
        <v>18226</v>
      </c>
      <c r="C18401" t="str">
        <f>IFERROR(__xludf.DUMMYFUNCTION("GOOGLETRANSLATE(B18401, ""es"", ""en"")"),"Malísimo The thread of the clamp is not standard, so you have to use the clip having ... it is very bad. how many times have not fallen my shure SM57. At the end you have to put a bridle ... this is better for a broomstick Chinese !!! You do not buy some.")</f>
        <v>Malísimo The thread of the clamp is not standard, so you have to use the clip having ... it is very bad. how many times have not fallen my shure SM57. At the end you have to put a bridle ... this is better for a broomstick Chinese !!! You do not buy some.</v>
      </c>
    </row>
    <row r="18402">
      <c r="A18402" s="1">
        <v>4.0</v>
      </c>
      <c r="B18402" s="1" t="s">
        <v>18227</v>
      </c>
      <c r="C18402" t="str">
        <f>IFERROR(__xludf.DUMMYFUNCTION("GOOGLETRANSLATE(B18402, ""es"", ""en"")"),"Very handy USB is very, very small size and very comfortable to engage in the Keys. The only downside is that you put the black and silver comes without plug (or hood, whatever you call it), but I imagine it would end up losing.")</f>
        <v>Very handy USB is very, very small size and very comfortable to engage in the Keys. The only downside is that you put the black and silver comes without plug (or hood, whatever you call it), but I imagine it would end up losing.</v>
      </c>
    </row>
    <row r="18403">
      <c r="A18403" s="1">
        <v>4.0</v>
      </c>
      <c r="B18403" s="1" t="s">
        <v>18228</v>
      </c>
      <c r="C18403" t="str">
        <f>IFERROR(__xludf.DUMMYFUNCTION("GOOGLETRANSLATE(B18403, ""es"", ""en"")"),"Comfortable. They are very comfortable and practical. Thank when practicing with the ball, they do not slip.")</f>
        <v>Comfortable. They are very comfortable and practical. Thank when practicing with the ball, they do not slip.</v>
      </c>
    </row>
    <row r="18404">
      <c r="A18404" s="1">
        <v>4.0</v>
      </c>
      <c r="B18404" s="1" t="s">
        <v>18229</v>
      </c>
      <c r="C18404" t="str">
        <f>IFERROR(__xludf.DUMMYFUNCTION("GOOGLETRANSLATE(B18404, ""es"", ""en"")"),"It's what I saw is what I saw in picture")</f>
        <v>It's what I saw is what I saw in picture</v>
      </c>
    </row>
    <row r="18405">
      <c r="A18405" s="1">
        <v>4.0</v>
      </c>
      <c r="B18405" s="1" t="s">
        <v>18230</v>
      </c>
      <c r="C18405" t="str">
        <f>IFERROR(__xludf.DUMMYFUNCTION("GOOGLETRANSLATE(B18405, ""es"", ""en"")"),"Nice, big and enough weight. The numbers in the small sphere that indicate the date or time in digital format depending on how you want to use, it is difficult to see, to be seen at an angle or against depending on the light in which you are. No own light"&amp;". They are the only negative thing I see, otherwise it's a good watch, sturdy, pretty big.")</f>
        <v>Nice, big and enough weight. The numbers in the small sphere that indicate the date or time in digital format depending on how you want to use, it is difficult to see, to be seen at an angle or against depending on the light in which you are. No own light. They are the only negative thing I see, otherwise it's a good watch, sturdy, pretty big.</v>
      </c>
    </row>
    <row r="18406">
      <c r="A18406" s="1">
        <v>4.0</v>
      </c>
      <c r="B18406" s="1" t="s">
        <v>18231</v>
      </c>
      <c r="C18406" t="str">
        <f>IFERROR(__xludf.DUMMYFUNCTION("GOOGLETRANSLATE(B18406, ""es"", ""en"")"),"I thought about it more effective! Very hot and not very well ... comminuted fruit pieces are alguns ... for what price it is better for thought ... buy this question of comodidade not move me to a store ... but I was not very satisfied quedei ...")</f>
        <v>I thought about it more effective! Very hot and not very well ... comminuted fruit pieces are alguns ... for what price it is better for thought ... buy this question of comodidade not move me to a store ... but I was not very satisfied quedei ...</v>
      </c>
    </row>
    <row r="18407">
      <c r="A18407" s="1">
        <v>5.0</v>
      </c>
      <c r="B18407" s="1" t="s">
        <v>18232</v>
      </c>
      <c r="C18407" t="str">
        <f>IFERROR(__xludf.DUMMYFUNCTION("GOOGLETRANSLATE(B18407, ""es"", ""en"")"),"Perfectament works and is very easy to handle perfectament works and is very easy to handle. To receive it the looks of a plastic flimsy but that does, too, which is very light. The instruments are very simple interface and easy to use, once you get the h"&amp;"ang, even to handle more than one flash. Highly recommended. I use it with flashes Godox and not such work with other connection.")</f>
        <v>Perfectament works and is very easy to handle perfectament works and is very easy to handle. To receive it the looks of a plastic flimsy but that does, too, which is very light. The instruments are very simple interface and easy to use, once you get the hang, even to handle more than one flash. Highly recommended. I use it with flashes Godox and not such work with other connection.</v>
      </c>
    </row>
    <row r="18408">
      <c r="A18408" s="1">
        <v>5.0</v>
      </c>
      <c r="B18408" s="1" t="s">
        <v>18233</v>
      </c>
      <c r="C18408" t="str">
        <f>IFERROR(__xludf.DUMMYFUNCTION("GOOGLETRANSLATE(B18408, ""es"", ""en"")"),"Original fine carving and size we expected, is correct.")</f>
        <v>Original fine carving and size we expected, is correct.</v>
      </c>
    </row>
    <row r="18409">
      <c r="A18409" s="1">
        <v>5.0</v>
      </c>
      <c r="B18409" s="1" t="s">
        <v>18234</v>
      </c>
      <c r="C18409" t="str">
        <f>IFERROR(__xludf.DUMMYFUNCTION("GOOGLETRANSLATE(B18409, ""es"", ""en"")"),"Resistant and larger than an A4 Delivery within the agreed time. In carton and inside a plastic bag. size larger than A4 and looking tough. About 40 A4 sheets at least fit perfectly because I've tried. They are looking tough. Recommendable.")</f>
        <v>Resistant and larger than an A4 Delivery within the agreed time. In carton and inside a plastic bag. size larger than A4 and looking tough. About 40 A4 sheets at least fit perfectly because I've tried. They are looking tough. Recommendable.</v>
      </c>
    </row>
    <row r="18410">
      <c r="A18410" s="1">
        <v>5.0</v>
      </c>
      <c r="B18410" s="1" t="s">
        <v>18235</v>
      </c>
      <c r="C18410" t="str">
        <f>IFERROR(__xludf.DUMMYFUNCTION("GOOGLETRANSLATE(B18410, ""es"", ""en"")"),"PERFECT PERFECT.")</f>
        <v>PERFECT PERFECT.</v>
      </c>
    </row>
    <row r="18411">
      <c r="A18411" s="1">
        <v>5.0</v>
      </c>
      <c r="B18411" s="1" t="s">
        <v>18236</v>
      </c>
      <c r="C18411" t="str">
        <f>IFERROR(__xludf.DUMMYFUNCTION("GOOGLETRANSLATE(B18411, ""es"", ""en"")"),"Very nice is very nice, good finishes ... A very original gift .... With huellecitas! Loved my friend., The chain is long.")</f>
        <v>Very nice is very nice, good finishes ... A very original gift .... With huellecitas! Loved my friend., The chain is long.</v>
      </c>
    </row>
    <row r="18412">
      <c r="A18412" s="1">
        <v>5.0</v>
      </c>
      <c r="B18412" s="1" t="s">
        <v>18237</v>
      </c>
      <c r="C18412" t="str">
        <f>IFERROR(__xludf.DUMMYFUNCTION("GOOGLETRANSLATE(B18412, ""es"", ""en"")"),"The comfort. Salomon use for over 20 years.")</f>
        <v>The comfort. Salomon use for over 20 years.</v>
      </c>
    </row>
    <row r="18413">
      <c r="A18413" s="1">
        <v>5.0</v>
      </c>
      <c r="B18413" s="1" t="s">
        <v>18238</v>
      </c>
      <c r="C18413" t="str">
        <f>IFERROR(__xludf.DUMMYFUNCTION("GOOGLETRANSLATE(B18413, ""es"", ""en"")"),"Temperature controller / electric blanket textile good standard, perfect size for any part of the body. I've used so far for the lumbar and the truth is that it relieves much pain. It has a regulator for the temperature, and the material is durable and qu"&amp;"ality.")</f>
        <v>Temperature controller / electric blanket textile good standard, perfect size for any part of the body. I've used so far for the lumbar and the truth is that it relieves much pain. It has a regulator for the temperature, and the material is durable and quality.</v>
      </c>
    </row>
    <row r="18414">
      <c r="A18414" s="1">
        <v>5.0</v>
      </c>
      <c r="B18414" s="1" t="s">
        <v>18239</v>
      </c>
      <c r="C18414" t="str">
        <f>IFERROR(__xludf.DUMMYFUNCTION("GOOGLETRANSLATE(B18414, ""es"", ""en"")"),"I recomendisimo! Trozaaaaal hard drive, 300GB! For whatever you want, no noise, ultra thin, not heavy, soft to the touch, easy to use (plug and play) accepts several file formats SUPERFAT, NTFCS, etc. Charmed!!!")</f>
        <v>I recomendisimo! Trozaaaaal hard drive, 300GB! For whatever you want, no noise, ultra thin, not heavy, soft to the touch, easy to use (plug and play) accepts several file formats SUPERFAT, NTFCS, etc. Charmed!!!</v>
      </c>
    </row>
    <row r="18415">
      <c r="A18415" s="1">
        <v>5.0</v>
      </c>
      <c r="B18415" s="1" t="s">
        <v>18240</v>
      </c>
      <c r="C18415" t="str">
        <f>IFERROR(__xludf.DUMMYFUNCTION("GOOGLETRANSLATE(B18415, ""es"", ""en"")"),"Infusions / Tea Infusions to the instant at the moment. Nothing to use the microwave because it never leads to a boil. Even use it to advance when I want to boil pasta, I put the water in the boiler and heat up faster here")</f>
        <v>Infusions / Tea Infusions to the instant at the moment. Nothing to use the microwave because it never leads to a boil. Even use it to advance when I want to boil pasta, I put the water in the boiler and heat up faster here</v>
      </c>
    </row>
    <row r="18416">
      <c r="A18416" s="1">
        <v>5.0</v>
      </c>
      <c r="B18416" s="1" t="s">
        <v>18241</v>
      </c>
      <c r="C18416" t="str">
        <f>IFERROR(__xludf.DUMMYFUNCTION("GOOGLETRANSLATE(B18416, ""es"", ""en"")"),"With retro look !!! Spectacular, remind me of my years of single lad who are now for my little girl. Do not go out of fashion and gold finish is amazing !!!.")</f>
        <v>With retro look !!! Spectacular, remind me of my years of single lad who are now for my little girl. Do not go out of fashion and gold finish is amazing !!!.</v>
      </c>
    </row>
    <row r="18417">
      <c r="A18417" s="1">
        <v>5.0</v>
      </c>
      <c r="B18417" s="1" t="s">
        <v>18242</v>
      </c>
      <c r="C18417" t="str">
        <f>IFERROR(__xludf.DUMMYFUNCTION("GOOGLETRANSLATE(B18417, ""es"", ""en"")"),"Very nice though a bit long, great stay, although not very well what of yoga ... but very cool !!")</f>
        <v>Very nice though a bit long, great stay, although not very well what of yoga ... but very cool !!</v>
      </c>
    </row>
    <row r="18418">
      <c r="A18418" s="1">
        <v>5.0</v>
      </c>
      <c r="B18418" s="1" t="s">
        <v>18243</v>
      </c>
      <c r="C18418" t="str">
        <f>IFERROR(__xludf.DUMMYFUNCTION("GOOGLETRANSLATE(B18418, ""es"", ""en"")"),"Nice and very good price is watch design is very nice and very full of information, but there are some things to improve. The digital time is not the best place, the hands hidden when you match it would be better that they were showing the date. The tempe"&amp;"rature is not real, being in the wrist take the body rather than the environment. Otherwise very nice watch, I was about to change but at the end I kept it for what I like its design.")</f>
        <v>Nice and very good price is watch design is very nice and very full of information, but there are some things to improve. The digital time is not the best place, the hands hidden when you match it would be better that they were showing the date. The temperature is not real, being in the wrist take the body rather than the environment. Otherwise very nice watch, I was about to change but at the end I kept it for what I like its design.</v>
      </c>
    </row>
    <row r="18419">
      <c r="A18419" s="1">
        <v>5.0</v>
      </c>
      <c r="B18419" s="1" t="s">
        <v>18244</v>
      </c>
      <c r="C18419" t="str">
        <f>IFERROR(__xludf.DUMMYFUNCTION("GOOGLETRANSLATE(B18419, ""es"", ""en"")"),"Great! Much better than I expected for this price! I read many comments that do not speak highly of the product or the sound quality, but the fact that I have been amazed! At first I bought them to watch movies on a MacBook Pro, but after seeing the sound"&amp;" quality I think also use it to audiovisual works that I do! The material is not that great as it is pure plastic, but if they are not going to take a long trot and you care, they are great! And the price is unbeatable for being a brand like Sony!")</f>
        <v>Great! Much better than I expected for this price! I read many comments that do not speak highly of the product or the sound quality, but the fact that I have been amazed! At first I bought them to watch movies on a MacBook Pro, but after seeing the sound quality I think also use it to audiovisual works that I do! The material is not that great as it is pure plastic, but if they are not going to take a long trot and you care, they are great! And the price is unbeatable for being a brand like Sony!</v>
      </c>
    </row>
    <row r="18420">
      <c r="A18420" s="1">
        <v>5.0</v>
      </c>
      <c r="B18420" s="1" t="s">
        <v>18245</v>
      </c>
      <c r="C18420" t="str">
        <f>IFERROR(__xludf.DUMMYFUNCTION("GOOGLETRANSLATE(B18420, ""es"", ""en"")"),"Like Super pimps photo")</f>
        <v>Like Super pimps photo</v>
      </c>
    </row>
    <row r="18421">
      <c r="A18421" s="1">
        <v>5.0</v>
      </c>
      <c r="B18421" s="1" t="s">
        <v>18246</v>
      </c>
      <c r="C18421" t="str">
        <f>IFERROR(__xludf.DUMMYFUNCTION("GOOGLETRANSLATE(B18421, ""es"", ""en"")"),"Simply drill is the drill that was looking for, easy to handle and very practical. In short, it is an excellent buy.")</f>
        <v>Simply drill is the drill that was looking for, easy to handle and very practical. In short, it is an excellent buy.</v>
      </c>
    </row>
    <row r="18422">
      <c r="A18422" s="1">
        <v>5.0</v>
      </c>
      <c r="B18422" s="1" t="s">
        <v>18247</v>
      </c>
      <c r="C18422" t="str">
        <f>IFERROR(__xludf.DUMMYFUNCTION("GOOGLETRANSLATE(B18422, ""es"", ""en"")"),"PHOTOS SEAJUSTA A VERY GOOD VALUE FOR MONEY")</f>
        <v>PHOTOS SEAJUSTA A VERY GOOD VALUE FOR MONEY</v>
      </c>
    </row>
    <row r="18423">
      <c r="A18423" s="1">
        <v>5.0</v>
      </c>
      <c r="B18423" s="1" t="s">
        <v>18248</v>
      </c>
      <c r="C18423" t="str">
        <f>IFERROR(__xludf.DUMMYFUNCTION("GOOGLETRANSLATE(B18423, ""es"", ""en"")"),"/ Value nicely There are very good, you super comfortable, compraza!")</f>
        <v>/ Value nicely There are very good, you super comfortable, compraza!</v>
      </c>
    </row>
    <row r="18424">
      <c r="A18424" s="1">
        <v>5.0</v>
      </c>
      <c r="B18424" s="1" t="s">
        <v>18249</v>
      </c>
      <c r="C18424" t="str">
        <f>IFERROR(__xludf.DUMMYFUNCTION("GOOGLETRANSLATE(B18424, ""es"", ""en"")"),"Ease of use easy to use and connect the microphone works well, grips well though I have not used in very demanding situations, very good sound, long battery")</f>
        <v>Ease of use easy to use and connect the microphone works well, grips well though I have not used in very demanding situations, very good sound, long battery</v>
      </c>
    </row>
    <row r="18425">
      <c r="A18425" s="1">
        <v>5.0</v>
      </c>
      <c r="B18425" s="1" t="s">
        <v>18250</v>
      </c>
      <c r="C18425" t="str">
        <f>IFERROR(__xludf.DUMMYFUNCTION("GOOGLETRANSLATE(B18425, ""es"", ""en"")"),"The size and consistency, it looks pretty strong I liked its size and its belt, the contrast of steel and bright, what happens is that the package of Amazon came open on one side and I do not know if he brought the bill or warranty, so I asked the seller,"&amp;" I told him to send me the invoice or warranty sealed because he did not bring anything, I have contesta.Por otherwise very elegant, I love it.")</f>
        <v>The size and consistency, it looks pretty strong I liked its size and its belt, the contrast of steel and bright, what happens is that the package of Amazon came open on one side and I do not know if he brought the bill or warranty, so I asked the seller, I told him to send me the invoice or warranty sealed because he did not bring anything, I have contesta.Por otherwise very elegant, I love it.</v>
      </c>
    </row>
    <row r="18426">
      <c r="A18426" s="1">
        <v>2.0</v>
      </c>
      <c r="B18426" s="1" t="s">
        <v>18251</v>
      </c>
      <c r="C18426" t="str">
        <f>IFERROR(__xludf.DUMMYFUNCTION("GOOGLETRANSLATE(B18426, ""es"", ""en"")"),"I demasido adjusted hurts sometimes has a foam inside is bad and good at the same time. Accommodates but get soaked sand and water. They are quite tight and short circulation. I demasido adjusted")</f>
        <v>I demasido adjusted hurts sometimes has a foam inside is bad and good at the same time. Accommodates but get soaked sand and water. They are quite tight and short circulation. I demasido adjusted</v>
      </c>
    </row>
    <row r="18427">
      <c r="A18427" s="1">
        <v>3.0</v>
      </c>
      <c r="B18427" s="1" t="s">
        <v>18252</v>
      </c>
      <c r="C18427" t="str">
        <f>IFERROR(__xludf.DUMMYFUNCTION("GOOGLETRANSLATE(B18427, ""es"", ""en"")"),"Sticking watch area is quite large. Not suitable for sports considered. Without basic materials and fragile appearance. Visually right for the price. I would not buy.")</f>
        <v>Sticking watch area is quite large. Not suitable for sports considered. Without basic materials and fragile appearance. Visually right for the price. I would not buy.</v>
      </c>
    </row>
    <row r="18428">
      <c r="A18428" s="1">
        <v>3.0</v>
      </c>
      <c r="B18428" s="1" t="s">
        <v>18253</v>
      </c>
      <c r="C18428" t="str">
        <f>IFERROR(__xludf.DUMMYFUNCTION("GOOGLETRANSLATE(B18428, ""es"", ""en"")"),"But it's warm and feel good is short and if small, I hit 45 k and ca remains small")</f>
        <v>But it's warm and feel good is short and if small, I hit 45 k and ca remains small</v>
      </c>
    </row>
    <row r="18429">
      <c r="A18429" s="1">
        <v>1.0</v>
      </c>
      <c r="B18429" s="1" t="s">
        <v>18254</v>
      </c>
      <c r="C18429" t="str">
        <f>IFERROR(__xludf.DUMMYFUNCTION("GOOGLETRANSLATE(B18429, ""es"", ""en"")"),"The value rose very bad, they seemed Chinese The I returned because the number was smaller than normal and very crinkled")</f>
        <v>The value rose very bad, they seemed Chinese The I returned because the number was smaller than normal and very crinkled</v>
      </c>
    </row>
    <row r="18430">
      <c r="A18430" s="1">
        <v>1.0</v>
      </c>
      <c r="B18430" s="1" t="s">
        <v>18255</v>
      </c>
      <c r="C18430" t="str">
        <f>IFERROR(__xludf.DUMMYFUNCTION("GOOGLETRANSLATE(B18430, ""es"", ""en"")"),"You do not waste your money. It is broken after 4-5 uses. You do not waste your money.")</f>
        <v>You do not waste your money. It is broken after 4-5 uses. You do not waste your money.</v>
      </c>
    </row>
    <row r="18431">
      <c r="A18431" s="1">
        <v>4.0</v>
      </c>
      <c r="B18431" s="1" t="s">
        <v>18256</v>
      </c>
      <c r="C18431" t="str">
        <f>IFERROR(__xludf.DUMMYFUNCTION("GOOGLETRANSLATE(B18431, ""es"", ""en"")"),"Good for the price is good but sometimes feels very rough x, has only one speed which I think is not very good")</f>
        <v>Good for the price is good but sometimes feels very rough x, has only one speed which I think is not very good</v>
      </c>
    </row>
    <row r="18432">
      <c r="A18432" s="1">
        <v>4.0</v>
      </c>
      <c r="B18432" s="1" t="s">
        <v>18257</v>
      </c>
      <c r="C18432" t="str">
        <f>IFERROR(__xludf.DUMMYFUNCTION("GOOGLETRANSLATE(B18432, ""es"", ""en"")"),"Very good. It could be improved but overall very good is very practical. Massage well. Nice and feels effective. For me they could improve 3 things: 1- There is almost no difference between the speeds dis. For my taste the stronger should be stronger. 2- "&amp;"will work also without the 3- wire to make a little less noise")</f>
        <v>Very good. It could be improved but overall very good is very practical. Massage well. Nice and feels effective. For me they could improve 3 things: 1- There is almost no difference between the speeds dis. For my taste the stronger should be stronger. 2- will work also without the 3- wire to make a little less noise</v>
      </c>
    </row>
    <row r="18433">
      <c r="A18433" s="1">
        <v>4.0</v>
      </c>
      <c r="B18433" s="1" t="s">
        <v>18258</v>
      </c>
      <c r="C18433" t="str">
        <f>IFERROR(__xludf.DUMMYFUNCTION("GOOGLETRANSLATE(B18433, ""es"", ""en"")"),"Comfort are very good for its price! The only thing the staff is poor")</f>
        <v>Comfort are very good for its price! The only thing the staff is poor</v>
      </c>
    </row>
    <row r="18434">
      <c r="A18434" s="1">
        <v>4.0</v>
      </c>
      <c r="B18434" s="1" t="s">
        <v>18259</v>
      </c>
      <c r="C18434" t="str">
        <f>IFERROR(__xludf.DUMMYFUNCTION("GOOGLETRANSLATE(B18434, ""es"", ""en"")"),"Giving time for its price is great, a little confusing to put it in an hour but is a matter of tangling with buttons !!!!")</f>
        <v>Giving time for its price is great, a little confusing to put it in an hour but is a matter of tangling with buttons !!!!</v>
      </c>
    </row>
    <row r="18435">
      <c r="A18435" s="1">
        <v>4.0</v>
      </c>
      <c r="B18435" s="1" t="s">
        <v>18260</v>
      </c>
      <c r="C18435" t="str">
        <f>IFERROR(__xludf.DUMMYFUNCTION("GOOGLETRANSLATE(B18435, ""es"", ""en"")"),"fast price and quality is a gift")</f>
        <v>fast price and quality is a gift</v>
      </c>
    </row>
    <row r="18436">
      <c r="A18436" s="1">
        <v>5.0</v>
      </c>
      <c r="B18436" s="1" t="s">
        <v>18261</v>
      </c>
      <c r="C18436" t="str">
        <f>IFERROR(__xludf.DUMMYFUNCTION("GOOGLETRANSLATE(B18436, ""es"", ""en"")"),"Light but good product is robust, works well.")</f>
        <v>Light but good product is robust, works well.</v>
      </c>
    </row>
    <row r="18437">
      <c r="A18437" s="1">
        <v>5.0</v>
      </c>
      <c r="B18437" s="1" t="s">
        <v>18262</v>
      </c>
      <c r="C18437" t="str">
        <f>IFERROR(__xludf.DUMMYFUNCTION("GOOGLETRANSLATE(B18437, ""es"", ""en"")"),"Perfect van pefect great")</f>
        <v>Perfect van pefect great</v>
      </c>
    </row>
    <row r="18438">
      <c r="A18438" s="1">
        <v>5.0</v>
      </c>
      <c r="B18438" s="1" t="s">
        <v>18263</v>
      </c>
      <c r="C18438" t="str">
        <f>IFERROR(__xludf.DUMMYFUNCTION("GOOGLETRANSLATE(B18438, ""es"", ""en"")"),"GOOD CHOICE: THE RECOMIENDO. I've tried several creams (always trying to find some to be as natural as possible to use daily as I suffer from strong musculoskeletal pain). He had tried arnica gel (not made me absolutely nothing), fisiocream (not bad eithe"&amp;"r), but this is what has convinced me. The cream that helps me is flogoprofen but not being natural, you can not use it daily (as I would like) and the best and natural choice, though not miraculous, some help is this: Physiorelax. I recommend it.")</f>
        <v>GOOD CHOICE: THE RECOMIENDO. I've tried several creams (always trying to find some to be as natural as possible to use daily as I suffer from strong musculoskeletal pain). He had tried arnica gel (not made me absolutely nothing), fisiocream (not bad either), but this is what has convinced me. The cream that helps me is flogoprofen but not being natural, you can not use it daily (as I would like) and the best and natural choice, though not miraculous, some help is this: Physiorelax. I recommend it.</v>
      </c>
    </row>
    <row r="18439">
      <c r="A18439" s="1">
        <v>5.0</v>
      </c>
      <c r="B18439" s="1" t="s">
        <v>18264</v>
      </c>
      <c r="C18439" t="str">
        <f>IFERROR(__xludf.DUMMYFUNCTION("GOOGLETRANSLATE(B18439, ""es"", ""en"")"),"Very good good reeds at home to pull a reed as a bar")</f>
        <v>Very good good reeds at home to pull a reed as a bar</v>
      </c>
    </row>
    <row r="18440">
      <c r="A18440" s="1">
        <v>5.0</v>
      </c>
      <c r="B18440" s="1" t="s">
        <v>18265</v>
      </c>
      <c r="C18440" t="str">
        <f>IFERROR(__xludf.DUMMYFUNCTION("GOOGLETRANSLATE(B18440, ""es"", ""en"")"),"Boil very fast and comfortable to travel Kettle perfect for travel, heated very fast and makes little noise. To the maximum that can be filled given for 2 large cups. Perfect transport bag. It comes with 2 small cups and a spoon.")</f>
        <v>Boil very fast and comfortable to travel Kettle perfect for travel, heated very fast and makes little noise. To the maximum that can be filled given for 2 large cups. Perfect transport bag. It comes with 2 small cups and a spoon.</v>
      </c>
    </row>
    <row r="18441">
      <c r="A18441" s="1">
        <v>5.0</v>
      </c>
      <c r="B18441" s="1" t="s">
        <v>18266</v>
      </c>
      <c r="C18441" t="str">
        <f>IFERROR(__xludf.DUMMYFUNCTION("GOOGLETRANSLATE(B18441, ""es"", ""en"")"),"Ok As in the description")</f>
        <v>Ok As in the description</v>
      </c>
    </row>
    <row r="18442">
      <c r="A18442" s="1">
        <v>5.0</v>
      </c>
      <c r="B18442" s="1" t="s">
        <v>18267</v>
      </c>
      <c r="C18442" t="str">
        <f>IFERROR(__xludf.DUMMYFUNCTION("GOOGLETRANSLATE(B18442, ""es"", ""en"")"),"Great! Within the term, even something before: at all times informed of the status of the shipment. The watch in perfect condition. Very satisfied shopping: price, something cheaper than elsewhere and delivery at home and soon make this system very practi"&amp;"cal purchase. I will repeat.")</f>
        <v>Great! Within the term, even something before: at all times informed of the status of the shipment. The watch in perfect condition. Very satisfied shopping: price, something cheaper than elsewhere and delivery at home and soon make this system very practical purchase. I will repeat.</v>
      </c>
    </row>
    <row r="18443">
      <c r="A18443" s="1">
        <v>5.0</v>
      </c>
      <c r="B18443" s="1" t="s">
        <v>18268</v>
      </c>
      <c r="C18443" t="str">
        <f>IFERROR(__xludf.DUMMYFUNCTION("GOOGLETRANSLATE(B18443, ""es"", ""en"")"),"Very useful to cover up odors and humidify the room I bought to put in the living room, especially when cooked or neighbors are already cooking smell coming from the patio. The installation is simple, miss the water in the tank and then miss the essence i"&amp;"n the tube that is laid for this, either the glass comes apart or plastic that is already placed. hard water lot and the smell is noticeable almost from the start, blocking bad odors that may have at that time without problems. Also you can be programmed "&amp;"easily by pressing a button to leave it on at night or when you leave home to perform some task. As you can see in the pictures it is very nice and you can put them virtually anywhere home. Also if you want you can turn decorative lights and choose the co"&amp;"lor.")</f>
        <v>Very useful to cover up odors and humidify the room I bought to put in the living room, especially when cooked or neighbors are already cooking smell coming from the patio. The installation is simple, miss the water in the tank and then miss the essence in the tube that is laid for this, either the glass comes apart or plastic that is already placed. hard water lot and the smell is noticeable almost from the start, blocking bad odors that may have at that time without problems. Also you can be programmed easily by pressing a button to leave it on at night or when you leave home to perform some task. As you can see in the pictures it is very nice and you can put them virtually anywhere home. Also if you want you can turn decorative lights and choose the color.</v>
      </c>
    </row>
    <row r="18444">
      <c r="A18444" s="1">
        <v>5.0</v>
      </c>
      <c r="B18444" s="1" t="s">
        <v>18269</v>
      </c>
      <c r="C18444" t="str">
        <f>IFERROR(__xludf.DUMMYFUNCTION("GOOGLETRANSLATE(B18444, ""es"", ""en"")"),"Comfort and flexibility is my number with athletic sock 🥎 very comfortable for my work standing all day and I've tried all kinds of shoes I stay with these they will not be the last to buy me")</f>
        <v>Comfort and flexibility is my number with athletic sock 🥎 very comfortable for my work standing all day and I've tried all kinds of shoes I stay with these they will not be the last to buy me</v>
      </c>
    </row>
    <row r="18445">
      <c r="A18445" s="1">
        <v>5.0</v>
      </c>
      <c r="B18445" s="1" t="s">
        <v>18270</v>
      </c>
      <c r="C18445" t="str">
        <f>IFERROR(__xludf.DUMMYFUNCTION("GOOGLETRANSLATE(B18445, ""es"", ""en"")"),"I get good quality in perfect enbalaje also an advantage to buy half the number 44.5 as my case, I've been with them a few months and super comodad remain as the first day to walk")</f>
        <v>I get good quality in perfect enbalaje also an advantage to buy half the number 44.5 as my case, I've been with them a few months and super comodad remain as the first day to walk</v>
      </c>
    </row>
    <row r="18446">
      <c r="A18446" s="1">
        <v>5.0</v>
      </c>
      <c r="B18446" s="1" t="s">
        <v>18271</v>
      </c>
      <c r="C18446" t="str">
        <f>IFERROR(__xludf.DUMMYFUNCTION("GOOGLETRANSLATE(B18446, ""es"", ""en"")"),"Ideal! It was a gift for a gamer and has delighted covers the entire surface very well and is easy to slip, good material")</f>
        <v>Ideal! It was a gift for a gamer and has delighted covers the entire surface very well and is easy to slip, good material</v>
      </c>
    </row>
    <row r="18447">
      <c r="A18447" s="1">
        <v>5.0</v>
      </c>
      <c r="B18447" s="1" t="s">
        <v>18272</v>
      </c>
      <c r="C18447" t="str">
        <f>IFERROR(__xludf.DUMMYFUNCTION("GOOGLETRANSLATE(B18447, ""es"", ""en"")"),"the perfect tabletop tripod A tripod perfect! It is very small, but it holds a lot of weight, does not slip and when pliegas is truly portable. For the price you and others, it's really good. It comes with a nut to fit a larger micro;)")</f>
        <v>the perfect tabletop tripod A tripod perfect! It is very small, but it holds a lot of weight, does not slip and when pliegas is truly portable. For the price you and others, it's really good. It comes with a nut to fit a larger micro;)</v>
      </c>
    </row>
    <row r="18448">
      <c r="A18448" s="1">
        <v>5.0</v>
      </c>
      <c r="B18448" s="1" t="s">
        <v>18273</v>
      </c>
      <c r="C18448" t="str">
        <f>IFERROR(__xludf.DUMMYFUNCTION("GOOGLETRANSLATE(B18448, ""es"", ""en"")"),"A product of excellent headphones 10. According to open the box, you can see the quality of the product. The charger case is simply unique. Adapting to the ears headphones is great. In addition the quality of the sound is very good and the battery life. T"&amp;"hey are the perfect headphones for activity outdoors or in the gym. Honestly product 100% recommended.")</f>
        <v>A product of excellent headphones 10. According to open the box, you can see the quality of the product. The charger case is simply unique. Adapting to the ears headphones is great. In addition the quality of the sound is very good and the battery life. They are the perfect headphones for activity outdoors or in the gym. Honestly product 100% recommended.</v>
      </c>
    </row>
    <row r="18449">
      <c r="A18449" s="1">
        <v>5.0</v>
      </c>
      <c r="B18449" s="1" t="s">
        <v>18274</v>
      </c>
      <c r="C18449" t="str">
        <f>IFERROR(__xludf.DUMMYFUNCTION("GOOGLETRANSLATE(B18449, ""es"", ""en"")"),"Very good. All perfect. Warm and very comfortable for halftime.")</f>
        <v>Very good. All perfect. Warm and very comfortable for halftime.</v>
      </c>
    </row>
    <row r="18450">
      <c r="A18450" s="1">
        <v>5.0</v>
      </c>
      <c r="B18450" s="1" t="s">
        <v>18275</v>
      </c>
      <c r="C18450" t="str">
        <f>IFERROR(__xludf.DUMMYFUNCTION("GOOGLETRANSLATE(B18450, ""es"", ""en"")"),"Fast and well packaged Ideal for mini jobs")</f>
        <v>Fast and well packaged Ideal for mini jobs</v>
      </c>
    </row>
    <row r="18451">
      <c r="A18451" s="1">
        <v>5.0</v>
      </c>
      <c r="B18451" s="1" t="s">
        <v>18276</v>
      </c>
      <c r="C18451" t="str">
        <f>IFERROR(__xludf.DUMMYFUNCTION("GOOGLETRANSLATE(B18451, ""es"", ""en"")"),"Oil Rita very nice, serves perfectly. I've used on the hair before drying and it shows a very healthy glow afterwards. You must be careful with the amount of product because 2/3 drops are enough. Something nice is that the product does not have Holor. Rec"&amp;"omendo!")</f>
        <v>Oil Rita very nice, serves perfectly. I've used on the hair before drying and it shows a very healthy glow afterwards. You must be careful with the amount of product because 2/3 drops are enough. Something nice is that the product does not have Holor. Recomendo!</v>
      </c>
    </row>
    <row r="18452">
      <c r="A18452" s="1">
        <v>5.0</v>
      </c>
      <c r="B18452" s="1" t="s">
        <v>18277</v>
      </c>
      <c r="C18452" t="str">
        <f>IFERROR(__xludf.DUMMYFUNCTION("GOOGLETRANSLATE(B18452, ""es"", ""en"")"),"Pegan came fast and phenomenal vienenuchos")</f>
        <v>Pegan came fast and phenomenal vienenuchos</v>
      </c>
    </row>
    <row r="18453">
      <c r="A18453" s="1">
        <v>5.0</v>
      </c>
      <c r="B18453" s="1" t="s">
        <v>18278</v>
      </c>
      <c r="C18453" t="str">
        <f>IFERROR(__xludf.DUMMYFUNCTION("GOOGLETRANSLATE(B18453, ""es"", ""en"")"),"Orginal 100% is 100% Original Pandora. The only difference is that undersides of typical venirte in the box, you come into a small bag of pandora. But that's not important. Happy with my purchase!")</f>
        <v>Orginal 100% is 100% Original Pandora. The only difference is that undersides of typical venirte in the box, you come into a small bag of pandora. But that's not important. Happy with my purchase!</v>
      </c>
    </row>
    <row r="18454">
      <c r="A18454" s="1">
        <v>5.0</v>
      </c>
      <c r="B18454" s="1" t="s">
        <v>18279</v>
      </c>
      <c r="C18454" t="str">
        <f>IFERROR(__xludf.DUMMYFUNCTION("GOOGLETRANSLATE(B18454, ""es"", ""en"")"),"Great Clock easy it works very well and, to use that will give me great. Fully recommended. Very good price.")</f>
        <v>Great Clock easy it works very well and, to use that will give me great. Fully recommended. Very good price.</v>
      </c>
    </row>
    <row r="18455">
      <c r="A18455" s="1">
        <v>2.0</v>
      </c>
      <c r="B18455" s="1" t="s">
        <v>18280</v>
      </c>
      <c r="C18455" t="str">
        <f>IFERROR(__xludf.DUMMYFUNCTION("GOOGLETRANSLATE(B18455, ""es"", ""en"")"),"Price have not used it yet but it looks a little shoddy")</f>
        <v>Price have not used it yet but it looks a little shoddy</v>
      </c>
    </row>
    <row r="18456">
      <c r="A18456" s="1">
        <v>3.0</v>
      </c>
      <c r="B18456" s="1" t="s">
        <v>18281</v>
      </c>
      <c r="C18456" t="str">
        <f>IFERROR(__xludf.DUMMYFUNCTION("GOOGLETRANSLATE(B18456, ""es"", ""en"")"),"This small brand flip flops are great but had to return because I have been very little otherwise very cute")</f>
        <v>This small brand flip flops are great but had to return because I have been very little otherwise very cute</v>
      </c>
    </row>
    <row r="18457">
      <c r="A18457" s="1">
        <v>3.0</v>
      </c>
      <c r="B18457" s="1" t="s">
        <v>18282</v>
      </c>
      <c r="C18457" t="str">
        <f>IFERROR(__xludf.DUMMYFUNCTION("GOOGLETRANSLATE(B18457, ""es"", ""en"")"),"the strap broke twice but the manufacturer responded quickly and correctly Buy two of these bags because I liked the design, and in both cases after 2 months one of the straps broke. Yes, I have to say that the bag manufacturer reacted quickly, they refun"&amp;"ded the money and sent me another. as was possible not so easy to break, but the design is very nice and I thank the manufacturer your quick response and action before the problem I had and I wish them well")</f>
        <v>the strap broke twice but the manufacturer responded quickly and correctly Buy two of these bags because I liked the design, and in both cases after 2 months one of the straps broke. Yes, I have to say that the bag manufacturer reacted quickly, they refunded the money and sent me another. as was possible not so easy to break, but the design is very nice and I thank the manufacturer your quick response and action before the problem I had and I wish them well</v>
      </c>
    </row>
    <row r="18458">
      <c r="A18458" s="1">
        <v>1.0</v>
      </c>
      <c r="B18458" s="1" t="s">
        <v>18283</v>
      </c>
      <c r="C18458" t="str">
        <f>IFERROR(__xludf.DUMMYFUNCTION("GOOGLETRANSLATE(B18458, ""es"", ""en"")"),"A chestnut damaged quickly, I do lasted a week. I broke the resistance and goodbye to the blanket.")</f>
        <v>A chestnut damaged quickly, I do lasted a week. I broke the resistance and goodbye to the blanket.</v>
      </c>
    </row>
    <row r="18459">
      <c r="A18459" s="1">
        <v>1.0</v>
      </c>
      <c r="B18459" s="1" t="s">
        <v>18284</v>
      </c>
      <c r="C18459" t="str">
        <f>IFERROR(__xludf.DUMMYFUNCTION("GOOGLETRANSLATE(B18459, ""es"", ""en"")"),"And I have two returns with this brand Slipper comfortable, but first sent me a color I did not ask. Give it back, ask another color, I get the bad packaging, open it and one of the metal rivets defective cords, and again to return the product.")</f>
        <v>And I have two returns with this brand Slipper comfortable, but first sent me a color I did not ask. Give it back, ask another color, I get the bad packaging, open it and one of the metal rivets defective cords, and again to return the product.</v>
      </c>
    </row>
    <row r="18460">
      <c r="A18460" s="1">
        <v>1.0</v>
      </c>
      <c r="B18460" s="1" t="s">
        <v>18285</v>
      </c>
      <c r="C18460" t="str">
        <f>IFERROR(__xludf.DUMMYFUNCTION("GOOGLETRANSLATE(B18460, ""es"", ""en"")"),"Dissatisfied I do not like it, from the moment when in operation smells burnt and when use gives flavor to food, discontented from day")</f>
        <v>Dissatisfied I do not like it, from the moment when in operation smells burnt and when use gives flavor to food, discontented from day</v>
      </c>
    </row>
    <row r="18461">
      <c r="A18461" s="1">
        <v>4.0</v>
      </c>
      <c r="B18461" s="1" t="s">
        <v>18286</v>
      </c>
      <c r="C18461" t="str">
        <f>IFERROR(__xludf.DUMMYFUNCTION("GOOGLETRANSLATE(B18461, ""es"", ""en"")"),"The lproducto meets the expectations and well resolved Simple")</f>
        <v>The lproducto meets the expectations and well resolved Simple</v>
      </c>
    </row>
    <row r="18462">
      <c r="A18462" s="1">
        <v>4.0</v>
      </c>
      <c r="B18462" s="1" t="s">
        <v>18287</v>
      </c>
      <c r="C18462" t="str">
        <f>IFERROR(__xludf.DUMMYFUNCTION("GOOGLETRANSLATE(B18462, ""es"", ""en"")"),"Very comfortable and adjusted the package arrived sooner than indicated. The shoe has very good finish and is very comfortable, but perhaps the only one, is that the template should be stuck inside, ideal for use in swimming pools, rivers, beaches or even"&amp;" to walk.")</f>
        <v>Very comfortable and adjusted the package arrived sooner than indicated. The shoe has very good finish and is very comfortable, but perhaps the only one, is that the template should be stuck inside, ideal for use in swimming pools, rivers, beaches or even to walk.</v>
      </c>
    </row>
    <row r="18463">
      <c r="A18463" s="1">
        <v>4.0</v>
      </c>
      <c r="B18463" s="1" t="s">
        <v>18288</v>
      </c>
      <c r="C18463" t="str">
        <f>IFERROR(__xludf.DUMMYFUNCTION("GOOGLETRANSLATE(B18463, ""es"", ""en"")"),"The simple glass blender blender for smoothies Blend &amp; amp; Go, 600 ml, 600 W - Black Justito I found something I say this because I had a chance to try some more and the truth is that both suparaban is aesthetic, design, material and power. In its favor "&amp;"is the size that is more compact and is lighter because pitchers are made of plastic instead of glass and therefore is light. Otherwise makes smoothies and chop the fruit without problem, but still I would opt for something else.")</f>
        <v>The simple glass blender blender for smoothies Blend &amp; amp; Go, 600 ml, 600 W - Black Justito I found something I say this because I had a chance to try some more and the truth is that both suparaban is aesthetic, design, material and power. In its favor is the size that is more compact and is lighter because pitchers are made of plastic instead of glass and therefore is light. Otherwise makes smoothies and chop the fruit without problem, but still I would opt for something else.</v>
      </c>
    </row>
    <row r="18464">
      <c r="A18464" s="1">
        <v>4.0</v>
      </c>
      <c r="B18464" s="1" t="s">
        <v>18289</v>
      </c>
      <c r="C18464" t="str">
        <f>IFERROR(__xludf.DUMMYFUNCTION("GOOGLETRANSLATE(B18464, ""es"", ""en"")"),"adhesive tape Opinion fast and perfect delivery")</f>
        <v>adhesive tape Opinion fast and perfect delivery</v>
      </c>
    </row>
    <row r="18465">
      <c r="A18465" s="1">
        <v>5.0</v>
      </c>
      <c r="B18465" s="1" t="s">
        <v>18290</v>
      </c>
      <c r="C18465" t="str">
        <f>IFERROR(__xludf.DUMMYFUNCTION("GOOGLETRANSLATE(B18465, ""es"", ""en"")"),"Quality is very fast data transmission and has a large storage capacity datos.Muy good product.")</f>
        <v>Quality is very fast data transmission and has a large storage capacity datos.Muy good product.</v>
      </c>
    </row>
    <row r="18466">
      <c r="A18466" s="1">
        <v>5.0</v>
      </c>
      <c r="B18466" s="1" t="s">
        <v>18291</v>
      </c>
      <c r="C18466" t="str">
        <f>IFERROR(__xludf.DUMMYFUNCTION("GOOGLETRANSLATE(B18466, ""es"", ""en"")"),"You can not ask for more for that price The end of the stacks of bundled cables together. With these Velcro strips practices can organize all those wires to perfection. That if, if the cable is too fat or long, you'll have to use two strips because they a"&amp;"re not very long. But otherwise, perfect.")</f>
        <v>You can not ask for more for that price The end of the stacks of bundled cables together. With these Velcro strips practices can organize all those wires to perfection. That if, if the cable is too fat or long, you'll have to use two strips because they are not very long. But otherwise, perfect.</v>
      </c>
    </row>
    <row r="18467">
      <c r="A18467" s="1">
        <v>5.0</v>
      </c>
      <c r="B18467" s="1" t="s">
        <v>18292</v>
      </c>
      <c r="C18467" t="str">
        <f>IFERROR(__xludf.DUMMYFUNCTION("GOOGLETRANSLATE(B18467, ""es"", ""en"")"),"Good product is very good product recommend this purchase")</f>
        <v>Good product is very good product recommend this purchase</v>
      </c>
    </row>
    <row r="18468">
      <c r="A18468" s="1">
        <v>5.0</v>
      </c>
      <c r="B18468" s="1" t="s">
        <v>18293</v>
      </c>
      <c r="C18468" t="str">
        <f>IFERROR(__xludf.DUMMYFUNCTION("GOOGLETRANSLATE(B18468, ""es"", ""en"")"),"100% Satisfied The product is completely genuine. It has all the elements so indicate, box, label, quality of materials, etc .. The package arrived earlier than expected and in perfect condition.")</f>
        <v>100% Satisfied The product is completely genuine. It has all the elements so indicate, box, label, quality of materials, etc .. The package arrived earlier than expected and in perfect condition.</v>
      </c>
    </row>
    <row r="18469">
      <c r="A18469" s="1">
        <v>5.0</v>
      </c>
      <c r="B18469" s="1" t="s">
        <v>18294</v>
      </c>
      <c r="C18469" t="str">
        <f>IFERROR(__xludf.DUMMYFUNCTION("GOOGLETRANSLATE(B18469, ""es"", ""en"")"),"Biberon good very good bottle. It is the second we bought just because we liked and wanted another to leave grandparents house.")</f>
        <v>Biberon good very good bottle. It is the second we bought just because we liked and wanted another to leave grandparents house.</v>
      </c>
    </row>
    <row r="18470">
      <c r="A18470" s="1">
        <v>5.0</v>
      </c>
      <c r="B18470" s="1" t="s">
        <v>18295</v>
      </c>
      <c r="C18470" t="str">
        <f>IFERROR(__xludf.DUMMYFUNCTION("GOOGLETRANSLATE(B18470, ""es"", ""en"")"),"Version 8TB In my case I bought the 8TB version because I needed more space for my photos and personal files. This product brings a lot of WD software for backup and is very useful to keep your information secure. At the end of a decided month reuse the d"&amp;"isk that came inside to put it and my computer, and surprise, brings a WD80EZAZ disk with 256 MB cache, ie a WD RED NAS 8TB, which are expensive ... name Share model with He8-8 Ultrastar SATA ... so worth")</f>
        <v>Version 8TB In my case I bought the 8TB version because I needed more space for my photos and personal files. This product brings a lot of WD software for backup and is very useful to keep your information secure. At the end of a decided month reuse the disk that came inside to put it and my computer, and surprise, brings a WD80EZAZ disk with 256 MB cache, ie a WD RED NAS 8TB, which are expensive ... name Share model with He8-8 Ultrastar SATA ... so worth</v>
      </c>
    </row>
    <row r="18471">
      <c r="A18471" s="1">
        <v>5.0</v>
      </c>
      <c r="B18471" s="1" t="s">
        <v>18296</v>
      </c>
      <c r="C18471" t="str">
        <f>IFERROR(__xludf.DUMMYFUNCTION("GOOGLETRANSLATE(B18471, ""es"", ""en"")"),"I like how comfortable it is the second that I buy because the former broke me. He has not had gas these bottles. It cleans very well. I love it and my baby too.")</f>
        <v>I like how comfortable it is the second that I buy because the former broke me. He has not had gas these bottles. It cleans very well. I love it and my baby too.</v>
      </c>
    </row>
    <row r="18472">
      <c r="A18472" s="1">
        <v>5.0</v>
      </c>
      <c r="B18472" s="1" t="s">
        <v>18297</v>
      </c>
      <c r="C18472" t="str">
        <f>IFERROR(__xludf.DUMMYFUNCTION("GOOGLETRANSLATE(B18472, ""es"", ""en"")"),"Silent Genial.Mejor than expected")</f>
        <v>Silent Genial.Mejor than expected</v>
      </c>
    </row>
    <row r="18473">
      <c r="A18473" s="1">
        <v>5.0</v>
      </c>
      <c r="B18473" s="1" t="s">
        <v>18298</v>
      </c>
      <c r="C18473" t="str">
        <f>IFERROR(__xludf.DUMMYFUNCTION("GOOGLETRANSLATE(B18473, ""es"", ""en"")"),"What a difference Rapido fast and smoothly for installation, you just need a housing and clone your old drive, and now this ... once to work ... good buy")</f>
        <v>What a difference Rapido fast and smoothly for installation, you just need a housing and clone your old drive, and now this ... once to work ... good buy</v>
      </c>
    </row>
    <row r="18474">
      <c r="A18474" s="1">
        <v>5.0</v>
      </c>
      <c r="B18474" s="1" t="s">
        <v>18299</v>
      </c>
      <c r="C18474" t="str">
        <f>IFERROR(__xludf.DUMMYFUNCTION("GOOGLETRANSLATE(B18474, ""es"", ""en"")"),"Very pretty cool. The size is expected. Good quality.")</f>
        <v>Very pretty cool. The size is expected. Good quality.</v>
      </c>
    </row>
    <row r="18475">
      <c r="A18475" s="1">
        <v>5.0</v>
      </c>
      <c r="B18475" s="1" t="s">
        <v>18300</v>
      </c>
      <c r="C18475" t="str">
        <f>IFERROR(__xludf.DUMMYFUNCTION("GOOGLETRANSLATE(B18475, ""es"", ""en"")"),"Easy and simple is a good option. Leave it to cool before use, you put it, you lie quiet and relaxed and certainly removed migraine. For me it has worked perfectly, thank you very much: D.")</f>
        <v>Easy and simple is a good option. Leave it to cool before use, you put it, you lie quiet and relaxed and certainly removed migraine. For me it has worked perfectly, thank you very much: D.</v>
      </c>
    </row>
    <row r="18476">
      <c r="A18476" s="1">
        <v>5.0</v>
      </c>
      <c r="B18476" s="1" t="s">
        <v>18301</v>
      </c>
      <c r="C18476" t="str">
        <f>IFERROR(__xludf.DUMMYFUNCTION("GOOGLETRANSLATE(B18476, ""es"", ""en"")"),"To essences My partner asked me to buy a humidifier and bought this model. I found one of the most complete, you can schedule time off, change the color of light and adjust the intensity with which you want to allow steam to escape. The deposit is large e"&amp;"nough. I have taken the model that simulates wood since my house is almost all wood. Proving have put a red fruit essence and gives a very pleasant aroma to the house. We liked a lot")</f>
        <v>To essences My partner asked me to buy a humidifier and bought this model. I found one of the most complete, you can schedule time off, change the color of light and adjust the intensity with which you want to allow steam to escape. The deposit is large enough. I have taken the model that simulates wood since my house is almost all wood. Proving have put a red fruit essence and gives a very pleasant aroma to the house. We liked a lot</v>
      </c>
    </row>
    <row r="18477">
      <c r="A18477" s="1">
        <v>5.0</v>
      </c>
      <c r="B18477" s="1" t="s">
        <v>18302</v>
      </c>
      <c r="C18477" t="str">
        <f>IFERROR(__xludf.DUMMYFUNCTION("GOOGLETRANSLATE(B18477, ""es"", ""en"")"),"Exactly what I needed all ok")</f>
        <v>Exactly what I needed all ok</v>
      </c>
    </row>
    <row r="18478">
      <c r="A18478" s="1">
        <v>5.0</v>
      </c>
      <c r="B18478" s="1" t="s">
        <v>18303</v>
      </c>
      <c r="C18478" t="str">
        <f>IFERROR(__xludf.DUMMYFUNCTION("GOOGLETRANSLATE(B18478, ""es"", ""en"")"),"Small but matona practice. Easy to use, never gives problems, over 1500 photos stored as RAW. I have a few months with her and I'm very happy.")</f>
        <v>Small but matona practice. Easy to use, never gives problems, over 1500 photos stored as RAW. I have a few months with her and I'm very happy.</v>
      </c>
    </row>
    <row r="18479">
      <c r="A18479" s="1">
        <v>5.0</v>
      </c>
      <c r="B18479" s="1" t="s">
        <v>42</v>
      </c>
      <c r="C18479" t="str">
        <f>IFERROR(__xludf.DUMMYFUNCTION("GOOGLETRANSLATE(B18479, ""es"", ""en"")"),"Well well")</f>
        <v>Well well</v>
      </c>
    </row>
    <row r="18480">
      <c r="A18480" s="1">
        <v>5.0</v>
      </c>
      <c r="B18480" s="1" t="s">
        <v>18304</v>
      </c>
      <c r="C18480" t="str">
        <f>IFERROR(__xludf.DUMMYFUNCTION("GOOGLETRANSLATE(B18480, ""es"", ""en"")"),"I love guapísimos are super comfortable, and with a quick read instructions are easy to control")</f>
        <v>I love guapísimos are super comfortable, and with a quick read instructions are easy to control</v>
      </c>
    </row>
    <row r="18481">
      <c r="A18481" s="1">
        <v>5.0</v>
      </c>
      <c r="B18481" s="1" t="s">
        <v>18305</v>
      </c>
      <c r="C18481" t="str">
        <f>IFERROR(__xludf.DUMMYFUNCTION("GOOGLETRANSLATE(B18481, ""es"", ""en"")"),"Only perfect Vans brand offers this level of quality. 100% recommendable")</f>
        <v>Only perfect Vans brand offers this level of quality. 100% recommendable</v>
      </c>
    </row>
    <row r="18482">
      <c r="A18482" s="1">
        <v>5.0</v>
      </c>
      <c r="B18482" s="1" t="s">
        <v>18306</v>
      </c>
      <c r="C18482" t="str">
        <f>IFERROR(__xludf.DUMMYFUNCTION("GOOGLETRANSLATE(B18482, ""es"", ""en"")"),"Good size and good cost value. Perfect size to put notebooks DIN4. Several pockets.")</f>
        <v>Good size and good cost value. Perfect size to put notebooks DIN4. Several pockets.</v>
      </c>
    </row>
    <row r="18483">
      <c r="A18483" s="1">
        <v>2.0</v>
      </c>
      <c r="B18483" s="1" t="s">
        <v>18307</v>
      </c>
      <c r="C18483" t="str">
        <f>IFERROR(__xludf.DUMMYFUNCTION("GOOGLETRANSLATE(B18483, ""es"", ""en"")"),"Lousy Dulcemf16@gmail.com fabric and is transparent. There is nothing like the picture. Of very poor quality. Causes return by deceptive.")</f>
        <v>Lousy Dulcemf16@gmail.com fabric and is transparent. There is nothing like the picture. Of very poor quality. Causes return by deceptive.</v>
      </c>
    </row>
    <row r="18484">
      <c r="A18484" s="1">
        <v>3.0</v>
      </c>
      <c r="B18484" s="1" t="s">
        <v>18308</v>
      </c>
      <c r="C18484" t="str">
        <f>IFERROR(__xludf.DUMMYFUNCTION("GOOGLETRANSLATE(B18484, ""es"", ""en"")"),"Good as expected material holds up well washed. As paste say are somewhat long sleeves and neck opens after a few uses, which I can not stand ..")</f>
        <v>Good as expected material holds up well washed. As paste say are somewhat long sleeves and neck opens after a few uses, which I can not stand ..</v>
      </c>
    </row>
    <row r="18485">
      <c r="A18485" s="1">
        <v>3.0</v>
      </c>
      <c r="B18485" s="1" t="s">
        <v>18309</v>
      </c>
      <c r="C18485" t="str">
        <f>IFERROR(__xludf.DUMMYFUNCTION("GOOGLETRANSLATE(B18485, ""es"", ""en"")"),"vans good quality and price. A little heavy, if they were lighter would be much better otherwise I'm very happy with the purchase ☺")</f>
        <v>vans good quality and price. A little heavy, if they were lighter would be much better otherwise I'm very happy with the purchase ☺</v>
      </c>
    </row>
    <row r="18486">
      <c r="A18486" s="1">
        <v>1.0</v>
      </c>
      <c r="B18486" s="1" t="s">
        <v>18310</v>
      </c>
      <c r="C18486" t="str">
        <f>IFERROR(__xludf.DUMMYFUNCTION("GOOGLETRANSLATE(B18486, ""es"", ""en"")"),"I not sure After a month and a half of use have already given me my first scare giving error wanting to access my documents. And obviously you can not return so I will endure but I prefer to warn those who have not yet purchased.")</f>
        <v>I not sure After a month and a half of use have already given me my first scare giving error wanting to access my documents. And obviously you can not return so I will endure but I prefer to warn those who have not yet purchased.</v>
      </c>
    </row>
    <row r="18487">
      <c r="A18487" s="1">
        <v>1.0</v>
      </c>
      <c r="B18487" s="1" t="s">
        <v>18311</v>
      </c>
      <c r="C18487" t="str">
        <f>IFERROR(__xludf.DUMMYFUNCTION("GOOGLETRANSLATE(B18487, ""es"", ""en"")"),"Very bad for faces it is the worst. The pin instead of the color of the bracelet d comes without metal lid and q is the magnet is the two lados.dando a horrible effect sight")</f>
        <v>Very bad for faces it is the worst. The pin instead of the color of the bracelet d comes without metal lid and q is the magnet is the two lados.dando a horrible effect sight</v>
      </c>
    </row>
    <row r="18488">
      <c r="A18488" s="1">
        <v>4.0</v>
      </c>
      <c r="B18488" s="1" t="s">
        <v>18312</v>
      </c>
      <c r="C18488" t="str">
        <f>IFERROR(__xludf.DUMMYFUNCTION("GOOGLETRANSLATE(B18488, ""es"", ""en"")"),"For the price you can not ask for more ... for the price you have does the job, I on my PC I have a rather unpleasant background noise I'm trying to solve")</f>
        <v>For the price you can not ask for more ... for the price you have does the job, I on my PC I have a rather unpleasant background noise I'm trying to solve</v>
      </c>
    </row>
    <row r="18489">
      <c r="A18489" s="1">
        <v>4.0</v>
      </c>
      <c r="B18489" s="1" t="s">
        <v>18313</v>
      </c>
      <c r="C18489" t="str">
        <f>IFERROR(__xludf.DUMMYFUNCTION("GOOGLETRANSLATE(B18489, ""es"", ""en"")"),"Before using good buy another brand that found in many supermarkets and have stopped manufacturing it. This has smaller sponge and so I give it four in my opinion. The meeting only on Amazon and buy it regularly. It is perfect for washing hands and not te"&amp;"ar you apart. It works great.")</f>
        <v>Before using good buy another brand that found in many supermarkets and have stopped manufacturing it. This has smaller sponge and so I give it four in my opinion. The meeting only on Amazon and buy it regularly. It is perfect for washing hands and not tear you apart. It works great.</v>
      </c>
    </row>
    <row r="18490">
      <c r="A18490" s="1">
        <v>4.0</v>
      </c>
      <c r="B18490" s="1" t="s">
        <v>18314</v>
      </c>
      <c r="C18490" t="str">
        <f>IFERROR(__xludf.DUMMYFUNCTION("GOOGLETRANSLATE(B18490, ""es"", ""en"")"),"I repeat acquisition had already acquired before these headphones because the way I like it and I consider it very comfortable. I broke down earlier soon, I hope these last longer amortized although the price is more than enough. The order has arrived ear"&amp;"lier than expected, so much better.")</f>
        <v>I repeat acquisition had already acquired before these headphones because the way I like it and I consider it very comfortable. I broke down earlier soon, I hope these last longer amortized although the price is more than enough. The order has arrived earlier than expected, so much better.</v>
      </c>
    </row>
    <row r="18491">
      <c r="A18491" s="1">
        <v>4.0</v>
      </c>
      <c r="B18491" s="1" t="s">
        <v>18315</v>
      </c>
      <c r="C18491" t="str">
        <f>IFERROR(__xludf.DUMMYFUNCTION("GOOGLETRANSLATE(B18491, ""es"", ""en"")"),"nice color. The design is not bad but weigh a little and are so narrow that recommend buying a number over which is commonly used.")</f>
        <v>nice color. The design is not bad but weigh a little and are so narrow that recommend buying a number over which is commonly used.</v>
      </c>
    </row>
    <row r="18492">
      <c r="A18492" s="1">
        <v>4.0</v>
      </c>
      <c r="B18492" s="1" t="s">
        <v>18316</v>
      </c>
      <c r="C18492" t="str">
        <f>IFERROR(__xludf.DUMMYFUNCTION("GOOGLETRANSLATE(B18492, ""es"", ""en"")"),"Very good value'm very happy with the purchase, are good, nice and cheap, suendan very well. And while not the most beautiful, it gives many kicks to imitations of airpods in sound, which in the end is its main function. I have only one complaint and that"&amp;" once succeeded not match them in stereo, is matched only one of two in Mono, but restoring factory settings and doing things right, all arranged. The key is to always match the right and be the first out of the box, when you roll the left is paired and a"&amp;"utomatically connects to the right.")</f>
        <v>Very good value'm very happy with the purchase, are good, nice and cheap, suendan very well. And while not the most beautiful, it gives many kicks to imitations of airpods in sound, which in the end is its main function. I have only one complaint and that once succeeded not match them in stereo, is matched only one of two in Mono, but restoring factory settings and doing things right, all arranged. The key is to always match the right and be the first out of the box, when you roll the left is paired and automatically connects to the right.</v>
      </c>
    </row>
    <row r="18493">
      <c r="A18493" s="1">
        <v>5.0</v>
      </c>
      <c r="B18493" s="1" t="s">
        <v>18317</v>
      </c>
      <c r="C18493" t="str">
        <f>IFERROR(__xludf.DUMMYFUNCTION("GOOGLETRANSLATE(B18493, ""es"", ""en"")"),"Good product has proved very successful watch all received prior to that reported me and everything was according was announced")</f>
        <v>Good product has proved very successful watch all received prior to that reported me and everything was according was announced</v>
      </c>
    </row>
    <row r="18494">
      <c r="A18494" s="1">
        <v>5.0</v>
      </c>
      <c r="B18494" s="1" t="s">
        <v>18318</v>
      </c>
      <c r="C18494" t="str">
        <f>IFERROR(__xludf.DUMMYFUNCTION("GOOGLETRANSLATE(B18494, ""es"", ""en"")"),"3 balls magnificent kit The kit comes with 3 different beads, a simple and two double (one with weight and other remote controlled) multimode vibration and good touch.")</f>
        <v>3 balls magnificent kit The kit comes with 3 different beads, a simple and two double (one with weight and other remote controlled) multimode vibration and good touch.</v>
      </c>
    </row>
    <row r="18495">
      <c r="A18495" s="1">
        <v>5.0</v>
      </c>
      <c r="B18495" s="1" t="s">
        <v>18319</v>
      </c>
      <c r="C18495" t="str">
        <f>IFERROR(__xludf.DUMMYFUNCTION("GOOGLETRANSLATE(B18495, ""es"", ""en"")"),"Practicality Very great, I love the size and feel. It is very practical and mouse slides very smooth. Very practical.")</f>
        <v>Practicality Very great, I love the size and feel. It is very practical and mouse slides very smooth. Very practical.</v>
      </c>
    </row>
    <row r="18496">
      <c r="A18496" s="1">
        <v>5.0</v>
      </c>
      <c r="B18496" s="1" t="s">
        <v>524</v>
      </c>
      <c r="C18496" t="str">
        <f>IFERROR(__xludf.DUMMYFUNCTION("GOOGLETRANSLATE(B18496, ""es"", ""en"")"),"Brilliant brilliant")</f>
        <v>Brilliant brilliant</v>
      </c>
    </row>
    <row r="18497">
      <c r="A18497" s="1">
        <v>5.0</v>
      </c>
      <c r="B18497" s="1" t="s">
        <v>18320</v>
      </c>
      <c r="C18497" t="str">
        <f>IFERROR(__xludf.DUMMYFUNCTION("GOOGLETRANSLATE(B18497, ""es"", ""en"")"),"Fun in class I bought this microphone as it seems to me a very useful tool for children to start speaking in public without shame, the truth is that having it on hand gives them a lot of confidence. Since I took him to the classroom has been a success, th"&amp;"e kids always want to participate to tell us things and sing. As well as built-in speaker has asked me to do karaoke songs and enjoy very much. Also, for me it has been a very useful tool because I get better grab their attention and do not have to strain"&amp;" your voice. At the beginning I had a little trouble figuring out how to remove the echo, but simply give the middle button on the left is disappearing. It has been a great idea to buy it and the kids love it.")</f>
        <v>Fun in class I bought this microphone as it seems to me a very useful tool for children to start speaking in public without shame, the truth is that having it on hand gives them a lot of confidence. Since I took him to the classroom has been a success, the kids always want to participate to tell us things and sing. As well as built-in speaker has asked me to do karaoke songs and enjoy very much. Also, for me it has been a very useful tool because I get better grab their attention and do not have to strain your voice. At the beginning I had a little trouble figuring out how to remove the echo, but simply give the middle button on the left is disappearing. It has been a great idea to buy it and the kids love it.</v>
      </c>
    </row>
    <row r="18498">
      <c r="A18498" s="1">
        <v>5.0</v>
      </c>
      <c r="B18498" s="1" t="s">
        <v>18321</v>
      </c>
      <c r="C18498" t="str">
        <f>IFERROR(__xludf.DUMMYFUNCTION("GOOGLETRANSLATE(B18498, ""es"", ""en"")"),"Ever since I tried not use other are very comfortable, the nature petal teats are best eaten with my baby and rarely swallow air. do not spoil, they cleaned easily and are beautiful")</f>
        <v>Ever since I tried not use other are very comfortable, the nature petal teats are best eaten with my baby and rarely swallow air. do not spoil, they cleaned easily and are beautiful</v>
      </c>
    </row>
    <row r="18499">
      <c r="A18499" s="1">
        <v>5.0</v>
      </c>
      <c r="B18499" s="1" t="s">
        <v>18322</v>
      </c>
      <c r="C18499" t="str">
        <f>IFERROR(__xludf.DUMMYFUNCTION("GOOGLETRANSLATE(B18499, ""es"", ""en"")"),"Storage fast and good value for money I've got a notebook xiaomi pro and it works perfectly. It is going slower than the next installed but also by the configuration of the laptop. Still I recommended.")</f>
        <v>Storage fast and good value for money I've got a notebook xiaomi pro and it works perfectly. It is going slower than the next installed but also by the configuration of the laptop. Still I recommended.</v>
      </c>
    </row>
    <row r="18500">
      <c r="A18500" s="1">
        <v>5.0</v>
      </c>
      <c r="B18500" s="1" t="s">
        <v>18323</v>
      </c>
      <c r="C18500" t="str">
        <f>IFERROR(__xludf.DUMMYFUNCTION("GOOGLETRANSLATE(B18500, ""es"", ""en"")"),"Highly recommended. It is very beautiful, looks good anywhere. Freshens the room, and is very easy to use. I do not see any fault.")</f>
        <v>Highly recommended. It is very beautiful, looks good anywhere. Freshens the room, and is very easy to use. I do not see any fault.</v>
      </c>
    </row>
    <row r="18501">
      <c r="A18501" s="1">
        <v>5.0</v>
      </c>
      <c r="B18501" s="1" t="s">
        <v>238</v>
      </c>
      <c r="C18501" t="str">
        <f>IFERROR(__xludf.DUMMYFUNCTION("GOOGLETRANSLATE(B18501, ""es"", ""en"")"),"perfect perfect")</f>
        <v>perfect perfect</v>
      </c>
    </row>
    <row r="18502">
      <c r="A18502" s="1">
        <v>5.0</v>
      </c>
      <c r="B18502" s="1" t="s">
        <v>18324</v>
      </c>
      <c r="C18502" t="str">
        <f>IFERROR(__xludf.DUMMYFUNCTION("GOOGLETRANSLATE(B18502, ""es"", ""en"")"),"Good quality sweatshirt")</f>
        <v>Good quality sweatshirt</v>
      </c>
    </row>
    <row r="18503">
      <c r="A18503" s="1">
        <v>5.0</v>
      </c>
      <c r="B18503" s="1" t="s">
        <v>18325</v>
      </c>
      <c r="C18503" t="str">
        <f>IFERROR(__xludf.DUMMYFUNCTION("GOOGLETRANSLATE(B18503, ""es"", ""en"")"),"Super perfect product of very good quality and beautiful")</f>
        <v>Super perfect product of very good quality and beautiful</v>
      </c>
    </row>
    <row r="18504">
      <c r="A18504" s="1">
        <v>5.0</v>
      </c>
      <c r="B18504" s="1" t="s">
        <v>18326</v>
      </c>
      <c r="C18504" t="str">
        <f>IFERROR(__xludf.DUMMYFUNCTION("GOOGLETRANSLATE(B18504, ""es"", ""en"")"),"Satisfied! Satisfied! Meets my prospects! Very fast delivery!")</f>
        <v>Satisfied! Satisfied! Meets my prospects! Very fast delivery!</v>
      </c>
    </row>
    <row r="18505">
      <c r="A18505" s="1">
        <v>5.0</v>
      </c>
      <c r="B18505" s="1" t="s">
        <v>18327</v>
      </c>
      <c r="C18505" t="str">
        <f>IFERROR(__xludf.DUMMYFUNCTION("GOOGLETRANSLATE(B18505, ""es"", ""en"")"),"A good buy. Smoothies are a great texture in seconds. I would have preferred it to be glass rather than plastic but nevertheless they look very good. It seems very sturdy and very easy to clean. You do not need to put it in the dishwasher. The book includ"&amp;"es recipes that is very complete. In short, a good buy.")</f>
        <v>A good buy. Smoothies are a great texture in seconds. I would have preferred it to be glass rather than plastic but nevertheless they look very good. It seems very sturdy and very easy to clean. You do not need to put it in the dishwasher. The book includes recipes that is very complete. In short, a good buy.</v>
      </c>
    </row>
    <row r="18506">
      <c r="A18506" s="1">
        <v>5.0</v>
      </c>
      <c r="B18506" s="1" t="s">
        <v>18328</v>
      </c>
      <c r="C18506" t="str">
        <f>IFERROR(__xludf.DUMMYFUNCTION("GOOGLETRANSLATE(B18506, ""es"", ""en"")"),"A great gift and great buy Nice gift for my partner, also comes with many stickers, and other colors to customize 100% all a success")</f>
        <v>A great gift and great buy Nice gift for my partner, also comes with many stickers, and other colors to customize 100% all a success</v>
      </c>
    </row>
    <row r="18507">
      <c r="A18507" s="1">
        <v>5.0</v>
      </c>
      <c r="B18507" s="1" t="s">
        <v>18329</v>
      </c>
      <c r="C18507" t="str">
        <f>IFERROR(__xludf.DUMMYFUNCTION("GOOGLETRANSLATE(B18507, ""es"", ""en"")"),"Article if Silver I love, everything perfect")</f>
        <v>Article if Silver I love, everything perfect</v>
      </c>
    </row>
    <row r="18508">
      <c r="A18508" s="1">
        <v>5.0</v>
      </c>
      <c r="B18508" s="1" t="s">
        <v>18330</v>
      </c>
      <c r="C18508" t="str">
        <f>IFERROR(__xludf.DUMMYFUNCTION("GOOGLETRANSLATE(B18508, ""es"", ""en"")"),"Q quality did not think I would like it so much.")</f>
        <v>Q quality did not think I would like it so much.</v>
      </c>
    </row>
    <row r="18509">
      <c r="A18509" s="1">
        <v>5.0</v>
      </c>
      <c r="B18509" s="1" t="s">
        <v>18331</v>
      </c>
      <c r="C18509" t="str">
        <f>IFERROR(__xludf.DUMMYFUNCTION("GOOGLETRANSLATE(B18509, ""es"", ""en"")"),"Very quickly it goes very fast, before Windows starts screen.")</f>
        <v>Very quickly it goes very fast, before Windows starts screen.</v>
      </c>
    </row>
    <row r="18510">
      <c r="A18510" s="1">
        <v>5.0</v>
      </c>
      <c r="B18510" s="1" t="s">
        <v>18332</v>
      </c>
      <c r="C18510" t="str">
        <f>IFERROR(__xludf.DUMMYFUNCTION("GOOGLETRANSLATE(B18510, ""es"", ""en"")"),"Very nice for children about 4-7 years I adquirmos for a gift and has been a success. To give to a girl about 5 years is perfect for starting to get used to the alarm. It's a bit complicated to program but then it works great and looks nice in a room Chil"&amp;"dren")</f>
        <v>Very nice for children about 4-7 years I adquirmos for a gift and has been a success. To give to a girl about 5 years is perfect for starting to get used to the alarm. It's a bit complicated to program but then it works great and looks nice in a room Children</v>
      </c>
    </row>
    <row r="18511">
      <c r="A18511" s="1">
        <v>5.0</v>
      </c>
      <c r="B18511" s="1" t="s">
        <v>18333</v>
      </c>
      <c r="C18511" t="str">
        <f>IFERROR(__xludf.DUMMYFUNCTION("GOOGLETRANSLATE(B18511, ""es"", ""en"")"),"Very good very good. I like very much. And I bought more things of this brand and are always very good. I recommend it")</f>
        <v>Very good very good. I like very much. And I bought more things of this brand and are always very good. I recommend it</v>
      </c>
    </row>
    <row r="18512">
      <c r="A18512" s="1">
        <v>2.0</v>
      </c>
      <c r="B18512" s="1" t="s">
        <v>18334</v>
      </c>
      <c r="C18512" t="str">
        <f>IFERROR(__xludf.DUMMYFUNCTION("GOOGLETRANSLATE(B18512, ""es"", ""en"")"),"Very uncomfortable and bad qualities very uncomfortable, justitas qualities and soon nothing broken. The quality was mediocre shooting well, but they are uncomfortable take away points. I do not recommend, I bought for my mother while working and lasted t"&amp;"wo days.")</f>
        <v>Very uncomfortable and bad qualities very uncomfortable, justitas qualities and soon nothing broken. The quality was mediocre shooting well, but they are uncomfortable take away points. I do not recommend, I bought for my mother while working and lasted two days.</v>
      </c>
    </row>
    <row r="18513">
      <c r="A18513" s="1">
        <v>3.0</v>
      </c>
      <c r="B18513" s="1" t="s">
        <v>18335</v>
      </c>
      <c r="C18513" t="str">
        <f>IFERROR(__xludf.DUMMYFUNCTION("GOOGLETRANSLATE(B18513, ""es"", ""en"")"),"correct correct")</f>
        <v>correct correct</v>
      </c>
    </row>
    <row r="18514">
      <c r="A18514" s="1">
        <v>3.0</v>
      </c>
      <c r="B18514" s="1" t="s">
        <v>18336</v>
      </c>
      <c r="C18514" t="str">
        <f>IFERROR(__xludf.DUMMYFUNCTION("GOOGLETRANSLATE(B18514, ""es"", ""en"")"),"Too difficult to put costs being completely closed shoes put him well, but if the number is corresponding. But as they appear in the photos and weigh nothing")</f>
        <v>Too difficult to put costs being completely closed shoes put him well, but if the number is corresponding. But as they appear in the photos and weigh nothing</v>
      </c>
    </row>
    <row r="18515">
      <c r="A18515" s="1">
        <v>1.0</v>
      </c>
      <c r="B18515" s="1" t="s">
        <v>18337</v>
      </c>
      <c r="C18515" t="str">
        <f>IFERROR(__xludf.DUMMYFUNCTION("GOOGLETRANSLATE(B18515, ""es"", ""en"")"),"6 of the pack and there are only 3 whole in just 4 uses, loose threads For 6 and 3 will have broken or loose threads in just 4 uses !! a shame !!")</f>
        <v>6 of the pack and there are only 3 whole in just 4 uses, loose threads For 6 and 3 will have broken or loose threads in just 4 uses !! a shame !!</v>
      </c>
    </row>
    <row r="18516">
      <c r="A18516" s="1">
        <v>1.0</v>
      </c>
      <c r="B18516" s="1" t="s">
        <v>18338</v>
      </c>
      <c r="C18516" t="str">
        <f>IFERROR(__xludf.DUMMYFUNCTION("GOOGLETRANSLATE(B18516, ""es"", ""en"")"),"I stopped working on a mobile at 20 days. maybe my situation is particularly but after seeing comments and have checked myself about the true speed of writing, it looks as if this card out of another era and was relabeled as class 10 and no class 4, which"&amp;" is what would correspond. the phone that had this card as shared memory stop reading or writing within 20 days. it was impossible to recover photos, both old and new, in the end, after reformatting returned to life if the card but lost all the photos and"&amp;" other files. the end product has been asking my money back and return the product but I got it at a great deal, but still, I lost many more valuable things than money.")</f>
        <v>I stopped working on a mobile at 20 days. maybe my situation is particularly but after seeing comments and have checked myself about the true speed of writing, it looks as if this card out of another era and was relabeled as class 10 and no class 4, which is what would correspond. the phone that had this card as shared memory stop reading or writing within 20 days. it was impossible to recover photos, both old and new, in the end, after reformatting returned to life if the card but lost all the photos and other files. the end product has been asking my money back and return the product but I got it at a great deal, but still, I lost many more valuable things than money.</v>
      </c>
    </row>
    <row r="18517">
      <c r="A18517" s="1">
        <v>4.0</v>
      </c>
      <c r="B18517" s="1" t="s">
        <v>18339</v>
      </c>
      <c r="C18517" t="str">
        <f>IFERROR(__xludf.DUMMYFUNCTION("GOOGLETRANSLATE(B18517, ""es"", ""en"")"),"Hot good quality but a bit chubby for skiing")</f>
        <v>Hot good quality but a bit chubby for skiing</v>
      </c>
    </row>
    <row r="18518">
      <c r="A18518" s="1">
        <v>4.0</v>
      </c>
      <c r="B18518" s="1" t="s">
        <v>18340</v>
      </c>
      <c r="C18518" t="str">
        <f>IFERROR(__xludf.DUMMYFUNCTION("GOOGLETRANSLATE(B18518, ""es"", ""en"")"),"That are made corresponding size corresponding to xl me the truth is somewhat short, but then this pretty and I like their shape and texture")</f>
        <v>That are made corresponding size corresponding to xl me the truth is somewhat short, but then this pretty and I like their shape and texture</v>
      </c>
    </row>
    <row r="18519">
      <c r="A18519" s="1">
        <v>4.0</v>
      </c>
      <c r="B18519" s="1" t="s">
        <v>18341</v>
      </c>
      <c r="C18519" t="str">
        <f>IFERROR(__xludf.DUMMYFUNCTION("GOOGLETRANSLATE(B18519, ""es"", ""en"")"),"Value for money good quality fabric after 10 washes is like the first day. Size slightly larger than expected")</f>
        <v>Value for money good quality fabric after 10 washes is like the first day. Size slightly larger than expected</v>
      </c>
    </row>
    <row r="18520">
      <c r="A18520" s="1">
        <v>4.0</v>
      </c>
      <c r="B18520" s="1" t="s">
        <v>18342</v>
      </c>
      <c r="C18520" t="str">
        <f>IFERROR(__xludf.DUMMYFUNCTION("GOOGLETRANSLATE(B18520, ""es"", ""en"")"),"I expected the Tristar brand usually has good money and this jug generally provides what he wanted. Convenient, quick and easy to clean. recommendable")</f>
        <v>I expected the Tristar brand usually has good money and this jug generally provides what he wanted. Convenient, quick and easy to clean. recommendable</v>
      </c>
    </row>
    <row r="18521">
      <c r="A18521" s="1">
        <v>4.0</v>
      </c>
      <c r="B18521" s="1" t="s">
        <v>18343</v>
      </c>
      <c r="C18521" t="str">
        <f>IFERROR(__xludf.DUMMYFUNCTION("GOOGLETRANSLATE(B18521, ""es"", ""en"")"),"Perfect Good Value")</f>
        <v>Perfect Good Value</v>
      </c>
    </row>
    <row r="18522">
      <c r="A18522" s="1">
        <v>5.0</v>
      </c>
      <c r="B18522" s="1" t="s">
        <v>18344</v>
      </c>
      <c r="C18522" t="str">
        <f>IFERROR(__xludf.DUMMYFUNCTION("GOOGLETRANSLATE(B18522, ""es"", ""en"")"),"Good comfortable shoes to work several hours standing. They have a very comfortable padded insole does not move. I use them both indoors and outdoors and are perfect. I repeat")</f>
        <v>Good comfortable shoes to work several hours standing. They have a very comfortable padded insole does not move. I use them both indoors and outdoors and are perfect. I repeat</v>
      </c>
    </row>
    <row r="18523">
      <c r="A18523" s="1">
        <v>5.0</v>
      </c>
      <c r="B18523" s="1" t="s">
        <v>18345</v>
      </c>
      <c r="C18523" t="str">
        <f>IFERROR(__xludf.DUMMYFUNCTION("GOOGLETRANSLATE(B18523, ""es"", ""en"")"),"PANAMA JACK BOOT satisfied with the product set to the instructions of the seller. There is a good quality price relation. timely delivery. post.venta good service.")</f>
        <v>PANAMA JACK BOOT satisfied with the product set to the instructions of the seller. There is a good quality price relation. timely delivery. post.venta good service.</v>
      </c>
    </row>
    <row r="18524">
      <c r="A18524" s="1">
        <v>5.0</v>
      </c>
      <c r="B18524" s="1" t="s">
        <v>18346</v>
      </c>
      <c r="C18524" t="str">
        <f>IFERROR(__xludf.DUMMYFUNCTION("GOOGLETRANSLATE(B18524, ""es"", ""en"")"),"To paste tis perfect photos every albun uncle or sites, super handy box and cut labels alone one at a time. When cutting is a part to paste and the other to remove the adhesive and stick, perfect for what they are")</f>
        <v>To paste tis perfect photos every albun uncle or sites, super handy box and cut labels alone one at a time. When cutting is a part to paste and the other to remove the adhesive and stick, perfect for what they are</v>
      </c>
    </row>
    <row r="18525">
      <c r="A18525" s="1">
        <v>5.0</v>
      </c>
      <c r="B18525" s="1" t="s">
        <v>18347</v>
      </c>
      <c r="C18525" t="str">
        <f>IFERROR(__xludf.DUMMYFUNCTION("GOOGLETRANSLATE(B18525, ""es"", ""en"")"),"So far no complaints had one like it and this has been to give away. It's nice, it works and looks good")</f>
        <v>So far no complaints had one like it and this has been to give away. It's nice, it works and looks good</v>
      </c>
    </row>
    <row r="18526">
      <c r="A18526" s="1">
        <v>5.0</v>
      </c>
      <c r="B18526" s="1" t="s">
        <v>18348</v>
      </c>
      <c r="C18526" t="str">
        <f>IFERROR(__xludf.DUMMYFUNCTION("GOOGLETRANSLATE(B18526, ""es"", ""en"")"),"Double sided tapes best that has great grip and weight bearing, we buy not make holes in the wall to hang a picture.")</f>
        <v>Double sided tapes best that has great grip and weight bearing, we buy not make holes in the wall to hang a picture.</v>
      </c>
    </row>
    <row r="18527">
      <c r="A18527" s="1">
        <v>5.0</v>
      </c>
      <c r="B18527" s="1" t="s">
        <v>18349</v>
      </c>
      <c r="C18527" t="str">
        <f>IFERROR(__xludf.DUMMYFUNCTION("GOOGLETRANSLATE(B18527, ""es"", ""en"")"),"Good buy are such that the photo and the right size, the only thing that has surprised me is that the shipment has been traded, but still were not bent.")</f>
        <v>Good buy are such that the photo and the right size, the only thing that has surprised me is that the shipment has been traded, but still were not bent.</v>
      </c>
    </row>
    <row r="18528">
      <c r="A18528" s="1">
        <v>5.0</v>
      </c>
      <c r="B18528" s="1" t="s">
        <v>18350</v>
      </c>
      <c r="C18528" t="str">
        <f>IFERROR(__xludf.DUMMYFUNCTION("GOOGLETRANSLATE(B18528, ""es"", ""en"")"),"Very nice I've used three times, they are well and are strong. They do not weigh much so easily carried")</f>
        <v>Very nice I've used three times, they are well and are strong. They do not weigh much so easily carried</v>
      </c>
    </row>
    <row r="18529">
      <c r="A18529" s="1">
        <v>5.0</v>
      </c>
      <c r="B18529" s="1" t="s">
        <v>18351</v>
      </c>
      <c r="C18529" t="str">
        <f>IFERROR(__xludf.DUMMYFUNCTION("GOOGLETRANSLATE(B18529, ""es"", ""en"")"),"Excellent Very Good Product")</f>
        <v>Excellent Very Good Product</v>
      </c>
    </row>
    <row r="18530">
      <c r="A18530" s="1">
        <v>5.0</v>
      </c>
      <c r="B18530" s="1" t="s">
        <v>18352</v>
      </c>
      <c r="C18530" t="str">
        <f>IFERROR(__xludf.DUMMYFUNCTION("GOOGLETRANSLATE(B18530, ""es"", ""en"")"),"Value I liked the price and quality")</f>
        <v>Value I liked the price and quality</v>
      </c>
    </row>
    <row r="18531">
      <c r="A18531" s="1">
        <v>5.0</v>
      </c>
      <c r="B18531" s="1" t="s">
        <v>18353</v>
      </c>
      <c r="C18531" t="str">
        <f>IFERROR(__xludf.DUMMYFUNCTION("GOOGLETRANSLATE(B18531, ""es"", ""en"")"),"buy the best I could do. This microphone is super good for the money you have. I recommend 100% for SLR cameras GoPro or even the phone. If you're wondering, this is a great option.")</f>
        <v>buy the best I could do. This microphone is super good for the money you have. I recommend 100% for SLR cameras GoPro or even the phone. If you're wondering, this is a great option.</v>
      </c>
    </row>
    <row r="18532">
      <c r="A18532" s="1">
        <v>5.0</v>
      </c>
      <c r="B18532" s="1" t="s">
        <v>18354</v>
      </c>
      <c r="C18532" t="str">
        <f>IFERROR(__xludf.DUMMYFUNCTION("GOOGLETRANSLATE(B18532, ""es"", ""en"")"),"Perfect agility and efficiency. Uncut signal fluid, very functional. The computer recognizes no problem and the pointer reaches great distance. Highly recommended.")</f>
        <v>Perfect agility and efficiency. Uncut signal fluid, very functional. The computer recognizes no problem and the pointer reaches great distance. Highly recommended.</v>
      </c>
    </row>
    <row r="18533">
      <c r="A18533" s="1">
        <v>5.0</v>
      </c>
      <c r="B18533" s="1" t="s">
        <v>18355</v>
      </c>
      <c r="C18533" t="str">
        <f>IFERROR(__xludf.DUMMYFUNCTION("GOOGLETRANSLATE(B18533, ""es"", ""en"")"),"Good for Raspberry PI 3 tested in a Raspberry pi 3 works very well. Fast shipping.")</f>
        <v>Good for Raspberry PI 3 tested in a Raspberry pi 3 works very well. Fast shipping.</v>
      </c>
    </row>
    <row r="18534">
      <c r="A18534" s="1">
        <v>5.0</v>
      </c>
      <c r="B18534" s="1" t="s">
        <v>18356</v>
      </c>
      <c r="C18534" t="str">
        <f>IFERROR(__xludf.DUMMYFUNCTION("GOOGLETRANSLATE(B18534, ""es"", ""en"")"),"A sporty and elegant watch while the watch is great, mark the days of the week in Spanish did not expect great")</f>
        <v>A sporty and elegant watch while the watch is great, mark the days of the week in Spanish did not expect great</v>
      </c>
    </row>
    <row r="18535">
      <c r="A18535" s="1">
        <v>5.0</v>
      </c>
      <c r="B18535" s="1" t="s">
        <v>18357</v>
      </c>
      <c r="C18535" t="str">
        <f>IFERROR(__xludf.DUMMYFUNCTION("GOOGLETRANSLATE(B18535, ""es"", ""en"")"),"For the house red fruits")</f>
        <v>For the house red fruits</v>
      </c>
    </row>
    <row r="18536">
      <c r="A18536" s="1">
        <v>5.0</v>
      </c>
      <c r="B18536" s="1" t="s">
        <v>18358</v>
      </c>
      <c r="C18536" t="str">
        <f>IFERROR(__xludf.DUMMYFUNCTION("GOOGLETRANSLATE(B18536, ""es"", ""en"")"),"Very fast with lightweight amazon prime, watch perfect for both boy or girl, clean design, lightweight")</f>
        <v>Very fast with lightweight amazon prime, watch perfect for both boy or girl, clean design, lightweight</v>
      </c>
    </row>
    <row r="18537">
      <c r="A18537" s="1">
        <v>5.0</v>
      </c>
      <c r="B18537" s="1" t="s">
        <v>18359</v>
      </c>
      <c r="C18537" t="str">
        <f>IFERROR(__xludf.DUMMYFUNCTION("GOOGLETRANSLATE(B18537, ""es"", ""en"")"),"Perfect satisfied our expectations")</f>
        <v>Perfect satisfied our expectations</v>
      </c>
    </row>
    <row r="18538">
      <c r="A18538" s="1">
        <v>5.0</v>
      </c>
      <c r="B18538" s="1" t="s">
        <v>18360</v>
      </c>
      <c r="C18538" t="str">
        <f>IFERROR(__xludf.DUMMYFUNCTION("GOOGLETRANSLATE(B18538, ""es"", ""en"")"),"Very authentic chulos")</f>
        <v>Very authentic chulos</v>
      </c>
    </row>
    <row r="18539">
      <c r="A18539" s="1">
        <v>5.0</v>
      </c>
      <c r="B18539" s="1" t="s">
        <v>18361</v>
      </c>
      <c r="C18539" t="str">
        <f>IFERROR(__xludf.DUMMYFUNCTION("GOOGLETRANSLATE(B18539, ""es"", ""en"")"),"Great as usual. For my partner, excellent. She delighted with sports, comfortable and elegant. It has already bought a few of Sketchers models, and always great. Duran enough, are of good quality, but above all, the convenience they offer. Highly recommen"&amp;"ded.")</f>
        <v>Great as usual. For my partner, excellent. She delighted with sports, comfortable and elegant. It has already bought a few of Sketchers models, and always great. Duran enough, are of good quality, but above all, the convenience they offer. Highly recommended.</v>
      </c>
    </row>
    <row r="18540">
      <c r="A18540" s="1">
        <v>5.0</v>
      </c>
      <c r="B18540" s="1" t="s">
        <v>18362</v>
      </c>
      <c r="C18540" t="str">
        <f>IFERROR(__xludf.DUMMYFUNCTION("GOOGLETRANSLATE(B18540, ""es"", ""en"")"),"Very nice for the cost of the watch is pretty good, in my case I give everyday use and doing quite well and is nice, excellent value for money.")</f>
        <v>Very nice for the cost of the watch is pretty good, in my case I give everyday use and doing quite well and is nice, excellent value for money.</v>
      </c>
    </row>
    <row r="18541">
      <c r="A18541" s="1">
        <v>2.0</v>
      </c>
      <c r="B18541" s="1" t="s">
        <v>18363</v>
      </c>
      <c r="C18541" t="str">
        <f>IFERROR(__xludf.DUMMYFUNCTION("GOOGLETRANSLATE(B18541, ""es"", ""en"")"),"Malillos cheap and very good materials and knew it was a cheap watch, seems made of brass, but hey, is fairly attractive, very simple, small, and easy to read")</f>
        <v>Malillos cheap and very good materials and knew it was a cheap watch, seems made of brass, but hey, is fairly attractive, very simple, small, and easy to read</v>
      </c>
    </row>
    <row r="18542">
      <c r="A18542" s="1">
        <v>3.0</v>
      </c>
      <c r="B18542" s="1" t="s">
        <v>18364</v>
      </c>
      <c r="C18542" t="str">
        <f>IFERROR(__xludf.DUMMYFUNCTION("GOOGLETRANSLATE(B18542, ""es"", ""en"")"),"Shame the snagged on promotion for 20 euros and luxury, lead me on the comments had and punctuation but no one commented the number of cuts that have outdoors, to be within the gym are good, put the phone on the tape and luxury but the problem is when you"&amp;" go inside to walk the dog or go directly to buy bread xD has a number of cuts is not normal having mobile even in hand.")</f>
        <v>Shame the snagged on promotion for 20 euros and luxury, lead me on the comments had and punctuation but no one commented the number of cuts that have outdoors, to be within the gym are good, put the phone on the tape and luxury but the problem is when you go inside to walk the dog or go directly to buy bread xD has a number of cuts is not normal having mobile even in hand.</v>
      </c>
    </row>
    <row r="18543">
      <c r="A18543" s="1">
        <v>1.0</v>
      </c>
      <c r="B18543" s="1" t="s">
        <v>18365</v>
      </c>
      <c r="C18543" t="str">
        <f>IFERROR(__xludf.DUMMYFUNCTION("GOOGLETRANSLATE(B18543, ""es"", ""en"")"),"No smell have to add a lot of product I bought other oils and smell more. Just smell it, you have to take a lot of product.")</f>
        <v>No smell have to add a lot of product I bought other oils and smell more. Just smell it, you have to take a lot of product.</v>
      </c>
    </row>
    <row r="18544">
      <c r="A18544" s="1">
        <v>1.0</v>
      </c>
      <c r="B18544" s="1" t="s">
        <v>18366</v>
      </c>
      <c r="C18544" t="str">
        <f>IFERROR(__xludf.DUMMYFUNCTION("GOOGLETRANSLATE(B18544, ""es"", ""en"")"),"Bad bad. not hold well in the ear. If the tires are changed by others that come from another size they do not stop falling to the minimum. Not worth it.")</f>
        <v>Bad bad. not hold well in the ear. If the tires are changed by others that come from another size they do not stop falling to the minimum. Not worth it.</v>
      </c>
    </row>
    <row r="18545">
      <c r="A18545" s="1">
        <v>4.0</v>
      </c>
      <c r="B18545" s="1" t="s">
        <v>18367</v>
      </c>
      <c r="C18545" t="str">
        <f>IFERROR(__xludf.DUMMYFUNCTION("GOOGLETRANSLATE(B18545, ""es"", ""en"")"),"Very comfortable enough to be comfortable mountain shoes Strong resistant slippers for kilometers without problems for any site that is put forward")</f>
        <v>Very comfortable enough to be comfortable mountain shoes Strong resistant slippers for kilometers without problems for any site that is put forward</v>
      </c>
    </row>
    <row r="18546">
      <c r="A18546" s="1">
        <v>4.0</v>
      </c>
      <c r="B18546" s="1" t="s">
        <v>18368</v>
      </c>
      <c r="C18546" t="str">
        <f>IFERROR(__xludf.DUMMYFUNCTION("GOOGLETRANSLATE(B18546, ""es"", ""en"")"),"Normal is not bad because I bought it as a product plus half a red ticket. So does its job perfectly. I must say that with banks sixed the wheel does not fit well, you have left over, but otherwise, fine. Eye brand 5 stars you put it across the front.")</f>
        <v>Normal is not bad because I bought it as a product plus half a red ticket. So does its job perfectly. I must say that with banks sixed the wheel does not fit well, you have left over, but otherwise, fine. Eye brand 5 stars you put it across the front.</v>
      </c>
    </row>
    <row r="18547">
      <c r="A18547" s="1">
        <v>4.0</v>
      </c>
      <c r="B18547" s="1" t="s">
        <v>18369</v>
      </c>
      <c r="C18547" t="str">
        <f>IFERROR(__xludf.DUMMYFUNCTION("GOOGLETRANSLATE(B18547, ""es"", ""en"")"),"Good lycra not stay")</f>
        <v>Good lycra not stay</v>
      </c>
    </row>
    <row r="18548">
      <c r="A18548" s="1">
        <v>4.0</v>
      </c>
      <c r="B18548" s="1" t="s">
        <v>18370</v>
      </c>
      <c r="C18548" t="str">
        <f>IFERROR(__xludf.DUMMYFUNCTION("GOOGLETRANSLATE(B18548, ""es"", ""en"")"),"Good product. Good product. It arrived exactly on the appointed day, in three days. The product works perfectly. The problem I see is that there are instructions in Castilian, and if they are for an older person who does not know English is a little diffi"&amp;"cult to connect with mobile. Still all good.")</f>
        <v>Good product. Good product. It arrived exactly on the appointed day, in three days. The product works perfectly. The problem I see is that there are instructions in Castilian, and if they are for an older person who does not know English is a little difficult to connect with mobile. Still all good.</v>
      </c>
    </row>
    <row r="18549">
      <c r="A18549" s="1">
        <v>5.0</v>
      </c>
      <c r="B18549" s="1" t="s">
        <v>18371</v>
      </c>
      <c r="C18549" t="str">
        <f>IFERROR(__xludf.DUMMYFUNCTION("GOOGLETRANSLATE(B18549, ""es"", ""en"")"),"adhexiva correct tape and being perfect for use Scotch brand could not be otherwise, brings a lot of rolls and at a very affordable price.")</f>
        <v>adhexiva correct tape and being perfect for use Scotch brand could not be otherwise, brings a lot of rolls and at a very affordable price.</v>
      </c>
    </row>
    <row r="18550">
      <c r="A18550" s="1">
        <v>5.0</v>
      </c>
      <c r="B18550" s="1" t="s">
        <v>18372</v>
      </c>
      <c r="C18550" t="str">
        <f>IFERROR(__xludf.DUMMYFUNCTION("GOOGLETRANSLATE(B18550, ""es"", ""en"")"),"Super comfort you comfortable")</f>
        <v>Super comfort you comfortable</v>
      </c>
    </row>
    <row r="18551">
      <c r="A18551" s="1">
        <v>5.0</v>
      </c>
      <c r="B18551" s="1" t="s">
        <v>18373</v>
      </c>
      <c r="C18551" t="str">
        <f>IFERROR(__xludf.DUMMYFUNCTION("GOOGLETRANSLATE(B18551, ""es"", ""en"")"),"I bought very nice pad to relieve my back problems. It reaches a very pleasant temperature without actually still burn in position number 3. It has a very soft touch. Highly recommended purchase")</f>
        <v>I bought very nice pad to relieve my back problems. It reaches a very pleasant temperature without actually still burn in position number 3. It has a very soft touch. Highly recommended purchase</v>
      </c>
    </row>
    <row r="18552">
      <c r="A18552" s="1">
        <v>5.0</v>
      </c>
      <c r="B18552" s="1" t="s">
        <v>18374</v>
      </c>
      <c r="C18552" t="str">
        <f>IFERROR(__xludf.DUMMYFUNCTION("GOOGLETRANSLATE(B18552, ""es"", ""en"")"),"good machine very useful for peeling vegetables, carrots, etc recommended and good quality, is not essential in the kitchen")</f>
        <v>good machine very useful for peeling vegetables, carrots, etc recommended and good quality, is not essential in the kitchen</v>
      </c>
    </row>
    <row r="18553">
      <c r="A18553" s="1">
        <v>5.0</v>
      </c>
      <c r="B18553" s="1" t="s">
        <v>18375</v>
      </c>
      <c r="C18553" t="str">
        <f>IFERROR(__xludf.DUMMYFUNCTION("GOOGLETRANSLATE(B18553, ""es"", ""en"")"),"Pretty Good finishes Very nice gift.")</f>
        <v>Pretty Good finishes Very nice gift.</v>
      </c>
    </row>
    <row r="18554">
      <c r="A18554" s="1">
        <v>5.0</v>
      </c>
      <c r="B18554" s="1" t="s">
        <v>18376</v>
      </c>
      <c r="C18554" t="str">
        <f>IFERROR(__xludf.DUMMYFUNCTION("GOOGLETRANSLATE(B18554, ""es"", ""en"")"),"A great gift and been liked, for the price it has this really well ,,, relax if or if., Every day for a while and stay like new, certainly a success.")</f>
        <v>A great gift and been liked, for the price it has this really well ,,, relax if or if., Every day for a while and stay like new, certainly a success.</v>
      </c>
    </row>
    <row r="18555">
      <c r="A18555" s="1">
        <v>5.0</v>
      </c>
      <c r="B18555" s="1" t="s">
        <v>18377</v>
      </c>
      <c r="C18555" t="str">
        <f>IFERROR(__xludf.DUMMYFUNCTION("GOOGLETRANSLATE(B18555, ""es"", ""en"")"),"They endure many hours without gecarga work perfectly and have good transmission range across several walls, just put some suggestions: The lower volume still do a little lower Warn 30 min before the end of the load")</f>
        <v>They endure many hours without gecarga work perfectly and have good transmission range across several walls, just put some suggestions: The lower volume still do a little lower Warn 30 min before the end of the load</v>
      </c>
    </row>
    <row r="18556">
      <c r="A18556" s="1">
        <v>5.0</v>
      </c>
      <c r="B18556" s="1" t="s">
        <v>18378</v>
      </c>
      <c r="C18556" t="str">
        <f>IFERROR(__xludf.DUMMYFUNCTION("GOOGLETRANSLATE(B18556, ""es"", ""en"")"),"Great USB Memory USB Memory elegant, robust, high quality and reliability. With the hole you can put a keychain or ornament to keep the memory. Non incordiar reduced size. Perfect for use in the car ...")</f>
        <v>Great USB Memory USB Memory elegant, robust, high quality and reliability. With the hole you can put a keychain or ornament to keep the memory. Non incordiar reduced size. Perfect for use in the car ...</v>
      </c>
    </row>
    <row r="18557">
      <c r="A18557" s="1">
        <v>5.0</v>
      </c>
      <c r="B18557" s="1" t="s">
        <v>18379</v>
      </c>
      <c r="C18557" t="str">
        <f>IFERROR(__xludf.DUMMYFUNCTION("GOOGLETRANSLATE(B18557, ""es"", ""en"")"),"Bureau Bureau. I do not like cords")</f>
        <v>Bureau Bureau. I do not like cords</v>
      </c>
    </row>
    <row r="18558">
      <c r="A18558" s="1">
        <v>5.0</v>
      </c>
      <c r="B18558" s="1" t="s">
        <v>18380</v>
      </c>
      <c r="C18558" t="str">
        <f>IFERROR(__xludf.DUMMYFUNCTION("GOOGLETRANSLATE(B18558, ""es"", ""en"")"),"Good price / quality. It goes very well on the PC and the smartphone.")</f>
        <v>Good price / quality. It goes very well on the PC and the smartphone.</v>
      </c>
    </row>
    <row r="18559">
      <c r="A18559" s="1">
        <v>5.0</v>
      </c>
      <c r="B18559" s="1" t="s">
        <v>18381</v>
      </c>
      <c r="C18559" t="str">
        <f>IFERROR(__xludf.DUMMYFUNCTION("GOOGLETRANSLATE(B18559, ""es"", ""en"")"),"elegant design and it's very nice watch the small spheres work is very nice not need to spend much money on a watch that has quality is very high.")</f>
        <v>elegant design and it's very nice watch the small spheres work is very nice not need to spend much money on a watch that has quality is very high.</v>
      </c>
    </row>
    <row r="18560">
      <c r="A18560" s="1">
        <v>5.0</v>
      </c>
      <c r="B18560" s="1" t="s">
        <v>18382</v>
      </c>
      <c r="C18560" t="str">
        <f>IFERROR(__xludf.DUMMYFUNCTION("GOOGLETRANSLATE(B18560, ""es"", ""en"")"),"All perfect! All perfect! I arrive earlier than esperava and the product perfectly meets my expectations.")</f>
        <v>All perfect! All perfect! I arrive earlier than esperava and the product perfectly meets my expectations.</v>
      </c>
    </row>
    <row r="18561">
      <c r="A18561" s="1">
        <v>5.0</v>
      </c>
      <c r="B18561" s="1" t="s">
        <v>18383</v>
      </c>
      <c r="C18561" t="str">
        <f>IFERROR(__xludf.DUMMYFUNCTION("GOOGLETRANSLATE(B18561, ""es"", ""en"")"),"Perfect, 10/10 Very easy to use and the quality of Logitech. It fits the hand perfectly, and weighs laser pointer reaches a distance. Perfect for presentations in class or events. I use it every day in college and never gave me problems.")</f>
        <v>Perfect, 10/10 Very easy to use and the quality of Logitech. It fits the hand perfectly, and weighs laser pointer reaches a distance. Perfect for presentations in class or events. I use it every day in college and never gave me problems.</v>
      </c>
    </row>
    <row r="18562">
      <c r="A18562" s="1">
        <v>5.0</v>
      </c>
      <c r="B18562" s="1" t="s">
        <v>18384</v>
      </c>
      <c r="C18562" t="str">
        <f>IFERROR(__xludf.DUMMYFUNCTION("GOOGLETRANSLATE(B18562, ""es"", ""en"")"),"Perfect arrived before date, well wrapped, good quality.")</f>
        <v>Perfect arrived before date, well wrapped, good quality.</v>
      </c>
    </row>
    <row r="18563">
      <c r="A18563" s="1">
        <v>5.0</v>
      </c>
      <c r="B18563" s="1" t="s">
        <v>18385</v>
      </c>
      <c r="C18563" t="str">
        <f>IFERROR(__xludf.DUMMYFUNCTION("GOOGLETRANSLATE(B18563, ""es"", ""en"")"),"quality bag with several pockets, value for money excellent great ability to carry personal belongings")</f>
        <v>quality bag with several pockets, value for money excellent great ability to carry personal belongings</v>
      </c>
    </row>
    <row r="18564">
      <c r="A18564" s="1">
        <v>5.0</v>
      </c>
      <c r="B18564" s="1" t="s">
        <v>18386</v>
      </c>
      <c r="C18564" t="str">
        <f>IFERROR(__xludf.DUMMYFUNCTION("GOOGLETRANSLATE(B18564, ""es"", ""en"")"),"It comes with hard massages her sleeve to always keep that is not used. Once outside connect it to the current, you have two buttons for activating different rotation d elastic balls and one for speed thereof. The device comes with a rubber ma back to tha"&amp;"t put on the head of the chair, sofa or wherever even comes with an outlet for the car for use in the car. A curious thing is that it brings zipper to remove and wash the cover and finally say you can use it in any area of ​​the body, highly recommended t"&amp;"o release accumulated tensions")</f>
        <v>It comes with hard massages her sleeve to always keep that is not used. Once outside connect it to the current, you have two buttons for activating different rotation d elastic balls and one for speed thereof. The device comes with a rubber ma back to that put on the head of the chair, sofa or wherever even comes with an outlet for the car for use in the car. A curious thing is that it brings zipper to remove and wash the cover and finally say you can use it in any area of ​​the body, highly recommended to release accumulated tensions</v>
      </c>
    </row>
    <row r="18565">
      <c r="A18565" s="1">
        <v>5.0</v>
      </c>
      <c r="B18565" s="1" t="s">
        <v>18387</v>
      </c>
      <c r="C18565" t="str">
        <f>IFERROR(__xludf.DUMMYFUNCTION("GOOGLETRANSLATE(B18565, ""es"", ""en"")"),"Pretty vacuum cleaner and power I was surprised the truth by the power you have and the aesthetics of the vacuum that is elegant and very comfortable to use, I tried other vacuums for cars and have not had suction that has this also comes in full .now not"&amp;" given me so lazy to clean the car because I have a baby and I get the car ..... and I was too lazy to have q go to a gas station to vacuuming, and now at any time step at a time and ready, in conclusion, I am very pleased with purchase")</f>
        <v>Pretty vacuum cleaner and power I was surprised the truth by the power you have and the aesthetics of the vacuum that is elegant and very comfortable to use, I tried other vacuums for cars and have not had suction that has this also comes in full .now not given me so lazy to clean the car because I have a baby and I get the car ..... and I was too lazy to have q go to a gas station to vacuuming, and now at any time step at a time and ready, in conclusion, I am very pleased with purchase</v>
      </c>
    </row>
    <row r="18566">
      <c r="A18566" s="1">
        <v>5.0</v>
      </c>
      <c r="B18566" s="1" t="s">
        <v>18388</v>
      </c>
      <c r="C18566" t="str">
        <f>IFERROR(__xludf.DUMMYFUNCTION("GOOGLETRANSLATE(B18566, ""es"", ""en"")"),"Quiet and effective ... To thoroughly clean a brush and hand ... but surprisingly for weekly maintenance is fabulous, the first configuration is not complicated, it makes a mapping of the house and then you can send to clean a room If you are interested i"&amp;"n particular, is a joy to be away from home and start it with the phone, get home and see that it is clean, it is also curious to see how the first few times going directly to a clean point and becomes concrete. Autonomy is sufficient in a house about 120"&amp;" m when it ends goes to the point of recharge automatically, still have not tried the option scrubbing. The noise level is acceptable, much less than a standard vacuum cleaner, and the capacity of the reservoir is sufficient for a complete cleaning circui"&amp;"t.")</f>
        <v>Quiet and effective ... To thoroughly clean a brush and hand ... but surprisingly for weekly maintenance is fabulous, the first configuration is not complicated, it makes a mapping of the house and then you can send to clean a room If you are interested in particular, is a joy to be away from home and start it with the phone, get home and see that it is clean, it is also curious to see how the first few times going directly to a clean point and becomes concrete. Autonomy is sufficient in a house about 120 m when it ends goes to the point of recharge automatically, still have not tried the option scrubbing. The noise level is acceptable, much less than a standard vacuum cleaner, and the capacity of the reservoir is sufficient for a complete cleaning circuit.</v>
      </c>
    </row>
    <row r="18567">
      <c r="A18567" s="1">
        <v>2.0</v>
      </c>
      <c r="B18567" s="1" t="s">
        <v>18389</v>
      </c>
      <c r="C18567" t="str">
        <f>IFERROR(__xludf.DUMMYFUNCTION("GOOGLETRANSLATE(B18567, ""es"", ""en"")"),"Most of these pedal mops know are pedal and nothing is specified, a purchased was once I found out I was pushing the mop stick down thing I do not like anything.")</f>
        <v>Most of these pedal mops know are pedal and nothing is specified, a purchased was once I found out I was pushing the mop stick down thing I do not like anything.</v>
      </c>
    </row>
    <row r="18568">
      <c r="A18568" s="1">
        <v>3.0</v>
      </c>
      <c r="B18568" s="1" t="s">
        <v>18390</v>
      </c>
      <c r="C18568" t="str">
        <f>IFERROR(__xludf.DUMMYFUNCTION("GOOGLETRANSLATE(B18568, ""es"", ""en"")"),"I use a 43 bit small, and ignoring me of comments and ask for more a number, just left me, they will over time but are very comfortable.")</f>
        <v>I use a 43 bit small, and ignoring me of comments and ask for more a number, just left me, they will over time but are very comfortable.</v>
      </c>
    </row>
    <row r="18569">
      <c r="A18569" s="1">
        <v>3.0</v>
      </c>
      <c r="B18569" s="1" t="s">
        <v>18391</v>
      </c>
      <c r="C18569" t="str">
        <f>IFERROR(__xludf.DUMMYFUNCTION("GOOGLETRANSLATE(B18569, ""es"", ""en"")"),"Tiny is very small. When you have it in your hand it has a negligible presence. I recommend using it only as a gift if you add a stand as a bracelet or pendant.")</f>
        <v>Tiny is very small. When you have it in your hand it has a negligible presence. I recommend using it only as a gift if you add a stand as a bracelet or pendant.</v>
      </c>
    </row>
    <row r="18570">
      <c r="A18570" s="1">
        <v>1.0</v>
      </c>
      <c r="B18570" s="1" t="s">
        <v>18392</v>
      </c>
      <c r="C18570" t="str">
        <f>IFERROR(__xludf.DUMMYFUNCTION("GOOGLETRANSLATE(B18570, ""es"", ""en"")"),"Stainless foot broken. I think the company should take care of a broken foot blender has already happened in too many buyers of the product. Turns out, the mixer foot stainless steel looks whole, but inside is plastic and breaks very easily. On one page o"&amp;"f the house I saw that this accessory charge for half of what bleat blender with all its accessories. I think a robbery. fully advise against buying this product.")</f>
        <v>Stainless foot broken. I think the company should take care of a broken foot blender has already happened in too many buyers of the product. Turns out, the mixer foot stainless steel looks whole, but inside is plastic and breaks very easily. On one page of the house I saw that this accessory charge for half of what bleat blender with all its accessories. I think a robbery. fully advise against buying this product.</v>
      </c>
    </row>
    <row r="18571">
      <c r="A18571" s="1">
        <v>1.0</v>
      </c>
      <c r="B18571" s="1" t="s">
        <v>18393</v>
      </c>
      <c r="C18571" t="str">
        <f>IFERROR(__xludf.DUMMYFUNCTION("GOOGLETRANSLATE(B18571, ""es"", ""en"")"),"SCAM-SCAM If Pictured are two boxes and the specifications of the product sets that each box contains approximately 1,000 staples you assume you pay two boxes. I really only came one with what I feel cheated. There were cheaper options. I will not repeat "&amp;"with the seller. I do not recommend it.")</f>
        <v>SCAM-SCAM If Pictured are two boxes and the specifications of the product sets that each box contains approximately 1,000 staples you assume you pay two boxes. I really only came one with what I feel cheated. There were cheaper options. I will not repeat with the seller. I do not recommend it.</v>
      </c>
    </row>
    <row r="18572">
      <c r="A18572" s="1">
        <v>4.0</v>
      </c>
      <c r="B18572" s="1" t="s">
        <v>18394</v>
      </c>
      <c r="C18572" t="str">
        <f>IFERROR(__xludf.DUMMYFUNCTION("GOOGLETRANSLATE(B18572, ""es"", ""en"")"),"Very good as expected by Chicco is high quality and fits perfectly everywhere. Avent pass this and do not regret")</f>
        <v>Very good as expected by Chicco is high quality and fits perfectly everywhere. Avent pass this and do not regret</v>
      </c>
    </row>
    <row r="18573">
      <c r="A18573" s="1">
        <v>4.0</v>
      </c>
      <c r="B18573" s="1" t="s">
        <v>18395</v>
      </c>
      <c r="C18573" t="str">
        <f>IFERROR(__xludf.DUMMYFUNCTION("GOOGLETRANSLATE(B18573, ""es"", ""en"")"),"Supernana USB memory. The USB memory and have used and works properly. What happens is that I'm a little repenting for its size and for the use that will give. In a TV is so small as not to know where you stop, it seems easy to misplace. Imagine its size "&amp;"""nano"" for other uses is recommended.")</f>
        <v>Supernana USB memory. The USB memory and have used and works properly. What happens is that I'm a little repenting for its size and for the use that will give. In a TV is so small as not to know where you stop, it seems easy to misplace. Imagine its size "nano" for other uses is recommended.</v>
      </c>
    </row>
    <row r="18574">
      <c r="A18574" s="1">
        <v>4.0</v>
      </c>
      <c r="B18574" s="1" t="s">
        <v>18396</v>
      </c>
      <c r="C18574" t="str">
        <f>IFERROR(__xludf.DUMMYFUNCTION("GOOGLETRANSLATE(B18574, ""es"", ""en"")"),"Good product No and first island time I buy tree tea by Amazon, and I opted for this product for the price and size, seemed like a good option, arrive on time as always and I already surprised it has a metered dropper and diluted with some water is great,"&amp;" recommended.")</f>
        <v>Good product No and first island time I buy tree tea by Amazon, and I opted for this product for the price and size, seemed like a good option, arrive on time as always and I already surprised it has a metered dropper and diluted with some water is great, recommended.</v>
      </c>
    </row>
    <row r="18575">
      <c r="A18575" s="1">
        <v>4.0</v>
      </c>
      <c r="B18575" s="1" t="s">
        <v>18397</v>
      </c>
      <c r="C18575" t="str">
        <f>IFERROR(__xludf.DUMMYFUNCTION("GOOGLETRANSLATE(B18575, ""es"", ""en"")"),"Perfect. All very well and fast in order. Blenders very powerful, meets my expectations. It is adjusted as described in the announcement. All perfect")</f>
        <v>Perfect. All very well and fast in order. Blenders very powerful, meets my expectations. It is adjusted as described in the announcement. All perfect</v>
      </c>
    </row>
    <row r="18576">
      <c r="A18576" s="1">
        <v>4.0</v>
      </c>
      <c r="B18576" s="1" t="s">
        <v>18398</v>
      </c>
      <c r="C18576" t="str">
        <f>IFERROR(__xludf.DUMMYFUNCTION("GOOGLETRANSLATE(B18576, ""es"", ""en"")"),"Comfy versatile in the same pen the two shots and work with Mac and Windows without adapters, but very delicate mechanism to do so, the pslanca is very fragile and sometimes do not look good ...")</f>
        <v>Comfy versatile in the same pen the two shots and work with Mac and Windows without adapters, but very delicate mechanism to do so, the pslanca is very fragile and sometimes do not look good ...</v>
      </c>
    </row>
    <row r="18577">
      <c r="A18577" s="1">
        <v>5.0</v>
      </c>
      <c r="B18577" s="1" t="s">
        <v>18399</v>
      </c>
      <c r="C18577" t="str">
        <f>IFERROR(__xludf.DUMMYFUNCTION("GOOGLETRANSLATE(B18577, ""es"", ""en"")"),"Gift and seems to have liked, as long as it usually see. The truth is that it is very nice, there seems to be lost luster. Fully reocomendada your purchase.")</f>
        <v>Gift and seems to have liked, as long as it usually see. The truth is that it is very nice, there seems to be lost luster. Fully reocomendada your purchase.</v>
      </c>
    </row>
    <row r="18578">
      <c r="A18578" s="1">
        <v>5.0</v>
      </c>
      <c r="B18578" s="1" t="s">
        <v>18400</v>
      </c>
      <c r="C18578" t="str">
        <f>IFERROR(__xludf.DUMMYFUNCTION("GOOGLETRANSLATE(B18578, ""es"", ""en"")"),"Pretty girl watch Good quality materials. Casio is reliable and durable. Using the belt material loses its color a bit.")</f>
        <v>Pretty girl watch Good quality materials. Casio is reliable and durable. Using the belt material loses its color a bit.</v>
      </c>
    </row>
    <row r="18579">
      <c r="A18579" s="1">
        <v>5.0</v>
      </c>
      <c r="B18579" s="1" t="s">
        <v>18401</v>
      </c>
      <c r="C18579" t="str">
        <f>IFERROR(__xludf.DUMMYFUNCTION("GOOGLETRANSLATE(B18579, ""es"", ""en"")"),"Bandolier daily; Such very comfortable and as described is a backpack / shoulder bag for everyday use and that fits his wallet, keys, a Kindle, the mobile but best of all it fits perfectly. . .")</f>
        <v>Bandolier daily; Such very comfortable and as described is a backpack / shoulder bag for everyday use and that fits his wallet, keys, a Kindle, the mobile but best of all it fits perfectly. . .</v>
      </c>
    </row>
    <row r="18580">
      <c r="A18580" s="1">
        <v>5.0</v>
      </c>
      <c r="B18580" s="1" t="s">
        <v>18402</v>
      </c>
      <c r="C18580" t="str">
        <f>IFERROR(__xludf.DUMMYFUNCTION("GOOGLETRANSLATE(B18580, ""es"", ""en"")"),"Fast and small I was surprised by the price it has. Small but fast and quiet, in a minute we 200ml boiling. Very useful base separate to avoid having to be dragging the cable pouring water.")</f>
        <v>Fast and small I was surprised by the price it has. Small but fast and quiet, in a minute we 200ml boiling. Very useful base separate to avoid having to be dragging the cable pouring water.</v>
      </c>
    </row>
    <row r="18581">
      <c r="A18581" s="1">
        <v>5.0</v>
      </c>
      <c r="B18581" s="1" t="s">
        <v>18403</v>
      </c>
      <c r="C18581" t="str">
        <f>IFERROR(__xludf.DUMMYFUNCTION("GOOGLETRANSLATE(B18581, ""es"", ""en"")"),"Very good Important product; sizes are somewhat larger than usual, I first bought a (giant) I changed L and M everything is in place, serves both to run and to do yoga. Fully recommended and great price and period delivery-")</f>
        <v>Very good Important product; sizes are somewhat larger than usual, I first bought a (giant) I changed L and M everything is in place, serves both to run and to do yoga. Fully recommended and great price and period delivery-</v>
      </c>
    </row>
    <row r="18582">
      <c r="A18582" s="1">
        <v>5.0</v>
      </c>
      <c r="B18582" s="1" t="s">
        <v>18404</v>
      </c>
      <c r="C18582" t="str">
        <f>IFERROR(__xludf.DUMMYFUNCTION("GOOGLETRANSLATE(B18582, ""es"", ""en"")"),"Pretty bad for lightweight and comfortable, the materials are not high quality, but they seem pretty durable")</f>
        <v>Pretty bad for lightweight and comfortable, the materials are not high quality, but they seem pretty durable</v>
      </c>
    </row>
    <row r="18583">
      <c r="A18583" s="1">
        <v>5.0</v>
      </c>
      <c r="B18583" s="1" t="s">
        <v>18405</v>
      </c>
      <c r="C18583" t="str">
        <f>IFERROR(__xludf.DUMMYFUNCTION("GOOGLETRANSLATE(B18583, ""es"", ""en"")"),"It is very nice perfect size and I arrived before :)")</f>
        <v>It is very nice perfect size and I arrived before :)</v>
      </c>
    </row>
    <row r="18584">
      <c r="A18584" s="1">
        <v>5.0</v>
      </c>
      <c r="B18584" s="1" t="s">
        <v>18406</v>
      </c>
      <c r="C18584" t="str">
        <f>IFERROR(__xludf.DUMMYFUNCTION("GOOGLETRANSLATE(B18584, ""es"", ""en"")"),"very good easy installation, accurate the description, expected smaller but great, the desidad of steam is very good and is large in the warehouse, very happy with purchase")</f>
        <v>very good easy installation, accurate the description, expected smaller but great, the desidad of steam is very good and is large in the warehouse, very happy with purchase</v>
      </c>
    </row>
    <row r="18585">
      <c r="A18585" s="1">
        <v>5.0</v>
      </c>
      <c r="B18585" s="1" t="s">
        <v>18407</v>
      </c>
      <c r="C18585" t="str">
        <f>IFERROR(__xludf.DUMMYFUNCTION("GOOGLETRANSLATE(B18585, ""es"", ""en"")"),"They give a more comfortable size poc")</f>
        <v>They give a more comfortable size poc</v>
      </c>
    </row>
    <row r="18586">
      <c r="A18586" s="1">
        <v>5.0</v>
      </c>
      <c r="B18586" s="1" t="s">
        <v>18408</v>
      </c>
      <c r="C18586" t="str">
        <f>IFERROR(__xludf.DUMMYFUNCTION("GOOGLETRANSLATE(B18586, ""es"", ""en"")"),"Very good card good card, and I have bought several, and the truth that the price / quality ratio is the best I have seen, and above being a class 10 for speed writing and reading are very good. Also, if you is not going to be a professional, for a normal"&amp;" user, it comes and it is enough.")</f>
        <v>Very good card good card, and I have bought several, and the truth that the price / quality ratio is the best I have seen, and above being a class 10 for speed writing and reading are very good. Also, if you is not going to be a professional, for a normal user, it comes and it is enough.</v>
      </c>
    </row>
    <row r="18587">
      <c r="A18587" s="1">
        <v>5.0</v>
      </c>
      <c r="B18587" s="1" t="s">
        <v>18409</v>
      </c>
      <c r="C18587" t="str">
        <f>IFERROR(__xludf.DUMMYFUNCTION("GOOGLETRANSLATE(B18587, ""es"", ""en"")"),"A bright brush blades leaves Shipment has been super fast. A Seeing him thought he was great, but then adapted phenomenal blades and is recommended genial.100%")</f>
        <v>A bright brush blades leaves Shipment has been super fast. A Seeing him thought he was great, but then adapted phenomenal blades and is recommended genial.100%</v>
      </c>
    </row>
    <row r="18588">
      <c r="A18588" s="1">
        <v>5.0</v>
      </c>
      <c r="B18588" s="1" t="s">
        <v>18410</v>
      </c>
      <c r="C18588" t="str">
        <f>IFERROR(__xludf.DUMMYFUNCTION("GOOGLETRANSLATE(B18588, ""es"", ""en"")"),"Well, nice and cheap Very nice, I liked especially the chain, which is not like the photo (is better), so no complaints. She liked it a lot.")</f>
        <v>Well, nice and cheap Very nice, I liked especially the chain, which is not like the photo (is better), so no complaints. She liked it a lot.</v>
      </c>
    </row>
    <row r="18589">
      <c r="A18589" s="1">
        <v>5.0</v>
      </c>
      <c r="B18589" s="1" t="s">
        <v>18411</v>
      </c>
      <c r="C18589" t="str">
        <f>IFERROR(__xludf.DUMMYFUNCTION("GOOGLETRANSLATE(B18589, ""es"", ""en"")"),"Good buy I bought my wife who has never been to bring sport and now puts them daily, simple design, classic, super comfortable as she and very easy to clean. You can say that everything a success.")</f>
        <v>Good buy I bought my wife who has never been to bring sport and now puts them daily, simple design, classic, super comfortable as she and very easy to clean. You can say that everything a success.</v>
      </c>
    </row>
    <row r="18590">
      <c r="A18590" s="1">
        <v>5.0</v>
      </c>
      <c r="B18590" s="1" t="s">
        <v>18412</v>
      </c>
      <c r="C18590" t="str">
        <f>IFERROR(__xludf.DUMMYFUNCTION("GOOGLETRANSLATE(B18590, ""es"", ""en"")"),"Preciosa wonderful ... came before")</f>
        <v>Preciosa wonderful ... came before</v>
      </c>
    </row>
    <row r="18591">
      <c r="A18591" s="1">
        <v>5.0</v>
      </c>
      <c r="B18591" s="1" t="s">
        <v>18413</v>
      </c>
      <c r="C18591" t="str">
        <f>IFERROR(__xludf.DUMMYFUNCTION("GOOGLETRANSLATE(B18591, ""es"", ""en"")"),"Fast and elegant &lt;div id = ""video-block-R3CDW6A9DAL88V"" class = ""section a-a-a-spacing-small spacing-top-video mini-block""&gt; &lt;div tabindex = ""0"" class = ""airy airy- svg vmin-unsupported airy-skin-beacon ""style ="" background-color: rgb (0, 0, 0) po"&amp;"sition: relative; width: 100%; height: 100%; font-size: 0px; overflow: hidden; outline: none; ""&gt; &lt;div class ="" airy-renderer-container ""style ="" position: relative; height: 100%; width: 100%; ""&gt; &lt;video id ="" 7 ""preload ="" auto ""src = ""https://im"&amp;"ages-eu.ssl-images-amazon.com/images/I/A12Idzo0liS.mp4"" style = ""position: absolute; left: 0px; top: 0px; overflow: hidden; height: 1px; width: 1px; ""&gt; &lt;/ video&gt; &lt;/ div&gt; &lt;div id ="" airy-slate-preload ""style ="" background-color: rgb (0, 0, 0); backgr"&amp;"ound-image: url (&amp; quot; https: / /images-eu.ssl-images-amazon.com/images/I/A14mfbDqWjS.png&amp;quot;); background-size: Contain; background-position: center center; background-repeat: no-repeat; position: absolute; top: 0px; left: 0px; visibility: visible; w"&amp;"idth: 100%; height: 100%; ""&gt; &lt;/ div&gt; &lt;iframe scroll ing = ""no"" frameborder = ""0"" src = ""about: blank"" style = ""display: none;""&gt; &lt;/ iframe&gt; &lt;div tabindex = ""- 1"" class = ""airy-controls-container"" style = "" opacity: 0; visibility: hidden; ""&gt; "&amp;"&lt;div tabindex ="" - 1 ""class ="" airy-screen-size-toggle airy-fullscreen ""&gt; &lt;/ div&gt; &lt;div tabindex ="" - 1 ""class ="" airy-container-bottom "" &gt; &lt;div tabindex = ""- 1"" class = ""airy-track-bar-spacer-left"" style = ""width: 11px;""&gt; &lt;/ div&gt; &lt;div tabind"&amp;"ex = ""- 1"" class = ""airy-play- airy toggle-play ""style ="" width: 12px; margin-right: 12px; ""&gt; &lt;/ div&gt; &lt;div tabindex ="" - 1 ""class ="" airy-audio-elements ""style ="" float: right; width: 34px; ""&gt; &lt;div tabindex ="" - 1 ""class ="" airy-audio-toggl"&amp;"e airy-on ""&gt; &lt;/ div&gt; &lt;div tabindex ="" - 1 ""class ="" airy-audio-container ""style = ""opacity: 0; visibility: hidden; ""&gt; &lt;div tabindex ="" - 1 ""class ="" airy-audio-track-bar ""style ="" height: 80%; ""&gt; &lt;div tabindex ="" - 1 ""class ="" airy-audio- "&amp;"Scrubber-bar ""style ="" height: 85%; ""&gt; &lt;/ div&gt; &lt;div tabindex ="" - 1 ""class ="" airy-audio-scrubber ""style ="" height: 12px; bottom: 85% ""&gt; &lt;/ div&gt; &lt;/ div&gt; &lt;/ div&gt; &lt;/ div&gt; &lt;div tabindex ="" - 1 ""class ="" airy-duration-label ""style ="" float: righ"&amp;"t; width: 26px; margin-right: 4px; text-align: center; ""&gt; 0:16 &lt;/ div&gt; &lt;div tabindex ="" - 1 ""class ="" airy-track-bar-spacer-right ""style ="" float: right; width: 11px; ""&gt; &lt;/ div&gt; &lt;div tabindex ="" - 1 ""class ="" airy-track-bar-container ""style ="""&amp;" margin-left: 35px; margin-right: 75px; ""&gt; &lt;div tabindex ="" - 1 ""class ="" airy-airy-track-bar vertically-centering-table ""&gt; &lt;div tabindex ="" - 1 ""class ="" airy-Vertical-centering- table-cell ""&gt; &lt;div tabindex ="" - 1 ""class ="" airy-track bar-ele"&amp;"ments ""&gt; &lt;div tabindex ="" - 1 ""class ="" airy-progress bar ""style ="" width: 100%; ""&gt; &lt;/ div&gt; &lt;div tabindex ="" - 1 ""class ="" airy-scrubber-bar ""&gt; &lt;/ div&gt; &lt;div tabindex ="" - 1 ""class ="" airy-scrubber ""&gt; &lt;div tabindex ="" - 1 ""class ="" airy-s"&amp;"crubber-icon ""&gt; &lt;/ div&gt; &lt;div tabindex ="" - 1 ""class ="" airy-adjusted-AUI-tooltip ""style ="" opacity: 0; visibility: hidden; ""&gt; &lt;div tabindex ="" - 1 ""class ="" airy-adjusted-aui-tooltip-inner ""&gt; &lt;div tabindex ="" - 1 ""class ="" airy-current-time-"&amp;"label ""&gt; 0: 00 &lt;/ div&gt; &lt;/ div&gt; &lt;div tabindex = ""- 1"" class = ""airy-adjusted-AUI-arrow-border""&gt; &lt;div tabindex = ""- 1"" class = ""airy-adjusted-AUI-arrow"" &gt; &lt;/ div&gt; &lt;/ div&gt; &lt;/ div&gt; &lt;/ div&gt; &lt;/ div&gt; &lt;/ div&gt; &lt;/ div&gt; &lt;/ div&gt; &lt;/ div&gt; &lt;/ div&gt; &lt;div tabindex"&amp;" = ""- 1"" class = ""airy-age-gate airy-stage airy-Vertical-centering-table airy-dialog"" style = ""opacity: 0; visibility: hidden; ""&gt; &lt;div tabindex ="" - 1 ""class ="" airy-age-gate-Vertical-centering-table-cell airy-Vertical-centering-table-cell ""&gt; &lt;d"&amp;"iv tabindex ="" - 1 ""class = ""airy-Vertical-centering-wrapper airy-age-gate-elements-wrapper""&gt; &lt;div tabindex = ""- 1"" class = ""airy-age-gate-elements airy-dialog-elements""&gt; &lt;div tabindex = "" -1 ""class ="" airy-age-gate-prompt ""&gt; This video is not"&amp;" Intended for all audiences What date were you born &lt;/ div&gt; &lt;div tabindex =.?"" - 1 ""class ="" airy-age-gate -inputs airy-dialog-inner-elements ""&gt; &lt;select tabindex ="" - 1 ""class ="" airy-age-gate-month ""&gt; &lt;option value ="" 1 ""&gt; January &lt;/ option&gt; &lt;o"&amp;"ption value ="" 2 ""&gt; February &lt;/ option&gt; &lt;option value ="" 3 ""&gt; March &lt;/ option&gt; &lt;option value ="" 4 ""&gt; April &lt;/ option&gt; &lt;option value ="" 5 ""&gt; May &lt;/ option&gt; &lt;option value = ""6""&gt; June &lt;/ option&gt; &lt;option value = ""7""&gt; July &lt;/ option&gt; &lt;option value "&amp;"= ""8""&gt; August &lt;/ option&gt; &lt;option value = ""9""&gt; September &lt;/ option&gt; &lt;option value = ""10""&gt; October &lt;/ option&gt; &lt;option value = ""11""&gt; November &lt;/ option&gt; &lt;option value = ""12""&gt; December &lt;/ option&gt; &lt;/ select&gt; &lt;select tabindex = ""- 1"" class = ""airy-"&amp;"age-gate-day""&gt; &lt;opti on value = ""1""&gt; 1 &lt;/ option&gt; &lt;option value = ""2""&gt; 2 &lt;/ option&gt; &lt;option value = ""3""&gt; 3 &lt;/ option&gt; &lt;option value = ""4""&gt; 4 &lt;/ option &gt; &lt;option value = ""5""&gt; 5 &lt;/ option&gt; &lt;option value = ""6""&gt; 6 &lt;/ option&gt; &lt;option value = ""7"""&amp;"&gt; 7 &lt;/ option&gt; &lt;option value = ""8""&gt; 8 &lt; / option&gt; &lt;option value = ""9""&gt; 9 &lt;/ option&gt; &lt;option value = ""10""&gt; 10 &lt;/ option&gt; &lt;option value = ""11""&gt; 11 &lt;/ option&gt; &lt;option value = ""12""&gt; 12 &lt;/ option&gt; &lt;option value = ""13""&gt; 13 &lt;/ option&gt; &lt;option value ="&amp;" ""14""&gt; 14 &lt;/ option&gt; &lt;option value = ""15""&gt; 15 &lt;/ option&gt; &lt;option value = ""16 ""&gt; 16 &lt;/ option&gt; &lt;option value ="" 17 ""&gt; 17 &lt;/ option&gt; &lt;option value ="" 18 ""&gt; 18 &lt;/ option&gt; &lt;option value ="" 19 ""&gt; 19 &lt;/ option&gt; &lt;option value = ""20""&gt; 20 &lt;/ option&gt; "&amp;"&lt;option value = ""21""&gt; 21 &lt;/ option&gt; &lt;option value = ""22""&gt; 22 &lt;/ option&gt; &lt;option value = ""23""&gt; 23 &lt;/ option&gt; &lt;option value = ""24""&gt; 24 &lt;/ option&gt; &lt;option value = ""25""&gt; 25 &lt;/ option&gt; &lt;option value = ""26""&gt; 26 &lt;/ option&gt; &lt;option value = ""27""&gt; 27 "&amp;"&lt;/ option&gt; &lt;option value = ""28""&gt; 28 &lt;/ option&gt; &lt;option value = ""29""&gt; 29 &lt;/ option&gt; &lt;option value = ""30""&gt; 30 &lt;/ option&gt; &lt;option value = ""31""&gt; 31 &lt;/ option&gt; &lt;/ select&gt; &lt;select tabindex = ""- 1"" class = ""airy-age-gate-year""&gt; &lt;option value = ""2019"&amp;"""&gt; 2019 &lt;/ option&gt; &lt; option value = ""2018""&gt; 2018 &lt;/ option&gt; &lt;option value = ""2017""&gt; 2017 &lt;/ option&gt; &lt;option value = ""2016""&gt; ​​2016 &lt;/ option&gt; &lt;option value = ""2015""&gt; 2015 &lt;/ option &gt; &lt;option value = ""2014""&gt; 2014 &lt;/ option&gt; &lt;option value = ""201"&amp;"3""&gt; 2013 &lt;/ option&gt; &lt;option value = ""2012""&gt; 2012 &lt;/ option&gt; &lt;option value = ""2011""&gt; 2011 &lt; / option&gt; &lt;option value = ""2010""&gt; 2010 &lt;/ option&gt; &lt;option value = ""2009""&gt; 2009 &lt;/ option&gt; &lt;option value = ""2008""&gt; 2008 &lt;/ option&gt; &lt;option value = ""2007"&amp;"""&gt; 2007 &lt;/ option&gt; &lt;option value = ""2006""&gt; 2006 &lt;/ option&gt; &lt;option value = ""2005""&gt; 2005 &lt;/ option&gt; &lt;option value = ""2004""&gt; 2004 &lt;/ option&gt; &lt;option value = ""2003 ""&gt; 2003 &lt;/ option&gt; &lt;option value ="" 2002 ""&gt; 2002 &lt;/ option&gt; &lt;option value ="" 2001 "&amp;"""&gt;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""&gt;"&amp;" 1989 &lt;/ option&gt; &lt;option value ="" 1988 ""&gt; 1988 &lt;/ option&gt; &lt;option value ="" 1987 ""&gt; 1987 &lt;/ option&gt; &lt;option value ="" 1986 ""&gt; 1986 &lt;/ option&gt; &lt;value option = ""1985""&gt; 1985 &lt;/ option&gt; &lt;option value = ""1984""&gt; 1984 &lt;/ option&gt; &lt;option value = ""1983""&gt;"&amp;" 1983 &lt;/ option&gt; &lt;option value = ""1982""&gt; 1982 &lt;/ option&gt; &lt; option value = ""1981""&gt; 1981 &lt;/ option&gt; &lt;option value = ""1980""&gt; 1980 &lt;/ option&gt; &lt;option value = ""1979""&gt; 1979 &lt;/ option&gt; &lt;option value = ""1978""&gt; 1978 &lt;/ option &gt; &lt;option value = ""1977""&gt; "&amp;"1977 &lt;/ option&gt; &lt;option value = ""1976""&gt; 1976 &lt;/ option&gt; &lt;option value = ""1975""&gt; 1975 &lt;/ option&gt; &lt;option value = ""1974""&gt; 1974 &lt; / option&gt; &lt;option value = ""1973""&gt; 1973 &lt;/ option&gt; &lt;option value = ""1972""&gt; 1972 &lt;/ option&gt; &lt;option value = ""1971""&gt; 19"&amp;"71 &lt;/ option&gt; &lt;option value = ""1970""&gt; 1970 &lt;/ option&gt; &lt;option value = ""1969""&gt; 1969 &lt;/ option&gt; &lt;option value = ""1968""&gt; 1968 &lt;/ option&gt; &lt;option value = ""1967""&gt; 1967 &lt;/ option&gt; &lt;option value = ""1966 ""&gt; 1966 &lt;/ option&gt; &lt;option value ="" 1965 ""&gt; 196"&amp;"5 &lt;/ option&gt; &lt;option value ="" 1964 ""&gt; 1964 &lt;/ option&gt; &lt;option value ="" 1963 ""&gt; 1963 &lt;/ option&gt; &lt;option value = ""1962""&gt; 1962 &lt;/ option&gt; &lt;option value = ""1961""&gt; 1961 &lt;/ option&gt; &lt;option value = ""1960""&gt; 1960 &lt;/ op tion&gt; &lt;option value = ""1959""&gt; 195"&amp;"9 &lt;/ option&gt; &lt;option value = ""1958""&gt; 1958 &lt;/ option&gt; &lt;option value = ""1957""&gt; 1957 &lt;/ option&gt; &lt;option value = ""1956""&gt; 1956 &lt;/ option&gt; &lt;option value = ""1955""&gt; 1955 &lt;/ option&gt; &lt;option value = ""1954""&gt; 1954 &lt;/ option&gt; &lt;option value = ""1953""&gt; 1953 &lt;"&amp;"/ option&gt; &lt;option value = ""1952"" &gt; 1952 &lt;/ option&gt; &lt;option value = ""1951""&gt; 1951 &lt;/ option&gt; &lt;option value = ""1950""&gt; 1950 &lt;/ option&gt; &lt;option value = ""1949""&gt; 1949 &lt;/ option&gt; &lt;option value = "" 1948 ""&gt; 1948 &lt;/ option&gt; &lt;option value ="" 1947 ""&gt; 1947 "&amp;"&lt;/ option&gt; &lt;option value ="" 1946 ""&gt; 1946 &lt;/ option&gt; &lt;option value ="" 1945 ""&gt; 1945 &lt;/ option&gt; &lt;value option = ""1944""&gt; 1944 &lt;/ option&gt; &lt;option value = ""1943""&gt; 1943 &lt;/ option&gt; &lt;option value = ""1942""&gt; 1942 &lt;/ option&gt; &lt;option value = ""1941""&gt; 1941 &lt;"&amp;"/ option&gt; &lt; option value = ""1940""&gt; 1940 &lt;/ option&gt; &lt;option value = ""1939""&gt; 1939 &lt;/ option&gt; &lt;option value = ""1938""&gt; 1938 &lt;/ option&gt; &lt;option value = ""1937""&gt; 1937 &lt;/ option &gt; &lt;option value = ""1936""&gt; 1936 &lt;/ option&gt; &lt;option value = ""1935""&gt; 1935 &lt;/"&amp;" option&gt; &lt;option value = ""1934""&gt; 1934 &lt;/ option&gt; &lt;option value = ""1933""&gt; 1933 &lt; / option&gt; &lt;option value = ""1932""&gt; 1932 &lt;/ option&gt; &lt;option value = ""1931""&gt; 1931 &lt;/ option&gt; &lt;option v alue = ""1930""&gt; 1930 &lt;/ option&gt; &lt;option value = ""1929""&gt; 1929 &lt;/ "&amp;"option&gt; &lt;option value = ""1928""&gt; 1928 &lt;/ option&gt; &lt;option value = ""1927""&gt; 1927 &lt;/ option&gt; &lt;option value = ""1926""&gt; 1926 &lt;/ option&gt; &lt;option value = ""1925""&gt; 1925 &lt;/ option&gt; &lt;option value = ""1924""&gt; 1924 &lt;/ option&gt; &lt;option value = ""1923""&gt; 1923 &lt;/ opt"&amp;"ion&gt; &lt;option value = ""1922""&gt; 1922 &lt;/ option&gt; &lt;option value = ""1921""&gt; 1921 &lt;/ option&gt; &lt;option value = ""1920""&gt; 1920 &lt;/ option&gt; &lt;option value = ""1919""&gt; 1919 &lt;/ option&gt; &lt;option value = ""1918""&gt; 1918 &lt;/ option&gt; &lt;option value = ""1917""&gt; 1917 &lt;/ option"&amp;"&gt; &lt;option value = ""1916""&gt; 1916 &lt;/ option&gt; &lt;option value = ""1915"" &gt; 1915 &lt;/ option&gt; &lt;option value = ""1914""&gt; 1914 &lt;/ option&gt; &lt;option value = ""1913""&gt; 1913 &lt;/ option&gt; &lt;option value = ""1912""&gt; 1912 &lt;/ option&gt; &lt;option value = "" 1911 ""&gt; 1911 &lt;/ option"&amp;"&gt; &lt;option value ="" 1910 ""&gt; 1910 &lt;/ option&gt; &lt;option value ="" 1909 ""&gt; 1909 &lt;/ option&gt; &lt;option value ="" 1908 ""&gt; 1908 &lt;/ option&gt; &lt;value option = ""1907""&gt; 1907 &lt;/ option&gt; &lt;option value = ""1906""&gt; 1906 &lt;/ option&gt; &lt;option value = ""1905""&gt; 1905 &lt;/ option"&amp;"&gt; &lt;option value = ""1904""&gt; 1904 &lt;/ option&gt; &lt; option value = ""1903""&gt; 1903 &lt;/ option&gt; &lt;option value = ""1902""&gt; 1902 &lt;/ option&gt; &lt;option value = ""1901""&gt; 19 01 &lt;/ option&gt; &lt;option value = ""1900""&gt; 1900 &lt;/ option&gt; &lt;/ select&gt; &lt;div tabindex = ""- 1"" class "&amp;"= ""airy-age-gate-submit airy-submit-button airy airy-submit- disabled ""&gt; Submit &lt;/ div&gt; &lt;/ div&gt; &lt;/ div&gt; &lt;/ div&gt; &lt;/ div&gt; &lt;/ div&gt; &lt;div tabindex ="" - 1 ""class ="" airy-install-flash-dialog airy-stage airy -vertical-centering-table-dialog airy airy-denied"&amp;" ""style ="" opacity: 0; visibility: hidden; ""&gt; &lt;div tabindex ="" - 1 ""class ="" airy-install-flash-Vertical-centering-table-cell airy-Vertical-centering-table-cell ""&gt; &lt;div tabindex ="" - 1 ""class = ""airy-Vertical-centering-wrapper airy-install-flash"&amp;"-elements-wrapper""&gt; &lt;div tabindex = ""- 1"" class = ""airy-install-flash-elements airy-dialog-elements""&gt; &lt;div tabindex = "" -1 ""class ="" airy-install-flash-prompt ""&gt; Adobe Flash Player is required to watch this video &lt;/ div&gt; &lt;div tabindex =."" - 1 """&amp;"class ="" airy-install-flash-button-wrapper airy -dialog-inner-elements ""&gt; &lt;div tabindex ="" - 1 ""class ="" airy-install-flash-button airy-button ""&gt; install Flash Player &lt;/ div&gt; &lt;/ div&gt; &lt;/ div&gt; &lt;/ div&gt; &lt;/ div&gt; &lt;/ div&gt; &lt;div tabindex = ""- 1"" class = """&amp;"airy-video-unsupported-dialog airy-stage airy-Vertical-centering-table airy-dialog airy-denied"" style = ""opacity: 0; visibility: hidden; ""&gt; &lt;div tabindex ="" - 1 ""class ="" airy-video-unsupported-Vertical-centering-table-cell airy-Vertical-centering-t"&amp;"able-cell ""&gt; &lt;div tabindex ="" - 1 ""class = ""airy-Vertical-centering-wrapper airy-video-unsupported-elements-wrapper""&gt; &lt;div tabindex = ""- 1"" class = ""airy-video-unsupported-elements airy-dialog-elements""&gt; &lt;div tabindex = "" -1 ""class ="" airy-vid"&amp;"eo-unsupported-prompt ""&gt; &lt;/ div&gt; &lt;/ div&gt; &lt;/ div&gt; &lt;/ div&gt; &lt;/ div&gt; &lt;div tabindex ="" - 1 ""class ="" airy-loading- spinner-stage airy-stage ""&gt; &lt;div tabindex ="" - 1 ""class ="" airy-loading-spinner-Vertical-centering-table-cell airy-Vertical-centering-tab"&amp;"le-cell ""&gt; &lt;div tabindex ="" - 1 ""class ="" airy-loading-spinner-container airy-scalable-hint-container ""&gt; &lt;div tabindex ="" - 1 ""class ="" airy-loading-spinner-dummy airy-scalable-dummy ""&gt; &lt;/ div&gt; &lt; div tabindex = ""- 1"" class = ""airy-loading-spin"&amp;"ner airy-hint"" style = ""visibility: hidden;""&gt; &lt;/ div&gt; &lt;/ div&gt; &lt;/ div&gt; &lt;/ div&gt; &lt;div tabindex = ""- 1 ""class ="" airy-ads-screen-size-toggle airy-screen-size-toggle-fullscreen airy ""style ="" visibility: hidden; ""&gt; &lt;/ div&gt; &lt;div tabindex = ""-1"" class"&amp;" = ""airy-ad-prompt-container"" style = ""visibility: hidden;""&gt; &lt;div tabindex = ""- 1"" class = ""airy-ad-prompt-Vertical-centering-table-vertically airy centering-table ""&gt; &lt;div tabindex ="" - 1 ""class ="" airy-ad-prompt-Vertical-centering-table-cell a"&amp;"iry-Vertical-centering-table-cell ""&gt; &lt;div tabindex ="" - 1 ""class = ""airy-ad-prompt-label""&gt; &lt;/ div&gt; &lt;/ div&gt; &lt;/ div&gt; &lt;/ div&gt; &lt;div tabindex = ""- 1"" class = ""airy-ads-controls-container"" style = ""visibility: hidden; ""&gt; &lt;div tabindex ="" - 1 ""class"&amp;" ="" airy-ads-audio-toggle airy-audio-toggle airy-on ""style ="" visibility: hidden; ""&gt; &lt;/ div&gt; &lt;div tabindex ="" - 1 ""class ="" airy-time-remaining-label-container ""&gt; &lt;div tabindex ="" - 1 ""class ="" airy-time-remaining-Vertical-centering-table airy-"&amp;"Vertical-centering-table ""&gt; &lt;div tabindex = ""- 1"" class = ""airy-time-remaining-Vertical-centering-table-cell airy-Vertical-centering-table-cell""&gt; &lt;div tabindex = ""- 1"" class = ""airy-Vertical-centering-wrapper airy-time-remaining-label-wrapper ""&gt; "&amp;"&lt;div tabindex ="" - 1 ""class ="" airy-time-remaining-label ""style ="" visibility: hidden; ""&gt; &lt;/ div&gt; &lt;div tabi ndex = ""- 1"" class = ""airy-ad-skip"" style = ""visibility: hidden;""&gt; &lt;/ div&gt; &lt;div tabindex = ""- 1"" class = ""airy-ad-end"" style = ""vi"&amp;"sibility: hidden ""&gt; &lt;/ div&gt; &lt;/ div&gt; &lt;/ div&gt; &lt;/ div&gt; &lt;/ div&gt; &lt;div tabindex ="" - 1 ""class ="" airy-learn-more ""style ="" visibility: hidden; ""&gt; &lt;/ div&gt; &lt;/ div&gt; &lt;div tabindex = ""- 1"" class = ""airy-play-toggle-hint-stage airy-stage airy-cursor""&gt; &lt;div"&amp;" tabindex = ""- 1"" class = ""airy-play -toggle-hint-Vertical-centering-table-cell airy-Vertical-centering-table-cell airy-cursor ""&gt; &lt;div tabindex ="" - 1 ""class ="" airy-play-toggle-hint-container airy-scalable- Hint-container ""&gt; &lt;div tabindex ="" - 1"&amp;" ""class ="" airy-play-toggle-hint-dummy airy-scalable-dummy ""&gt; &lt;/ div&gt; &lt;div tabindex ="" - 1 ""class ="" airy-play -toggle-hint hint airy-airy-play-hint ""style ="" opacity: 1; visibility: visible; ""&gt; &lt;/ div&gt; &lt;/ div&gt; &lt;/ div&gt; &lt;/ div&gt; &lt;div tabindex ="" -"&amp;" 1 ""class ="" airy-replay-hint-stage airy-stage ""style ="" visibility: hidden ; ""&gt; &lt;div tabindex ="" - 1 ""class ="" airy-replay-hint-Vertical-centering-table-cell airy-Vertical-centering-table-cell airy-cursor ""&gt; &lt;div tabindex ="" - 1 ""class = ""air"&amp;"y-replay-hint-container airy-scalable-hint-container""&gt; &lt;div tabindex = ""- 1"" class = ""airy-replay-hint-dummy airy-scalable-dummy""&gt; &lt;/ div&gt; &lt;div tabindex = ""- 1"" class = ""airy-replay-hint airy-hint""&gt; &lt;/ div&gt; &lt;/ div&gt; &lt;/ div&gt; &lt;/ div&gt; &lt;div tabindex ="&amp;" ""- 1"" class = ""airy-autoplay-hint -stage airy-stage ""style ="" visibility: hidden; ""&gt; &lt;div tabindex ="" - 1 ""class ="" airy-autoplay-hint-Vertical-centering-table-cell airy-Vertical-centering-table-cell airy- cursor ""&gt; &lt;div tabindex ="" - 1 ""clas"&amp;"s ="" autoplay airy-airy-hint-container-scalable-hint-container ""&gt; &lt;div tabindex ="" - 1 ""class ="" airy-autoplay-hint-dummy airy- scalable-dummy ""&gt; &lt;/ div&gt; &lt;/ div&gt; &lt;/ div&gt; &lt;/ div&gt; &lt;/ div&gt; &lt;/ div&gt; &lt;input type ="" hidden ""name ="" ""value ="" https: //"&amp;" images-eu .ssl-images-amazon.com / images / I / A12Idzo0liS.mp4 ""Class ="" video-url ""&gt; &lt;input type ="" hidden ""name ="" ""value ="" https://images-eu.ssl-images-amazon.com/images/I/A14mfbDqWjS.png ""class ="" video-slate-img-url ""&gt; &amp; nbsp; The packa"&amp;"ge came perfectly packaged. The design is elegant and ergonomic. It has good power since the first use around 2min slow to heat 1 liter of cold water. I would definitely buy it.")</f>
        <v>Fast and elegant &lt;div id = "video-block-R3CDW6A9DAL88V" class = "section a-a-a-spacing-small spacing-top-video mini-block"&gt; &lt;div tabindex = "0" class = "airy airy- svg vmin-unsupported airy-skin-beacon "style =" background-color: rgb (0, 0, 0) position: relative; width: 100%; height: 100%; font-size: 0px; overflow: hidden; outline: none; "&gt; &lt;div class =" airy-renderer-container "style =" position: relative; height: 100%; width: 100%; "&gt; &lt;video id =" 7 "preload =" auto "src = "https://images-eu.ssl-images-amazon.com/images/I/A12Idzo0liS.mp4" style = "position: absolute; left: 0px; top: 0px; overflow: hidden; height: 1px; width: 1px; "&gt; &lt;/ video&gt; &lt;/ div&gt; &lt;div id =" airy-slate-preload "style =" background-color: rgb (0, 0, 0); background-image: url (&amp; quot; https: / /images-eu.ssl-images-amazon.com/images/I/A14mfbDqWjS.png&amp;quot;); background-size: Contain; background-position: center center; background-repeat: no-repeat; position: absolute; top: 0px; left: 0px; visibility: visible; width: 100%; height: 100%; "&gt; &lt;/ div&gt; &lt;iframe scroll 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0:16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 bar-elements "&gt; &lt;div tabindex =" - 1 "class =" airy-progress bar "style =" width: 100%;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A12Idzo0liS.mp4 "Class =" video-url "&gt; &lt;input type =" hidden "name =" "value =" https://images-eu.ssl-images-amazon.com/images/I/A14mfbDqWjS.png "class =" video-slate-img-url "&gt; &amp; nbsp; The package came perfectly packaged. The design is elegant and ergonomic. It has good power since the first use around 2min slow to heat 1 liter of cold water. I would definitely buy it.</v>
      </c>
    </row>
    <row r="18592">
      <c r="A18592" s="1">
        <v>5.0</v>
      </c>
      <c r="B18592" s="1" t="s">
        <v>18414</v>
      </c>
      <c r="C18592" t="str">
        <f>IFERROR(__xludf.DUMMYFUNCTION("GOOGLETRANSLATE(B18592, ""es"", ""en"")"),"Perfect! It's great for infusions, heats water in a jiffy, a little hard to clean inside but ...")</f>
        <v>Perfect! It's great for infusions, heats water in a jiffy, a little hard to clean inside but ...</v>
      </c>
    </row>
    <row r="18593">
      <c r="A18593" s="1">
        <v>5.0</v>
      </c>
      <c r="B18593" s="1" t="s">
        <v>18415</v>
      </c>
      <c r="C18593" t="str">
        <f>IFERROR(__xludf.DUMMYFUNCTION("GOOGLETRANSLATE(B18593, ""es"", ""en"")"),"Okay it is robust and nice with enough capacity. Is manageable, considering it is large and rather heavy, enamel seems thick and sturdy. As for durability .... a month that the little I can say and do.")</f>
        <v>Okay it is robust and nice with enough capacity. Is manageable, considering it is large and rather heavy, enamel seems thick and sturdy. As for durability .... a month that the little I can say and do.</v>
      </c>
    </row>
    <row r="18594">
      <c r="A18594" s="1">
        <v>5.0</v>
      </c>
      <c r="B18594" s="1" t="s">
        <v>18416</v>
      </c>
      <c r="C18594" t="str">
        <f>IFERROR(__xludf.DUMMYFUNCTION("GOOGLETRANSLATE(B18594, ""es"", ""en"")"),"100% Recommended shoe very comfortable and nice, it slims the leg much, but I've had to replace another model with lower heel.")</f>
        <v>100% Recommended shoe very comfortable and nice, it slims the leg much, but I've had to replace another model with lower heel.</v>
      </c>
    </row>
    <row r="18595">
      <c r="A18595" s="1">
        <v>5.0</v>
      </c>
      <c r="B18595" s="1" t="s">
        <v>18417</v>
      </c>
      <c r="C18595" t="str">
        <f>IFERROR(__xludf.DUMMYFUNCTION("GOOGLETRANSLATE(B18595, ""es"", ""en"")"),"Quality is precious. Although I asked for wine turquoise green and I'll take it!")</f>
        <v>Quality is precious. Although I asked for wine turquoise green and I'll take it!</v>
      </c>
    </row>
    <row r="18596">
      <c r="A18596" s="1">
        <v>2.0</v>
      </c>
      <c r="B18596" s="1" t="s">
        <v>18418</v>
      </c>
      <c r="C18596" t="str">
        <f>IFERROR(__xludf.DUMMYFUNCTION("GOOGLETRANSLATE(B18596, ""es"", ""en"")"),"I did not like Questionable ...")</f>
        <v>I did not like Questionable ...</v>
      </c>
    </row>
    <row r="18597">
      <c r="A18597" s="1">
        <v>3.0</v>
      </c>
      <c r="B18597" s="1" t="s">
        <v>18419</v>
      </c>
      <c r="C18597" t="str">
        <f>IFERROR(__xludf.DUMMYFUNCTION("GOOGLETRANSLATE(B18597, ""es"", ""en"")"),"I like very binitas")</f>
        <v>I like very binitas</v>
      </c>
    </row>
    <row r="18598">
      <c r="A18598" s="1">
        <v>3.0</v>
      </c>
      <c r="B18598" s="1" t="s">
        <v>18420</v>
      </c>
      <c r="C18598" t="str">
        <f>IFERROR(__xludf.DUMMYFUNCTION("GOOGLETRANSLATE(B18598, ""es"", ""en"")"),"Acceptable Good product, but adapters silicone ear popping minimum rubbing. So that more are on the same box, but the sizes are different and makes it annoying.")</f>
        <v>Acceptable Good product, but adapters silicone ear popping minimum rubbing. So that more are on the same box, but the sizes are different and makes it annoying.</v>
      </c>
    </row>
    <row r="18599">
      <c r="A18599" s="1">
        <v>1.0</v>
      </c>
      <c r="B18599" s="1" t="s">
        <v>18421</v>
      </c>
      <c r="C18599" t="str">
        <f>IFERROR(__xludf.DUMMYFUNCTION("GOOGLETRANSLATE(B18599, ""es"", ""en"")"),"Sararc is a contraption, take long to heat water, there is no hand to clean inside and smells pretty bad inside. I have returned and have not returned me whole amount.")</f>
        <v>Sararc is a contraption, take long to heat water, there is no hand to clean inside and smells pretty bad inside. I have returned and have not returned me whole amount.</v>
      </c>
    </row>
    <row r="18600">
      <c r="A18600" s="1">
        <v>1.0</v>
      </c>
      <c r="B18600" s="1" t="s">
        <v>18422</v>
      </c>
      <c r="C18600" t="str">
        <f>IFERROR(__xludf.DUMMYFUNCTION("GOOGLETRANSLATE(B18600, ""es"", ""en"")"),"Ecological very happy with the purchase and let the perfect clothes")</f>
        <v>Ecological very happy with the purchase and let the perfect clothes</v>
      </c>
    </row>
    <row r="18601">
      <c r="A18601" s="1">
        <v>1.0</v>
      </c>
      <c r="B18601" s="1" t="s">
        <v>18423</v>
      </c>
      <c r="C18601" t="str">
        <f>IFERROR(__xludf.DUMMYFUNCTION("GOOGLETRANSLATE(B18601, ""es"", ""en"")"),"I do not wish to cut corners pretty bad does not leave well")</f>
        <v>I do not wish to cut corners pretty bad does not leave well</v>
      </c>
    </row>
    <row r="18602">
      <c r="A18602" s="1">
        <v>4.0</v>
      </c>
      <c r="B18602" s="1" t="s">
        <v>18424</v>
      </c>
      <c r="C18602" t="str">
        <f>IFERROR(__xludf.DUMMYFUNCTION("GOOGLETRANSLATE(B18602, ""es"", ""en"")"),"At the moment good. I tried one of them and it works perfect moment no problem. I used to test the recalbox in raspberry pi 2b and all good.")</f>
        <v>At the moment good. I tried one of them and it works perfect moment no problem. I used to test the recalbox in raspberry pi 2b and all good.</v>
      </c>
    </row>
    <row r="18603">
      <c r="A18603" s="1">
        <v>4.0</v>
      </c>
      <c r="B18603" s="1" t="s">
        <v>42</v>
      </c>
      <c r="C18603" t="str">
        <f>IFERROR(__xludf.DUMMYFUNCTION("GOOGLETRANSLATE(B18603, ""es"", ""en"")"),"Well well")</f>
        <v>Well well</v>
      </c>
    </row>
    <row r="18604">
      <c r="A18604" s="1">
        <v>4.0</v>
      </c>
      <c r="B18604" s="1" t="s">
        <v>18425</v>
      </c>
      <c r="C18604" t="str">
        <f>IFERROR(__xludf.DUMMYFUNCTION("GOOGLETRANSLATE(B18604, ""es"", ""en"")"),". Good quality. I have not re-used but clean makes the stain pen")</f>
        <v>. Good quality. I have not re-used but clean makes the stain pen</v>
      </c>
    </row>
    <row r="18605">
      <c r="A18605" s="1">
        <v>4.0</v>
      </c>
      <c r="B18605" s="1" t="s">
        <v>18426</v>
      </c>
      <c r="C18605" t="str">
        <f>IFERROR(__xludf.DUMMYFUNCTION("GOOGLETRANSLATE(B18605, ""es"", ""en"")"),"Good hard drive. Both PC and laptop, gains in performance. Good SSD hard drive. Install it on a desktop PC almost 9 years ago and surprisingly rejuvenated. And starts off very quickly compared to the classic hard drive previously installed. Programs also "&amp;"work with more agility. Worth installing on this type of equipment. Buy another SSD and install it in a more modern laptop PC, and also won in performance but it turns out that the PC is faster than the laptop. In any case it is a good investment. I do no"&amp;"t understand is that still sell computers with hard drives classic and has not been passed SSD technology.")</f>
        <v>Good hard drive. Both PC and laptop, gains in performance. Good SSD hard drive. Install it on a desktop PC almost 9 years ago and surprisingly rejuvenated. And starts off very quickly compared to the classic hard drive previously installed. Programs also work with more agility. Worth installing on this type of equipment. Buy another SSD and install it in a more modern laptop PC, and also won in performance but it turns out that the PC is faster than the laptop. In any case it is a good investment. I do not understand is that still sell computers with hard drives classic and has not been passed SSD technology.</v>
      </c>
    </row>
    <row r="18606">
      <c r="A18606" s="1">
        <v>4.0</v>
      </c>
      <c r="B18606" s="1" t="s">
        <v>18427</v>
      </c>
      <c r="C18606" t="str">
        <f>IFERROR(__xludf.DUMMYFUNCTION("GOOGLETRANSLATE(B18606, ""es"", ""en"")"),"Almost perfect right, arrived on time, size pardeara, all q one of the socks had a small hole on one side q had to sew.")</f>
        <v>Almost perfect right, arrived on time, size pardeara, all q one of the socks had a small hole on one side q had to sew.</v>
      </c>
    </row>
    <row r="18607">
      <c r="A18607" s="1">
        <v>5.0</v>
      </c>
      <c r="B18607" s="1" t="s">
        <v>18428</v>
      </c>
      <c r="C18607" t="str">
        <f>IFERROR(__xludf.DUMMYFUNCTION("GOOGLETRANSLATE(B18607, ""es"", ""en"")"),"Good buy very useful. Good design, can be attached, good adhesion")</f>
        <v>Good buy very useful. Good design, can be attached, good adhesion</v>
      </c>
    </row>
    <row r="18608">
      <c r="A18608" s="1">
        <v>5.0</v>
      </c>
      <c r="B18608" s="1" t="s">
        <v>18429</v>
      </c>
      <c r="C18608" t="str">
        <f>IFERROR(__xludf.DUMMYFUNCTION("GOOGLETRANSLATE(B18608, ""es"", ""en"")"),"Perfect for anniversaries. The album is very large and has no system to paste photos. Tapas are tough and good quality, and with a permanent marker can be written on them. Between a page and a white translucent partitions are to prevent photos from sticki"&amp;"ng together. The leaves are black card, you can paste the photos, graparlas..lo that occurs to everyone. I bought it for our anniversary, and has been a very special gift. The price beforehand seems a little high, but worth it for the quality.")</f>
        <v>Perfect for anniversaries. The album is very large and has no system to paste photos. Tapas are tough and good quality, and with a permanent marker can be written on them. Between a page and a white translucent partitions are to prevent photos from sticking together. The leaves are black card, you can paste the photos, graparlas..lo that occurs to everyone. I bought it for our anniversary, and has been a very special gift. The price beforehand seems a little high, but worth it for the quality.</v>
      </c>
    </row>
    <row r="18609">
      <c r="A18609" s="1">
        <v>5.0</v>
      </c>
      <c r="B18609" s="1" t="s">
        <v>18430</v>
      </c>
      <c r="C18609" t="str">
        <f>IFERROR(__xludf.DUMMYFUNCTION("GOOGLETRANSLATE(B18609, ""es"", ""en"")"),"Alejandro If you are very comfortable but have unused I work almost on Amazon and tell me I can not take them")</f>
        <v>Alejandro If you are very comfortable but have unused I work almost on Amazon and tell me I can not take them</v>
      </c>
    </row>
    <row r="18610">
      <c r="A18610" s="1">
        <v>5.0</v>
      </c>
      <c r="B18610" s="1" t="s">
        <v>18431</v>
      </c>
      <c r="C18610" t="str">
        <f>IFERROR(__xludf.DUMMYFUNCTION("GOOGLETRANSLATE(B18610, ""es"", ""en"")"),"The card quality and speed is of the best brands. This particular model allows you to write and read information faster, thus ideal for video cameras or cameras that are those that require more speed. It comes with an SD adapter. Very happy with the purch"&amp;"ase")</f>
        <v>The card quality and speed is of the best brands. This particular model allows you to write and read information faster, thus ideal for video cameras or cameras that are those that require more speed. It comes with an SD adapter. Very happy with the purchase</v>
      </c>
    </row>
    <row r="18611">
      <c r="A18611" s="1">
        <v>5.0</v>
      </c>
      <c r="B18611" s="1" t="s">
        <v>18432</v>
      </c>
      <c r="C18611" t="str">
        <f>IFERROR(__xludf.DUMMYFUNCTION("GOOGLETRANSLATE(B18611, ""es"", ""en"")"),"Simple and practical. It's what esperaba.Sencillo and practical. Does the job.")</f>
        <v>Simple and practical. It's what esperaba.Sencillo and practical. Does the job.</v>
      </c>
    </row>
    <row r="18612">
      <c r="A18612" s="1">
        <v>5.0</v>
      </c>
      <c r="B18612" s="1" t="s">
        <v>18433</v>
      </c>
      <c r="C18612" t="str">
        <f>IFERROR(__xludf.DUMMYFUNCTION("GOOGLETRANSLATE(B18612, ""es"", ""en"")"),"Excellent value for money had been looking a bluetooth helmets because he was tired of the cables. I decided on this because for the price they had could not lose much and I do not regret having done so. The quality of materials, although plastic is very "&amp;"good, are lightweight and comfortable. I've used to go to the gym and isolate noise pretty well. As for the quality of the sound, this is much better than I expected. I tried them at maximum volume and not distorted and have a very good bass response and "&amp;"low. Charger and cable included 3.5mm jack cable Very pleased with the purchase, recommend them to anyone.")</f>
        <v>Excellent value for money had been looking a bluetooth helmets because he was tired of the cables. I decided on this because for the price they had could not lose much and I do not regret having done so. The quality of materials, although plastic is very good, are lightweight and comfortable. I've used to go to the gym and isolate noise pretty well. As for the quality of the sound, this is much better than I expected. I tried them at maximum volume and not distorted and have a very good bass response and low. Charger and cable included 3.5mm jack cable Very pleased with the purchase, recommend them to anyone.</v>
      </c>
    </row>
    <row r="18613">
      <c r="A18613" s="1">
        <v>5.0</v>
      </c>
      <c r="B18613" s="1" t="s">
        <v>18434</v>
      </c>
      <c r="C18613" t="str">
        <f>IFERROR(__xludf.DUMMYFUNCTION("GOOGLETRANSLATE(B18613, ""es"", ""en"")"),"Excellent. The box perfectly fulfills its mission. It has automatic opening when connected to the printer. In my case I made a very economical assembly with a rasoberry Pi, posbox, the ZJ-58907 printer, a pair of blasters readers and bar code excelvan eve"&amp;"rything smoothly. I recommend it.")</f>
        <v>Excellent. The box perfectly fulfills its mission. It has automatic opening when connected to the printer. In my case I made a very economical assembly with a rasoberry Pi, posbox, the ZJ-58907 printer, a pair of blasters readers and bar code excelvan everything smoothly. I recommend it.</v>
      </c>
    </row>
    <row r="18614">
      <c r="A18614" s="1">
        <v>5.0</v>
      </c>
      <c r="B18614" s="1" t="s">
        <v>18435</v>
      </c>
      <c r="C18614" t="str">
        <f>IFERROR(__xludf.DUMMYFUNCTION("GOOGLETRANSLATE(B18614, ""es"", ""en"")"),"washable clothing and books Such an ink which expected")</f>
        <v>washable clothing and books Such an ink which expected</v>
      </c>
    </row>
    <row r="18615">
      <c r="A18615" s="1">
        <v>5.0</v>
      </c>
      <c r="B18615" s="1" t="s">
        <v>18436</v>
      </c>
      <c r="C18615" t="str">
        <f>IFERROR(__xludf.DUMMYFUNCTION("GOOGLETRANSLATE(B18615, ""es"", ""en"")"),"Good value for money and unbeatable quality card, no problem recognizing that the tf. At the moment it is fast, versatile and has a good transfer rate.")</f>
        <v>Good value for money and unbeatable quality card, no problem recognizing that the tf. At the moment it is fast, versatile and has a good transfer rate.</v>
      </c>
    </row>
    <row r="18616">
      <c r="A18616" s="1">
        <v>5.0</v>
      </c>
      <c r="B18616" s="1" t="s">
        <v>18437</v>
      </c>
      <c r="C18616" t="str">
        <f>IFERROR(__xludf.DUMMYFUNCTION("GOOGLETRANSLATE(B18616, ""es"", ""en"")"),"Ecelente is a large hard drive storage and very safe. LaCie products I like very much because they are very reliable.")</f>
        <v>Ecelente is a large hard drive storage and very safe. LaCie products I like very much because they are very reliable.</v>
      </c>
    </row>
    <row r="18617">
      <c r="A18617" s="1">
        <v>5.0</v>
      </c>
      <c r="B18617" s="1" t="s">
        <v>18438</v>
      </c>
      <c r="C18617" t="str">
        <f>IFERROR(__xludf.DUMMYFUNCTION("GOOGLETRANSLATE(B18617, ""es"", ""en"")"),"Just what I wanted was looking for a different Converse and they are. Comfortable, lightweight and fit my foot like a glove.")</f>
        <v>Just what I wanted was looking for a different Converse and they are. Comfortable, lightweight and fit my foot like a glove.</v>
      </c>
    </row>
    <row r="18618">
      <c r="A18618" s="1">
        <v>5.0</v>
      </c>
      <c r="B18618" s="1" t="s">
        <v>18439</v>
      </c>
      <c r="C18618" t="str">
        <f>IFERROR(__xludf.DUMMYFUNCTION("GOOGLETRANSLATE(B18618, ""es"", ""en"")"),"USB perfect for use with USB memory keys Buena, robust construction materials. I led with keys as the memory is of robust material and does not undergo degradation. Copy speed of the memory is good and fits perfectly into the mouths of the USB devices. Th"&amp;"e price is a tad higher than other USB drives of the same capacity, paying the brand and the robustness of the device.")</f>
        <v>USB perfect for use with USB memory keys Buena, robust construction materials. I led with keys as the memory is of robust material and does not undergo degradation. Copy speed of the memory is good and fits perfectly into the mouths of the USB devices. The price is a tad higher than other USB drives of the same capacity, paying the brand and the robustness of the device.</v>
      </c>
    </row>
    <row r="18619">
      <c r="A18619" s="1">
        <v>5.0</v>
      </c>
      <c r="B18619" s="1" t="s">
        <v>18440</v>
      </c>
      <c r="C18619" t="str">
        <f>IFERROR(__xludf.DUMMYFUNCTION("GOOGLETRANSLATE(B18619, ""es"", ""en"")"),"Good product Good solution for iPhone, you can get photos, mucica and files, on the other I pado is connected to USB and micro USB. Very good buy")</f>
        <v>Good product Good solution for iPhone, you can get photos, mucica and files, on the other I pado is connected to USB and micro USB. Very good buy</v>
      </c>
    </row>
    <row r="18620">
      <c r="A18620" s="1">
        <v>5.0</v>
      </c>
      <c r="B18620" s="1" t="s">
        <v>18441</v>
      </c>
      <c r="C18620" t="str">
        <f>IFERROR(__xludf.DUMMYFUNCTION("GOOGLETRANSLATE(B18620, ""es"", ""en"")"),"Great choice. Really happy with the purchase. I use to hear the TV in the living room when there is noise or other people talking. At no time have I lost the signal, despite moving them around the house. The sound is crisp and clear and, oddly enough, som"&amp;"etimes even distinguish the whisperings that occur in talk shows and in normal TV speakers are invaluable.")</f>
        <v>Great choice. Really happy with the purchase. I use to hear the TV in the living room when there is noise or other people talking. At no time have I lost the signal, despite moving them around the house. The sound is crisp and clear and, oddly enough, sometimes even distinguish the whisperings that occur in talk shows and in normal TV speakers are invaluable.</v>
      </c>
    </row>
    <row r="18621">
      <c r="A18621" s="1">
        <v>5.0</v>
      </c>
      <c r="B18621" s="1" t="s">
        <v>18442</v>
      </c>
      <c r="C18621" t="str">
        <f>IFERROR(__xludf.DUMMYFUNCTION("GOOGLETRANSLATE(B18621, ""es"", ""en"")"),"Great design and value great design and value that is tested more and more in my daily work. &amp; Nbsp; Very satisfied so far!")</f>
        <v>Great design and value great design and value that is tested more and more in my daily work. &amp; Nbsp; Very satisfied so far!</v>
      </c>
    </row>
    <row r="18622">
      <c r="A18622" s="1">
        <v>5.0</v>
      </c>
      <c r="B18622" s="1" t="s">
        <v>18443</v>
      </c>
      <c r="C18622" t="str">
        <f>IFERROR(__xludf.DUMMYFUNCTION("GOOGLETRANSLATE(B18622, ""es"", ""en"")"),"Perfect product The product is fully compatible with Dymo machines and the quality is very good.")</f>
        <v>Perfect product The product is fully compatible with Dymo machines and the quality is very good.</v>
      </c>
    </row>
    <row r="18623">
      <c r="A18623" s="1">
        <v>5.0</v>
      </c>
      <c r="B18623" s="1" t="s">
        <v>18444</v>
      </c>
      <c r="C18623" t="str">
        <f>IFERROR(__xludf.DUMMYFUNCTION("GOOGLETRANSLATE(B18623, ""es"", ""en"")"),"Perfect size and nipple ideal for baby.")</f>
        <v>Perfect size and nipple ideal for baby.</v>
      </c>
    </row>
    <row r="18624">
      <c r="A18624" s="1">
        <v>5.0</v>
      </c>
      <c r="B18624" s="1" t="s">
        <v>18445</v>
      </c>
      <c r="C18624" t="str">
        <f>IFERROR(__xludf.DUMMYFUNCTION("GOOGLETRANSLATE(B18624, ""es"", ""en"")"),"No surprises what I expected")</f>
        <v>No surprises what I expected</v>
      </c>
    </row>
    <row r="18625">
      <c r="A18625" s="1">
        <v>5.0</v>
      </c>
      <c r="B18625" s="1" t="s">
        <v>18446</v>
      </c>
      <c r="C18625" t="str">
        <f>IFERROR(__xludf.DUMMYFUNCTION("GOOGLETRANSLATE(B18625, ""es"", ""en"")"),"It meets perfectly well what he wanted. I have two golden retriever who do not stop hair drop. The fear was that the brushes should get caught hairs, but so far there has been no problem. It is easy to clean and which are every bit grateful that I have to"&amp;" empty the tank.")</f>
        <v>It meets perfectly well what he wanted. I have two golden retriever who do not stop hair drop. The fear was that the brushes should get caught hairs, but so far there has been no problem. It is easy to clean and which are every bit grateful that I have to empty the tank.</v>
      </c>
    </row>
    <row r="18626">
      <c r="A18626" s="1">
        <v>2.0</v>
      </c>
      <c r="B18626" s="1" t="s">
        <v>18447</v>
      </c>
      <c r="C18626" t="str">
        <f>IFERROR(__xludf.DUMMYFUNCTION("GOOGLETRANSLATE(B18626, ""es"", ""en"")"),"I not very adhesive Unfortunately I have to say it is not very adhesive, basic to seal.")</f>
        <v>I not very adhesive Unfortunately I have to say it is not very adhesive, basic to seal.</v>
      </c>
    </row>
    <row r="18627">
      <c r="A18627" s="1">
        <v>3.0</v>
      </c>
      <c r="B18627" s="1" t="s">
        <v>18448</v>
      </c>
      <c r="C18627" t="str">
        <f>IFERROR(__xludf.DUMMYFUNCTION("GOOGLETRANSLATE(B18627, ""es"", ""en"")"),"I repeat not have lasted a short time, is released easily after a while.")</f>
        <v>I repeat not have lasted a short time, is released easily after a while.</v>
      </c>
    </row>
    <row r="18628">
      <c r="A18628" s="1">
        <v>3.0</v>
      </c>
      <c r="B18628" s="1" t="s">
        <v>18449</v>
      </c>
      <c r="C18628" t="str">
        <f>IFERROR(__xludf.DUMMYFUNCTION("GOOGLETRANSLATE(B18628, ""es"", ""en"")"),"Only full design, stands and empty and do the same again Beware intensity, on 5 not stand")</f>
        <v>Only full design, stands and empty and do the same again Beware intensity, on 5 not stand</v>
      </c>
    </row>
    <row r="18629">
      <c r="A18629" s="1">
        <v>1.0</v>
      </c>
      <c r="B18629" s="1" t="s">
        <v>18450</v>
      </c>
      <c r="C18629" t="str">
        <f>IFERROR(__xludf.DUMMYFUNCTION("GOOGLETRANSLATE(B18629, ""es"", ""en"")"),"I bought three did not work to deliver photos and three of them did not work, and give the recorded error or even read them, ....")</f>
        <v>I bought three did not work to deliver photos and three of them did not work, and give the recorded error or even read them, ....</v>
      </c>
    </row>
    <row r="18630">
      <c r="A18630" s="1">
        <v>1.0</v>
      </c>
      <c r="B18630" s="1" t="s">
        <v>18451</v>
      </c>
      <c r="C18630" t="str">
        <f>IFERROR(__xludf.DUMMYFUNCTION("GOOGLETRANSLATE(B18630, ""es"", ""en"")"),"Different shoes I bought the same shoes (of the same sizing and style) on two different occasions. The pair that reached me today is completely different from the one bought two years ago. It is so different that even looks like the photo (which is suppos"&amp;"ed to be the product they sell). The truth is that this very angry because the first time that I bought were great, but the latter is not what I expected and I feel ripped off. I hope to return them in some way and try to get that and had no problems. PS:"&amp;" Attached two images I found out Internet where you buy for the first time and this time. You see, one is more ""flat"" than the other and in a side seam is more rounded at the bottom. Furthermore, although not shown in the picture, when you see a differe"&amp;"nt feel really noticeable (especially at the tip): one is rougher while the other is soft.")</f>
        <v>Different shoes I bought the same shoes (of the same sizing and style) on two different occasions. The pair that reached me today is completely different from the one bought two years ago. It is so different that even looks like the photo (which is supposed to be the product they sell). The truth is that this very angry because the first time that I bought were great, but the latter is not what I expected and I feel ripped off. I hope to return them in some way and try to get that and had no problems. PS: Attached two images I found out Internet where you buy for the first time and this time. You see, one is more "flat" than the other and in a side seam is more rounded at the bottom. Furthermore, although not shown in the picture, when you see a different feel really noticeable (especially at the tip): one is rougher while the other is soft.</v>
      </c>
    </row>
    <row r="18631">
      <c r="A18631" s="1">
        <v>4.0</v>
      </c>
      <c r="B18631" s="1" t="s">
        <v>18452</v>
      </c>
      <c r="C18631" t="str">
        <f>IFERROR(__xludf.DUMMYFUNCTION("GOOGLETRANSLATE(B18631, ""es"", ""en"")"),"Good microphone to record what you say is a good lavalier, ie, serves to record what a person says. As micro ambient sound does not work because it is not properly hear anything")</f>
        <v>Good microphone to record what you say is a good lavalier, ie, serves to record what a person says. As micro ambient sound does not work because it is not properly hear anything</v>
      </c>
    </row>
    <row r="18632">
      <c r="A18632" s="1">
        <v>4.0</v>
      </c>
      <c r="B18632" s="1" t="s">
        <v>18453</v>
      </c>
      <c r="C18632" t="str">
        <f>IFERROR(__xludf.DUMMYFUNCTION("GOOGLETRANSLATE(B18632, ""es"", ""en"")"),"Good buy used it for PS4 and I'm happy, although I have fallen short with 1 GB. The only problem you have is that it is very difficult to remove the hard drive from the plastic, he feared that break it. So now the old hard drive is Seagate play and happy "&amp;"housing. USB connection has type C and is more comfortable than the other USB connectors with double branching. Happy.")</f>
        <v>Good buy used it for PS4 and I'm happy, although I have fallen short with 1 GB. The only problem you have is that it is very difficult to remove the hard drive from the plastic, he feared that break it. So now the old hard drive is Seagate play and happy housing. USB connection has type C and is more comfortable than the other USB connectors with double branching. Happy.</v>
      </c>
    </row>
    <row r="18633">
      <c r="A18633" s="1">
        <v>4.0</v>
      </c>
      <c r="B18633" s="1" t="s">
        <v>18454</v>
      </c>
      <c r="C18633" t="str">
        <f>IFERROR(__xludf.DUMMYFUNCTION("GOOGLETRANSLATE(B18633, ""es"", ""en"")"),"It is beautiful, elegant, light ....... but still a Chinese product, but for the price it deserves the penalty compralo")</f>
        <v>It is beautiful, elegant, light ....... but still a Chinese product, but for the price it deserves the penalty compralo</v>
      </c>
    </row>
    <row r="18634">
      <c r="A18634" s="1">
        <v>4.0</v>
      </c>
      <c r="B18634" s="1" t="s">
        <v>18455</v>
      </c>
      <c r="C18634" t="str">
        <f>IFERROR(__xludf.DUMMYFUNCTION("GOOGLETRANSLATE(B18634, ""es"", ""en"")"),"good buy Meets promete..cuesta what used to it. Quality sound in both directions right")</f>
        <v>good buy Meets promete..cuesta what used to it. Quality sound in both directions right</v>
      </c>
    </row>
    <row r="18635">
      <c r="A18635" s="1">
        <v>4.0</v>
      </c>
      <c r="B18635" s="1" t="s">
        <v>18456</v>
      </c>
      <c r="C18635" t="str">
        <f>IFERROR(__xludf.DUMMYFUNCTION("GOOGLETRANSLATE(B18635, ""es"", ""en"")"),"Good quality and price Very good hunter. It's just a little expensive. But hey, seen the prices on the market. This is great. recommendable")</f>
        <v>Good quality and price Very good hunter. It's just a little expensive. But hey, seen the prices on the market. This is great. recommendable</v>
      </c>
    </row>
    <row r="18636">
      <c r="A18636" s="1">
        <v>5.0</v>
      </c>
      <c r="B18636" s="1" t="s">
        <v>18457</v>
      </c>
      <c r="C18636" t="str">
        <f>IFERROR(__xludf.DUMMYFUNCTION("GOOGLETRANSLATE(B18636, ""es"", ""en"")"),"PERFECT BRACKET This microphone stand is perfect for concerts, studies in both recording and live performances. It is a very adjustable microphone height and horizontal extension to sing from further away from the main foot. The materials are hard, heavy "&amp;"and noticeable very good. As for color, it is basic without much difference with the rest of the market stands. It also has two clamps to hold the microphone to the end of the support. As for the fastening to the floor. It has three legs, tripod type, whi"&amp;"ch are easily moved, but perfectly cling to the ground once inserted correctly. It is a highly recommended product if you are a music fan, or, semiprofessional thereof. I would even say that professional level can also be used. Amazon also offer accounts "&amp;"with lots of mic stands. Highly recommended. Product yielded for analysis.")</f>
        <v>PERFECT BRACKET This microphone stand is perfect for concerts, studies in both recording and live performances. It is a very adjustable microphone height and horizontal extension to sing from further away from the main foot. The materials are hard, heavy and noticeable very good. As for color, it is basic without much difference with the rest of the market stands. It also has two clamps to hold the microphone to the end of the support. As for the fastening to the floor. It has three legs, tripod type, which are easily moved, but perfectly cling to the ground once inserted correctly. It is a highly recommended product if you are a music fan, or, semiprofessional thereof. I would even say that professional level can also be used. Amazon also offer accounts with lots of mic stands. Highly recommended. Product yielded for analysis.</v>
      </c>
    </row>
    <row r="18637">
      <c r="A18637" s="1">
        <v>5.0</v>
      </c>
      <c r="B18637" s="1" t="s">
        <v>18458</v>
      </c>
      <c r="C18637" t="str">
        <f>IFERROR(__xludf.DUMMYFUNCTION("GOOGLETRANSLATE(B18637, ""es"", ""en"")"),"Perfect for 4.5 or 6 years is good for larger it is small")</f>
        <v>Perfect for 4.5 or 6 years is good for larger it is small</v>
      </c>
    </row>
    <row r="18638">
      <c r="A18638" s="1">
        <v>5.0</v>
      </c>
      <c r="B18638" s="1" t="s">
        <v>18459</v>
      </c>
      <c r="C18638" t="str">
        <f>IFERROR(__xludf.DUMMYFUNCTION("GOOGLETRANSLATE(B18638, ""es"", ""en"")"),"EXCELLENT QUALITY AND PRICE Supports heavy weight and three support options are ideal. RECOMEDADO 100 by 100.")</f>
        <v>EXCELLENT QUALITY AND PRICE Supports heavy weight and three support options are ideal. RECOMEDADO 100 by 100.</v>
      </c>
    </row>
    <row r="18639">
      <c r="A18639" s="1">
        <v>5.0</v>
      </c>
      <c r="B18639" s="1" t="s">
        <v>18460</v>
      </c>
      <c r="C18639" t="str">
        <f>IFERROR(__xludf.DUMMYFUNCTION("GOOGLETRANSLATE(B18639, ""es"", ""en"")"),"Good smell good product with few drops whole room smell and long lasting. I tried three different cry and have convinced me compared to others who had used. They are not annoying odors.")</f>
        <v>Good smell good product with few drops whole room smell and long lasting. I tried three different cry and have convinced me compared to others who had used. They are not annoying odors.</v>
      </c>
    </row>
    <row r="18640">
      <c r="A18640" s="1">
        <v>5.0</v>
      </c>
      <c r="B18640" s="1" t="s">
        <v>18461</v>
      </c>
      <c r="C18640" t="str">
        <f>IFERROR(__xludf.DUMMYFUNCTION("GOOGLETRANSLATE(B18640, ""es"", ""en"")"),"meets promised shoes are the same as described in the announcement and I have come Optimally, the only downside is that I put have been slow in coming but agenas causes the seller. They are very comfortable and the number elegi kda perfect as I carve some"&amp;"thing larger than adidas superstar")</f>
        <v>meets promised shoes are the same as described in the announcement and I have come Optimally, the only downside is that I put have been slow in coming but agenas causes the seller. They are very comfortable and the number elegi kda perfect as I carve something larger than adidas superstar</v>
      </c>
    </row>
    <row r="18641">
      <c r="A18641" s="1">
        <v>5.0</v>
      </c>
      <c r="B18641" s="1" t="s">
        <v>18462</v>
      </c>
      <c r="C18641" t="str">
        <f>IFERROR(__xludf.DUMMYFUNCTION("GOOGLETRANSLATE(B18641, ""es"", ""en"")"),"Incredible. From another galaxy. No comment. Try it and you will draw your own conclusions. Are fantastic, anything you say short stays. A but which are not resistant to moisture or sweat, although do not exercise in the summer heat and sweat itself could"&amp;" negatively affect them.")</f>
        <v>Incredible. From another galaxy. No comment. Try it and you will draw your own conclusions. Are fantastic, anything you say short stays. A but which are not resistant to moisture or sweat, although do not exercise in the summer heat and sweat itself could negatively affect them.</v>
      </c>
    </row>
    <row r="18642">
      <c r="A18642" s="1">
        <v>5.0</v>
      </c>
      <c r="B18642" s="1" t="s">
        <v>18463</v>
      </c>
      <c r="C18642" t="str">
        <f>IFERROR(__xludf.DUMMYFUNCTION("GOOGLETRANSLATE(B18642, ""es"", ""en"")"),"security purchases variety of products, fast delivery and prices")</f>
        <v>security purchases variety of products, fast delivery and prices</v>
      </c>
    </row>
    <row r="18643">
      <c r="A18643" s="1">
        <v>5.0</v>
      </c>
      <c r="B18643" s="1" t="s">
        <v>18464</v>
      </c>
      <c r="C18643" t="str">
        <f>IFERROR(__xludf.DUMMYFUNCTION("GOOGLETRANSLATE(B18643, ""es"", ""en"")"),"good quality GOOD PRODUCT")</f>
        <v>good quality GOOD PRODUCT</v>
      </c>
    </row>
    <row r="18644">
      <c r="A18644" s="1">
        <v>5.0</v>
      </c>
      <c r="B18644" s="1" t="s">
        <v>18465</v>
      </c>
      <c r="C18644" t="str">
        <f>IFERROR(__xludf.DUMMYFUNCTION("GOOGLETRANSLATE(B18644, ""es"", ""en"")"),"Tradicion lifetime of this article is not much to say except it's lasting quality, I have had with this three in my life and I have 48 years, the last leave it in another country and still works, delivery and packaging very well and on time.")</f>
        <v>Tradicion lifetime of this article is not much to say except it's lasting quality, I have had with this three in my life and I have 48 years, the last leave it in another country and still works, delivery and packaging very well and on time.</v>
      </c>
    </row>
    <row r="18645">
      <c r="A18645" s="1">
        <v>5.0</v>
      </c>
      <c r="B18645" s="1" t="s">
        <v>18466</v>
      </c>
      <c r="C18645" t="str">
        <f>IFERROR(__xludf.DUMMYFUNCTION("GOOGLETRANSLATE(B18645, ""es"", ""en"")"),"So comfortable boots Skechers")</f>
        <v>So comfortable boots Skechers</v>
      </c>
    </row>
    <row r="18646">
      <c r="A18646" s="1">
        <v>5.0</v>
      </c>
      <c r="B18646" s="1" t="s">
        <v>18467</v>
      </c>
      <c r="C18646" t="str">
        <f>IFERROR(__xludf.DUMMYFUNCTION("GOOGLETRANSLATE(B18646, ""es"", ""en"")"),"Perfect Perfect for what I needed. Connecting a wireless microphone to the iPhone 5s. is priced somewhat high but perfect")</f>
        <v>Perfect Perfect for what I needed. Connecting a wireless microphone to the iPhone 5s. is priced somewhat high but perfect</v>
      </c>
    </row>
    <row r="18647">
      <c r="A18647" s="1">
        <v>5.0</v>
      </c>
      <c r="B18647" s="1" t="s">
        <v>18468</v>
      </c>
      <c r="C18647" t="str">
        <f>IFERROR(__xludf.DUMMYFUNCTION("GOOGLETRANSLATE(B18647, ""es"", ""en"")"),"Quality-price-DESIGN ❤️Se different from the other model (the W5s), especially in the design of the CAJITA CHARGER. It is smaller, more manageable, mainly, more bajita: and that makes it more rectangular: the other was more cuadradita more trasto but also"&amp;" because it is prettier and this is metalized plastic finish. CONCLUSION: This model wins in a matter of size that is almost half, but lost in design because I find it more ""plasticky"". Following the charging case: &amp; nbsp; only has written the brand nam"&amp;"e on the front and the 3 LEDs on the back: the center gives the battery level of the box. A left and right, the level of the handset of the corresponding side: loaded blue, red about to download. 💡Para end section DESIGN: headphones are white, absolutely"&amp;" white, type ""button"". And encannnta me display box: square, compact, white like the only product with the image of what it contains. 🎧 On RESTRAINT: includes three silicone pads in 3 different sizes to fit all ears. It is important fact because, for m"&amp;"e, is the difference between feeling pain or not. And my partner, the difference between falling or be subject. It is a nice touch because in other high-end headphones I've tried, for triple the price, not included. also it includes the charging cable (bu"&amp;"t not the charger). 🔋 The battery promises 42 hours: 6 hours of battery headphones and the box has the ability to recharge 3 times without plugging them into the mains. As I do not need to use them for so long a period of time, I am not able to confirm y"&amp;"ou that last 6 hours promised. &amp; Nbsp; 🎶 Without being an expert on the subject of sound, my experience using is: hear me well, the sound is clean. I have the feeling that the sound quality is somewhat better in this model than the previous. 📱 connectiv"&amp;"ity with several models of iPhone and a Dell laptop is good and fast. They are handled through a button corresponding to the flat surface of the handset. And the master headset is left: Come on, if you want to hear only one, you should use that. 💦 I thin"&amp;"k another plus that are RESISTANT WATER: does not mean that the dive but if you sweat or rain you are safe. 🏃🏽♀️ We have to put two gripes: the controls are cumbersome: to lower the volume you need to triple-click (double click upload and click to play "&amp;"/ to / pick / hang). Click 3 times in a row in a headset that have gotten inside the ear, it is not comfortable. And do not convince me to do sport, when you are standing subject is moving well but ... you can lose easily. In short, I look good headphones"&amp;" midrange if you are looking reasonable quality and good design. 30 € not be asked more. Thanks for reading me!")</f>
        <v>Quality-price-DESIGN ❤️Se different from the other model (the W5s), especially in the design of the CAJITA CHARGER. It is smaller, more manageable, mainly, more bajita: and that makes it more rectangular: the other was more cuadradita more trasto but also because it is prettier and this is metalized plastic finish. CONCLUSION: This model wins in a matter of size that is almost half, but lost in design because I find it more "plasticky". Following the charging case: &amp; nbsp; only has written the brand name on the front and the 3 LEDs on the back: the center gives the battery level of the box. A left and right, the level of the handset of the corresponding side: loaded blue, red about to download. 💡Para end section DESIGN: headphones are white, absolutely white, type "button". And encannnta me display box: square, compact, white like the only product with the image of what it contains. 🎧 On RESTRAINT: includes three silicone pads in 3 different sizes to fit all ears. It is important fact because, for me, is the difference between feeling pain or not. And my partner, the difference between falling or be subject. It is a nice touch because in other high-end headphones I've tried, for triple the price, not included. also it includes the charging cable (but not the charger). 🔋 The battery promises 42 hours: 6 hours of battery headphones and the box has the ability to recharge 3 times without plugging them into the mains. As I do not need to use them for so long a period of time, I am not able to confirm you that last 6 hours promised. &amp; Nbsp; 🎶 Without being an expert on the subject of sound, my experience using is: hear me well, the sound is clean. I have the feeling that the sound quality is somewhat better in this model than the previous. 📱 connectivity with several models of iPhone and a Dell laptop is good and fast. They are handled through a button corresponding to the flat surface of the handset. And the master headset is left: Come on, if you want to hear only one, you should use that. 💦 I think another plus that are RESISTANT WATER: does not mean that the dive but if you sweat or rain you are safe. 🏃🏽♀️ We have to put two gripes: the controls are cumbersome: to lower the volume you need to triple-click (double click upload and click to play / to / pick / hang). Click 3 times in a row in a headset that have gotten inside the ear, it is not comfortable. And do not convince me to do sport, when you are standing subject is moving well but ... you can lose easily. In short, I look good headphones midrange if you are looking reasonable quality and good design. 30 € not be asked more. Thanks for reading me!</v>
      </c>
    </row>
    <row r="18648">
      <c r="A18648" s="1">
        <v>5.0</v>
      </c>
      <c r="B18648" s="1" t="s">
        <v>18469</v>
      </c>
      <c r="C18648" t="str">
        <f>IFERROR(__xludf.DUMMYFUNCTION("GOOGLETRANSLATE(B18648, ""es"", ""en"")"),"wireless headphones &lt;div id = ""video-block-R1YK0SL8FZFSYY"" class = ""a-section a-spacing-small a-spacing-top mini video-block""&gt; &lt;div tabindex = ""0"" class = ""airy airy-svg vmin-unsupported airy-skin-beacon ""style ="" background-color: rgb (0, 0, 0) "&amp;"position: relative; width: 100%; height: 100%; font-size: 0px; overflow: hidden; outline : none; ""&gt; &lt;div class ="" airy-renderer-container ""style ="" position: relative; height: 100%; width: 100%; ""&gt; &lt;video id ="" 15 ""preload ="" auto ""src ="" https:"&amp;"//images-eu.ssl-images-amazon.com/images/I/81l8LWjTnDS.mp4 ""style ="" position: absolute; left: 0px; top: 0px; overflow: hidden; height: 1px; width: 1px ; ""&gt; &lt;/ video&gt; &lt;/ div&gt; &lt;div id ="" airy-slate-preload ""style ="" background-color: rgb (0, 0, 0); b"&amp;"ackground-image: url (&amp; quot; https: // images-eu.ssl-images-amazon.com/images/I/91M0+KHyOrS.png&amp;quot;); background-size: Contain; background-position: center center; background-repeat: no-repeat; position: absolute; top : 0px; left: 0px; visibility: visi"&amp;"ble; width: 100%; height: 100%; ""&gt; &lt;/ div&gt; &lt;ifram and scrolling = ""no"" frameborder = ""0"" src = ""about: blank"" style = ""display: none;""&gt; &lt;/ iframe&gt; &lt;div tabindex = ""- 1"" class = ""airy-controls-container"" style = ""opacity: 0; visibility: hidde"&amp;"n; ""&gt; &lt;div tabindex ="" - 1 ""class ="" airy-screen-size-toggle airy-fullscreen ""&gt; &lt;/ div&gt; &lt;div tabindex ="" - 1 ""class ="" airy-container-bottom "" &gt; &lt;div tabindex = ""- 1"" class = ""airy-track-bar-spacer-left"" style = ""width: 11px;""&gt; &lt;/ div&gt; &lt;div"&amp;" tabindex = ""- 1"" class = ""airy-play- airy toggle-play ""style ="" width: 12px; margin-right: 12px; ""&gt; &lt;/ div&gt; &lt;div tabindex ="" - 1 ""class ="" airy-audio-elements ""style ="" float: right; width: 34px; ""&gt; &lt;div tabindex ="" - 1 ""class ="" airy-audi"&amp;"o-toggle airy-on ""&gt; &lt;/ div&gt; &lt;div tabindex ="" - 1 ""class ="" airy-audio-container ""style = ""opacity: 0; visibility: hidden; ""&gt; &lt;div tabindex ="" - 1 ""class ="" airy-audio-track-bar ""style ="" height: 80%; ""&gt; &lt;div tabindex ="" - 1 ""class ="" airy-"&amp;"audio- Scrubber-bar ""style ="" height: 85%; ""&gt; &lt;/ div&gt; &lt;div tabindex ="" - 1 ""class ="" airy-audio-scrubber ""style ="" height: 12px; bottom: 85% ""&gt; &lt;/ div&gt; &lt;/ div&gt; &lt;/ div&gt; &lt;/ div&gt; &lt;div tabindex ="" - 1 ""class ="" airy-duration-label ""style ="" floa"&amp;"t: right; width: 26px; margin-right: 4px; text-align: center; ""&gt; 0:00 &lt;/ div&gt; &lt;div tabindex ="" - 1 ""class ="" airy-track-bar-spacer-right ""style ="" float: right; width: 11px; ""&gt; &lt;/ div&gt; &lt;div tabindex ="" - 1 ""class ="" airy-track-bar-container ""st"&amp;"yle ="" margin-left: 35px; margin-right: 75px; ""&gt; &lt;div tabindex ="" - 1 ""class ="" airy-airy-track-bar vertically-centering-table ""&gt; &lt;div tabindex ="" - 1 ""class ="" airy-Vertical-centering- table-cell ""&gt; &lt;div tabindex ="" - 1 ""class ="" airy-track-"&amp;"bar-elements ""&gt; &lt;div tabindex ="" - 1 ""class ="" airy-progress-bar ""&gt; &lt;/ div&gt; &lt;div tabindex = ""- 1"" class = ""airy-scrubber-bar""&gt; &lt;/ div&gt; &lt;div tabindex = ""- 1"" class = ""airy-scrubber""&gt; &lt;div tabindex = ""- 1"" class = ""airy-scrubber- icon ""&gt; &lt;/"&amp;" div&gt; &lt;div tabindex ="" - 1 ""class ="" airy-adjusted-AUI-tooltip ""style ="" opacity: 0; visibility: hidden; ""&gt; &lt;div tabindex ="" - 1 ""class ="" airy-adjusted-aui-tooltip-inner ""&gt; &lt;div tabindex ="" - 1 ""class ="" airy-current-time-label ""&gt; 0: 00 &lt;/ "&amp;"div&gt; &lt;/ div&gt; &lt;div tabindex = ""- 1"" class = ""airy-adjusted-AUI-arrow-border""&gt; &lt;div tabindex = ""- 1"" class = ""airy-adjusted-AUI-arrow"" &gt; &lt;/ div&gt; &lt;/ div&gt; &lt;/ div&gt; &lt;/ div&gt; &lt;/ div&gt; &lt;/ div&gt; &lt;/ div&gt; &lt;/ div&gt; &lt;/ div&gt; &lt;/ div&gt; &lt;div tabindex = ""- 1"" class = "&amp;"""airy-age-gate airy-stage airy-Vertical-centering-table airy-dialog"" style = ""opacity: 0; visibility: hidden; ""&gt; &lt;div tabindex ="" - 1 ""class ="" airy-age-gate-Vertical-centering-table-cell airy-Vertical-centering-table-cell ""&gt; &lt;div tabindex ="" - 1"&amp;" ""class = ""airy-Vertical-centering-wrapper airy-age-gate-elements-wrapper""&gt; &lt;div tabindex = ""- 1"" class = ""airy-age-gate-elements airy-dialog-elements""&gt; &lt;div tabindex = "" -1 ""class ="" airy-age-gate-prompt ""&gt; This video is not Intended for all a"&amp;"udiences What date were you born &lt;/ div&gt; &lt;div tabindex =.?"" - 1 ""class ="" airy-age-gate -inputs airy-dialog-inner-elements ""&gt; &lt;select tabindex ="" - 1 ""class ="" airy-age-gate-month ""&gt; &lt;option value ="" 1 ""&gt; January &lt;/ option&gt; &lt;option value ="" 2 "&amp;"""&gt; February &lt;/ option&gt; &lt;option value ="" 3 ""&gt; March &lt;/ option&gt; &lt;option value ="" 4 ""&gt; April &lt;/ option&gt; &lt;option value ="" 5 ""&gt; May &lt;/ option&gt; &lt;option value = ""6""&gt; June &lt;/ option&gt; &lt;option value = ""7""&gt; July &lt;/ option&gt; &lt;option value = ""8""&gt; August &lt;/"&amp;" option&gt; &lt;option value = ""9""&gt; September &lt;/ option&gt; &lt;option value = ""10""&gt; October &lt;/ option&gt; &lt;option value = ""11""&gt; November &lt;/ option&gt; &lt;option value = ""12""&gt; December &lt;/ option&gt; &lt;/ select&gt; &lt;select tabindex = ""- 1"" class = ""airy-age-gate-day""&gt; &lt;o"&amp;"pti on value = ""1""&gt; 1 &lt;/ option&gt; &lt;option value = ""2""&gt; 2 &lt;/ option&gt; &lt;option value = ""3""&gt; 3 &lt;/ option&gt; &lt;option value = ""4""&gt; 4 &lt;/ option &gt; &lt;option value = ""5""&gt; 5 &lt;/ option&gt; &lt;option value = ""6""&gt; 6 &lt;/ option&gt; &lt;option value = ""7""&gt; 7 &lt;/ option&gt; &lt;op"&amp;"tion value = ""8""&gt; 8 &lt; / option&gt; &lt;option value = ""9""&gt; 9 &lt;/ option&gt; &lt;option value = ""10""&gt; 10 &lt;/ option&gt; &lt;option value = ""11""&gt; 11 &lt;/ option&gt; &lt;option value = ""12""&gt; 12 &lt;/ option&gt; &lt;option value = ""13""&gt; 13 &lt;/ option&gt; &lt;option value = ""14""&gt; 14 &lt;/ opt"&amp;"ion&gt; &lt;option value = ""15""&gt; 15 &lt;/ option&gt; &lt;option value = ""16 ""&gt; 16 &lt;/ option&gt; &lt;option value ="" 17 ""&gt; 17 &lt;/ option&gt; &lt;option value ="" 18 ""&gt; 18 &lt;/ option&gt; &lt;option value ="" 19 ""&gt; 19 &lt;/ option&gt; &lt;option value = ""20""&gt; 20 &lt;/ option&gt; &lt;option value = """&amp;"21""&gt; 21 &lt;/ option&gt; &lt;option value = ""22""&gt; 22 &lt;/ option&gt; &lt;option value = ""23""&gt; 23 &lt;/ option&gt; &lt;option value = ""24""&gt; 24 &lt;/ option&gt; &lt;option value = ""25""&gt; 25 &lt;/ option&gt; &lt;option value = ""26""&gt; 26 &lt;/ option&gt; &lt;option value = ""27""&gt; 27 &lt;/ option&gt; &lt;option"&amp;" value = ""28""&gt; 28 &lt;/ option&gt; &lt;option value = ""29""&gt; 29 &lt;/ option&gt; &lt;option value = ""30""&gt; 30 &lt;/ option&gt; &lt;option value = ""31""&gt; 31 &lt;/ option&gt; &lt;/ select&gt; &lt;select tabindex = ""- 1"" class = ""airy-age-gate-year""&gt; &lt;option value = ""2019""&gt; 2019 &lt;/ option"&amp;"&gt; &lt; option value = ""2018""&gt; 2018 &lt;/ option&gt; &lt;option value = ""2017""&gt; 2017 &lt;/ option&gt; &lt;option value = ""2016""&gt; ​​2016 &lt;/ option&gt; &lt;option value = ""2015""&gt; 2015 &lt;/ option &gt; &lt;option value = ""2014""&gt; 2014 &lt;/ option&gt; &lt;option value = ""2013""&gt; 2013 &lt;/ optio"&amp;"n&gt; &lt;option value = ""2012""&gt; 2012 &lt;/ option&gt; &lt;option value = ""2011""&gt; 2011 &lt; / option&gt; &lt;option value = ""2010""&gt; 2010 &lt;/ option&gt; &lt;option value = ""2009""&gt; 2009 &lt;/ option&gt; &lt;option value = ""2008""&gt; 2008 &lt;/ option&gt; &lt;option value = ""2007""&gt; 2007 &lt;/ option&gt;"&amp;" &lt;option value = ""2006""&gt; 2006 &lt;/ option&gt; &lt;option value = ""2005""&gt; 2005 &lt;/ option&gt; &lt;option value = ""2004""&gt; 2004 &lt;/ option&gt; &lt;option value = ""2003 ""&gt; 2003 &lt;/ option&gt; &lt;option value ="" 2002 ""&gt; 2002 &lt;/ option&gt; &lt;option value ="" 2001 ""&gt; 2001 &lt;/ option&gt;"&amp;" &lt;option value ="" 2000 ""&gt; 2000 &lt;/ option&gt; &lt;option value = ""1999""&gt; 1999 &lt;/ option&gt; &lt;option value = ""1998""&gt; 1998 &lt;/ option&gt; &lt;option value = ""1997""&gt; 1997 &lt;/ option&gt; &lt;option value = ""1996""&gt; 1996 &lt;/ option&gt; &lt;option value = ""1995""&gt; 1995 &lt;/ option&gt; &lt;"&amp;"option value = ""1994""&gt; 1994 &lt;/ option&gt; &lt;option value = ""1993""&gt; 1993 &lt;/ option&gt; &lt;option value = ""1992""&gt; 1992 &lt;/ option&gt; &lt;option value = ""1991""&gt; 1991 &lt;/ option&gt; &lt;option value = ""1990""&gt; 1990 &lt;/ option&gt; &lt;option value = "" 1989 ""&gt; 1989 &lt;/ option&gt; &lt;o"&amp;"ption value ="" 1988 ""&gt; 1988 &lt;/ option&gt; &lt;option value ="" 1987 ""&gt; 1987 &lt;/ option&gt; &lt;option value ="" 1986 ""&gt; 1986 &lt;/ option&gt; &lt;value option = ""1985""&gt; 1985 &lt;/ option&gt; &lt;option value = ""1984""&gt; 1984 &lt;/ option&gt; &lt;option value = ""1983""&gt; 1983 &lt;/ option&gt; &lt;o"&amp;"ption value = ""1982""&gt; 1982 &lt;/ option&gt; &lt; option value = ""1981""&gt; 1981 &lt;/ option&gt; &lt;option value = ""1980""&gt; 1980 &lt;/ option&gt; &lt;option value = ""1979""&gt; 1979 &lt;/ option&gt; &lt;option value = ""1978""&gt; 1978 &lt;/ option &gt; &lt;option value = ""1977""&gt; 1977 &lt;/ option&gt; &lt;op"&amp;"tion value = ""1976""&gt; 1976 &lt;/ option&gt; &lt;option value = ""1975""&gt; 1975 &lt;/ option&gt; &lt;option value = ""1974""&gt; 1974 &lt; / option&gt; &lt;option value = ""1973""&gt; 1973 &lt;/ option&gt; &lt;option value = ""1972""&gt; 1972 &lt;/ option&gt; &lt;option value = ""1971""&gt; 1971 &lt;/ option&gt; &lt;opti"&amp;"on value = ""1970""&gt; 1970 &lt;/ option&gt; &lt;option value = ""1969""&gt; 1969 &lt;/ option&gt; &lt;option value = ""1968""&gt; 1968 &lt;/ option&gt; &lt;option value = ""1967""&gt; 1967 &lt;/ option&gt; &lt;option value = ""1966 ""&gt; 1966 &lt;/ option&gt; &lt;option value ="" 1965 ""&gt; 1965 &lt;/ option&gt; &lt;optio"&amp;"n value ="" 1964 ""&gt; 1964 &lt;/ option&gt; &lt;option value ="" 1963 ""&gt; 1963 &lt;/ option&gt; &lt;option value = ""1962""&gt; 1962 &lt;/ option&gt; &lt;option value = ""1961""&gt; 1961 &lt;/ option&gt; &lt;option value = ""1960""&gt; 1960 &lt;/ op tion&gt; &lt;option value = ""1959""&gt; 1959 &lt;/ option&gt; &lt;optio"&amp;"n value = ""1958""&gt; 1958 &lt;/ option&gt; &lt;option value = ""1957""&gt; 1957 &lt;/ option&gt; &lt;option value = ""1956""&gt; 1956 &lt;/ option&gt; &lt;option value = ""1955""&gt; 1955 &lt;/ option&gt; &lt;option value = ""1954""&gt; 1954 &lt;/ option&gt; &lt;option value = ""1953""&gt; 1953 &lt;/ option&gt; &lt;option v"&amp;"alue = ""1952"" &gt; 1952 &lt;/ option&gt; &lt;option value = ""1951""&gt; 1951 &lt;/ option&gt; &lt;option value = ""1950""&gt; 1950 &lt;/ option&gt; &lt;option value = ""1949""&gt; 1949 &lt;/ option&gt; &lt;option value = "" 1948 ""&gt; 1948 &lt;/ option&gt; &lt;option value ="" 1947 ""&gt; 1947 &lt;/ option&gt; &lt;option "&amp;"value ="" 1946 ""&gt; 1946 &lt;/ option&gt; &lt;option value ="" 1945 ""&gt; 1945 &lt;/ option&gt; &lt;value option = ""1944""&gt; 1944 &lt;/ option&gt; &lt;option value = ""1943""&gt; 1943 &lt;/ option&gt; &lt;option value = ""1942""&gt; 1942 &lt;/ option&gt; &lt;option value = ""1941""&gt; 1941 &lt;/ option&gt; &lt; option "&amp;"value = ""1940""&gt; 1940 &lt;/ option&gt; &lt;option value = ""1939""&gt; 1939 &lt;/ option&gt; &lt;option value = ""1938""&gt; 1938 &lt;/ option&gt; &lt;option value = ""1937""&gt; 1937 &lt;/ option &gt; &lt;option value = ""1936""&gt; 1936 &lt;/ option&gt; &lt;option value = ""1935""&gt; 1935 &lt;/ option&gt; &lt;option va"&amp;"lue = ""1934""&gt; 1934 &lt;/ option&gt; &lt;option value = ""1933""&gt; 1933 &lt; / option&gt; &lt;option value = ""1932""&gt; 1932 &lt;/ option&gt; &lt;option value = ""1931""&gt; 1931 &lt;/ option&gt; &lt;option v alue = ""1930""&gt; 1930 &lt;/ option&gt; &lt;option value = ""1929""&gt; 1929 &lt;/ option&gt; &lt;option val"&amp;"ue = ""1928""&gt; 1928 &lt;/ option&gt; &lt;option value = ""1927""&gt; 1927 &lt;/ option&gt; &lt;option value = ""1926""&gt; 1926 &lt;/ option&gt; &lt;option value = ""1925""&gt; 1925 &lt;/ option&gt; &lt;option value = ""1924""&gt; 1924 &lt;/ option&gt; &lt;option value = ""1923""&gt; 1923 &lt;/ option&gt; &lt;option value "&amp;"= ""1922""&gt; 1922 &lt;/ option&gt; &lt;option value = ""1921""&gt; 1921 &lt;/ option&gt; &lt;option value = ""1920""&gt; 1920 &lt;/ option&gt; &lt;option value = ""1919""&gt; 1919 &lt;/ option&gt; &lt;option value = ""1918""&gt; 1918 &lt;/ option&gt; &lt;option value = ""1917""&gt; 1917 &lt;/ option&gt; &lt;option value = "&amp;"""1916""&gt; 1916 &lt;/ option&gt; &lt;option value = ""1915"" &gt; 1915 &lt;/ option&gt; &lt;option value = ""1914""&gt; 1914 &lt;/ option&gt; &lt;option value = ""1913""&gt; 1913 &lt;/ option&gt; &lt;option value = ""1912""&gt; 1912 &lt;/ option&gt; &lt;option value = "" 1911 ""&gt; 1911 &lt;/ option&gt; &lt;option value ="&amp;""" 1910 ""&gt; 1910 &lt;/ option&gt; &lt;option value ="" 1909 ""&gt; 1909 &lt;/ option&gt; &lt;option value ="" 1908 ""&gt; 1908 &lt;/ option&gt; &lt;value option = ""1907""&gt; 1907 &lt;/ option&gt; &lt;option value = ""1906""&gt; 1906 &lt;/ option&gt; &lt;option value = ""1905""&gt; 1905 &lt;/ option&gt; &lt;option value ="&amp;" ""1904""&gt; 1904 &lt;/ option&gt; &lt; option value = ""1903""&gt; 1903 &lt;/ option&gt; &lt;option value = ""1902""&gt; 1902 &lt;/ option&gt; &lt;option value = ""1901""&gt; 19 01 &lt;/ option&gt; &lt;option value = ""1900""&gt; 1900 &lt;/ option&gt; &lt;/ select&gt; &lt;div tabindex = ""- 1"" class = ""airy-age-gate"&amp;"-submit airy-submit-button airy airy-submit- disabled ""&gt; Submit &lt;/ div&gt; &lt;/ div&gt; &lt;/ div&gt; &lt;/ div&gt; &lt;/ div&gt; &lt;/ div&gt; &lt;div tabindex ="" - 1 ""class ="" airy-install-flash-dialog airy-stage airy -vertical-centering-table-dialog airy airy-denied ""style ="" opac"&amp;"ity: 0; visibility: hidden; ""&gt; &lt;div tabindex ="" - 1 ""class ="" airy-install-flash-Vertical-centering-table-cell airy-Vertical-centering-table-cell ""&gt; &lt;div tabindex ="" - 1 ""class = ""airy-Vertical-centering-wrapper airy-install-flash-elements-wrapper"&amp;"""&gt; &lt;div tabindex = ""- 1"" class = ""airy-install-flash-elements airy-dialog-elements""&gt; &lt;div tabindex = "" -1 ""class ="" airy-install-flash-prompt ""&gt; Adobe Flash Player is required to watch this video &lt;/ div&gt; &lt;div tabindex =."" - 1 ""class ="" airy-in"&amp;"stall-flash-button-wrapper airy -dialog-inner-elements ""&gt; &lt;div tabindex ="" - 1 ""class ="" airy-install-flash-button airy-button ""&gt; install Flash Player &lt;/ div&gt; &lt;/ div&gt; &lt;/ div&gt; &lt;/ div&gt; &lt;/ div&gt; &lt;/ div&gt; &lt;div tabindex = ""- 1"" class = ""airy-video-unsupp"&amp;"orted-dialog airy-stage airy-Vertical-centering-table airy-dialog airy-denied"" style = ""opacity: 0; visibility: hidden; ""&gt; &lt;div tabindex ="" - 1 ""class ="" airy-video-unsupported-Vertical-centering-table-cell airy-Vertical-centering-table-cell ""&gt; &lt;di"&amp;"v tabindex ="" - 1 ""class = ""airy-Vertical-centering-wrapper airy-video-unsupported-elements-wrapper""&gt; &lt;div tabindex = ""- 1"" class = ""airy-video-unsupported-elements airy-dialog-elements""&gt; &lt;div tabindex = "" -1 ""class ="" airy-video-unsupported-pr"&amp;"ompt ""&gt; &lt;/ div&gt; &lt;/ div&gt; &lt;/ div&gt; &lt;/ div&gt; &lt;/ div&gt; &lt;div tabindex ="" - 1 ""class ="" airy-loading- spinner-stage airy-stage ""&gt; &lt;div tabindex ="" - 1 ""class ="" airy-loading-spinner-Vertical-centering-table-cell airy-Vertical-centering-table-cell ""&gt; &lt;div "&amp;"tabindex ="" - 1 ""class ="" airy-loading-spinner-container airy-scalable-hint-container ""&gt; &lt;div tabindex ="" - 1 ""class ="" airy-loading-spinner-dummy airy-scalable-dummy ""&gt; &lt;/ div&gt; &lt; div tabindex = ""- 1"" class = ""airy-loading-spinner airy-hint"" s"&amp;"tyle = ""visibility: hidden;""&gt; &lt;/ div&gt; &lt;/ div&gt; &lt;/ div&gt; &lt;/ div&gt; &lt;div tabindex = ""- 1 ""class ="" airy-ads-screen-size-toggle airy-screen-size-toggle-fullscreen airy ""style ="" visibility: hidden; ""&gt; &lt;/ div&gt; &lt;div tabindex = ""-1"" class = ""airy-ad-prom"&amp;"pt-container"" style = ""visibility: hidden;""&gt; &lt;div tabindex = ""- 1"" class = ""airy-ad-prompt-Vertical-centering-table-vertically airy centering-table ""&gt; &lt;div tabindex ="" - 1 ""class ="" airy-ad-prompt-Vertical-centering-table-cell airy-Vertical-cent"&amp;"ering-table-cell ""&gt; &lt;div tabindex ="" - 1 ""class = ""airy-ad-prompt-label""&gt; &lt;/ div&gt; &lt;/ div&gt; &lt;/ div&gt; &lt;/ div&gt; &lt;div tabindex = ""- 1"" class = ""airy-ads-controls-container"" style = ""visibility: hidden; ""&gt; &lt;div tabindex ="" - 1 ""class ="" airy-ads-aud"&amp;"io-toggle airy-audio-toggle airy-on ""style ="" visibility: hidden; ""&gt; &lt;/ div&gt; &lt;div tabindex ="" - 1 ""class ="" airy-time-remaining-label-container ""&gt; &lt;div tabindex ="" - 1 ""class ="" airy-time-remaining-Vertical-centering-table airy-Vertical-centerin"&amp;"g-table ""&gt; &lt;div tabindex = ""- 1"" class = ""airy-time-remaining-Vertical-centering-table-cell airy-Vertical-centering-table-cell""&gt; &lt;div tabindex = ""- 1"" class = ""airy-Vertical-centering-wrapper airy-time-remaining-label-wrapper ""&gt; &lt;div tabindex ="""&amp;" - 1 ""class ="" airy-time-remaining-label ""style ="" visibility: hidden; ""&gt; &lt;/ div&gt; &lt;div tabi ndex = ""- 1"" class = ""airy-ad-skip"" style = ""visibility: hidden;""&gt; &lt;/ div&gt; &lt;div tabindex = ""- 1"" class = ""airy-ad-end"" style = ""visibility: hidden "&amp;"""&gt; &lt;/ div&gt; &lt;/ div&gt; &lt;/ div&gt; &lt;/ div&gt; &lt;/ div&gt; &lt;div tabindex ="" - 1 ""class ="" airy-learn-more ""style ="" visibility: hidden; ""&gt; &lt;/ div&gt; &lt;/ div&gt; &lt;div tabindex = ""- 1"" class = ""airy-play-toggle-hint-stage airy-stage airy-cursor""&gt; &lt;div tabindex = ""- 1"&amp;""" class = ""airy-play -toggle-hint-Vertical-centering-table-cell airy-Vertical-centering-table-cell airy-cursor ""&gt; &lt;div tabindex ="" - 1 ""class ="" airy-play-toggle-hint-container airy-scalable- Hint-container ""&gt; &lt;div tabindex ="" - 1 ""class ="" airy"&amp;"-play-toggle-hint-dummy airy-scalable-dummy ""&gt; &lt;/ div&gt; &lt;div tabindex ="" - 1 ""class ="" airy-play -toggle-hint hint airy-airy-play-hint ""style ="" opacity: 1; visibility: visible; ""&gt; &lt;/ div&gt; &lt;/ div&gt; &lt;/ div&gt; &lt;/ div&gt; &lt;div tabindex ="" - 1 ""class ="" ai"&amp;"ry-replay-hint-stage airy-stage ""style ="" visibility: hidden ; ""&gt; &lt;div tabindex ="" - 1 ""class ="" airy-replay-hint-Vertical-centering-table-cell airy-Vertical-centering-table-cell airy-cursor ""&gt; &lt;div tabindex ="" - 1 ""class = ""airy-replay-hint-con"&amp;"tainer airy-scalable-hint-container""&gt; &lt;div tabindex = ""- 1"" class = ""airy-replay-hint-dummy airy-scalable-dummy""&gt; &lt;/ div&gt; &lt;div tabindex = ""- 1"" class = ""airy-replay-hint airy-hint""&gt; &lt;/ div&gt; &lt;/ div&gt; &lt;/ div&gt; &lt;/ div&gt; &lt;div tabindex = ""- 1"" class = "&amp;"""airy-autoplay-hint -stage airy-stage ""style ="" visibility: hidden; ""&gt; &lt;div tabindex ="" - 1 ""class ="" airy-autoplay-hint-Vertical-centering-table-cell airy-Vertical-centering-table-cell airy- cursor ""&gt; &lt;div tabindex ="" - 1 ""class ="" autoplay ai"&amp;"ry-airy-hint-container-scalable-hint-container ""&gt; &lt;div tabindex ="" - 1 ""class ="" airy-autoplay-hint-dummy airy- scalable-dummy ""&gt; &lt;/ div&gt; &lt;/ div&gt; &lt;/ div&gt; &lt;/ div&gt; &lt;/ div&gt; &lt;/ div&gt; &lt;input type ="" hidden ""name ="" ""value ="" https: // images-eu .ssl-i"&amp;"mages-amazon.com / images / I / 81l8LWjTnDS.mp4 ""Class ="" video-url ""&gt; &lt;input type ="" hidden ""name ="" ""value ="" https://images-eu.ssl-images-amazon.com/images/I/91M0+KHyOrS.png ""class = ""video-slate-img-url""&gt; &amp; nbsp; wireless Headphones wireles"&amp;"s Bluetooth small size've been using a week and are spectacular wonders. It fits perfectly to the ear and is unfazed at the colocártelo, the sound is very good and the distance of the bluetooth at least in my case is quite wide, I left the mobile loading "&amp;"and at least 15 meters brings me the signal. To use it as a handsfree I must say that I was surprised with the quality I listen and I listen. It took several days wearing them and I have not connected the headphone box for charging, not that battery capac"&amp;"ity will have 5 days but I have not connected the box to load. Many are supported for Android as IOS, and is simple to connect, press the button on the headset does not matter left to the right and look for the bluetooth on mobile, so you link and pull yo"&amp;"u recognize it. On the side of the handset it has a small button with which you can hang up the call or pause music. Quality and unbeatable price. 100x100 recommended.")</f>
        <v>wireless headphones &lt;div id = "video-block-R1YK0SL8FZFSYY" class = "a-section a-spacing-small a-spacing-top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15 "preload =" auto "src =" https://images-eu.ssl-images-amazon.com/images/I/81l8LWjTnDS.mp4 "style =" position: absolute; left: 0px; top: 0px; overflow: hidden; height: 1px; width: 1px ; "&gt; &lt;/ video&gt; &lt;/ div&gt; &lt;div id =" airy-slate-preload "style =" background-color: rgb (0, 0, 0); background-image: url (&amp; quot; https: // images-eu.ssl-images-amazon.com/images/I/91M0+KHyOrS.png&amp;quot;); background-size: Contain; background-position: center center; background-repeat: no-repeat; position: absolute; top : 0px; left: 0px; visibility: visible; width: 100%; height: 100%; "&gt; &lt;/ div&gt; &lt;ifram and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81l8LWjTnDS.mp4 "Class =" video-url "&gt; &lt;input type =" hidden "name =" "value =" https://images-eu.ssl-images-amazon.com/images/I/91M0+KHyOrS.png "class = "video-slate-img-url"&gt; &amp; nbsp; wireless Headphones wireless Bluetooth small size've been using a week and are spectacular wonders. It fits perfectly to the ear and is unfazed at the colocártelo, the sound is very good and the distance of the bluetooth at least in my case is quite wide, I left the mobile loading and at least 15 meters brings me the signal. To use it as a handsfree I must say that I was surprised with the quality I listen and I listen. It took several days wearing them and I have not connected the headphone box for charging, not that battery capacity will have 5 days but I have not connected the box to load. Many are supported for Android as IOS, and is simple to connect, press the button on the headset does not matter left to the right and look for the bluetooth on mobile, so you link and pull you recognize it. On the side of the handset it has a small button with which you can hang up the call or pause music. Quality and unbeatable price. 100x100 recommended.</v>
      </c>
    </row>
    <row r="18649">
      <c r="A18649" s="1">
        <v>5.0</v>
      </c>
      <c r="B18649" s="1" t="s">
        <v>18470</v>
      </c>
      <c r="C18649" t="str">
        <f>IFERROR(__xludf.DUMMYFUNCTION("GOOGLETRANSLATE(B18649, ""es"", ""en"")"),"Fulfills its function. Perfect for use with Forscore on iPad. No complaints. Silent, without frights always change a page, not the airturn, you never know if you miss one, two or none. At last I have peace of mind to the touch!")</f>
        <v>Fulfills its function. Perfect for use with Forscore on iPad. No complaints. Silent, without frights always change a page, not the airturn, you never know if you miss one, two or none. At last I have peace of mind to the touch!</v>
      </c>
    </row>
    <row r="18650">
      <c r="A18650" s="1">
        <v>5.0</v>
      </c>
      <c r="B18650" s="1" t="s">
        <v>18471</v>
      </c>
      <c r="C18650" t="str">
        <f>IFERROR(__xludf.DUMMYFUNCTION("GOOGLETRANSLATE(B18650, ""es"", ""en"")"),"Perfect Very practical, very good materials, easy to assemble and very sturdy. Power flip with wheels or move any part is very useful, and the surface of the board is very nice, write or paint it perfectly and leaves no mark erasing. For the price it is a"&amp;" bargain.")</f>
        <v>Perfect Very practical, very good materials, easy to assemble and very sturdy. Power flip with wheels or move any part is very useful, and the surface of the board is very nice, write or paint it perfectly and leaves no mark erasing. For the price it is a bargain.</v>
      </c>
    </row>
    <row r="18651">
      <c r="A18651" s="1">
        <v>5.0</v>
      </c>
      <c r="B18651" s="1" t="s">
        <v>18472</v>
      </c>
      <c r="C18651" t="str">
        <f>IFERROR(__xludf.DUMMYFUNCTION("GOOGLETRANSLATE(B18651, ""es"", ""en"")"),"Nice quality and easy to use. Good quality. Speed")</f>
        <v>Nice quality and easy to use. Good quality. Speed</v>
      </c>
    </row>
    <row r="18652">
      <c r="A18652" s="1">
        <v>5.0</v>
      </c>
      <c r="B18652" s="1" t="s">
        <v>18473</v>
      </c>
      <c r="C18652" t="str">
        <f>IFERROR(__xludf.DUMMYFUNCTION("GOOGLETRANSLATE(B18652, ""es"", ""en"")"),"Value was very good in EARPHONES tired of using home that will cover your whole ear especially in summer because they give very hot and wanted to forget cables. I found these headphones that fit perfectly with the tires inside the ear hole as the other I "&amp;"always fell. I can only say that happy, have a surprisingly sound quality that you hear very well. I have connected to my PC to watch movies and great with the players (youtube type, VLC, Spotify) are supported to move and stop the songs / movies to the t"&amp;"ouch. I've also paired with a Bluetooth MP3 and fantastic. I tried to distance still work with mp3 and estimate about 8 meters (with 2 walls between). The box to store and charge the headset is fine and looks very good quality. A great buy, does everythin"&amp;"g I wanted and more.")</f>
        <v>Value was very good in EARPHONES tired of using home that will cover your whole ear especially in summer because they give very hot and wanted to forget cables. I found these headphones that fit perfectly with the tires inside the ear hole as the other I always fell. I can only say that happy, have a surprisingly sound quality that you hear very well. I have connected to my PC to watch movies and great with the players (youtube type, VLC, Spotify) are supported to move and stop the songs / movies to the touch. I've also paired with a Bluetooth MP3 and fantastic. I tried to distance still work with mp3 and estimate about 8 meters (with 2 walls between). The box to store and charge the headset is fine and looks very good quality. A great buy, does everything I wanted and more.</v>
      </c>
    </row>
    <row r="18653">
      <c r="A18653" s="1">
        <v>5.0</v>
      </c>
      <c r="B18653" s="1" t="s">
        <v>18474</v>
      </c>
      <c r="C18653" t="str">
        <f>IFERROR(__xludf.DUMMYFUNCTION("GOOGLETRANSLATE(B18653, ""es"", ""en"")"),"It was a good product for a gift friends and have been quite happy")</f>
        <v>It was a good product for a gift friends and have been quite happy</v>
      </c>
    </row>
    <row r="18654">
      <c r="A18654" s="1">
        <v>2.0</v>
      </c>
      <c r="B18654" s="1" t="s">
        <v>18475</v>
      </c>
      <c r="C18654" t="str">
        <f>IFERROR(__xludf.DUMMYFUNCTION("GOOGLETRANSLATE(B18654, ""es"", ""en"")"),"Look fake or defective batch from the outset that out of the box, comparing them with other Old Skool we have, you could tell that the quality of the vulcanized (gum that surrounds the shoe) was bad, too thin; It looked like it was from Simply put in the "&amp;"fold in the ball. We not returned it since we got a very good price, so we do think that they were either a fake or were defective item.")</f>
        <v>Look fake or defective batch from the outset that out of the box, comparing them with other Old Skool we have, you could tell that the quality of the vulcanized (gum that surrounds the shoe) was bad, too thin; It looked like it was from Simply put in the fold in the ball. We not returned it since we got a very good price, so we do think that they were either a fake or were defective item.</v>
      </c>
    </row>
    <row r="18655">
      <c r="A18655" s="1">
        <v>3.0</v>
      </c>
      <c r="B18655" s="1" t="s">
        <v>18476</v>
      </c>
      <c r="C18655" t="str">
        <f>IFERROR(__xludf.DUMMYFUNCTION("GOOGLETRANSLATE(B18655, ""es"", ""en"")"),"Very good cheap and useful, I used a psp and works well, the best thing is to put two memory cards at the same time, a great invention.")</f>
        <v>Very good cheap and useful, I used a psp and works well, the best thing is to put two memory cards at the same time, a great invention.</v>
      </c>
    </row>
    <row r="18656">
      <c r="A18656" s="1">
        <v>3.0</v>
      </c>
      <c r="B18656" s="1" t="s">
        <v>18477</v>
      </c>
      <c r="C18656" t="str">
        <f>IFERROR(__xludf.DUMMYFUNCTION("GOOGLETRANSLATE(B18656, ""es"", ""en"")"),"Sport yes, notifications and use for day to day, not the clock is very nice, but has some cons happened to summarize: It is known that you can not answer calls from the watch (the watch is more focused on the sport that daily use ), but what I do not like"&amp;" is that you have practically the internal memory (16MB) does not support having your music, for example. When you update the version (and do it to the least 5 times the purchase, takes each about 30 minutes (it seems we are in the last century, or was ru"&amp;"ling my watch) ... and the last thing I have been I liked is that although warns of incoming notifications, and read on your screen, I managed to discriminate WhatsApp group (on the phone have disabled) so that the clock vibrate all ... Come on, throwing "&amp;"wrist smoke all day with the happy groups ... that does seem to me a grave error. Anyway, I have not convinced me.")</f>
        <v>Sport yes, notifications and use for day to day, not the clock is very nice, but has some cons happened to summarize: It is known that you can not answer calls from the watch (the watch is more focused on the sport that daily use ), but what I do not like is that you have practically the internal memory (16MB) does not support having your music, for example. When you update the version (and do it to the least 5 times the purchase, takes each about 30 minutes (it seems we are in the last century, or was ruling my watch) ... and the last thing I have been I liked is that although warns of incoming notifications, and read on your screen, I managed to discriminate WhatsApp group (on the phone have disabled) so that the clock vibrate all ... Come on, throwing wrist smoke all day with the happy groups ... that does seem to me a grave error. Anyway, I have not convinced me.</v>
      </c>
    </row>
    <row r="18657">
      <c r="A18657" s="1">
        <v>1.0</v>
      </c>
      <c r="B18657" s="1" t="s">
        <v>18478</v>
      </c>
      <c r="C18657" t="str">
        <f>IFERROR(__xludf.DUMMYFUNCTION("GOOGLETRANSLATE(B18657, ""es"", ""en"")"),"Lousy if the bottle is great but the small piece that has the end of the tube does not last even two days, then is slit and anti-colic serves no function. I bought 2 packs and I will not buy more.")</f>
        <v>Lousy if the bottle is great but the small piece that has the end of the tube does not last even two days, then is slit and anti-colic serves no function. I bought 2 packs and I will not buy more.</v>
      </c>
    </row>
    <row r="18658">
      <c r="A18658" s="1">
        <v>1.0</v>
      </c>
      <c r="B18658" s="1" t="s">
        <v>18479</v>
      </c>
      <c r="C18658" t="str">
        <f>IFERROR(__xludf.DUMMYFUNCTION("GOOGLETRANSLATE(B18658, ""es"", ""en"")"),"It came completely wrinkled wrinkly has come, is useless, for the price I was not worth no return. Not recommended.")</f>
        <v>It came completely wrinkled wrinkly has come, is useless, for the price I was not worth no return. Not recommended.</v>
      </c>
    </row>
    <row r="18659">
      <c r="A18659" s="1">
        <v>4.0</v>
      </c>
      <c r="B18659" s="1" t="s">
        <v>18480</v>
      </c>
      <c r="C18659" t="str">
        <f>IFERROR(__xludf.DUMMYFUNCTION("GOOGLETRANSLATE(B18659, ""es"", ""en"")"),"good juicer and quiet makes much less noise compared to my old juicer, in that sense I think we have won with change. the drawback that much space ... and that not every kitchen can afford")</f>
        <v>good juicer and quiet makes much less noise compared to my old juicer, in that sense I think we have won with change. the drawback that much space ... and that not every kitchen can afford</v>
      </c>
    </row>
    <row r="18660">
      <c r="A18660" s="1">
        <v>4.0</v>
      </c>
      <c r="B18660" s="1" t="s">
        <v>18481</v>
      </c>
      <c r="C18660" t="str">
        <f>IFERROR(__xludf.DUMMYFUNCTION("GOOGLETRANSLATE(B18660, ""es"", ""en"")"),"Comfortable and beautiful. These shoes look much, are very nice and are very good, you have to buy one size smaller than normal because Carve large. I see them rather to walk or exercise indoors, do not think that can withstand a lot of beating. Yes, very"&amp;" comfortable.")</f>
        <v>Comfortable and beautiful. These shoes look much, are very nice and are very good, you have to buy one size smaller than normal because Carve large. I see them rather to walk or exercise indoors, do not think that can withstand a lot of beating. Yes, very comfortable.</v>
      </c>
    </row>
    <row r="18661">
      <c r="A18661" s="1">
        <v>4.0</v>
      </c>
      <c r="B18661" s="1" t="s">
        <v>18482</v>
      </c>
      <c r="C18661" t="str">
        <f>IFERROR(__xludf.DUMMYFUNCTION("GOOGLETRANSLATE(B18661, ""es"", ""en"")"),"FACULTY AND IDEAL OPPONENTS. It meets my expectations, ideal for teachers, lecturers and opponents (my case).")</f>
        <v>FACULTY AND IDEAL OPPONENTS. It meets my expectations, ideal for teachers, lecturers and opponents (my case).</v>
      </c>
    </row>
    <row r="18662">
      <c r="A18662" s="1">
        <v>4.0</v>
      </c>
      <c r="B18662" s="1" t="s">
        <v>18483</v>
      </c>
      <c r="C18662" t="str">
        <f>IFERROR(__xludf.DUMMYFUNCTION("GOOGLETRANSLATE(B18662, ""es"", ""en"")"),"Comodisimos and perfect sizing I come perfectly. I am thin and tall (my leg measured 1.05), and these pants do not fall short. The perfect color and pretty harbor. They have washed 1 time and colorfast. As only downside it is that having lace trim waist i"&amp;"s a little loose, but it is beyond repair. The sizing for me with this brand is ideal (soil spend 38) recommend 100%")</f>
        <v>Comodisimos and perfect sizing I come perfectly. I am thin and tall (my leg measured 1.05), and these pants do not fall short. The perfect color and pretty harbor. They have washed 1 time and colorfast. As only downside it is that having lace trim waist is a little loose, but it is beyond repair. The sizing for me with this brand is ideal (soil spend 38) recommend 100%</v>
      </c>
    </row>
    <row r="18663">
      <c r="A18663" s="1">
        <v>5.0</v>
      </c>
      <c r="B18663" s="1" t="s">
        <v>18484</v>
      </c>
      <c r="C18663" t="str">
        <f>IFERROR(__xludf.DUMMYFUNCTION("GOOGLETRANSLATE(B18663, ""es"", ""en"")"),"Very happy with the kettle very practical. I use it every day. It works very well. It's nice, fast, with great capacity. Great value for the price.")</f>
        <v>Very happy with the kettle very practical. I use it every day. It works very well. It's nice, fast, with great capacity. Great value for the price.</v>
      </c>
    </row>
    <row r="18664">
      <c r="A18664" s="1">
        <v>5.0</v>
      </c>
      <c r="B18664" s="1" t="s">
        <v>18485</v>
      </c>
      <c r="C18664" t="str">
        <f>IFERROR(__xludf.DUMMYFUNCTION("GOOGLETRANSLATE(B18664, ""es"", ""en"")"),"Large number of compartments The bag has has three compartments main zipper, of the medium without divisions and those in front and behind, both with several compartments and interior zips apart from the large number of compartments for me has interest to"&amp;" put portfolio, Mobile and others in the part that is attached to the body to prevent theft. The portfolio is nice and good quality.")</f>
        <v>Large number of compartments The bag has has three compartments main zipper, of the medium without divisions and those in front and behind, both with several compartments and interior zips apart from the large number of compartments for me has interest to put portfolio, Mobile and others in the part that is attached to the body to prevent theft. The portfolio is nice and good quality.</v>
      </c>
    </row>
    <row r="18665">
      <c r="A18665" s="1">
        <v>5.0</v>
      </c>
      <c r="B18665" s="1" t="s">
        <v>18486</v>
      </c>
      <c r="C18665" t="str">
        <f>IFERROR(__xludf.DUMMYFUNCTION("GOOGLETRANSLATE(B18665, ""es"", ""en"")"),"Very good buy are larger than I expected, it has been a pleasant surprise. Of good quality!")</f>
        <v>Very good buy are larger than I expected, it has been a pleasant surprise. Of good quality!</v>
      </c>
    </row>
    <row r="18666">
      <c r="A18666" s="1">
        <v>5.0</v>
      </c>
      <c r="B18666" s="1" t="s">
        <v>18487</v>
      </c>
      <c r="C18666" t="str">
        <f>IFERROR(__xludf.DUMMYFUNCTION("GOOGLETRANSLATE(B18666, ""es"", ""en"")"),"Suitable for cycling socks I have really enjoyed these socks if you knew asked more than a couple, excellent value for money.")</f>
        <v>Suitable for cycling socks I have really enjoyed these socks if you knew asked more than a couple, excellent value for money.</v>
      </c>
    </row>
    <row r="18667">
      <c r="A18667" s="1">
        <v>5.0</v>
      </c>
      <c r="B18667" s="1" t="s">
        <v>18488</v>
      </c>
      <c r="C18667" t="str">
        <f>IFERROR(__xludf.DUMMYFUNCTION("GOOGLETRANSLATE(B18667, ""es"", ""en"")"),"Correa very nice to me, very nice and very comfortable, band 3 is not engaged in the beautiful therefore does not hurt. It is very easy to adapt to the size of the wrist. Fits the bill. I recommend 100%")</f>
        <v>Correa very nice to me, very nice and very comfortable, band 3 is not engaged in the beautiful therefore does not hurt. It is very easy to adapt to the size of the wrist. Fits the bill. I recommend 100%</v>
      </c>
    </row>
    <row r="18668">
      <c r="A18668" s="1">
        <v>5.0</v>
      </c>
      <c r="B18668" s="1" t="s">
        <v>18489</v>
      </c>
      <c r="C18668" t="str">
        <f>IFERROR(__xludf.DUMMYFUNCTION("GOOGLETRANSLATE(B18668, ""es"", ""en"")"),"Very good shoes comfortable and light, but you have to order one size more than usual to make it right and not tight")</f>
        <v>Very good shoes comfortable and light, but you have to order one size more than usual to make it right and not tight</v>
      </c>
    </row>
    <row r="18669">
      <c r="A18669" s="1">
        <v>5.0</v>
      </c>
      <c r="B18669" s="1" t="s">
        <v>18490</v>
      </c>
      <c r="C18669" t="str">
        <f>IFERROR(__xludf.DUMMYFUNCTION("GOOGLETRANSLATE(B18669, ""es"", ""en"")"),"Well, without such problems as deacribe, it looks bigger on the photo. If in doubt, check measurements. a to")</f>
        <v>Well, without such problems as deacribe, it looks bigger on the photo. If in doubt, check measurements. a to</v>
      </c>
    </row>
    <row r="18670">
      <c r="A18670" s="1">
        <v>5.0</v>
      </c>
      <c r="B18670" s="1" t="s">
        <v>18491</v>
      </c>
      <c r="C18670" t="str">
        <f>IFERROR(__xludf.DUMMYFUNCTION("GOOGLETRANSLATE(B18670, ""es"", ""en"")"),"Fast delivery works as described, functions as described")</f>
        <v>Fast delivery works as described, functions as described</v>
      </c>
    </row>
    <row r="18671">
      <c r="A18671" s="1">
        <v>5.0</v>
      </c>
      <c r="B18671" s="1" t="s">
        <v>18492</v>
      </c>
      <c r="C18671" t="str">
        <f>IFERROR(__xludf.DUMMYFUNCTION("GOOGLETRANSLATE(B18671, ""es"", ""en"")"),"comfortable and nice boots. Order newcomer. Size and had proven the English Court, so I knew in advance everything you need. They are still unworn, but in the coming days we'll use. Moment very comfortable and have very soft soles, as well as reinforcemen"&amp;"ts in the toe and heel of the sole to prevent rapid wear.")</f>
        <v>comfortable and nice boots. Order newcomer. Size and had proven the English Court, so I knew in advance everything you need. They are still unworn, but in the coming days we'll use. Moment very comfortable and have very soft soles, as well as reinforcements in the toe and heel of the sole to prevent rapid wear.</v>
      </c>
    </row>
    <row r="18672">
      <c r="A18672" s="1">
        <v>5.0</v>
      </c>
      <c r="B18672" s="1" t="s">
        <v>18493</v>
      </c>
      <c r="C18672" t="str">
        <f>IFERROR(__xludf.DUMMYFUNCTION("GOOGLETRANSLATE(B18672, ""es"", ""en"")"),"Excellent Very Good")</f>
        <v>Excellent Very Good</v>
      </c>
    </row>
    <row r="18673">
      <c r="A18673" s="1">
        <v>5.0</v>
      </c>
      <c r="B18673" s="1" t="s">
        <v>18494</v>
      </c>
      <c r="C18673" t="str">
        <f>IFERROR(__xludf.DUMMYFUNCTION("GOOGLETRANSLATE(B18673, ""es"", ""en"")"),"I buy exactly like the image many products of this brand and satisfied again. Comfortable, warm, pleasant to the touch and ideal for around the house. I bought in more colors.")</f>
        <v>I buy exactly like the image many products of this brand and satisfied again. Comfortable, warm, pleasant to the touch and ideal for around the house. I bought in more colors.</v>
      </c>
    </row>
    <row r="18674">
      <c r="A18674" s="1">
        <v>5.0</v>
      </c>
      <c r="B18674" s="1" t="s">
        <v>18495</v>
      </c>
      <c r="C18674" t="str">
        <f>IFERROR(__xludf.DUMMYFUNCTION("GOOGLETRANSLATE(B18674, ""es"", ""en"")"),"Highly recommended. I am delighted with him. And it is the third q have. I do not take it off or in the shower or in the sea and holds perfectly. It's nice, hard and well priced. I recommend it.")</f>
        <v>Highly recommended. I am delighted with him. And it is the third q have. I do not take it off or in the shower or in the sea and holds perfectly. It's nice, hard and well priced. I recommend it.</v>
      </c>
    </row>
    <row r="18675">
      <c r="A18675" s="1">
        <v>5.0</v>
      </c>
      <c r="B18675" s="1" t="s">
        <v>18496</v>
      </c>
      <c r="C18675" t="str">
        <f>IFERROR(__xludf.DUMMYFUNCTION("GOOGLETRANSLATE(B18675, ""es"", ""en"")"),"Comfort and elegance comfort")</f>
        <v>Comfort and elegance comfort</v>
      </c>
    </row>
    <row r="18676">
      <c r="A18676" s="1">
        <v>5.0</v>
      </c>
      <c r="B18676" s="1" t="s">
        <v>18497</v>
      </c>
      <c r="C18676" t="str">
        <f>IFERROR(__xludf.DUMMYFUNCTION("GOOGLETRANSLATE(B18676, ""es"", ""en"")"),"Very nice has come early. In very good condition. And it's so pretty")</f>
        <v>Very nice has come early. In very good condition. And it's so pretty</v>
      </c>
    </row>
    <row r="18677">
      <c r="A18677" s="1">
        <v>5.0</v>
      </c>
      <c r="B18677" s="1" t="s">
        <v>18498</v>
      </c>
      <c r="C18677" t="str">
        <f>IFERROR(__xludf.DUMMYFUNCTION("GOOGLETRANSLATE(B18677, ""es"", ""en"")"),"Very good buy I bought it to return to get their hands on the PSP and is perfect, so use with 64Gb (32Gb 2x) and so far no problem. It seems weak, but if you leave it mounted and use the data cable to the PSP, do not touch it. A very economical option to "&amp;"expensive MS Pro Duo High capacity.")</f>
        <v>Very good buy I bought it to return to get their hands on the PSP and is perfect, so use with 64Gb (32Gb 2x) and so far no problem. It seems weak, but if you leave it mounted and use the data cable to the PSP, do not touch it. A very economical option to expensive MS Pro Duo High capacity.</v>
      </c>
    </row>
    <row r="18678">
      <c r="A18678" s="1">
        <v>5.0</v>
      </c>
      <c r="B18678" s="1" t="s">
        <v>18499</v>
      </c>
      <c r="C18678" t="str">
        <f>IFERROR(__xludf.DUMMYFUNCTION("GOOGLETRANSLATE(B18678, ""es"", ""en"")"),"That meets the expectations are that the second use of the mark, use them to run in the gym and truth are very comfortable.")</f>
        <v>That meets the expectations are that the second use of the mark, use them to run in the gym and truth are very comfortable.</v>
      </c>
    </row>
    <row r="18679">
      <c r="A18679" s="1">
        <v>5.0</v>
      </c>
      <c r="B18679" s="1" t="s">
        <v>18500</v>
      </c>
      <c r="C18679" t="str">
        <f>IFERROR(__xludf.DUMMYFUNCTION("GOOGLETRANSLATE(B18679, ""es"", ""en"")"),"VERY GOOD FOR BIG SITES IF YOU BUY A GOOD OIL IS VERY GOOD BUY. I bought OIL SOLUBLE IN EL CORTE INGLES AND I LOVE PERFUME. WHEN relocates WATER WITH OIL left over ONE OR MORE DAYS BEFORE, AND NOT SMELL LIKE. I am very sensitive to smells. I RECOMMEND TO "&amp;"CHANGE")</f>
        <v>VERY GOOD FOR BIG SITES IF YOU BUY A GOOD OIL IS VERY GOOD BUY. I bought OIL SOLUBLE IN EL CORTE INGLES AND I LOVE PERFUME. WHEN relocates WATER WITH OIL left over ONE OR MORE DAYS BEFORE, AND NOT SMELL LIKE. I am very sensitive to smells. I RECOMMEND TO CHANGE</v>
      </c>
    </row>
    <row r="18680">
      <c r="A18680" s="1">
        <v>5.0</v>
      </c>
      <c r="B18680" s="1" t="s">
        <v>18501</v>
      </c>
      <c r="C18680" t="str">
        <f>IFERROR(__xludf.DUMMYFUNCTION("GOOGLETRANSLATE(B18680, ""es"", ""en"")"),"Comfortable and light Lightweight and comfortable, I use them for walking and going great! Quality materials. Highly recommended. The buy in supply and value is exceptional")</f>
        <v>Comfortable and light Lightweight and comfortable, I use them for walking and going great! Quality materials. Highly recommended. The buy in supply and value is exceptional</v>
      </c>
    </row>
    <row r="18681">
      <c r="A18681" s="1">
        <v>5.0</v>
      </c>
      <c r="B18681" s="1" t="s">
        <v>18502</v>
      </c>
      <c r="C18681" t="str">
        <f>IFERROR(__xludf.DUMMYFUNCTION("GOOGLETRANSLATE(B18681, ""es"", ""en"")"),"Beatrice received when he wanted, without any problem, at a very affordable price and I still have a great time! I am very happy with the purchase!")</f>
        <v>Beatrice received when he wanted, without any problem, at a very affordable price and I still have a great time! I am very happy with the purchase!</v>
      </c>
    </row>
    <row r="18682">
      <c r="A18682" s="1">
        <v>2.0</v>
      </c>
      <c r="B18682" s="1" t="s">
        <v>18503</v>
      </c>
      <c r="C18682" t="str">
        <f>IFERROR(__xludf.DUMMYFUNCTION("GOOGLETRANSLATE(B18682, ""es"", ""en"")"),"I do not like not liked me. The design is nice and are as I expected, but with tansolo 1 day use joints and seams were some white tail bearing or something.")</f>
        <v>I do not like not liked me. The design is nice and are as I expected, but with tansolo 1 day use joints and seams were some white tail bearing or something.</v>
      </c>
    </row>
    <row r="18683">
      <c r="A18683" s="1">
        <v>3.0</v>
      </c>
      <c r="B18683" s="1" t="s">
        <v>18504</v>
      </c>
      <c r="C18683" t="str">
        <f>IFERROR(__xludf.DUMMYFUNCTION("GOOGLETRANSLATE(B18683, ""es"", ""en"")"),"Good liquid antipinchazos but .... The liquid is fine, seals perfectly and is very good but a negative is that I received the pot with liquid and dry around the stained box have spilled for the seal of the seal was opened, bone that the boat was used, but"&amp;" we still I have not returned.")</f>
        <v>Good liquid antipinchazos but .... The liquid is fine, seals perfectly and is very good but a negative is that I received the pot with liquid and dry around the stained box have spilled for the seal of the seal was opened, bone that the boat was used, but we still I have not returned.</v>
      </c>
    </row>
    <row r="18684">
      <c r="A18684" s="1">
        <v>1.0</v>
      </c>
      <c r="B18684" s="1" t="s">
        <v>18505</v>
      </c>
      <c r="C18684" t="str">
        <f>IFERROR(__xludf.DUMMYFUNCTION("GOOGLETRANSLATE(B18684, ""es"", ""en"")"),"I is rubbish a cheap shirt with grilled top brand brings to the cheap brand label a scammer")</f>
        <v>I is rubbish a cheap shirt with grilled top brand brings to the cheap brand label a scammer</v>
      </c>
    </row>
    <row r="18685">
      <c r="A18685" s="1">
        <v>1.0</v>
      </c>
      <c r="B18685" s="1" t="s">
        <v>18506</v>
      </c>
      <c r="C18685" t="str">
        <f>IFERROR(__xludf.DUMMYFUNCTION("GOOGLETRANSLATE(B18685, ""es"", ""en"")"),"Pendriver does not work I thought this was good and recognized brand and when I put it into the USB does not recognize it. I will return and buy a better brand.")</f>
        <v>Pendriver does not work I thought this was good and recognized brand and when I put it into the USB does not recognize it. I will return and buy a better brand.</v>
      </c>
    </row>
    <row r="18686">
      <c r="A18686" s="1">
        <v>4.0</v>
      </c>
      <c r="B18686" s="1" t="s">
        <v>18507</v>
      </c>
      <c r="C18686" t="str">
        <f>IFERROR(__xludf.DUMMYFUNCTION("GOOGLETRANSLATE(B18686, ""es"", ""en"")"),"Well, although it tends to get off me look good, very comfortable. I lowered the waistband, and occasionally have to be subiendomelo")</f>
        <v>Well, although it tends to get off me look good, very comfortable. I lowered the waistband, and occasionally have to be subiendomelo</v>
      </c>
    </row>
    <row r="18687">
      <c r="A18687" s="1">
        <v>4.0</v>
      </c>
      <c r="B18687" s="1" t="s">
        <v>18508</v>
      </c>
      <c r="C18687" t="str">
        <f>IFERROR(__xludf.DUMMYFUNCTION("GOOGLETRANSLATE(B18687, ""es"", ""en"")"),"Perfect to moisten and remove odors. This very well because it removes odors from the room but with the disadvantage that you have to take 15-20 drops of oil, because with a few when you do not smell anything. So that lasts up to 10 hours, I have taken th"&amp;"e maximum at the slower speed have been a 7H being full, if you're not tough or strong 4h speed. Leds, I must admit that are fine, light up more than it seems and creates a very nice and relaxing atmosphere in the room, lit not recommend them much time, b"&amp;"ut heat the water and causes bad odor.")</f>
        <v>Perfect to moisten and remove odors. This very well because it removes odors from the room but with the disadvantage that you have to take 15-20 drops of oil, because with a few when you do not smell anything. So that lasts up to 10 hours, I have taken the maximum at the slower speed have been a 7H being full, if you're not tough or strong 4h speed. Leds, I must admit that are fine, light up more than it seems and creates a very nice and relaxing atmosphere in the room, lit not recommend them much time, but heat the water and causes bad odor.</v>
      </c>
    </row>
    <row r="18688">
      <c r="A18688" s="1">
        <v>4.0</v>
      </c>
      <c r="B18688" s="1" t="s">
        <v>18509</v>
      </c>
      <c r="C18688" t="str">
        <f>IFERROR(__xludf.DUMMYFUNCTION("GOOGLETRANSLATE(B18688, ""es"", ""en"")"),"For the price that I bought better impossible I bought while on offer price of 32 Gb for pen 128GB. Its main drawback is that it has cover and gets very hot to the metal being abroad, although this does not it is if it implies that dissipates heat well in"&amp;"side and at the end is something positive")</f>
        <v>For the price that I bought better impossible I bought while on offer price of 32 Gb for pen 128GB. Its main drawback is that it has cover and gets very hot to the metal being abroad, although this does not it is if it implies that dissipates heat well inside and at the end is something positive</v>
      </c>
    </row>
    <row r="18689">
      <c r="A18689" s="1">
        <v>4.0</v>
      </c>
      <c r="B18689" s="1" t="s">
        <v>18510</v>
      </c>
      <c r="C18689" t="str">
        <f>IFERROR(__xludf.DUMMYFUNCTION("GOOGLETRANSLATE(B18689, ""es"", ""en"")"),"Quality and affordable price Comodos")</f>
        <v>Quality and affordable price Comodos</v>
      </c>
    </row>
    <row r="18690">
      <c r="A18690" s="1">
        <v>4.0</v>
      </c>
      <c r="B18690" s="1" t="s">
        <v>18511</v>
      </c>
      <c r="C18690" t="str">
        <f>IFERROR(__xludf.DUMMYFUNCTION("GOOGLETRANSLATE(B18690, ""es"", ""en"")"),"The bag is fine, size I had just the right bag meets the characteristics Bought or what, but I wish it had extended the information on the measures it turns a bit small, but imagine a little bigger")</f>
        <v>The bag is fine, size I had just the right bag meets the characteristics Bought or what, but I wish it had extended the information on the measures it turns a bit small, but imagine a little bigger</v>
      </c>
    </row>
    <row r="18691">
      <c r="A18691" s="1">
        <v>5.0</v>
      </c>
      <c r="B18691" s="1" t="s">
        <v>18512</v>
      </c>
      <c r="C18691" t="str">
        <f>IFERROR(__xludf.DUMMYFUNCTION("GOOGLETRANSLATE(B18691, ""es"", ""en"")"),"It works great is great, I love it. It has a large water reservoir 400 ml in which just take 10 droplet water soluble oil for magic fog effects and incredible odors. You can adjust the diffuser and entails no danger because the humidifier is turned off on"&amp;"ly when you run out of water. In addition you can regulate LEDs change color and schedule time on and / or off. By putting a but, I just would have liked to include some oil to prove anything to receive it. However there are hundreds of oils to choose fro"&amp;"m with different smells and shipping, from Amazon, it is fast. I love.")</f>
        <v>It works great is great, I love it. It has a large water reservoir 400 ml in which just take 10 droplet water soluble oil for magic fog effects and incredible odors. You can adjust the diffuser and entails no danger because the humidifier is turned off only when you run out of water. In addition you can regulate LEDs change color and schedule time on and / or off. By putting a but, I just would have liked to include some oil to prove anything to receive it. However there are hundreds of oils to choose from with different smells and shipping, from Amazon, it is fast. I love.</v>
      </c>
    </row>
    <row r="18692">
      <c r="A18692" s="1">
        <v>5.0</v>
      </c>
      <c r="B18692" s="1" t="s">
        <v>18513</v>
      </c>
      <c r="C18692" t="str">
        <f>IFERROR(__xludf.DUMMYFUNCTION("GOOGLETRANSLATE(B18692, ""es"", ""en"")"),"We love! We bought a two years ago and continues to warm as the first day. This bought it for my mom, great gift.")</f>
        <v>We love! We bought a two years ago and continues to warm as the first day. This bought it for my mom, great gift.</v>
      </c>
    </row>
    <row r="18693">
      <c r="A18693" s="1">
        <v>5.0</v>
      </c>
      <c r="B18693" s="1" t="s">
        <v>18514</v>
      </c>
      <c r="C18693" t="str">
        <f>IFERROR(__xludf.DUMMYFUNCTION("GOOGLETRANSLATE(B18693, ""es"", ""en"")"),"Magnificent sports watch with multiple benefits After being tested the clock for a week and peak, I can say the following: Meets perfectly the most demanding conditions of any athlete who wants to have very rigorously orderly and controlled your workouts,"&amp;" whether they are ( It has a huge variety of sports and is also configurable). Just start an exercise (screens are quite configurable to get the information more useful personally), the clock is connected to the GPS (may take 5 to 15 sec.) And begins to c"&amp;"ontrol a number of parameters, including the trail on the screen. The App perfectly controls the exercises, classifies, immediately translates the maps and can be edited directly or with complementary applications free (strava or the like, to reconstruct "&amp;"3D flights). There are many possibilities and configurations abundant personal choice. I tried several sports and behaves perfectly. I compared different pulsometers and is very reliable and accurate. The most common controls (sleep, recovery, instant hea"&amp;"rt rate ...) biorhythms and can tutelarte to improve your performance in sports chosen by their statistics and complex algorithms: It's amazing. I would not dare say cons, but I think there are two brief things to improve: on the one hand, although it has"&amp;" several areas of eligible watches, are almost all very digital and sports, should some more analogue (there is, but falls short for my taste), more ""elegant"" to ordinary life. I also feel bad that only has an alarm (besides rising and setting sun) when"&amp;" any economic bracelet offers you 5 will or 6, something for me very useful for work or chores at different times (that I really miss ). Otherwise it fulfills well as a clock. I would also like to be able to choose the brightness of the screen, which, alt"&amp;"hough well in automatic, should be able to adapt to the needs and tastes even at the risk of wasting battery (reason comes automatically by definition) . I think these things are not an impediment to this sports machine accuracy could be improved with upd"&amp;"ates offered by Suunto App and it works perfectly (computer and mobile). And would cost just one more product ""round"". Moreover, it seems to me highly recommended. It is a very serious watch and will delight any lover of the sport for its variety and fl"&amp;"exibility to all sports situations. Very happy overall.")</f>
        <v>Magnificent sports watch with multiple benefits After being tested the clock for a week and peak, I can say the following: Meets perfectly the most demanding conditions of any athlete who wants to have very rigorously orderly and controlled your workouts, whether they are ( It has a huge variety of sports and is also configurable). Just start an exercise (screens are quite configurable to get the information more useful personally), the clock is connected to the GPS (may take 5 to 15 sec.) And begins to control a number of parameters, including the trail on the screen. The App perfectly controls the exercises, classifies, immediately translates the maps and can be edited directly or with complementary applications free (strava or the like, to reconstruct 3D flights). There are many possibilities and configurations abundant personal choice. I tried several sports and behaves perfectly. I compared different pulsometers and is very reliable and accurate. The most common controls (sleep, recovery, instant heart rate ...) biorhythms and can tutelarte to improve your performance in sports chosen by their statistics and complex algorithms: It's amazing. I would not dare say cons, but I think there are two brief things to improve: on the one hand, although it has several areas of eligible watches, are almost all very digital and sports, should some more analogue (there is, but falls short for my taste), more "elegant" to ordinary life. I also feel bad that only has an alarm (besides rising and setting sun) when any economic bracelet offers you 5 will or 6, something for me very useful for work or chores at different times (that I really miss ). Otherwise it fulfills well as a clock. I would also like to be able to choose the brightness of the screen, which, although well in automatic, should be able to adapt to the needs and tastes even at the risk of wasting battery (reason comes automatically by definition) . I think these things are not an impediment to this sports machine accuracy could be improved with updates offered by Suunto App and it works perfectly (computer and mobile). And would cost just one more product "round". Moreover, it seems to me highly recommended. It is a very serious watch and will delight any lover of the sport for its variety and flexibility to all sports situations. Very happy overall.</v>
      </c>
    </row>
    <row r="18694">
      <c r="A18694" s="1">
        <v>5.0</v>
      </c>
      <c r="B18694" s="1" t="s">
        <v>18515</v>
      </c>
      <c r="C18694" t="str">
        <f>IFERROR(__xludf.DUMMYFUNCTION("GOOGLETRANSLATE(B18694, ""es"", ""en"")"),"Cool good product for plasticizing")</f>
        <v>Cool good product for plasticizing</v>
      </c>
    </row>
    <row r="18695">
      <c r="A18695" s="1">
        <v>5.0</v>
      </c>
      <c r="B18695" s="1" t="s">
        <v>18516</v>
      </c>
      <c r="C18695" t="str">
        <f>IFERROR(__xludf.DUMMYFUNCTION("GOOGLETRANSLATE(B18695, ""es"", ""en"")"),"very good quality cables are of the highest quality. The photographs are a true reflection of the original, despite being an important thickness, flexibility is perfect. I am very happy with the product.")</f>
        <v>very good quality cables are of the highest quality. The photographs are a true reflection of the original, despite being an important thickness, flexibility is perfect. I am very happy with the product.</v>
      </c>
    </row>
    <row r="18696">
      <c r="A18696" s="1">
        <v>5.0</v>
      </c>
      <c r="B18696" s="1" t="s">
        <v>18517</v>
      </c>
      <c r="C18696" t="str">
        <f>IFERROR(__xludf.DUMMYFUNCTION("GOOGLETRANSLATE(B18696, ""es"", ""en"")"),"Comfortable and excellent cushioning")</f>
        <v>Comfortable and excellent cushioning</v>
      </c>
    </row>
    <row r="18697">
      <c r="A18697" s="1">
        <v>5.0</v>
      </c>
      <c r="B18697" s="1" t="s">
        <v>18518</v>
      </c>
      <c r="C18697" t="str">
        <f>IFERROR(__xludf.DUMMYFUNCTION("GOOGLETRANSLATE(B18697, ""es"", ""en"")"),"Very good and comfortable shoes. Puma shoes retro full. If you like to dress like the '80s, these Puma shoes are flat, comfortable with long cordenes and fit very well. Took more than a month with them uitlizándolas almost daily and hardly noticed wear. I"&amp;" have flat feet and wide use templates, I ordered a number that is more than 46 and give sufficient size. I recommend ordering the exact number usually chocks. They came in their original box and fast delivery in time and form.")</f>
        <v>Very good and comfortable shoes. Puma shoes retro full. If you like to dress like the '80s, these Puma shoes are flat, comfortable with long cordenes and fit very well. Took more than a month with them uitlizándolas almost daily and hardly noticed wear. I have flat feet and wide use templates, I ordered a number that is more than 46 and give sufficient size. I recommend ordering the exact number usually chocks. They came in their original box and fast delivery in time and form.</v>
      </c>
    </row>
    <row r="18698">
      <c r="A18698" s="1">
        <v>5.0</v>
      </c>
      <c r="B18698" s="1" t="s">
        <v>18519</v>
      </c>
      <c r="C18698" t="str">
        <f>IFERROR(__xludf.DUMMYFUNCTION("GOOGLETRANSLATE(B18698, ""es"", ""en"")"),"He had a perfect same in black color, but they are so comfortable and so combined that I took on this other color. In addition to money I went very smoothly. Just as in store and cheaper.")</f>
        <v>He had a perfect same in black color, but they are so comfortable and so combined that I took on this other color. In addition to money I went very smoothly. Just as in store and cheaper.</v>
      </c>
    </row>
    <row r="18699">
      <c r="A18699" s="1">
        <v>5.0</v>
      </c>
      <c r="B18699" s="1" t="s">
        <v>18520</v>
      </c>
      <c r="C18699" t="str">
        <f>IFERROR(__xludf.DUMMYFUNCTION("GOOGLETRANSLATE(B18699, ""es"", ""en"")"),"Good nice and cheap I got 5 months ago and I use it every day, for many things. The design is elegant and functional, it is true that the temperature can not be modeficar but reaches the point fairly quickly evullivión")</f>
        <v>Good nice and cheap I got 5 months ago and I use it every day, for many things. The design is elegant and functional, it is true that the temperature can not be modeficar but reaches the point fairly quickly evullivión</v>
      </c>
    </row>
    <row r="18700">
      <c r="A18700" s="1">
        <v>5.0</v>
      </c>
      <c r="B18700" s="1" t="s">
        <v>18521</v>
      </c>
      <c r="C18700" t="str">
        <f>IFERROR(__xludf.DUMMYFUNCTION("GOOGLETRANSLATE(B18700, ""es"", ""en"")"),"I loved the product The product is perfect, does not occupy much space in the kitchen, but it beats perfectly, looks very good quality. Recommended")</f>
        <v>I loved the product The product is perfect, does not occupy much space in the kitchen, but it beats perfectly, looks very good quality. Recommended</v>
      </c>
    </row>
    <row r="18701">
      <c r="A18701" s="1">
        <v>5.0</v>
      </c>
      <c r="B18701" s="1" t="s">
        <v>18522</v>
      </c>
      <c r="C18701" t="str">
        <f>IFERROR(__xludf.DUMMYFUNCTION("GOOGLETRANSLATE(B18701, ""es"", ""en"")"),"Hit state perfect color and material. I anniversary book and stay better than one bought")</f>
        <v>Hit state perfect color and material. I anniversary book and stay better than one bought</v>
      </c>
    </row>
    <row r="18702">
      <c r="A18702" s="1">
        <v>5.0</v>
      </c>
      <c r="B18702" s="1" t="s">
        <v>18523</v>
      </c>
      <c r="C18702" t="str">
        <f>IFERROR(__xludf.DUMMYFUNCTION("GOOGLETRANSLATE(B18702, ""es"", ""en"")"),"I like it! It is very well value")</f>
        <v>I like it! It is very well value</v>
      </c>
    </row>
    <row r="18703">
      <c r="A18703" s="1">
        <v>5.0</v>
      </c>
      <c r="B18703" s="1" t="s">
        <v>18524</v>
      </c>
      <c r="C18703" t="str">
        <f>IFERROR(__xludf.DUMMYFUNCTION("GOOGLETRANSLATE(B18703, ""es"", ""en"")"),"Good mixer has much power, grinds very fast and very well. I recommend it")</f>
        <v>Good mixer has much power, grinds very fast and very well. I recommend it</v>
      </c>
    </row>
    <row r="18704">
      <c r="A18704" s="1">
        <v>5.0</v>
      </c>
      <c r="B18704" s="1" t="s">
        <v>18525</v>
      </c>
      <c r="C18704" t="str">
        <f>IFERROR(__xludf.DUMMYFUNCTION("GOOGLETRANSLATE(B18704, ""es"", ""en"")"),"Everything perfect quality")</f>
        <v>Everything perfect quality</v>
      </c>
    </row>
    <row r="18705">
      <c r="A18705" s="1">
        <v>5.0</v>
      </c>
      <c r="B18705" s="1" t="s">
        <v>18526</v>
      </c>
      <c r="C18705" t="str">
        <f>IFERROR(__xludf.DUMMYFUNCTION("GOOGLETRANSLATE(B18705, ""es"", ""en"")"),"Besides comfortable as design guapisimo for my taste, they are very comfortable and the perfect size.")</f>
        <v>Besides comfortable as design guapisimo for my taste, they are very comfortable and the perfect size.</v>
      </c>
    </row>
    <row r="18706">
      <c r="A18706" s="1">
        <v>5.0</v>
      </c>
      <c r="B18706" s="1" t="s">
        <v>18527</v>
      </c>
      <c r="C18706" t="str">
        <f>IFERROR(__xludf.DUMMYFUNCTION("GOOGLETRANSLATE(B18706, ""es"", ""en"")"),"Easy to use'm very happy, go very well and easy to use")</f>
        <v>Easy to use'm very happy, go very well and easy to use</v>
      </c>
    </row>
    <row r="18707">
      <c r="A18707" s="1">
        <v>5.0</v>
      </c>
      <c r="B18707" s="1" t="s">
        <v>18528</v>
      </c>
      <c r="C18707" t="str">
        <f>IFERROR(__xludf.DUMMYFUNCTION("GOOGLETRANSLATE(B18707, ""es"", ""en"")"),"It meets expectations Recommended works properly and gives fast and comfortable heat")</f>
        <v>It meets expectations Recommended works properly and gives fast and comfortable heat</v>
      </c>
    </row>
    <row r="18708">
      <c r="A18708" s="1">
        <v>5.0</v>
      </c>
      <c r="B18708" s="1" t="s">
        <v>18529</v>
      </c>
      <c r="C18708" t="str">
        <f>IFERROR(__xludf.DUMMYFUNCTION("GOOGLETRANSLATE(B18708, ""es"", ""en"")"),"Originals are original, very nice and super comfortable.")</f>
        <v>Originals are original, very nice and super comfortable.</v>
      </c>
    </row>
    <row r="18709">
      <c r="A18709" s="1">
        <v>5.0</v>
      </c>
      <c r="B18709" s="1" t="s">
        <v>18530</v>
      </c>
      <c r="C18709" t="str">
        <f>IFERROR(__xludf.DUMMYFUNCTION("GOOGLETRANSLATE(B18709, ""es"", ""en"")"),"Very Good recommend is a product to remove scratches from the face of the clock or other objects remain as new recommend")</f>
        <v>Very Good recommend is a product to remove scratches from the face of the clock or other objects remain as new recommend</v>
      </c>
    </row>
    <row r="18710">
      <c r="A18710" s="1">
        <v>2.0</v>
      </c>
      <c r="B18710" s="1" t="s">
        <v>18531</v>
      </c>
      <c r="C18710" t="str">
        <f>IFERROR(__xludf.DUMMYFUNCTION("GOOGLETRANSLATE(B18710, ""es"", ""en"")"),"I not recommend too hot. Foot sweat excessively. narrow in the toe causing discomfort fingers. I not recommend.")</f>
        <v>I not recommend too hot. Foot sweat excessively. narrow in the toe causing discomfort fingers. I not recommend.</v>
      </c>
    </row>
    <row r="18711">
      <c r="A18711" s="1">
        <v>3.0</v>
      </c>
      <c r="B18711" s="1" t="s">
        <v>18532</v>
      </c>
      <c r="C18711" t="str">
        <f>IFERROR(__xludf.DUMMYFUNCTION("GOOGLETRANSLATE(B18711, ""es"", ""en"")"),"Rare is a shoe very light but too thin, perhaps for spring / summer this most appropriate, but the fabric looks something puny.")</f>
        <v>Rare is a shoe very light but too thin, perhaps for spring / summer this most appropriate, but the fabric looks something puny.</v>
      </c>
    </row>
    <row r="18712">
      <c r="A18712" s="1">
        <v>3.0</v>
      </c>
      <c r="B18712" s="1" t="s">
        <v>18533</v>
      </c>
      <c r="C18712" t="str">
        <f>IFERROR(__xludf.DUMMYFUNCTION("GOOGLETRANSLATE(B18712, ""es"", ""en"")"),"Justito quality When asked already had some opinions accompanying the product, some great, some not so bad, so we decided to ask. It comes to hair without protective bag or anything, only embedded in a piece of cardboard with gridded decorations and brand"&amp;". The toy itself is plasticky, and it seems shoddy, until you cut manipulating and fixed in having a rebabillas pretty sharp that leaves you wondering if it is appropriate for an adult to recreate thinking about your childhood or if you are eligible for c"&amp;"hildren to play with it. Costs 12 €, which is not much, but I think the detail of the terminations should be taken into account, especially because it is not intended for children of 15 years, who are more aware, but for children 3 years old, wearing thin"&amp;"gs a little more to the beast. The toy itself consists of: a cart a mop (with 4 hairs up came dirty) a brush (which, in the like Mop, also arrived dirty) dustpan an ice cube in which it should be no more than 1 liter and a half water itself is a toy that "&amp;"children entertains them, but besides the bad endings have another little niggle, is that the handles are too small, seem designed for children 3 years and only 3 years because if this toy it picks up a girl or a boy 7 years, has to duck to play with him."&amp;" I will not say I do not recommend that, that I do not convince, does not mean that someone else it may seem wonderful toy ...")</f>
        <v>Justito quality When asked already had some opinions accompanying the product, some great, some not so bad, so we decided to ask. It comes to hair without protective bag or anything, only embedded in a piece of cardboard with gridded decorations and brand. The toy itself is plasticky, and it seems shoddy, until you cut manipulating and fixed in having a rebabillas pretty sharp that leaves you wondering if it is appropriate for an adult to recreate thinking about your childhood or if you are eligible for children to play with it. Costs 12 €, which is not much, but I think the detail of the terminations should be taken into account, especially because it is not intended for children of 15 years, who are more aware, but for children 3 years old, wearing things a little more to the beast. The toy itself consists of: a cart a mop (with 4 hairs up came dirty) a brush (which, in the like Mop, also arrived dirty) dustpan an ice cube in which it should be no more than 1 liter and a half water itself is a toy that children entertains them, but besides the bad endings have another little niggle, is that the handles are too small, seem designed for children 3 years and only 3 years because if this toy it picks up a girl or a boy 7 years, has to duck to play with him. I will not say I do not recommend that, that I do not convince, does not mean that someone else it may seem wonderful toy ...</v>
      </c>
    </row>
    <row r="18713">
      <c r="A18713" s="1">
        <v>1.0</v>
      </c>
      <c r="B18713" s="1" t="s">
        <v>18534</v>
      </c>
      <c r="C18713" t="str">
        <f>IFERROR(__xludf.DUMMYFUNCTION("GOOGLETRANSLATE(B18713, ""es"", ""en"")"),"POOR POOR QUALITY IS VERY CLOSE FALSE AND WHEN you least expect RELEASED AND LOSE.")</f>
        <v>POOR POOR QUALITY IS VERY CLOSE FALSE AND WHEN you least expect RELEASED AND LOSE.</v>
      </c>
    </row>
    <row r="18714">
      <c r="A18714" s="1">
        <v>1.0</v>
      </c>
      <c r="B18714" s="1" t="s">
        <v>18535</v>
      </c>
      <c r="C18714" t="str">
        <f>IFERROR(__xludf.DUMMYFUNCTION("GOOGLETRANSLATE(B18714, ""es"", ""en"")"),"Total Total disappointment disappointment, poor quality, size seems children")</f>
        <v>Total Total disappointment disappointment, poor quality, size seems children</v>
      </c>
    </row>
    <row r="18715">
      <c r="A18715" s="1">
        <v>4.0</v>
      </c>
      <c r="B18715" s="1" t="s">
        <v>18536</v>
      </c>
      <c r="C18715" t="str">
        <f>IFERROR(__xludf.DUMMYFUNCTION("GOOGLETRANSLATE(B18715, ""es"", ""en"")"),"Tight money First, very good presentation with box accessories and adjustable cable and gums to the ear very well, besides very clear instructions and of course in Spanish. In sugundo place, connection and start running fast, convenient and simple. Third "&amp;"and last, very good sound quality and comfortable to wear, unnoticeable and gives an outdoor soundproofing makes, even if you have very loud, you hear it perfectly and with great quality. The battery life is a function of the volume and call pretty good, "&amp;"between 3h and something else. The most remarkable to me is that you have stored on your box while charging the same without having to be connected to mains. And it gives pars enough loads, 3 minimum, then connect the box into the net with headphones on a"&amp;"nd everything is loaded in one go and ready for another 12 or 13h. They have enchanted me. I would definitely recommend, and had more than one purchased, although cheaper but none like this. I fully successful.")</f>
        <v>Tight money First, very good presentation with box accessories and adjustable cable and gums to the ear very well, besides very clear instructions and of course in Spanish. In sugundo place, connection and start running fast, convenient and simple. Third and last, very good sound quality and comfortable to wear, unnoticeable and gives an outdoor soundproofing makes, even if you have very loud, you hear it perfectly and with great quality. The battery life is a function of the volume and call pretty good, between 3h and something else. The most remarkable to me is that you have stored on your box while charging the same without having to be connected to mains. And it gives pars enough loads, 3 minimum, then connect the box into the net with headphones on and everything is loaded in one go and ready for another 12 or 13h. They have enchanted me. I would definitely recommend, and had more than one purchased, although cheaper but none like this. I fully successful.</v>
      </c>
    </row>
    <row r="18716">
      <c r="A18716" s="1">
        <v>4.0</v>
      </c>
      <c r="B18716" s="1" t="s">
        <v>18537</v>
      </c>
      <c r="C18716" t="str">
        <f>IFERROR(__xludf.DUMMYFUNCTION("GOOGLETRANSLATE(B18716, ""es"", ""en"")"),"Perfect perfect, comfortable, if you have to get one but if you have foot wide toe need to take a number you more comfortable")</f>
        <v>Perfect perfect, comfortable, if you have to get one but if you have foot wide toe need to take a number you more comfortable</v>
      </c>
    </row>
    <row r="18717">
      <c r="A18717" s="1">
        <v>4.0</v>
      </c>
      <c r="B18717" s="1" t="s">
        <v>18538</v>
      </c>
      <c r="C18717" t="str">
        <f>IFERROR(__xludf.DUMMYFUNCTION("GOOGLETRANSLATE(B18717, ""es"", ""en"")"),"I wanted a good price for small hand mixer to quantities without using the robot, good product, good clean, quality / price ratio very good, I am satisfied.")</f>
        <v>I wanted a good price for small hand mixer to quantities without using the robot, good product, good clean, quality / price ratio very good, I am satisfied.</v>
      </c>
    </row>
    <row r="18718">
      <c r="A18718" s="1">
        <v>4.0</v>
      </c>
      <c r="B18718" s="1" t="s">
        <v>18539</v>
      </c>
      <c r="C18718" t="str">
        <f>IFERROR(__xludf.DUMMYFUNCTION("GOOGLETRANSLATE(B18718, ""es"", ""en"")"),"Good nice and cheap The first thing that came super-fast, without much packaging but sufficient. acceptable quality and excellent price")</f>
        <v>Good nice and cheap The first thing that came super-fast, without much packaging but sufficient. acceptable quality and excellent price</v>
      </c>
    </row>
    <row r="18719">
      <c r="A18719" s="1">
        <v>4.0</v>
      </c>
      <c r="B18719" s="1" t="s">
        <v>18540</v>
      </c>
      <c r="C18719" t="str">
        <f>IFERROR(__xludf.DUMMYFUNCTION("GOOGLETRANSLATE(B18719, ""es"", ""en"")"),"meets the expectations meets the expectations I had. If you like this type of watch. He arrived in time and in good condition")</f>
        <v>meets the expectations meets the expectations I had. If you like this type of watch. He arrived in time and in good condition</v>
      </c>
    </row>
    <row r="18720">
      <c r="A18720" s="1">
        <v>5.0</v>
      </c>
      <c r="B18720" s="1" t="s">
        <v>18541</v>
      </c>
      <c r="C18720" t="str">
        <f>IFERROR(__xludf.DUMMYFUNCTION("GOOGLETRANSLATE(B18720, ""es"", ""en"")"),"Convenience bought for my mother in law and is delighted with the purchase, says that without very comfortable to change.")</f>
        <v>Convenience bought for my mother in law and is delighted with the purchase, says that without very comfortable to change.</v>
      </c>
    </row>
    <row r="18721">
      <c r="A18721" s="1">
        <v>5.0</v>
      </c>
      <c r="B18721" s="1" t="s">
        <v>18542</v>
      </c>
      <c r="C18721" t="str">
        <f>IFERROR(__xludf.DUMMYFUNCTION("GOOGLETRANSLATE(B18721, ""es"", ""en"")"),"Pleased with purchase. what I can only describe with one word, perfect. Despite being a used item, it could pass for a new except article because the seal of the container was broken. Pleased with the purchase, because I've saved more than a hundred euros"&amp;" if I had bought new and in practice there is no difference. PERFECT.")</f>
        <v>Pleased with purchase. what I can only describe with one word, perfect. Despite being a used item, it could pass for a new except article because the seal of the container was broken. Pleased with the purchase, because I've saved more than a hundred euros if I had bought new and in practice there is no difference. PERFECT.</v>
      </c>
    </row>
    <row r="18722">
      <c r="A18722" s="1">
        <v>5.0</v>
      </c>
      <c r="B18722" s="1" t="s">
        <v>18543</v>
      </c>
      <c r="C18722" t="str">
        <f>IFERROR(__xludf.DUMMYFUNCTION("GOOGLETRANSLATE(B18722, ""es"", ""en"")"),"Perfect Undoubtedly the best bottles I have, and that we have tried many brands. The anti-colic system of these bottles is the best we tasted and with less air gets our daughter. Definitely we recomendadisimos.")</f>
        <v>Perfect Undoubtedly the best bottles I have, and that we have tried many brands. The anti-colic system of these bottles is the best we tasted and with less air gets our daughter. Definitely we recomendadisimos.</v>
      </c>
    </row>
    <row r="18723">
      <c r="A18723" s="1">
        <v>5.0</v>
      </c>
      <c r="B18723" s="1" t="s">
        <v>18544</v>
      </c>
      <c r="C18723" t="str">
        <f>IFERROR(__xludf.DUMMYFUNCTION("GOOGLETRANSLATE(B18723, ""es"", ""en"")"),"Perfect Strong, tough and practical")</f>
        <v>Perfect Strong, tough and practical</v>
      </c>
    </row>
    <row r="18724">
      <c r="A18724" s="1">
        <v>5.0</v>
      </c>
      <c r="B18724" s="1" t="s">
        <v>18545</v>
      </c>
      <c r="C18724" t="str">
        <f>IFERROR(__xludf.DUMMYFUNCTION("GOOGLETRANSLATE(B18724, ""es"", ""en"")"),"Converse great !!! Are more beautiful than the pictures preciousness, EU 37.5 equals 38")</f>
        <v>Converse great !!! Are more beautiful than the pictures preciousness, EU 37.5 equals 38</v>
      </c>
    </row>
    <row r="18725">
      <c r="A18725" s="1">
        <v>5.0</v>
      </c>
      <c r="B18725" s="1" t="s">
        <v>18546</v>
      </c>
      <c r="C18725" t="str">
        <f>IFERROR(__xludf.DUMMYFUNCTION("GOOGLETRANSLATE(B18725, ""es"", ""en"")"),"I have it working properly functioning in a ps vita 1004 with 32 GB Micro SD, it works perfect. I recommend it. I arrived well packaged.")</f>
        <v>I have it working properly functioning in a ps vita 1004 with 32 GB Micro SD, it works perfect. I recommend it. I arrived well packaged.</v>
      </c>
    </row>
    <row r="18726">
      <c r="A18726" s="1">
        <v>5.0</v>
      </c>
      <c r="B18726" s="1" t="s">
        <v>18547</v>
      </c>
      <c r="C18726" t="str">
        <f>IFERROR(__xludf.DUMMYFUNCTION("GOOGLETRANSLATE(B18726, ""es"", ""en"")"),"Not pesan¡¡¡ I love and are super comodas¡¡¡¡ weigh nothing look great with pants and vestido¡¡¡")</f>
        <v>Not pesan¡¡¡ I love and are super comodas¡¡¡¡ weigh nothing look great with pants and vestido¡¡¡</v>
      </c>
    </row>
    <row r="18727">
      <c r="A18727" s="1">
        <v>5.0</v>
      </c>
      <c r="B18727" s="1" t="s">
        <v>18548</v>
      </c>
      <c r="C18727" t="str">
        <f>IFERROR(__xludf.DUMMYFUNCTION("GOOGLETRANSLATE(B18727, ""es"", ""en"")"),"Great great and comfortable. I was afraid as I sit and are great and super comfortable. I ordered a number but as usual in these shoes and I'm thrilled.")</f>
        <v>Great great and comfortable. I was afraid as I sit and are great and super comfortable. I ordered a number but as usual in these shoes and I'm thrilled.</v>
      </c>
    </row>
    <row r="18728">
      <c r="A18728" s="1">
        <v>5.0</v>
      </c>
      <c r="B18728" s="1" t="s">
        <v>18549</v>
      </c>
      <c r="C18728" t="str">
        <f>IFERROR(__xludf.DUMMYFUNCTION("GOOGLETRANSLATE(B18728, ""es"", ""en"")"),"Very happy very cool design, material and finish good is fine. ideal for man size. Very good value for money.")</f>
        <v>Very happy very cool design, material and finish good is fine. ideal for man size. Very good value for money.</v>
      </c>
    </row>
    <row r="18729">
      <c r="A18729" s="1">
        <v>5.0</v>
      </c>
      <c r="B18729" s="1" t="s">
        <v>18550</v>
      </c>
      <c r="C18729" t="str">
        <f>IFERROR(__xludf.DUMMYFUNCTION("GOOGLETRANSLATE(B18729, ""es"", ""en"")"),"Good headphones. Good headphones in relation to its price, bring adapters in different sizes to suit the ear, the function to receive calls is good listen and you listen good, I like that the cable is longer than normal and I can ride a bike with the phon"&amp;"e in the backpack.")</f>
        <v>Good headphones. Good headphones in relation to its price, bring adapters in different sizes to suit the ear, the function to receive calls is good listen and you listen good, I like that the cable is longer than normal and I can ride a bike with the phone in the backpack.</v>
      </c>
    </row>
    <row r="18730">
      <c r="A18730" s="1">
        <v>5.0</v>
      </c>
      <c r="B18730" s="1" t="s">
        <v>18551</v>
      </c>
      <c r="C18730" t="str">
        <f>IFERROR(__xludf.DUMMYFUNCTION("GOOGLETRANSLATE(B18730, ""es"", ""en"")"),"I expected no less purchased this product as a gift for Christmas, I thought it would take longer, but have been before kings and in very good condition. I have given a thousand laps around the shops and could not find them but not only had the size but t"&amp;"he color, large very reliable seller.")</f>
        <v>I expected no less purchased this product as a gift for Christmas, I thought it would take longer, but have been before kings and in very good condition. I have given a thousand laps around the shops and could not find them but not only had the size but the color, large very reliable seller.</v>
      </c>
    </row>
    <row r="18731">
      <c r="A18731" s="1">
        <v>5.0</v>
      </c>
      <c r="B18731" s="1" t="s">
        <v>18552</v>
      </c>
      <c r="C18731" t="str">
        <f>IFERROR(__xludf.DUMMYFUNCTION("GOOGLETRANSLATE(B18731, ""es"", ""en"")"),"It meets very practical function perfectly")</f>
        <v>It meets very practical function perfectly</v>
      </c>
    </row>
    <row r="18732">
      <c r="A18732" s="1">
        <v>5.0</v>
      </c>
      <c r="B18732" s="1" t="s">
        <v>18553</v>
      </c>
      <c r="C18732" t="str">
        <f>IFERROR(__xludf.DUMMYFUNCTION("GOOGLETRANSLATE(B18732, ""es"", ""en"")"),"European quintessential shoes I bought this product because I was looking for something special slippers home more comfortable and I was right. The problem is that I had devolerlas because it left mark on the marble floor, otherwise I would have been the")</f>
        <v>European quintessential shoes I bought this product because I was looking for something special slippers home more comfortable and I was right. The problem is that I had devolerlas because it left mark on the marble floor, otherwise I would have been the</v>
      </c>
    </row>
    <row r="18733">
      <c r="A18733" s="1">
        <v>5.0</v>
      </c>
      <c r="B18733" s="1" t="s">
        <v>18554</v>
      </c>
      <c r="C18733" t="str">
        <f>IFERROR(__xludf.DUMMYFUNCTION("GOOGLETRANSLATE(B18733, ""es"", ""en"")"),"They listen very well hear quite well, it comes with different sponges so it looks great")</f>
        <v>They listen very well hear quite well, it comes with different sponges so it looks great</v>
      </c>
    </row>
    <row r="18734">
      <c r="A18734" s="1">
        <v>5.0</v>
      </c>
      <c r="B18734" s="1" t="s">
        <v>18555</v>
      </c>
      <c r="C18734" t="str">
        <f>IFERROR(__xludf.DUMMYFUNCTION("GOOGLETRANSLATE(B18734, ""es"", ""en"")"),"Aroma delicate and persistent scent delicate and persistent, good touch, oil is not sticky, but in principle I'll use it to flavor my room with a diffuser, no massage or the like. Employee during these days leaves a fresh, clean feeling in the room, does "&amp;"not have a sticky smell is very nice. If you val the subject of aromas and diffusers / burners, seems to me a wise purchase for yourself or for gifts. a greeting")</f>
        <v>Aroma delicate and persistent scent delicate and persistent, good touch, oil is not sticky, but in principle I'll use it to flavor my room with a diffuser, no massage or the like. Employee during these days leaves a fresh, clean feeling in the room, does not have a sticky smell is very nice. If you val the subject of aromas and diffusers / burners, seems to me a wise purchase for yourself or for gifts. a greeting</v>
      </c>
    </row>
    <row r="18735">
      <c r="A18735" s="1">
        <v>5.0</v>
      </c>
      <c r="B18735" s="1" t="s">
        <v>18556</v>
      </c>
      <c r="C18735" t="str">
        <f>IFERROR(__xludf.DUMMYFUNCTION("GOOGLETRANSLATE(B18735, ""es"", ""en"")"),"Quality I arrive at the scheduled day, all good and great performance")</f>
        <v>Quality I arrive at the scheduled day, all good and great performance</v>
      </c>
    </row>
    <row r="18736">
      <c r="A18736" s="1">
        <v>5.0</v>
      </c>
      <c r="B18736" s="1" t="s">
        <v>18557</v>
      </c>
      <c r="C18736" t="str">
        <f>IFERROR(__xludf.DUMMYFUNCTION("GOOGLETRANSLATE(B18736, ""es"", ""en"")"),"Quality, price and fast shipping very good quality price.")</f>
        <v>Quality, price and fast shipping very good quality price.</v>
      </c>
    </row>
    <row r="18737">
      <c r="A18737" s="1">
        <v>5.0</v>
      </c>
      <c r="B18737" s="1" t="s">
        <v>18558</v>
      </c>
      <c r="C18737" t="str">
        <f>IFERROR(__xludf.DUMMYFUNCTION("GOOGLETRANSLATE(B18737, ""es"", ""en"")"),"Cool Love. And super comfortable")</f>
        <v>Cool Love. And super comfortable</v>
      </c>
    </row>
    <row r="18738">
      <c r="A18738" s="1">
        <v>2.0</v>
      </c>
      <c r="B18738" s="1" t="s">
        <v>18559</v>
      </c>
      <c r="C18738" t="str">
        <f>IFERROR(__xludf.DUMMYFUNCTION("GOOGLETRANSLATE(B18738, ""es"", ""en"")"),"It is very hot with the computer (desktop) on freshly it is maintained in a 41 ° degrees! Has nothing to do with the box or ventilation because if you get only one degree lower. A few hours playing on the division and gets to 60 degrees !!!! It gets more "&amp;"degrees than is amazing, now at rest the processor is 33 degrees and the SSD 41 With these temperatures doubt endure a long time, I'll take it because I went for 23 euros ... But I have to buy another to avoid losing information because this peta at any t"&amp;"ime.")</f>
        <v>It is very hot with the computer (desktop) on freshly it is maintained in a 41 ° degrees! Has nothing to do with the box or ventilation because if you get only one degree lower. A few hours playing on the division and gets to 60 degrees !!!! It gets more degrees than is amazing, now at rest the processor is 33 degrees and the SSD 41 With these temperatures doubt endure a long time, I'll take it because I went for 23 euros ... But I have to buy another to avoid losing information because this peta at any time.</v>
      </c>
    </row>
    <row r="18739">
      <c r="A18739" s="1">
        <v>3.0</v>
      </c>
      <c r="B18739" s="1" t="s">
        <v>18560</v>
      </c>
      <c r="C18739" t="str">
        <f>IFERROR(__xludf.DUMMYFUNCTION("GOOGLETRANSLATE(B18739, ""es"", ""en"")"),"Small size The size is small, if you have 42 calls for a 42 2/3, or even a higher number 43. even more problems. The shoe is is great but ask for another number.")</f>
        <v>Small size The size is small, if you have 42 calls for a 42 2/3, or even a higher number 43. even more problems. The shoe is is great but ask for another number.</v>
      </c>
    </row>
    <row r="18740">
      <c r="A18740" s="1">
        <v>1.0</v>
      </c>
      <c r="B18740" s="1" t="s">
        <v>18561</v>
      </c>
      <c r="C18740" t="str">
        <f>IFERROR(__xludf.DUMMYFUNCTION("GOOGLETRANSLATE(B18740, ""es"", ""en"")"),"Cheapness just out expensive! Do not buy it! Read my opinion! Buy this support for use with a microphone ""ELYETI"" (of which puts it supports) seemed to be going well, but at 8 months the plastic thread there on top was broken by the weight, that support"&amp;" should be not cheap steel and plastic. He hopes there's more! Sergeant brings to dock at the table, comes with a protective foam to avoid damaging the table, it turns out that a few months that foam dries and is all brand Sergeant marked on the wooden ta"&amp;"ble, let you spoils completely . I do not recommend for purchase NADA is a support of very low quality.")</f>
        <v>Cheapness just out expensive! Do not buy it! Read my opinion! Buy this support for use with a microphone "ELYETI" (of which puts it supports) seemed to be going well, but at 8 months the plastic thread there on top was broken by the weight, that support should be not cheap steel and plastic. He hopes there's more! Sergeant brings to dock at the table, comes with a protective foam to avoid damaging the table, it turns out that a few months that foam dries and is all brand Sergeant marked on the wooden table, let you spoils completely . I do not recommend for purchase NADA is a support of very low quality.</v>
      </c>
    </row>
    <row r="18741">
      <c r="A18741" s="1">
        <v>1.0</v>
      </c>
      <c r="B18741" s="1" t="s">
        <v>18562</v>
      </c>
      <c r="C18741" t="str">
        <f>IFERROR(__xludf.DUMMYFUNCTION("GOOGLETRANSLATE(B18741, ""es"", ""en"")"),"product perfect and I arrived at the appointed time. I did not like the usb, super slow to upload photos from iPhone (can be days loading photos and then does not work cn the PC does not open any application and detects the USB pr not allowed to enter ins"&amp;"ide the USB. envie message to the company and do not respond.")</f>
        <v>product perfect and I arrived at the appointed time. I did not like the usb, super slow to upload photos from iPhone (can be days loading photos and then does not work cn the PC does not open any application and detects the USB pr not allowed to enter inside the USB. envie message to the company and do not respond.</v>
      </c>
    </row>
    <row r="18742">
      <c r="A18742" s="1">
        <v>1.0</v>
      </c>
      <c r="B18742" s="1" t="s">
        <v>18563</v>
      </c>
      <c r="C18742" t="str">
        <f>IFERROR(__xludf.DUMMYFUNCTION("GOOGLETRANSLATE(B18742, ""es"", ""en"")"),"SanDisk memory card Extreme Pro SDHC 32GB with up to 95 MB / s, Class 10 and U3 and V30 Sold by: Amazon EU S.A.R.L. I WANT MY PRESENT the p COMPLAINTS TO THIS PRODUCT because I screwed up an important project, DO NOT RECOMMEND OR recommending JAMAS¡¡¡ CAR"&amp;"D SCAM ... DEJA LOCKED CAMERA AND PHOTOS 1.239 ¡¡¡THE DAMAGED TO PROPERLY CAMERA BUT WHEN PRE VIEWING THE CAMERA CARD FULL blocked ... PHOTO UNRECOVERABLE ... THIS CAN NOT BE PERMITIR¡. DID BEFORE FORMATTING CAMERA AND RECOMMENDED FROM SMOOTH BUT AMID A J"&amp;"OURNEY AND PHOTOS ME 1239 when he gave them all and picture crashed and had to aparar CAMERA AND BATTERY ... I WANT TO REMOVE THE RETURN OF MONEY OR SOLUTION PLEASE. SanDisk memory card Extreme Pro SDHC 32GB with up to 95 MB / s, Class 10 and U3 and V30 S"&amp;"old by: Amazon EU S.A.R.L. The repayment period ended on June 9. 2018 EUR 25,99 State: New ??")</f>
        <v>SanDisk memory card Extreme Pro SDHC 32GB with up to 95 MB / s, Class 10 and U3 and V30 Sold by: Amazon EU S.A.R.L. I WANT MY PRESENT the p COMPLAINTS TO THIS PRODUCT because I screwed up an important project, DO NOT RECOMMEND OR recommending JAMAS¡¡¡ CARD SCAM ... DEJA LOCKED CAMERA AND PHOTOS 1.239 ¡¡¡THE DAMAGED TO PROPERLY CAMERA BUT WHEN PRE VIEWING THE CAMERA CARD FULL blocked ... PHOTO UNRECOVERABLE ... THIS CAN NOT BE PERMITIR¡. DID BEFORE FORMATTING CAMERA AND RECOMMENDED FROM SMOOTH BUT AMID A JOURNEY AND PHOTOS ME 1239 when he gave them all and picture crashed and had to aparar CAMERA AND BATTERY ... I WANT TO REMOVE THE RETURN OF MONEY OR SOLUTION PLEASE. SanDisk memory card Extreme Pro SDHC 32GB with up to 95 MB / s, Class 10 and U3 and V30 Sold by: Amazon EU S.A.R.L. The repayment period ended on June 9. 2018 EUR 25,99 State: New ??</v>
      </c>
    </row>
    <row r="18743">
      <c r="A18743" s="1">
        <v>4.0</v>
      </c>
      <c r="B18743" s="1" t="s">
        <v>18564</v>
      </c>
      <c r="C18743" t="str">
        <f>IFERROR(__xludf.DUMMYFUNCTION("GOOGLETRANSLATE(B18743, ""es"", ""en"")"),"The amount pack of 30 cases coloring, has been giving me very well for the children of my wedding")</f>
        <v>The amount pack of 30 cases coloring, has been giving me very well for the children of my wedding</v>
      </c>
    </row>
    <row r="18744">
      <c r="A18744" s="1">
        <v>4.0</v>
      </c>
      <c r="B18744" s="1" t="s">
        <v>18565</v>
      </c>
      <c r="C18744" t="str">
        <f>IFERROR(__xludf.DUMMYFUNCTION("GOOGLETRANSLATE(B18744, ""es"", ""en"")"),"Jose Meets its goal perfectly. It carries a hook even if you hang. You can not use boiling water it makes it clear. The hot water is kept perfectly for a couple of hours and does not leak anything.")</f>
        <v>Jose Meets its goal perfectly. It carries a hook even if you hang. You can not use boiling water it makes it clear. The hot water is kept perfectly for a couple of hours and does not leak anything.</v>
      </c>
    </row>
    <row r="18745">
      <c r="A18745" s="1">
        <v>4.0</v>
      </c>
      <c r="B18745" s="1" t="s">
        <v>18566</v>
      </c>
      <c r="C18745" t="str">
        <f>IFERROR(__xludf.DUMMYFUNCTION("GOOGLETRANSLATE(B18745, ""es"", ""en"")"),"pendant double No objection is such that the picture")</f>
        <v>pendant double No objection is such that the picture</v>
      </c>
    </row>
    <row r="18746">
      <c r="A18746" s="1">
        <v>4.0</v>
      </c>
      <c r="B18746" s="1" t="s">
        <v>18567</v>
      </c>
      <c r="C18746" t="str">
        <f>IFERROR(__xludf.DUMMYFUNCTION("GOOGLETRANSLATE(B18746, ""es"", ""en"")"),"Good price / quality ratio socks true: The form is suitable, the material seems durable and everything indicates that they are originals puma. No special coatings on the heel or anywhere else, so I do not know how to respond to wear. Height, considering t"&amp;"hat are short, is average: cover right ankle. As against only detail it is that they do not become thick enough for winter, and thin enough to not have heat in summer. As a comparison, you can buy Adidas the web are thicker and warm, and the same height.")</f>
        <v>Good price / quality ratio socks true: The form is suitable, the material seems durable and everything indicates that they are originals puma. No special coatings on the heel or anywhere else, so I do not know how to respond to wear. Height, considering that are short, is average: cover right ankle. As against only detail it is that they do not become thick enough for winter, and thin enough to not have heat in summer. As a comparison, you can buy Adidas the web are thicker and warm, and the same height.</v>
      </c>
    </row>
    <row r="18747">
      <c r="A18747" s="1">
        <v>5.0</v>
      </c>
      <c r="B18747" s="1" t="s">
        <v>18568</v>
      </c>
      <c r="C18747" t="str">
        <f>IFERROR(__xludf.DUMMYFUNCTION("GOOGLETRANSLATE(B18747, ""es"", ""en"")"),"Good buy Genial mat. Meets all expectations adhesive material underneath and soft top. Very clean, prevents things from sticking and easy to clean")</f>
        <v>Good buy Genial mat. Meets all expectations adhesive material underneath and soft top. Very clean, prevents things from sticking and easy to clean</v>
      </c>
    </row>
    <row r="18748">
      <c r="A18748" s="1">
        <v>5.0</v>
      </c>
      <c r="B18748" s="1" t="s">
        <v>18569</v>
      </c>
      <c r="C18748" t="str">
        <f>IFERROR(__xludf.DUMMYFUNCTION("GOOGLETRANSLATE(B18748, ""es"", ""en"")"),"A success! But beautiful !!! They have needed a week but worth the wait. Inside cash a ticket from an Italian trade with slippers. Every detail that increases confidence about the product.")</f>
        <v>A success! But beautiful !!! They have needed a week but worth the wait. Inside cash a ticket from an Italian trade with slippers. Every detail that increases confidence about the product.</v>
      </c>
    </row>
    <row r="18749">
      <c r="A18749" s="1">
        <v>5.0</v>
      </c>
      <c r="B18749" s="1" t="s">
        <v>18570</v>
      </c>
      <c r="C18749" t="str">
        <f>IFERROR(__xludf.DUMMYFUNCTION("GOOGLETRANSLATE(B18749, ""es"", ""en"")"),"Sport pants comfortable and easy, as is the photo and sterilized lot.")</f>
        <v>Sport pants comfortable and easy, as is the photo and sterilized lot.</v>
      </c>
    </row>
    <row r="18750">
      <c r="A18750" s="1">
        <v>5.0</v>
      </c>
      <c r="B18750" s="1" t="s">
        <v>18571</v>
      </c>
      <c r="C18750" t="str">
        <f>IFERROR(__xludf.DUMMYFUNCTION("GOOGLETRANSLATE(B18750, ""es"", ""en"")"),"Good product good product, good quality cotton. I had to buy one size smaller than you normally use since mine was too big for me.")</f>
        <v>Good product good product, good quality cotton. I had to buy one size smaller than you normally use since mine was too big for me.</v>
      </c>
    </row>
    <row r="18751">
      <c r="A18751" s="1">
        <v>5.0</v>
      </c>
      <c r="B18751" s="1" t="s">
        <v>18572</v>
      </c>
      <c r="C18751" t="str">
        <f>IFERROR(__xludf.DUMMYFUNCTION("GOOGLETRANSLATE(B18751, ""es"", ""en"")"),"Happy with purchase bought it in black to avoid staining time is very practical and makes no noise. It is not bulky and can regulate the amount of pulp. Easy to remove for washing.")</f>
        <v>Happy with purchase bought it in black to avoid staining time is very practical and makes no noise. It is not bulky and can regulate the amount of pulp. Easy to remove for washing.</v>
      </c>
    </row>
    <row r="18752">
      <c r="A18752" s="1">
        <v>5.0</v>
      </c>
      <c r="B18752" s="1" t="s">
        <v>18573</v>
      </c>
      <c r="C18752" t="str">
        <f>IFERROR(__xludf.DUMMYFUNCTION("GOOGLETRANSLATE(B18752, ""es"", ""en"")"),"Essential are delighted with this brand. Our baby wears pacifiers and bottles taken by MAM, has now 4 months and has not laid a single colic since we started using these bottles. We tried different brands and anti-colic teats ... we only worked MAM")</f>
        <v>Essential are delighted with this brand. Our baby wears pacifiers and bottles taken by MAM, has now 4 months and has not laid a single colic since we started using these bottles. We tried different brands and anti-colic teats ... we only worked MAM</v>
      </c>
    </row>
    <row r="18753">
      <c r="A18753" s="1">
        <v>5.0</v>
      </c>
      <c r="B18753" s="1" t="s">
        <v>18574</v>
      </c>
      <c r="C18753" t="str">
        <f>IFERROR(__xludf.DUMMYFUNCTION("GOOGLETRANSLATE(B18753, ""es"", ""en"")"),"Fast and little noisy &lt;div id = ""video-block-R2S87XAYBTSJ5F"" class = ""a-section a-spacing-small to-spacing-top mini-video block""&gt; &lt;/ div&gt; &lt;input type = ""hidden"" name = """" value = ""https://images-eu.ssl-images-amazon.com/images/I/B16fynh3ThS.mp4"""&amp;" class = ""video-url""&gt; &lt;input type = ""hidden"" name = """" value = ""https://images-eu.ssl-images-amazon.com/images/I/B1WXPzD6-nS.png"" class = ""video-slate-img-url""&gt; &amp; nbsp; great product !! It has 4 functions: crushing ice, smoothies, grain and puls"&amp;"e (the latter of great power for fast chopped), 8-speed, display LED timer and power level. The glass is large capacity, 2 liters, large blades that bite in a few seconds, and how big it is makes little noise. Easy to use and clean. Highly recommended.")</f>
        <v>Fast and little noisy &lt;div id = "video-block-R2S87XAYBTSJ5F" class = "a-section a-spacing-small to-spacing-top mini-video block"&gt; &lt;/ div&gt; &lt;input type = "hidden" name = "" value = "https://images-eu.ssl-images-amazon.com/images/I/B16fynh3ThS.mp4" class = "video-url"&gt; &lt;input type = "hidden" name = "" value = "https://images-eu.ssl-images-amazon.com/images/I/B1WXPzD6-nS.png" class = "video-slate-img-url"&gt; &amp; nbsp; great product !! It has 4 functions: crushing ice, smoothies, grain and pulse (the latter of great power for fast chopped), 8-speed, display LED timer and power level. The glass is large capacity, 2 liters, large blades that bite in a few seconds, and how big it is makes little noise. Easy to use and clean. Highly recommended.</v>
      </c>
    </row>
    <row r="18754">
      <c r="A18754" s="1">
        <v>5.0</v>
      </c>
      <c r="B18754" s="1" t="s">
        <v>18575</v>
      </c>
      <c r="C18754" t="str">
        <f>IFERROR(__xludf.DUMMYFUNCTION("GOOGLETRANSLATE(B18754, ""es"", ""en"")"),"Perfect ! I bought this product a first time, but following some comments saying carving great! Is not true ! I bought 38, mientre my size is 39. He must change for a 39. The size is right! Size perfectly! The shoes are really cool! I love !!!")</f>
        <v>Perfect ! I bought this product a first time, but following some comments saying carving great! Is not true ! I bought 38, mientre my size is 39. He must change for a 39. The size is right! Size perfectly! The shoes are really cool! I love !!!</v>
      </c>
    </row>
    <row r="18755">
      <c r="A18755" s="1">
        <v>5.0</v>
      </c>
      <c r="B18755" s="1" t="s">
        <v>18576</v>
      </c>
      <c r="C18755" t="str">
        <f>IFERROR(__xludf.DUMMYFUNCTION("GOOGLETRANSLATE(B18755, ""es"", ""en"")"),"Bonito and economic If you want to succeed buy a watch like this, it's fabulous, hardy, gives you a lot of information because it takes many parameters, excellent quality and price")</f>
        <v>Bonito and economic If you want to succeed buy a watch like this, it's fabulous, hardy, gives you a lot of information because it takes many parameters, excellent quality and price</v>
      </c>
    </row>
    <row r="18756">
      <c r="A18756" s="1">
        <v>5.0</v>
      </c>
      <c r="B18756" s="1" t="s">
        <v>18577</v>
      </c>
      <c r="C18756" t="str">
        <f>IFERROR(__xludf.DUMMYFUNCTION("GOOGLETRANSLATE(B18756, ""es"", ""en"")"),"Just like the picture as pictured and fast")</f>
        <v>Just like the picture as pictured and fast</v>
      </c>
    </row>
    <row r="18757">
      <c r="A18757" s="1">
        <v>5.0</v>
      </c>
      <c r="B18757" s="1" t="s">
        <v>18578</v>
      </c>
      <c r="C18757" t="str">
        <f>IFERROR(__xludf.DUMMYFUNCTION("GOOGLETRANSLATE(B18757, ""es"", ""en"")"),"Very glad I had several models of Bluetooth headsets and the last I had were those of Xiaomi TWS AirDots and I really defrauded the truth but with these I have now bought the truth very good sound with good bass and then connected to the mobile I speak lo"&amp;"t on the phone and hear very well and also hear you well the truth that very good buy happy recommend")</f>
        <v>Very glad I had several models of Bluetooth headsets and the last I had were those of Xiaomi TWS AirDots and I really defrauded the truth but with these I have now bought the truth very good sound with good bass and then connected to the mobile I speak lot on the phone and hear very well and also hear you well the truth that very good buy happy recommend</v>
      </c>
    </row>
    <row r="18758">
      <c r="A18758" s="1">
        <v>5.0</v>
      </c>
      <c r="B18758" s="1" t="s">
        <v>18579</v>
      </c>
      <c r="C18758" t="str">
        <f>IFERROR(__xludf.DUMMYFUNCTION("GOOGLETRANSLATE(B18758, ""es"", ""en"")"),"Esther Martin are great. They hear very well. But they have but for me as I have glasses I squeezed a little. But otherwise great. Cheap and very good")</f>
        <v>Esther Martin are great. They hear very well. But they have but for me as I have glasses I squeezed a little. But otherwise great. Cheap and very good</v>
      </c>
    </row>
    <row r="18759">
      <c r="A18759" s="1">
        <v>5.0</v>
      </c>
      <c r="B18759" s="1" t="s">
        <v>18580</v>
      </c>
      <c r="C18759" t="str">
        <f>IFERROR(__xludf.DUMMYFUNCTION("GOOGLETRANSLATE(B18759, ""es"", ""en"")"),"Perfect perfect and very fast shipping")</f>
        <v>Perfect perfect and very fast shipping</v>
      </c>
    </row>
    <row r="18760">
      <c r="A18760" s="1">
        <v>5.0</v>
      </c>
      <c r="B18760" s="1" t="s">
        <v>18581</v>
      </c>
      <c r="C18760" t="str">
        <f>IFERROR(__xludf.DUMMYFUNCTION("GOOGLETRANSLATE(B18760, ""es"", ""en"")"),"Fits well expected.")</f>
        <v>Fits well expected.</v>
      </c>
    </row>
    <row r="18761">
      <c r="A18761" s="1">
        <v>5.0</v>
      </c>
      <c r="B18761" s="1" t="s">
        <v>18582</v>
      </c>
      <c r="C18761" t="str">
        <f>IFERROR(__xludf.DUMMYFUNCTION("GOOGLETRANSLATE(B18761, ""es"", ""en"")"),"Good set of rules known brand, good quality and precision. Edge to marker pens. The semicircle perhaps a little big for college. Recommendable. The description adjusted to what is received")</f>
        <v>Good set of rules known brand, good quality and precision. Edge to marker pens. The semicircle perhaps a little big for college. Recommendable. The description adjusted to what is received</v>
      </c>
    </row>
    <row r="18762">
      <c r="A18762" s="1">
        <v>5.0</v>
      </c>
      <c r="B18762" s="1" t="s">
        <v>18583</v>
      </c>
      <c r="C18762" t="str">
        <f>IFERROR(__xludf.DUMMYFUNCTION("GOOGLETRANSLATE(B18762, ""es"", ""en"")"),"Good good product good price")</f>
        <v>Good good product good price</v>
      </c>
    </row>
    <row r="18763">
      <c r="A18763" s="1">
        <v>5.0</v>
      </c>
      <c r="B18763" s="1" t="s">
        <v>18584</v>
      </c>
      <c r="C18763" t="str">
        <f>IFERROR(__xludf.DUMMYFUNCTION("GOOGLETRANSLATE(B18763, ""es"", ""en"")"),"They arrived in time was for a gift and were perfect")</f>
        <v>They arrived in time was for a gift and were perfect</v>
      </c>
    </row>
    <row r="18764">
      <c r="A18764" s="1">
        <v>5.0</v>
      </c>
      <c r="B18764" s="1" t="s">
        <v>18585</v>
      </c>
      <c r="C18764" t="str">
        <f>IFERROR(__xludf.DUMMYFUNCTION("GOOGLETRANSLATE(B18764, ""es"", ""en"")"),"They are very good very comfortable. After a day taking them had some discomfort but this always happens with flipflops. They are more comfortable than Hawaianas and give more stability as well. I recommend ... Size .... I always take 43-45 depending on t"&amp;"he brand so I bought 43-44 and are great.")</f>
        <v>They are very good very comfortable. After a day taking them had some discomfort but this always happens with flipflops. They are more comfortable than Hawaianas and give more stability as well. I recommend ... Size .... I always take 43-45 depending on the brand so I bought 43-44 and are great.</v>
      </c>
    </row>
    <row r="18765">
      <c r="A18765" s="1">
        <v>5.0</v>
      </c>
      <c r="B18765" s="1" t="s">
        <v>18586</v>
      </c>
      <c r="C18765" t="str">
        <f>IFERROR(__xludf.DUMMYFUNCTION("GOOGLETRANSLATE(B18765, ""es"", ""en"")"),"Beautiful! It is an ideal gift for quality, price and presentation. Look after detail being the ideal gift that surprises who receives it. If it were something larger, whether it would be more, although the size is perfect and as the data sheet says the p"&amp;"roduct description.")</f>
        <v>Beautiful! It is an ideal gift for quality, price and presentation. Look after detail being the ideal gift that surprises who receives it. If it were something larger, whether it would be more, although the size is perfect and as the data sheet says the product description.</v>
      </c>
    </row>
    <row r="18766">
      <c r="A18766" s="1">
        <v>2.0</v>
      </c>
      <c r="B18766" s="1" t="s">
        <v>18587</v>
      </c>
      <c r="C18766" t="str">
        <f>IFERROR(__xludf.DUMMYFUNCTION("GOOGLETRANSLATE(B18766, ""es"", ""en"")"),"They are very soft cardboards, and of course, are very soft. Solution: as van 20 the two equal we will stick to make them thicker.")</f>
        <v>They are very soft cardboards, and of course, are very soft. Solution: as van 20 the two equal we will stick to make them thicker.</v>
      </c>
    </row>
    <row r="18767">
      <c r="A18767" s="1">
        <v>3.0</v>
      </c>
      <c r="B18767" s="1" t="s">
        <v>18588</v>
      </c>
      <c r="C18767" t="str">
        <f>IFERROR(__xludf.DUMMYFUNCTION("GOOGLETRANSLATE(B18767, ""es"", ""en"")"),"Basic without major functions is noted that the product is basic, instructions nonuse for each mode. The keys do not have much quality but it works")</f>
        <v>Basic without major functions is noted that the product is basic, instructions nonuse for each mode. The keys do not have much quality but it works</v>
      </c>
    </row>
    <row r="18768">
      <c r="A18768" s="1">
        <v>3.0</v>
      </c>
      <c r="B18768" s="1" t="s">
        <v>18589</v>
      </c>
      <c r="C18768" t="str">
        <f>IFERROR(__xludf.DUMMYFUNCTION("GOOGLETRANSLATE(B18768, ""es"", ""en"")"),"They endure twin tighten a lot, the first release much fluff. Clench in the lower part of the calf and leave marks.")</f>
        <v>They endure twin tighten a lot, the first release much fluff. Clench in the lower part of the calf and leave marks.</v>
      </c>
    </row>
    <row r="18769">
      <c r="A18769" s="1">
        <v>3.0</v>
      </c>
      <c r="B18769" s="1" t="s">
        <v>18590</v>
      </c>
      <c r="C18769" t="str">
        <f>IFERROR(__xludf.DUMMYFUNCTION("GOOGLETRANSLATE(B18769, ""es"", ""en"")"),"It's warm. Not bad. I use the L and XL asked me to stay largest ta type reefer. It is calentitas.")</f>
        <v>It's warm. Not bad. I use the L and XL asked me to stay largest ta type reefer. It is calentitas.</v>
      </c>
    </row>
    <row r="18770">
      <c r="A18770" s="1">
        <v>1.0</v>
      </c>
      <c r="B18770" s="1" t="s">
        <v>18591</v>
      </c>
      <c r="C18770" t="str">
        <f>IFERROR(__xludf.DUMMYFUNCTION("GOOGLETRANSLATE(B18770, ""es"", ""en"")"),"Money down the three months to buy an eyelash mixer anchor broken out and all the liquid away.")</f>
        <v>Money down the three months to buy an eyelash mixer anchor broken out and all the liquid away.</v>
      </c>
    </row>
    <row r="18771">
      <c r="A18771" s="1">
        <v>1.0</v>
      </c>
      <c r="B18771" s="1" t="s">
        <v>18592</v>
      </c>
      <c r="C18771" t="str">
        <f>IFERROR(__xludf.DUMMYFUNCTION("GOOGLETRANSLATE(B18771, ""es"", ""en"")"),"Does not match the price is worth ... Pictured came brown and black sent me. It looks like a lot of plastic, especially inside. Does not match the price is worth ...")</f>
        <v>Does not match the price is worth ... Pictured came brown and black sent me. It looks like a lot of plastic, especially inside. Does not match the price is worth ...</v>
      </c>
    </row>
    <row r="18772">
      <c r="A18772" s="1">
        <v>4.0</v>
      </c>
      <c r="B18772" s="1" t="s">
        <v>18593</v>
      </c>
      <c r="C18772" t="str">
        <f>IFERROR(__xludf.DUMMYFUNCTION("GOOGLETRANSLATE(B18772, ""es"", ""en"")"),"comfort are very comfortable, the design is nice and modern. They are great")</f>
        <v>comfort are very comfortable, the design is nice and modern. They are great</v>
      </c>
    </row>
    <row r="18773">
      <c r="A18773" s="1">
        <v>4.0</v>
      </c>
      <c r="B18773" s="1" t="s">
        <v>18594</v>
      </c>
      <c r="C18773" t="str">
        <f>IFERROR(__xludf.DUMMYFUNCTION("GOOGLETRANSLATE(B18773, ""es"", ""en"")"),"POWERFUL SELECTOR it broke ...")</f>
        <v>POWERFUL SELECTOR it broke ...</v>
      </c>
    </row>
    <row r="18774">
      <c r="A18774" s="1">
        <v>4.0</v>
      </c>
      <c r="B18774" s="1" t="s">
        <v>18595</v>
      </c>
      <c r="C18774" t="str">
        <f>IFERROR(__xludf.DUMMYFUNCTION("GOOGLETRANSLATE(B18774, ""es"", ""en"")"),"good product, a little pricey but for now irreplaceable The product is good. We are talking about the mop bucket and wringer course. I commented to the hub, removed cost benefits and ease with which it is cleaned with this device, I think it compensates. "&amp;"They could lower the spare because you must buy once purchased the cube.")</f>
        <v>good product, a little pricey but for now irreplaceable The product is good. We are talking about the mop bucket and wringer course. I commented to the hub, removed cost benefits and ease with which it is cleaned with this device, I think it compensates. They could lower the spare because you must buy once purchased the cube.</v>
      </c>
    </row>
    <row r="18775">
      <c r="A18775" s="1">
        <v>4.0</v>
      </c>
      <c r="B18775" s="1" t="s">
        <v>18596</v>
      </c>
      <c r="C18775" t="str">
        <f>IFERROR(__xludf.DUMMYFUNCTION("GOOGLETRANSLATE(B18775, ""es"", ""en"")"),"I was pleasantly surprised unbeatable did not expect it to be this warm for that price .. no fault see him")</f>
        <v>I was pleasantly surprised unbeatable did not expect it to be this warm for that price .. no fault see him</v>
      </c>
    </row>
    <row r="18776">
      <c r="A18776" s="1">
        <v>4.0</v>
      </c>
      <c r="B18776" s="1" t="s">
        <v>18597</v>
      </c>
      <c r="C18776" t="str">
        <f>IFERROR(__xludf.DUMMYFUNCTION("GOOGLETRANSLATE(B18776, ""es"", ""en"")"),"small size thin fabric carving something small sleeves along with a small hole to insert the thumb.")</f>
        <v>small size thin fabric carving something small sleeves along with a small hole to insert the thumb.</v>
      </c>
    </row>
    <row r="18777">
      <c r="A18777" s="1">
        <v>5.0</v>
      </c>
      <c r="B18777" s="1" t="s">
        <v>18598</v>
      </c>
      <c r="C18777" t="str">
        <f>IFERROR(__xludf.DUMMYFUNCTION("GOOGLETRANSLATE(B18777, ""es"", ""en"")"),"Very comfortable and safe comfortable and safe. They not tired or hurt your feet.")</f>
        <v>Very comfortable and safe comfortable and safe. They not tired or hurt your feet.</v>
      </c>
    </row>
    <row r="18778">
      <c r="A18778" s="1">
        <v>5.0</v>
      </c>
      <c r="B18778" s="1" t="s">
        <v>18599</v>
      </c>
      <c r="C18778" t="str">
        <f>IFERROR(__xludf.DUMMYFUNCTION("GOOGLETRANSLATE(B18778, ""es"", ""en"")"),"Hermosa is a lovely bracelet. It is the second time bought gift. I recommend it.")</f>
        <v>Hermosa is a lovely bracelet. It is the second time bought gift. I recommend it.</v>
      </c>
    </row>
    <row r="18779">
      <c r="A18779" s="1">
        <v>5.0</v>
      </c>
      <c r="B18779" s="1" t="s">
        <v>18600</v>
      </c>
      <c r="C18779" t="str">
        <f>IFERROR(__xludf.DUMMYFUNCTION("GOOGLETRANSLATE(B18779, ""es"", ""en"")"),"q great All I can say is good, price, delivery time, ... I bought it because my child swallowed air with all Bibes and this along with AVENT also are the best !!!")</f>
        <v>q great All I can say is good, price, delivery time, ... I bought it because my child swallowed air with all Bibes and this along with AVENT also are the best !!!</v>
      </c>
    </row>
    <row r="18780">
      <c r="A18780" s="1">
        <v>5.0</v>
      </c>
      <c r="B18780" s="1" t="s">
        <v>18601</v>
      </c>
      <c r="C18780" t="str">
        <f>IFERROR(__xludf.DUMMYFUNCTION("GOOGLETRANSLATE(B18780, ""es"", ""en"")"),"CLABE luxury 5m minimum price mono cable for strong heads that hold my tralla is not little no more pages for good cable")</f>
        <v>CLABE luxury 5m minimum price mono cable for strong heads that hold my tralla is not little no more pages for good cable</v>
      </c>
    </row>
    <row r="18781">
      <c r="A18781" s="1">
        <v>5.0</v>
      </c>
      <c r="B18781" s="1" t="s">
        <v>18602</v>
      </c>
      <c r="C18781" t="str">
        <f>IFERROR(__xludf.DUMMYFUNCTION("GOOGLETRANSLATE(B18781, ""es"", ""en"")"),"Audio output Do I need an amplifier or can also be used with speaker ""normal"" JBL?")</f>
        <v>Audio output Do I need an amplifier or can also be used with speaker "normal" JBL?</v>
      </c>
    </row>
    <row r="18782">
      <c r="A18782" s="1">
        <v>5.0</v>
      </c>
      <c r="B18782" s="1" t="s">
        <v>18603</v>
      </c>
      <c r="C18782" t="str">
        <f>IFERROR(__xludf.DUMMYFUNCTION("GOOGLETRANSLATE(B18782, ""es"", ""en"")"),"Comfortable shoes It was a gift and I was lucky. I chose the same number worn by the person and it looks great. I have commented that they are very comfortable shoes. They look very good stuff, and if I chose it was because I have a similar and are also v"&amp;"ery comfortable skin. certain elasticity top fit quite well to the size of the foot to the offer.")</f>
        <v>Comfortable shoes It was a gift and I was lucky. I chose the same number worn by the person and it looks great. I have commented that they are very comfortable shoes. They look very good stuff, and if I chose it was because I have a similar and are also very comfortable skin. certain elasticity top fit quite well to the size of the foot to the offer.</v>
      </c>
    </row>
    <row r="18783">
      <c r="A18783" s="1">
        <v>5.0</v>
      </c>
      <c r="B18783" s="1" t="s">
        <v>18604</v>
      </c>
      <c r="C18783" t="str">
        <f>IFERROR(__xludf.DUMMYFUNCTION("GOOGLETRANSLATE(B18783, ""es"", ""en"")"),"Nice, comfortable, good for money, good buy. I do not think it's good sport p. It's nice and comfortable")</f>
        <v>Nice, comfortable, good for money, good buy. I do not think it's good sport p. It's nice and comfortable</v>
      </c>
    </row>
    <row r="18784">
      <c r="A18784" s="1">
        <v>5.0</v>
      </c>
      <c r="B18784" s="1" t="s">
        <v>18605</v>
      </c>
      <c r="C18784" t="str">
        <f>IFERROR(__xludf.DUMMYFUNCTION("GOOGLETRANSLATE(B18784, ""es"", ""en"")"),"Nice and powerful. I needed a microwave since I have after 14 years has given him everything he had to give. I decided to buy this because I saw very smart and nice, apart from the good reviews it has. In the days that I've been using it works perfectly a"&amp;"nd very hot. It has a capacity of 20 liters, a power of 700 W (with a very quiet motor), 6 power levels and is heatable, baking and thawing all kinds of food. The timer reaches 30 minutes. If I have to put a little niggle it is that roulette is a bit stif"&amp;"f, but otherwise everything perfect. I bought it in black because it seems more elegant and less messy than white. I'm certainly very happy with the purchase and would recommend 100%.")</f>
        <v>Nice and powerful. I needed a microwave since I have after 14 years has given him everything he had to give. I decided to buy this because I saw very smart and nice, apart from the good reviews it has. In the days that I've been using it works perfectly and very hot. It has a capacity of 20 liters, a power of 700 W (with a very quiet motor), 6 power levels and is heatable, baking and thawing all kinds of food. The timer reaches 30 minutes. If I have to put a little niggle it is that roulette is a bit stiff, but otherwise everything perfect. I bought it in black because it seems more elegant and less messy than white. I'm certainly very happy with the purchase and would recommend 100%.</v>
      </c>
    </row>
    <row r="18785">
      <c r="A18785" s="1">
        <v>5.0</v>
      </c>
      <c r="B18785" s="1" t="s">
        <v>18606</v>
      </c>
      <c r="C18785" t="str">
        <f>IFERROR(__xludf.DUMMYFUNCTION("GOOGLETRANSLATE(B18785, ""es"", ""en"")"),"Okay, tiny and with good profit. long cable and a very good profit. It meets the expectations I had. SONY connected to the ICDPX333. EC7. OKAY.")</f>
        <v>Okay, tiny and with good profit. long cable and a very good profit. It meets the expectations I had. SONY connected to the ICDPX333. EC7. OKAY.</v>
      </c>
    </row>
    <row r="18786">
      <c r="A18786" s="1">
        <v>5.0</v>
      </c>
      <c r="B18786" s="1" t="s">
        <v>18607</v>
      </c>
      <c r="C18786" t="str">
        <f>IFERROR(__xludf.DUMMYFUNCTION("GOOGLETRANSLATE(B18786, ""es"", ""en"")"),"They are very comfortable recommended. I use them for the gym and engage very well.")</f>
        <v>They are very comfortable recommended. I use them for the gym and engage very well.</v>
      </c>
    </row>
    <row r="18787">
      <c r="A18787" s="1">
        <v>5.0</v>
      </c>
      <c r="B18787" s="1" t="s">
        <v>18608</v>
      </c>
      <c r="C18787" t="str">
        <f>IFERROR(__xludf.DUMMYFUNCTION("GOOGLETRANSLATE(B18787, ""es"", ""en"")"),"Precious time reaching loved me")</f>
        <v>Precious time reaching loved me</v>
      </c>
    </row>
    <row r="18788">
      <c r="A18788" s="1">
        <v>5.0</v>
      </c>
      <c r="B18788" s="1" t="s">
        <v>18609</v>
      </c>
      <c r="C18788" t="str">
        <f>IFERROR(__xludf.DUMMYFUNCTION("GOOGLETRANSLATE(B18788, ""es"", ""en"")"),"Excellent design, I have not seen one like I received very fast, not so cheap had found in anywhere else, they have a very good finish. Note the time and dedication they have given to each bag. I'm delighted I've already bought. 100% Recomendables")</f>
        <v>Excellent design, I have not seen one like I received very fast, not so cheap had found in anywhere else, they have a very good finish. Note the time and dedication they have given to each bag. I'm delighted I've already bought. 100% Recomendables</v>
      </c>
    </row>
    <row r="18789">
      <c r="A18789" s="1">
        <v>5.0</v>
      </c>
      <c r="B18789" s="1" t="s">
        <v>18610</v>
      </c>
      <c r="C18789" t="str">
        <f>IFERROR(__xludf.DUMMYFUNCTION("GOOGLETRANSLATE(B18789, ""es"", ""en"")"),"Versatil with buenod finishes. Perfect. Very useful. Impeccable finishes.")</f>
        <v>Versatil with buenod finishes. Perfect. Very useful. Impeccable finishes.</v>
      </c>
    </row>
    <row r="18790">
      <c r="A18790" s="1">
        <v>5.0</v>
      </c>
      <c r="B18790" s="1" t="s">
        <v>18611</v>
      </c>
      <c r="C18790" t="str">
        <f>IFERROR(__xludf.DUMMYFUNCTION("GOOGLETRANSLATE(B18790, ""es"", ""en"")"),"Adidas to buy is like photography")</f>
        <v>Adidas to buy is like photography</v>
      </c>
    </row>
    <row r="18791">
      <c r="A18791" s="1">
        <v>5.0</v>
      </c>
      <c r="B18791" s="1" t="s">
        <v>18612</v>
      </c>
      <c r="C18791" t="str">
        <f>IFERROR(__xludf.DUMMYFUNCTION("GOOGLETRANSLATE(B18791, ""es"", ""en"")"),"Good As Picture")</f>
        <v>Good As Picture</v>
      </c>
    </row>
    <row r="18792">
      <c r="A18792" s="1">
        <v>5.0</v>
      </c>
      <c r="B18792" s="1" t="s">
        <v>18613</v>
      </c>
      <c r="C18792" t="str">
        <f>IFERROR(__xludf.DUMMYFUNCTION("GOOGLETRANSLATE(B18792, ""es"", ""en"")"),"Value unbeatable After a few months with her'm more than satisfied, he has fulfilled all my expectations and has been with everything you've put there just follow the instructions.")</f>
        <v>Value unbeatable After a few months with her'm more than satisfied, he has fulfilled all my expectations and has been with everything you've put there just follow the instructions.</v>
      </c>
    </row>
    <row r="18793">
      <c r="A18793" s="1">
        <v>5.0</v>
      </c>
      <c r="B18793" s="1" t="s">
        <v>18614</v>
      </c>
      <c r="C18793" t="str">
        <f>IFERROR(__xludf.DUMMYFUNCTION("GOOGLETRANSLATE(B18793, ""es"", ""en"")"),"Massage on demand We've tried in the neck and back when we are at home ... It leaves you super laid back .. The only negative is how addictive it is. Actually it is to have a masseuse on demand. We are very happy. Also for use with the lighter of the car,"&amp;" but we have not yet reached that point !.")</f>
        <v>Massage on demand We've tried in the neck and back when we are at home ... It leaves you super laid back .. The only negative is how addictive it is. Actually it is to have a masseuse on demand. We are very happy. Also for use with the lighter of the car, but we have not yet reached that point !.</v>
      </c>
    </row>
    <row r="18794">
      <c r="A18794" s="1">
        <v>5.0</v>
      </c>
      <c r="B18794" s="1" t="s">
        <v>18615</v>
      </c>
      <c r="C18794" t="str">
        <f>IFERROR(__xludf.DUMMYFUNCTION("GOOGLETRANSLATE(B18794, ""es"", ""en"")"),"Cool and comfortable bontitos")</f>
        <v>Cool and comfortable bontitos</v>
      </c>
    </row>
    <row r="18795">
      <c r="A18795" s="1">
        <v>5.0</v>
      </c>
      <c r="B18795" s="1" t="s">
        <v>18616</v>
      </c>
      <c r="C18795" t="str">
        <f>IFERROR(__xludf.DUMMYFUNCTION("GOOGLETRANSLATE(B18795, ""es"", ""en"")"),"It is very good fabric and holds well .. It's good validity")</f>
        <v>It is very good fabric and holds well .. It's good validity</v>
      </c>
    </row>
    <row r="18796">
      <c r="A18796" s="1">
        <v>2.0</v>
      </c>
      <c r="B18796" s="1" t="s">
        <v>18617</v>
      </c>
      <c r="C18796" t="str">
        <f>IFERROR(__xludf.DUMMYFUNCTION("GOOGLETRANSLATE(B18796, ""es"", ""en"")"),"Slow card I have installed on a portable music player. To write (upload songs) is terribly slow. I think there are other more interesting options.")</f>
        <v>Slow card I have installed on a portable music player. To write (upload songs) is terribly slow. I think there are other more interesting options.</v>
      </c>
    </row>
    <row r="18797">
      <c r="A18797" s="1">
        <v>3.0</v>
      </c>
      <c r="B18797" s="1" t="s">
        <v>18618</v>
      </c>
      <c r="C18797" t="str">
        <f>IFERROR(__xludf.DUMMYFUNCTION("GOOGLETRANSLATE(B18797, ""es"", ""en"")"),"Good warm lavalier lavalier giving a voice warm and clear. The only drawback is that it could improve its noise level, but can be easily removed in postpro. If you add the TRRS transformer trs it is a great buy.")</f>
        <v>Good warm lavalier lavalier giving a voice warm and clear. The only drawback is that it could improve its noise level, but can be easily removed in postpro. If you add the TRRS transformer trs it is a great buy.</v>
      </c>
    </row>
    <row r="18798">
      <c r="A18798" s="1">
        <v>3.0</v>
      </c>
      <c r="B18798" s="1" t="s">
        <v>18619</v>
      </c>
      <c r="C18798" t="str">
        <f>IFERROR(__xludf.DUMMYFUNCTION("GOOGLETRANSLATE(B18798, ""es"", ""en"")"),"For now applies to what is average for the price Amazon was compared to € 26 found in Carrefour, but compared to the previous I had my mother who was a Moullinex has nothing to do. But the least what lasts and what it's enough.")</f>
        <v>For now applies to what is average for the price Amazon was compared to € 26 found in Carrefour, but compared to the previous I had my mother who was a Moullinex has nothing to do. But the least what lasts and what it's enough.</v>
      </c>
    </row>
    <row r="18799">
      <c r="A18799" s="1">
        <v>1.0</v>
      </c>
      <c r="B18799" s="1" t="s">
        <v>18620</v>
      </c>
      <c r="C18799" t="str">
        <f>IFERROR(__xludf.DUMMYFUNCTION("GOOGLETRANSLATE(B18799, ""es"", ""en"")"),"The small ring is very small")</f>
        <v>The small ring is very small</v>
      </c>
    </row>
    <row r="18800">
      <c r="A18800" s="1">
        <v>1.0</v>
      </c>
      <c r="B18800" s="1" t="s">
        <v>18621</v>
      </c>
      <c r="C18800" t="str">
        <f>IFERROR(__xludf.DUMMYFUNCTION("GOOGLETRANSLATE(B18800, ""es"", ""en"")"),"Very hard too hard")</f>
        <v>Very hard too hard</v>
      </c>
    </row>
    <row r="18801">
      <c r="A18801" s="1">
        <v>4.0</v>
      </c>
      <c r="B18801" s="1" t="s">
        <v>18622</v>
      </c>
      <c r="C18801" t="str">
        <f>IFERROR(__xludf.DUMMYFUNCTION("GOOGLETRANSLATE(B18801, ""es"", ""en"")"),"I love it I really like these filters for tea. I have quite some time and is like new. I also like the base that leads to when you take the glass filter support on that basis. The only downside is you get are quite expensive for what it is.")</f>
        <v>I love it I really like these filters for tea. I have quite some time and is like new. I also like the base that leads to when you take the glass filter support on that basis. The only downside is you get are quite expensive for what it is.</v>
      </c>
    </row>
    <row r="18802">
      <c r="A18802" s="1">
        <v>4.0</v>
      </c>
      <c r="B18802" s="1" t="s">
        <v>18623</v>
      </c>
      <c r="C18802" t="str">
        <f>IFERROR(__xludf.DUMMYFUNCTION("GOOGLETRANSLATE(B18802, ""es"", ""en"")"),"Came quickly. It is like a little scraping the front of the shoe, everything else size, puts original with the R in the box and the shoe, I love it. Thank you very much")</f>
        <v>Came quickly. It is like a little scraping the front of the shoe, everything else size, puts original with the R in the box and the shoe, I love it. Thank you very much</v>
      </c>
    </row>
    <row r="18803">
      <c r="A18803" s="1">
        <v>4.0</v>
      </c>
      <c r="B18803" s="1" t="s">
        <v>18624</v>
      </c>
      <c r="C18803" t="str">
        <f>IFERROR(__xludf.DUMMYFUNCTION("GOOGLETRANSLATE(B18803, ""es"", ""en"")"),"Monica Still I have not used much but has good power and is quite robust. The accessory is great for sauces and although cleaning is a bit more complicated if you follow the instructions superbly clean")</f>
        <v>Monica Still I have not used much but has good power and is quite robust. The accessory is great for sauces and although cleaning is a bit more complicated if you follow the instructions superbly clean</v>
      </c>
    </row>
    <row r="18804">
      <c r="A18804" s="1">
        <v>4.0</v>
      </c>
      <c r="B18804" s="1" t="s">
        <v>18625</v>
      </c>
      <c r="C18804" t="str">
        <f>IFERROR(__xludf.DUMMYFUNCTION("GOOGLETRANSLATE(B18804, ""es"", ""en"")"),"Wedge is low. The shoe is very comfortable wedge is low. I needed something higher")</f>
        <v>Wedge is low. The shoe is very comfortable wedge is low. I needed something higher</v>
      </c>
    </row>
    <row r="18805">
      <c r="A18805" s="1">
        <v>4.0</v>
      </c>
      <c r="B18805" s="1" t="s">
        <v>3018</v>
      </c>
      <c r="C18805" t="str">
        <f>IFERROR(__xludf.DUMMYFUNCTION("GOOGLETRANSLATE(B18805, ""es"", ""en"")"),"Well right")</f>
        <v>Well right</v>
      </c>
    </row>
    <row r="18806">
      <c r="A18806" s="1">
        <v>5.0</v>
      </c>
      <c r="B18806" s="1" t="s">
        <v>18626</v>
      </c>
      <c r="C18806" t="str">
        <f>IFERROR(__xludf.DUMMYFUNCTION("GOOGLETRANSLATE(B18806, ""es"", ""en"")"),"Headphones very comfortable and quality. others had already bought this brand have given me very good result and I'm back to decide for changing the model because I liked the functionality of the magnet, for when you have hung around his neck. They are ve"&amp;"ry comfortable (with a sponge (not rubber) that adapts very well to the ear) and sound good. They also have microphone and is ideal for answering incoming calls on mobile. The build quality is good and they have a mesh that protects the cable and are of g"&amp;"ood quality. Case also brings a network that takes up very little and is comfortable to carry anywhere.")</f>
        <v>Headphones very comfortable and quality. others had already bought this brand have given me very good result and I'm back to decide for changing the model because I liked the functionality of the magnet, for when you have hung around his neck. They are very comfortable (with a sponge (not rubber) that adapts very well to the ear) and sound good. They also have microphone and is ideal for answering incoming calls on mobile. The build quality is good and they have a mesh that protects the cable and are of good quality. Case also brings a network that takes up very little and is comfortable to carry anywhere.</v>
      </c>
    </row>
    <row r="18807">
      <c r="A18807" s="1">
        <v>5.0</v>
      </c>
      <c r="B18807" s="1" t="s">
        <v>18627</v>
      </c>
      <c r="C18807" t="str">
        <f>IFERROR(__xludf.DUMMYFUNCTION("GOOGLETRANSLATE(B18807, ""es"", ""en"")"),"Debtro subject very well Foot Super comfortable and durable, good grip foot inside, using a 42. 5, Pedi 42 and are peefectas")</f>
        <v>Debtro subject very well Foot Super comfortable and durable, good grip foot inside, using a 42. 5, Pedi 42 and are peefectas</v>
      </c>
    </row>
    <row r="18808">
      <c r="A18808" s="1">
        <v>5.0</v>
      </c>
      <c r="B18808" s="1" t="s">
        <v>18628</v>
      </c>
      <c r="C18808" t="str">
        <f>IFERROR(__xludf.DUMMYFUNCTION("GOOGLETRANSLATE(B18808, ""es"", ""en"")"),"Biberones nice Very good price and quality. I repeat if necessary")</f>
        <v>Biberones nice Very good price and quality. I repeat if necessary</v>
      </c>
    </row>
    <row r="18809">
      <c r="A18809" s="1">
        <v>5.0</v>
      </c>
      <c r="B18809" s="1" t="s">
        <v>18629</v>
      </c>
      <c r="C18809" t="str">
        <f>IFERROR(__xludf.DUMMYFUNCTION("GOOGLETRANSLATE(B18809, ""es"", ""en"")"),"Very practical to run I bought them to give to my husband, he is an inveterate sportsman and loves ones that I did like. I bought this because they have a very convenient system to run and is happy with them. Do not move well and isolate noise.")</f>
        <v>Very practical to run I bought them to give to my husband, he is an inveterate sportsman and loves ones that I did like. I bought this because they have a very convenient system to run and is happy with them. Do not move well and isolate noise.</v>
      </c>
    </row>
    <row r="18810">
      <c r="A18810" s="1">
        <v>5.0</v>
      </c>
      <c r="B18810" s="1" t="s">
        <v>18630</v>
      </c>
      <c r="C18810" t="str">
        <f>IFERROR(__xludf.DUMMYFUNCTION("GOOGLETRANSLATE(B18810, ""es"", ""en"")"),"Adhesive tape fulfills its function that does the job without any problems.")</f>
        <v>Adhesive tape fulfills its function that does the job without any problems.</v>
      </c>
    </row>
    <row r="18811">
      <c r="A18811" s="1">
        <v>5.0</v>
      </c>
      <c r="B18811" s="1" t="s">
        <v>18631</v>
      </c>
      <c r="C18811" t="str">
        <f>IFERROR(__xludf.DUMMYFUNCTION("GOOGLETRANSLATE(B18811, ""es"", ""en"")"),"Phenomenal is a classic. works like a charm")</f>
        <v>Phenomenal is a classic. works like a charm</v>
      </c>
    </row>
    <row r="18812">
      <c r="A18812" s="1">
        <v>5.0</v>
      </c>
      <c r="B18812" s="1" t="s">
        <v>18632</v>
      </c>
      <c r="C18812" t="str">
        <f>IFERROR(__xludf.DUMMYFUNCTION("GOOGLETRANSLATE(B18812, ""es"", ""en"")"),"Good watch Very useful for your day")</f>
        <v>Good watch Very useful for your day</v>
      </c>
    </row>
    <row r="18813">
      <c r="A18813" s="1">
        <v>5.0</v>
      </c>
      <c r="B18813" s="1" t="s">
        <v>18633</v>
      </c>
      <c r="C18813" t="str">
        <f>IFERROR(__xludf.DUMMYFUNCTION("GOOGLETRANSLATE(B18813, ""es"", ""en"")"),"You will not be disappointed I was very pleasantly surprised, I'm personally a fan of Samsung but I try these Toshiba dicidi on a PC use as media center. The results are more than good, about 520MB and 430 MB read-write, whenever you have both Palca base "&amp;"and SATA3 6GB wire so that more can you ask?")</f>
        <v>You will not be disappointed I was very pleasantly surprised, I'm personally a fan of Samsung but I try these Toshiba dicidi on a PC use as media center. The results are more than good, about 520MB and 430 MB read-write, whenever you have both Palca base and SATA3 6GB wire so that more can you ask?</v>
      </c>
    </row>
    <row r="18814">
      <c r="A18814" s="1">
        <v>5.0</v>
      </c>
      <c r="B18814" s="1" t="s">
        <v>18634</v>
      </c>
      <c r="C18814" t="str">
        <f>IFERROR(__xludf.DUMMYFUNCTION("GOOGLETRANSLATE(B18814, ""es"", ""en"")"),"Comfortable shoes are very comfortable shoes, do not oppress at all and that use wide special.")</f>
        <v>Comfortable shoes are very comfortable shoes, do not oppress at all and that use wide special.</v>
      </c>
    </row>
    <row r="18815">
      <c r="A18815" s="1">
        <v>5.0</v>
      </c>
      <c r="B18815" s="1" t="s">
        <v>18635</v>
      </c>
      <c r="C18815" t="str">
        <f>IFERROR(__xludf.DUMMYFUNCTION("GOOGLETRANSLATE(B18815, ""es"", ""en"")"),"Ezekiel After several months of use, no doubt ... crocs are a few crocs !! A great pleasure to spend all day working with them and come up with feet rested. So when I get the change for others that use for home. Definitely the best for your feet.")</f>
        <v>Ezekiel After several months of use, no doubt ... crocs are a few crocs !! A great pleasure to spend all day working with them and come up with feet rested. So when I get the change for others that use for home. Definitely the best for your feet.</v>
      </c>
    </row>
    <row r="18816">
      <c r="A18816" s="1">
        <v>5.0</v>
      </c>
      <c r="B18816" s="1" t="s">
        <v>18636</v>
      </c>
      <c r="C18816" t="str">
        <f>IFERROR(__xludf.DUMMYFUNCTION("GOOGLETRANSLATE(B18816, ""es"", ""en"")"),"Very fast but with nuances !!!! The read and write speeds are impressive as the benchmark but honestly for the day to day I have not noticed much difference with my previous ssd. Perhaps for more demanding tasks if it is noticed more. For everyday tasks o"&amp;"nly recommend if you find well priced.")</f>
        <v>Very fast but with nuances !!!! The read and write speeds are impressive as the benchmark but honestly for the day to day I have not noticed much difference with my previous ssd. Perhaps for more demanding tasks if it is noticed more. For everyday tasks only recommend if you find well priced.</v>
      </c>
    </row>
    <row r="18817">
      <c r="A18817" s="1">
        <v>5.0</v>
      </c>
      <c r="B18817" s="1" t="s">
        <v>18637</v>
      </c>
      <c r="C18817" t="str">
        <f>IFERROR(__xludf.DUMMYFUNCTION("GOOGLETRANSLATE(B18817, ""es"", ""en"")"),"Many good quality and very practical power")</f>
        <v>Many good quality and very practical power</v>
      </c>
    </row>
    <row r="18818">
      <c r="A18818" s="1">
        <v>5.0</v>
      </c>
      <c r="B18818" s="1" t="s">
        <v>18638</v>
      </c>
      <c r="C18818" t="str">
        <f>IFERROR(__xludf.DUMMYFUNCTION("GOOGLETRANSLATE(B18818, ""es"", ""en"")"),"Ok Good clothing and shelters")</f>
        <v>Ok Good clothing and shelters</v>
      </c>
    </row>
    <row r="18819">
      <c r="A18819" s="1">
        <v>5.0</v>
      </c>
      <c r="B18819" s="1" t="s">
        <v>18639</v>
      </c>
      <c r="C18819" t="str">
        <f>IFERROR(__xludf.DUMMYFUNCTION("GOOGLETRANSLATE(B18819, ""es"", ""en"")"),"Indestructible Indestructible like all casios very hard to work in the field good buy")</f>
        <v>Indestructible Indestructible like all casios very hard to work in the field good buy</v>
      </c>
    </row>
    <row r="18820">
      <c r="A18820" s="1">
        <v>5.0</v>
      </c>
      <c r="B18820" s="1" t="s">
        <v>18640</v>
      </c>
      <c r="C18820" t="str">
        <f>IFERROR(__xludf.DUMMYFUNCTION("GOOGLETRANSLATE(B18820, ""es"", ""en"")"),"Very useful. Serve in their 100% certain tasks solderability age as an electronic component almost impossible task done without glasses how are you. It has several lenses with different magnifications, and can be exchanged easily. The built-in light I hav"&amp;"e not tested because I used a desktop focus. The product is fine for the price it perfectly fulfills its function.")</f>
        <v>Very useful. Serve in their 100% certain tasks solderability age as an electronic component almost impossible task done without glasses how are you. It has several lenses with different magnifications, and can be exchanged easily. The built-in light I have not tested because I used a desktop focus. The product is fine for the price it perfectly fulfills its function.</v>
      </c>
    </row>
    <row r="18821">
      <c r="A18821" s="1">
        <v>5.0</v>
      </c>
      <c r="B18821" s="1" t="s">
        <v>18641</v>
      </c>
      <c r="C18821" t="str">
        <f>IFERROR(__xludf.DUMMYFUNCTION("GOOGLETRANSLATE(B18821, ""es"", ""en"")"),"Good value for money is quite comfortable, it comes in a plastic bag, without box without dayos manufacturer and product,")</f>
        <v>Good value for money is quite comfortable, it comes in a plastic bag, without box without dayos manufacturer and product,</v>
      </c>
    </row>
    <row r="18822">
      <c r="A18822" s="1">
        <v>5.0</v>
      </c>
      <c r="B18822" s="1" t="s">
        <v>18642</v>
      </c>
      <c r="C18822" t="str">
        <f>IFERROR(__xludf.DUMMYFUNCTION("GOOGLETRANSLATE(B18822, ""es"", ""en"")"),"When zapa love I have built a reputation for maximum poligonera. The zapas dance for me, the fury Cani out my pores and I am a whirlwind of kicking the air, jogs hip and guttural sounds when I dance. Hard techno is my religion")</f>
        <v>When zapa love I have built a reputation for maximum poligonera. The zapas dance for me, the fury Cani out my pores and I am a whirlwind of kicking the air, jogs hip and guttural sounds when I dance. Hard techno is my religion</v>
      </c>
    </row>
    <row r="18823">
      <c r="A18823" s="1">
        <v>5.0</v>
      </c>
      <c r="B18823" s="1" t="s">
        <v>18643</v>
      </c>
      <c r="C18823" t="str">
        <f>IFERROR(__xludf.DUMMYFUNCTION("GOOGLETRANSLATE(B18823, ""es"", ""en"")"),"Good quality I like the sheath material. The nozzle is very broad and is easy to put the water without splashing or burn. It is a good product for the price")</f>
        <v>Good quality I like the sheath material. The nozzle is very broad and is easy to put the water without splashing or burn. It is a good product for the price</v>
      </c>
    </row>
    <row r="18824">
      <c r="A18824" s="1">
        <v>2.0</v>
      </c>
      <c r="B18824" s="1" t="s">
        <v>18644</v>
      </c>
      <c r="C18824" t="str">
        <f>IFERROR(__xludf.DUMMYFUNCTION("GOOGLETRANSLATE(B18824, ""es"", ""en"")"),"Not recommended for terrain with loose stones gaps in the sole are filled with stones. Furthermore the sole is so soft that the stones end up making holes. After only 4 months of use the soles are completely worn and leaky.")</f>
        <v>Not recommended for terrain with loose stones gaps in the sole are filled with stones. Furthermore the sole is so soft that the stones end up making holes. After only 4 months of use the soles are completely worn and leaky.</v>
      </c>
    </row>
    <row r="18825">
      <c r="A18825" s="1">
        <v>3.0</v>
      </c>
      <c r="B18825" s="1" t="s">
        <v>18645</v>
      </c>
      <c r="C18825" t="str">
        <f>IFERROR(__xludf.DUMMYFUNCTION("GOOGLETRANSLATE(B18825, ""es"", ""en"")"),"It looks very small quality, but it is small. Although it depends on what you put inside, of course.")</f>
        <v>It looks very small quality, but it is small. Although it depends on what you put inside, of course.</v>
      </c>
    </row>
    <row r="18826">
      <c r="A18826" s="1">
        <v>1.0</v>
      </c>
      <c r="B18826" s="1" t="s">
        <v>18646</v>
      </c>
      <c r="C18826" t="str">
        <f>IFERROR(__xludf.DUMMYFUNCTION("GOOGLETRANSLATE(B18826, ""es"", ""en"")"),"Pedi Chasco a size even more and so are very fair size, the sole is still pesima being cheap is throwing money")</f>
        <v>Pedi Chasco a size even more and so are very fair size, the sole is still pesima being cheap is throwing money</v>
      </c>
    </row>
    <row r="18827">
      <c r="A18827" s="1">
        <v>1.0</v>
      </c>
      <c r="B18827" s="1" t="s">
        <v>18647</v>
      </c>
      <c r="C18827" t="str">
        <f>IFERROR(__xludf.DUMMYFUNCTION("GOOGLETRANSLATE(B18827, ""es"", ""en"")"),"I tried not worth worthless and do not throw it costs 7 euros, my watch has superficial scratches and after applying as usual")</f>
        <v>I tried not worth worthless and do not throw it costs 7 euros, my watch has superficial scratches and after applying as usual</v>
      </c>
    </row>
    <row r="18828">
      <c r="A18828" s="1">
        <v>4.0</v>
      </c>
      <c r="B18828" s="1" t="s">
        <v>18648</v>
      </c>
      <c r="C18828" t="str">
        <f>IFERROR(__xludf.DUMMYFUNCTION("GOOGLETRANSLATE(B18828, ""es"", ""en"")"),"Good deal for a small mattress pad heat Heat light soft, very pleasant even at high intensity. The worst is that it shows the only heat resistance, better fabric more padding. Good value for money.")</f>
        <v>Good deal for a small mattress pad heat Heat light soft, very pleasant even at high intensity. The worst is that it shows the only heat resistance, better fabric more padding. Good value for money.</v>
      </c>
    </row>
    <row r="18829">
      <c r="A18829" s="1">
        <v>4.0</v>
      </c>
      <c r="B18829" s="1" t="s">
        <v>18649</v>
      </c>
      <c r="C18829" t="str">
        <f>IFERROR(__xludf.DUMMYFUNCTION("GOOGLETRANSLATE(B18829, ""es"", ""en"")"),"Good product good. Price quality is very good. Although said of 0 to 6 months my baby is 9 months old and doing a fabulous time.")</f>
        <v>Good product good. Price quality is very good. Although said of 0 to 6 months my baby is 9 months old and doing a fabulous time.</v>
      </c>
    </row>
    <row r="18830">
      <c r="A18830" s="1">
        <v>4.0</v>
      </c>
      <c r="B18830" s="1" t="s">
        <v>18650</v>
      </c>
      <c r="C18830" t="str">
        <f>IFERROR(__xludf.DUMMYFUNCTION("GOOGLETRANSLATE(B18830, ""es"", ""en"")"),"For that price worth it is a very good product for this price. Insulates external sounds pretty good, and very clearly hear almost all frequencies. Yes, good to hear the bass, you listen at high volume. The biggest handicap is that the cable is integrated"&amp;", so you simply use it in your studio. Unless you want to go dragging a cable 3 meters down the street.")</f>
        <v>For that price worth it is a very good product for this price. Insulates external sounds pretty good, and very clearly hear almost all frequencies. Yes, good to hear the bass, you listen at high volume. The biggest handicap is that the cable is integrated, so you simply use it in your studio. Unless you want to go dragging a cable 3 meters down the street.</v>
      </c>
    </row>
    <row r="18831">
      <c r="A18831" s="1">
        <v>4.0</v>
      </c>
      <c r="B18831" s="1" t="s">
        <v>18651</v>
      </c>
      <c r="C18831" t="str">
        <f>IFERROR(__xludf.DUMMYFUNCTION("GOOGLETRANSLATE(B18831, ""es"", ""en"")"),"Loctite force and less cumbersome gel format is me much more practical to implement because it does not slip. For what what I usually use (paste some detached stone with jewelry) is perfect. I give it 4 stars because it is expensive for the small amount i"&amp;"t brings.")</f>
        <v>Loctite force and less cumbersome gel format is me much more practical to implement because it does not slip. For what what I usually use (paste some detached stone with jewelry) is perfect. I give it 4 stars because it is expensive for the small amount it brings.</v>
      </c>
    </row>
    <row r="18832">
      <c r="A18832" s="1">
        <v>5.0</v>
      </c>
      <c r="B18832" s="1" t="s">
        <v>18652</v>
      </c>
      <c r="C18832" t="str">
        <f>IFERROR(__xludf.DUMMYFUNCTION("GOOGLETRANSLATE(B18832, ""es"", ""en"")"),"Good product equalizes If properly is quite decent sound quality")</f>
        <v>Good product equalizes If properly is quite decent sound quality</v>
      </c>
    </row>
    <row r="18833">
      <c r="A18833" s="1">
        <v>5.0</v>
      </c>
      <c r="B18833" s="1" t="s">
        <v>18653</v>
      </c>
      <c r="C18833" t="str">
        <f>IFERROR(__xludf.DUMMYFUNCTION("GOOGLETRANSLATE(B18833, ""es"", ""en"")"),"My pc works again as Again be about to retire him because he was hung, could not handle multiple programs at once and took half-life and can be started using it. Now is a shot and very easy to handle, talk about this in youtube sale of this album with eve"&amp;"rything needed for installation on the package itself and here only the single disc sold, otherwise you have to look for life. WORTH THE INVESTMENT IS MORE EXPENSIVE NEW buy a computer.")</f>
        <v>My pc works again as Again be about to retire him because he was hung, could not handle multiple programs at once and took half-life and can be started using it. Now is a shot and very easy to handle, talk about this in youtube sale of this album with everything needed for installation on the package itself and here only the single disc sold, otherwise you have to look for life. WORTH THE INVESTMENT IS MORE EXPENSIVE NEW buy a computer.</v>
      </c>
    </row>
    <row r="18834">
      <c r="A18834" s="1">
        <v>5.0</v>
      </c>
      <c r="B18834" s="1" t="s">
        <v>18654</v>
      </c>
      <c r="C18834" t="str">
        <f>IFERROR(__xludf.DUMMYFUNCTION("GOOGLETRANSLATE(B18834, ""es"", ""en"")"),"Of the best bands Very comfortable to wear, good grip, not nailed. It has come fast and in perfect condition. the effect is very noticeable.")</f>
        <v>Of the best bands Very comfortable to wear, good grip, not nailed. It has come fast and in perfect condition. the effect is very noticeable.</v>
      </c>
    </row>
    <row r="18835">
      <c r="A18835" s="1">
        <v>5.0</v>
      </c>
      <c r="B18835" s="1" t="s">
        <v>18655</v>
      </c>
      <c r="C18835" t="str">
        <f>IFERROR(__xludf.DUMMYFUNCTION("GOOGLETRANSLATE(B18835, ""es"", ""en"")"),"Very nice A perfect gift for cat lovers. It is very beautiful and delicate.")</f>
        <v>Very nice A perfect gift for cat lovers. It is very beautiful and delicate.</v>
      </c>
    </row>
    <row r="18836">
      <c r="A18836" s="1">
        <v>5.0</v>
      </c>
      <c r="B18836" s="1" t="s">
        <v>18656</v>
      </c>
      <c r="C18836" t="str">
        <f>IFERROR(__xludf.DUMMYFUNCTION("GOOGLETRANSLATE(B18836, ""es"", ""en"")"),"Awesome massage featuring never had tried a massager of these features and the truth that surprised me gratamentel. The spinning balls offer a massage quite strongly, also depending on the strength you want to apply. And it also has different levels of sp"&amp;"eed, heat and vibration function in the arms. Thanks to the design can be used in different areas of the body, from the neck to back. I am very happy with this product and recommend your purchase.")</f>
        <v>Awesome massage featuring never had tried a massager of these features and the truth that surprised me gratamentel. The spinning balls offer a massage quite strongly, also depending on the strength you want to apply. And it also has different levels of speed, heat and vibration function in the arms. Thanks to the design can be used in different areas of the body, from the neck to back. I am very happy with this product and recommend your purchase.</v>
      </c>
    </row>
    <row r="18837">
      <c r="A18837" s="1">
        <v>5.0</v>
      </c>
      <c r="B18837" s="1" t="s">
        <v>18657</v>
      </c>
      <c r="C18837" t="str">
        <f>IFERROR(__xludf.DUMMYFUNCTION("GOOGLETRANSLATE(B18837, ""es"", ""en"")"),"The best bibe water I've found already previously had a bottle of water, this same brand Nuk, with the same size and for me the best Bibes water market, although expensive than usual, but for our babies deserve it, not dripping as others I've used on the "&amp;"sides. And the size is perfect, because at this age still do not drink much and is cómpdo Why to choose them lift the bottle now they are learning. Recommendable! My baby is 9 months old and is perfect. And durable because they do not know how many times "&amp;"it has thrown to the ground. Le is easy to drink the teat rubber is sometimes nibbles to ease him out. Teeth. Mini design I see very nice and it catches your eye.")</f>
        <v>The best bibe water I've found already previously had a bottle of water, this same brand Nuk, with the same size and for me the best Bibes water market, although expensive than usual, but for our babies deserve it, not dripping as others I've used on the sides. And the size is perfect, because at this age still do not drink much and is cómpdo Why to choose them lift the bottle now they are learning. Recommendable! My baby is 9 months old and is perfect. And durable because they do not know how many times it has thrown to the ground. Le is easy to drink the teat rubber is sometimes nibbles to ease him out. Teeth. Mini design I see very nice and it catches your eye.</v>
      </c>
    </row>
    <row r="18838">
      <c r="A18838" s="1">
        <v>5.0</v>
      </c>
      <c r="B18838" s="1" t="s">
        <v>18658</v>
      </c>
      <c r="C18838" t="str">
        <f>IFERROR(__xludf.DUMMYFUNCTION("GOOGLETRANSLATE(B18838, ""es"", ""en"")"),"Useful and comfortable This bracelet is easy to install, comes with a small tool to place it on the clock, in addition to bringing pins. It is very easy to wear it on the wrist being closed by fitting a magnet, the magnet makes the brooch resistant")</f>
        <v>Useful and comfortable This bracelet is easy to install, comes with a small tool to place it on the clock, in addition to bringing pins. It is very easy to wear it on the wrist being closed by fitting a magnet, the magnet makes the brooch resistant</v>
      </c>
    </row>
    <row r="18839">
      <c r="A18839" s="1">
        <v>5.0</v>
      </c>
      <c r="B18839" s="1" t="s">
        <v>18659</v>
      </c>
      <c r="C18839" t="str">
        <f>IFERROR(__xludf.DUMMYFUNCTION("GOOGLETRANSLATE(B18839, ""es"", ""en"")"),"While large are structurally speaking. But now it has become fashionable and is not removed .. Although not skin, admittedly with a good finish and are not plasticosas ..")</f>
        <v>While large are structurally speaking. But now it has become fashionable and is not removed .. Although not skin, admittedly with a good finish and are not plasticosas ..</v>
      </c>
    </row>
    <row r="18840">
      <c r="A18840" s="1">
        <v>5.0</v>
      </c>
      <c r="B18840" s="1" t="s">
        <v>18660</v>
      </c>
      <c r="C18840" t="str">
        <f>IFERROR(__xludf.DUMMYFUNCTION("GOOGLETRANSLATE(B18840, ""es"", ""en"")"),"Perfect for training. I think a wise move. The fabric is somewhat thin, but very comfortable. I bought it to go to walk, to see if under guts, and I'm happy to 90%. I think the armhole of his pants hang a little longer than necessary.")</f>
        <v>Perfect for training. I think a wise move. The fabric is somewhat thin, but very comfortable. I bought it to go to walk, to see if under guts, and I'm happy to 90%. I think the armhole of his pants hang a little longer than necessary.</v>
      </c>
    </row>
    <row r="18841">
      <c r="A18841" s="1">
        <v>5.0</v>
      </c>
      <c r="B18841" s="1" t="s">
        <v>18661</v>
      </c>
      <c r="C18841" t="str">
        <f>IFERROR(__xludf.DUMMYFUNCTION("GOOGLETRANSLATE(B18841, ""es"", ""en"")"),"Travel wallet D10 acceptable quality good and cheap cute ideal for the portfolio of the lady and the gentleman's pocket ... 😂😂😂😂.no is to charge it to full peactica .very ... and safe 👍")</f>
        <v>Travel wallet D10 acceptable quality good and cheap cute ideal for the portfolio of the lady and the gentleman's pocket ... 😂😂😂😂.no is to charge it to full peactica .very ... and safe 👍</v>
      </c>
    </row>
    <row r="18842">
      <c r="A18842" s="1">
        <v>5.0</v>
      </c>
      <c r="B18842" s="1" t="s">
        <v>18662</v>
      </c>
      <c r="C18842" t="str">
        <f>IFERROR(__xludf.DUMMYFUNCTION("GOOGLETRANSLATE(B18842, ""es"", ""en"")"),"Very good product and easy to use Oh my god is wonderful. Easy to use and not have to buy spare parts that cotton carrying some. It is to put water and essential oil and forget. Timer and Auto Power Off function well. Very nice lights. You can regulate th"&amp;"e amount of steam exiting. There is a good quality price relation. My house smells super good.")</f>
        <v>Very good product and easy to use Oh my god is wonderful. Easy to use and not have to buy spare parts that cotton carrying some. It is to put water and essential oil and forget. Timer and Auto Power Off function well. Very nice lights. You can regulate the amount of steam exiting. There is a good quality price relation. My house smells super good.</v>
      </c>
    </row>
    <row r="18843">
      <c r="A18843" s="1">
        <v>5.0</v>
      </c>
      <c r="B18843" s="1" t="s">
        <v>18663</v>
      </c>
      <c r="C18843" t="str">
        <f>IFERROR(__xludf.DUMMYFUNCTION("GOOGLETRANSLATE(B18843, ""es"", ""en"")"),"I do not remember when I bought it. Tough, stick with everything, I have not changed the battery, what else to say ... CASIO")</f>
        <v>I do not remember when I bought it. Tough, stick with everything, I have not changed the battery, what else to say ... CASIO</v>
      </c>
    </row>
    <row r="18844">
      <c r="A18844" s="1">
        <v>5.0</v>
      </c>
      <c r="B18844" s="1" t="s">
        <v>18664</v>
      </c>
      <c r="C18844" t="str">
        <f>IFERROR(__xludf.DUMMYFUNCTION("GOOGLETRANSLATE(B18844, ""es"", ""en"")"),"patricia are ideal, my baby had problems with other teats and now no longer wants others! Also the price is very affordable, really worth it!")</f>
        <v>patricia are ideal, my baby had problems with other teats and now no longer wants others! Also the price is very affordable, really worth it!</v>
      </c>
    </row>
    <row r="18845">
      <c r="A18845" s="1">
        <v>5.0</v>
      </c>
      <c r="B18845" s="1" t="s">
        <v>18665</v>
      </c>
      <c r="C18845" t="str">
        <f>IFERROR(__xludf.DUMMYFUNCTION("GOOGLETRANSLATE(B18845, ""es"", ""en"")"),"I recommend All perfect than I expected! Looks good! I recommend!")</f>
        <v>I recommend All perfect than I expected! Looks good! I recommend!</v>
      </c>
    </row>
    <row r="18846">
      <c r="A18846" s="1">
        <v>5.0</v>
      </c>
      <c r="B18846" s="1" t="s">
        <v>18666</v>
      </c>
      <c r="C18846" t="str">
        <f>IFERROR(__xludf.DUMMYFUNCTION("GOOGLETRANSLATE(B18846, ""es"", ""en"")"),"Anti colic bottle from one month because I chose this bottle cage encanta.En midwife gave me my health center came one free for newborns, from 0 months. It was a real find for me. I started using other well-known brands of baby bottles, but everyone gases"&amp;" produced my daughter when taking because these teats suction was not optimal. Since I tried the sample from 0 months gave me, I did not try more brands. I'm delighted. In addition, the teats are quality and will last a long time. Almost all advantages. F"&amp;"or filing a complaint would say these bottles I bought say they are from a month but my daughter started drinking with the teat bringing +1 month and nearly choked because the teat from 1 month to milk gushing out of shape for such a small baby. I used th"&amp;"e Newborn Teat until I saw my daughter choked and drinking milk very fast, then I went to the +1 next month with this bottle. In short, I am delighted with these bottles and the brand in general, which has greatly reduced my baby's colic. And the price of"&amp;" two bottles of shipping is less than what it's worth one more economical in large surfaces known.")</f>
        <v>Anti colic bottle from one month because I chose this bottle cage encanta.En midwife gave me my health center came one free for newborns, from 0 months. It was a real find for me. I started using other well-known brands of baby bottles, but everyone gases produced my daughter when taking because these teats suction was not optimal. Since I tried the sample from 0 months gave me, I did not try more brands. I'm delighted. In addition, the teats are quality and will last a long time. Almost all advantages. For filing a complaint would say these bottles I bought say they are from a month but my daughter started drinking with the teat bringing +1 month and nearly choked because the teat from 1 month to milk gushing out of shape for such a small baby. I used the Newborn Teat until I saw my daughter choked and drinking milk very fast, then I went to the +1 next month with this bottle. In short, I am delighted with these bottles and the brand in general, which has greatly reduced my baby's colic. And the price of two bottles of shipping is less than what it's worth one more economical in large surfaces known.</v>
      </c>
    </row>
    <row r="18847">
      <c r="A18847" s="1">
        <v>5.0</v>
      </c>
      <c r="B18847" s="1" t="s">
        <v>18667</v>
      </c>
      <c r="C18847" t="str">
        <f>IFERROR(__xludf.DUMMYFUNCTION("GOOGLETRANSLATE(B18847, ""es"", ""en"")"),"Good impression. Moment good impression, unpack and display a sticker saying that the battery lasts 10 years, moreover to say resistant to water, light and Cassius, as last me as a last this will be phenomenal because I remove the old boredom.")</f>
        <v>Good impression. Moment good impression, unpack and display a sticker saying that the battery lasts 10 years, moreover to say resistant to water, light and Cassius, as last me as a last this will be phenomenal because I remove the old boredom.</v>
      </c>
    </row>
    <row r="18848">
      <c r="A18848" s="1">
        <v>5.0</v>
      </c>
      <c r="B18848" s="1" t="s">
        <v>18668</v>
      </c>
      <c r="C18848" t="str">
        <f>IFERROR(__xludf.DUMMYFUNCTION("GOOGLETRANSLATE(B18848, ""es"", ""en"")"),"They are comfortable and good sound quality")</f>
        <v>They are comfortable and good sound quality</v>
      </c>
    </row>
    <row r="18849">
      <c r="A18849" s="1">
        <v>5.0</v>
      </c>
      <c r="B18849" s="1" t="s">
        <v>18669</v>
      </c>
      <c r="C18849" t="str">
        <f>IFERROR(__xludf.DUMMYFUNCTION("GOOGLETRANSLATE(B18849, ""es"", ""en"")")," They are beautiful! I bought to give away, and the truth is they have come out of good quality, are hypoallergenic, and beautiful. I recommend it without question.")</f>
        <v> They are beautiful! I bought to give away, and the truth is they have come out of good quality, are hypoallergenic, and beautiful. I recommend it without question.</v>
      </c>
    </row>
    <row r="18850">
      <c r="A18850" s="1">
        <v>5.0</v>
      </c>
      <c r="B18850" s="1" t="s">
        <v>18670</v>
      </c>
      <c r="C18850" t="str">
        <f>IFERROR(__xludf.DUMMYFUNCTION("GOOGLETRANSLATE(B18850, ""es"", ""en"")"),"Cheap and comfortable. They are comfortable and beautiful. They also are super light .... I recommend.")</f>
        <v>Cheap and comfortable. They are comfortable and beautiful. They also are super light .... I recommend.</v>
      </c>
    </row>
    <row r="18851">
      <c r="A18851" s="1">
        <v>2.0</v>
      </c>
      <c r="B18851" s="1" t="s">
        <v>18671</v>
      </c>
      <c r="C18851" t="str">
        <f>IFERROR(__xludf.DUMMYFUNCTION("GOOGLETRANSLATE(B18851, ""es"", ""en"")"),"Within expectations is nice and the quality of the accounts is good, but the line is very weak and breaks the short time of use.")</f>
        <v>Within expectations is nice and the quality of the accounts is good, but the line is very weak and breaks the short time of use.</v>
      </c>
    </row>
    <row r="18852">
      <c r="A18852" s="1">
        <v>3.0</v>
      </c>
      <c r="B18852" s="1" t="s">
        <v>18672</v>
      </c>
      <c r="C18852" t="str">
        <f>IFERROR(__xludf.DUMMYFUNCTION("GOOGLETRANSLATE(B18852, ""es"", ""en"")"),"Wrong number Despite having asked for a 39, has reached 39.5. With the win, my daughter has not been realized and premiered, so I can not take them back, but otherwise all right")</f>
        <v>Wrong number Despite having asked for a 39, has reached 39.5. With the win, my daughter has not been realized and premiered, so I can not take them back, but otherwise all right</v>
      </c>
    </row>
    <row r="18853">
      <c r="A18853" s="1">
        <v>3.0</v>
      </c>
      <c r="B18853" s="1" t="s">
        <v>18673</v>
      </c>
      <c r="C18853" t="str">
        <f>IFERROR(__xludf.DUMMYFUNCTION("GOOGLETRANSLATE(B18853, ""es"", ""en"")"),"They break with pellets you look out to the second wash.")</f>
        <v>They break with pellets you look out to the second wash.</v>
      </c>
    </row>
    <row r="18854">
      <c r="A18854" s="1">
        <v>1.0</v>
      </c>
      <c r="B18854" s="1" t="s">
        <v>18674</v>
      </c>
      <c r="C18854" t="str">
        <f>IFERROR(__xludf.DUMMYFUNCTION("GOOGLETRANSLATE(B18854, ""es"", ""en"")"),"There is no manual! There is no operating manual for this product, either in downloadable PDF Alesis website, just a quick start totally inadequate and unclear.")</f>
        <v>There is no manual! There is no operating manual for this product, either in downloadable PDF Alesis website, just a quick start totally inadequate and unclear.</v>
      </c>
    </row>
    <row r="18855">
      <c r="A18855" s="1">
        <v>1.0</v>
      </c>
      <c r="B18855" s="1" t="s">
        <v>18675</v>
      </c>
      <c r="C18855" t="str">
        <f>IFERROR(__xludf.DUMMYFUNCTION("GOOGLETRANSLATE(B18855, ""es"", ""en"")"),"NO I liked this record I bought to replace a newly installed SSD Kingston A-400 240GB because, in theory this is of better quality and durability, and let me down. 1 because it is very hot; without using games. Installing the S.O. and updates easily reach"&amp;"es 65º (the vacuum gets more than 50 °), when the 2 mechanics who have never been to data of 43º and are all installed on the same site (discarded lack of ventilation). After turning on the computer and it gets to 40 degrees. Kingston SSD 43º never happen"&amp;"ed to me and was installed on the same site. 2 The design of the sata connector is bad. SATA data connector quea not blocked because the clip of the plug does not fit into the lock and is very loose so that any movement of the cables is out of the connect"&amp;"or disk. I've tried other cables and it is the same. This did not happened to any disk and have ridden many. 3rd If, as Crucial advises, establishing the ""excess supply by 7%"" (with the program Crucial SSD Manager) to improve performance and durability,"&amp;" the ability of the disk is greatly diminished and left with a capacity below one of 240 Gb conclucion. it will be better and more lasting than a cheap Kingston (remains to be seen over time, but I fear that when meta ""cane"" be melted by temperature). T"&amp;"he speed difference between Kingston and this is a little faster than Kingston, but negligible. For all these reasons I do not advise PURCHASE THIS DISC. I do not return because I have already installed with S.O., updates and programs and I do not want to"&amp;" reinstall everything again.")</f>
        <v>NO I liked this record I bought to replace a newly installed SSD Kingston A-400 240GB because, in theory this is of better quality and durability, and let me down. 1 because it is very hot; without using games. Installing the S.O. and updates easily reaches 65º (the vacuum gets more than 50 °), when the 2 mechanics who have never been to data of 43º and are all installed on the same site (discarded lack of ventilation). After turning on the computer and it gets to 40 degrees. Kingston SSD 43º never happened to me and was installed on the same site. 2 The design of the sata connector is bad. SATA data connector quea not blocked because the clip of the plug does not fit into the lock and is very loose so that any movement of the cables is out of the connector disk. I've tried other cables and it is the same. This did not happened to any disk and have ridden many. 3rd If, as Crucial advises, establishing the "excess supply by 7%" (with the program Crucial SSD Manager) to improve performance and durability, the ability of the disk is greatly diminished and left with a capacity below one of 240 Gb conclucion. it will be better and more lasting than a cheap Kingston (remains to be seen over time, but I fear that when meta "cane" be melted by temperature). The speed difference between Kingston and this is a little faster than Kingston, but negligible. For all these reasons I do not advise PURCHASE THIS DISC. I do not return because I have already installed with S.O., updates and programs and I do not want to reinstall everything again.</v>
      </c>
    </row>
    <row r="18856">
      <c r="A18856" s="1">
        <v>4.0</v>
      </c>
      <c r="B18856" s="1" t="s">
        <v>18676</v>
      </c>
      <c r="C18856" t="str">
        <f>IFERROR(__xludf.DUMMYFUNCTION("GOOGLETRANSLATE(B18856, ""es"", ""en"")"),"Good quality but somewhat delicate. It works perfectly with the iPhone 7 Plus. The cable seems fragile, so you have to take this into account and take good care.")</f>
        <v>Good quality but somewhat delicate. It works perfectly with the iPhone 7 Plus. The cable seems fragile, so you have to take this into account and take good care.</v>
      </c>
    </row>
    <row r="18857">
      <c r="A18857" s="1">
        <v>4.0</v>
      </c>
      <c r="B18857" s="1" t="s">
        <v>18677</v>
      </c>
      <c r="C18857" t="str">
        <f>IFERROR(__xludf.DUMMYFUNCTION("GOOGLETRANSLATE(B18857, ""es"", ""en"")"),"Spain flag bracelets perfect very nice")</f>
        <v>Spain flag bracelets perfect very nice</v>
      </c>
    </row>
    <row r="18858">
      <c r="A18858" s="1">
        <v>4.0</v>
      </c>
      <c r="B18858" s="1" t="s">
        <v>18678</v>
      </c>
      <c r="C18858" t="str">
        <f>IFERROR(__xludf.DUMMYFUNCTION("GOOGLETRANSLATE(B18858, ""es"", ""en"")"),"Quite acceptable. Good texture for the customer and well absorbed the oil. If I were a little thicker it would be better but good job to work.")</f>
        <v>Quite acceptable. Good texture for the customer and well absorbed the oil. If I were a little thicker it would be better but good job to work.</v>
      </c>
    </row>
    <row r="18859">
      <c r="A18859" s="1">
        <v>4.0</v>
      </c>
      <c r="B18859" s="1" t="s">
        <v>18679</v>
      </c>
      <c r="C18859" t="str">
        <f>IFERROR(__xludf.DUMMYFUNCTION("GOOGLETRANSLATE(B18859, ""es"", ""en"")"),"good value at the moment very well, I use it for surveillance cam, and when filled, self cam replenishes the data, and so far ok ..")</f>
        <v>good value at the moment very well, I use it for surveillance cam, and when filled, self cam replenishes the data, and so far ok ..</v>
      </c>
    </row>
    <row r="18860">
      <c r="A18860" s="1">
        <v>4.0</v>
      </c>
      <c r="B18860" s="1" t="s">
        <v>18680</v>
      </c>
      <c r="C18860" t="str">
        <f>IFERROR(__xludf.DUMMYFUNCTION("GOOGLETRANSLATE(B18860, ""es"", ""en"")"),"good product meets promised, working properly and with good quality. Lack durability test. The materials are of good invoice.")</f>
        <v>good product meets promised, working properly and with good quality. Lack durability test. The materials are of good invoice.</v>
      </c>
    </row>
    <row r="18861">
      <c r="A18861" s="1">
        <v>5.0</v>
      </c>
      <c r="B18861" s="1" t="s">
        <v>18681</v>
      </c>
      <c r="C18861" t="str">
        <f>IFERROR(__xludf.DUMMYFUNCTION("GOOGLETRANSLATE(B18861, ""es"", ""en"")"),"Avila as a testing is using them a girl who is studying at the University of Avila, the albonar principle alone seemed too narrow, then using will give a little of themselves, the sole is perfect slip, Nicolas frost mananeras nor rain no danger of slip, w"&amp;"hich has impressed us is that fabric very similar alante is waterproof, so far the chaparra das who have fallen there have not caught on, as long as the borreguito exiting the top it dry, inside has a very nice fabric, the feeling of warmth, stitches seam"&amp;"s are well finished off, and do not hurt, it is true that is a bit tight in size what is perhaps pick a size more would not hurt, otherwise they are good quality materials well assembled, a good start for this winter")</f>
        <v>Avila as a testing is using them a girl who is studying at the University of Avila, the albonar principle alone seemed too narrow, then using will give a little of themselves, the sole is perfect slip, Nicolas frost mananeras nor rain no danger of slip, which has impressed us is that fabric very similar alante is waterproof, so far the chaparra das who have fallen there have not caught on, as long as the borreguito exiting the top it dry, inside has a very nice fabric, the feeling of warmth, stitches seams are well finished off, and do not hurt, it is true that is a bit tight in size what is perhaps pick a size more would not hurt, otherwise they are good quality materials well assembled, a good start for this winter</v>
      </c>
    </row>
    <row r="18862">
      <c r="A18862" s="1">
        <v>5.0</v>
      </c>
      <c r="B18862" s="1" t="s">
        <v>18682</v>
      </c>
      <c r="C18862" t="str">
        <f>IFERROR(__xludf.DUMMYFUNCTION("GOOGLETRANSLATE(B18862, ""es"", ""en"")"),"Perfect and recommended! Perfect! It occupies little and is light! It is enough for a large glass or two medium! I have a lot of half liter and heated very much!")</f>
        <v>Perfect and recommended! Perfect! It occupies little and is light! It is enough for a large glass or two medium! I have a lot of half liter and heated very much!</v>
      </c>
    </row>
    <row r="18863">
      <c r="A18863" s="1">
        <v>5.0</v>
      </c>
      <c r="B18863" s="1" t="s">
        <v>18683</v>
      </c>
      <c r="C18863" t="str">
        <f>IFERROR(__xludf.DUMMYFUNCTION("GOOGLETRANSLATE(B18863, ""es"", ""en"")"),"Powerful blender to puree blender mano.La Fantastic drinks bought to make purees my children and leaves them perfect. The choice of the turbo is very good and very fine leaves without any piece puree. A lot of power. The best blender I've tried.")</f>
        <v>Powerful blender to puree blender mano.La Fantastic drinks bought to make purees my children and leaves them perfect. The choice of the turbo is very good and very fine leaves without any piece puree. A lot of power. The best blender I've tried.</v>
      </c>
    </row>
    <row r="18864">
      <c r="A18864" s="1">
        <v>5.0</v>
      </c>
      <c r="B18864" s="1" t="s">
        <v>18684</v>
      </c>
      <c r="C18864" t="str">
        <f>IFERROR(__xludf.DUMMYFUNCTION("GOOGLETRANSLATE(B18864, ""es"", ""en"")"),"Easy to install and very good quality. Is a belt of very good quality, is a very soft skin. It is very easily placed through the mechanism leading.")</f>
        <v>Easy to install and very good quality. Is a belt of very good quality, is a very soft skin. It is very easily placed through the mechanism leading.</v>
      </c>
    </row>
    <row r="18865">
      <c r="A18865" s="1">
        <v>5.0</v>
      </c>
      <c r="B18865" s="1" t="s">
        <v>18685</v>
      </c>
      <c r="C18865" t="str">
        <f>IFERROR(__xludf.DUMMYFUNCTION("GOOGLETRANSLATE(B18865, ""es"", ""en"")"),"Marvanesa quality and priced very well. It is a chulisima teapot. pesadao material, very good finish. Tapon hermetico and not jump to the lift. Main cover very hermetica. I recommend it.")</f>
        <v>Marvanesa quality and priced very well. It is a chulisima teapot. pesadao material, very good finish. Tapon hermetico and not jump to the lift. Main cover very hermetica. I recommend it.</v>
      </c>
    </row>
    <row r="18866">
      <c r="A18866" s="1">
        <v>5.0</v>
      </c>
      <c r="B18866" s="1" t="s">
        <v>18686</v>
      </c>
      <c r="C18866" t="str">
        <f>IFERROR(__xludf.DUMMYFUNCTION("GOOGLETRANSLATE(B18866, ""es"", ""en"")"),"Good Good appliance. After working for a day, I feel much more comfortable. Velocidades.Los has five modes and five inlets feet have zip to lavarlos.Cada massage session lasts about 15 minutes. The whole family can use it.")</f>
        <v>Good Good appliance. After working for a day, I feel much more comfortable. Velocidades.Los has five modes and five inlets feet have zip to lavarlos.Cada massage session lasts about 15 minutes. The whole family can use it.</v>
      </c>
    </row>
    <row r="18867">
      <c r="A18867" s="1">
        <v>5.0</v>
      </c>
      <c r="B18867" s="1" t="s">
        <v>18687</v>
      </c>
      <c r="C18867" t="str">
        <f>IFERROR(__xludf.DUMMYFUNCTION("GOOGLETRANSLATE(B18867, ""es"", ""en"")"),"All terrain and comfort are fantastic, as soon as you put the notes like a glove, very comfortable, use to train, gym and walk. I will buy them!")</f>
        <v>All terrain and comfort are fantastic, as soon as you put the notes like a glove, very comfortable, use to train, gym and walk. I will buy them!</v>
      </c>
    </row>
    <row r="18868">
      <c r="A18868" s="1">
        <v>5.0</v>
      </c>
      <c r="B18868" s="1" t="s">
        <v>18688</v>
      </c>
      <c r="C18868" t="str">
        <f>IFERROR(__xludf.DUMMYFUNCTION("GOOGLETRANSLATE(B18868, ""es"", ""en"")"),"I liked I liked, the order arrived very quickly've tried it and the truth is going very well and lights a cozy stay .What is recommend")</f>
        <v>I liked I liked, the order arrived very quickly've tried it and the truth is going very well and lights a cozy stay .What is recommend</v>
      </c>
    </row>
    <row r="18869">
      <c r="A18869" s="1">
        <v>5.0</v>
      </c>
      <c r="B18869" s="1" t="s">
        <v>18689</v>
      </c>
      <c r="C18869" t="str">
        <f>IFERROR(__xludf.DUMMYFUNCTION("GOOGLETRANSLATE(B18869, ""es"", ""en"")"),"Soft Soft to the touch and comfortable")</f>
        <v>Soft Soft to the touch and comfortable</v>
      </c>
    </row>
    <row r="18870">
      <c r="A18870" s="1">
        <v>5.0</v>
      </c>
      <c r="B18870" s="1" t="s">
        <v>18690</v>
      </c>
      <c r="C18870" t="str">
        <f>IFERROR(__xludf.DUMMYFUNCTION("GOOGLETRANSLATE(B18870, ""es"", ""en"")"),"Good value / Value Some time ago I bought these headphones, (I wanted to make my review based on proven experience) I've used with different devices (PC, mobile, tablet ...) and so far, I am very satisfied. In all cases the sound is far more than acceptab"&amp;"le and are comfortable to wear (the headband and fits perfectly regulated, the padding is pleasing to the touch and allows extended use). Can be folded (the folding mechanism does not seem very strong, but I guess taking care, can last long) and that faci"&amp;"litates transport bag, backpack ... if you're not using. The length of the cable, 1.2 m, can be a (as you move when you use it with a device table) tad short, but I found them more hits.")</f>
        <v>Good value / Value Some time ago I bought these headphones, (I wanted to make my review based on proven experience) I've used with different devices (PC, mobile, tablet ...) and so far, I am very satisfied. In all cases the sound is far more than acceptable and are comfortable to wear (the headband and fits perfectly regulated, the padding is pleasing to the touch and allows extended use). Can be folded (the folding mechanism does not seem very strong, but I guess taking care, can last long) and that facilitates transport bag, backpack ... if you're not using. The length of the cable, 1.2 m, can be a (as you move when you use it with a device table) tad short, but I found them more hits.</v>
      </c>
    </row>
    <row r="18871">
      <c r="A18871" s="1">
        <v>5.0</v>
      </c>
      <c r="B18871" s="1" t="s">
        <v>18691</v>
      </c>
      <c r="C18871" t="str">
        <f>IFERROR(__xludf.DUMMYFUNCTION("GOOGLETRANSLATE(B18871, ""es"", ""en"")"),"Great recommend to 100%")</f>
        <v>Great recommend to 100%</v>
      </c>
    </row>
    <row r="18872">
      <c r="A18872" s="1">
        <v>5.0</v>
      </c>
      <c r="B18872" s="1" t="s">
        <v>18692</v>
      </c>
      <c r="C18872" t="str">
        <f>IFERROR(__xludf.DUMMYFUNCTION("GOOGLETRANSLATE(B18872, ""es"", ""en"")"),"Practical!! Are 10 meters so if you stretch well let you wrap several cables at once and cut it anywhere for another stretch of cables, if you had fallen short, you can put the missing piece you without the splice note.")</f>
        <v>Practical!! Are 10 meters so if you stretch well let you wrap several cables at once and cut it anywhere for another stretch of cables, if you had fallen short, you can put the missing piece you without the splice note.</v>
      </c>
    </row>
    <row r="18873">
      <c r="A18873" s="1">
        <v>5.0</v>
      </c>
      <c r="B18873" s="1" t="s">
        <v>18693</v>
      </c>
      <c r="C18873" t="str">
        <f>IFERROR(__xludf.DUMMYFUNCTION("GOOGLETRANSLATE(B18873, ""es"", ""en"")"),"At the beginning Calentita not convince me anything ... but I'm glad to have bought, it is super warm and very functional recommend it")</f>
        <v>At the beginning Calentita not convince me anything ... but I'm glad to have bought, it is super warm and very functional recommend it</v>
      </c>
    </row>
    <row r="18874">
      <c r="A18874" s="1">
        <v>5.0</v>
      </c>
      <c r="B18874" s="1" t="s">
        <v>238</v>
      </c>
      <c r="C18874" t="str">
        <f>IFERROR(__xludf.DUMMYFUNCTION("GOOGLETRANSLATE(B18874, ""es"", ""en"")"),"perfect perfect")</f>
        <v>perfect perfect</v>
      </c>
    </row>
    <row r="18875">
      <c r="A18875" s="1">
        <v>5.0</v>
      </c>
      <c r="B18875" s="1" t="s">
        <v>18694</v>
      </c>
      <c r="C18875" t="str">
        <f>IFERROR(__xludf.DUMMYFUNCTION("GOOGLETRANSLATE(B18875, ""es"", ""en"")"),"Paste incredible fast and strong. Durable and easy to use with the brush. Do not stain and is very accurate")</f>
        <v>Paste incredible fast and strong. Durable and easy to use with the brush. Do not stain and is very accurate</v>
      </c>
    </row>
    <row r="18876">
      <c r="A18876" s="1">
        <v>5.0</v>
      </c>
      <c r="B18876" s="1" t="s">
        <v>18695</v>
      </c>
      <c r="C18876" t="str">
        <f>IFERROR(__xludf.DUMMYFUNCTION("GOOGLETRANSLATE(B18876, ""es"", ""en"")"),"Maincrah Because they have C4 on the laces")</f>
        <v>Maincrah Because they have C4 on the laces</v>
      </c>
    </row>
    <row r="18877">
      <c r="A18877" s="1">
        <v>5.0</v>
      </c>
      <c r="B18877" s="1" t="s">
        <v>18696</v>
      </c>
      <c r="C18877" t="str">
        <f>IFERROR(__xludf.DUMMYFUNCTION("GOOGLETRANSLATE(B18877, ""es"", ""en"")"),"Perfect organizer everything to carry What I like most is the number of independent pockets having to organize everything. And it smells like real leather !!! I do not know whether it will be because I do not understand much, but is soft and smells like o"&amp;"ne. Using JJJJJJJJ I come to realize that a little smaller I would have also served, but as they say, ""where it should be big, be the guy. A backhand no"" .... So Pleased with my purchase !! !!!")</f>
        <v>Perfect organizer everything to carry What I like most is the number of independent pockets having to organize everything. And it smells like real leather !!! I do not know whether it will be because I do not understand much, but is soft and smells like one. Using JJJJJJJJ I come to realize that a little smaller I would have also served, but as they say, "where it should be big, be the guy. A backhand no" .... So Pleased with my purchase !! !!!</v>
      </c>
    </row>
    <row r="18878">
      <c r="A18878" s="1">
        <v>5.0</v>
      </c>
      <c r="B18878" s="1" t="s">
        <v>8106</v>
      </c>
      <c r="C18878" t="str">
        <f>IFERROR(__xludf.DUMMYFUNCTION("GOOGLETRANSLATE(B18878, ""es"", ""en"")"),"Very cool Perfectas")</f>
        <v>Very cool Perfectas</v>
      </c>
    </row>
    <row r="18879">
      <c r="A18879" s="1">
        <v>5.0</v>
      </c>
      <c r="B18879" s="1" t="s">
        <v>18697</v>
      </c>
      <c r="C18879" t="str">
        <f>IFERROR(__xludf.DUMMYFUNCTION("GOOGLETRANSLATE(B18879, ""es"", ""en"")"),"A great choice A very good value for money for those who do not want / can spend exorbitant budgets. The sound is very good and includes materials give the feeling of quality.")</f>
        <v>A great choice A very good value for money for those who do not want / can spend exorbitant budgets. The sound is very good and includes materials give the feeling of quality.</v>
      </c>
    </row>
    <row r="18880">
      <c r="A18880" s="1">
        <v>2.0</v>
      </c>
      <c r="B18880" s="1" t="s">
        <v>18698</v>
      </c>
      <c r="C18880" t="str">
        <f>IFERROR(__xludf.DUMMYFUNCTION("GOOGLETRANSLATE(B18880, ""es"", ""en"")"),"They sounded good until Iban stopped working fine until I stopped working two months of purchasing them. The cable is more fragile than it seems.")</f>
        <v>They sounded good until Iban stopped working fine until I stopped working two months of purchasing them. The cable is more fragile than it seems.</v>
      </c>
    </row>
    <row r="18881">
      <c r="A18881" s="1">
        <v>3.0</v>
      </c>
      <c r="B18881" s="1" t="s">
        <v>18699</v>
      </c>
      <c r="C18881" t="str">
        <f>IFERROR(__xludf.DUMMYFUNCTION("GOOGLETRANSLATE(B18881, ""es"", ""en"")"),"Speed ​​reading doubtful solid construction, running smoothly so far but read speeds are far from reality. COMPARISON: My SanDisk Extreme SDXC 128GB promises up to 90MB / s and gives me 85 reading tests. The Lexar (32Gb) promises read speeds up to 150MB /"&amp;" s (and I'm 85 reading). A little disappointing in this regard. The writing speed is more correct because it promises up to 80MB / s and gives me 81 (It is far superior to the Sandisk discussed above). Yes it is noteworthy that many of my enabled device i"&amp;"s incompatible (Zoom H4N recorder on do not work, for example). Value (and even purchased on sale), right at the moment.")</f>
        <v>Speed ​​reading doubtful solid construction, running smoothly so far but read speeds are far from reality. COMPARISON: My SanDisk Extreme SDXC 128GB promises up to 90MB / s and gives me 85 reading tests. The Lexar (32Gb) promises read speeds up to 150MB / s (and I'm 85 reading). A little disappointing in this regard. The writing speed is more correct because it promises up to 80MB / s and gives me 81 (It is far superior to the Sandisk discussed above). Yes it is noteworthy that many of my enabled device is incompatible (Zoom H4N recorder on do not work, for example). Value (and even purchased on sale), right at the moment.</v>
      </c>
    </row>
    <row r="18882">
      <c r="A18882" s="1">
        <v>1.0</v>
      </c>
      <c r="B18882" s="1" t="s">
        <v>18700</v>
      </c>
      <c r="C18882" t="str">
        <f>IFERROR(__xludf.DUMMYFUNCTION("GOOGLETRANSLATE(B18882, ""es"", ""en"")"),"Try to use capacity for photos, videos, music on my router, and began to heat up too much, just unused too, it lasted two months ...")</f>
        <v>Try to use capacity for photos, videos, music on my router, and began to heat up too much, just unused too, it lasted two months ...</v>
      </c>
    </row>
    <row r="18883">
      <c r="A18883" s="1">
        <v>1.0</v>
      </c>
      <c r="B18883" s="1" t="s">
        <v>18701</v>
      </c>
      <c r="C18883" t="str">
        <f>IFERROR(__xludf.DUMMYFUNCTION("GOOGLETRANSLATE(B18883, ""es"", ""en"")"),"NO ME simply worked The two cards I bought have failed me. Capturing images is normal but the download fails and can not retrieve the images taken. Manipulation of the cards has been correct, it is a product that has no other mode to enter them, in my cas"&amp;"e, in the slot of the camera and start taking pictures. When download the images enter into the slot on the PC and ready.")</f>
        <v>NO ME simply worked The two cards I bought have failed me. Capturing images is normal but the download fails and can not retrieve the images taken. Manipulation of the cards has been correct, it is a product that has no other mode to enter them, in my case, in the slot of the camera and start taking pictures. When download the images enter into the slot on the PC and ready.</v>
      </c>
    </row>
    <row r="18884">
      <c r="A18884" s="1">
        <v>1.0</v>
      </c>
      <c r="B18884" s="1" t="s">
        <v>18702</v>
      </c>
      <c r="C18884" t="str">
        <f>IFERROR(__xludf.DUMMYFUNCTION("GOOGLETRANSLATE(B18884, ""es"", ""en"")"),"After two months does not work does not work after two months of use as I start the replacement?")</f>
        <v>After two months does not work does not work after two months of use as I start the replacement?</v>
      </c>
    </row>
    <row r="18885">
      <c r="A18885" s="1">
        <v>4.0</v>
      </c>
      <c r="B18885" s="1" t="s">
        <v>18703</v>
      </c>
      <c r="C18885" t="str">
        <f>IFERROR(__xludf.DUMMYFUNCTION("GOOGLETRANSLATE(B18885, ""es"", ""en"")"),"They are comfortable and not slip ordered a number over which I usually spend, and spare me the fingertips, but being such a flat shoe, ne is great, very calentitas not slip through its sole, nor make noise when walking")</f>
        <v>They are comfortable and not slip ordered a number over which I usually spend, and spare me the fingertips, but being such a flat shoe, ne is great, very calentitas not slip through its sole, nor make noise when walking</v>
      </c>
    </row>
    <row r="18886">
      <c r="A18886" s="1">
        <v>4.0</v>
      </c>
      <c r="B18886" s="1" t="s">
        <v>18704</v>
      </c>
      <c r="C18886" t="str">
        <f>IFERROR(__xludf.DUMMYFUNCTION("GOOGLETRANSLATE(B18886, ""es"", ""en"")"),"All right, I got THAT IS LIKE IN THE PHOTO AND ACCURATE DESCRIPTION. THIS WELL DONE. NOT YOUR BAG FOR LIFE BUT THIS HAS GOOD PRICE.")</f>
        <v>All right, I got THAT IS LIKE IN THE PHOTO AND ACCURATE DESCRIPTION. THIS WELL DONE. NOT YOUR BAG FOR LIFE BUT THIS HAS GOOD PRICE.</v>
      </c>
    </row>
    <row r="18887">
      <c r="A18887" s="1">
        <v>4.0</v>
      </c>
      <c r="B18887" s="1" t="s">
        <v>18705</v>
      </c>
      <c r="C18887" t="str">
        <f>IFERROR(__xludf.DUMMYFUNCTION("GOOGLETRANSLATE(B18887, ""es"", ""en"")"),"Good buy steel earrings are very comfortable to sleep and weigh very little. The only downside is q when I tried to unscrew the nut of some, came very strong and I struggled, but the final good")</f>
        <v>Good buy steel earrings are very comfortable to sleep and weigh very little. The only downside is q when I tried to unscrew the nut of some, came very strong and I struggled, but the final good</v>
      </c>
    </row>
    <row r="18888">
      <c r="A18888" s="1">
        <v>4.0</v>
      </c>
      <c r="B18888" s="1" t="s">
        <v>18706</v>
      </c>
      <c r="C18888" t="str">
        <f>IFERROR(__xludf.DUMMYFUNCTION("GOOGLETRANSLATE(B18888, ""es"", ""en"")"),"Cleaner Good Very good choice to clean your house if you have tots leaves a good smell unlike other cleaners and even makes it the alternative to bleach not at all everything but almost we have tried for almost everything and not only worked just her to t"&amp;"he wall moistures otherwise great")</f>
        <v>Cleaner Good Very good choice to clean your house if you have tots leaves a good smell unlike other cleaners and even makes it the alternative to bleach not at all everything but almost we have tried for almost everything and not only worked just her to the wall moistures otherwise great</v>
      </c>
    </row>
    <row r="18889">
      <c r="A18889" s="1">
        <v>4.0</v>
      </c>
      <c r="B18889" s="1" t="s">
        <v>18707</v>
      </c>
      <c r="C18889" t="str">
        <f>IFERROR(__xludf.DUMMYFUNCTION("GOOGLETRANSLATE(B18889, ""es"", ""en"")"),"Battery will not charge good all very good system. I am a musician and used three pardons with almost 4 instruments. And it sounds good. Except the battery every bit see more cargo. And you only have a month I would like to know. If no guarantee and how t"&amp;"he process. Thank you.")</f>
        <v>Battery will not charge good all very good system. I am a musician and used three pardons with almost 4 instruments. And it sounds good. Except the battery every bit see more cargo. And you only have a month I would like to know. If no guarantee and how the process. Thank you.</v>
      </c>
    </row>
    <row r="18890">
      <c r="A18890" s="1">
        <v>5.0</v>
      </c>
      <c r="B18890" s="1" t="s">
        <v>18708</v>
      </c>
      <c r="C18890" t="str">
        <f>IFERROR(__xludf.DUMMYFUNCTION("GOOGLETRANSLATE(B18890, ""es"", ""en"")"),"Excellent Very good quality, very durable and beautiful. I took a year with her and as new and does a great whistle")</f>
        <v>Excellent Very good quality, very durable and beautiful. I took a year with her and as new and does a great whistle</v>
      </c>
    </row>
    <row r="18891">
      <c r="A18891" s="1">
        <v>5.0</v>
      </c>
      <c r="B18891" s="1" t="s">
        <v>18709</v>
      </c>
      <c r="C18891" t="str">
        <f>IFERROR(__xludf.DUMMYFUNCTION("GOOGLETRANSLATE(B18891, ""es"", ""en"")"),"Good buy quality over price Muen good watch, the box is painted resin but today all the battle that has not you notice wear any man have not even scratches on the screen, it shows quality and comfortable especially if you adjust the strap well, it has lin"&amp;"ks adjustment and micro adjustments in the clasp.")</f>
        <v>Good buy quality over price Muen good watch, the box is painted resin but today all the battle that has not you notice wear any man have not even scratches on the screen, it shows quality and comfortable especially if you adjust the strap well, it has links adjustment and micro adjustments in the clasp.</v>
      </c>
    </row>
    <row r="18892">
      <c r="A18892" s="1">
        <v>5.0</v>
      </c>
      <c r="B18892" s="1" t="s">
        <v>18710</v>
      </c>
      <c r="C18892" t="str">
        <f>IFERROR(__xludf.DUMMYFUNCTION("GOOGLETRANSLATE(B18892, ""es"", ""en"")"),"Heeding are amazing size and the first time you put them; try to wide open fingers and place one on one with patience. At the beginning it seems that are small but they are like a glove so you must be patient and mess")</f>
        <v>Heeding are amazing size and the first time you put them; try to wide open fingers and place one on one with patience. At the beginning it seems that are small but they are like a glove so you must be patient and mess</v>
      </c>
    </row>
    <row r="18893">
      <c r="A18893" s="1">
        <v>5.0</v>
      </c>
      <c r="B18893" s="1" t="s">
        <v>18711</v>
      </c>
      <c r="C18893" t="str">
        <f>IFERROR(__xludf.DUMMYFUNCTION("GOOGLETRANSLATE(B18893, ""es"", ""en"")"),"Very good product and fast delivery Good product, good price and fast delivery. I was very pleased with the service.")</f>
        <v>Very good product and fast delivery Good product, good price and fast delivery. I was very pleased with the service.</v>
      </c>
    </row>
    <row r="18894">
      <c r="A18894" s="1">
        <v>5.0</v>
      </c>
      <c r="B18894" s="1" t="s">
        <v>18712</v>
      </c>
      <c r="C18894" t="str">
        <f>IFERROR(__xludf.DUMMYFUNCTION("GOOGLETRANSLATE(B18894, ""es"", ""en"")"),"Comfort I find useful and practical.")</f>
        <v>Comfort I find useful and practical.</v>
      </c>
    </row>
    <row r="18895">
      <c r="A18895" s="1">
        <v>5.0</v>
      </c>
      <c r="B18895" s="1" t="s">
        <v>18713</v>
      </c>
      <c r="C18895" t="str">
        <f>IFERROR(__xludf.DUMMYFUNCTION("GOOGLETRANSLATE(B18895, ""es"", ""en"")"),"It works great on my ASUS Z97-A The use my pc and and put win10 on a motherboard Asus Z97-A and the more you like it me how well it works the operating system Rapides operation and have more space now I recommend")</f>
        <v>It works great on my ASUS Z97-A The use my pc and and put win10 on a motherboard Asus Z97-A and the more you like it me how well it works the operating system Rapides operation and have more space now I recommend</v>
      </c>
    </row>
    <row r="18896">
      <c r="A18896" s="1">
        <v>5.0</v>
      </c>
      <c r="B18896" s="1" t="s">
        <v>18714</v>
      </c>
      <c r="C18896" t="str">
        <f>IFERROR(__xludf.DUMMYFUNCTION("GOOGLETRANSLATE(B18896, ""es"", ""en"")"),"I'm glad good buy is very manageable and powerful.")</f>
        <v>I'm glad good buy is very manageable and powerful.</v>
      </c>
    </row>
    <row r="18897">
      <c r="A18897" s="1">
        <v>5.0</v>
      </c>
      <c r="B18897" s="1" t="s">
        <v>18715</v>
      </c>
      <c r="C18897" t="str">
        <f>IFERROR(__xludf.DUMMYFUNCTION("GOOGLETRANSLATE(B18897, ""es"", ""en"")"),"Good buy are like in the picture, besides buying negros.buena not put.")</f>
        <v>Good buy are like in the picture, besides buying negros.buena not put.</v>
      </c>
    </row>
    <row r="18898">
      <c r="A18898" s="1">
        <v>5.0</v>
      </c>
      <c r="B18898" s="1" t="s">
        <v>18716</v>
      </c>
      <c r="C18898" t="str">
        <f>IFERROR(__xludf.DUMMYFUNCTION("GOOGLETRANSLATE(B18898, ""es"", ""en"")"),"I like comfortable and durable comfort and durability, is the second pair that I acquire. Used to walk for exercise rather than everyday use.")</f>
        <v>I like comfortable and durable comfort and durability, is the second pair that I acquire. Used to walk for exercise rather than everyday use.</v>
      </c>
    </row>
    <row r="18899">
      <c r="A18899" s="1">
        <v>5.0</v>
      </c>
      <c r="B18899" s="1" t="s">
        <v>18717</v>
      </c>
      <c r="C18899" t="str">
        <f>IFERROR(__xludf.DUMMYFUNCTION("GOOGLETRANSLATE(B18899, ""es"", ""en"")"),"Good pretty and cheap. It is not the fastest I've ever had, but it does the job perfectly.")</f>
        <v>Good pretty and cheap. It is not the fastest I've ever had, but it does the job perfectly.</v>
      </c>
    </row>
    <row r="18900">
      <c r="A18900" s="1">
        <v>5.0</v>
      </c>
      <c r="B18900" s="1" t="s">
        <v>18718</v>
      </c>
      <c r="C18900" t="str">
        <f>IFERROR(__xludf.DUMMYFUNCTION("GOOGLETRANSLATE(B18900, ""es"", ""en"")"),"Good Son Original")</f>
        <v>Good Son Original</v>
      </c>
    </row>
    <row r="18901">
      <c r="A18901" s="1">
        <v>5.0</v>
      </c>
      <c r="B18901" s="1" t="s">
        <v>18719</v>
      </c>
      <c r="C18901" t="str">
        <f>IFERROR(__xludf.DUMMYFUNCTION("GOOGLETRANSLATE(B18901, ""es"", ""en"")"),"GOOD QUALITY AND HAVE A 2X1: HEADPHONES AND A BEAST OF BATTERY Although I have other headphones I wanted to try this model because traveling long attracted me the concept that the proper charging case of this product I could be used to charge mobile work "&amp;"if if necessary. That's possible because we are talking about a beast of 6000 mH battery. And it has worked ... The truth is that for both home and for a plane trip I made yesterday and was out all day was intensively using headphones and I had to charge "&amp;"my Samsung Galaxy at six in the afternoon because after all day hustle was literally dry. I ran this solution smoothly and the battery had dropped from 90% (carries an LED that indicates the percentage remaining for download). For that part and say phenom"&amp;"enal. The headphones I have in mind a number of issues: connectivity; fit or fit in the ears; music quality; actions with music that can be performed from the handset itself and other possible ""improvements"". On the connectivity part and following the i"&amp;"nstructions I have not had any problems to connect to two different phones: A galaxy Samsung and Huawei Mate. I also had no interference of any kind or two airports I've been at home or at work. You have the option to connect in stereo mode (two) or mono "&amp;"though I have not tested on monkeys. Furthermore, once bound to the mobile, when its load sacks, are connected immediately. I also tried Netflix videos and not have noticed ""delay"" to the least in the Huawei. With regard to the adjustment in my ears I h"&amp;"ave not had any problems with the use and wore rubber and I have not had any discomfort after hearing a long time. It is appreciated that the package had five different types of pads (normal is 3) since before adjusting the headset in the pinna is in the "&amp;"quality of the music you play and the level of noise suppression that these they can do. Loa headphones are not as large or cantosos well as other models on the market and do not think to call attention to wear them. The quality of the music I'm also quit"&amp;"e happy. It is true that for me at low hear a little looser or more planes, but at the end, this is a matter of taste and, with the equalizer that takes spotify and poweramp have increased in and I found a musical level for me I find it very good. Keep in"&amp;" mind that change their initial headphones sound after conducting auditions when the driver used prolonged adapt more. In my case I think the change has been slightly for the better and that the quality has increased. With respect to controls through head"&amp;"phones you can not ask for more; with simple touches them can: Play / pause and answer / end call Song Previous / Next song Adjusting the volume mode Siri For me give you an example, the Sony Wf-1000xm3, the TWS jewel Sony does not take now adjust volume "&amp;"with the headphones. Therefore, and for the price they are phenomenal. Within the ""improvements"" would include the quality of the calls I received was clear and no noise (CVC technology takes 8.0) and turn the other hand I also heard me loud and smoothl"&amp;"y. With respect to the battery load with 60% volume it has lasted me almost 4 hours so I understand that times indicating the manufacturer of possible full loads is correct or very close to reality. In the paragraph of the ""disadvantages"" one related to"&amp;" the usefulness of the product itself; with battery leads it will cost you carry in a pocket other than wide. Therefore recommended purchase for me and get a 2x1: wireless headphones and charging a battery booster.")</f>
        <v>GOOD QUALITY AND HAVE A 2X1: HEADPHONES AND A BEAST OF BATTERY Although I have other headphones I wanted to try this model because traveling long attracted me the concept that the proper charging case of this product I could be used to charge mobile work if if necessary. That's possible because we are talking about a beast of 6000 mH battery. And it has worked ... The truth is that for both home and for a plane trip I made yesterday and was out all day was intensively using headphones and I had to charge my Samsung Galaxy at six in the afternoon because after all day hustle was literally dry. I ran this solution smoothly and the battery had dropped from 90% (carries an LED that indicates the percentage remaining for download). For that part and say phenomenal. The headphones I have in mind a number of issues: connectivity; fit or fit in the ears; music quality; actions with music that can be performed from the handset itself and other possible "improvements". On the connectivity part and following the instructions I have not had any problems to connect to two different phones: A galaxy Samsung and Huawei Mate. I also had no interference of any kind or two airports I've been at home or at work. You have the option to connect in stereo mode (two) or mono though I have not tested on monkeys. Furthermore, once bound to the mobile, when its load sacks, are connected immediately. I also tried Netflix videos and not have noticed "delay" to the least in the Huawei. With regard to the adjustment in my ears I have not had any problems with the use and wore rubber and I have not had any discomfort after hearing a long time. It is appreciated that the package had five different types of pads (normal is 3) since before adjusting the headset in the pinna is in the quality of the music you play and the level of noise suppression that these they can do. Loa headphones are not as large or cantosos well as other models on the market and do not think to call attention to wear them. The quality of the music I'm also quite happy. It is true that for me at low hear a little looser or more planes, but at the end, this is a matter of taste and, with the equalizer that takes spotify and poweramp have increased in and I found a musical level for me I find it very good. Keep in mind that change their initial headphones sound after conducting auditions when the driver used prolonged adapt more. In my case I think the change has been slightly for the better and that the quality has increased. With respect to controls through headphones you can not ask for more; with simple touches them can: Play / pause and answer / end call Song Previous / Next song Adjusting the volume mode Siri For me give you an example, the Sony Wf-1000xm3, the TWS jewel Sony does not take now adjust volume with the headphones. Therefore, and for the price they are phenomenal. Within the "improvements" would include the quality of the calls I received was clear and no noise (CVC technology takes 8.0) and turn the other hand I also heard me loud and smoothly. With respect to the battery load with 60% volume it has lasted me almost 4 hours so I understand that times indicating the manufacturer of possible full loads is correct or very close to reality. In the paragraph of the "disadvantages" one related to the usefulness of the product itself; with battery leads it will cost you carry in a pocket other than wide. Therefore recommended purchase for me and get a 2x1: wireless headphones and charging a battery booster.</v>
      </c>
    </row>
    <row r="18902">
      <c r="A18902" s="1">
        <v>5.0</v>
      </c>
      <c r="B18902" s="1" t="s">
        <v>18720</v>
      </c>
      <c r="C18902" t="str">
        <f>IFERROR(__xludf.DUMMYFUNCTION("GOOGLETRANSLATE(B18902, ""es"", ""en"")"),"So comfortable grip and comfort and great grip")</f>
        <v>So comfortable grip and comfort and great grip</v>
      </c>
    </row>
    <row r="18903">
      <c r="A18903" s="1">
        <v>5.0</v>
      </c>
      <c r="B18903" s="1" t="s">
        <v>18721</v>
      </c>
      <c r="C18903" t="str">
        <f>IFERROR(__xludf.DUMMYFUNCTION("GOOGLETRANSLATE(B18903, ""es"", ""en"")"),"Relaxing the best investment I love this hotel and cojín.Trabajo on this pad helps me to relax muscles descansar.Calidad, very good price.")</f>
        <v>Relaxing the best investment I love this hotel and cojín.Trabajo on this pad helps me to relax muscles descansar.Calidad, very good price.</v>
      </c>
    </row>
    <row r="18904">
      <c r="A18904" s="1">
        <v>5.0</v>
      </c>
      <c r="B18904" s="1" t="s">
        <v>18722</v>
      </c>
      <c r="C18904" t="str">
        <f>IFERROR(__xludf.DUMMYFUNCTION("GOOGLETRANSLATE(B18904, ""es"", ""en"")"),"Leggins comfortable Because of the opinions I bought it a little smaller and me is perfect, the fabric is not very thick and I'm ponie now do the summer.")</f>
        <v>Leggins comfortable Because of the opinions I bought it a little smaller and me is perfect, the fabric is not very thick and I'm ponie now do the summer.</v>
      </c>
    </row>
    <row r="18905">
      <c r="A18905" s="1">
        <v>5.0</v>
      </c>
      <c r="B18905" s="1" t="s">
        <v>18723</v>
      </c>
      <c r="C18905" t="str">
        <f>IFERROR(__xludf.DUMMYFUNCTION("GOOGLETRANSLATE(B18905, ""es"", ""en"")"),"Perfect purchase was thinking about changing camera because mine does not have wifi and I found this card. Good way to ""renew"" an old SLR camera.")</f>
        <v>Perfect purchase was thinking about changing camera because mine does not have wifi and I found this card. Good way to "renew" an old SLR camera.</v>
      </c>
    </row>
    <row r="18906">
      <c r="A18906" s="1">
        <v>5.0</v>
      </c>
      <c r="B18906" s="1" t="s">
        <v>18724</v>
      </c>
      <c r="C18906" t="str">
        <f>IFERROR(__xludf.DUMMYFUNCTION("GOOGLETRANSLATE(B18906, ""es"", ""en"")"),"Drawers and drawers I entered perfectly under the table of the computer, put on top of a table with wheels that have done as me and are great, pity the wheeled base not sold separately, it would be good that it subtilly .")</f>
        <v>Drawers and drawers I entered perfectly under the table of the computer, put on top of a table with wheels that have done as me and are great, pity the wheeled base not sold separately, it would be good that it subtilly .</v>
      </c>
    </row>
    <row r="18907">
      <c r="A18907" s="1">
        <v>5.0</v>
      </c>
      <c r="B18907" s="1" t="s">
        <v>18725</v>
      </c>
      <c r="C18907" t="str">
        <f>IFERROR(__xludf.DUMMYFUNCTION("GOOGLETRANSLATE(B18907, ""es"", ""en"")"),"Good adhesion Received on time as usual Amazon, little can review this product, good adhesive, glue well but to wait behaves as passing time. In principle highly recommendable")</f>
        <v>Good adhesion Received on time as usual Amazon, little can review this product, good adhesive, glue well but to wait behaves as passing time. In principle highly recommendable</v>
      </c>
    </row>
    <row r="18908">
      <c r="A18908" s="1">
        <v>2.0</v>
      </c>
      <c r="B18908" s="1" t="s">
        <v>18726</v>
      </c>
      <c r="C18908" t="str">
        <f>IFERROR(__xludf.DUMMYFUNCTION("GOOGLETRANSLATE(B18908, ""es"", ""en"")"),"Not a professional blender Who wants a professional mixer, this is not your blender. Or at the least intensive use I have given. Not that I have failed a blender, no, they have changed me 4 juicers on Amazon and all have died from the same a few months. B"&amp;"egins to spill oil below the blade and makes an infernal noise and the ends gripando end for lack of oil. As I say, my use is very intense every day, picking a lot of ice and frozen pulps and for this I guess you have to spend more money. As a homemade bl"&amp;"ender I guess it's excellent because pica fine, it's elegant and robust. But for a business with a lot of intensity, no.")</f>
        <v>Not a professional blender Who wants a professional mixer, this is not your blender. Or at the least intensive use I have given. Not that I have failed a blender, no, they have changed me 4 juicers on Amazon and all have died from the same a few months. Begins to spill oil below the blade and makes an infernal noise and the ends gripando end for lack of oil. As I say, my use is very intense every day, picking a lot of ice and frozen pulps and for this I guess you have to spend more money. As a homemade blender I guess it's excellent because pica fine, it's elegant and robust. But for a business with a lot of intensity, no.</v>
      </c>
    </row>
    <row r="18909">
      <c r="A18909" s="1">
        <v>3.0</v>
      </c>
      <c r="B18909" s="1" t="s">
        <v>18727</v>
      </c>
      <c r="C18909" t="str">
        <f>IFERROR(__xludf.DUMMYFUNCTION("GOOGLETRANSLATE(B18909, ""es"", ""en"")"),"Disillusioned A second day I totally darkened ¿??")</f>
        <v>Disillusioned A second day I totally darkened ¿??</v>
      </c>
    </row>
    <row r="18910">
      <c r="A18910" s="1">
        <v>3.0</v>
      </c>
      <c r="B18910" s="1" t="s">
        <v>18728</v>
      </c>
      <c r="C18910" t="str">
        <f>IFERROR(__xludf.DUMMYFUNCTION("GOOGLETRANSLATE(B18910, ""es"", ""en"")"),"A little disappointing not correspond exactly to the photo.")</f>
        <v>A little disappointing not correspond exactly to the photo.</v>
      </c>
    </row>
    <row r="18911">
      <c r="A18911" s="1">
        <v>3.0</v>
      </c>
      <c r="B18911" s="1" t="s">
        <v>18729</v>
      </c>
      <c r="C18911" t="str">
        <f>IFERROR(__xludf.DUMMYFUNCTION("GOOGLETRANSLATE(B18911, ""es"", ""en"")"),"MyBook 8TB - Disco WD80EZAZ Bought in June 2019, the internal disk is a leading WD80EZAZ Helium. Much to say that it is a WD RED, IT IS NOT. This album has no active TLER, which the WD RED does. It not recommended for RAID hardware. Unable to find specifi"&amp;"cations to find out if you have vibration sensors, which if it holds multiple disks configurations chassis is not known, such as NAS. Yes, the album is very robust mechanically, is manufactured by HGST (formerly Hitachi and now possesses WD), but it's a d"&amp;"esktop disk, no server, it is clear. Now I come to value a couple of things (or three): 1. The disc that heats a pleasure. In tests to check that I did not come with bad sectors and it takes about 48 hours, the disc reached an internal temperature of 58 °"&amp;" C (and I'm not in the hottest part of Spain). I find the specifications for this album so I do not even know if it is working within the technical specifications. However ventilated housing may seem, it is not efficient for this record. Not a temperature"&amp;" with which I feel comfortable working so it's screaming to get him out of the housing and elsewhere goal ventilation. So the housing in this device is unnecessary. Which brings me to the second point. 2. The housing encrypts the contents of the disk when"&amp;" USB communication. So if we take the disk with data recorded from the housing and put it into a SATA connector, we can not read the data because they are encrypted. Housing need to read the data as we have recorded for USB. If the casing breaks (you can "&amp;"break perfectly USB 3.0 connector having, or transformer), we were no data, because the only way to read it with the original USB board. I do not consider this to be very good except for ""Safety Geeks"" and then I doubt if a disc is purchased with a sing"&amp;"le bay without RAID, but that I mention, for you are thinking that encryption of the album it is a ""good choice"". It is, if you know what you buy, what you do and what you expose. 3. The filesystem with the default one is exFAT. It allows to record file"&amp;"s over 4GB, but totally lacks historical system (journal system), which, before a power outage or any unforeseen disconnection of the USB can corrupt data. In such a disc size data volume can be considerable, and a filesystem without journal seems to me a"&amp;" total mistake considering what can be lost if the disk is corrupted. Of course you can fix formatting the disk to NTFS, ext4, btrfs, APFS or any other system you go to use it. As I say, exFAT does not seem right for this volume and the type of connection"&amp;" you have. Moreover, being the manufacturer HGST is a disc with mechanics first, which has TLER activated (or as he calls HGST: CCTL), I do not know if you have vibration sensor, and therefore is not recommended for over 4 bays or for RAID. Neither the bu"&amp;"rden of annual data endures mechanical degradation are known, and all this because WD prefer to have hidden the specifications of the disc. I value with 3 stars by the lack of documentation basically does not know what you buy, and because the disk is too"&amp;" hot simply ""filling the disc for a couple of hours.""")</f>
        <v>MyBook 8TB - Disco WD80EZAZ Bought in June 2019, the internal disk is a leading WD80EZAZ Helium. Much to say that it is a WD RED, IT IS NOT. This album has no active TLER, which the WD RED does. It not recommended for RAID hardware. Unable to find specifications to find out if you have vibration sensors, which if it holds multiple disks configurations chassis is not known, such as NAS. Yes, the album is very robust mechanically, is manufactured by HGST (formerly Hitachi and now possesses WD), but it's a desktop disk, no server, it is clear. Now I come to value a couple of things (or three): 1. The disc that heats a pleasure. In tests to check that I did not come with bad sectors and it takes about 48 hours, the disc reached an internal temperature of 58 ° C (and I'm not in the hottest part of Spain). I find the specifications for this album so I do not even know if it is working within the technical specifications. However ventilated housing may seem, it is not efficient for this record. Not a temperature with which I feel comfortable working so it's screaming to get him out of the housing and elsewhere goal ventilation. So the housing in this device is unnecessary. Which brings me to the second point. 2. The housing encrypts the contents of the disk when USB communication. So if we take the disk with data recorded from the housing and put it into a SATA connector, we can not read the data because they are encrypted. Housing need to read the data as we have recorded for USB. If the casing breaks (you can break perfectly USB 3.0 connector having, or transformer), we were no data, because the only way to read it with the original USB board. I do not consider this to be very good except for "Safety Geeks" and then I doubt if a disc is purchased with a single bay without RAID, but that I mention, for you are thinking that encryption of the album it is a "good choice". It is, if you know what you buy, what you do and what you expose. 3. The filesystem with the default one is exFAT. It allows to record files over 4GB, but totally lacks historical system (journal system), which, before a power outage or any unforeseen disconnection of the USB can corrupt data. In such a disc size data volume can be considerable, and a filesystem without journal seems to me a total mistake considering what can be lost if the disk is corrupted. Of course you can fix formatting the disk to NTFS, ext4, btrfs, APFS or any other system you go to use it. As I say, exFAT does not seem right for this volume and the type of connection you have. Moreover, being the manufacturer HGST is a disc with mechanics first, which has TLER activated (or as he calls HGST: CCTL), I do not know if you have vibration sensor, and therefore is not recommended for over 4 bays or for RAID. Neither the burden of annual data endures mechanical degradation are known, and all this because WD prefer to have hidden the specifications of the disc. I value with 3 stars by the lack of documentation basically does not know what you buy, and because the disk is too hot simply "filling the disc for a couple of hours."</v>
      </c>
    </row>
    <row r="18912">
      <c r="A18912" s="1">
        <v>1.0</v>
      </c>
      <c r="B18912" s="1" t="s">
        <v>18730</v>
      </c>
      <c r="C18912" t="str">
        <f>IFERROR(__xludf.DUMMYFUNCTION("GOOGLETRANSLATE(B18912, ""es"", ""en"")"),"malisima experience and this is lasegunda time the first thing the first clock did not arrive and that if they send me another but a week more or less than 85% battery shuts down and does not turn on or charge or na na at the end of half an hour what I ma"&amp;"naged to light and puts 1% battery idea and over the button above noticed as a slight hardness and my first gear samsumg s3 classic started well and at the end stopped working and I tubieron that money back again there for me vienmdo those errors with thi"&amp;"s have to return again and stay without a watch that if disappointed as the watch itself if it is a past but I can not say I enjoyed as I want a greeting and sorry.")</f>
        <v>malisima experience and this is lasegunda time the first thing the first clock did not arrive and that if they send me another but a week more or less than 85% battery shuts down and does not turn on or charge or na na at the end of half an hour what I managed to light and puts 1% battery idea and over the button above noticed as a slight hardness and my first gear samsumg s3 classic started well and at the end stopped working and I tubieron that money back again there for me vienmdo those errors with this have to return again and stay without a watch that if disappointed as the watch itself if it is a past but I can not say I enjoyed as I want a greeting and sorry.</v>
      </c>
    </row>
    <row r="18913">
      <c r="A18913" s="1">
        <v>1.0</v>
      </c>
      <c r="B18913" s="1" t="s">
        <v>18731</v>
      </c>
      <c r="C18913" t="str">
        <f>IFERROR(__xludf.DUMMYFUNCTION("GOOGLETRANSLATE(B18913, ""es"", ""en"")"),"Bad product Article that came with broken glass")</f>
        <v>Bad product Article that came with broken glass</v>
      </c>
    </row>
    <row r="18914">
      <c r="A18914" s="1">
        <v>4.0</v>
      </c>
      <c r="B18914" s="1" t="s">
        <v>18732</v>
      </c>
      <c r="C18914" t="str">
        <f>IFERROR(__xludf.DUMMYFUNCTION("GOOGLETRANSLATE(B18914, ""es"", ""en"")"),"ideal size. It is leather, excluding belt, which is what I do not like.")</f>
        <v>ideal size. It is leather, excluding belt, which is what I do not like.</v>
      </c>
    </row>
    <row r="18915">
      <c r="A18915" s="1">
        <v>4.0</v>
      </c>
      <c r="B18915" s="1" t="s">
        <v>18733</v>
      </c>
      <c r="C18915" t="str">
        <f>IFERROR(__xludf.DUMMYFUNCTION("GOOGLETRANSLATE(B18915, ""es"", ""en"")"),"Pefeccion meets the recommended product perfectly fulfills its mission. By putting a but, it is not detached from the arm so it is not washable")</f>
        <v>Pefeccion meets the recommended product perfectly fulfills its mission. By putting a but, it is not detached from the arm so it is not washable</v>
      </c>
    </row>
    <row r="18916">
      <c r="A18916" s="1">
        <v>4.0</v>
      </c>
      <c r="B18916" s="1" t="s">
        <v>18734</v>
      </c>
      <c r="C18916" t="str">
        <f>IFERROR(__xludf.DUMMYFUNCTION("GOOGLETRANSLATE(B18916, ""es"", ""en"")"),"Very comfortable for USB connections c very comfortable dual connection. The read speed is very fast. The writing speed is not as fast.")</f>
        <v>Very comfortable for USB connections c very comfortable dual connection. The read speed is very fast. The writing speed is not as fast.</v>
      </c>
    </row>
    <row r="18917">
      <c r="A18917" s="1">
        <v>4.0</v>
      </c>
      <c r="B18917" s="1" t="s">
        <v>18735</v>
      </c>
      <c r="C18917" t="str">
        <f>IFERROR(__xludf.DUMMYFUNCTION("GOOGLETRANSLATE(B18917, ""es"", ""en"")"),"The good product is good, well finished and bonito.La plant, comodisims")</f>
        <v>The good product is good, well finished and bonito.La plant, comodisims</v>
      </c>
    </row>
    <row r="18918">
      <c r="A18918" s="1">
        <v>5.0</v>
      </c>
      <c r="B18918" s="1" t="s">
        <v>18736</v>
      </c>
      <c r="C18918" t="str">
        <f>IFERROR(__xludf.DUMMYFUNCTION("GOOGLETRANSLATE(B18918, ""es"", ""en"")"),"It works perfectly good product. If it is true that gets very hot, but they do lack of oven mitts to handle it as some suggest. As for the transfer rate not I needed to check it, because it works well for my needs.")</f>
        <v>It works perfectly good product. If it is true that gets very hot, but they do lack of oven mitts to handle it as some suggest. As for the transfer rate not I needed to check it, because it works well for my needs.</v>
      </c>
    </row>
    <row r="18919">
      <c r="A18919" s="1">
        <v>5.0</v>
      </c>
      <c r="B18919" s="1" t="s">
        <v>18737</v>
      </c>
      <c r="C18919" t="str">
        <f>IFERROR(__xludf.DUMMYFUNCTION("GOOGLETRANSLATE(B18919, ""es"", ""en"")"),"USB 16 GB Great rooms for storing music and photos more than enough capacity 100% Recommended")</f>
        <v>USB 16 GB Great rooms for storing music and photos more than enough capacity 100% Recommended</v>
      </c>
    </row>
    <row r="18920">
      <c r="A18920" s="1">
        <v>5.0</v>
      </c>
      <c r="B18920" s="1" t="s">
        <v>18738</v>
      </c>
      <c r="C18920" t="str">
        <f>IFERROR(__xludf.DUMMYFUNCTION("GOOGLETRANSLATE(B18920, ""es"", ""en"")"),"Original watch to see if your Casio watch is original, hold the right button for a few seconds, the exit should CASIO, in this case mine is, came with his round box and book instrucciones.muy screen content the purchase.")</f>
        <v>Original watch to see if your Casio watch is original, hold the right button for a few seconds, the exit should CASIO, in this case mine is, came with his round box and book instrucciones.muy screen content the purchase.</v>
      </c>
    </row>
    <row r="18921">
      <c r="A18921" s="1">
        <v>5.0</v>
      </c>
      <c r="B18921" s="1" t="s">
        <v>18739</v>
      </c>
      <c r="C18921" t="str">
        <f>IFERROR(__xludf.DUMMYFUNCTION("GOOGLETRANSLATE(B18921, ""es"", ""en"")"),"Miguel is a sporty backpack with stylish design and quality manufacturing. It can take all the objects that you need to last the day. Furthermore, its design is ideal if you are out running, it leaves you free shoulders. Very comfortable.")</f>
        <v>Miguel is a sporty backpack with stylish design and quality manufacturing. It can take all the objects that you need to last the day. Furthermore, its design is ideal if you are out running, it leaves you free shoulders. Very comfortable.</v>
      </c>
    </row>
    <row r="18922">
      <c r="A18922" s="1">
        <v>5.0</v>
      </c>
      <c r="B18922" s="1" t="s">
        <v>18740</v>
      </c>
      <c r="C18922" t="str">
        <f>IFERROR(__xludf.DUMMYFUNCTION("GOOGLETRANSLATE(B18922, ""es"", ""en"")"),"Elegant and versatile I liked the amount of possibilities that when configured through an app, you can control lights, alarms, intervals alarms, sound types, radio volume and more from your mobile. In the alarm mode you can set the light go low to high in"&amp;"tensity with very natural colors and no annoying time. It can also be controlled through voice assistant Alexa type. It also has a way the LED lights can be varying in tone and is quite relaxing. An original way to get up. Very happy with the purchase.")</f>
        <v>Elegant and versatile I liked the amount of possibilities that when configured through an app, you can control lights, alarms, intervals alarms, sound types, radio volume and more from your mobile. In the alarm mode you can set the light go low to high intensity with very natural colors and no annoying time. It can also be controlled through voice assistant Alexa type. It also has a way the LED lights can be varying in tone and is quite relaxing. An original way to get up. Very happy with the purchase.</v>
      </c>
    </row>
    <row r="18923">
      <c r="A18923" s="1">
        <v>5.0</v>
      </c>
      <c r="B18923" s="1" t="s">
        <v>18741</v>
      </c>
      <c r="C18923" t="str">
        <f>IFERROR(__xludf.DUMMYFUNCTION("GOOGLETRANSLATE(B18923, ""es"", ""en"")"),"Perfect Truth very happy !. As the picture, you comfortable and do not weigh. What of the number of jo foot 38 and coji used the same and perfect. I recommend !!!")</f>
        <v>Perfect Truth very happy !. As the picture, you comfortable and do not weigh. What of the number of jo foot 38 and coji used the same and perfect. I recommend !!!</v>
      </c>
    </row>
    <row r="18924">
      <c r="A18924" s="1">
        <v>5.0</v>
      </c>
      <c r="B18924" s="1" t="s">
        <v>18742</v>
      </c>
      <c r="C18924" t="str">
        <f>IFERROR(__xludf.DUMMYFUNCTION("GOOGLETRANSLATE(B18924, ""es"", ""en"")"),"Good value and price leather shoulder bag good quality that meets my needs and that it accommodates an electronic book 6 inches and 10-inch tablet without cover.")</f>
        <v>Good value and price leather shoulder bag good quality that meets my needs and that it accommodates an electronic book 6 inches and 10-inch tablet without cover.</v>
      </c>
    </row>
    <row r="18925">
      <c r="A18925" s="1">
        <v>5.0</v>
      </c>
      <c r="B18925" s="1" t="s">
        <v>18743</v>
      </c>
      <c r="C18925" t="str">
        <f>IFERROR(__xludf.DUMMYFUNCTION("GOOGLETRANSLATE(B18925, ""es"", ""en"")"),"The money Very practical economic")</f>
        <v>The money Very practical economic</v>
      </c>
    </row>
    <row r="18926">
      <c r="A18926" s="1">
        <v>5.0</v>
      </c>
      <c r="B18926" s="1" t="s">
        <v>18744</v>
      </c>
      <c r="C18926" t="str">
        <f>IFERROR(__xludf.DUMMYFUNCTION("GOOGLETRANSLATE(B18926, ""es"", ""en"")"),"VERY GOOD!! I love is for those places you do not get, and you can clean without walking RISING UP NOTHING FITS AND CONTINUING BROOMSTICK CLEARING.")</f>
        <v>VERY GOOD!! I love is for those places you do not get, and you can clean without walking RISING UP NOTHING FITS AND CONTINUING BROOMSTICK CLEARING.</v>
      </c>
    </row>
    <row r="18927">
      <c r="A18927" s="1">
        <v>5.0</v>
      </c>
      <c r="B18927" s="1" t="s">
        <v>18745</v>
      </c>
      <c r="C18927" t="str">
        <f>IFERROR(__xludf.DUMMYFUNCTION("GOOGLETRANSLATE(B18927, ""es"", ""en"")"),"Nice earrings perfect gift, a long game")</f>
        <v>Nice earrings perfect gift, a long game</v>
      </c>
    </row>
    <row r="18928">
      <c r="A18928" s="1">
        <v>5.0</v>
      </c>
      <c r="B18928" s="1" t="s">
        <v>18746</v>
      </c>
      <c r="C18928" t="str">
        <f>IFERROR(__xludf.DUMMYFUNCTION("GOOGLETRANSLATE(B18928, ""es"", ""en"")"),"Perfect The result of this brand is always positive, and I have two 500Gb capacity. and another 850 Evo. Three have housed both the portable and its performance is optimal. Durability can not constatarla, but opinion is more than acceptable. It is true th"&amp;"at revives an old computer, and as long as accompanied by an extension of RAM allows heavy applications running very smoothly, I use with photographic applications and I am satisfied. Delivery was in its right time. And still nothing negative, I have not "&amp;"had any problems. And yes, I recommend it.")</f>
        <v>Perfect The result of this brand is always positive, and I have two 500Gb capacity. and another 850 Evo. Three have housed both the portable and its performance is optimal. Durability can not constatarla, but opinion is more than acceptable. It is true that revives an old computer, and as long as accompanied by an extension of RAM allows heavy applications running very smoothly, I use with photographic applications and I am satisfied. Delivery was in its right time. And still nothing negative, I have not had any problems. And yes, I recommend it.</v>
      </c>
    </row>
    <row r="18929">
      <c r="A18929" s="1">
        <v>5.0</v>
      </c>
      <c r="B18929" s="1" t="s">
        <v>18747</v>
      </c>
      <c r="C18929" t="str">
        <f>IFERROR(__xludf.DUMMYFUNCTION("GOOGLETRANSLATE(B18929, ""es"", ""en"")"),"Price quality good price good quality")</f>
        <v>Price quality good price good quality</v>
      </c>
    </row>
    <row r="18930">
      <c r="A18930" s="1">
        <v>5.0</v>
      </c>
      <c r="B18930" s="1" t="s">
        <v>18748</v>
      </c>
      <c r="C18930" t="str">
        <f>IFERROR(__xludf.DUMMYFUNCTION("GOOGLETRANSLATE(B18930, ""es"", ""en"")"),"Perfect I bought 2 times to paste a thermal sheet I put behind radiators. If you can take the heat for years I hope there are those stuck sheets ... a few stars would deserve more.")</f>
        <v>Perfect I bought 2 times to paste a thermal sheet I put behind radiators. If you can take the heat for years I hope there are those stuck sheets ... a few stars would deserve more.</v>
      </c>
    </row>
    <row r="18931">
      <c r="A18931" s="1">
        <v>5.0</v>
      </c>
      <c r="B18931" s="1" t="s">
        <v>18749</v>
      </c>
      <c r="C18931" t="str">
        <f>IFERROR(__xludf.DUMMYFUNCTION("GOOGLETRANSLATE(B18931, ""es"", ""en"")"),"Good bra For those who have much chest, looks good, perfect subject and the material is very good. It is very functional.")</f>
        <v>Good bra For those who have much chest, looks good, perfect subject and the material is very good. It is very functional.</v>
      </c>
    </row>
    <row r="18932">
      <c r="A18932" s="1">
        <v>5.0</v>
      </c>
      <c r="B18932" s="1" t="s">
        <v>18750</v>
      </c>
      <c r="C18932" t="str">
        <f>IFERROR(__xludf.DUMMYFUNCTION("GOOGLETRANSLATE(B18932, ""es"", ""en"")"),"They are the product must always buy helmets and always recommend it to everyone, never, but never ever find a headset like this, at this price, and that sound as good. The quality is quite impressive, especially considering the price, and the fact that y"&amp;"ou can fold helps make it easy to transport, the L-shaped pin is another advantage that makes it last longer. It certainly is a master purchase, and no doubt keep buying and recommending to family and friends.")</f>
        <v>They are the product must always buy helmets and always recommend it to everyone, never, but never ever find a headset like this, at this price, and that sound as good. The quality is quite impressive, especially considering the price, and the fact that you can fold helps make it easy to transport, the L-shaped pin is another advantage that makes it last longer. It certainly is a master purchase, and no doubt keep buying and recommending to family and friends.</v>
      </c>
    </row>
    <row r="18933">
      <c r="A18933" s="1">
        <v>5.0</v>
      </c>
      <c r="B18933" s="1" t="s">
        <v>18751</v>
      </c>
      <c r="C18933" t="str">
        <f>IFERROR(__xludf.DUMMYFUNCTION("GOOGLETRANSLATE(B18933, ""es"", ""en"")"),"Perfect perfect rain jacket in size, beautifully finished, perfect for rain and very cool design. Again compar HH perfect purchase.")</f>
        <v>Perfect perfect rain jacket in size, beautifully finished, perfect for rain and very cool design. Again compar HH perfect purchase.</v>
      </c>
    </row>
    <row r="18934">
      <c r="A18934" s="1">
        <v>5.0</v>
      </c>
      <c r="B18934" s="1" t="s">
        <v>18752</v>
      </c>
      <c r="C18934" t="str">
        <f>IFERROR(__xludf.DUMMYFUNCTION("GOOGLETRANSLATE(B18934, ""es"", ""en"")"),"Phenomenal is phenomenal use it to warm my feet while I sleep, hold on all night ...")</f>
        <v>Phenomenal is phenomenal use it to warm my feet while I sleep, hold on all night ...</v>
      </c>
    </row>
    <row r="18935">
      <c r="A18935" s="1">
        <v>5.0</v>
      </c>
      <c r="B18935" s="1" t="s">
        <v>18753</v>
      </c>
      <c r="C18935" t="str">
        <f>IFERROR(__xludf.DUMMYFUNCTION("GOOGLETRANSLATE(B18935, ""es"", ""en"")"),"Buy IM-hustling the two versions of 480GB SSD, SATA III version and version M.2 PCIe Express GEN3.0x4 NVMe 2280, and the truth is that both in one as in another performance is excellent. I bought to place on a laptop MSI GL62M 7REX and goes like a shot no"&amp;"w. The nvme operating system version, and SATA III version storage. I am delighted, this is another dimension.")</f>
        <v>Buy IM-hustling the two versions of 480GB SSD, SATA III version and version M.2 PCIe Express GEN3.0x4 NVMe 2280, and the truth is that both in one as in another performance is excellent. I bought to place on a laptop MSI GL62M 7REX and goes like a shot now. The nvme operating system version, and SATA III version storage. I am delighted, this is another dimension.</v>
      </c>
    </row>
    <row r="18936">
      <c r="A18936" s="1">
        <v>5.0</v>
      </c>
      <c r="B18936" s="1" t="s">
        <v>18754</v>
      </c>
      <c r="C18936" t="str">
        <f>IFERROR(__xludf.DUMMYFUNCTION("GOOGLETRANSLATE(B18936, ""es"", ""en"")"),"Comfort and quality have arrived on time, the boots are wide toe box so they are very comfortable and are well suited loosely; leads in all workouts and games and is very happy. Thank you")</f>
        <v>Comfort and quality have arrived on time, the boots are wide toe box so they are very comfortable and are well suited loosely; leads in all workouts and games and is very happy. Thank you</v>
      </c>
    </row>
    <row r="18937">
      <c r="A18937" s="1">
        <v>2.0</v>
      </c>
      <c r="B18937" s="1" t="s">
        <v>18755</v>
      </c>
      <c r="C18937" t="str">
        <f>IFERROR(__xludf.DUMMYFUNCTION("GOOGLETRANSLATE(B18937, ""es"", ""en"")"),"Frail The sound quality is not bad, but sometimes fails to receive the Bluetooth signal. In terms of architecture, after 1 year I have broken the fastenings on both sides and I had to paste as I could. Summary: Value is good, good sound quality but somewh"&amp;"at brittle with time and Bluetooth reception is not as good as expected.")</f>
        <v>Frail The sound quality is not bad, but sometimes fails to receive the Bluetooth signal. In terms of architecture, after 1 year I have broken the fastenings on both sides and I had to paste as I could. Summary: Value is good, good sound quality but somewhat brittle with time and Bluetooth reception is not as good as expected.</v>
      </c>
    </row>
    <row r="18938">
      <c r="A18938" s="1">
        <v>3.0</v>
      </c>
      <c r="B18938" s="1" t="s">
        <v>18756</v>
      </c>
      <c r="C18938" t="str">
        <f>IFERROR(__xludf.DUMMYFUNCTION("GOOGLETRANSLATE(B18938, ""es"", ""en"")"),"It works, but slow Meets EU promises but with transmission speeds too slow")</f>
        <v>It works, but slow Meets EU promises but with transmission speeds too slow</v>
      </c>
    </row>
    <row r="18939">
      <c r="A18939" s="1">
        <v>1.0</v>
      </c>
      <c r="B18939" s="1" t="s">
        <v>18757</v>
      </c>
      <c r="C18939" t="str">
        <f>IFERROR(__xludf.DUMMYFUNCTION("GOOGLETRANSLATE(B18939, ""es"", ""en"")"),"Not worth it. At the beginning I thought it was a good buy but with the passage of time is unhinged from the site and stopped working.")</f>
        <v>Not worth it. At the beginning I thought it was a good buy but with the passage of time is unhinged from the site and stopped working.</v>
      </c>
    </row>
    <row r="18940">
      <c r="A18940" s="1">
        <v>1.0</v>
      </c>
      <c r="B18940" s="1" t="s">
        <v>18758</v>
      </c>
      <c r="C18940" t="str">
        <f>IFERROR(__xludf.DUMMYFUNCTION("GOOGLETRANSLATE(B18940, ""es"", ""en"")"),"has reached incredible box with all accessories, arm and lack the mixer is already the second time that the lia Amazon")</f>
        <v>has reached incredible box with all accessories, arm and lack the mixer is already the second time that the lia Amazon</v>
      </c>
    </row>
    <row r="18941">
      <c r="A18941" s="1">
        <v>4.0</v>
      </c>
      <c r="B18941" s="1" t="s">
        <v>18759</v>
      </c>
      <c r="C18941" t="str">
        <f>IFERROR(__xludf.DUMMYFUNCTION("GOOGLETRANSLATE(B18941, ""es"", ""en"")"),"Better Good tetina, money is well")</f>
        <v>Better Good tetina, money is well</v>
      </c>
    </row>
    <row r="18942">
      <c r="A18942" s="1">
        <v>4.0</v>
      </c>
      <c r="B18942" s="1" t="s">
        <v>18760</v>
      </c>
      <c r="C18942" t="str">
        <f>IFERROR(__xludf.DUMMYFUNCTION("GOOGLETRANSLATE(B18942, ""es"", ""en"")"),"Price Well, I really like the product. Quality VS. Price is great")</f>
        <v>Price Well, I really like the product. Quality VS. Price is great</v>
      </c>
    </row>
    <row r="18943">
      <c r="A18943" s="1">
        <v>4.0</v>
      </c>
      <c r="B18943" s="1" t="s">
        <v>18761</v>
      </c>
      <c r="C18943" t="str">
        <f>IFERROR(__xludf.DUMMYFUNCTION("GOOGLETRANSLATE(B18943, ""es"", ""en"")"),"Good product quality and good quality")</f>
        <v>Good product quality and good quality</v>
      </c>
    </row>
    <row r="18944">
      <c r="A18944" s="1">
        <v>4.0</v>
      </c>
      <c r="B18944" s="1" t="s">
        <v>18762</v>
      </c>
      <c r="C18944" t="str">
        <f>IFERROR(__xludf.DUMMYFUNCTION("GOOGLETRANSLATE(B18944, ""es"", ""en"")"),"Right For this price you can not ask for more. Correct ... it shows that you are cheap and nasty .. but for a summer. Great")</f>
        <v>Right For this price you can not ask for more. Correct ... it shows that you are cheap and nasty .. but for a summer. Great</v>
      </c>
    </row>
    <row r="18945">
      <c r="A18945" s="1">
        <v>4.0</v>
      </c>
      <c r="B18945" s="1" t="s">
        <v>18763</v>
      </c>
      <c r="C18945" t="str">
        <f>IFERROR(__xludf.DUMMYFUNCTION("GOOGLETRANSLATE(B18945, ""es"", ""en"")"),"Carving a number of small size less than usual. REFUND well managed by Amazon.")</f>
        <v>Carving a number of small size less than usual. REFUND well managed by Amazon.</v>
      </c>
    </row>
    <row r="18946">
      <c r="A18946" s="1">
        <v>5.0</v>
      </c>
      <c r="B18946" s="1" t="s">
        <v>18764</v>
      </c>
      <c r="C18946" t="str">
        <f>IFERROR(__xludf.DUMMYFUNCTION("GOOGLETRANSLATE(B18946, ""es"", ""en"")"),"Enduring much heat I bought for my mother, used to warm his hands and back pain and others. It heats up very fast and endure long in heat. 100% Recommended")</f>
        <v>Enduring much heat I bought for my mother, used to warm his hands and back pain and others. It heats up very fast and endure long in heat. 100% Recommended</v>
      </c>
    </row>
    <row r="18947">
      <c r="A18947" s="1">
        <v>5.0</v>
      </c>
      <c r="B18947" s="1" t="s">
        <v>18765</v>
      </c>
      <c r="C18947" t="str">
        <f>IFERROR(__xludf.DUMMYFUNCTION("GOOGLETRANSLATE(B18947, ""es"", ""en"")"),"It's very light I love is super nice and cool")</f>
        <v>It's very light I love is super nice and cool</v>
      </c>
    </row>
    <row r="18948">
      <c r="A18948" s="1">
        <v>5.0</v>
      </c>
      <c r="B18948" s="1" t="s">
        <v>18766</v>
      </c>
      <c r="C18948" t="str">
        <f>IFERROR(__xludf.DUMMYFUNCTION("GOOGLETRANSLATE(B18948, ""es"", ""en"")"),"Very nice and original is a very nice ring, for the price it is super good and comes with a box to give away perfect.")</f>
        <v>Very nice and original is a very nice ring, for the price it is super good and comes with a box to give away perfect.</v>
      </c>
    </row>
    <row r="18949">
      <c r="A18949" s="1">
        <v>5.0</v>
      </c>
      <c r="B18949" s="1" t="s">
        <v>18767</v>
      </c>
      <c r="C18949" t="str">
        <f>IFERROR(__xludf.DUMMYFUNCTION("GOOGLETRANSLATE(B18949, ""es"", ""en"")"),"It's tough stuff for my big and can not be broken and grandson are washable.")</f>
        <v>It's tough stuff for my big and can not be broken and grandson are washable.</v>
      </c>
    </row>
    <row r="18950">
      <c r="A18950" s="1">
        <v>5.0</v>
      </c>
      <c r="B18950" s="1" t="s">
        <v>18768</v>
      </c>
      <c r="C18950" t="str">
        <f>IFERROR(__xludf.DUMMYFUNCTION("GOOGLETRANSLATE(B18950, ""es"", ""en"")"),"ALWAYS WATCH does not indicate atmospheric pressure, no Internet, does not tell us daily steps, no compass, no countdown ... then what is it? Because for that: it tells us the time and date, has electricity, costs nothing and less and worth a lot, because"&amp;", friends, the Casio F-91W It's a clock! Not to be aware of that load, replace batteries or that you enter virus. It is a watch. Point. The best in quality / price ratio, a classic that never go out of style.")</f>
        <v>ALWAYS WATCH does not indicate atmospheric pressure, no Internet, does not tell us daily steps, no compass, no countdown ... then what is it? Because for that: it tells us the time and date, has electricity, costs nothing and less and worth a lot, because, friends, the Casio F-91W It's a clock! Not to be aware of that load, replace batteries or that you enter virus. It is a watch. Point. The best in quality / price ratio, a classic that never go out of style.</v>
      </c>
    </row>
    <row r="18951">
      <c r="A18951" s="1">
        <v>5.0</v>
      </c>
      <c r="B18951" s="1" t="s">
        <v>18769</v>
      </c>
      <c r="C18951" t="str">
        <f>IFERROR(__xludf.DUMMYFUNCTION("GOOGLETRANSLATE(B18951, ""es"", ""en"")"),"A very cool super gift")</f>
        <v>A very cool super gift</v>
      </c>
    </row>
    <row r="18952">
      <c r="A18952" s="1">
        <v>5.0</v>
      </c>
      <c r="B18952" s="1" t="s">
        <v>18770</v>
      </c>
      <c r="C18952" t="str">
        <f>IFERROR(__xludf.DUMMYFUNCTION("GOOGLETRANSLATE(B18952, ""es"", ""en"")"),"It works as expected I give it 5 stars because it is not the first such card and buy this brand for a raspberry pi 3, since these cards, the raspberry works very well, very quickly and smoothly. It is appreciated that carry an SD card adapter since curren"&amp;"tly there are few readers that integrate microsd reader. The capacity is more than enough to make any kind of assembly with raspberry. Perhaps short stay if used to store images and videos but I think 32 gigs are more than enough. Therefore, if you have a"&amp;" raspberry and want a good memory card, this is your choice. Perhaps 16 also but in some projects you can stay short.")</f>
        <v>It works as expected I give it 5 stars because it is not the first such card and buy this brand for a raspberry pi 3, since these cards, the raspberry works very well, very quickly and smoothly. It is appreciated that carry an SD card adapter since currently there are few readers that integrate microsd reader. The capacity is more than enough to make any kind of assembly with raspberry. Perhaps short stay if used to store images and videos but I think 32 gigs are more than enough. Therefore, if you have a raspberry and want a good memory card, this is your choice. Perhaps 16 also but in some projects you can stay short.</v>
      </c>
    </row>
    <row r="18953">
      <c r="A18953" s="1">
        <v>5.0</v>
      </c>
      <c r="B18953" s="1" t="s">
        <v>18771</v>
      </c>
      <c r="C18953" t="str">
        <f>IFERROR(__xludf.DUMMYFUNCTION("GOOGLETRANSLATE(B18953, ""es"", ""en"")"),"100% recommended bracelet perfect, is as described. Fits the bill. The only downside is that being for women should be a little shorter but it is quite surplus is below.")</f>
        <v>100% recommended bracelet perfect, is as described. Fits the bill. The only downside is that being for women should be a little shorter but it is quite surplus is below.</v>
      </c>
    </row>
    <row r="18954">
      <c r="A18954" s="1">
        <v>5.0</v>
      </c>
      <c r="B18954" s="1" t="s">
        <v>18772</v>
      </c>
      <c r="C18954" t="str">
        <f>IFERROR(__xludf.DUMMYFUNCTION("GOOGLETRANSLATE(B18954, ""es"", ""en"")"),"Stylish, good quality / price ratio. He is looking for a stylish watch at a good price. This is, elegant design, with apparently resistant materials and at a very affordable price. It is also easy to adapt to your needs because it includes an accessory to"&amp;" help remove links.")</f>
        <v>Stylish, good quality / price ratio. He is looking for a stylish watch at a good price. This is, elegant design, with apparently resistant materials and at a very affordable price. It is also easy to adapt to your needs because it includes an accessory to help remove links.</v>
      </c>
    </row>
    <row r="18955">
      <c r="A18955" s="1">
        <v>5.0</v>
      </c>
      <c r="B18955" s="1" t="s">
        <v>18773</v>
      </c>
      <c r="C18955" t="str">
        <f>IFERROR(__xludf.DUMMYFUNCTION("GOOGLETRANSLATE(B18955, ""es"", ""en"")"),"aconsrjable a small and large solution")</f>
        <v>aconsrjable a small and large solution</v>
      </c>
    </row>
    <row r="18956">
      <c r="A18956" s="1">
        <v>5.0</v>
      </c>
      <c r="B18956" s="1" t="s">
        <v>18774</v>
      </c>
      <c r="C18956" t="str">
        <f>IFERROR(__xludf.DUMMYFUNCTION("GOOGLETRANSLATE(B18956, ""es"", ""en"")"),"Buy Perfect very nice shoes. Original 100%. Well look the size chart, if not the evidence store ask for a grand size. I usually use 43 and 44 I asked me are perfect. Dispatching smoothly.")</f>
        <v>Buy Perfect very nice shoes. Original 100%. Well look the size chart, if not the evidence store ask for a grand size. I usually use 43 and 44 I asked me are perfect. Dispatching smoothly.</v>
      </c>
    </row>
    <row r="18957">
      <c r="A18957" s="1">
        <v>5.0</v>
      </c>
      <c r="B18957" s="1" t="s">
        <v>18775</v>
      </c>
      <c r="C18957" t="str">
        <f>IFERROR(__xludf.DUMMYFUNCTION("GOOGLETRANSLATE(B18957, ""es"", ""en"")"),"Good item good cable fulfills its mission. If you want better quality, you know you have to pay more. But with this cable, you have good quality and good price")</f>
        <v>Good item good cable fulfills its mission. If you want better quality, you know you have to pay more. But with this cable, you have good quality and good price</v>
      </c>
    </row>
    <row r="18958">
      <c r="A18958" s="1">
        <v>5.0</v>
      </c>
      <c r="B18958" s="1" t="s">
        <v>18776</v>
      </c>
      <c r="C18958" t="str">
        <f>IFERROR(__xludf.DUMMYFUNCTION("GOOGLETRANSLATE(B18958, ""es"", ""en"")"),"Resultón, convenient, fast and efficient. its role does it perfectly. It's pretty quick to boil. Supports an amount of water more than correct for a tea or coffee for two. We want your hotel indicator light and button to stop or start. I would buy it. Ver"&amp;"y comfortable hotel room.")</f>
        <v>Resultón, convenient, fast and efficient. its role does it perfectly. It's pretty quick to boil. Supports an amount of water more than correct for a tea or coffee for two. We want your hotel indicator light and button to stop or start. I would buy it. Very comfortable hotel room.</v>
      </c>
    </row>
    <row r="18959">
      <c r="A18959" s="1">
        <v>5.0</v>
      </c>
      <c r="B18959" s="1" t="s">
        <v>18777</v>
      </c>
      <c r="C18959" t="str">
        <f>IFERROR(__xludf.DUMMYFUNCTION("GOOGLETRANSLATE(B18959, ""es"", ""en"")"),"Xula unpractical aspect is very impractical to transport, it can be shoulder bag or backpack type.")</f>
        <v>Xula unpractical aspect is very impractical to transport, it can be shoulder bag or backpack type.</v>
      </c>
    </row>
    <row r="18960">
      <c r="A18960" s="1">
        <v>5.0</v>
      </c>
      <c r="B18960" s="1" t="s">
        <v>18778</v>
      </c>
      <c r="C18960" t="str">
        <f>IFERROR(__xludf.DUMMYFUNCTION("GOOGLETRANSLATE(B18960, ""es"", ""en"")"),"It's great great")</f>
        <v>It's great great</v>
      </c>
    </row>
    <row r="18961">
      <c r="A18961" s="1">
        <v>5.0</v>
      </c>
      <c r="B18961" s="1" t="s">
        <v>18779</v>
      </c>
      <c r="C18961" t="str">
        <f>IFERROR(__xludf.DUMMYFUNCTION("GOOGLETRANSLATE(B18961, ""es"", ""en"")"),"Great good product. Good price and great capacity")</f>
        <v>Great good product. Good price and great capacity</v>
      </c>
    </row>
    <row r="18962">
      <c r="A18962" s="1">
        <v>5.0</v>
      </c>
      <c r="B18962" s="1" t="s">
        <v>18780</v>
      </c>
      <c r="C18962" t="str">
        <f>IFERROR(__xludf.DUMMYFUNCTION("GOOGLETRANSLATE(B18962, ""es"", ""en"")"),"Meets expectations Excellent value for money")</f>
        <v>Meets expectations Excellent value for money</v>
      </c>
    </row>
    <row r="18963">
      <c r="A18963" s="1">
        <v>5.0</v>
      </c>
      <c r="B18963" s="1" t="s">
        <v>18781</v>
      </c>
      <c r="C18963" t="str">
        <f>IFERROR(__xludf.DUMMYFUNCTION("GOOGLETRANSLATE(B18963, ""es"", ""en"")"),"As he expected. Very comfortable sports. The size is perfect. It shows that are quality. Bring 2 shoelaces (white and blue) .All perfect, I am delighted with them.")</f>
        <v>As he expected. Very comfortable sports. The size is perfect. It shows that are quality. Bring 2 shoelaces (white and blue) .All perfect, I am delighted with them.</v>
      </c>
    </row>
    <row r="18964">
      <c r="A18964" s="1">
        <v>5.0</v>
      </c>
      <c r="B18964" s="1" t="s">
        <v>18782</v>
      </c>
      <c r="C18964" t="str">
        <f>IFERROR(__xludf.DUMMYFUNCTION("GOOGLETRANSLATE(B18964, ""es"", ""en"")"),"Satisfactory Convenient")</f>
        <v>Satisfactory Convenient</v>
      </c>
    </row>
    <row r="18965">
      <c r="A18965" s="1">
        <v>2.0</v>
      </c>
      <c r="B18965" s="1" t="s">
        <v>18783</v>
      </c>
      <c r="C18965" t="str">
        <f>IFERROR(__xludf.DUMMYFUNCTION("GOOGLETRANSLATE(B18965, ""es"", ""en"")"),"Narrow toe, foot squashed .... chock 45, ordered a 46, and I came little shoe. You have to ask for a number and a half., And the forefoot area is narrow, the foot is very squashed ... a little disappointed. But well, I've returned. Moreover, they are good"&amp;" sneakers.")</f>
        <v>Narrow toe, foot squashed .... chock 45, ordered a 46, and I came little shoe. You have to ask for a number and a half., And the forefoot area is narrow, the foot is very squashed ... a little disappointed. But well, I've returned. Moreover, they are good sneakers.</v>
      </c>
    </row>
    <row r="18966">
      <c r="A18966" s="1">
        <v>3.0</v>
      </c>
      <c r="B18966" s="1" t="s">
        <v>18784</v>
      </c>
      <c r="C18966" t="str">
        <f>IFERROR(__xludf.DUMMYFUNCTION("GOOGLETRANSLATE(B18966, ""es"", ""en"")"),"Not bad pretty much what I expected for the PRICE")</f>
        <v>Not bad pretty much what I expected for the PRICE</v>
      </c>
    </row>
    <row r="18967">
      <c r="A18967" s="1">
        <v>3.0</v>
      </c>
      <c r="B18967" s="1" t="s">
        <v>18785</v>
      </c>
      <c r="C18967" t="str">
        <f>IFERROR(__xludf.DUMMYFUNCTION("GOOGLETRANSLATE(B18967, ""es"", ""en"")"),"Quite simply spoiled right earpiece headset right at low frequencies is distorted and vibrates, damaging hearing. Are comfortable and blend are fine, but I have been spoiled.")</f>
        <v>Quite simply spoiled right earpiece headset right at low frequencies is distorted and vibrates, damaging hearing. Are comfortable and blend are fine, but I have been spoiled.</v>
      </c>
    </row>
    <row r="18968">
      <c r="A18968" s="1">
        <v>1.0</v>
      </c>
      <c r="B18968" s="1" t="s">
        <v>18786</v>
      </c>
      <c r="C18968" t="str">
        <f>IFERROR(__xludf.DUMMYFUNCTION("GOOGLETRANSLATE(B18968, ""es"", ""en"")"),"Mobile connection does not work does not work for mobile connection, only the USB connection")</f>
        <v>Mobile connection does not work does not work for mobile connection, only the USB connection</v>
      </c>
    </row>
    <row r="18969">
      <c r="A18969" s="1">
        <v>1.0</v>
      </c>
      <c r="B18969" s="1" t="s">
        <v>18787</v>
      </c>
      <c r="C18969" t="str">
        <f>IFERROR(__xludf.DUMMYFUNCTION("GOOGLETRANSLATE(B18969, ""es"", ""en"")"),"Not recommended, nothing else insert the SD card completely opened obviously useless, threw")</f>
        <v>Not recommended, nothing else insert the SD card completely opened obviously useless, threw</v>
      </c>
    </row>
    <row r="18970">
      <c r="A18970" s="1">
        <v>4.0</v>
      </c>
      <c r="B18970" s="1" t="s">
        <v>18788</v>
      </c>
      <c r="C18970" t="str">
        <f>IFERROR(__xludf.DUMMYFUNCTION("GOOGLETRANSLATE(B18970, ""es"", ""en"")"),"Okay, I think better than I expected even are very nice and feel great. Fabric like a soft but very fresh licra. I like them.")</f>
        <v>Okay, I think better than I expected even are very nice and feel great. Fabric like a soft but very fresh licra. I like them.</v>
      </c>
    </row>
    <row r="18971">
      <c r="A18971" s="1">
        <v>4.0</v>
      </c>
      <c r="B18971" s="1" t="s">
        <v>18789</v>
      </c>
      <c r="C18971" t="str">
        <f>IFERROR(__xludf.DUMMYFUNCTION("GOOGLETRANSLATE(B18971, ""es"", ""en"")"),"Works perfectly works perfectly, recognizes both my of Windows 10 as my iPad, put a but, is that the video playback only me playing with the DVD iPad, and leaves choose another program as an example the VLC otherwise it works well, and having lids is prot"&amp;"ected from dust and shocks")</f>
        <v>Works perfectly works perfectly, recognizes both my of Windows 10 as my iPad, put a but, is that the video playback only me playing with the DVD iPad, and leaves choose another program as an example the VLC otherwise it works well, and having lids is protected from dust and shocks</v>
      </c>
    </row>
    <row r="18972">
      <c r="A18972" s="1">
        <v>4.0</v>
      </c>
      <c r="B18972" s="1" t="s">
        <v>18790</v>
      </c>
      <c r="C18972" t="str">
        <f>IFERROR(__xludf.DUMMYFUNCTION("GOOGLETRANSLATE(B18972, ""es"", ""en"")"),"Bracelet Great for a detail, is for a girl of 15years and I k will like, and at a great price")</f>
        <v>Bracelet Great for a detail, is for a girl of 15years and I k will like, and at a great price</v>
      </c>
    </row>
    <row r="18973">
      <c r="A18973" s="1">
        <v>4.0</v>
      </c>
      <c r="B18973" s="1" t="s">
        <v>18791</v>
      </c>
      <c r="C18973" t="str">
        <f>IFERROR(__xludf.DUMMYFUNCTION("GOOGLETRANSLATE(B18973, ""es"", ""en"")"),"Sound well defined but without much volume was about the same type headphones this (clip) but the Sony brand (were not high end), I broke down and I ventured to buy these headphones. I like for the price they have, I use to go to the gym and listening to "&amp;"music quite well, all that the maximum volume of these is lower than the Sony but the sound is more defined than the Sony when both are at the maximum volume. They're simple and comfortable and for the price you have headphones are great! I recommend it.")</f>
        <v>Sound well defined but without much volume was about the same type headphones this (clip) but the Sony brand (were not high end), I broke down and I ventured to buy these headphones. I like for the price they have, I use to go to the gym and listening to music quite well, all that the maximum volume of these is lower than the Sony but the sound is more defined than the Sony when both are at the maximum volume. They're simple and comfortable and for the price you have headphones are great! I recommend it.</v>
      </c>
    </row>
    <row r="18974">
      <c r="A18974" s="1">
        <v>4.0</v>
      </c>
      <c r="B18974" s="1" t="s">
        <v>18792</v>
      </c>
      <c r="C18974" t="str">
        <f>IFERROR(__xludf.DUMMYFUNCTION("GOOGLETRANSLATE(B18974, ""es"", ""en"")"),"Perfect size fits inside PS4 slim, but were not able to make it work. However with a housing function it makes the perfect external hard drive.")</f>
        <v>Perfect size fits inside PS4 slim, but were not able to make it work. However with a housing function it makes the perfect external hard drive.</v>
      </c>
    </row>
    <row r="18975">
      <c r="A18975" s="1">
        <v>5.0</v>
      </c>
      <c r="B18975" s="1" t="s">
        <v>18793</v>
      </c>
      <c r="C18975" t="str">
        <f>IFERROR(__xludf.DUMMYFUNCTION("GOOGLETRANSLATE(B18975, ""es"", ""en"")"),"Good value / I liked its storage capacity and its good price")</f>
        <v>Good value / I liked its storage capacity and its good price</v>
      </c>
    </row>
    <row r="18976">
      <c r="A18976" s="1">
        <v>5.0</v>
      </c>
      <c r="B18976" s="1" t="s">
        <v>18794</v>
      </c>
      <c r="C18976" t="str">
        <f>IFERROR(__xludf.DUMMYFUNCTION("GOOGLETRANSLATE(B18976, ""es"", ""en"")"),"Good is good, has the perfect thickness. But in my case I took the recommended action and had to have taken the 9mm")</f>
        <v>Good is good, has the perfect thickness. But in my case I took the recommended action and had to have taken the 9mm</v>
      </c>
    </row>
    <row r="18977">
      <c r="A18977" s="1">
        <v>5.0</v>
      </c>
      <c r="B18977" s="1" t="s">
        <v>18795</v>
      </c>
      <c r="C18977" t="str">
        <f>IFERROR(__xludf.DUMMYFUNCTION("GOOGLETRANSLATE(B18977, ""es"", ""en"")"),"Original Casio with the black dial is a Casio watch and came well packaged in its original box. All right.")</f>
        <v>Original Casio with the black dial is a Casio watch and came well packaged in its original box. All right.</v>
      </c>
    </row>
    <row r="18978">
      <c r="A18978" s="1">
        <v>5.0</v>
      </c>
      <c r="B18978" s="1" t="s">
        <v>18796</v>
      </c>
      <c r="C18978" t="str">
        <f>IFERROR(__xludf.DUMMYFUNCTION("GOOGLETRANSLATE(B18978, ""es"", ""en"")"),"All right I bought it as a gift and it seems like. Satisfied with the purchase.")</f>
        <v>All right I bought it as a gift and it seems like. Satisfied with the purchase.</v>
      </c>
    </row>
    <row r="18979">
      <c r="A18979" s="1">
        <v>5.0</v>
      </c>
      <c r="B18979" s="1" t="s">
        <v>18797</v>
      </c>
      <c r="C18979" t="str">
        <f>IFERROR(__xludf.DUMMYFUNCTION("GOOGLETRANSLATE(B18979, ""es"", ""en"")"),"perfect everything perfect and I get a good price")</f>
        <v>perfect everything perfect and I get a good price</v>
      </c>
    </row>
    <row r="18980">
      <c r="A18980" s="1">
        <v>5.0</v>
      </c>
      <c r="B18980" s="1" t="s">
        <v>18798</v>
      </c>
      <c r="C18980" t="str">
        <f>IFERROR(__xludf.DUMMYFUNCTION("GOOGLETRANSLATE(B18980, ""es"", ""en"")"),"The most! This article is best, works perfectly, has different forms and intensities and does not make too much noise. The texture is great, very smooth. Color super alive. Recommended for anyone who wants to change and enrich your routine.")</f>
        <v>The most! This article is best, works perfectly, has different forms and intensities and does not make too much noise. The texture is great, very smooth. Color super alive. Recommended for anyone who wants to change and enrich your routine.</v>
      </c>
    </row>
    <row r="18981">
      <c r="A18981" s="1">
        <v>5.0</v>
      </c>
      <c r="B18981" s="1" t="s">
        <v>18799</v>
      </c>
      <c r="C18981" t="str">
        <f>IFERROR(__xludf.DUMMYFUNCTION("GOOGLETRANSLATE(B18981, ""es"", ""en"")"),"Perfect taste ... (?) Perfect product. Comfortable and good material")</f>
        <v>Perfect taste ... (?) Perfect product. Comfortable and good material</v>
      </c>
    </row>
    <row r="18982">
      <c r="A18982" s="1">
        <v>5.0</v>
      </c>
      <c r="B18982" s="1" t="s">
        <v>18800</v>
      </c>
      <c r="C18982" t="str">
        <f>IFERROR(__xludf.DUMMYFUNCTION("GOOGLETRANSLATE(B18982, ""es"", ""en"")"),"Practical and easy to use. clean and very helpful I love'm 100% satisfied because it is just what I needed! It is manageable and easy usar.tiene 3 sizes and cans are not cut blades derraman.las great. shake probe with vegetables (salmorejo type) and came "&amp;"out great and then the small to jam and fruit was great.")</f>
        <v>Practical and easy to use. clean and very helpful I love'm 100% satisfied because it is just what I needed! It is manageable and easy usar.tiene 3 sizes and cans are not cut blades derraman.las great. shake probe with vegetables (salmorejo type) and came out great and then the small to jam and fruit was great.</v>
      </c>
    </row>
    <row r="18983">
      <c r="A18983" s="1">
        <v>5.0</v>
      </c>
      <c r="B18983" s="1" t="s">
        <v>18801</v>
      </c>
      <c r="C18983" t="str">
        <f>IFERROR(__xludf.DUMMYFUNCTION("GOOGLETRANSLATE(B18983, ""es"", ""en"")"),"Good absorption opinion is based on the original mop, not the parts, since we have not yet changed. Mop absorbs enough water and clean enough. It is easy to drain the bucket with wringer that came with it. We assume that the replacement will be of similar"&amp;" quality.")</f>
        <v>Good absorption opinion is based on the original mop, not the parts, since we have not yet changed. Mop absorbs enough water and clean enough. It is easy to drain the bucket with wringer that came with it. We assume that the replacement will be of similar quality.</v>
      </c>
    </row>
    <row r="18984">
      <c r="A18984" s="1">
        <v>5.0</v>
      </c>
      <c r="B18984" s="1" t="s">
        <v>18802</v>
      </c>
      <c r="C18984" t="str">
        <f>IFERROR(__xludf.DUMMYFUNCTION("GOOGLETRANSLATE(B18984, ""es"", ""en"")"),"XBOX ONE X has improved load times I've connected to the XBOX ONE X and significantly improved load times. Very happy with the purchase.")</f>
        <v>XBOX ONE X has improved load times I've connected to the XBOX ONE X and significantly improved load times. Very happy with the purchase.</v>
      </c>
    </row>
    <row r="18985">
      <c r="A18985" s="1">
        <v>5.0</v>
      </c>
      <c r="B18985" s="1" t="s">
        <v>18803</v>
      </c>
      <c r="C18985" t="str">
        <f>IFERROR(__xludf.DUMMYFUNCTION("GOOGLETRANSLATE(B18985, ""es"", ""en"")"),"Great. Fantastic, works perfectly, no fault. Great value for money. TOTALLY I recommend !.")</f>
        <v>Great. Fantastic, works perfectly, no fault. Great value for money. TOTALLY I recommend !.</v>
      </c>
    </row>
    <row r="18986">
      <c r="A18986" s="1">
        <v>5.0</v>
      </c>
      <c r="B18986" s="1" t="s">
        <v>18804</v>
      </c>
      <c r="C18986" t="str">
        <f>IFERROR(__xludf.DUMMYFUNCTION("GOOGLETRANSLATE(B18986, ""es"", ""en"")"),"Earrings are earrings, which themselves have nothing but fun, is likely to be lost easily, but I've given to a girl of 10 years and is happy to put use one every day to match what carries. the truth a success.")</f>
        <v>Earrings are earrings, which themselves have nothing but fun, is likely to be lost easily, but I've given to a girl of 10 years and is happy to put use one every day to match what carries. the truth a success.</v>
      </c>
    </row>
    <row r="18987">
      <c r="A18987" s="1">
        <v>5.0</v>
      </c>
      <c r="B18987" s="1" t="s">
        <v>18805</v>
      </c>
      <c r="C18987" t="str">
        <f>IFERROR(__xludf.DUMMYFUNCTION("GOOGLETRANSLATE(B18987, ""es"", ""en"")"),"The truth well are better placed than the picture. The colors look more cheerful to the natural. Very comfortable. The size is unchanged. Very happy with the purchase, I recommend it.")</f>
        <v>The truth well are better placed than the picture. The colors look more cheerful to the natural. Very comfortable. The size is unchanged. Very happy with the purchase, I recommend it.</v>
      </c>
    </row>
    <row r="18988">
      <c r="A18988" s="1">
        <v>5.0</v>
      </c>
      <c r="B18988" s="1" t="s">
        <v>18806</v>
      </c>
      <c r="C18988" t="str">
        <f>IFERROR(__xludf.DUMMYFUNCTION("GOOGLETRANSLATE(B18988, ""es"", ""en"")"),"Good trousers for gentle exercise. Good value for money. Looks good, harbors, comfortable and stylized. Surely I will repeat purchase if not change the price and quality. For me it is highly recommended.")</f>
        <v>Good trousers for gentle exercise. Good value for money. Looks good, harbors, comfortable and stylized. Surely I will repeat purchase if not change the price and quality. For me it is highly recommended.</v>
      </c>
    </row>
    <row r="18989">
      <c r="A18989" s="1">
        <v>5.0</v>
      </c>
      <c r="B18989" s="1" t="s">
        <v>18807</v>
      </c>
      <c r="C18989" t="str">
        <f>IFERROR(__xludf.DUMMYFUNCTION("GOOGLETRANSLATE(B18989, ""es"", ""en"")"),"BUFFALO! I am delighted with my handbag leather búfalo.Desde I bought it always goes with me everywhere except at the grocery store, because they say they do not support animales.Lo walk and carry with pride, and everyone will say: '' I bought this handba"&amp;"g '' Yes, it's very cool. '' - answer - '' is that it is made of buffalo hide '' - answered - '' Yes, of course, is that? ' '-asienten -' 'still smells of buffalo skin, smells'' - I encourage you to check it - '' Oh, yes, it's true '' - answer-then always"&amp;" joke with the same question: '' What have you noticed? '' Oh, yes, yes it smells '' - and I say-and I answer them with a laugh: '' Lately, many dead buffalo smelled you? '' it's funny to repeat this innocent broma.Aunque soon leave. to do it, because its"&amp;" smell fresh and shocking to leathery skin and is going slowly, so it would lentamente.Se giving you as sadness abandonarme.Pero very alive still persists in my handbag leather, which really is cow , not búfalo.Llegamos to m ost striking: When I get close"&amp;" to the ear, I hear the beat of his heart.")</f>
        <v>BUFFALO! I am delighted with my handbag leather búfalo.Desde I bought it always goes with me everywhere except at the grocery store, because they say they do not support animales.Lo walk and carry with pride, and everyone will say: '' I bought this handbag '' Yes, it's very cool. '' - answer - '' is that it is made of buffalo hide '' - answered - '' Yes, of course, is that? ' '-asienten -' 'still smells of buffalo skin, smells'' - I encourage you to check it - '' Oh, yes, it's true '' - answer-then always joke with the same question: '' What have you noticed? '' Oh, yes, yes it smells '' - and I say-and I answer them with a laugh: '' Lately, many dead buffalo smelled you? '' it's funny to repeat this innocent broma.Aunque soon leave. to do it, because its smell fresh and shocking to leathery skin and is going slowly, so it would lentamente.Se giving you as sadness abandonarme.Pero very alive still persists in my handbag leather, which really is cow , not búfalo.Llegamos to m ost striking: When I get close to the ear, I hear the beat of his heart.</v>
      </c>
    </row>
    <row r="18990">
      <c r="A18990" s="1">
        <v>5.0</v>
      </c>
      <c r="B18990" s="1" t="s">
        <v>18808</v>
      </c>
      <c r="C18990" t="str">
        <f>IFERROR(__xludf.DUMMYFUNCTION("GOOGLETRANSLATE(B18990, ""es"", ""en"")"),"Good sound My children are happy with their helmets")</f>
        <v>Good sound My children are happy with their helmets</v>
      </c>
    </row>
    <row r="18991">
      <c r="A18991" s="1">
        <v>5.0</v>
      </c>
      <c r="B18991" s="1" t="s">
        <v>18809</v>
      </c>
      <c r="C18991" t="str">
        <f>IFERROR(__xludf.DUMMYFUNCTION("GOOGLETRANSLATE(B18991, ""es"", ""en"")"),"Best price anywhere The product is very good. Minipimer better than others we've tried. In addition you can choose from plenty of models to suit your needs accessories")</f>
        <v>Best price anywhere The product is very good. Minipimer better than others we've tried. In addition you can choose from plenty of models to suit your needs accessories</v>
      </c>
    </row>
    <row r="18992">
      <c r="A18992" s="1">
        <v>5.0</v>
      </c>
      <c r="B18992" s="1" t="s">
        <v>18810</v>
      </c>
      <c r="C18992" t="str">
        <f>IFERROR(__xludf.DUMMYFUNCTION("GOOGLETRANSLATE(B18992, ""es"", ""en"")"),"Warm and Fuzzy Very comfortable and feet are not cooled or cold water hechandoles")</f>
        <v>Warm and Fuzzy Very comfortable and feet are not cooled or cold water hechandoles</v>
      </c>
    </row>
    <row r="18993">
      <c r="A18993" s="1">
        <v>2.0</v>
      </c>
      <c r="B18993" s="1" t="s">
        <v>18811</v>
      </c>
      <c r="C18993" t="str">
        <f>IFERROR(__xludf.DUMMYFUNCTION("GOOGLETRANSLATE(B18993, ""es"", ""en"")"),"It works fine ... until it breaks For the price we have met. I took a month and I have no complaints. For seek a paste, the microphone for calls although it works well indoors, outdoors is difficult to understand you. .... (5 MONTHS AFTER USE) .... With n"&amp;"ormal use, has stopped working yesterday, lasted 5 MONTHS me, I thought that the least I would last a year, but I guess for the price this is there is, as they say out there, ""cheap is expensive"" decent quality with very short life. I do not recommend i"&amp;"t")</f>
        <v>It works fine ... until it breaks For the price we have met. I took a month and I have no complaints. For seek a paste, the microphone for calls although it works well indoors, outdoors is difficult to understand you. .... (5 MONTHS AFTER USE) .... With normal use, has stopped working yesterday, lasted 5 MONTHS me, I thought that the least I would last a year, but I guess for the price this is there is, as they say out there, "cheap is expensive" decent quality with very short life. I do not recommend it</v>
      </c>
    </row>
    <row r="18994">
      <c r="A18994" s="1">
        <v>3.0</v>
      </c>
      <c r="B18994" s="1" t="s">
        <v>18812</v>
      </c>
      <c r="C18994" t="str">
        <f>IFERROR(__xludf.DUMMYFUNCTION("GOOGLETRANSLATE(B18994, ""es"", ""en"")"),"Of the Chinese, as expected While the price was very affordable, the quality is pretty bad. Some even messages are misspelled. I think google translator would have done better. But I said, price is very reasonable what you buy")</f>
        <v>Of the Chinese, as expected While the price was very affordable, the quality is pretty bad. Some even messages are misspelled. I think google translator would have done better. But I said, price is very reasonable what you buy</v>
      </c>
    </row>
    <row r="18995">
      <c r="A18995" s="1">
        <v>3.0</v>
      </c>
      <c r="B18995" s="1" t="s">
        <v>18813</v>
      </c>
      <c r="C18995" t="str">
        <f>IFERROR(__xludf.DUMMYFUNCTION("GOOGLETRANSLATE(B18995, ""es"", ""en"")"),"Sheath. Hola.El fast shipping and good product condiciones.Sobre can say: the fabric is of good quality, hold the hot bottle as much media hora.Espero something that serves this greeting comentario.Un.")</f>
        <v>Sheath. Hola.El fast shipping and good product condiciones.Sobre can say: the fabric is of good quality, hold the hot bottle as much media hora.Espero something that serves this greeting comentario.Un.</v>
      </c>
    </row>
    <row r="18996">
      <c r="A18996" s="1">
        <v>1.0</v>
      </c>
      <c r="B18996" s="1" t="s">
        <v>18814</v>
      </c>
      <c r="C18996" t="str">
        <f>IFERROR(__xludf.DUMMYFUNCTION("GOOGLETRANSLATE(B18996, ""es"", ""en"")"),"They say that good product. 😁 Although I have read enough of this product, I happened to ""the black sheep"". Impossible to match, left atrial defective. Instructions only in Chinese. The seller did his best to fix and ended up making back before the imp"&amp;"ossibility to solve the fault.")</f>
        <v>They say that good product. 😁 Although I have read enough of this product, I happened to "the black sheep". Impossible to match, left atrial defective. Instructions only in Chinese. The seller did his best to fix and ended up making back before the impossibility to solve the fault.</v>
      </c>
    </row>
    <row r="18997">
      <c r="A18997" s="1">
        <v>1.0</v>
      </c>
      <c r="B18997" s="1" t="s">
        <v>18815</v>
      </c>
      <c r="C18997" t="str">
        <f>IFERROR(__xludf.DUMMYFUNCTION("GOOGLETRANSLATE(B18997, ""es"", ""en"")"),"I'm not doing anything right are heard well, the button on the works volume as he wants, without touching it begins to raise and lower the single volume, if I use it begins the phone to go crazy, all this in a Samsung A8, you what you pay for that is clea"&amp;"r.")</f>
        <v>I'm not doing anything right are heard well, the button on the works volume as he wants, without touching it begins to raise and lower the single volume, if I use it begins the phone to go crazy, all this in a Samsung A8, you what you pay for that is clear.</v>
      </c>
    </row>
    <row r="18998">
      <c r="A18998" s="1">
        <v>1.0</v>
      </c>
      <c r="B18998" s="1" t="s">
        <v>18816</v>
      </c>
      <c r="C18998" t="str">
        <f>IFERROR(__xludf.DUMMYFUNCTION("GOOGLETRANSLATE(B18998, ""es"", ""en"")"),"Somewhat Not very good, does nothing")</f>
        <v>Somewhat Not very good, does nothing</v>
      </c>
    </row>
    <row r="18999">
      <c r="A18999" s="1">
        <v>4.0</v>
      </c>
      <c r="B18999" s="1" t="s">
        <v>18817</v>
      </c>
      <c r="C18999" t="str">
        <f>IFERROR(__xludf.DUMMYFUNCTION("GOOGLETRANSLATE(B18999, ""es"", ""en"")"),"Nice but poor value software on the pricey side for what it offers. It's nice, little noisy but the included software for backups is comolicado to use. The hard drive comes with outdated software and tells you once you install it. I'll have to download an"&amp;"d re-inatalar. I have not yet gotten it to work it from backups. I have also seen in comments is not very durable. So I have to check and editare comment on the case so be it. Since the software that has this device is supposed that is designed to be used"&amp;" every day or every few days")</f>
        <v>Nice but poor value software on the pricey side for what it offers. It's nice, little noisy but the included software for backups is comolicado to use. The hard drive comes with outdated software and tells you once you install it. I'll have to download and re-inatalar. I have not yet gotten it to work it from backups. I have also seen in comments is not very durable. So I have to check and editare comment on the case so be it. Since the software that has this device is supposed that is designed to be used every day or every few days</v>
      </c>
    </row>
    <row r="19000">
      <c r="A19000" s="1">
        <v>4.0</v>
      </c>
      <c r="B19000" s="1" t="s">
        <v>18818</v>
      </c>
      <c r="C19000" t="str">
        <f>IFERROR(__xludf.DUMMYFUNCTION("GOOGLETRANSLATE(B19000, ""es"", ""en"")"),"Reasonable value I like especially two things: 1. The value of the product 2. The connector to USB with volume controls to improve two things well: 1. The pinganillo of the microphone is nothing adjustable with respect to the headset that low. It misses t"&amp;"o raise or lower without forcing the cable through a wheel on the left ear. 2. ""headphones"" give a lot of heat and are neither large nor small, ie for a standard ear are not too comfortable But that said, the quality of the sound is good, the controls a"&amp;"re a wise choice for that price and not I consider bad buy, much less.")</f>
        <v>Reasonable value I like especially two things: 1. The value of the product 2. The connector to USB with volume controls to improve two things well: 1. The pinganillo of the microphone is nothing adjustable with respect to the headset that low. It misses to raise or lower without forcing the cable through a wheel on the left ear. 2. "headphones" give a lot of heat and are neither large nor small, ie for a standard ear are not too comfortable But that said, the quality of the sound is good, the controls are a wise choice for that price and not I consider bad buy, much less.</v>
      </c>
    </row>
    <row r="19001">
      <c r="A19001" s="1">
        <v>4.0</v>
      </c>
      <c r="B19001" s="1" t="s">
        <v>18819</v>
      </c>
      <c r="C19001" t="str">
        <f>IFERROR(__xludf.DUMMYFUNCTION("GOOGLETRANSLATE(B19001, ""es"", ""en"")"),"It goes well I use a Nikon FX goes well, right now, no problem. Recently I have it, so that if soon fails, I will correct it said.")</f>
        <v>It goes well I use a Nikon FX goes well, right now, no problem. Recently I have it, so that if soon fails, I will correct it said.</v>
      </c>
    </row>
    <row r="19002">
      <c r="A19002" s="1">
        <v>4.0</v>
      </c>
      <c r="B19002" s="1" t="s">
        <v>18820</v>
      </c>
      <c r="C19002" t="str">
        <f>IFERROR(__xludf.DUMMYFUNCTION("GOOGLETRANSLATE(B19002, ""es"", ""en"")"),"Value good going very well.")</f>
        <v>Value good going very well.</v>
      </c>
    </row>
    <row r="19003">
      <c r="A19003" s="1">
        <v>4.0</v>
      </c>
      <c r="B19003" s="1" t="s">
        <v>18821</v>
      </c>
      <c r="C19003" t="str">
        <f>IFERROR(__xludf.DUMMYFUNCTION("GOOGLETRANSLATE(B19003, ""es"", ""en"")"),"Perfect ad contains everything except ... the pendrive advertising including advertising takes the connection to the phone")</f>
        <v>Perfect ad contains everything except ... the pendrive advertising including advertising takes the connection to the phone</v>
      </c>
    </row>
    <row r="19004">
      <c r="A19004" s="1">
        <v>5.0</v>
      </c>
      <c r="B19004" s="1" t="s">
        <v>18822</v>
      </c>
      <c r="C19004" t="str">
        <f>IFERROR(__xludf.DUMMYFUNCTION("GOOGLETRANSLATE(B19004, ""es"", ""en"")"),"Worth buying This is a gift for my friend, She just become a mother! She likes a lot, haha, I bought good, the price is very high, I hope everyone can buy it too.")</f>
        <v>Worth buying This is a gift for my friend, She just become a mother! She likes a lot, haha, I bought good, the price is very high, I hope everyone can buy it too.</v>
      </c>
    </row>
    <row r="19005">
      <c r="A19005" s="1">
        <v>5.0</v>
      </c>
      <c r="B19005" s="1" t="s">
        <v>18823</v>
      </c>
      <c r="C19005" t="str">
        <f>IFERROR(__xludf.DUMMYFUNCTION("GOOGLETRANSLATE(B19005, ""es"", ""en"")"),"great gift was for a birthday gift for a child 8 years and loved it works very well and was a success. Highly recommended.")</f>
        <v>great gift was for a birthday gift for a child 8 years and loved it works very well and was a success. Highly recommended.</v>
      </c>
    </row>
    <row r="19006">
      <c r="A19006" s="1">
        <v>5.0</v>
      </c>
      <c r="B19006" s="1" t="s">
        <v>18824</v>
      </c>
      <c r="C19006" t="str">
        <f>IFERROR(__xludf.DUMMYFUNCTION("GOOGLETRANSLATE(B19006, ""es"", ""en"")"),"Practical and functional decided to buy the simplicity and power of the mixer and the truth that meets all expectations. Shakes smooth leaves and prepares them super fast")</f>
        <v>Practical and functional decided to buy the simplicity and power of the mixer and the truth that meets all expectations. Shakes smooth leaves and prepares them super fast</v>
      </c>
    </row>
    <row r="19007">
      <c r="A19007" s="1">
        <v>5.0</v>
      </c>
      <c r="B19007" s="1" t="s">
        <v>18825</v>
      </c>
      <c r="C19007" t="str">
        <f>IFERROR(__xludf.DUMMYFUNCTION("GOOGLETRANSLATE(B19007, ""es"", ""en"")"),"Good product product quality. Me,. since I'm so chilly, I find most other thermal warm even cheaper (such as decathlon), but this garment has the quality of HH ... and that's (also paid ...).")</f>
        <v>Good product product quality. Me,. since I'm so chilly, I find most other thermal warm even cheaper (such as decathlon), but this garment has the quality of HH ... and that's (also paid ...).</v>
      </c>
    </row>
    <row r="19008">
      <c r="A19008" s="1">
        <v>5.0</v>
      </c>
      <c r="B19008" s="1" t="s">
        <v>18826</v>
      </c>
      <c r="C19008" t="str">
        <f>IFERROR(__xludf.DUMMYFUNCTION("GOOGLETRANSLATE(B19008, ""es"", ""en"")"),"Good price Me works great in muscle and tendon injuries, relieves pain")</f>
        <v>Good price Me works great in muscle and tendon injuries, relieves pain</v>
      </c>
    </row>
    <row r="19009">
      <c r="A19009" s="1">
        <v>5.0</v>
      </c>
      <c r="B19009" s="1" t="s">
        <v>18827</v>
      </c>
      <c r="C19009" t="str">
        <f>IFERROR(__xludf.DUMMYFUNCTION("GOOGLETRANSLATE(B19009, ""es"", ""en"")"),"A perfect time and perfect as always")</f>
        <v>A perfect time and perfect as always</v>
      </c>
    </row>
    <row r="19010">
      <c r="A19010" s="1">
        <v>5.0</v>
      </c>
      <c r="B19010" s="1" t="s">
        <v>18828</v>
      </c>
      <c r="C19010" t="str">
        <f>IFERROR(__xludf.DUMMYFUNCTION("GOOGLETRANSLATE(B19010, ""es"", ""en"")"),"I bought good quality to make a gift to my mother and has been perfect. Photos perfectly and protective sheets stuck between a page and another are great. Thin and with a beautiful drawing. Also suitable are lots of pictures. We put to the around 150, we "&amp;"left over a couple of pages and put them by a single face. My mother loved him")</f>
        <v>I bought good quality to make a gift to my mother and has been perfect. Photos perfectly and protective sheets stuck between a page and another are great. Thin and with a beautiful drawing. Also suitable are lots of pictures. We put to the around 150, we left over a couple of pages and put them by a single face. My mother loved him</v>
      </c>
    </row>
    <row r="19011">
      <c r="A19011" s="1">
        <v>5.0</v>
      </c>
      <c r="B19011" s="1" t="s">
        <v>18829</v>
      </c>
      <c r="C19011" t="str">
        <f>IFERROR(__xludf.DUMMYFUNCTION("GOOGLETRANSLATE(B19011, ""es"", ""en"")"),"headphones are attached very well I wanted to take a run, so I looked around like this, to be subject either to the ear. Van perfect, can move assured that you are not going to fall, and are comfortable. They hear very well, emit a very clear sound and ha"&amp;"ve enough volume. They are simple to connect, although I recommend loading them before, because in my case one of the handsets had little battery and off, so the two are not synchronized headphones. It is interesting that if you hold down the button, you "&amp;"hear a click and release the active to the voice assistant mobile. However the instructions are in English and also some indications are wrong, for example, it says that emit lights are red and green and are actually red and blue.")</f>
        <v>headphones are attached very well I wanted to take a run, so I looked around like this, to be subject either to the ear. Van perfect, can move assured that you are not going to fall, and are comfortable. They hear very well, emit a very clear sound and have enough volume. They are simple to connect, although I recommend loading them before, because in my case one of the handsets had little battery and off, so the two are not synchronized headphones. It is interesting that if you hold down the button, you hear a click and release the active to the voice assistant mobile. However the instructions are in English and also some indications are wrong, for example, it says that emit lights are red and green and are actually red and blue.</v>
      </c>
    </row>
    <row r="19012">
      <c r="A19012" s="1">
        <v>5.0</v>
      </c>
      <c r="B19012" s="1" t="s">
        <v>18830</v>
      </c>
      <c r="C19012" t="str">
        <f>IFERROR(__xludf.DUMMYFUNCTION("GOOGLETRANSLATE(B19012, ""es"", ""en"")"),"Excellent price and quality Overall the product has excellent quality and the price is more than competitive. The materials are quality and after few days of continuous use, are seen quite resistant. What more feature of these headphones, because for me i"&amp;"t is the most important thing is the quality of sound, well above other higher cost and more popular brand. These headphones are proof that all is not well known, not all the unknown evil. The music is heard amazing with bass, mid and treble defined and u"&amp;"ndistorted. Highly recommended to see the TV because the voices are realistic. But the best, in my opinion, is to use them to watch movies at a good volume without disturbing anyone and enviable sound quality. In short: they have good volume, excellent qu"&amp;"ality, are lightweight and have just notes that posts. Five stars.")</f>
        <v>Excellent price and quality Overall the product has excellent quality and the price is more than competitive. The materials are quality and after few days of continuous use, are seen quite resistant. What more feature of these headphones, because for me it is the most important thing is the quality of sound, well above other higher cost and more popular brand. These headphones are proof that all is not well known, not all the unknown evil. The music is heard amazing with bass, mid and treble defined and undistorted. Highly recommended to see the TV because the voices are realistic. But the best, in my opinion, is to use them to watch movies at a good volume without disturbing anyone and enviable sound quality. In short: they have good volume, excellent quality, are lightweight and have just notes that posts. Five stars.</v>
      </c>
    </row>
    <row r="19013">
      <c r="A19013" s="1">
        <v>5.0</v>
      </c>
      <c r="B19013" s="1" t="s">
        <v>18831</v>
      </c>
      <c r="C19013" t="str">
        <f>IFERROR(__xludf.DUMMYFUNCTION("GOOGLETRANSLATE(B19013, ""es"", ""en"")"),"I have a 42.5 and m are well l 42 Very comfortable and I are perfect")</f>
        <v>I have a 42.5 and m are well l 42 Very comfortable and I are perfect</v>
      </c>
    </row>
    <row r="19014">
      <c r="A19014" s="1">
        <v>5.0</v>
      </c>
      <c r="B19014" s="1" t="s">
        <v>18832</v>
      </c>
      <c r="C19014" t="str">
        <f>IFERROR(__xludf.DUMMYFUNCTION("GOOGLETRANSLATE(B19014, ""es"", ""en"")"),"What he looked as described in the features.")</f>
        <v>What he looked as described in the features.</v>
      </c>
    </row>
    <row r="19015">
      <c r="A19015" s="1">
        <v>5.0</v>
      </c>
      <c r="B19015" s="1" t="s">
        <v>18833</v>
      </c>
      <c r="C19015" t="str">
        <f>IFERROR(__xludf.DUMMYFUNCTION("GOOGLETRANSLATE(B19015, ""es"", ""en"")"),"Quality and cheap covers are of good quality, fully transparent and smooth and are slightly larger than the pages, so that fit enough. A good buy, no doubt.")</f>
        <v>Quality and cheap covers are of good quality, fully transparent and smooth and are slightly larger than the pages, so that fit enough. A good buy, no doubt.</v>
      </c>
    </row>
    <row r="19016">
      <c r="A19016" s="1">
        <v>5.0</v>
      </c>
      <c r="B19016" s="1" t="s">
        <v>18834</v>
      </c>
      <c r="C19016" t="str">
        <f>IFERROR(__xludf.DUMMYFUNCTION("GOOGLETRANSLATE(B19016, ""es"", ""en"")"),"quantity, quality and price superb product quality in both quantity and price, especially use to generate CO2 in an aquarium, with sodium bicarbonate. however I have tried to make sour gummies jelly and I were great. multipurpose product. both for cooking"&amp;" and other uses")</f>
        <v>quantity, quality and price superb product quality in both quantity and price, especially use to generate CO2 in an aquarium, with sodium bicarbonate. however I have tried to make sour gummies jelly and I were great. multipurpose product. both for cooking and other uses</v>
      </c>
    </row>
    <row r="19017">
      <c r="A19017" s="1">
        <v>5.0</v>
      </c>
      <c r="B19017" s="1" t="s">
        <v>18835</v>
      </c>
      <c r="C19017" t="str">
        <f>IFERROR(__xludf.DUMMYFUNCTION("GOOGLETRANSLATE(B19017, ""es"", ""en"")"),"I do not stop singing is the second first bought this for my niece and daughter for d friends ..")</f>
        <v>I do not stop singing is the second first bought this for my niece and daughter for d friends ..</v>
      </c>
    </row>
    <row r="19018">
      <c r="A19018" s="1">
        <v>5.0</v>
      </c>
      <c r="B19018" s="1" t="s">
        <v>18836</v>
      </c>
      <c r="C19018" t="str">
        <f>IFERROR(__xludf.DUMMYFUNCTION("GOOGLETRANSLATE(B19018, ""es"", ""en"")"),"Fulfills its mission to be seamlessly bought my daughter and loves. He says they are very comfortable, they fit perfectly and with them not slip")</f>
        <v>Fulfills its mission to be seamlessly bought my daughter and loves. He says they are very comfortable, they fit perfectly and with them not slip</v>
      </c>
    </row>
    <row r="19019">
      <c r="A19019" s="1">
        <v>5.0</v>
      </c>
      <c r="B19019" s="1" t="s">
        <v>18837</v>
      </c>
      <c r="C19019" t="str">
        <f>IFERROR(__xludf.DUMMYFUNCTION("GOOGLETRANSLATE(B19019, ""es"", ""en"")"),"Price-Quality good The small size is ideal for q have thin fingers. Is beautiful, buy gift. It is early to say q discolors but for now a very nice ring looks.")</f>
        <v>Price-Quality good The small size is ideal for q have thin fingers. Is beautiful, buy gift. It is early to say q discolors but for now a very nice ring looks.</v>
      </c>
    </row>
    <row r="19020">
      <c r="A19020" s="1">
        <v>5.0</v>
      </c>
      <c r="B19020" s="1" t="s">
        <v>18838</v>
      </c>
      <c r="C19020" t="str">
        <f>IFERROR(__xludf.DUMMYFUNCTION("GOOGLETRANSLATE(B19020, ""es"", ""en"")"),"Very good product really very good product, excellent quality materials and really fulfills its functionality. It is perfect for those who want to save but do not have a recording studio, you can isolate the microphone outside sound and really seems to be"&amp;" in a professional recording studio.")</f>
        <v>Very good product really very good product, excellent quality materials and really fulfills its functionality. It is perfect for those who want to save but do not have a recording studio, you can isolate the microphone outside sound and really seems to be in a professional recording studio.</v>
      </c>
    </row>
    <row r="19021">
      <c r="A19021" s="1">
        <v>5.0</v>
      </c>
      <c r="B19021" s="1" t="s">
        <v>18839</v>
      </c>
      <c r="C19021" t="str">
        <f>IFERROR(__xludf.DUMMYFUNCTION("GOOGLETRANSLATE(B19021, ""es"", ""en"")"),"Perfect very nice and the price right.")</f>
        <v>Perfect very nice and the price right.</v>
      </c>
    </row>
    <row r="19022">
      <c r="A19022" s="1">
        <v>5.0</v>
      </c>
      <c r="B19022" s="1" t="s">
        <v>18840</v>
      </c>
      <c r="C19022" t="str">
        <f>IFERROR(__xludf.DUMMYFUNCTION("GOOGLETRANSLATE(B19022, ""es"", ""en"")"),"Comfortable. Very comfortable. Had long been looking for a messenger bag was comfortable and the wide time to take my camera or my two cameras, without using the typical photography, much more rigid and that the after a while are a nuisance. That's not mu"&amp;"ch more reinforced and padded. This no reinforcements or shoulder is padded, but the finish is quality and is very safe. Obviously I'm not leaving anyway, because I have the camera inside, but it's so comfortable that I can wear all day and did you hear a"&amp;"bove. On the other hand it has many sections and pockets (both closed and no) To make it convenient store glasses, wallet or keys without opening it fully. It has a right size, neither too large nor too small. A portable 15 ""not fit for little. Such a lo"&amp;"wer time. Two SLRs fit to spare with their respective objectives. Documents Type A4 as well. Since the acquired has become my inseparable companion. Recommended and for the price option that has .......")</f>
        <v>Comfortable. Very comfortable. Had long been looking for a messenger bag was comfortable and the wide time to take my camera or my two cameras, without using the typical photography, much more rigid and that the after a while are a nuisance. That's not much more reinforced and padded. This no reinforcements or shoulder is padded, but the finish is quality and is very safe. Obviously I'm not leaving anyway, because I have the camera inside, but it's so comfortable that I can wear all day and did you hear above. On the other hand it has many sections and pockets (both closed and no) To make it convenient store glasses, wallet or keys without opening it fully. It has a right size, neither too large nor too small. A portable 15 "not fit for little. Such a lower time. Two SLRs fit to spare with their respective objectives. Documents Type A4 as well. Since the acquired has become my inseparable companion. Recommended and for the price option that has .......</v>
      </c>
    </row>
    <row r="19023">
      <c r="A19023" s="1">
        <v>2.0</v>
      </c>
      <c r="B19023" s="1" t="s">
        <v>18841</v>
      </c>
      <c r="C19023" t="str">
        <f>IFERROR(__xludf.DUMMYFUNCTION("GOOGLETRANSLATE(B19023, ""es"", ""en"")"),"It might be better topped, albeit a bit more expensive Mal topped, very nice design but finished very rough, unpolished")</f>
        <v>It might be better topped, albeit a bit more expensive Mal topped, very nice design but finished very rough, unpolished</v>
      </c>
    </row>
    <row r="19024">
      <c r="A19024" s="1">
        <v>3.0</v>
      </c>
      <c r="B19024" s="1" t="s">
        <v>18842</v>
      </c>
      <c r="C19024" t="str">
        <f>IFERROR(__xludf.DUMMYFUNCTION("GOOGLETRANSLATE(B19024, ""es"", ""en"")"),"no more is not really its function .... if you leave enough bubbles from the nipple, but when the girl did not complain about the tummy, so I understand something does, because normally eat children suffer from bibi colicos, and mine at the moment nothing"&amp;".")</f>
        <v>no more is not really its function .... if you leave enough bubbles from the nipple, but when the girl did not complain about the tummy, so I understand something does, because normally eat children suffer from bibi colicos, and mine at the moment nothing.</v>
      </c>
    </row>
    <row r="19025">
      <c r="A19025" s="1">
        <v>3.0</v>
      </c>
      <c r="B19025" s="1" t="s">
        <v>18843</v>
      </c>
      <c r="C19025" t="str">
        <f>IFERROR(__xludf.DUMMYFUNCTION("GOOGLETRANSLATE(B19025, ""es"", ""en"")"),"He hoped the smell of the fragrance last longer beautiful presentation, good smells only thing you must place esque more drops than recommended and goes very quickly smell the fragrance")</f>
        <v>He hoped the smell of the fragrance last longer beautiful presentation, good smells only thing you must place esque more drops than recommended and goes very quickly smell the fragrance</v>
      </c>
    </row>
    <row r="19026">
      <c r="A19026" s="1">
        <v>1.0</v>
      </c>
      <c r="B19026" s="1" t="s">
        <v>18844</v>
      </c>
      <c r="C19026" t="str">
        <f>IFERROR(__xludf.DUMMYFUNCTION("GOOGLETRANSLATE(B19026, ""es"", ""en"")"),"sleazy After a while the chain feature")</f>
        <v>sleazy After a while the chain feature</v>
      </c>
    </row>
    <row r="19027">
      <c r="A19027" s="1">
        <v>1.0</v>
      </c>
      <c r="B19027" s="1" t="s">
        <v>18845</v>
      </c>
      <c r="C19027" t="str">
        <f>IFERROR(__xludf.DUMMYFUNCTION("GOOGLETRANSLATE(B19027, ""es"", ""en"")"),"Spoiled in a month I received the product within the required deadline and the expected carve, however, to the month of use they have lost all color, have discolored (they were dark blue) and laces are filled with balls. It seems that would have used for "&amp;"years, I am ashamed to use them. A real disappointment.")</f>
        <v>Spoiled in a month I received the product within the required deadline and the expected carve, however, to the month of use they have lost all color, have discolored (they were dark blue) and laces are filled with balls. It seems that would have used for years, I am ashamed to use them. A real disappointment.</v>
      </c>
    </row>
    <row r="19028">
      <c r="A19028" s="1">
        <v>4.0</v>
      </c>
      <c r="B19028" s="1" t="s">
        <v>18846</v>
      </c>
      <c r="C19028" t="str">
        <f>IFERROR(__xludf.DUMMYFUNCTION("GOOGLETRANSLATE(B19028, ""es"", ""en"")"),"Good value for money has good power indoors, maybe it is a little short for open places, to the put to the maximum engages times and annoying, echoing talking.")</f>
        <v>Good value for money has good power indoors, maybe it is a little short for open places, to the put to the maximum engages times and annoying, echoing talking.</v>
      </c>
    </row>
    <row r="19029">
      <c r="A19029" s="1">
        <v>4.0</v>
      </c>
      <c r="B19029" s="1" t="s">
        <v>18847</v>
      </c>
      <c r="C19029" t="str">
        <f>IFERROR(__xludf.DUMMYFUNCTION("GOOGLETRANSLATE(B19029, ""es"", ""en"")"),"Buenos The fabric is soft and fresh, so far it looks good quality")</f>
        <v>Buenos The fabric is soft and fresh, so far it looks good quality</v>
      </c>
    </row>
    <row r="19030">
      <c r="A19030" s="1">
        <v>4.0</v>
      </c>
      <c r="B19030" s="1" t="s">
        <v>18848</v>
      </c>
      <c r="C19030" t="str">
        <f>IFERROR(__xludf.DUMMYFUNCTION("GOOGLETRANSLATE(B19030, ""es"", ""en"")"),"A perfect foot right foot another tight squeezes my little finger, the perfect left (seem exposure). The quality of the product perfect, very nice. If it were not for that ruling, perfect.")</f>
        <v>A perfect foot right foot another tight squeezes my little finger, the perfect left (seem exposure). The quality of the product perfect, very nice. If it were not for that ruling, perfect.</v>
      </c>
    </row>
    <row r="19031">
      <c r="A19031" s="1">
        <v>4.0</v>
      </c>
      <c r="B19031" s="1" t="s">
        <v>18849</v>
      </c>
      <c r="C19031" t="str">
        <f>IFERROR(__xludf.DUMMYFUNCTION("GOOGLETRANSLATE(B19031, ""es"", ""en"")"),"Good value for money good buy")</f>
        <v>Good value for money good buy</v>
      </c>
    </row>
    <row r="19032">
      <c r="A19032" s="1">
        <v>5.0</v>
      </c>
      <c r="B19032" s="1" t="s">
        <v>18850</v>
      </c>
      <c r="C19032" t="str">
        <f>IFERROR(__xludf.DUMMYFUNCTION("GOOGLETRANSLATE(B19032, ""es"", ""en"")"),"Romina Looks good, comfortable and beautiful recommend them, I have delicate feet and go very well with them")</f>
        <v>Romina Looks good, comfortable and beautiful recommend them, I have delicate feet and go very well with them</v>
      </c>
    </row>
    <row r="19033">
      <c r="A19033" s="1">
        <v>5.0</v>
      </c>
      <c r="B19033" s="1" t="s">
        <v>18851</v>
      </c>
      <c r="C19033" t="str">
        <f>IFERROR(__xludf.DUMMYFUNCTION("GOOGLETRANSLATE(B19033, ""es"", ""en"")"),"Mobility about everything I liked most is that the engine is at the top, in many cases must be cleaned very close areas (sofa for example), and this tube is not necessary with this vacuum cleaner is not mandatory to use. Because of the use I give, not the"&amp;" soil to recharge after use, yet has lasted me several sessions without problems. has enough power to move small things while clean, if it absorbs a lot of dust or the like, can obstruct the ""valve"" that this is just where the tube is attached, if it is"&amp;" cleaned properly never loses power.")</f>
        <v>Mobility about everything I liked most is that the engine is at the top, in many cases must be cleaned very close areas (sofa for example), and this tube is not necessary with this vacuum cleaner is not mandatory to use. Because of the use I give, not the soil to recharge after use, yet has lasted me several sessions without problems. has enough power to move small things while clean, if it absorbs a lot of dust or the like, can obstruct the "valve" that this is just where the tube is attached, if it is cleaned properly never loses power.</v>
      </c>
    </row>
    <row r="19034">
      <c r="A19034" s="1">
        <v>5.0</v>
      </c>
      <c r="B19034" s="1" t="s">
        <v>18852</v>
      </c>
      <c r="C19034" t="str">
        <f>IFERROR(__xludf.DUMMYFUNCTION("GOOGLETRANSLATE(B19034, ""es"", ""en"")"),"Well okay for the price tiene.No big deal but it is fine for girls to sing and have a good time. I'm happy with the purchase.")</f>
        <v>Well okay for the price tiene.No big deal but it is fine for girls to sing and have a good time. I'm happy with the purchase.</v>
      </c>
    </row>
    <row r="19035">
      <c r="A19035" s="1">
        <v>5.0</v>
      </c>
      <c r="B19035" s="1" t="s">
        <v>18853</v>
      </c>
      <c r="C19035" t="str">
        <f>IFERROR(__xludf.DUMMYFUNCTION("GOOGLETRANSLATE(B19035, ""es"", ""en"")"),"Comfort and quality. Very satisfied with the purchase made. The finish and quality of helmets meets expectations. Once are synchronized, they are removed from the pack loading and automatically connect to the terminal. With a single button on each hull al"&amp;"lows all necessary functions when listening to music, volume control play, pause, skip tracks, called. It all depends on the number of times you press the button and the chosen town. Helmets autonomy is good, using them to train and roads to work. I've al"&amp;"so made a call and I was able to have a conversation with another person without problems. The pack is small and fits into any pocket. Allowing store and load.")</f>
        <v>Comfort and quality. Very satisfied with the purchase made. The finish and quality of helmets meets expectations. Once are synchronized, they are removed from the pack loading and automatically connect to the terminal. With a single button on each hull allows all necessary functions when listening to music, volume control play, pause, skip tracks, called. It all depends on the number of times you press the button and the chosen town. Helmets autonomy is good, using them to train and roads to work. I've also made a call and I was able to have a conversation with another person without problems. The pack is small and fits into any pocket. Allowing store and load.</v>
      </c>
    </row>
    <row r="19036">
      <c r="A19036" s="1">
        <v>5.0</v>
      </c>
      <c r="B19036" s="1" t="s">
        <v>18854</v>
      </c>
      <c r="C19036" t="str">
        <f>IFERROR(__xludf.DUMMYFUNCTION("GOOGLETRANSLATE(B19036, ""es"", ""en"")"),"Perfect Product is just what it promises. Speed ​​read and write very fast. Totally satisfied")</f>
        <v>Perfect Product is just what it promises. Speed ​​read and write very fast. Totally satisfied</v>
      </c>
    </row>
    <row r="19037">
      <c r="A19037" s="1">
        <v>5.0</v>
      </c>
      <c r="B19037" s="1" t="s">
        <v>18855</v>
      </c>
      <c r="C19037" t="str">
        <f>IFERROR(__xludf.DUMMYFUNCTION("GOOGLETRANSLATE(B19037, ""es"", ""en"")"),"Gift quality product for my daughter. He was the star of Christmas Eve. Amazing sound. Fun, then allows karoke. Very easy to handle.")</f>
        <v>Gift quality product for my daughter. He was the star of Christmas Eve. Amazing sound. Fun, then allows karoke. Very easy to handle.</v>
      </c>
    </row>
    <row r="19038">
      <c r="A19038" s="1">
        <v>5.0</v>
      </c>
      <c r="B19038" s="1" t="s">
        <v>18856</v>
      </c>
      <c r="C19038" t="str">
        <f>IFERROR(__xludf.DUMMYFUNCTION("GOOGLETRANSLATE(B19038, ""es"", ""en"")"),"Quality materials Beautiful !! Quality materials. Resistant. Much capacity. Fits a laptop and much more. Compartments very useful. A great buy.")</f>
        <v>Quality materials Beautiful !! Quality materials. Resistant. Much capacity. Fits a laptop and much more. Compartments very useful. A great buy.</v>
      </c>
    </row>
    <row r="19039">
      <c r="A19039" s="1">
        <v>5.0</v>
      </c>
      <c r="B19039" s="1" t="s">
        <v>18857</v>
      </c>
      <c r="C19039" t="str">
        <f>IFERROR(__xludf.DUMMYFUNCTION("GOOGLETRANSLATE(B19039, ""es"", ""en"")"),"A great investment for my feet a wonder. Very comfortable to put (all woven elastic), and it seems to go barefoot. I repeat no doubt")</f>
        <v>A great investment for my feet a wonder. Very comfortable to put (all woven elastic), and it seems to go barefoot. I repeat no doubt</v>
      </c>
    </row>
    <row r="19040">
      <c r="A19040" s="1">
        <v>5.0</v>
      </c>
      <c r="B19040" s="1" t="s">
        <v>18858</v>
      </c>
      <c r="C19040" t="str">
        <f>IFERROR(__xludf.DUMMYFUNCTION("GOOGLETRANSLATE(B19040, ""es"", ""en"")"),"Team very well designed and easy to tune the simplicity of handling and tuning. The low weight of the equipment. I would recommend it to all my friends who have trouble hearing the TV or music without disturbing others.")</f>
        <v>Team very well designed and easy to tune the simplicity of handling and tuning. The low weight of the equipment. I would recommend it to all my friends who have trouble hearing the TV or music without disturbing others.</v>
      </c>
    </row>
    <row r="19041">
      <c r="A19041" s="1">
        <v>5.0</v>
      </c>
      <c r="B19041" s="1" t="s">
        <v>461</v>
      </c>
      <c r="C19041" t="str">
        <f>IFERROR(__xludf.DUMMYFUNCTION("GOOGLETRANSLATE(B19041, ""es"", ""en"")"),"excellent excellent")</f>
        <v>excellent excellent</v>
      </c>
    </row>
    <row r="19042">
      <c r="A19042" s="1">
        <v>5.0</v>
      </c>
      <c r="B19042" s="1" t="s">
        <v>18859</v>
      </c>
      <c r="C19042" t="str">
        <f>IFERROR(__xludf.DUMMYFUNCTION("GOOGLETRANSLATE(B19042, ""es"", ""en"")"),"Perfect I am satisfied with the product, in addition to being USB 3.1 works very fast in the file transfer. I recommend it")</f>
        <v>Perfect I am satisfied with the product, in addition to being USB 3.1 works very fast in the file transfer. I recommend it</v>
      </c>
    </row>
    <row r="19043">
      <c r="A19043" s="1">
        <v>5.0</v>
      </c>
      <c r="B19043" s="1" t="s">
        <v>18860</v>
      </c>
      <c r="C19043" t="str">
        <f>IFERROR(__xludf.DUMMYFUNCTION("GOOGLETRANSLATE(B19043, ""es"", ""en"")"),"Anabela Rodruguez The product super good as is indicated in the brochure the perfect size and very comfortable for walking and resistant")</f>
        <v>Anabela Rodruguez The product super good as is indicated in the brochure the perfect size and very comfortable for walking and resistant</v>
      </c>
    </row>
    <row r="19044">
      <c r="A19044" s="1">
        <v>5.0</v>
      </c>
      <c r="B19044" s="1" t="s">
        <v>18861</v>
      </c>
      <c r="C19044" t="str">
        <f>IFERROR(__xludf.DUMMYFUNCTION("GOOGLETRANSLATE(B19044, ""es"", ""en"")"),"It was very nice to give and the truth that it was right. It is very nice place. It came very quickly.")</f>
        <v>It was very nice to give and the truth that it was right. It is very nice place. It came very quickly.</v>
      </c>
    </row>
    <row r="19045">
      <c r="A19045" s="1">
        <v>5.0</v>
      </c>
      <c r="B19045" s="1" t="s">
        <v>18862</v>
      </c>
      <c r="C19045" t="str">
        <f>IFERROR(__xludf.DUMMYFUNCTION("GOOGLETRANSLATE(B19045, ""es"", ""en"")"),"Headphones sport very comfortable and good autonomy package has always taken me only 24 hours. Very fast. Practical sport every day and was looking for a headset that suited the ear well and have not been disappointed. They have very good autonomy me last"&amp;" 4 sessions in a gym perfectly. Loading is very fast, I estimate at the time. Synchronization with mobile is very easy. Value producer perfect.")</f>
        <v>Headphones sport very comfortable and good autonomy package has always taken me only 24 hours. Very fast. Practical sport every day and was looking for a headset that suited the ear well and have not been disappointed. They have very good autonomy me last 4 sessions in a gym perfectly. Loading is very fast, I estimate at the time. Synchronization with mobile is very easy. Value producer perfect.</v>
      </c>
    </row>
    <row r="19046">
      <c r="A19046" s="1">
        <v>5.0</v>
      </c>
      <c r="B19046" s="1" t="s">
        <v>18863</v>
      </c>
      <c r="C19046" t="str">
        <f>IFERROR(__xludf.DUMMYFUNCTION("GOOGLETRANSLATE(B19046, ""es"", ""en"")"),"Comfortable and sound good I think are the best headphones of this style that best presented I have arrived. perfect fit, comfortable and sound is good. Besides, the case brings to save apparently has good touch and good quality. One thing my amused me wh"&amp;"en I opened was that the jack brings as a FUNDIT that protects and my taste is great. And the jack is not full of shit and you is not going to the handset of the phone.")</f>
        <v>Comfortable and sound good I think are the best headphones of this style that best presented I have arrived. perfect fit, comfortable and sound is good. Besides, the case brings to save apparently has good touch and good quality. One thing my amused me when I opened was that the jack brings as a FUNDIT that protects and my taste is great. And the jack is not full of shit and you is not going to the handset of the phone.</v>
      </c>
    </row>
    <row r="19047">
      <c r="A19047" s="1">
        <v>5.0</v>
      </c>
      <c r="B19047" s="1" t="s">
        <v>18864</v>
      </c>
      <c r="C19047" t="str">
        <f>IFERROR(__xludf.DUMMYFUNCTION("GOOGLETRANSLATE(B19047, ""es"", ""en"")"),"I like everything beautiful, my question, how soon start to break down")</f>
        <v>I like everything beautiful, my question, how soon start to break down</v>
      </c>
    </row>
    <row r="19048">
      <c r="A19048" s="1">
        <v>5.0</v>
      </c>
      <c r="B19048" s="1" t="s">
        <v>18865</v>
      </c>
      <c r="C19048" t="str">
        <f>IFERROR(__xludf.DUMMYFUNCTION("GOOGLETRANSLATE(B19048, ""es"", ""en"")"),"He was delighted .. !!! Toy very original and completo.La quality and resistance is very good, worth buying verdad.Merece.")</f>
        <v>He was delighted .. !!! Toy very original and completo.La quality and resistance is very good, worth buying verdad.Merece.</v>
      </c>
    </row>
    <row r="19049">
      <c r="A19049" s="1">
        <v>5.0</v>
      </c>
      <c r="B19049" s="1" t="s">
        <v>18866</v>
      </c>
      <c r="C19049" t="str">
        <f>IFERROR(__xludf.DUMMYFUNCTION("GOOGLETRANSLATE(B19049, ""es"", ""en"")"),"A product 10 came in perfect condition, the try, ranging from 10, very comfortable, and have tasted in rain, rivers, it is impervious to the 100x100. A unique and very attractive design, is a highly recommended product.")</f>
        <v>A product 10 came in perfect condition, the try, ranging from 10, very comfortable, and have tasted in rain, rivers, it is impervious to the 100x100. A unique and very attractive design, is a highly recommended product.</v>
      </c>
    </row>
    <row r="19050">
      <c r="A19050" s="1">
        <v>5.0</v>
      </c>
      <c r="B19050" s="1" t="s">
        <v>18867</v>
      </c>
      <c r="C19050" t="str">
        <f>IFERROR(__xludf.DUMMYFUNCTION("GOOGLETRANSLATE(B19050, ""es"", ""en"")"),"You hear a blast it seems to have a little lag with software El Gato but in the OBS is perfect. I'm auditioning. Very happy with purchase")</f>
        <v>You hear a blast it seems to have a little lag with software El Gato but in the OBS is perfect. I'm auditioning. Very happy with purchase</v>
      </c>
    </row>
    <row r="19051">
      <c r="A19051" s="1">
        <v>2.0</v>
      </c>
      <c r="B19051" s="1" t="s">
        <v>18868</v>
      </c>
      <c r="C19051" t="str">
        <f>IFERROR(__xludf.DUMMYFUNCTION("GOOGLETRANSLATE(B19051, ""es"", ""en"")"),"Original not appear seems original, despite being in an original box skin is very thin and probably soon skip the small white layer that covers it. puts on the label Made in China just like the top of the blanket. I have returned.")</f>
        <v>Original not appear seems original, despite being in an original box skin is very thin and probably soon skip the small white layer that covers it. puts on the label Made in China just like the top of the blanket. I have returned.</v>
      </c>
    </row>
    <row r="19052">
      <c r="A19052" s="1">
        <v>3.0</v>
      </c>
      <c r="B19052" s="1" t="s">
        <v>18869</v>
      </c>
      <c r="C19052" t="str">
        <f>IFERROR(__xludf.DUMMYFUNCTION("GOOGLETRANSLATE(B19052, ""es"", ""en"")"),"Regular Good quality, fast shipping and recognized brand. But it does not cover the entire ear and the sound does not insulate well. Regular sound quality / Justito. Would not buy, but for the price you can not ask for more.")</f>
        <v>Regular Good quality, fast shipping and recognized brand. But it does not cover the entire ear and the sound does not insulate well. Regular sound quality / Justito. Would not buy, but for the price you can not ask for more.</v>
      </c>
    </row>
    <row r="19053">
      <c r="A19053" s="1">
        <v>3.0</v>
      </c>
      <c r="B19053" s="1" t="s">
        <v>18870</v>
      </c>
      <c r="C19053" t="str">
        <f>IFERROR(__xludf.DUMMYFUNCTION("GOOGLETRANSLATE(B19053, ""es"", ""en"")"),"Eli is nice, looks good and works for any occasional outing or gift, good quality / price ratio. It has been a good buy.")</f>
        <v>Eli is nice, looks good and works for any occasional outing or gift, good quality / price ratio. It has been a good buy.</v>
      </c>
    </row>
    <row r="19054">
      <c r="A19054" s="1">
        <v>1.0</v>
      </c>
      <c r="B19054" s="1" t="s">
        <v>18871</v>
      </c>
      <c r="C19054" t="str">
        <f>IFERROR(__xludf.DUMMYFUNCTION("GOOGLETRANSLATE(B19054, ""es"", ""en"")"),"Very bad, they break a few weeks very bad. The cable is terribly finite, and there is no way leave them in the ear fixed. You start to walk and fall in 15 seconds. Also one of the headphones and microphone stopped working after a few weeks of use. a fiasc"&amp;"o")</f>
        <v>Very bad, they break a few weeks very bad. The cable is terribly finite, and there is no way leave them in the ear fixed. You start to walk and fall in 15 seconds. Also one of the headphones and microphone stopped working after a few weeks of use. a fiasco</v>
      </c>
    </row>
    <row r="19055">
      <c r="A19055" s="1">
        <v>1.0</v>
      </c>
      <c r="B19055" s="1" t="s">
        <v>18872</v>
      </c>
      <c r="C19055" t="str">
        <f>IFERROR(__xludf.DUMMYFUNCTION("GOOGLETRANSLATE(B19055, ""es"", ""en"")"),"Quality very low very low quality and very consistent, very thin. fair and without any margin for inserting pages, including some A4 size or when several folios are large and undulating is the lack of space. As presentation documents or to give it present"&amp;"able. 3 € more quality for sheets. I do not recommend it.")</f>
        <v>Quality very low very low quality and very consistent, very thin. fair and without any margin for inserting pages, including some A4 size or when several folios are large and undulating is the lack of space. As presentation documents or to give it presentable. 3 € more quality for sheets. I do not recommend it.</v>
      </c>
    </row>
    <row r="19056">
      <c r="A19056" s="1">
        <v>4.0</v>
      </c>
      <c r="B19056" s="1" t="s">
        <v>18873</v>
      </c>
      <c r="C19056" t="str">
        <f>IFERROR(__xludf.DUMMYFUNCTION("GOOGLETRANSLATE(B19056, ""es"", ""en"")"),"Good USB memory Since I've bought has not had failures, is USB 2.0 so it goes a little slower than new ones.")</f>
        <v>Good USB memory Since I've bought has not had failures, is USB 2.0 so it goes a little slower than new ones.</v>
      </c>
    </row>
    <row r="19057">
      <c r="A19057" s="1">
        <v>4.0</v>
      </c>
      <c r="B19057" s="1" t="s">
        <v>4143</v>
      </c>
      <c r="C19057" t="str">
        <f>IFERROR(__xludf.DUMMYFUNCTION("GOOGLETRANSLATE(B19057, ""es"", ""en"")"),"All ok all ok")</f>
        <v>All ok all ok</v>
      </c>
    </row>
    <row r="19058">
      <c r="A19058" s="1">
        <v>4.0</v>
      </c>
      <c r="B19058" s="1" t="s">
        <v>18874</v>
      </c>
      <c r="C19058" t="str">
        <f>IFERROR(__xludf.DUMMYFUNCTION("GOOGLETRANSLATE(B19058, ""es"", ""en"")"),"Very fast it is what I was looking ara chop the vegetables in different ways. It meets generally in what promises")</f>
        <v>Very fast it is what I was looking ara chop the vegetables in different ways. It meets generally in what promises</v>
      </c>
    </row>
    <row r="19059">
      <c r="A19059" s="1">
        <v>4.0</v>
      </c>
      <c r="B19059" s="1" t="s">
        <v>18875</v>
      </c>
      <c r="C19059" t="str">
        <f>IFERROR(__xludf.DUMMYFUNCTION("GOOGLETRANSLATE(B19059, ""es"", ""en"")"),"Very nice I really like Thanks Regards Maria")</f>
        <v>Very nice I really like Thanks Regards Maria</v>
      </c>
    </row>
    <row r="19060">
      <c r="A19060" s="1">
        <v>4.0</v>
      </c>
      <c r="B19060" s="1" t="s">
        <v>18876</v>
      </c>
      <c r="C19060" t="str">
        <f>IFERROR(__xludf.DUMMYFUNCTION("GOOGLETRANSLATE(B19060, ""es"", ""en"")"),"chulas are fine, the fabric is also good, which is too dirty white. But overall good. Thank you.")</f>
        <v>chulas are fine, the fabric is also good, which is too dirty white. But overall good. Thank you.</v>
      </c>
    </row>
    <row r="19061">
      <c r="A19061" s="1">
        <v>5.0</v>
      </c>
      <c r="B19061" s="1" t="s">
        <v>18877</v>
      </c>
      <c r="C19061" t="str">
        <f>IFERROR(__xludf.DUMMYFUNCTION("GOOGLETRANSLATE(B19061, ""es"", ""en"")"),"The chain is very nice very nice. I do not take it off and this as the first day, it is very bright. It is very finite, but that tastes. I love it.")</f>
        <v>The chain is very nice very nice. I do not take it off and this as the first day, it is very bright. It is very finite, but that tastes. I love it.</v>
      </c>
    </row>
    <row r="19062">
      <c r="A19062" s="1">
        <v>5.0</v>
      </c>
      <c r="B19062" s="1" t="s">
        <v>18878</v>
      </c>
      <c r="C19062" t="str">
        <f>IFERROR(__xludf.DUMMYFUNCTION("GOOGLETRANSLATE(B19062, ""es"", ""en"")"),"It's a great shirt left me great,")</f>
        <v>It's a great shirt left me great,</v>
      </c>
    </row>
    <row r="19063">
      <c r="A19063" s="1">
        <v>5.0</v>
      </c>
      <c r="B19063" s="1" t="s">
        <v>18879</v>
      </c>
      <c r="C19063" t="str">
        <f>IFERROR(__xludf.DUMMYFUNCTION("GOOGLETRANSLATE(B19063, ""es"", ""en"")"),"Super super good quality")</f>
        <v>Super super good quality</v>
      </c>
    </row>
    <row r="19064">
      <c r="A19064" s="1">
        <v>5.0</v>
      </c>
      <c r="B19064" s="1" t="s">
        <v>18880</v>
      </c>
      <c r="C19064" t="str">
        <f>IFERROR(__xludf.DUMMYFUNCTION("GOOGLETRANSLATE(B19064, ""es"", ""en"")"),"Good quality, good price is very elegant, finite and discreta.Ideal to put it another bracelet or alone, the hearts have a blue precioso.tiene a small chain to adjust the size of each muñeca.Se looks good quality")</f>
        <v>Good quality, good price is very elegant, finite and discreta.Ideal to put it another bracelet or alone, the hearts have a blue precioso.tiene a small chain to adjust the size of each muñeca.Se looks good quality</v>
      </c>
    </row>
    <row r="19065">
      <c r="A19065" s="1">
        <v>5.0</v>
      </c>
      <c r="B19065" s="1" t="s">
        <v>18881</v>
      </c>
      <c r="C19065" t="str">
        <f>IFERROR(__xludf.DUMMYFUNCTION("GOOGLETRANSLATE(B19065, ""es"", ""en"")"),"Adhesive tape of high quality and very economical adhesion and adhesive tape quality. Strong sealing, packing heavy objects as the tape is very durable. It can also be used to pack less heavy objects. It adheres very well in the box, unlike other films th"&amp;"at are worthless and are worth the same or more expensive")</f>
        <v>Adhesive tape of high quality and very economical adhesion and adhesive tape quality. Strong sealing, packing heavy objects as the tape is very durable. It can also be used to pack less heavy objects. It adheres very well in the box, unlike other films that are worthless and are worth the same or more expensive</v>
      </c>
    </row>
    <row r="19066">
      <c r="A19066" s="1">
        <v>5.0</v>
      </c>
      <c r="B19066" s="1" t="s">
        <v>18882</v>
      </c>
      <c r="C19066" t="str">
        <f>IFERROR(__xludf.DUMMYFUNCTION("GOOGLETRANSLATE(B19066, ""es"", ""en"")"),"Okay Along with his bucket, very good homemade tool")</f>
        <v>Okay Along with his bucket, very good homemade tool</v>
      </c>
    </row>
    <row r="19067">
      <c r="A19067" s="1">
        <v>5.0</v>
      </c>
      <c r="B19067" s="1" t="s">
        <v>18883</v>
      </c>
      <c r="C19067" t="str">
        <f>IFERROR(__xludf.DUMMYFUNCTION("GOOGLETRANSLATE(B19067, ""es"", ""en"")"),"Disco quality / price had read a thousand comment about this brand, if noise if slowly ... We have to differentiate what we buy what we paid. I bought this album to save multiple files almost unimportant noise does nothing but sometime making the sounds l"&amp;"oad a click but almost nothing about speed is not it very fast but for the use you'll give I spare Lee 70/80 to 40/50 mb mb Write the dimenciones are very tight and quality of materials as well.")</f>
        <v>Disco quality / price had read a thousand comment about this brand, if noise if slowly ... We have to differentiate what we buy what we paid. I bought this album to save multiple files almost unimportant noise does nothing but sometime making the sounds load a click but almost nothing about speed is not it very fast but for the use you'll give I spare Lee 70/80 to 40/50 mb mb Write the dimenciones are very tight and quality of materials as well.</v>
      </c>
    </row>
    <row r="19068">
      <c r="A19068" s="1">
        <v>5.0</v>
      </c>
      <c r="B19068" s="1" t="s">
        <v>18884</v>
      </c>
      <c r="C19068" t="str">
        <f>IFERROR(__xludf.DUMMYFUNCTION("GOOGLETRANSLATE(B19068, ""es"", ""en"")"),"Excellent Very good product. Excellent quality ,. It is the second time I buy this product variability colors, very comfortable, adequate size. I recommend it")</f>
        <v>Excellent Very good product. Excellent quality ,. It is the second time I buy this product variability colors, very comfortable, adequate size. I recommend it</v>
      </c>
    </row>
    <row r="19069">
      <c r="A19069" s="1">
        <v>5.0</v>
      </c>
      <c r="B19069" s="1" t="s">
        <v>18885</v>
      </c>
      <c r="C19069" t="str">
        <f>IFERROR(__xludf.DUMMYFUNCTION("GOOGLETRANSLATE(B19069, ""es"", ""en"")"),"the best only say that the brand is already good, but using it can comment only 10 perfect and good grip, buying more is useful for all")</f>
        <v>the best only say that the brand is already good, but using it can comment only 10 perfect and good grip, buying more is useful for all</v>
      </c>
    </row>
    <row r="19070">
      <c r="A19070" s="1">
        <v>5.0</v>
      </c>
      <c r="B19070" s="1" t="s">
        <v>18886</v>
      </c>
      <c r="C19070" t="str">
        <f>IFERROR(__xludf.DUMMYFUNCTION("GOOGLETRANSLATE(B19070, ""es"", ""en"")"),"Excellent I bought many 2.5 ""drives due to the mobility of my job and I was sick they finished failing. I've already several months of use and is a joy. The use of the data flow 3.0 is a pass (higher than similar drives Toshiba or Iomega). the cable is v"&amp;"ery short. it gives a feeling of brutal strength, is the first album that I do not wear a protective sleeve and I think it's enough with rubber edge. and as light as any other disk. the price it has been considerably cheaper than in the other pages.")</f>
        <v>Excellent I bought many 2.5 "drives due to the mobility of my job and I was sick they finished failing. I've already several months of use and is a joy. The use of the data flow 3.0 is a pass (higher than similar drives Toshiba or Iomega). the cable is very short. it gives a feeling of brutal strength, is the first album that I do not wear a protective sleeve and I think it's enough with rubber edge. and as light as any other disk. the price it has been considerably cheaper than in the other pages.</v>
      </c>
    </row>
    <row r="19071">
      <c r="A19071" s="1">
        <v>5.0</v>
      </c>
      <c r="B19071" s="1" t="s">
        <v>18887</v>
      </c>
      <c r="C19071" t="str">
        <f>IFERROR(__xludf.DUMMYFUNCTION("GOOGLETRANSLATE(B19071, ""es"", ""en"")"),"Very pleased with the purchase Excellent, I bought have doubts by some comments I read from dissatisfied users, but proved unfounded because the device works on any surface barbarian.")</f>
        <v>Very pleased with the purchase Excellent, I bought have doubts by some comments I read from dissatisfied users, but proved unfounded because the device works on any surface barbarian.</v>
      </c>
    </row>
    <row r="19072">
      <c r="A19072" s="1">
        <v>5.0</v>
      </c>
      <c r="B19072" s="1" t="s">
        <v>18888</v>
      </c>
      <c r="C19072" t="str">
        <f>IFERROR(__xludf.DUMMYFUNCTION("GOOGLETRANSLATE(B19072, ""es"", ""en"")"),"Precious Yes, I liked it, it's beautiful")</f>
        <v>Precious Yes, I liked it, it's beautiful</v>
      </c>
    </row>
    <row r="19073">
      <c r="A19073" s="1">
        <v>5.0</v>
      </c>
      <c r="B19073" s="1" t="s">
        <v>18889</v>
      </c>
      <c r="C19073" t="str">
        <f>IFERROR(__xludf.DUMMYFUNCTION("GOOGLETRANSLATE(B19073, ""es"", ""en"")"),"Everything good product perfect! As it indicated in the description.")</f>
        <v>Everything good product perfect! As it indicated in the description.</v>
      </c>
    </row>
    <row r="19074">
      <c r="A19074" s="1">
        <v>5.0</v>
      </c>
      <c r="B19074" s="1" t="s">
        <v>18890</v>
      </c>
      <c r="C19074" t="str">
        <f>IFERROR(__xludf.DUMMYFUNCTION("GOOGLETRANSLATE(B19074, ""es"", ""en"")"),"José María Ruiz Gómez perfect all with me last 5 years that has lasted me the other I had of the same model'm content")</f>
        <v>José María Ruiz Gómez perfect all with me last 5 years that has lasted me the other I had of the same model'm content</v>
      </c>
    </row>
    <row r="19075">
      <c r="A19075" s="1">
        <v>5.0</v>
      </c>
      <c r="B19075" s="1" t="s">
        <v>18891</v>
      </c>
      <c r="C19075" t="str">
        <f>IFERROR(__xludf.DUMMYFUNCTION("GOOGLETRANSLATE(B19075, ""es"", ""en"")"),"Perfect are very nice and are very good, the product is I came as seen in the photograph.")</f>
        <v>Perfect are very nice and are very good, the product is I came as seen in the photograph.</v>
      </c>
    </row>
    <row r="19076">
      <c r="A19076" s="1">
        <v>5.0</v>
      </c>
      <c r="B19076" s="1" t="s">
        <v>18892</v>
      </c>
      <c r="C19076" t="str">
        <f>IFERROR(__xludf.DUMMYFUNCTION("GOOGLETRANSLATE(B19076, ""es"", ""en"")"),"Useful and practical jar is full of clips and is super useful for organized them. 100% recommended for desktop")</f>
        <v>Useful and practical jar is full of clips and is super useful for organized them. 100% recommended for desktop</v>
      </c>
    </row>
    <row r="19077">
      <c r="A19077" s="1">
        <v>5.0</v>
      </c>
      <c r="B19077" s="1" t="s">
        <v>18893</v>
      </c>
      <c r="C19077" t="str">
        <f>IFERROR(__xludf.DUMMYFUNCTION("GOOGLETRANSLATE(B19077, ""es"", ""en"")"),"Good buy is very good and the size chart on the website of the brand have not had any problems.")</f>
        <v>Good buy is very good and the size chart on the website of the brand have not had any problems.</v>
      </c>
    </row>
    <row r="19078">
      <c r="A19078" s="1">
        <v>5.0</v>
      </c>
      <c r="B19078" s="1" t="s">
        <v>18894</v>
      </c>
      <c r="C19078" t="str">
        <f>IFERROR(__xludf.DUMMYFUNCTION("GOOGLETRANSLATE(B19078, ""es"", ""en"")"),"Moni Very happy for the price they are very warm, with plush inside and feel good, for me it was good buy")</f>
        <v>Moni Very happy for the price they are very warm, with plush inside and feel good, for me it was good buy</v>
      </c>
    </row>
    <row r="19079">
      <c r="A19079" s="1">
        <v>5.0</v>
      </c>
      <c r="B19079" s="1" t="s">
        <v>18895</v>
      </c>
      <c r="C19079" t="str">
        <f>IFERROR(__xludf.DUMMYFUNCTION("GOOGLETRANSLATE(B19079, ""es"", ""en"")"),"Excellent my partner was delighted, as puts silver is real and not a coating or other scams that are out there.")</f>
        <v>Excellent my partner was delighted, as puts silver is real and not a coating or other scams that are out there.</v>
      </c>
    </row>
    <row r="19080">
      <c r="A19080" s="1">
        <v>2.0</v>
      </c>
      <c r="B19080" s="1" t="s">
        <v>18896</v>
      </c>
      <c r="C19080" t="str">
        <f>IFERROR(__xludf.DUMMYFUNCTION("GOOGLETRANSLATE(B19080, ""es"", ""en"")"),"Good sound, the rest is all bad Wear des May with these headphones. The cable has already been damaged; when I use it and I move slows and sound. But hey, are bluetooth. Surprise! Now enpieza to do the same with bluetooth and battery dira very little and "&amp;"takes too long to load. Not disappointed, the following. Good, they hear good.")</f>
        <v>Good sound, the rest is all bad Wear des May with these headphones. The cable has already been damaged; when I use it and I move slows and sound. But hey, are bluetooth. Surprise! Now enpieza to do the same with bluetooth and battery dira very little and takes too long to load. Not disappointed, the following. Good, they hear good.</v>
      </c>
    </row>
    <row r="19081">
      <c r="A19081" s="1">
        <v>3.0</v>
      </c>
      <c r="B19081" s="1" t="s">
        <v>18897</v>
      </c>
      <c r="C19081" t="str">
        <f>IFERROR(__xludf.DUMMYFUNCTION("GOOGLETRANSLATE(B19081, ""es"", ""en"")"),"Socks are not bad but I like q me a little squeeze. They are thick and not for the price of the all evil")</f>
        <v>Socks are not bad but I like q me a little squeeze. They are thick and not for the price of the all evil</v>
      </c>
    </row>
    <row r="19082">
      <c r="A19082" s="1">
        <v>1.0</v>
      </c>
      <c r="B19082" s="1" t="s">
        <v>18898</v>
      </c>
      <c r="C19082" t="str">
        <f>IFERROR(__xludf.DUMMYFUNCTION("GOOGLETRANSLATE(B19082, ""es"", ""en"")"),"Uncomfortable are super uncomfortable and I have broken soon, the sole of my detachment,")</f>
        <v>Uncomfortable are super uncomfortable and I have broken soon, the sole of my detachment,</v>
      </c>
    </row>
    <row r="19083">
      <c r="A19083" s="1">
        <v>1.0</v>
      </c>
      <c r="B19083" s="1" t="s">
        <v>18899</v>
      </c>
      <c r="C19083" t="str">
        <f>IFERROR(__xludf.DUMMYFUNCTION("GOOGLETRANSLATE(B19083, ""es"", ""en"")"),"Not worth are very very very Chinese")</f>
        <v>Not worth are very very very Chinese</v>
      </c>
    </row>
    <row r="19084">
      <c r="A19084" s="1">
        <v>4.0</v>
      </c>
      <c r="B19084" s="1" t="s">
        <v>18900</v>
      </c>
      <c r="C19084" t="str">
        <f>IFERROR(__xludf.DUMMYFUNCTION("GOOGLETRANSLATE(B19084, ""es"", ""en"")"),"A good choice for my Samsung extra storage. That I had was I was small. It works great from the zero")</f>
        <v>A good choice for my Samsung extra storage. That I had was I was small. It works great from the zero</v>
      </c>
    </row>
    <row r="19085">
      <c r="A19085" s="1">
        <v>4.0</v>
      </c>
      <c r="B19085" s="1" t="s">
        <v>18901</v>
      </c>
      <c r="C19085" t="str">
        <f>IFERROR(__xludf.DUMMYFUNCTION("GOOGLETRANSLATE(B19085, ""es"", ""en"")"),"Misleading photos are misleading photos, clips, are very small, and when I say small is that as a single USB cable is fat people, and not close.")</f>
        <v>Misleading photos are misleading photos, clips, are very small, and when I say small is that as a single USB cable is fat people, and not close.</v>
      </c>
    </row>
    <row r="19086">
      <c r="A19086" s="1">
        <v>4.0</v>
      </c>
      <c r="B19086" s="1" t="s">
        <v>18902</v>
      </c>
      <c r="C19086" t="str">
        <f>IFERROR(__xludf.DUMMYFUNCTION("GOOGLETRANSLATE(B19086, ""es"", ""en"")"),"Good finish, money I like the variety of accessories and ease of use. The containers are plastic, but seem durable. We'll see what happens over time")</f>
        <v>Good finish, money I like the variety of accessories and ease of use. The containers are plastic, but seem durable. We'll see what happens over time</v>
      </c>
    </row>
    <row r="19087">
      <c r="A19087" s="1">
        <v>4.0</v>
      </c>
      <c r="B19087" s="1" t="s">
        <v>18903</v>
      </c>
      <c r="C19087" t="str">
        <f>IFERROR(__xludf.DUMMYFUNCTION("GOOGLETRANSLATE(B19087, ""es"", ""en"")"),"Value very good The connector is rotated 90 °, indicating that the cable could annoy carrying the device in your pocket. It misses a clip on the shirt so you do not pull the cable down. Otherwise very good quality at a very good price.")</f>
        <v>Value very good The connector is rotated 90 °, indicating that the cable could annoy carrying the device in your pocket. It misses a clip on the shirt so you do not pull the cable down. Otherwise very good quality at a very good price.</v>
      </c>
    </row>
    <row r="19088">
      <c r="A19088" s="1">
        <v>4.0</v>
      </c>
      <c r="B19088" s="1" t="s">
        <v>18904</v>
      </c>
      <c r="C19088" t="str">
        <f>IFERROR(__xludf.DUMMYFUNCTION("GOOGLETRANSLATE(B19088, ""es"", ""en"")"),"Q equals the image. Quality footwear.")</f>
        <v>Q equals the image. Quality footwear.</v>
      </c>
    </row>
    <row r="19089">
      <c r="A19089" s="1">
        <v>5.0</v>
      </c>
      <c r="B19089" s="1" t="s">
        <v>18905</v>
      </c>
      <c r="C19089" t="str">
        <f>IFERROR(__xludf.DUMMYFUNCTION("GOOGLETRANSLATE(B19089, ""es"", ""en"")"),"It is well is well finished. The chain is quite thin, so be careful. Moreover meets and looks good")</f>
        <v>It is well is well finished. The chain is quite thin, so be careful. Moreover meets and looks good</v>
      </c>
    </row>
    <row r="19090">
      <c r="A19090" s="1">
        <v>5.0</v>
      </c>
      <c r="B19090" s="1" t="s">
        <v>18906</v>
      </c>
      <c r="C19090" t="str">
        <f>IFERROR(__xludf.DUMMYFUNCTION("GOOGLETRANSLATE(B19090, ""es"", ""en"")"),"Very good buy Love it! In less than 3 minutes .. heats water resistance is outside unlike other kettles! Has option to stay warm if you leave plugged the cable, put a paste very short cable, excellent el.resto!")</f>
        <v>Very good buy Love it! In less than 3 minutes .. heats water resistance is outside unlike other kettles! Has option to stay warm if you leave plugged the cable, put a paste very short cable, excellent el.resto!</v>
      </c>
    </row>
    <row r="19091">
      <c r="A19091" s="1">
        <v>5.0</v>
      </c>
      <c r="B19091" s="1" t="s">
        <v>18907</v>
      </c>
      <c r="C19091" t="str">
        <f>IFERROR(__xludf.DUMMYFUNCTION("GOOGLETRANSLATE(B19091, ""es"", ""en"")"),"'Excitment !! This wonderful mask leaves your skin super-hydrated, refreshed and smooth. It is very easy to apply and brings Muchisimas so here I will take a while. They have enchanted me!")</f>
        <v>'Excitment !! This wonderful mask leaves your skin super-hydrated, refreshed and smooth. It is very easy to apply and brings Muchisimas so here I will take a while. They have enchanted me!</v>
      </c>
    </row>
    <row r="19092">
      <c r="A19092" s="1">
        <v>5.0</v>
      </c>
      <c r="B19092" s="1" t="s">
        <v>18908</v>
      </c>
      <c r="C19092" t="str">
        <f>IFERROR(__xludf.DUMMYFUNCTION("GOOGLETRANSLATE(B19092, ""es"", ""en"")"),"The very nice touch is very soft and pleasant. It fits well and gives quite warm. I believe that in terms of value is a good buy.")</f>
        <v>The very nice touch is very soft and pleasant. It fits well and gives quite warm. I believe that in terms of value is a good buy.</v>
      </c>
    </row>
    <row r="19093">
      <c r="A19093" s="1">
        <v>5.0</v>
      </c>
      <c r="B19093" s="1" t="s">
        <v>18909</v>
      </c>
      <c r="C19093" t="str">
        <f>IFERROR(__xludf.DUMMYFUNCTION("GOOGLETRANSLATE(B19093, ""es"", ""en"")"),"Very good quality are perfect, I have to mark an agenda of an opposition, and look who work a lot, and still not fall, are very resistant. I recommend this Merca is generally much quality.-")</f>
        <v>Very good quality are perfect, I have to mark an agenda of an opposition, and look who work a lot, and still not fall, are very resistant. I recommend this Merca is generally much quality.-</v>
      </c>
    </row>
    <row r="19094">
      <c r="A19094" s="1">
        <v>5.0</v>
      </c>
      <c r="B19094" s="1" t="s">
        <v>18910</v>
      </c>
      <c r="C19094" t="str">
        <f>IFERROR(__xludf.DUMMYFUNCTION("GOOGLETRANSLATE(B19094, ""es"", ""en"")"),"I rewrite my opinion rewrite our opinion. We were very pleased with the mixer, very strong and very practical a variety of containers. The value is great. We make fruit smoothies and / or vegetables with nuts or ice and has much strength to leave birn cru"&amp;"shed. We have to say that the gum soon broke and we contacted the seller and solved the problem quickly and graciously. I encourage sellers to make rubber parts for adjustment that we buy and recommend them to make them more adjusted to not easily leave. "&amp;"Moreover, we are delighted. Recommended product 100%")</f>
        <v>I rewrite my opinion rewrite our opinion. We were very pleased with the mixer, very strong and very practical a variety of containers. The value is great. We make fruit smoothies and / or vegetables with nuts or ice and has much strength to leave birn crushed. We have to say that the gum soon broke and we contacted the seller and solved the problem quickly and graciously. I encourage sellers to make rubber parts for adjustment that we buy and recommend them to make them more adjusted to not easily leave. Moreover, we are delighted. Recommended product 100%</v>
      </c>
    </row>
    <row r="19095">
      <c r="A19095" s="1">
        <v>5.0</v>
      </c>
      <c r="B19095" s="1" t="s">
        <v>18911</v>
      </c>
      <c r="C19095" t="str">
        <f>IFERROR(__xludf.DUMMYFUNCTION("GOOGLETRANSLATE(B19095, ""es"", ""en"")"),"I take work, easy to drink juice every day Very good juicer, light and convenient, likes to charge USB plug will not like. The cup is not leaking, and juice and washing are very convenient. At present, it has been tested several times, sugar, and is very "&amp;"good to drink. Even children who are too lazy to eat fruits and older people without teeth can easily consume juice I mixed. To travel, this capacity is enough for me")</f>
        <v>I take work, easy to drink juice every day Very good juicer, light and convenient, likes to charge USB plug will not like. The cup is not leaking, and juice and washing are very convenient. At present, it has been tested several times, sugar, and is very good to drink. Even children who are too lazy to eat fruits and older people without teeth can easily consume juice I mixed. To travel, this capacity is enough for me</v>
      </c>
    </row>
    <row r="19096">
      <c r="A19096" s="1">
        <v>5.0</v>
      </c>
      <c r="B19096" s="1" t="s">
        <v>18912</v>
      </c>
      <c r="C19096" t="str">
        <f>IFERROR(__xludf.DUMMYFUNCTION("GOOGLETRANSLATE(B19096, ""es"", ""en"")"),"Something small for me arm size is pretty good, the downside is that it is difficult to apply and remove for not having a locking system. Something small size for me arm")</f>
        <v>Something small for me arm size is pretty good, the downside is that it is difficult to apply and remove for not having a locking system. Something small size for me arm</v>
      </c>
    </row>
    <row r="19097">
      <c r="A19097" s="1">
        <v>5.0</v>
      </c>
      <c r="B19097" s="1" t="s">
        <v>3378</v>
      </c>
      <c r="C19097" t="str">
        <f>IFERROR(__xludf.DUMMYFUNCTION("GOOGLETRANSLATE(B19097, ""es"", ""en"")"),"right right")</f>
        <v>right right</v>
      </c>
    </row>
    <row r="19098">
      <c r="A19098" s="1">
        <v>5.0</v>
      </c>
      <c r="B19098" s="1" t="s">
        <v>18913</v>
      </c>
      <c r="C19098" t="str">
        <f>IFERROR(__xludf.DUMMYFUNCTION("GOOGLETRANSLATE(B19098, ""es"", ""en"")"),"Good value good value for money. Easy to install and implement. Not very noisy, the quality of impressions in my case is enough. Of normal size and easy placement of paper and cartridges. Very friendly service HP cartridges have at home when you need them"&amp;".")</f>
        <v>Good value good value for money. Easy to install and implement. Not very noisy, the quality of impressions in my case is enough. Of normal size and easy placement of paper and cartridges. Very friendly service HP cartridges have at home when you need them.</v>
      </c>
    </row>
    <row r="19099">
      <c r="A19099" s="1">
        <v>5.0</v>
      </c>
      <c r="B19099" s="1" t="s">
        <v>18914</v>
      </c>
      <c r="C19099" t="str">
        <f>IFERROR(__xludf.DUMMYFUNCTION("GOOGLETRANSLATE(B19099, ""es"", ""en"")"),"Ok, fine")</f>
        <v>Ok, fine</v>
      </c>
    </row>
    <row r="19100">
      <c r="A19100" s="1">
        <v>5.0</v>
      </c>
      <c r="B19100" s="1" t="s">
        <v>18915</v>
      </c>
      <c r="C19100" t="str">
        <f>IFERROR(__xludf.DUMMYFUNCTION("GOOGLETRANSLATE(B19100, ""es"", ""en"")"),"Highly recommended. Very, very comfortable. The perfect size. The fabric is soft and fits perfectly to the body. It is aesthetically beautiful, the back is very nice. I've used it to run and transpires smoothly and holds well. Very happy. Surely ask other"&amp;" in black.")</f>
        <v>Highly recommended. Very, very comfortable. The perfect size. The fabric is soft and fits perfectly to the body. It is aesthetically beautiful, the back is very nice. I've used it to run and transpires smoothly and holds well. Very happy. Surely ask other in black.</v>
      </c>
    </row>
    <row r="19101">
      <c r="A19101" s="1">
        <v>5.0</v>
      </c>
      <c r="B19101" s="1" t="s">
        <v>18916</v>
      </c>
      <c r="C19101" t="str">
        <f>IFERROR(__xludf.DUMMYFUNCTION("GOOGLETRANSLATE(B19101, ""es"", ""en"")"),"Beautiful, and much more affordable than at the official store is a classic model, so you know what you're buying is nice and never out of fashion. Are original, with its box and labeled (off much better price than the official store, you nailed the 95 eu"&amp;"ros, and here I have gone through 64). The size is fine, like any other adidas shoe. The shipment has been quick (and free premium being Amazon).")</f>
        <v>Beautiful, and much more affordable than at the official store is a classic model, so you know what you're buying is nice and never out of fashion. Are original, with its box and labeled (off much better price than the official store, you nailed the 95 euros, and here I have gone through 64). The size is fine, like any other adidas shoe. The shipment has been quick (and free premium being Amazon).</v>
      </c>
    </row>
    <row r="19102">
      <c r="A19102" s="1">
        <v>5.0</v>
      </c>
      <c r="B19102" s="1" t="s">
        <v>18917</v>
      </c>
      <c r="C19102" t="str">
        <f>IFERROR(__xludf.DUMMYFUNCTION("GOOGLETRANSLATE(B19102, ""es"", ""en"")"),"I bought the description according meets 700W complies with the characteristics described, I have compared to the other model that has my friend 400w and 700w for little more money sounds twice")</f>
        <v>I bought the description according meets 700W complies with the characteristics described, I have compared to the other model that has my friend 400w and 700w for little more money sounds twice</v>
      </c>
    </row>
    <row r="19103">
      <c r="A19103" s="1">
        <v>5.0</v>
      </c>
      <c r="B19103" s="1" t="s">
        <v>18918</v>
      </c>
      <c r="C19103" t="str">
        <f>IFERROR(__xludf.DUMMYFUNCTION("GOOGLETRANSLATE(B19103, ""es"", ""en"")"),"In the good brand like SanDisk, good brand with good results. I always go to one or the other brand because the typical cards that come with cameras, for example, which are brands like Lexar, break down very fast leaving you with photos / information")</f>
        <v>In the good brand like SanDisk, good brand with good results. I always go to one or the other brand because the typical cards that come with cameras, for example, which are brands like Lexar, break down very fast leaving you with photos / information</v>
      </c>
    </row>
    <row r="19104">
      <c r="A19104" s="1">
        <v>5.0</v>
      </c>
      <c r="B19104" s="1" t="s">
        <v>18919</v>
      </c>
      <c r="C19104" t="str">
        <f>IFERROR(__xludf.DUMMYFUNCTION("GOOGLETRANSLATE(B19104, ""es"", ""en"")"),"This pack of essential oils essential oils I bought it to give to my mother. She uses it to put a few drops in the humidifier. 4-5 drops is enough. It smells great. It is concentrated pure oil at a fantastic price.")</f>
        <v>This pack of essential oils essential oils I bought it to give to my mother. She uses it to put a few drops in the humidifier. 4-5 drops is enough. It smells great. It is concentrated pure oil at a fantastic price.</v>
      </c>
    </row>
    <row r="19105">
      <c r="A19105" s="1">
        <v>5.0</v>
      </c>
      <c r="B19105" s="1" t="s">
        <v>18920</v>
      </c>
      <c r="C19105" t="str">
        <f>IFERROR(__xludf.DUMMYFUNCTION("GOOGLETRANSLATE(B19105, ""es"", ""en"")"),"High quality microphone! If you meet perfectly, it is a very good choice!")</f>
        <v>High quality microphone! If you meet perfectly, it is a very good choice!</v>
      </c>
    </row>
    <row r="19106">
      <c r="A19106" s="1">
        <v>5.0</v>
      </c>
      <c r="B19106" s="1" t="s">
        <v>18921</v>
      </c>
      <c r="C19106" t="str">
        <f>IFERROR(__xludf.DUMMYFUNCTION("GOOGLETRANSLATE(B19106, ""es"", ""en"")"),"Good products are good for the price they have")</f>
        <v>Good products are good for the price they have</v>
      </c>
    </row>
    <row r="19107">
      <c r="A19107" s="1">
        <v>2.0</v>
      </c>
      <c r="B19107" s="1" t="s">
        <v>18922</v>
      </c>
      <c r="C19107" t="str">
        <f>IFERROR(__xludf.DUMMYFUNCTION("GOOGLETRANSLATE(B19107, ""es"", ""en"")"),"Failure numbers is very nice and seems robust calendar, I bought it for a gift and the two just months calendar numbers change when you think.")</f>
        <v>Failure numbers is very nice and seems robust calendar, I bought it for a gift and the two just months calendar numbers change when you think.</v>
      </c>
    </row>
    <row r="19108">
      <c r="A19108" s="1">
        <v>3.0</v>
      </c>
      <c r="B19108" s="1" t="s">
        <v>18923</v>
      </c>
      <c r="C19108" t="str">
        <f>IFERROR(__xludf.DUMMYFUNCTION("GOOGLETRANSLATE(B19108, ""es"", ""en"")"),"A stunning watch very sophisticated watch for people with class and elegance a spectacular jewel")</f>
        <v>A stunning watch very sophisticated watch for people with class and elegance a spectacular jewel</v>
      </c>
    </row>
    <row r="19109">
      <c r="A19109" s="1">
        <v>3.0</v>
      </c>
      <c r="B19109" s="1" t="s">
        <v>18924</v>
      </c>
      <c r="C19109" t="str">
        <f>IFERROR(__xludf.DUMMYFUNCTION("GOOGLETRANSLATE(B19109, ""es"", ""en"")"),"It is nice but too loose pretty easily, but is released too easy")</f>
        <v>It is nice but too loose pretty easily, but is released too easy</v>
      </c>
    </row>
    <row r="19110">
      <c r="A19110" s="1">
        <v>1.0</v>
      </c>
      <c r="B19110" s="1" t="s">
        <v>18925</v>
      </c>
      <c r="C19110" t="str">
        <f>IFERROR(__xludf.DUMMYFUNCTION("GOOGLETRANSLATE(B19110, ""es"", ""en"")"),"DOES NOT OPERATE - No batteries without charging cable. Today we reached the microphone and had no batteries and the charging cable, worst of all is that it does not work, the blue light stays in the Low Battery a microphone desatre option.")</f>
        <v>DOES NOT OPERATE - No batteries without charging cable. Today we reached the microphone and had no batteries and the charging cable, worst of all is that it does not work, the blue light stays in the Low Battery a microphone desatre option.</v>
      </c>
    </row>
    <row r="19111">
      <c r="A19111" s="1">
        <v>1.0</v>
      </c>
      <c r="B19111" s="1" t="s">
        <v>18926</v>
      </c>
      <c r="C19111" t="str">
        <f>IFERROR(__xludf.DUMMYFUNCTION("GOOGLETRANSLATE(B19111, ""es"", ""en"")"),"Not recommended Very bad buy, not work, return it worth spending a little more. Very good attention to the client, the next day I changed x another.")</f>
        <v>Not recommended Very bad buy, not work, return it worth spending a little more. Very good attention to the client, the next day I changed x another.</v>
      </c>
    </row>
    <row r="19112">
      <c r="A19112" s="1">
        <v>1.0</v>
      </c>
      <c r="B19112" s="1" t="s">
        <v>18927</v>
      </c>
      <c r="C19112" t="str">
        <f>IFERROR(__xludf.DUMMYFUNCTION("GOOGLETRANSLATE(B19112, ""es"", ""en"")"),"Zilch no improvements are not worth spending a penny on the cream, after several days using it my wife has not improved anything, the pain will go with painkillers, to massage with a pot of Nivea it is sufficient since It has moisturizing and medicinal pr"&amp;"operties and contains vitamin E and vitamin B5.")</f>
        <v>Zilch no improvements are not worth spending a penny on the cream, after several days using it my wife has not improved anything, the pain will go with painkillers, to massage with a pot of Nivea it is sufficient since It has moisturizing and medicinal properties and contains vitamin E and vitamin B5.</v>
      </c>
    </row>
    <row r="19113">
      <c r="A19113" s="1">
        <v>4.0</v>
      </c>
      <c r="B19113" s="1" t="s">
        <v>18928</v>
      </c>
      <c r="C19113" t="str">
        <f>IFERROR(__xludf.DUMMYFUNCTION("GOOGLETRANSLATE(B19113, ""es"", ""en"")"),"Satisfied Delivery fast and truth that have surprised me for good. They are very useful for sports.")</f>
        <v>Satisfied Delivery fast and truth that have surprised me for good. They are very useful for sports.</v>
      </c>
    </row>
    <row r="19114">
      <c r="A19114" s="1">
        <v>4.0</v>
      </c>
      <c r="B19114" s="1" t="s">
        <v>18929</v>
      </c>
      <c r="C19114" t="str">
        <f>IFERROR(__xludf.DUMMYFUNCTION("GOOGLETRANSLATE(B19114, ""es"", ""en"")"),"Practice and comdola in size is small, a large portfolio occupy the interior. But for those looking for a discreet bag with enough compartments and a normal / good finish, I recommend it.")</f>
        <v>Practice and comdola in size is small, a large portfolio occupy the interior. But for those looking for a discreet bag with enough compartments and a normal / good finish, I recommend it.</v>
      </c>
    </row>
    <row r="19115">
      <c r="A19115" s="1">
        <v>4.0</v>
      </c>
      <c r="B19115" s="1" t="s">
        <v>18930</v>
      </c>
      <c r="C19115" t="str">
        <f>IFERROR(__xludf.DUMMYFUNCTION("GOOGLETRANSLATE(B19115, ""es"", ""en"")"),"It bought it works fine for a gift and no hits. We bought a similar over 3 years ago and it worked great. This will have to wait a little longer to see their durability but time and operation materials without any fault.")</f>
        <v>It bought it works fine for a gift and no hits. We bought a similar over 3 years ago and it worked great. This will have to wait a little longer to see their durability but time and operation materials without any fault.</v>
      </c>
    </row>
    <row r="19116">
      <c r="A19116" s="1">
        <v>4.0</v>
      </c>
      <c r="B19116" s="1" t="s">
        <v>18931</v>
      </c>
      <c r="C19116" t="str">
        <f>IFERROR(__xludf.DUMMYFUNCTION("GOOGLETRANSLATE(B19116, ""es"", ""en"")"),"Exfoliates leaving skin smooth well exfoliates leaving skin smooth well")</f>
        <v>Exfoliates leaving skin smooth well exfoliates leaving skin smooth well</v>
      </c>
    </row>
    <row r="19117">
      <c r="A19117" s="1">
        <v>5.0</v>
      </c>
      <c r="B19117" s="1" t="s">
        <v>18932</v>
      </c>
      <c r="C19117" t="str">
        <f>IFERROR(__xludf.DUMMYFUNCTION("GOOGLETRANSLATE(B19117, ""es"", ""en"")"),"All Ok professionalism, and excellent product")</f>
        <v>All Ok professionalism, and excellent product</v>
      </c>
    </row>
    <row r="19118">
      <c r="A19118" s="1">
        <v>5.0</v>
      </c>
      <c r="B19118" s="1" t="s">
        <v>18933</v>
      </c>
      <c r="C19118" t="str">
        <f>IFERROR(__xludf.DUMMYFUNCTION("GOOGLETRANSLATE(B19118, ""es"", ""en"")"),"Highly recommended previously had a electrolux and nothing to do. Much more powerful, better deposit, best filter and autonomy. In addition to the battery fails electrolux quickly and can not be changed or the service, which in this supposed so.")</f>
        <v>Highly recommended previously had a electrolux and nothing to do. Much more powerful, better deposit, best filter and autonomy. In addition to the battery fails electrolux quickly and can not be changed or the service, which in this supposed so.</v>
      </c>
    </row>
    <row r="19119">
      <c r="A19119" s="1">
        <v>5.0</v>
      </c>
      <c r="B19119" s="1" t="s">
        <v>18934</v>
      </c>
      <c r="C19119" t="str">
        <f>IFERROR(__xludf.DUMMYFUNCTION("GOOGLETRANSLATE(B19119, ""es"", ""en"")"),"Good headset for children 3 years Ma. Ideal for children. Adjusted to your head size. Folding so little space. Good sound and adaptability to children's ear.")</f>
        <v>Good headset for children 3 years Ma. Ideal for children. Adjusted to your head size. Folding so little space. Good sound and adaptability to children's ear.</v>
      </c>
    </row>
    <row r="19120">
      <c r="A19120" s="1">
        <v>5.0</v>
      </c>
      <c r="B19120" s="1" t="s">
        <v>18935</v>
      </c>
      <c r="C19120" t="str">
        <f>IFERROR(__xludf.DUMMYFUNCTION("GOOGLETRANSLATE(B19120, ""es"", ""en"")"),"Great if I liked actual mind helpful")</f>
        <v>Great if I liked actual mind helpful</v>
      </c>
    </row>
    <row r="19121">
      <c r="A19121" s="1">
        <v>5.0</v>
      </c>
      <c r="B19121" s="1" t="s">
        <v>18936</v>
      </c>
      <c r="C19121" t="str">
        <f>IFERROR(__xludf.DUMMYFUNCTION("GOOGLETRANSLATE(B19121, ""es"", ""en"")"),"Good quality Very good quality and fast delivery")</f>
        <v>Good quality Very good quality and fast delivery</v>
      </c>
    </row>
    <row r="19122">
      <c r="A19122" s="1">
        <v>5.0</v>
      </c>
      <c r="B19122" s="1" t="s">
        <v>18937</v>
      </c>
      <c r="C19122" t="str">
        <f>IFERROR(__xludf.DUMMYFUNCTION("GOOGLETRANSLATE(B19122, ""es"", ""en"")"),"Very compact unit with a unique design Hello Friends 👨❤️👨 Amazon ... Buy this Kingston 16GB USB to store the OS and I can say that everything went well as I expected from a Kingston. The first highlight of these Data Traveler® 50 is its design with a me"&amp;"tal casing which makes it very resistant and sees gives a very cool touch. Retro is compatible with the most current ports such as USB 2.0, USB 3.0, USB 3. Gen1.2. Something curious is the color that identifies them, such as purple 8GB or 16GB of Color Gr"&amp;"een and others. They do not include caps to protect you, surely downplayed, however for some it is important to have him as protector. Today is the best choice for an installation or recovery of the S.O. The most important thing for many are their speeds "&amp;"in both reading and writing. In specifications and data sheet specifies that their speeds are Kingston USB 8GB - 16GB - not specified speeds. USB 32GB - 128GB - 100MB / s read - write specified. I did a test and reading gives 94MB / S - According Kingston"&amp;" is around 100MB / s. In writing he gave 18MB / s - According Kingston is not specified. These results should not worry, Son drives to store personal data and in my case for a Windows system. I have 2 units, one 8GB and one 16GB, If you need to buy anothe"&amp;"r no hesitation. a long time that I have never given problems and no data has been lost now, That's the important of these units, which are reliable and provide security. are also good for you to have a PC with a few years, you can use them to increase th"&amp;"e speed of your system. 1 - In the USB device properties. 2 - ReadyBoost tab. 3 - Use this unit to increase the speed of the system. You can take this option if you have a USB port. I put a screenshot (photo) USB ports worth for more than just store data."&amp;" Remember that a vote to spend time encourages more to value a product and is very comfortable to see a thank you.")</f>
        <v>Very compact unit with a unique design Hello Friends 👨❤️👨 Amazon ... Buy this Kingston 16GB USB to store the OS and I can say that everything went well as I expected from a Kingston. The first highlight of these Data Traveler® 50 is its design with a metal casing which makes it very resistant and sees gives a very cool touch. Retro is compatible with the most current ports such as USB 2.0, USB 3.0, USB 3. Gen1.2. Something curious is the color that identifies them, such as purple 8GB or 16GB of Color Green and others. They do not include caps to protect you, surely downplayed, however for some it is important to have him as protector. Today is the best choice for an installation or recovery of the S.O. The most important thing for many are their speeds in both reading and writing. In specifications and data sheet specifies that their speeds are Kingston USB 8GB - 16GB - not specified speeds. USB 32GB - 128GB - 100MB / s read - write specified. I did a test and reading gives 94MB / S - According Kingston is around 100MB / s. In writing he gave 18MB / s - According Kingston is not specified. These results should not worry, Son drives to store personal data and in my case for a Windows system. I have 2 units, one 8GB and one 16GB, If you need to buy another no hesitation. a long time that I have never given problems and no data has been lost now, That's the important of these units, which are reliable and provide security. are also good for you to have a PC with a few years, you can use them to increase the speed of your system. 1 - In the USB device properties. 2 - ReadyBoost tab. 3 - Use this unit to increase the speed of the system. You can take this option if you have a USB port. I put a screenshot (photo) USB ports worth for more than just store data. Remember that a vote to spend time encourages more to value a product and is very comfortable to see a thank you.</v>
      </c>
    </row>
    <row r="19123">
      <c r="A19123" s="1">
        <v>5.0</v>
      </c>
      <c r="B19123" s="1" t="s">
        <v>18938</v>
      </c>
      <c r="C19123" t="str">
        <f>IFERROR(__xludf.DUMMYFUNCTION("GOOGLETRANSLATE(B19123, ""es"", ""en"")"),"Perfectly meets Jack Cable 3 meter fabric very cool blue color. It looks more than a normal stand, with a straight edge and the other side (this prevents the cable from being bent too). For now it works perfectly and there is no noise or interference. He "&amp;"also wears a Velcro so that it can save without lie. For the price it is great!")</f>
        <v>Perfectly meets Jack Cable 3 meter fabric very cool blue color. It looks more than a normal stand, with a straight edge and the other side (this prevents the cable from being bent too). For now it works perfectly and there is no noise or interference. He also wears a Velcro so that it can save without lie. For the price it is great!</v>
      </c>
    </row>
    <row r="19124">
      <c r="A19124" s="1">
        <v>5.0</v>
      </c>
      <c r="B19124" s="1" t="s">
        <v>18939</v>
      </c>
      <c r="C19124" t="str">
        <f>IFERROR(__xludf.DUMMYFUNCTION("GOOGLETRANSLATE(B19124, ""es"", ""en"")"),"Good nice and quite large")</f>
        <v>Good nice and quite large</v>
      </c>
    </row>
    <row r="19125">
      <c r="A19125" s="1">
        <v>5.0</v>
      </c>
      <c r="B19125" s="1" t="s">
        <v>18940</v>
      </c>
      <c r="C19125" t="str">
        <f>IFERROR(__xludf.DUMMYFUNCTION("GOOGLETRANSLATE(B19125, ""es"", ""en"")"),"A novel tapes useful. The've used for many things at school. They are varied, adhere well and its price is very good.")</f>
        <v>A novel tapes useful. The've used for many things at school. They are varied, adhere well and its price is very good.</v>
      </c>
    </row>
    <row r="19126">
      <c r="A19126" s="1">
        <v>5.0</v>
      </c>
      <c r="B19126" s="1" t="s">
        <v>18941</v>
      </c>
      <c r="C19126" t="str">
        <f>IFERROR(__xludf.DUMMYFUNCTION("GOOGLETRANSLATE(B19126, ""es"", ""en"")"),"Good product is a water heater that works great and is elegant. If you fill it with water for one or two cups, make boil is very fast, and if you fill more takes a very reasonable time. I took a year using it daily and has not given me the slightest fault"&amp;". highly recommended")</f>
        <v>Good product is a water heater that works great and is elegant. If you fill it with water for one or two cups, make boil is very fast, and if you fill more takes a very reasonable time. I took a year using it daily and has not given me the slightest fault. highly recommended</v>
      </c>
    </row>
    <row r="19127">
      <c r="A19127" s="1">
        <v>5.0</v>
      </c>
      <c r="B19127" s="1" t="s">
        <v>18942</v>
      </c>
      <c r="C19127" t="str">
        <f>IFERROR(__xludf.DUMMYFUNCTION("GOOGLETRANSLATE(B19127, ""es"", ""en"")"),"Encantada always, excellent with this product and that you and given much use and still new and I bought it.")</f>
        <v>Encantada always, excellent with this product and that you and given much use and still new and I bought it.</v>
      </c>
    </row>
    <row r="19128">
      <c r="A19128" s="1">
        <v>5.0</v>
      </c>
      <c r="B19128" s="1" t="s">
        <v>18943</v>
      </c>
      <c r="C19128" t="str">
        <f>IFERROR(__xludf.DUMMYFUNCTION("GOOGLETRANSLATE(B19128, ""es"", ""en"")"),"Bestial It was not a supporter of the Bluetooth headset but they got bitten by curiosity, not to be separated first and second for aesthetics and avez have proven that I can not be happier. Perfectly isolate outside noise, very good sound quality and just"&amp;" weigh if you leave them hanging from the neck. The buttons bring work perfectly, to raise or lower volume and to restart playback. We recomendadisimos")</f>
        <v>Bestial It was not a supporter of the Bluetooth headset but they got bitten by curiosity, not to be separated first and second for aesthetics and avez have proven that I can not be happier. Perfectly isolate outside noise, very good sound quality and just weigh if you leave them hanging from the neck. The buttons bring work perfectly, to raise or lower volume and to restart playback. We recomendadisimos</v>
      </c>
    </row>
    <row r="19129">
      <c r="A19129" s="1">
        <v>5.0</v>
      </c>
      <c r="B19129" s="1" t="s">
        <v>18944</v>
      </c>
      <c r="C19129" t="str">
        <f>IFERROR(__xludf.DUMMYFUNCTION("GOOGLETRANSLATE(B19129, ""es"", ""en"")"),"Great powerful and efficient wireless massager with 6 programs with various intensities. Brings remote control, which facilitates the exchange of massage and intensity as desired. Powerful despite its compact size (easy to store)")</f>
        <v>Great powerful and efficient wireless massager with 6 programs with various intensities. Brings remote control, which facilitates the exchange of massage and intensity as desired. Powerful despite its compact size (easy to store)</v>
      </c>
    </row>
    <row r="19130">
      <c r="A19130" s="1">
        <v>5.0</v>
      </c>
      <c r="B19130" s="1" t="s">
        <v>18945</v>
      </c>
      <c r="C19130" t="str">
        <f>IFERROR(__xludf.DUMMYFUNCTION("GOOGLETRANSLATE(B19130, ""es"", ""en"")"),"Casio metal watch is very comfortable and convenient for seniors because they very well displayed numbers. I bought it from my father of 86 years")</f>
        <v>Casio metal watch is very comfortable and convenient for seniors because they very well displayed numbers. I bought it from my father of 86 years</v>
      </c>
    </row>
    <row r="19131">
      <c r="A19131" s="1">
        <v>5.0</v>
      </c>
      <c r="B19131" s="1" t="s">
        <v>18946</v>
      </c>
      <c r="C19131" t="str">
        <f>IFERROR(__xludf.DUMMYFUNCTION("GOOGLETRANSLATE(B19131, ""es"", ""en"")"),"Quality without doubt very good buy !! The clock meets all my expectations. I have several months already using it and it works perfect. resistant materials, it is not heavy, good lighting, both day and night and that matte black is great")</f>
        <v>Quality without doubt very good buy !! The clock meets all my expectations. I have several months already using it and it works perfect. resistant materials, it is not heavy, good lighting, both day and night and that matte black is great</v>
      </c>
    </row>
    <row r="19132">
      <c r="A19132" s="1">
        <v>5.0</v>
      </c>
      <c r="B19132" s="1" t="s">
        <v>18947</v>
      </c>
      <c r="C19132" t="str">
        <f>IFERROR(__xludf.DUMMYFUNCTION("GOOGLETRANSLATE(B19132, ""es"", ""en"")"),"Perfect for traveling Perfect size for travel or small space")</f>
        <v>Perfect for traveling Perfect size for travel or small space</v>
      </c>
    </row>
    <row r="19133">
      <c r="A19133" s="1">
        <v>5.0</v>
      </c>
      <c r="B19133" s="1" t="s">
        <v>18948</v>
      </c>
      <c r="C19133" t="str">
        <f>IFERROR(__xludf.DUMMYFUNCTION("GOOGLETRANSLATE(B19133, ""es"", ""en"")"),"Sound quality really works very well, you hear sound very loud and very clear, buy a few months ago and these far outweigh the.")</f>
        <v>Sound quality really works very well, you hear sound very loud and very clear, buy a few months ago and these far outweigh the.</v>
      </c>
    </row>
    <row r="19134">
      <c r="A19134" s="1">
        <v>5.0</v>
      </c>
      <c r="B19134" s="1" t="s">
        <v>18949</v>
      </c>
      <c r="C19134" t="str">
        <f>IFERROR(__xludf.DUMMYFUNCTION("GOOGLETRANSLATE(B19134, ""es"", ""en"")"),"Great Good Super product materials. I can not say I'm super happy but this blender / juicer laptop. The materials are first, both plastic and metal blades and container glass. The pieces have to chop them into small pieces medium to small size to achieve "&amp;"better effectiveness in less time, because if large pieces are introduced should leave more time working device. It is a rechargeable device with two caps if desired not carry the rotor and beaten once, carry to take next. recommended product")</f>
        <v>Great Good Super product materials. I can not say I'm super happy but this blender / juicer laptop. The materials are first, both plastic and metal blades and container glass. The pieces have to chop them into small pieces medium to small size to achieve better effectiveness in less time, because if large pieces are introduced should leave more time working device. It is a rechargeable device with two caps if desired not carry the rotor and beaten once, carry to take next. recommended product</v>
      </c>
    </row>
    <row r="19135">
      <c r="A19135" s="1">
        <v>5.0</v>
      </c>
      <c r="B19135" s="1" t="s">
        <v>18950</v>
      </c>
      <c r="C19135" t="str">
        <f>IFERROR(__xludf.DUMMYFUNCTION("GOOGLETRANSLATE(B19135, ""es"", ""en"")"),"Perfect Good and fast.")</f>
        <v>Perfect Good and fast.</v>
      </c>
    </row>
    <row r="19136">
      <c r="A19136" s="1">
        <v>2.0</v>
      </c>
      <c r="B19136" s="1" t="s">
        <v>18951</v>
      </c>
      <c r="C19136" t="str">
        <f>IFERROR(__xludf.DUMMYFUNCTION("GOOGLETRANSLATE(B19136, ""es"", ""en"")"),"silver pendant is not as described is normal. A bit pricey for what it is.")</f>
        <v>silver pendant is not as described is normal. A bit pricey for what it is.</v>
      </c>
    </row>
    <row r="19137">
      <c r="A19137" s="1">
        <v>3.0</v>
      </c>
      <c r="B19137" s="1" t="s">
        <v>18952</v>
      </c>
      <c r="C19137" t="str">
        <f>IFERROR(__xludf.DUMMYFUNCTION("GOOGLETRANSLATE(B19137, ""es"", ""en"")"),"It is very thin I expected a warmer sweatshirt")</f>
        <v>It is very thin I expected a warmer sweatshirt</v>
      </c>
    </row>
    <row r="19138">
      <c r="A19138" s="1">
        <v>3.0</v>
      </c>
      <c r="B19138" s="1" t="s">
        <v>18953</v>
      </c>
      <c r="C19138" t="str">
        <f>IFERROR(__xludf.DUMMYFUNCTION("GOOGLETRANSLATE(B19138, ""es"", ""en"")"),"Very acceptable correct. It looks good and works very acceptably. Value good relationship. I do not appreciate better because I have not had enough time.")</f>
        <v>Very acceptable correct. It looks good and works very acceptably. Value good relationship. I do not appreciate better because I have not had enough time.</v>
      </c>
    </row>
    <row r="19139">
      <c r="A19139" s="1">
        <v>3.0</v>
      </c>
      <c r="B19139" s="1" t="s">
        <v>18954</v>
      </c>
      <c r="C19139" t="str">
        <f>IFERROR(__xludf.DUMMYFUNCTION("GOOGLETRANSLATE(B19139, ""es"", ""en"")"),"He did not like anything bracelet itself is quite ugly and it shows the very Baratijo would not buy, pictured is more beautiful")</f>
        <v>He did not like anything bracelet itself is quite ugly and it shows the very Baratijo would not buy, pictured is more beautiful</v>
      </c>
    </row>
    <row r="19140">
      <c r="A19140" s="1">
        <v>1.0</v>
      </c>
      <c r="B19140" s="1" t="s">
        <v>18955</v>
      </c>
      <c r="C19140" t="str">
        <f>IFERROR(__xludf.DUMMYFUNCTION("GOOGLETRANSLATE(B19140, ""es"", ""en"")"),"+ CARO, MALO + USELESS + ... Version 2 ??? If it worked well ... why touch it? There is little understood things in life .... IK, vowing that the IRIG worked perfect and put it by clouds, promising things that neither they believe it (assuming someone ""t"&amp;"hey"" have never tried one). If so .... What sense does it make a version 2 in which the only thing that changes is the ""aesthetic"" and the box of the package that parce containing a gold Rolex !!? Probably has something to do with the failure of the po"&amp;"tato IRIG H.D. (Known as ""no God ... what a shame"" or perhaps change the look using the same box design already used Pevay and Flanger ... Or just be something to justify charging 40 bucks for something as useless as the first by say wORSE! of course yo"&amp;"u always have to expect that APP has much to do in the process, as well .... the Amplitube own to round out the issue ... not only sound worse than the IOS 4 5 ... in its 1st version above is each 2x3 blocks and sounds with distortions and overdrives have"&amp;" worsened to the point that loaded the only effects that were usable. Add to this that there are other apps that give you 100 laps in sound quality. (initially IK was almost alone in the ring). simply seeing the number of ""gadgets"" like (too similar) th"&amp;"at are launching, some at exorbitant prices, others simply expensive, I have to think (and I'm sorry because I do not like disqualifying) qu and ""someone"" is determined to get us the money to the ""poor musicians"" no matter what. Fortunately, in this c"&amp;"ase, I write about one bought (and returned) by a friend. Or is that not the least cost me 35/40 turkeys that is almost what you pay for bolo !! My advice Conclusion: IRIG standard is still used with limitations for what it was originally designed ... eve"&amp;"rything else (Pro HD Cyber-Nuclear, Super-Charged, bla, bla bla .... is throwing money. Simple as that !! that's enough to crush the musicians and fans PLEASE !!")</f>
        <v>+ CARO, MALO + USELESS + ... Version 2 ??? If it worked well ... why touch it? There is little understood things in life .... IK, vowing that the IRIG worked perfect and put it by clouds, promising things that neither they believe it (assuming someone "they" have never tried one). If so .... What sense does it make a version 2 in which the only thing that changes is the "aesthetic" and the box of the package that parce containing a gold Rolex !!? Probably has something to do with the failure of the potato IRIG H.D. (Known as "no God ... what a shame" or perhaps change the look using the same box design already used Pevay and Flanger ... Or just be something to justify charging 40 bucks for something as useless as the first by say wORSE! of course you always have to expect that APP has much to do in the process, as well .... the Amplitube own to round out the issue ... not only sound worse than the IOS 4 5 ... in its 1st version above is each 2x3 blocks and sounds with distortions and overdrives have worsened to the point that loaded the only effects that were usable. Add to this that there are other apps that give you 100 laps in sound quality. (initially IK was almost alone in the ring). simply seeing the number of "gadgets" like (too similar) that are launching, some at exorbitant prices, others simply expensive, I have to think (and I'm sorry because I do not like disqualifying) qu and "someone" is determined to get us the money to the "poor musicians" no matter what. Fortunately, in this case, I write about one bought (and returned) by a friend. Or is that not the least cost me 35/40 turkeys that is almost what you pay for bolo !! My advice Conclusion: IRIG standard is still used with limitations for what it was originally designed ... everything else (Pro HD Cyber-Nuclear, Super-Charged, bla, bla bla .... is throwing money. Simple as that !! that's enough to crush the musicians and fans PLEASE !!</v>
      </c>
    </row>
    <row r="19141">
      <c r="A19141" s="1">
        <v>4.0</v>
      </c>
      <c r="B19141" s="1" t="s">
        <v>18956</v>
      </c>
      <c r="C19141" t="str">
        <f>IFERROR(__xludf.DUMMYFUNCTION("GOOGLETRANSLATE(B19141, ""es"", ""en"")"),"The color is not exactly the same pants I love. They are comfortable, soft and original, but ordered red and bright red instead of waiting were a much darker, almost maroon red.")</f>
        <v>The color is not exactly the same pants I love. They are comfortable, soft and original, but ordered red and bright red instead of waiting were a much darker, almost maroon red.</v>
      </c>
    </row>
    <row r="19142">
      <c r="A19142" s="1">
        <v>4.0</v>
      </c>
      <c r="B19142" s="1" t="s">
        <v>18957</v>
      </c>
      <c r="C19142" t="str">
        <f>IFERROR(__xludf.DUMMYFUNCTION("GOOGLETRANSLATE(B19142, ""es"", ""en"")"),"as the photo like the photo, use them much")</f>
        <v>as the photo like the photo, use them much</v>
      </c>
    </row>
    <row r="19143">
      <c r="A19143" s="1">
        <v>4.0</v>
      </c>
      <c r="B19143" s="1" t="s">
        <v>18958</v>
      </c>
      <c r="C19143" t="str">
        <f>IFERROR(__xludf.DUMMYFUNCTION("GOOGLETRANSLATE(B19143, ""es"", ""en"")"),"Compatible excellence conga 990 is fully compatible with 990. Only conga excellence've used a couple of days but time is perfect!")</f>
        <v>Compatible excellence conga 990 is fully compatible with 990. Only conga excellence've used a couple of days but time is perfect!</v>
      </c>
    </row>
    <row r="19144">
      <c r="A19144" s="1">
        <v>4.0</v>
      </c>
      <c r="B19144" s="1" t="s">
        <v>18959</v>
      </c>
      <c r="C19144" t="str">
        <f>IFERROR(__xludf.DUMMYFUNCTION("GOOGLETRANSLATE(B19144, ""es"", ""en"")"),"Seem good quality seems a quality product, the waterproof system works perfectly, although the sole slips on wet surfaces and this is perhaps the greatest failure of the product. Too large in size and width, although carving me look good.")</f>
        <v>Seem good quality seems a quality product, the waterproof system works perfectly, although the sole slips on wet surfaces and this is perhaps the greatest failure of the product. Too large in size and width, although carving me look good.</v>
      </c>
    </row>
    <row r="19145">
      <c r="A19145" s="1">
        <v>4.0</v>
      </c>
      <c r="B19145" s="1" t="s">
        <v>18960</v>
      </c>
      <c r="C19145" t="str">
        <f>IFERROR(__xludf.DUMMYFUNCTION("GOOGLETRANSLATE(B19145, ""es"", ""en"")"),"Perfect I've bought for gift and I liked it, perfect for men of all ages, hope it lasts over time but for the price I had'm Contanta and does not seem sleazy, simple and classic and modern at once it is grandecito.")</f>
        <v>Perfect I've bought for gift and I liked it, perfect for men of all ages, hope it lasts over time but for the price I had'm Contanta and does not seem sleazy, simple and classic and modern at once it is grandecito.</v>
      </c>
    </row>
    <row r="19146">
      <c r="A19146" s="1">
        <v>5.0</v>
      </c>
      <c r="B19146" s="1" t="s">
        <v>18961</v>
      </c>
      <c r="C19146" t="str">
        <f>IFERROR(__xludf.DUMMYFUNCTION("GOOGLETRANSLATE(B19146, ""es"", ""en"")"),"My best buy Very comfortable and warm 100% recommended")</f>
        <v>My best buy Very comfortable and warm 100% recommended</v>
      </c>
    </row>
    <row r="19147">
      <c r="A19147" s="1">
        <v>5.0</v>
      </c>
      <c r="B19147" s="1" t="s">
        <v>18962</v>
      </c>
      <c r="C19147" t="str">
        <f>IFERROR(__xludf.DUMMYFUNCTION("GOOGLETRANSLATE(B19147, ""es"", ""en"")"),"Very good equipment and good material is quite large")</f>
        <v>Very good equipment and good material is quite large</v>
      </c>
    </row>
    <row r="19148">
      <c r="A19148" s="1">
        <v>5.0</v>
      </c>
      <c r="B19148" s="1" t="s">
        <v>18963</v>
      </c>
      <c r="C19148" t="str">
        <f>IFERROR(__xludf.DUMMYFUNCTION("GOOGLETRANSLATE(B19148, ""es"", ""en"")"),"With a drop sticks to the time. I use it for small things. Stick to the time. Watch your fingers. So it does not spoil, it closed and put in the fridge. Do not dry.")</f>
        <v>With a drop sticks to the time. I use it for small things. Stick to the time. Watch your fingers. So it does not spoil, it closed and put in the fridge. Do not dry.</v>
      </c>
    </row>
    <row r="19149">
      <c r="A19149" s="1">
        <v>5.0</v>
      </c>
      <c r="B19149" s="1" t="s">
        <v>18964</v>
      </c>
      <c r="C19149" t="str">
        <f>IFERROR(__xludf.DUMMYFUNCTION("GOOGLETRANSLATE(B19149, ""es"", ""en"")"),"Cheap and effective. Although it is very light and certainly not a G-Shock Casio have a plot with chronograph, swimming enduring perfectament and has the bonus of withstanding without batteries; plus size, slightly lower than the average of the G-Shock, d"&amp;"oes not seem so tocho. Perfect lighting function and the phosphorescence of the arrows and brands. Little more to say on a machine just over 30 € and responds above its value.")</f>
        <v>Cheap and effective. Although it is very light and certainly not a G-Shock Casio have a plot with chronograph, swimming enduring perfectament and has the bonus of withstanding without batteries; plus size, slightly lower than the average of the G-Shock, does not seem so tocho. Perfect lighting function and the phosphorescence of the arrows and brands. Little more to say on a machine just over 30 € and responds above its value.</v>
      </c>
    </row>
    <row r="19150">
      <c r="A19150" s="1">
        <v>5.0</v>
      </c>
      <c r="B19150" s="1" t="s">
        <v>18965</v>
      </c>
      <c r="C19150" t="str">
        <f>IFERROR(__xludf.DUMMYFUNCTION("GOOGLETRANSLATE(B19150, ""es"", ""en"")"),"perfecte the expected")</f>
        <v>perfecte the expected</v>
      </c>
    </row>
    <row r="19151">
      <c r="A19151" s="1">
        <v>5.0</v>
      </c>
      <c r="B19151" s="1" t="s">
        <v>18966</v>
      </c>
      <c r="C19151" t="str">
        <f>IFERROR(__xludf.DUMMYFUNCTION("GOOGLETRANSLATE(B19151, ""es"", ""en"")"),"Fine and elegant is a very fine and elegant design of this ancient symbol. Perfect gift for anyone but especially those with greater connection with the spiritual world as it represents the cycle of life and our connection with nature. It comes in a soft "&amp;"pouch and use no more mystery and being beach Law no need to worry about allergies less noble metals. In addition bright around him look great in very nice and recommended summary.")</f>
        <v>Fine and elegant is a very fine and elegant design of this ancient symbol. Perfect gift for anyone but especially those with greater connection with the spiritual world as it represents the cycle of life and our connection with nature. It comes in a soft pouch and use no more mystery and being beach Law no need to worry about allergies less noble metals. In addition bright around him look great in very nice and recommended summary.</v>
      </c>
    </row>
    <row r="19152">
      <c r="A19152" s="1">
        <v>5.0</v>
      </c>
      <c r="B19152" s="1" t="s">
        <v>18967</v>
      </c>
      <c r="C19152" t="str">
        <f>IFERROR(__xludf.DUMMYFUNCTION("GOOGLETRANSLATE(B19152, ""es"", ""en"")"),"The most convenient way to back up your iPhone the way most comfortable to back up iPhone The base has very good quality and the system is quite useful if you want to back up in the icloud or have more than 5GB data, which is the free limit today in iclou"&amp;"d. Typically 5GB free fall short, and this is where this apparatus is great. When you get home you connect it to load and forget, the only performs the backup on the SD card bearing the base. If you need more capacity or want to make more than one copy on"&amp;"ly have to change cards. A system very comfortable. Loading speed is much faster than conventional chargers, the rapids are 2 amps, but this reaches 3A, reducing charging time you considerably. The base is slip rubber and a chrome design is great. In addi"&amp;"tion to the base brings space to leave collected the excess cable when not use it. The base that I have comes with a 64GB Class 10 card FFP. The startup is intuitive, because when you connect the cable the only asks you to install the application and sele"&amp;"ct to copy sandisk. In my case I use with iPhone 6 and perfect, also it serves to Ipad.")</f>
        <v>The most convenient way to back up your iPhone the way most comfortable to back up iPhone The base has very good quality and the system is quite useful if you want to back up in the icloud or have more than 5GB data, which is the free limit today in icloud. Typically 5GB free fall short, and this is where this apparatus is great. When you get home you connect it to load and forget, the only performs the backup on the SD card bearing the base. If you need more capacity or want to make more than one copy only have to change cards. A system very comfortable. Loading speed is much faster than conventional chargers, the rapids are 2 amps, but this reaches 3A, reducing charging time you considerably. The base is slip rubber and a chrome design is great. In addition to the base brings space to leave collected the excess cable when not use it. The base that I have comes with a 64GB Class 10 card FFP. The startup is intuitive, because when you connect the cable the only asks you to install the application and select to copy sandisk. In my case I use with iPhone 6 and perfect, also it serves to Ipad.</v>
      </c>
    </row>
    <row r="19153">
      <c r="A19153" s="1">
        <v>5.0</v>
      </c>
      <c r="B19153" s="1" t="s">
        <v>18968</v>
      </c>
      <c r="C19153" t="str">
        <f>IFERROR(__xludf.DUMMYFUNCTION("GOOGLETRANSLATE(B19153, ""es"", ""en"")"),"Good product Very comfortable to use, easy filling, large capacity.")</f>
        <v>Good product Very comfortable to use, easy filling, large capacity.</v>
      </c>
    </row>
    <row r="19154">
      <c r="A19154" s="1">
        <v>5.0</v>
      </c>
      <c r="B19154" s="1" t="s">
        <v>18969</v>
      </c>
      <c r="C19154" t="str">
        <f>IFERROR(__xludf.DUMMYFUNCTION("GOOGLETRANSLATE(B19154, ""es"", ""en"")"),"Contenta defect has little unique is that sole front")</f>
        <v>Contenta defect has little unique is that sole front</v>
      </c>
    </row>
    <row r="19155">
      <c r="A19155" s="1">
        <v>5.0</v>
      </c>
      <c r="B19155" s="1" t="s">
        <v>18970</v>
      </c>
      <c r="C19155" t="str">
        <f>IFERROR(__xludf.DUMMYFUNCTION("GOOGLETRANSLATE(B19155, ""es"", ""en"")"),"Good product for juices After two weeks of use especially for fruit juice, I can say it works perfectly. It has a right power to make juice quickly, with relatively low noise.")</f>
        <v>Good product for juices After two weeks of use especially for fruit juice, I can say it works perfectly. It has a right power to make juice quickly, with relatively low noise.</v>
      </c>
    </row>
    <row r="19156">
      <c r="A19156" s="1">
        <v>5.0</v>
      </c>
      <c r="B19156" s="1" t="s">
        <v>18971</v>
      </c>
      <c r="C19156" t="str">
        <f>IFERROR(__xludf.DUMMYFUNCTION("GOOGLETRANSLATE(B19156, ""es"", ""en"")"),"Good quality. Very comfortable and warm. Very good quality fabric. I must be careful when choosing the size as it is a jacket that quite fits the body.")</f>
        <v>Good quality. Very comfortable and warm. Very good quality fabric. I must be careful when choosing the size as it is a jacket that quite fits the body.</v>
      </c>
    </row>
    <row r="19157">
      <c r="A19157" s="1">
        <v>5.0</v>
      </c>
      <c r="B19157" s="1" t="s">
        <v>18972</v>
      </c>
      <c r="C19157" t="str">
        <f>IFERROR(__xludf.DUMMYFUNCTION("GOOGLETRANSLATE(B19157, ""es"", ""en"")"),"Recommended Perfect for my ps2")</f>
        <v>Recommended Perfect for my ps2</v>
      </c>
    </row>
    <row r="19158">
      <c r="A19158" s="1">
        <v>5.0</v>
      </c>
      <c r="B19158" s="1" t="s">
        <v>18973</v>
      </c>
      <c r="C19158" t="str">
        <f>IFERROR(__xludf.DUMMYFUNCTION("GOOGLETRANSLATE(B19158, ""es"", ""en"")"),"Good article comfortable, lightweight, varatos and sound really good. All I've missed is the buttons up and down the volume but for what it can not ask for more. I recommend it")</f>
        <v>Good article comfortable, lightweight, varatos and sound really good. All I've missed is the buttons up and down the volume but for what it can not ask for more. I recommend it</v>
      </c>
    </row>
    <row r="19159">
      <c r="A19159" s="1">
        <v>5.0</v>
      </c>
      <c r="B19159" s="1" t="s">
        <v>18974</v>
      </c>
      <c r="C19159" t="str">
        <f>IFERROR(__xludf.DUMMYFUNCTION("GOOGLETRANSLATE(B19159, ""es"", ""en"")"),"buenisimo massager, I took a week to and from my work I wake up with back pain and I sleep with neck pain, I use it morning and night for fifteen minutes while I relax and success overall, also to coincide with the menstrucion and I've had massages in the"&amp;" belly and kidneys and has worked so delighted super-recommended product")</f>
        <v>buenisimo massager, I took a week to and from my work I wake up with back pain and I sleep with neck pain, I use it morning and night for fifteen minutes while I relax and success overall, also to coincide with the menstrucion and I've had massages in the belly and kidneys and has worked so delighted super-recommended product</v>
      </c>
    </row>
    <row r="19160">
      <c r="A19160" s="1">
        <v>5.0</v>
      </c>
      <c r="B19160" s="1" t="s">
        <v>18975</v>
      </c>
      <c r="C19160" t="str">
        <f>IFERROR(__xludf.DUMMYFUNCTION("GOOGLETRANSLATE(B19160, ""es"", ""en"")"),"Good Fast shipping, good presentation and good fragrance, I have not tested diffuser")</f>
        <v>Good Fast shipping, good presentation and good fragrance, I have not tested diffuser</v>
      </c>
    </row>
    <row r="19161">
      <c r="A19161" s="1">
        <v>5.0</v>
      </c>
      <c r="B19161" s="1" t="s">
        <v>18976</v>
      </c>
      <c r="C19161" t="str">
        <f>IFERROR(__xludf.DUMMYFUNCTION("GOOGLETRANSLATE(B19161, ""es"", ""en"")"),"Perfect right. It handles all types of micros.")</f>
        <v>Perfect right. It handles all types of micros.</v>
      </c>
    </row>
    <row r="19162">
      <c r="A19162" s="1">
        <v>5.0</v>
      </c>
      <c r="B19162" s="1" t="s">
        <v>18977</v>
      </c>
      <c r="C19162" t="str">
        <f>IFERROR(__xludf.DUMMYFUNCTION("GOOGLETRANSLATE(B19162, ""es"", ""en"")"),"Perfect reviews I read were not disappointed. The pendant has the expected size, is exactly as seen in the photos, has a certificate that is 925 and the chain is elegant, not those of links. It also comes in a nice box with several seals uns (which makes "&amp;"it arrives in perfect condition) and a cloth to clean it. A removing the plastic seals looks much, and detail of the trapito I really liked (you can put it under the pendant velvet where supported).")</f>
        <v>Perfect reviews I read were not disappointed. The pendant has the expected size, is exactly as seen in the photos, has a certificate that is 925 and the chain is elegant, not those of links. It also comes in a nice box with several seals uns (which makes it arrives in perfect condition) and a cloth to clean it. A removing the plastic seals looks much, and detail of the trapito I really liked (you can put it under the pendant velvet where supported).</v>
      </c>
    </row>
    <row r="19163">
      <c r="A19163" s="1">
        <v>5.0</v>
      </c>
      <c r="B19163" s="1" t="s">
        <v>18978</v>
      </c>
      <c r="C19163" t="str">
        <f>IFERROR(__xludf.DUMMYFUNCTION("GOOGLETRANSLATE(B19163, ""es"", ""en"")"),"Excellent comfortable delivery and product")</f>
        <v>Excellent comfortable delivery and product</v>
      </c>
    </row>
    <row r="19164">
      <c r="A19164" s="1">
        <v>5.0</v>
      </c>
      <c r="B19164" s="1" t="s">
        <v>18979</v>
      </c>
      <c r="C19164" t="str">
        <f>IFERROR(__xludf.DUMMYFUNCTION("GOOGLETRANSLATE(B19164, ""es"", ""en"")"),"I recommend As described by the manufacturer")</f>
        <v>I recommend As described by the manufacturer</v>
      </c>
    </row>
    <row r="19165">
      <c r="A19165" s="1">
        <v>2.0</v>
      </c>
      <c r="B19165" s="1" t="s">
        <v>18980</v>
      </c>
      <c r="C19165" t="str">
        <f>IFERROR(__xludf.DUMMYFUNCTION("GOOGLETRANSLATE(B19165, ""es"", ""en"")"),"Flawed bag has come unstitched all me, I'll have to return")</f>
        <v>Flawed bag has come unstitched all me, I'll have to return</v>
      </c>
    </row>
    <row r="19166">
      <c r="A19166" s="1">
        <v>3.0</v>
      </c>
      <c r="B19166" s="1" t="s">
        <v>18981</v>
      </c>
      <c r="C19166" t="str">
        <f>IFERROR(__xludf.DUMMYFUNCTION("GOOGLETRANSLATE(B19166, ""es"", ""en"")"),"NOT SUBJECT ENOUGH I do not quite understand user reviews. I bought the bra after reading them and I ended up returning it. I'm used to sports bras that strongly hold the chest. It is not the case of this type of tissue, which are very comfortable but not"&amp;" tightened enough to hold the chest so little to move when you do sport.")</f>
        <v>NOT SUBJECT ENOUGH I do not quite understand user reviews. I bought the bra after reading them and I ended up returning it. I'm used to sports bras that strongly hold the chest. It is not the case of this type of tissue, which are very comfortable but not tightened enough to hold the chest so little to move when you do sport.</v>
      </c>
    </row>
    <row r="19167">
      <c r="A19167" s="1">
        <v>1.0</v>
      </c>
      <c r="B19167" s="1" t="s">
        <v>18982</v>
      </c>
      <c r="C19167" t="str">
        <f>IFERROR(__xludf.DUMMYFUNCTION("GOOGLETRANSLATE(B19167, ""es"", ""en"")"),"RETURN TO COST Quality is regularly pulling down, but eye wrong size, the cost of going back to your office, I would recommend any other provider not to carry out this practice.")</f>
        <v>RETURN TO COST Quality is regularly pulling down, but eye wrong size, the cost of going back to your office, I would recommend any other provider not to carry out this practice.</v>
      </c>
    </row>
    <row r="19168">
      <c r="A19168" s="1">
        <v>1.0</v>
      </c>
      <c r="B19168" s="1" t="s">
        <v>18983</v>
      </c>
      <c r="C19168" t="str">
        <f>IFERROR(__xludf.DUMMYFUNCTION("GOOGLETRANSLATE(B19168, ""es"", ""en"")"),"My product was a hoax The product a priori looks good, but nothing else try it and test it transfer rate does not correspond to a USB 3.0 as shown in the description of the article, it is like a 2.0. I am surprised that Amazon can sell something that does"&amp;" not correspond with the provisions and might even be false.")</f>
        <v>My product was a hoax The product a priori looks good, but nothing else try it and test it transfer rate does not correspond to a USB 3.0 as shown in the description of the article, it is like a 2.0. I am surprised that Amazon can sell something that does not correspond with the provisions and might even be false.</v>
      </c>
    </row>
    <row r="19169">
      <c r="A19169" s="1">
        <v>1.0</v>
      </c>
      <c r="B19169" s="1" t="s">
        <v>18984</v>
      </c>
      <c r="C19169" t="str">
        <f>IFERROR(__xludf.DUMMYFUNCTION("GOOGLETRANSLATE(B19169, ""es"", ""en"")"),"I bought this smells very strong product to carry the hot water bottles and quickly prepare my daughter. The big problem with the product is that it gives off a very strong smell like paint and so water gets that taste. We tried to wash it in every way (b"&amp;"aking soda, vinegar, both mixed ...) and the smell appears little while back. Yes, it holds heat well.")</f>
        <v>I bought this smells very strong product to carry the hot water bottles and quickly prepare my daughter. The big problem with the product is that it gives off a very strong smell like paint and so water gets that taste. We tried to wash it in every way (baking soda, vinegar, both mixed ...) and the smell appears little while back. Yes, it holds heat well.</v>
      </c>
    </row>
    <row r="19170">
      <c r="A19170" s="1">
        <v>4.0</v>
      </c>
      <c r="B19170" s="1" t="s">
        <v>18985</v>
      </c>
      <c r="C19170" t="str">
        <f>IFERROR(__xludf.DUMMYFUNCTION("GOOGLETRANSLATE(B19170, ""es"", ""en"")"),"Q what was expected Rapido")</f>
        <v>Q what was expected Rapido</v>
      </c>
    </row>
    <row r="19171">
      <c r="A19171" s="1">
        <v>4.0</v>
      </c>
      <c r="B19171" s="1" t="s">
        <v>18986</v>
      </c>
      <c r="C19171" t="str">
        <f>IFERROR(__xludf.DUMMYFUNCTION("GOOGLETRANSLATE(B19171, ""es"", ""en"")"),"Classic digital clock lifelong As a user of the ""Casio"" watch for forty years, I find that are reliable, lightweight and durable. They may not be the most beautiful watches in the world, but in my case, for two decades the only use to go to the beach. F"&amp;"or others, maintain the aesthetics ochentera for me is a plus. As is referring to this particular model, note that the system synchronization is simple and easy to use with only the fingers (not like others that towards the like to squeeze a button or lac"&amp;"k a pencil), plus have a range of accessories such as light, timer function and alarm clock. The value for money is unbeatable and the shipment was rapidisimo")</f>
        <v>Classic digital clock lifelong As a user of the "Casio" watch for forty years, I find that are reliable, lightweight and durable. They may not be the most beautiful watches in the world, but in my case, for two decades the only use to go to the beach. For others, maintain the aesthetics ochentera for me is a plus. As is referring to this particular model, note that the system synchronization is simple and easy to use with only the fingers (not like others that towards the like to squeeze a button or lack a pencil), plus have a range of accessories such as light, timer function and alarm clock. The value for money is unbeatable and the shipment was rapidisimo</v>
      </c>
    </row>
    <row r="19172">
      <c r="A19172" s="1">
        <v>4.0</v>
      </c>
      <c r="B19172" s="1" t="s">
        <v>18987</v>
      </c>
      <c r="C19172" t="str">
        <f>IFERROR(__xludf.DUMMYFUNCTION("GOOGLETRANSLATE(B19172, ""es"", ""en"")"),"I expected are pretty good. Comfortable. They are just what I expected, although it is true that the number is a little smaller than I wanted")</f>
        <v>I expected are pretty good. Comfortable. They are just what I expected, although it is true that the number is a little smaller than I wanted</v>
      </c>
    </row>
    <row r="19173">
      <c r="A19173" s="1">
        <v>4.0</v>
      </c>
      <c r="B19173" s="1" t="s">
        <v>18988</v>
      </c>
      <c r="C19173" t="str">
        <f>IFERROR(__xludf.DUMMYFUNCTION("GOOGLETRANSLATE(B19173, ""es"", ""en"")"),"Good value This pack is very good if you're looking to mount a set-up ""gamer"" or just need a microphone to play. It's great for tasks like podcast for example, except for the detail that to get a better match is quite recommended to buy the phantom powe"&amp;"r for the same mark has (because it is very cheap) as it will give you a cleaner audio, higher and with better quality. The phantom power in question is the nw-100 and 15 euros (euro up, euro down) get a better audio")</f>
        <v>Good value This pack is very good if you're looking to mount a set-up "gamer" or just need a microphone to play. It's great for tasks like podcast for example, except for the detail that to get a better match is quite recommended to buy the phantom power for the same mark has (because it is very cheap) as it will give you a cleaner audio, higher and with better quality. The phantom power in question is the nw-100 and 15 euros (euro up, euro down) get a better audio</v>
      </c>
    </row>
    <row r="19174">
      <c r="A19174" s="1">
        <v>4.0</v>
      </c>
      <c r="B19174" s="1" t="s">
        <v>18989</v>
      </c>
      <c r="C19174" t="str">
        <f>IFERROR(__xludf.DUMMYFUNCTION("GOOGLETRANSLATE(B19174, ""es"", ""en"")"),"BONITOS Very nice, fabric is for spring-summer")</f>
        <v>BONITOS Very nice, fabric is for spring-summer</v>
      </c>
    </row>
    <row r="19175">
      <c r="A19175" s="1">
        <v>5.0</v>
      </c>
      <c r="B19175" s="1" t="s">
        <v>18990</v>
      </c>
      <c r="C19175" t="str">
        <f>IFERROR(__xludf.DUMMYFUNCTION("GOOGLETRANSLATE(B19175, ""es"", ""en"")"),"Elegid good size The quality is pretty good. I'm a man and I measure 185 cm and weight 80 kg, size L comes a little small. I would request a XL. I still do not regret, very good buy")</f>
        <v>Elegid good size The quality is pretty good. I'm a man and I measure 185 cm and weight 80 kg, size L comes a little small. I would request a XL. I still do not regret, very good buy</v>
      </c>
    </row>
    <row r="19176">
      <c r="A19176" s="1">
        <v>5.0</v>
      </c>
      <c r="B19176" s="1" t="s">
        <v>18991</v>
      </c>
      <c r="C19176" t="str">
        <f>IFERROR(__xludf.DUMMYFUNCTION("GOOGLETRANSLATE(B19176, ""es"", ""en"")"),"Value great I love is perfect")</f>
        <v>Value great I love is perfect</v>
      </c>
    </row>
    <row r="19177">
      <c r="A19177" s="1">
        <v>5.0</v>
      </c>
      <c r="B19177" s="1" t="s">
        <v>18992</v>
      </c>
      <c r="C19177" t="str">
        <f>IFERROR(__xludf.DUMMYFUNCTION("GOOGLETRANSLATE(B19177, ""es"", ""en"")"),"Perfect Very good, it meets as expected, I recommend")</f>
        <v>Perfect Very good, it meets as expected, I recommend</v>
      </c>
    </row>
    <row r="19178">
      <c r="A19178" s="1">
        <v>5.0</v>
      </c>
      <c r="B19178" s="1" t="s">
        <v>18993</v>
      </c>
      <c r="C19178" t="str">
        <f>IFERROR(__xludf.DUMMYFUNCTION("GOOGLETRANSLATE(B19178, ""es"", ""en"")"),"Works I bought for my 8 year old daughter, a few days had trouble sleeping and was very nervous because I could not sleep herself. Since it has has not had any problems, we have learned together to use it and are very happy with the result.")</f>
        <v>Works I bought for my 8 year old daughter, a few days had trouble sleeping and was very nervous because I could not sleep herself. Since it has has not had any problems, we have learned together to use it and are very happy with the result.</v>
      </c>
    </row>
    <row r="19179">
      <c r="A19179" s="1">
        <v>5.0</v>
      </c>
      <c r="B19179" s="1" t="s">
        <v>18994</v>
      </c>
      <c r="C19179" t="str">
        <f>IFERROR(__xludf.DUMMYFUNCTION("GOOGLETRANSLATE(B19179, ""es"", ""en"")"),"satisfied The order arrived promptly and in good condition. Article perception is very good, he looks tough, does not stink, and I used one day, I find it comfortable to wear and useful compartments and varied.")</f>
        <v>satisfied The order arrived promptly and in good condition. Article perception is very good, he looks tough, does not stink, and I used one day, I find it comfortable to wear and useful compartments and varied.</v>
      </c>
    </row>
    <row r="19180">
      <c r="A19180" s="1">
        <v>5.0</v>
      </c>
      <c r="B19180" s="1" t="s">
        <v>18995</v>
      </c>
      <c r="C19180" t="str">
        <f>IFERROR(__xludf.DUMMYFUNCTION("GOOGLETRANSLATE(B19180, ""es"", ""en"")"),"A good compliment their functions well I love and for the price you have to ask more")</f>
        <v>A good compliment their functions well I love and for the price you have to ask more</v>
      </c>
    </row>
    <row r="19181">
      <c r="A19181" s="1">
        <v>5.0</v>
      </c>
      <c r="B19181" s="1" t="s">
        <v>18996</v>
      </c>
      <c r="C19181" t="str">
        <f>IFERROR(__xludf.DUMMYFUNCTION("GOOGLETRANSLATE(B19181, ""es"", ""en"")"),"Perfect black Converse All Star")</f>
        <v>Perfect black Converse All Star</v>
      </c>
    </row>
    <row r="19182">
      <c r="A19182" s="1">
        <v>5.0</v>
      </c>
      <c r="B19182" s="1" t="s">
        <v>18997</v>
      </c>
      <c r="C19182" t="str">
        <f>IFERROR(__xludf.DUMMYFUNCTION("GOOGLETRANSLATE(B19182, ""es"", ""en"")"),"Commode In mobile, keys and a small bottle. Hiking two or three hours is fine")</f>
        <v>Commode In mobile, keys and a small bottle. Hiking two or three hours is fine</v>
      </c>
    </row>
    <row r="19183">
      <c r="A19183" s="1">
        <v>5.0</v>
      </c>
      <c r="B19183" s="1" t="s">
        <v>18998</v>
      </c>
      <c r="C19183" t="str">
        <f>IFERROR(__xludf.DUMMYFUNCTION("GOOGLETRANSLATE(B19183, ""es"", ""en"")"),"Good microphone I really liked the microphone. Usually record podcasts and my colleagues say you hear very well via Skype. Then when I record something, gets little noise and that heat now, fans of the PC ""talk"" much xDDD. Very happy with this purchase.")</f>
        <v>Good microphone I really liked the microphone. Usually record podcasts and my colleagues say you hear very well via Skype. Then when I record something, gets little noise and that heat now, fans of the PC "talk" much xDDD. Very happy with this purchase.</v>
      </c>
    </row>
    <row r="19184">
      <c r="A19184" s="1">
        <v>5.0</v>
      </c>
      <c r="B19184" s="1" t="s">
        <v>18999</v>
      </c>
      <c r="C19184" t="str">
        <f>IFERROR(__xludf.DUMMYFUNCTION("GOOGLETRANSLATE(B19184, ""es"", ""en"")"),"Good watch The watch meets the characteristics he sought and is very nice. Say that for those who seek large and wrist covering them is not so great. Rather it is a classic casio watch for those who do not like ""closet"" in the wrist. It is true that ref"&amp;"lecta not much at night.")</f>
        <v>Good watch The watch meets the characteristics he sought and is very nice. Say that for those who seek large and wrist covering them is not so great. Rather it is a classic casio watch for those who do not like "closet" in the wrist. It is true that reflecta not much at night.</v>
      </c>
    </row>
    <row r="19185">
      <c r="A19185" s="1">
        <v>5.0</v>
      </c>
      <c r="B19185" s="1" t="s">
        <v>19000</v>
      </c>
      <c r="C19185" t="str">
        <f>IFERROR(__xludf.DUMMYFUNCTION("GOOGLETRANSLATE(B19185, ""es"", ""en"")"),"Recommended Good cotton. Good comfortable cotton. Design as shown in the photograph. Comfortable. Strongly recommended")</f>
        <v>Recommended Good cotton. Good comfortable cotton. Design as shown in the photograph. Comfortable. Strongly recommended</v>
      </c>
    </row>
    <row r="19186">
      <c r="A19186" s="1">
        <v>5.0</v>
      </c>
      <c r="B19186" s="1" t="s">
        <v>19001</v>
      </c>
      <c r="C19186" t="str">
        <f>IFERROR(__xludf.DUMMYFUNCTION("GOOGLETRANSLATE(B19186, ""es"", ""en"")"),"Thanks to a good invention Dodow fall asleep immediately the bed. Turning the nervously waiting for sleep and sheep have ended. It is a good invention.")</f>
        <v>Thanks to a good invention Dodow fall asleep immediately the bed. Turning the nervously waiting for sleep and sheep have ended. It is a good invention.</v>
      </c>
    </row>
    <row r="19187">
      <c r="A19187" s="1">
        <v>5.0</v>
      </c>
      <c r="B19187" s="1" t="s">
        <v>19002</v>
      </c>
      <c r="C19187" t="str">
        <f>IFERROR(__xludf.DUMMYFUNCTION("GOOGLETRANSLATE(B19187, ""es"", ""en"")"),"Quality / price ratio Very good quality / price. Good materials easy to use and clean, power 500W and comes with two grinding vessels and container. Warranty 2 years.")</f>
        <v>Quality / price ratio Very good quality / price. Good materials easy to use and clean, power 500W and comes with two grinding vessels and container. Warranty 2 years.</v>
      </c>
    </row>
    <row r="19188">
      <c r="A19188" s="1">
        <v>5.0</v>
      </c>
      <c r="B19188" s="1" t="s">
        <v>19003</v>
      </c>
      <c r="C19188" t="str">
        <f>IFERROR(__xludf.DUMMYFUNCTION("GOOGLETRANSLATE(B19188, ""es"", ""en"")"),"incredible skin sensations left me incredible skin; I had been recommended to my sister and also if you keep it in the fridge the pleasant feeling and its effect still more power.")</f>
        <v>incredible skin sensations left me incredible skin; I had been recommended to my sister and also if you keep it in the fridge the pleasant feeling and its effect still more power.</v>
      </c>
    </row>
    <row r="19189">
      <c r="A19189" s="1">
        <v>5.0</v>
      </c>
      <c r="B19189" s="1" t="s">
        <v>19004</v>
      </c>
      <c r="C19189" t="str">
        <f>IFERROR(__xludf.DUMMYFUNCTION("GOOGLETRANSLATE(B19189, ""es"", ""en"")"),"Sports Watch functional, durable and a good price. functional watch for everyday use. Sturdy and durable. Very good to series. Is the second I have these. Highly recommended. Buttons start end / back better placed than the previous model. Very happy with "&amp;"it.")</f>
        <v>Sports Watch functional, durable and a good price. functional watch for everyday use. Sturdy and durable. Very good to series. Is the second I have these. Highly recommended. Buttons start end / back better placed than the previous model. Very happy with it.</v>
      </c>
    </row>
    <row r="19190">
      <c r="A19190" s="1">
        <v>5.0</v>
      </c>
      <c r="B19190" s="1" t="s">
        <v>19005</v>
      </c>
      <c r="C19190" t="str">
        <f>IFERROR(__xludf.DUMMYFUNCTION("GOOGLETRANSLATE(B19190, ""es"", ""en"")"),"It reaches all corners The product works perfectly and does the job. The truth sometimes even makes me too long cable for what I use it, what I do is take the amount of cable I need and I leave excess collected out of the way")</f>
        <v>It reaches all corners The product works perfectly and does the job. The truth sometimes even makes me too long cable for what I use it, what I do is take the amount of cable I need and I leave excess collected out of the way</v>
      </c>
    </row>
    <row r="19191">
      <c r="A19191" s="1">
        <v>5.0</v>
      </c>
      <c r="B19191" s="1" t="s">
        <v>19006</v>
      </c>
      <c r="C19191" t="str">
        <f>IFERROR(__xludf.DUMMYFUNCTION("GOOGLETRANSLATE(B19191, ""es"", ""en"")"),"ok well they brought these after watching some criticism. to the As with anything online. Well, I can not see the contact or see it in person. The best bet is that some people tell you how it is. I must say I'm not disappointed. The sound is at the top. T"&amp;"he bass is really good with the feeling that going to crackle at high volume. the life of the battery is approximately 2.30 hours, depending on the volume, but the housing cocoons charged 10 times, so that total will be about 20 hours of game. If it feels"&amp;" good it does not feel like cheap plastic. I did a test head shaking and did not fall. The charge does not take long. but do not use more than the 1st charger as it will damage the battery in the case and does not support wireless charging. Overall, for t"&amp;"he price of a couple of these outbreaks of galaxies, it's not obvious to me why paid 4 times as much for even twice the performance.")</f>
        <v>ok well they brought these after watching some criticism. to the As with anything online. Well, I can not see the contact or see it in person. The best bet is that some people tell you how it is. I must say I'm not disappointed. The sound is at the top. The bass is really good with the feeling that going to crackle at high volume. the life of the battery is approximately 2.30 hours, depending on the volume, but the housing cocoons charged 10 times, so that total will be about 20 hours of game. If it feels good it does not feel like cheap plastic. I did a test head shaking and did not fall. The charge does not take long. but do not use more than the 1st charger as it will damage the battery in the case and does not support wireless charging. Overall, for the price of a couple of these outbreaks of galaxies, it's not obvious to me why paid 4 times as much for even twice the performance.</v>
      </c>
    </row>
    <row r="19192">
      <c r="A19192" s="1">
        <v>5.0</v>
      </c>
      <c r="B19192" s="1" t="s">
        <v>19007</v>
      </c>
      <c r="C19192" t="str">
        <f>IFERROR(__xludf.DUMMYFUNCTION("GOOGLETRANSLATE(B19192, ""es"", ""en"")"),"Well came two days. My good, quick heat, measures the temperature. good shipment")</f>
        <v>Well came two days. My good, quick heat, measures the temperature. good shipment</v>
      </c>
    </row>
    <row r="19193">
      <c r="A19193" s="1">
        <v>2.0</v>
      </c>
      <c r="B19193" s="1" t="s">
        <v>19008</v>
      </c>
      <c r="C19193" t="str">
        <f>IFERROR(__xludf.DUMMYFUNCTION("GOOGLETRANSLATE(B19193, ""es"", ""en"")"),"Carve calentitas They look very little but had to return because carve one or two numbers less than normal.")</f>
        <v>Carve calentitas They look very little but had to return because carve one or two numbers less than normal.</v>
      </c>
    </row>
    <row r="19194">
      <c r="A19194" s="1">
        <v>3.0</v>
      </c>
      <c r="B19194" s="1" t="s">
        <v>19009</v>
      </c>
      <c r="C19194" t="str">
        <f>IFERROR(__xludf.DUMMYFUNCTION("GOOGLETRANSLATE(B19194, ""es"", ""en"")"),"They come with a tare. One day have arrived earlier than expected, overall good, but they have a small defect in the front.")</f>
        <v>They come with a tare. One day have arrived earlier than expected, overall good, but they have a small defect in the front.</v>
      </c>
    </row>
    <row r="19195">
      <c r="A19195" s="1">
        <v>3.0</v>
      </c>
      <c r="B19195" s="1" t="s">
        <v>19010</v>
      </c>
      <c r="C19195" t="str">
        <f>IFERROR(__xludf.DUMMYFUNCTION("GOOGLETRANSLATE(B19195, ""es"", ""en"")"),"Joma Tracksuit pants comes with a snag, maybe the fabric to more serious marras.Pensaba the best quality, even the cut is wide enough above")</f>
        <v>Joma Tracksuit pants comes with a snag, maybe the fabric to more serious marras.Pensaba the best quality, even the cut is wide enough above</v>
      </c>
    </row>
    <row r="19196">
      <c r="A19196" s="1">
        <v>1.0</v>
      </c>
      <c r="B19196" s="1" t="s">
        <v>19011</v>
      </c>
      <c r="C19196" t="str">
        <f>IFERROR(__xludf.DUMMYFUNCTION("GOOGLETRANSLATE(B19196, ""es"", ""en"")"),"Not buy devuelto.No know if I've been my particular unit or what but at the test it with a pint I have left stains on the white background will not. In addition the plastic smell of Chinese plastic. If you do not pass this would be very cool.")</f>
        <v>Not buy devuelto.No know if I've been my particular unit or what but at the test it with a pint I have left stains on the white background will not. In addition the plastic smell of Chinese plastic. If you do not pass this would be very cool.</v>
      </c>
    </row>
    <row r="19197">
      <c r="A19197" s="1">
        <v>1.0</v>
      </c>
      <c r="B19197" s="1" t="s">
        <v>19012</v>
      </c>
      <c r="C19197" t="str">
        <f>IFERROR(__xludf.DUMMYFUNCTION("GOOGLETRANSLATE(B19197, ""es"", ""en"")"),"For more ugly smell times I've washed still giving off a smell strong plastic, which in the end I put aside")</f>
        <v>For more ugly smell times I've washed still giving off a smell strong plastic, which in the end I put aside</v>
      </c>
    </row>
    <row r="19198">
      <c r="A19198" s="1">
        <v>4.0</v>
      </c>
      <c r="B19198" s="1" t="s">
        <v>19013</v>
      </c>
      <c r="C19198" t="str">
        <f>IFERROR(__xludf.DUMMYFUNCTION("GOOGLETRANSLATE(B19198, ""es"", ""en"")"),"Quality product quality, with enough pockets and a speedy delivery of barely 24 hours, I use the books for my studies and it is fantastic. And an adjustable long strap.")</f>
        <v>Quality product quality, with enough pockets and a speedy delivery of barely 24 hours, I use the books for my studies and it is fantastic. And an adjustable long strap.</v>
      </c>
    </row>
    <row r="19199">
      <c r="A19199" s="1">
        <v>4.0</v>
      </c>
      <c r="B19199" s="1" t="s">
        <v>19014</v>
      </c>
      <c r="C19199" t="str">
        <f>IFERROR(__xludf.DUMMYFUNCTION("GOOGLETRANSLATE(B19199, ""es"", ""en"")"),"I love my new purchase buy this without seeing it physically that was where m, as options did take the Via hour radio automatically besides being solar, does many things turns itself off if there is no light if active Energy Savings and tells battery leve"&amp;"l I like it because it is very large still seems to lack some color could have put red buttons or something like that, the mpodelo negative words with white ay Black screen lyrics is very nice but according I read reads very bad and this can say quite the"&amp;" contrary I think it's a good buy is very big and I like that. the issue of receppcion probe several times and I did not work until he found a place where she received signal updates your time and all of the world so does automatically at night")</f>
        <v>I love my new purchase buy this without seeing it physically that was where m, as options did take the Via hour radio automatically besides being solar, does many things turns itself off if there is no light if active Energy Savings and tells battery level I like it because it is very large still seems to lack some color could have put red buttons or something like that, the mpodelo negative words with white ay Black screen lyrics is very nice but according I read reads very bad and this can say quite the contrary I think it's a good buy is very big and I like that. the issue of receppcion probe several times and I did not work until he found a place where she received signal updates your time and all of the world so does automatically at night</v>
      </c>
    </row>
    <row r="19200">
      <c r="A19200" s="1">
        <v>4.0</v>
      </c>
      <c r="B19200" s="1" t="s">
        <v>19015</v>
      </c>
      <c r="C19200" t="str">
        <f>IFERROR(__xludf.DUMMYFUNCTION("GOOGLETRANSLATE(B19200, ""es"", ""en"")"),"We use it perfectly meets for a physical store and far more functionality than correct. The battery option gives more value added but not buy. We know we have that option. At the moment we have not had to update it. We'll see then.")</f>
        <v>We use it perfectly meets for a physical store and far more functionality than correct. The battery option gives more value added but not buy. We know we have that option. At the moment we have not had to update it. We'll see then.</v>
      </c>
    </row>
    <row r="19201">
      <c r="A19201" s="1">
        <v>4.0</v>
      </c>
      <c r="B19201" s="1" t="s">
        <v>19016</v>
      </c>
      <c r="C19201" t="str">
        <f>IFERROR(__xludf.DUMMYFUNCTION("GOOGLETRANSLATE(B19201, ""es"", ""en"")"),"Very good quality and price regarding hear is the best, hear and you hear a very annoying bien.Después while the ear is the only but ...")</f>
        <v>Very good quality and price regarding hear is the best, hear and you hear a very annoying bien.Después while the ear is the only but ...</v>
      </c>
    </row>
    <row r="19202">
      <c r="A19202" s="1">
        <v>4.0</v>
      </c>
      <c r="B19202" s="1" t="s">
        <v>19017</v>
      </c>
      <c r="C19202" t="str">
        <f>IFERROR(__xludf.DUMMYFUNCTION("GOOGLETRANSLATE(B19202, ""es"", ""en"")"),"Nice and cheap and it soon got what I expected at a good price. It's nice")</f>
        <v>Nice and cheap and it soon got what I expected at a good price. It's nice</v>
      </c>
    </row>
    <row r="19203">
      <c r="A19203" s="1">
        <v>5.0</v>
      </c>
      <c r="B19203" s="1" t="s">
        <v>19018</v>
      </c>
      <c r="C19203" t="str">
        <f>IFERROR(__xludf.DUMMYFUNCTION("GOOGLETRANSLATE(B19203, ""es"", ""en"")"),"Very good quality for my little loves. Good quality and price with the offer super good! recommended")</f>
        <v>Very good quality for my little loves. Good quality and price with the offer super good! recommended</v>
      </c>
    </row>
    <row r="19204">
      <c r="A19204" s="1">
        <v>5.0</v>
      </c>
      <c r="B19204" s="1" t="s">
        <v>19019</v>
      </c>
      <c r="C19204" t="str">
        <f>IFERROR(__xludf.DUMMYFUNCTION("GOOGLETRANSLATE(B19204, ""es"", ""en"")"),"Good product and good quality. I worked well. It connects to the microphone and removed it properly and without snagging. I recommend it.")</f>
        <v>Good product and good quality. I worked well. It connects to the microphone and removed it properly and without snagging. I recommend it.</v>
      </c>
    </row>
    <row r="19205">
      <c r="A19205" s="1">
        <v>5.0</v>
      </c>
      <c r="B19205" s="1" t="s">
        <v>19020</v>
      </c>
      <c r="C19205" t="str">
        <f>IFERROR(__xludf.DUMMYFUNCTION("GOOGLETRANSLATE(B19205, ""es"", ""en"")"),"Quality boots just open the box note that it is a quality product. Comfortable and very warm in the winter. The've tried several days of water and completely dry up. I've been using them for a month and nothing to do with the boots that you buy for 40 or "&amp;"50 euros. The price difference with the official website is enough. The correct shipping as expected from Amazon. The would definitely buy.")</f>
        <v>Quality boots just open the box note that it is a quality product. Comfortable and very warm in the winter. The've tried several days of water and completely dry up. I've been using them for a month and nothing to do with the boots that you buy for 40 or 50 euros. The price difference with the official website is enough. The correct shipping as expected from Amazon. The would definitely buy.</v>
      </c>
    </row>
    <row r="19206">
      <c r="A19206" s="1">
        <v>5.0</v>
      </c>
      <c r="B19206" s="1" t="s">
        <v>19021</v>
      </c>
      <c r="C19206" t="str">
        <f>IFERROR(__xludf.DUMMYFUNCTION("GOOGLETRANSLATE(B19206, ""es"", ""en"")"),"It serves the function q buy good product to balance product height")</f>
        <v>It serves the function q buy good product to balance product height</v>
      </c>
    </row>
    <row r="19207">
      <c r="A19207" s="1">
        <v>5.0</v>
      </c>
      <c r="B19207" s="1" t="s">
        <v>19022</v>
      </c>
      <c r="C19207" t="str">
        <f>IFERROR(__xludf.DUMMYFUNCTION("GOOGLETRANSLATE(B19207, ""es"", ""en"")"),"Very useful, good materials and good Great price for both PDF presentations like PowerPoint, Prezi, etc. With one touch you can both slide and move back, a clear button for each (up arrow and down arrow). Above has another dedicated button for the laser, "&amp;"which emits a red laser pointer powerful, powerful and visible even in daylight. The laser stays on while holding down the dedicated button. The controller works with one AAA battery that is included! (Although I was unable to check the duration of this w"&amp;"ith use). But it has a side tab to turn on and off the knob and so not spend the stack. At the turn there is a green LED that lights a moment. The manufacturer says that the command itself off if it detects that it is a long time to rest, so you would not"&amp;" need to lower the tab, but this is not what I have seen and really prefer to turn it off just in case stop and save battery. It has included an explanatory manual in English that is very intuitive even if you do not know English, but it's true that if yo"&amp;"u sell it on Amazon Spain perhaps should be in Spanish. Anyway not much mystery. Control battery, connect the USB receiver to the PC (which incidentally, is tiny), turn the knob up the tab and work. And when they go out, they just keep bringing in the bag"&amp;" and go. It is not heavy (it is plastic), so it is easy to transport. And the bag has locking mechanism for the so small USB receiver or the command itself does not escape.")</f>
        <v>Very useful, good materials and good Great price for both PDF presentations like PowerPoint, Prezi, etc. With one touch you can both slide and move back, a clear button for each (up arrow and down arrow). Above has another dedicated button for the laser, which emits a red laser pointer powerful, powerful and visible even in daylight. The laser stays on while holding down the dedicated button. The controller works with one AAA battery that is included! (Although I was unable to check the duration of this with use). But it has a side tab to turn on and off the knob and so not spend the stack. At the turn there is a green LED that lights a moment. The manufacturer says that the command itself off if it detects that it is a long time to rest, so you would not need to lower the tab, but this is not what I have seen and really prefer to turn it off just in case stop and save battery. It has included an explanatory manual in English that is very intuitive even if you do not know English, but it's true that if you sell it on Amazon Spain perhaps should be in Spanish. Anyway not much mystery. Control battery, connect the USB receiver to the PC (which incidentally, is tiny), turn the knob up the tab and work. And when they go out, they just keep bringing in the bag and go. It is not heavy (it is plastic), so it is easy to transport. And the bag has locking mechanism for the so small USB receiver or the command itself does not escape.</v>
      </c>
    </row>
    <row r="19208">
      <c r="A19208" s="1">
        <v>5.0</v>
      </c>
      <c r="B19208" s="1" t="s">
        <v>745</v>
      </c>
      <c r="C19208" t="str">
        <f>IFERROR(__xludf.DUMMYFUNCTION("GOOGLETRANSLATE(B19208, ""es"", ""en"")"),"perfect perfect")</f>
        <v>perfect perfect</v>
      </c>
    </row>
    <row r="19209">
      <c r="A19209" s="1">
        <v>5.0</v>
      </c>
      <c r="B19209" s="1" t="s">
        <v>19023</v>
      </c>
      <c r="C19209" t="str">
        <f>IFERROR(__xludf.DUMMYFUNCTION("GOOGLETRANSLATE(B19209, ""es"", ""en"")"),"Quick to send. Are as expected, satisfied with the purchase, I recommend it.")</f>
        <v>Quick to send. Are as expected, satisfied with the purchase, I recommend it.</v>
      </c>
    </row>
    <row r="19210">
      <c r="A19210" s="1">
        <v>5.0</v>
      </c>
      <c r="B19210" s="1" t="s">
        <v>19024</v>
      </c>
      <c r="C19210" t="str">
        <f>IFERROR(__xludf.DUMMYFUNCTION("GOOGLETRANSLATE(B19210, ""es"", ""en"")"),"It's fast and very small. I like it fast and very small and comes with USB cable and USB C. No dropped me and therefore I do not know if it holds the blows but for now I'm very happy with this hard drive!")</f>
        <v>It's fast and very small. I like it fast and very small and comes with USB cable and USB C. No dropped me and therefore I do not know if it holds the blows but for now I'm very happy with this hard drive!</v>
      </c>
    </row>
    <row r="19211">
      <c r="A19211" s="1">
        <v>5.0</v>
      </c>
      <c r="B19211" s="1" t="s">
        <v>19025</v>
      </c>
      <c r="C19211" t="str">
        <f>IFERROR(__xludf.DUMMYFUNCTION("GOOGLETRANSLATE(B19211, ""es"", ""en"")"),"Very comfortable This brand is synonymous with comfort and quality. After you take them all day, I do not hurt anything feet.")</f>
        <v>Very comfortable This brand is synonymous with comfort and quality. After you take them all day, I do not hurt anything feet.</v>
      </c>
    </row>
    <row r="19212">
      <c r="A19212" s="1">
        <v>5.0</v>
      </c>
      <c r="B19212" s="1" t="s">
        <v>19026</v>
      </c>
      <c r="C19212" t="str">
        <f>IFERROR(__xludf.DUMMYFUNCTION("GOOGLETRANSLATE(B19212, ""es"", ""en"")"),"Finally I have perfect lass Convers at a good price. They are classic, and they came fast, all perfect. For all audiences")</f>
        <v>Finally I have perfect lass Convers at a good price. They are classic, and they came fast, all perfect. For all audiences</v>
      </c>
    </row>
    <row r="19213">
      <c r="A19213" s="1">
        <v>5.0</v>
      </c>
      <c r="B19213" s="1" t="s">
        <v>19027</v>
      </c>
      <c r="C19213" t="str">
        <f>IFERROR(__xludf.DUMMYFUNCTION("GOOGLETRANSLATE(B19213, ""es"", ""en"")"),"Powerful and easy to clean is a brand that did not know but it works very well")</f>
        <v>Powerful and easy to clean is a brand that did not know but it works very well</v>
      </c>
    </row>
    <row r="19214">
      <c r="A19214" s="1">
        <v>5.0</v>
      </c>
      <c r="B19214" s="1" t="s">
        <v>19028</v>
      </c>
      <c r="C19214" t="str">
        <f>IFERROR(__xludf.DUMMYFUNCTION("GOOGLETRANSLATE(B19214, ""es"", ""en"")"),"Good product I've used recently, but so far it works well")</f>
        <v>Good product I've used recently, but so far it works well</v>
      </c>
    </row>
    <row r="19215">
      <c r="A19215" s="1">
        <v>5.0</v>
      </c>
      <c r="B19215" s="1" t="s">
        <v>19029</v>
      </c>
      <c r="C19215" t="str">
        <f>IFERROR(__xludf.DUMMYFUNCTION("GOOGLETRANSLATE(B19215, ""es"", ""en"")"),"Pads Fits inside the indicated size. They are very very comfortable, ideal for being at home, playing sports or even sunbathing (get off the shoulder straps and carry type Bandana). Also ideal if you have to teach the shoulder, they carry lace.")</f>
        <v>Pads Fits inside the indicated size. They are very very comfortable, ideal for being at home, playing sports or even sunbathing (get off the shoulder straps and carry type Bandana). Also ideal if you have to teach the shoulder, they carry lace.</v>
      </c>
    </row>
    <row r="19216">
      <c r="A19216" s="1">
        <v>5.0</v>
      </c>
      <c r="B19216" s="1" t="s">
        <v>19030</v>
      </c>
      <c r="C19216" t="str">
        <f>IFERROR(__xludf.DUMMYFUNCTION("GOOGLETRANSLATE(B19216, ""es"", ""en"")"),"Perfect for use of micro sd He was looking to take the two adapters to the micro sd at a good price. The USB is quite small and incorporates a small strap on it. Has good speed read and write, that if only 8GB, is always appreciated.")</f>
        <v>Perfect for use of micro sd He was looking to take the two adapters to the micro sd at a good price. The USB is quite small and incorporates a small strap on it. Has good speed read and write, that if only 8GB, is always appreciated.</v>
      </c>
    </row>
    <row r="19217">
      <c r="A19217" s="1">
        <v>5.0</v>
      </c>
      <c r="B19217" s="1" t="s">
        <v>19031</v>
      </c>
      <c r="C19217" t="str">
        <f>IFERROR(__xludf.DUMMYFUNCTION("GOOGLETRANSLATE(B19217, ""es"", ""en"")"),"Clock excellent condition very light and in perfect condition.")</f>
        <v>Clock excellent condition very light and in perfect condition.</v>
      </c>
    </row>
    <row r="19218">
      <c r="A19218" s="1">
        <v>5.0</v>
      </c>
      <c r="B19218" s="1" t="s">
        <v>19032</v>
      </c>
      <c r="C19218" t="str">
        <f>IFERROR(__xludf.DUMMYFUNCTION("GOOGLETRANSLATE(B19218, ""es"", ""en"")"),"Finally some order. Product perfect for not wearing a thousand lost cards from the pack and do not know where they are. The size is perfect, just what you need and perfect to store anywhere. It has 18 compartments for cards and 4 sd think they are for com"&amp;"pact flash. right materials and the box comes with a mop and cleaning the glasses and stickers to better organize the case and know that goes on each card. Strong Buy if you use multiple cards.")</f>
        <v>Finally some order. Product perfect for not wearing a thousand lost cards from the pack and do not know where they are. The size is perfect, just what you need and perfect to store anywhere. It has 18 compartments for cards and 4 sd think they are for compact flash. right materials and the box comes with a mop and cleaning the glasses and stickers to better organize the case and know that goes on each card. Strong Buy if you use multiple cards.</v>
      </c>
    </row>
    <row r="19219">
      <c r="A19219" s="1">
        <v>5.0</v>
      </c>
      <c r="B19219" s="1" t="s">
        <v>19033</v>
      </c>
      <c r="C19219" t="str">
        <f>IFERROR(__xludf.DUMMYFUNCTION("GOOGLETRANSLATE(B19219, ""es"", ""en"")"),"Such original gift and home which is seen in the photo, many add-ons, gives you option to do many things, a different gift and very nice")</f>
        <v>Such original gift and home which is seen in the photo, many add-ons, gives you option to do many things, a different gift and very nice</v>
      </c>
    </row>
    <row r="19220">
      <c r="A19220" s="1">
        <v>5.0</v>
      </c>
      <c r="B19220" s="1" t="s">
        <v>19034</v>
      </c>
      <c r="C19220" t="str">
        <f>IFERROR(__xludf.DUMMYFUNCTION("GOOGLETRANSLATE(B19220, ""es"", ""en"")"),"It was a divine gift and the recipient 🎁 is delighted 👏🏻👏🏻")</f>
        <v>It was a divine gift and the recipient 🎁 is delighted 👏🏻👏🏻</v>
      </c>
    </row>
    <row r="19221">
      <c r="A19221" s="1">
        <v>5.0</v>
      </c>
      <c r="B19221" s="1" t="s">
        <v>19035</v>
      </c>
      <c r="C19221" t="str">
        <f>IFERROR(__xludf.DUMMYFUNCTION("GOOGLETRANSLATE(B19221, ""es"", ""en"")"),"Does not weigh much was a gift and is perfect for wedding")</f>
        <v>Does not weigh much was a gift and is perfect for wedding</v>
      </c>
    </row>
    <row r="19222">
      <c r="A19222" s="1">
        <v>2.0</v>
      </c>
      <c r="B19222" s="1" t="s">
        <v>19036</v>
      </c>
      <c r="C19222" t="str">
        <f>IFERROR(__xludf.DUMMYFUNCTION("GOOGLETRANSLATE(B19222, ""es"", ""en"")"),"They do not seem Sneakers bought them because I thought they were Sneakers, but I see the mark anywhere. They have a nice style and are very light but do not know if they will have a good lasted.")</f>
        <v>They do not seem Sneakers bought them because I thought they were Sneakers, but I see the mark anywhere. They have a nice style and are very light but do not know if they will have a good lasted.</v>
      </c>
    </row>
    <row r="19223">
      <c r="A19223" s="1">
        <v>3.0</v>
      </c>
      <c r="B19223" s="1" t="s">
        <v>19037</v>
      </c>
      <c r="C19223" t="str">
        <f>IFERROR(__xludf.DUMMYFUNCTION("GOOGLETRANSLATE(B19223, ""es"", ""en"")"),"Very nice but somewhat uncomfortable. The shoes themselves are very nice, but ties make noticeable loose and very cold because the patent understand. But hey, as they are to wear them and how to play sports, delighted with the purchase.")</f>
        <v>Very nice but somewhat uncomfortable. The shoes themselves are very nice, but ties make noticeable loose and very cold because the patent understand. But hey, as they are to wear them and how to play sports, delighted with the purchase.</v>
      </c>
    </row>
    <row r="19224">
      <c r="A19224" s="1">
        <v>1.0</v>
      </c>
      <c r="B19224" s="1" t="s">
        <v>19038</v>
      </c>
      <c r="C19224" t="str">
        <f>IFERROR(__xludf.DUMMYFUNCTION("GOOGLETRANSLATE(B19224, ""es"", ""en"")"),"False advertising is not what you see in the picture, especially it leads combs and scissors Martians and wasps do not make sense")</f>
        <v>False advertising is not what you see in the picture, especially it leads combs and scissors Martians and wasps do not make sense</v>
      </c>
    </row>
    <row r="19225">
      <c r="A19225" s="1">
        <v>1.0</v>
      </c>
      <c r="B19225" s="1" t="s">
        <v>19039</v>
      </c>
      <c r="C19225" t="str">
        <f>IFERROR(__xludf.DUMMYFUNCTION("GOOGLETRANSLATE(B19225, ""es"", ""en"")"),"It is not the photo of touch iel pajama type .. Not the garment esperava but good to my daughter go to the po batita to go home to her if you like")</f>
        <v>It is not the photo of touch iel pajama type .. Not the garment esperava but good to my daughter go to the po batita to go home to her if you like</v>
      </c>
    </row>
    <row r="19226">
      <c r="A19226" s="1">
        <v>1.0</v>
      </c>
      <c r="B19226" s="1" t="s">
        <v>19040</v>
      </c>
      <c r="C19226" t="str">
        <f>IFERROR(__xludf.DUMMYFUNCTION("GOOGLETRANSLATE(B19226, ""es"", ""en"")"),"""I shook him off"" The bag arrived early, but not the one I chose. I would never have bought with colored pinheads, really.")</f>
        <v>"I shook him off" The bag arrived early, but not the one I chose. I would never have bought with colored pinheads, really.</v>
      </c>
    </row>
    <row r="19227">
      <c r="A19227" s="1">
        <v>4.0</v>
      </c>
      <c r="B19227" s="1" t="s">
        <v>19041</v>
      </c>
      <c r="C19227" t="str">
        <f>IFERROR(__xludf.DUMMYFUNCTION("GOOGLETRANSLATE(B19227, ""es"", ""en"")"),"Worth the money Very satisfied with headphones, the sound is not exceptional but it is good, you can not ask for more for 25 €. It easily connects devices and the battery life is almost infinite, I estimate that I will have used about 12 hours and has not"&amp;" been necessary to load it.")</f>
        <v>Worth the money Very satisfied with headphones, the sound is not exceptional but it is good, you can not ask for more for 25 €. It easily connects devices and the battery life is almost infinite, I estimate that I will have used about 12 hours and has not been necessary to load it.</v>
      </c>
    </row>
    <row r="19228">
      <c r="A19228" s="1">
        <v>4.0</v>
      </c>
      <c r="B19228" s="1" t="s">
        <v>19042</v>
      </c>
      <c r="C19228" t="str">
        <f>IFERROR(__xludf.DUMMYFUNCTION("GOOGLETRANSLATE(B19228, ""es"", ""en"")"),"Easy to use and clean is a very easy system to use and to clean, which is very much appreciated. I find them very practical vessels that brings, solid plastic and with different sizes (the largest half-liter will be more or less), and with 2 different cov"&amp;"ers that fit very well. It looks solid and strong quality. Smoothies I've been doing have come out great, although I have not tried yet hard to beat products, so still I do not get it 5 stars. I took with her a short time, but I can say that for now, very"&amp;" happy.")</f>
        <v>Easy to use and clean is a very easy system to use and to clean, which is very much appreciated. I find them very practical vessels that brings, solid plastic and with different sizes (the largest half-liter will be more or less), and with 2 different covers that fit very well. It looks solid and strong quality. Smoothies I've been doing have come out great, although I have not tried yet hard to beat products, so still I do not get it 5 stars. I took with her a short time, but I can say that for now, very happy.</v>
      </c>
    </row>
    <row r="19229">
      <c r="A19229" s="1">
        <v>4.0</v>
      </c>
      <c r="B19229" s="1" t="s">
        <v>19043</v>
      </c>
      <c r="C19229" t="str">
        <f>IFERROR(__xludf.DUMMYFUNCTION("GOOGLETRANSLATE(B19229, ""es"", ""en"")"),"Recommendable! Nice gift for a girl of 11 years. You'll love. Quality is good for the price they have, are many and varied.")</f>
        <v>Recommendable! Nice gift for a girl of 11 years. You'll love. Quality is good for the price they have, are many and varied.</v>
      </c>
    </row>
    <row r="19230">
      <c r="A19230" s="1">
        <v>4.0</v>
      </c>
      <c r="B19230" s="1" t="s">
        <v>19044</v>
      </c>
      <c r="C19230" t="str">
        <f>IFERROR(__xludf.DUMMYFUNCTION("GOOGLETRANSLATE(B19230, ""es"", ""en"")"),"Good quality / price ratio At the beginning seemed to have little power, but so far is going very well. I've even used the turbo for fruit snacks and still works. Maybe the price.")</f>
        <v>Good quality / price ratio At the beginning seemed to have little power, but so far is going very well. I've even used the turbo for fruit snacks and still works. Maybe the price.</v>
      </c>
    </row>
    <row r="19231">
      <c r="A19231" s="1">
        <v>5.0</v>
      </c>
      <c r="B19231" s="1" t="s">
        <v>19045</v>
      </c>
      <c r="C19231" t="str">
        <f>IFERROR(__xludf.DUMMYFUNCTION("GOOGLETRANSLATE(B19231, ""es"", ""en"")"),"Lots of power very easy to use and with lots of power")</f>
        <v>Lots of power very easy to use and with lots of power</v>
      </c>
    </row>
    <row r="19232">
      <c r="A19232" s="1">
        <v>5.0</v>
      </c>
      <c r="B19232" s="1" t="s">
        <v>19046</v>
      </c>
      <c r="C19232" t="str">
        <f>IFERROR(__xludf.DUMMYFUNCTION("GOOGLETRANSLATE(B19232, ""es"", ""en"")"),"Super convenient. For the price I thought it would be 4-wire. But it turned out very practical and attractive to expose books.")</f>
        <v>Super convenient. For the price I thought it would be 4-wire. But it turned out very practical and attractive to expose books.</v>
      </c>
    </row>
    <row r="19233">
      <c r="A19233" s="1">
        <v>5.0</v>
      </c>
      <c r="B19233" s="1" t="s">
        <v>19047</v>
      </c>
      <c r="C19233" t="str">
        <f>IFERROR(__xludf.DUMMYFUNCTION("GOOGLETRANSLATE(B19233, ""es"", ""en"")"),"I recommend Best")</f>
        <v>I recommend Best</v>
      </c>
    </row>
    <row r="19234">
      <c r="A19234" s="1">
        <v>5.0</v>
      </c>
      <c r="B19234" s="1" t="s">
        <v>19048</v>
      </c>
      <c r="C19234" t="str">
        <f>IFERROR(__xludf.DUMMYFUNCTION("GOOGLETRANSLATE(B19234, ""es"", ""en"")"),"Good brand arrived in perfect condition. They are somewhat damaged the fifth wash, but fine.")</f>
        <v>Good brand arrived in perfect condition. They are somewhat damaged the fifth wash, but fine.</v>
      </c>
    </row>
    <row r="19235">
      <c r="A19235" s="1">
        <v>5.0</v>
      </c>
      <c r="B19235" s="1" t="s">
        <v>19049</v>
      </c>
      <c r="C19235" t="str">
        <f>IFERROR(__xludf.DUMMYFUNCTION("GOOGLETRANSLATE(B19235, ""es"", ""en"")"),"Perfect. They are perfect, I've loved. Very good buy.")</f>
        <v>Perfect. They are perfect, I've loved. Very good buy.</v>
      </c>
    </row>
    <row r="19236">
      <c r="A19236" s="1">
        <v>5.0</v>
      </c>
      <c r="B19236" s="1" t="s">
        <v>19050</v>
      </c>
      <c r="C19236" t="str">
        <f>IFERROR(__xludf.DUMMYFUNCTION("GOOGLETRANSLATE(B19236, ""es"", ""en"")"),"He stopped working .... no more. -Update 'I returned the money two weeks of use, inexplicably stopped working. I'm not conscinte you have done anything, I always leave it in the car, never leaves there, charge in the same car. Suddenly one day people tell"&amp;" me not oien well, so after several failed attempts have not been used again. -ACTUALIZACIÓN- As I said the product stopped working, it Beshoop but people got in contact with me and tell me to return my money. Therefore recommended its purchase during the"&amp;" time it was worked very well, to see if you have better luck, and if you work you have the certainty that the company responds, in my case he did.")</f>
        <v>He stopped working .... no more. -Update 'I returned the money two weeks of use, inexplicably stopped working. I'm not conscinte you have done anything, I always leave it in the car, never leaves there, charge in the same car. Suddenly one day people tell me not oien well, so after several failed attempts have not been used again. -ACTUALIZACIÓN- As I said the product stopped working, it Beshoop but people got in contact with me and tell me to return my money. Therefore recommended its purchase during the time it was worked very well, to see if you have better luck, and if you work you have the certainty that the company responds, in my case he did.</v>
      </c>
    </row>
    <row r="19237">
      <c r="A19237" s="1">
        <v>5.0</v>
      </c>
      <c r="B19237" s="1" t="s">
        <v>19051</v>
      </c>
      <c r="C19237" t="str">
        <f>IFERROR(__xludf.DUMMYFUNCTION("GOOGLETRANSLATE(B19237, ""es"", ""en"")"),"I was looking fantastic headphones headphones that were quality, ie, they had good sound and enough battery to last. I really like these headphones operate autonomously and are linked very well and easily with mobile. Are headphones that can be loaded tha"&amp;"nks to its charging base or case Powerbank guy who helps you especially when you're out and you do not have where to upload. Highly recommended.")</f>
        <v>I was looking fantastic headphones headphones that were quality, ie, they had good sound and enough battery to last. I really like these headphones operate autonomously and are linked very well and easily with mobile. Are headphones that can be loaded thanks to its charging base or case Powerbank guy who helps you especially when you're out and you do not have where to upload. Highly recommended.</v>
      </c>
    </row>
    <row r="19238">
      <c r="A19238" s="1">
        <v>5.0</v>
      </c>
      <c r="B19238" s="1" t="s">
        <v>19052</v>
      </c>
      <c r="C19238" t="str">
        <f>IFERROR(__xludf.DUMMYFUNCTION("GOOGLETRANSLATE(B19238, ""es"", ""en"")"),"Super pimps. It is cute, super cool truth !! Very elegant and discreet. Have excellent audio quality are set very easily with the phone, the battery life is excellent. They are perfect and meet great function.")</f>
        <v>Super pimps. It is cute, super cool truth !! Very elegant and discreet. Have excellent audio quality are set very easily with the phone, the battery life is excellent. They are perfect and meet great function.</v>
      </c>
    </row>
    <row r="19239">
      <c r="A19239" s="1">
        <v>5.0</v>
      </c>
      <c r="B19239" s="1" t="s">
        <v>19053</v>
      </c>
      <c r="C19239" t="str">
        <f>IFERROR(__xludf.DUMMYFUNCTION("GOOGLETRANSLATE(B19239, ""es"", ""en"")"),"Very pleased with purchase very happy, the crossbow for perfect crystals, leaves no lint and clean without a trace. I have been buying back")</f>
        <v>Very pleased with purchase very happy, the crossbow for perfect crystals, leaves no lint and clean without a trace. I have been buying back</v>
      </c>
    </row>
    <row r="19240">
      <c r="A19240" s="1">
        <v>5.0</v>
      </c>
      <c r="B19240" s="1" t="s">
        <v>19054</v>
      </c>
      <c r="C19240" t="str">
        <f>IFERROR(__xludf.DUMMYFUNCTION("GOOGLETRANSLATE(B19240, ""es"", ""en"")"),"I stay perfect and fast delivery I liked it, much as I had other talk and wanted in black, the ideal price cheaper than elsewhere and on noticing that the reviews people called for a number less on my part I 38 normally but I asked for a 37'5 and stay per"&amp;"fect.")</f>
        <v>I stay perfect and fast delivery I liked it, much as I had other talk and wanted in black, the ideal price cheaper than elsewhere and on noticing that the reviews people called for a number less on my part I 38 normally but I asked for a 37'5 and stay perfect.</v>
      </c>
    </row>
    <row r="19241">
      <c r="A19241" s="1">
        <v>5.0</v>
      </c>
      <c r="B19241" s="1" t="s">
        <v>19055</v>
      </c>
      <c r="C19241" t="str">
        <f>IFERROR(__xludf.DUMMYFUNCTION("GOOGLETRANSLATE(B19241, ""es"", ""en"")"),"They seem very nice good quality, and are very pretty, better to see them in the photo, they were a little larger and change for a number less without any problems")</f>
        <v>They seem very nice good quality, and are very pretty, better to see them in the photo, they were a little larger and change for a number less without any problems</v>
      </c>
    </row>
    <row r="19242">
      <c r="A19242" s="1">
        <v>5.0</v>
      </c>
      <c r="B19242" s="1" t="s">
        <v>19056</v>
      </c>
      <c r="C19242" t="str">
        <f>IFERROR(__xludf.DUMMYFUNCTION("GOOGLETRANSLATE(B19242, ""es"", ""en"")"),"Such in the description is super lightweight comfortable and functional its sphere is attractive and very well. a watch to take anywhere and any day. perfect")</f>
        <v>Such in the description is super lightweight comfortable and functional its sphere is attractive and very well. a watch to take anywhere and any day. perfect</v>
      </c>
    </row>
    <row r="19243">
      <c r="A19243" s="1">
        <v>5.0</v>
      </c>
      <c r="B19243" s="1" t="s">
        <v>19057</v>
      </c>
      <c r="C19243" t="str">
        <f>IFERROR(__xludf.DUMMYFUNCTION("GOOGLETRANSLATE(B19243, ""es"", ""en"")"),"Excellent Command perfect for any presentation. For now meets expectations. Multifunction possibility. magnifier option supplies the absence of pointer")</f>
        <v>Excellent Command perfect for any presentation. For now meets expectations. Multifunction possibility. magnifier option supplies the absence of pointer</v>
      </c>
    </row>
    <row r="19244">
      <c r="A19244" s="1">
        <v>5.0</v>
      </c>
      <c r="B19244" s="1" t="s">
        <v>19058</v>
      </c>
      <c r="C19244" t="str">
        <f>IFERROR(__xludf.DUMMYFUNCTION("GOOGLETRANSLATE(B19244, ""es"", ""en"")"),"Great for giving presentations this weekend week I give a talk, then I started looking and found this option very good price. After use in the paper, I have to say it's a good quality product and delivers what it promises. Besides the issue of having a po"&amp;"inter is a remarkable thing! I would definitely recommend buying this product")</f>
        <v>Great for giving presentations this weekend week I give a talk, then I started looking and found this option very good price. After use in the paper, I have to say it's a good quality product and delivers what it promises. Besides the issue of having a pointer is a remarkable thing! I would definitely recommend buying this product</v>
      </c>
    </row>
    <row r="19245">
      <c r="A19245" s="1">
        <v>5.0</v>
      </c>
      <c r="B19245" s="1" t="s">
        <v>19059</v>
      </c>
      <c r="C19245" t="str">
        <f>IFERROR(__xludf.DUMMYFUNCTION("GOOGLETRANSLATE(B19245, ""es"", ""en"")"),"USB 3.1 - 128GB pendrive. Pendrive needed a high capacity 128GB with this usb3.1 was pleasantly surprised. The speed of both reading and writing is fast and stable. The memory works great, is perfect to carry any type of files, documents, photos, videos, "&amp;"music ... It also has a protective cap that can be placed on removing the back of the flash drive and so to avoid losing the cap. A pendrive fully recommended.")</f>
        <v>USB 3.1 - 128GB pendrive. Pendrive needed a high capacity 128GB with this usb3.1 was pleasantly surprised. The speed of both reading and writing is fast and stable. The memory works great, is perfect to carry any type of files, documents, photos, videos, music ... It also has a protective cap that can be placed on removing the back of the flash drive and so to avoid losing the cap. A pendrive fully recommended.</v>
      </c>
    </row>
    <row r="19246">
      <c r="A19246" s="1">
        <v>5.0</v>
      </c>
      <c r="B19246" s="1" t="s">
        <v>19060</v>
      </c>
      <c r="C19246" t="str">
        <f>IFERROR(__xludf.DUMMYFUNCTION("GOOGLETRANSLATE(B19246, ""es"", ""en"")"),"Very comfortable Sobran words to this famous brand. Very satisfied! I did not find in stores and Amazon finally had the solution.")</f>
        <v>Very comfortable Sobran words to this famous brand. Very satisfied! I did not find in stores and Amazon finally had the solution.</v>
      </c>
    </row>
    <row r="19247">
      <c r="A19247" s="1">
        <v>5.0</v>
      </c>
      <c r="B19247" s="1" t="s">
        <v>19061</v>
      </c>
      <c r="C19247" t="str">
        <f>IFERROR(__xludf.DUMMYFUNCTION("GOOGLETRANSLATE(B19247, ""es"", ""en"")"),"Great headset with excellent sound quality A great product at a great price. They have good quality, good connections and very good quality to be heard. Worth buying. excellent venderdor")</f>
        <v>Great headset with excellent sound quality A great product at a great price. They have good quality, good connections and very good quality to be heard. Worth buying. excellent venderdor</v>
      </c>
    </row>
    <row r="19248">
      <c r="A19248" s="1">
        <v>5.0</v>
      </c>
      <c r="B19248" s="1" t="s">
        <v>19062</v>
      </c>
      <c r="C19248" t="str">
        <f>IFERROR(__xludf.DUMMYFUNCTION("GOOGLETRANSLATE(B19248, ""es"", ""en"")"),"Headsets for mobile Good value for money. I did not want to spend much on a headset of this type because as soon as I neglect my cat eats. They work perfectly for the price. You can take calls with a button with the cable.")</f>
        <v>Headsets for mobile Good value for money. I did not want to spend much on a headset of this type because as soon as I neglect my cat eats. They work perfectly for the price. You can take calls with a button with the cable.</v>
      </c>
    </row>
    <row r="19249">
      <c r="A19249" s="1">
        <v>5.0</v>
      </c>
      <c r="B19249" s="1" t="s">
        <v>19063</v>
      </c>
      <c r="C19249" t="str">
        <f>IFERROR(__xludf.DUMMYFUNCTION("GOOGLETRANSLATE(B19249, ""es"", ""en"")"),"potency and duration of battery already almost a year ago that I have and it works perfectly. Has 3 speeds and in our case, we do not have pets, with the average power is more than enough and we can pass it as about 3-4 times in a house 70 meters. The max"&amp;"imum power we use for carpet and is sufficient. It also has an adapter for upholstery and so on is not the most comfortable because you hang to the shoulder, but the truth is q we use very little. We had doubts between this and Rowenta but discard all the"&amp;" complaints we read the breaking of the piece that makes the game of spin and the truth is that we do not repent.")</f>
        <v>potency and duration of battery already almost a year ago that I have and it works perfectly. Has 3 speeds and in our case, we do not have pets, with the average power is more than enough and we can pass it as about 3-4 times in a house 70 meters. The maximum power we use for carpet and is sufficient. It also has an adapter for upholstery and so on is not the most comfortable because you hang to the shoulder, but the truth is q we use very little. We had doubts between this and Rowenta but discard all the complaints we read the breaking of the piece that makes the game of spin and the truth is that we do not repent.</v>
      </c>
    </row>
    <row r="19250">
      <c r="A19250" s="1">
        <v>2.0</v>
      </c>
      <c r="B19250" s="1" t="s">
        <v>19064</v>
      </c>
      <c r="C19250" t="str">
        <f>IFERROR(__xludf.DUMMYFUNCTION("GOOGLETRANSLATE(B19250, ""es"", ""en"")"),"Carve very small very small Calza. I read the reviews and I decided to order another number (usually use 39 and bought a 40) but still I get your fingers out ...")</f>
        <v>Carve very small very small Calza. I read the reviews and I decided to order another number (usually use 39 and bought a 40) but still I get your fingers out ...</v>
      </c>
    </row>
    <row r="19251">
      <c r="A19251" s="1">
        <v>3.0</v>
      </c>
      <c r="B19251" s="1" t="s">
        <v>19065</v>
      </c>
      <c r="C19251" t="str">
        <f>IFERROR(__xludf.DUMMYFUNCTION("GOOGLETRANSLATE(B19251, ""es"", ""en"")"),"A sleazy ring carpesano quite justito quality. Fulfills its function but kids do not think using it later in broken somewhere, since the material does not seem too tough.")</f>
        <v>A sleazy ring carpesano quite justito quality. Fulfills its function but kids do not think using it later in broken somewhere, since the material does not seem too tough.</v>
      </c>
    </row>
    <row r="19252">
      <c r="A19252" s="1">
        <v>3.0</v>
      </c>
      <c r="B19252" s="1" t="s">
        <v>19066</v>
      </c>
      <c r="C19252" t="str">
        <f>IFERROR(__xludf.DUMMYFUNCTION("GOOGLETRANSLATE(B19252, ""es"", ""en"")"),"Bad odor. very nice shoe and looks good job, but has a very bad odor and no way to remove it. If you have it in a closed room it smells really bad.")</f>
        <v>Bad odor. very nice shoe and looks good job, but has a very bad odor and no way to remove it. If you have it in a closed room it smells really bad.</v>
      </c>
    </row>
    <row r="19253">
      <c r="A19253" s="1">
        <v>3.0</v>
      </c>
      <c r="B19253" s="1" t="s">
        <v>19067</v>
      </c>
      <c r="C19253" t="str">
        <f>IFERROR(__xludf.DUMMYFUNCTION("GOOGLETRANSLATE(B19253, ""es"", ""en"")"),"Normal I bought this product and several times because he knows pretty decent, but seeing what's out there ... I find it a bit pricey.")</f>
        <v>Normal I bought this product and several times because he knows pretty decent, but seeing what's out there ... I find it a bit pricey.</v>
      </c>
    </row>
    <row r="19254">
      <c r="A19254" s="1">
        <v>1.0</v>
      </c>
      <c r="B19254" s="1" t="s">
        <v>19068</v>
      </c>
      <c r="C19254" t="str">
        <f>IFERROR(__xludf.DUMMYFUNCTION("GOOGLETRANSLATE(B19254, ""es"", ""en"")"),"Flawed Hello, I bought the Rode NT1-A, since it was one of the micros most recommended study but not work ... the connector of the micro moves, is loose and connecting the cable gets to inside and does the correct connection .... I am very disappointed, s"&amp;"ince I am a regular buyer of Music Store and had never happened to me, it seems as if micro was used. I sent this same email several times without any response. Hope may be able to give me a solution greeting")</f>
        <v>Flawed Hello, I bought the Rode NT1-A, since it was one of the micros most recommended study but not work ... the connector of the micro moves, is loose and connecting the cable gets to inside and does the correct connection .... I am very disappointed, since I am a regular buyer of Music Store and had never happened to me, it seems as if micro was used. I sent this same email several times without any response. Hope may be able to give me a solution greeting</v>
      </c>
    </row>
    <row r="19255">
      <c r="A19255" s="1">
        <v>4.0</v>
      </c>
      <c r="B19255" s="1" t="s">
        <v>19069</v>
      </c>
      <c r="C19255" t="str">
        <f>IFERROR(__xludf.DUMMYFUNCTION("GOOGLETRANSLATE(B19255, ""es"", ""en"")"),"As photo Features that have are perfect for making changes in rhythm and series on the track, it's a little small, very light")</f>
        <v>As photo Features that have are perfect for making changes in rhythm and series on the track, it's a little small, very light</v>
      </c>
    </row>
    <row r="19256">
      <c r="A19256" s="1">
        <v>4.0</v>
      </c>
      <c r="B19256" s="1" t="s">
        <v>19070</v>
      </c>
      <c r="C19256" t="str">
        <f>IFERROR(__xludf.DUMMYFUNCTION("GOOGLETRANSLATE(B19256, ""es"", ""en"")"),"Good value for money I bought them for a gift and the person using them is very pleased with them both wired and Bluetooth can hear very well")</f>
        <v>Good value for money I bought them for a gift and the person using them is very pleased with them both wired and Bluetooth can hear very well</v>
      </c>
    </row>
    <row r="19257">
      <c r="A19257" s="1">
        <v>4.0</v>
      </c>
      <c r="B19257" s="1" t="s">
        <v>19071</v>
      </c>
      <c r="C19257" t="str">
        <f>IFERROR(__xludf.DUMMYFUNCTION("GOOGLETRANSLATE(B19257, ""es"", ""en"")"),"Good product recommended price Good magnifying glasses, looks perfectly and so cost are quality. I served to see very well what I needed. It is a recommended product, although perhaps having them all day put or work are not ideal, they weigh enough with t"&amp;"he batteries installed and are stuck in the nose, even if it bring a tape that replaces the temples of the eyewear. Would buy them, I recommend them")</f>
        <v>Good product recommended price Good magnifying glasses, looks perfectly and so cost are quality. I served to see very well what I needed. It is a recommended product, although perhaps having them all day put or work are not ideal, they weigh enough with the batteries installed and are stuck in the nose, even if it bring a tape that replaces the temples of the eyewear. Would buy them, I recommend them</v>
      </c>
    </row>
    <row r="19258">
      <c r="A19258" s="1">
        <v>4.0</v>
      </c>
      <c r="B19258" s="1" t="s">
        <v>19072</v>
      </c>
      <c r="C19258" t="str">
        <f>IFERROR(__xludf.DUMMYFUNCTION("GOOGLETRANSLATE(B19258, ""es"", ""en"")"),"Good brand I buy a size s that usually American size. Normally I use m and this is perfect. It's nice jacket")</f>
        <v>Good brand I buy a size s that usually American size. Normally I use m and this is perfect. It's nice jacket</v>
      </c>
    </row>
    <row r="19259">
      <c r="A19259" s="1">
        <v>4.0</v>
      </c>
      <c r="B19259" s="1" t="s">
        <v>19073</v>
      </c>
      <c r="C19259" t="str">
        <f>IFERROR(__xludf.DUMMYFUNCTION("GOOGLETRANSLATE(B19259, ""es"", ""en"")"),"The adidas shoes small gazelle are original and good quality. I use 40, I asked that number, but it seems to fit small. I had to return them (at! Expenses account back to the customer) and ask for more numbers, 40 and 2/3 that either me is perfect. I reco"&amp;"mmend them.")</f>
        <v>The adidas shoes small gazelle are original and good quality. I use 40, I asked that number, but it seems to fit small. I had to return them (at! Expenses account back to the customer) and ask for more numbers, 40 and 2/3 that either me is perfect. I recommend them.</v>
      </c>
    </row>
    <row r="19260">
      <c r="A19260" s="1">
        <v>5.0</v>
      </c>
      <c r="B19260" s="1" t="s">
        <v>19074</v>
      </c>
      <c r="C19260" t="str">
        <f>IFERROR(__xludf.DUMMYFUNCTION("GOOGLETRANSLATE(B19260, ""es"", ""en"")"),"Very bright earrings I bought these earrings because I liked them and although they are slightly smaller than the picture, look great on the earlobe because the supplement with two piercings. Very good buy")</f>
        <v>Very bright earrings I bought these earrings because I liked them and although they are slightly smaller than the picture, look great on the earlobe because the supplement with two piercings. Very good buy</v>
      </c>
    </row>
    <row r="19261">
      <c r="A19261" s="1">
        <v>5.0</v>
      </c>
      <c r="B19261" s="1" t="s">
        <v>19075</v>
      </c>
      <c r="C19261" t="str">
        <f>IFERROR(__xludf.DUMMYFUNCTION("GOOGLETRANSLATE(B19261, ""es"", ""en"")"),"Very good are great")</f>
        <v>Very good are great</v>
      </c>
    </row>
    <row r="19262">
      <c r="A19262" s="1">
        <v>5.0</v>
      </c>
      <c r="B19262" s="1" t="s">
        <v>19076</v>
      </c>
      <c r="C19262" t="str">
        <f>IFERROR(__xludf.DUMMYFUNCTION("GOOGLETRANSLATE(B19262, ""es"", ""en"")"),"perfect item. Hear perfectly, they are very comfortable both for sport and to be resting quietly listening to music. Very easy to connect with your smartphone. Great product and great price. 10/10")</f>
        <v>perfect item. Hear perfectly, they are very comfortable both for sport and to be resting quietly listening to music. Very easy to connect with your smartphone. Great product and great price. 10/10</v>
      </c>
    </row>
    <row r="19263">
      <c r="A19263" s="1">
        <v>5.0</v>
      </c>
      <c r="B19263" s="1" t="s">
        <v>19077</v>
      </c>
      <c r="C19263" t="str">
        <f>IFERROR(__xludf.DUMMYFUNCTION("GOOGLETRANSLATE(B19263, ""es"", ""en"")"),"Well good buy")</f>
        <v>Well good buy</v>
      </c>
    </row>
    <row r="19264">
      <c r="A19264" s="1">
        <v>5.0</v>
      </c>
      <c r="B19264" s="1" t="s">
        <v>19078</v>
      </c>
      <c r="C19264" t="str">
        <f>IFERROR(__xludf.DUMMYFUNCTION("GOOGLETRANSLATE(B19264, ""es"", ""en"")"),"Confundi perfect pedi me and instead of xl xxl but hardly no difference, all products under armor are perfect, I love, design, quality, sizing as large and have necesto")</f>
        <v>Confundi perfect pedi me and instead of xl xxl but hardly no difference, all products under armor are perfect, I love, design, quality, sizing as large and have necesto</v>
      </c>
    </row>
    <row r="19265">
      <c r="A19265" s="1">
        <v>5.0</v>
      </c>
      <c r="B19265" s="1" t="s">
        <v>19079</v>
      </c>
      <c r="C19265" t="str">
        <f>IFERROR(__xludf.DUMMYFUNCTION("GOOGLETRANSLATE(B19265, ""es"", ""en"")"),"Comfort and quality at the beginning a tad fair, I bought my usual number, but once casted into my foot (5-6 hours usage in 2-3 days) they fit like a glove.")</f>
        <v>Comfort and quality at the beginning a tad fair, I bought my usual number, but once casted into my foot (5-6 hours usage in 2-3 days) they fit like a glove.</v>
      </c>
    </row>
    <row r="19266">
      <c r="A19266" s="1">
        <v>5.0</v>
      </c>
      <c r="B19266" s="1" t="s">
        <v>19080</v>
      </c>
      <c r="C19266" t="str">
        <f>IFERROR(__xludf.DUMMYFUNCTION("GOOGLETRANSLATE(B19266, ""es"", ""en"")"),"Good product took a few months and will fancy, fast and very nice design. definitely I recommend.")</f>
        <v>Good product took a few months and will fancy, fast and very nice design. definitely I recommend.</v>
      </c>
    </row>
    <row r="19267">
      <c r="A19267" s="1">
        <v>5.0</v>
      </c>
      <c r="B19267" s="1" t="s">
        <v>19081</v>
      </c>
      <c r="C19267" t="str">
        <f>IFERROR(__xludf.DUMMYFUNCTION("GOOGLETRANSLATE(B19267, ""es"", ""en"")"),"Joya Tasteful")</f>
        <v>Joya Tasteful</v>
      </c>
    </row>
    <row r="19268">
      <c r="A19268" s="1">
        <v>5.0</v>
      </c>
      <c r="B19268" s="1" t="s">
        <v>19082</v>
      </c>
      <c r="C19268" t="str">
        <f>IFERROR(__xludf.DUMMYFUNCTION("GOOGLETRANSLATE(B19268, ""es"", ""en"")"),"blender indestructible quality unbeatable price is a very good American product quality seems more power which makes me advised me this product especially because it has the advantage that the shaft is metallic, while other brands are all plastic")</f>
        <v>blender indestructible quality unbeatable price is a very good American product quality seems more power which makes me advised me this product especially because it has the advantage that the shaft is metallic, while other brands are all plastic</v>
      </c>
    </row>
    <row r="19269">
      <c r="A19269" s="1">
        <v>5.0</v>
      </c>
      <c r="B19269" s="1" t="s">
        <v>19083</v>
      </c>
      <c r="C19269" t="str">
        <f>IFERROR(__xludf.DUMMYFUNCTION("GOOGLETRANSLATE(B19269, ""es"", ""en"")"),"Watch everything perfect and very nice")</f>
        <v>Watch everything perfect and very nice</v>
      </c>
    </row>
    <row r="19270">
      <c r="A19270" s="1">
        <v>5.0</v>
      </c>
      <c r="B19270" s="1" t="s">
        <v>19084</v>
      </c>
      <c r="C19270" t="str">
        <f>IFERROR(__xludf.DUMMYFUNCTION("GOOGLETRANSLATE(B19270, ""es"", ""en"")"),"Very nice and fast. &lt;Div id = ""video-block-R1JUYSS2JEXMO6"" class = ""section a-a-a-spacing-small spacing-top-video mini-block""&gt; &lt;div tabindex = ""0"" class = ""airy airy-svg vmin- unsupported airy-skin-beacon ""style ="" background-color: rgb (0, 0, 0)"&amp;" position: relative; width: 100%; height: 100%; font-size: 0px; overflow: hidden; outline: none ; ""&gt; &lt;div class ="" airy-renderer-container ""style ="" position: relative; height: 100%; width: 100%; ""&gt; &lt;video id ="" 21 ""preload ="" auto ""src ="" https"&amp;": //images-eu.ssl-images-amazon.com/images/I/81bBRdFEdgS.mp4 ""style ="" position: absolute; left: 0px; top: 0px; overflow: hidden; height: 1px; width: 1px; "" &gt; &lt;/ video&gt; &lt;/ div&gt; &lt;div id = ""airy-slate-preload"" style = ""background-color: rgb (0, 0, 0);"&amp;" background-image: url (&amp; quot; https: // images- eu.ssl-images-amazon.com/images/I/910cBb7rgmS.png&amp;quot;); background-size: Contain; background-position: center center; background-repeat: no-repeat; position: absolute; top: 0px; left : 0px; visibility: v"&amp;"isible; width: 100%; height: 100%; ""&gt; &lt;/ div&gt; &lt;iframe scrolling ="" no ""framebord er = ""0"" src = ""about: blank"" style = ""display: none;""&gt; &lt;/ iframe&gt; &lt;div tabindex = ""- 1"" class = ""airy-controls-container"" style = ""opacity: 0; visibility: hidd"&amp;"en; ""&gt; &lt;div tabindex ="" - 1 ""class ="" airy-screen-size-toggle airy-fullscreen ""&gt; &lt;/ div&gt; &lt;div tabindex ="" - 1 ""class ="" airy-container-bottom "" &gt; &lt;div tabindex = ""- 1"" class = ""airy-track-bar-spacer-left"" style = ""width: 11px;""&gt; &lt;/ div&gt; &lt;di"&amp;"v tabindex = ""- 1"" class = ""airy-play- airy toggle-play ""style ="" width: 12px; margin-right: 12px; ""&gt; &lt;/ div&gt; &lt;div tabindex ="" - 1 ""class ="" airy-audio-elements ""style ="" float: right; width: 34px; ""&gt; &lt;div tabindex ="" - 1 ""class ="" airy-aud"&amp;"io-toggle airy-on ""&gt; &lt;/ div&gt; &lt;div tabindex ="" - 1 ""class ="" airy-audio-container ""style = ""opacity: 0; visibility: hidden; ""&gt; &lt;div tabindex ="" - 1 ""class ="" airy-audio-track-bar ""style ="" height: 80%; ""&gt; &lt;div tabindex ="" - 1 ""class ="" airy"&amp;"-audio- Scrubber-bar ""style ="" height: 85%; ""&gt; &lt;/ div&gt; &lt;div tabindex ="" - 1 ""class ="" airy-audio-scrubber ""style ="" height: 12px; bottom: 85% ""&gt; &lt;/ div&gt; &lt;/ div&gt; &lt;/ div&gt; &lt;/ div&gt; &lt;div tabindex ="" - 1 ""class ="" airy-duration-label ""style ="" flo"&amp;"at: right; width: 26px; margin-right: 4px; text-align: center; ""&gt; 0:07 &lt;/ div&gt; &lt;div tabindex ="" - 1 ""class ="" airy-track-bar-spacer-right ""style ="" float: right; width: 11px; ""&gt; &lt;/ div&gt; &lt;div tabindex ="" - 1 ""class ="" airy-track-bar-container ""s"&amp;"tyle ="" margin-left: 35px; margin-right: 75px; ""&gt; &lt;div tabindex ="" - 1 ""class ="" airy-airy-track-bar vertically-centering-table ""&gt; &lt;div tabindex ="" - 1 ""class ="" airy-Vertical-centering- table-cell ""&gt; &lt;div tabindex ="" - 1 ""class ="" airy-track"&amp;" bar-elements ""&gt; &lt;div tabindex ="" - 1 ""class ="" airy-progress bar ""style ="" width: 100%; ""&gt; &lt;/ div&gt; &lt;div tabindex ="" - 1 ""class ="" airy-scrubber-bar ""&gt; &lt;/ div&gt; &lt;div tabindex ="" - 1 ""class ="" airy-scrubber ""&gt; &lt;div tabindex ="" - 1 ""class ="&amp;""" airy-scrubber-icon ""&gt; &lt;/ div&gt; &lt;div tabindex ="" - 1 ""class ="" airy-adjusted-AUI-tooltip ""style ="" opacity: 0; visibility: hidden; ""&gt; &lt;div tabindex ="" - 1 ""class ="" airy-adjusted-aui-tooltip-inner ""&gt; &lt;div tabindex ="" - 1 ""class ="" airy-curr"&amp;"ent-time-label ""&gt; 0: 00 &lt;/ div&gt; &lt;/ div&gt; &lt;div tabindex = ""- 1"" class = ""airy-adjusted-AUI-arrow-border""&gt; &lt;div tabindex = ""- 1"" class = ""airy-adjusted-AUI-arrow"" &gt; &lt;/ div&gt; &lt;/ div&gt; &lt;/ div&gt; &lt;/ div&gt; &lt;/ div&gt; &lt;/ div&gt; &lt;/ div&gt; &lt;/ div&gt; &lt;/ div&gt; &lt;/ div&gt; &lt;div"&amp;" tabindex = ""- 1"" class = ""airy-age-gate airy-stage airy-Vertical-centering-table airy-dialog"" style = ""opacity: 0; visibility: hidden; ""&gt; &lt;div tabindex ="" - 1 ""class ="" airy-age-gate-Vertical-centering-table-cell airy-Vertical-centering-table-ce"&amp;"ll ""&gt; &lt;div tabindex ="" - 1 ""class = ""airy-Vertical-centering-wrapper airy-age-gate-elements-wrapper""&gt; &lt;div tabindex = ""- 1"" class = ""airy-age-gate-elements airy-dialog-elements""&gt; &lt;div tabindex = "" -1 ""class ="" airy-age-gate-prompt ""&gt; This vid"&amp;"eo is not Intended for all audiences What date were you born &lt;/ div&gt; &lt;div tabindex =.?"" - 1 ""class ="" airy-age-gate -inputs airy-dialog-inner-elements ""&gt; &lt;select tabindex ="" - 1 ""class ="" airy-age-gate-month ""&gt; &lt;option value ="" 1 ""&gt; January &lt;/ o"&amp;"ption&gt; &lt;option value ="" 2 ""&gt; February &lt;/ option&gt; &lt;option value ="" 3 ""&gt; March &lt;/ option&gt; &lt;option value ="" 4 ""&gt; April &lt;/ option&gt; &lt;option value ="" 5 ""&gt; May &lt;/ option&gt; &lt;option value = ""6""&gt; June &lt;/ option&gt; &lt;option value = ""7""&gt; July &lt;/ option&gt; &lt;opti"&amp;"on value = ""8""&gt; August &lt;/ option&gt; &lt;option value = ""9""&gt; September &lt;/ option&gt; &lt;option value = ""10""&gt; October &lt;/ option&gt; &lt;option value = ""11""&gt; November &lt;/ option&gt; &lt;option value = ""12""&gt; December &lt;/ option&gt; &lt;/ select&gt; &lt;select tabindex = ""- 1"" class "&amp;"= ""airy-age-gate-day""&gt; &lt;opti on value = ""1""&gt; 1 &lt;/ option&gt; &lt;option value = ""2""&gt; 2 &lt;/ option&gt; &lt;option value = ""3""&gt; 3 &lt;/ option&gt; &lt;option value = ""4""&gt; 4 &lt;/ option &gt; &lt;option value = ""5""&gt; 5 &lt;/ option&gt; &lt;option value = ""6""&gt; 6 &lt;/ option&gt; &lt;option valu"&amp;"e = ""7""&gt; 7 &lt;/ option&gt; &lt;option value = ""8""&gt; 8 &lt; / option&gt; &lt;option value = ""9""&gt; 9 &lt;/ option&gt; &lt;option value = ""10""&gt; 10 &lt;/ option&gt; &lt;option value = ""11""&gt; 11 &lt;/ option&gt; &lt;option value = ""12""&gt; 12 &lt;/ option&gt; &lt;option value = ""13""&gt; 13 &lt;/ option&gt; &lt;optio"&amp;"n value = ""14""&gt; 14 &lt;/ option&gt; &lt;option value = ""15""&gt; 15 &lt;/ option&gt; &lt;option value = ""16 ""&gt; 16 &lt;/ option&gt; &lt;option value ="" 17 ""&gt; 17 &lt;/ option&gt; &lt;option value ="" 18 ""&gt; 18 &lt;/ option&gt; &lt;option value ="" 19 ""&gt; 19 &lt;/ option&gt; &lt;option value = ""20""&gt; 20 &lt;/"&amp;" option&gt; &lt;option value = ""21""&gt; 21 &lt;/ option&gt; &lt;option value = ""22""&gt; 22 &lt;/ option&gt; &lt;option value = ""23""&gt; 23 &lt;/ option&gt; &lt;option value = ""24""&gt; 24 &lt;/ option&gt; &lt;option value = ""25""&gt; 25 &lt;/ option&gt; &lt;option value = ""26""&gt; 26 &lt;/ option&gt; &lt;option value = """&amp;"27""&gt; 27 &lt;/ option&gt; &lt;option value = ""28""&gt; 28 &lt;/ option&gt; &lt;option value = ""29""&gt; 29 &lt;/ option&gt; &lt;option value = ""30""&gt; 30 &lt;/ option&gt; &lt;option value = ""31""&gt; 31 &lt;/ option&gt; &lt;/ select&gt; &lt;select tabindex = ""- 1"" class = ""airy-age-gate-year""&gt; &lt;option value"&amp;" = ""2019""&gt; 2019 &lt;/ option&gt; &lt; option value = ""2018""&gt; 2018 &lt;/ option&gt; &lt;option value = ""2017""&gt; 2017 &lt;/ option&gt; &lt;option value = ""2016""&gt; ​​2016 &lt;/ option&gt; &lt;option value = ""2015""&gt; 2015 &lt;/ option &gt; &lt;option value = ""2014""&gt; 2014 &lt;/ option&gt; &lt;option valu"&amp;"e = ""2013""&gt; 2013 &lt;/ option&gt; &lt;option value = ""2012""&gt; 2012 &lt;/ option&gt; &lt;option value = ""2011""&gt; 2011 &lt; / option&gt; &lt;option value = ""2010""&gt; 2010 &lt;/ option&gt; &lt;option value = ""2009""&gt; 2009 &lt;/ option&gt; &lt;option value = ""2008""&gt; 2008 &lt;/ option&gt; &lt;option value "&amp;"= ""2007""&gt; 2007 &lt;/ option&gt; &lt;option value = ""2006""&gt; 2006 &lt;/ option&gt; &lt;option value = ""2005""&gt; 2005 &lt;/ option&gt; &lt;option value = ""2004""&gt; 2004 &lt;/ option&gt; &lt;option value = ""2003 ""&gt; 2003 &lt;/ option&gt; &lt;option value ="" 2002 ""&gt; 2002 &lt;/ option&gt; &lt;option value ="&amp;""" 2001 ""&gt; 2001 &lt;/ option&gt; &lt;option value ="" 2000 ""&gt; 2000 &lt;/ option&gt; &lt;option value = ""1999""&gt; 1999 &lt;/ option&gt; &lt;option value = ""1998""&gt; 1998 &lt;/ option&gt; &lt;option value = ""1997""&gt; 1997 &lt;/ option&gt; &lt;option value = ""1996""&gt; 1996 &lt;/ option&gt; &lt;option value = "&amp;"""1995""&gt; 1995 &lt;/ option&gt; &lt;option value = ""1994""&gt; 1994 &lt;/ option&gt; &lt;option value = ""1993""&gt; 1993 &lt;/ option&gt; &lt;option value = ""1992""&gt; 1992 &lt;/ option&gt; &lt;option value = ""1991""&gt; 1991 &lt;/ option&gt; &lt;option value = ""1990""&gt; 1990 &lt;/ option&gt; &lt;option value = "" "&amp;"1989 ""&gt; 1989 &lt;/ option&gt; &lt;option value ="" 1988 ""&gt; 1988 &lt;/ option&gt; &lt;option value ="" 1987 ""&gt; 1987 &lt;/ option&gt; &lt;option value ="" 1986 ""&gt; 1986 &lt;/ option&gt; &lt;value option = ""1985""&gt; 1985 &lt;/ option&gt; &lt;option value = ""1984""&gt; 1984 &lt;/ option&gt; &lt;option value = "&amp;"""1983""&gt; 1983 &lt;/ option&gt; &lt;option value = ""1982""&gt; 1982 &lt;/ option&gt; &lt; option value = ""1981""&gt; 1981 &lt;/ option&gt; &lt;option value = ""1980""&gt; 1980 &lt;/ option&gt; &lt;option value = ""1979""&gt; 1979 &lt;/ option&gt; &lt;option value = ""1978""&gt; 1978 &lt;/ option &gt; &lt;option value = "&amp;"""1977""&gt; 1977 &lt;/ option&gt; &lt;option value = ""1976""&gt; 1976 &lt;/ option&gt; &lt;option value = ""1975""&gt; 1975 &lt;/ option&gt; &lt;option value = ""1974""&gt; 1974 &lt; / option&gt; &lt;option value = ""1973""&gt; 1973 &lt;/ option&gt; &lt;option value = ""1972""&gt; 1972 &lt;/ option&gt; &lt;option value = """&amp;"1971""&gt; 1971 &lt;/ option&gt; &lt;option value = ""1970""&gt; 1970 &lt;/ option&gt; &lt;option value = ""1969""&gt; 1969 &lt;/ option&gt; &lt;option value = ""1968""&gt; 1968 &lt;/ option&gt; &lt;option value = ""1967""&gt; 1967 &lt;/ option&gt; &lt;option value = ""1966 ""&gt; 1966 &lt;/ option&gt; &lt;option value ="" 19"&amp;"65 ""&gt; 1965 &lt;/ option&gt; &lt;option value ="" 1964 ""&gt; 1964 &lt;/ option&gt; &lt;option value ="" 1963 ""&gt; 1963 &lt;/ option&gt; &lt;option value = ""1962""&gt; 1962 &lt;/ option&gt; &lt;option value = ""1961""&gt; 1961 &lt;/ option&gt; &lt;option value = ""1960""&gt; 1960 &lt;/ op tion&gt; &lt;option value = ""1"&amp;"959""&gt; 1959 &lt;/ option&gt; &lt;option value = ""1958""&gt; 1958 &lt;/ option&gt; &lt;option value = ""1957""&gt; 1957 &lt;/ option&gt; &lt;option value = ""1956""&gt; 1956 &lt;/ option&gt; &lt;option value = ""1955""&gt; 1955 &lt;/ option&gt; &lt;option value = ""1954""&gt; 1954 &lt;/ option&gt; &lt;option value = ""1953"&amp;"""&gt; 1953 &lt;/ option&gt; &lt;option value = ""1952"" &gt; 1952 &lt;/ option&gt; &lt;option value = ""1951""&gt; 1951 &lt;/ option&gt; &lt;option value = ""1950""&gt; 1950 &lt;/ option&gt; &lt;option value = ""1949""&gt; 1949 &lt;/ option&gt; &lt;option value = "" 1948 ""&gt; 1948 &lt;/ option&gt; &lt;option value ="" 1947"&amp;" ""&gt; 1947 &lt;/ option&gt; &lt;option value ="" 1946 ""&gt; 1946 &lt;/ option&gt; &lt;option value ="" 1945 ""&gt; 1945 &lt;/ option&gt; &lt;value option = ""1944""&gt; 1944 &lt;/ option&gt; &lt;option value = ""1943""&gt; 1943 &lt;/ option&gt; &lt;option value = ""1942""&gt; 1942 &lt;/ option&gt; &lt;option value = ""1941"&amp;"""&gt; 1941 &lt;/ option&gt; &lt; option value = ""1940""&gt; 1940 &lt;/ option&gt; &lt;option value = ""1939""&gt; 1939 &lt;/ option&gt; &lt;option value = ""1938""&gt; 1938 &lt;/ option&gt; &lt;option value = ""1937""&gt; 1937 &lt;/ option &gt; &lt;option value = ""1936""&gt; 1936 &lt;/ option&gt; &lt;option value = ""1935"&amp;"""&gt; 1935 &lt;/ option&gt; &lt;option value = ""1934""&gt; 1934 &lt;/ option&gt; &lt;option value = ""1933""&gt; 1933 &lt; / option&gt; &lt;option value = ""1932""&gt; 1932 &lt;/ option&gt; &lt;option value = ""1931""&gt; 1931 &lt;/ option&gt; &lt;option v alue = ""1930""&gt; 1930 &lt;/ option&gt; &lt;option value = ""1929"&amp;"""&gt; 1929 &lt;/ option&gt; &lt;option value = ""1928""&gt; 1928 &lt;/ option&gt; &lt;option value = ""1927""&gt; 1927 &lt;/ option&gt; &lt;option value = ""1926""&gt; 1926 &lt;/ option&gt; &lt;option value = ""1925""&gt; 1925 &lt;/ option&gt; &lt;option value = ""1924""&gt; 1924 &lt;/ option&gt; &lt;option value = ""1923""&gt;"&amp;" 1923 &lt;/ option&gt; &lt;option value = ""1922""&gt; 1922 &lt;/ option&gt; &lt;option value = ""1921""&gt; 1921 &lt;/ option&gt; &lt;option value = ""1920""&gt; 1920 &lt;/ option&gt; &lt;option value = ""1919""&gt; 1919 &lt;/ option&gt; &lt;option value = ""1918""&gt; 1918 &lt;/ option&gt; &lt;option value = ""1917""&gt; 19"&amp;"17 &lt;/ option&gt; &lt;option value = ""1916""&gt; 1916 &lt;/ option&gt; &lt;option value = ""1915"" &gt; 1915 &lt;/ option&gt; &lt;option value = ""1914""&gt; 1914 &lt;/ option&gt; &lt;option value = ""1913""&gt; 1913 &lt;/ option&gt; &lt;option value = ""1912""&gt; 1912 &lt;/ option&gt; &lt;option value = "" 1911 ""&gt; 19"&amp;"11 &lt;/ option&gt; &lt;option value ="" 1910 ""&gt; 1910 &lt;/ option&gt; &lt;option value ="" 1909 ""&gt; 1909 &lt;/ option&gt; &lt;option value ="" 1908 ""&gt; 1908 &lt;/ option&gt; &lt;value option = ""1907""&gt; 1907 &lt;/ option&gt; &lt;option value = ""1906""&gt; 1906 &lt;/ option&gt; &lt;option value = ""1905""&gt; 19"&amp;"05 &lt;/ option&gt; &lt;option value = ""1904""&gt; 1904 &lt;/ option&gt; &lt; option value = ""1903""&gt; 1903 &lt;/ option&gt; &lt;option value = ""1902""&gt; 1902 &lt;/ option&gt; &lt;option value = ""1901""&gt; 19 01 &lt;/ option&gt; &lt;option value = ""1900""&gt; 1900 &lt;/ option&gt; &lt;/ select&gt; &lt;div tabindex = """&amp;"- 1"" class = ""airy-age-gate-submit airy-submit-button airy airy-submit- disabled ""&gt; Submit &lt;/ div&gt; &lt;/ div&gt; &lt;/ div&gt; &lt;/ div&gt; &lt;/ div&gt; &lt;/ div&gt; &lt;div tabindex ="" - 1 ""class ="" airy-install-flash-dialog airy-stage airy -vertical-centering-table-dialog airy"&amp;" airy-denied ""style ="" opacity: 0; visibility: hidden; ""&gt; &lt;div tabindex ="" - 1 ""class ="" airy-install-flash-Vertical-centering-table-cell airy-Vertical-centering-table-cell ""&gt; &lt;div tabindex ="" - 1 ""class = ""airy-Vertical-centering-wrapper airy-i"&amp;"nstall-flash-elements-wrapper""&gt; &lt;div tabindex = ""- 1"" class = ""airy-install-flash-elements airy-dialog-elements""&gt; &lt;div tabindex = "" -1 ""class ="" airy-install-flash-prompt ""&gt; Adobe Flash Player is required to watch this video &lt;/ div&gt; &lt;div tabindex"&amp;" =."" - 1 ""class ="" airy-install-flash-button-wrapper airy -dialog-inner-elements ""&gt; &lt;div tabindex ="" - 1 ""class ="" airy-install-flash-button airy-button ""&gt; install Flash Player &lt;/ div&gt; &lt;/ div&gt; &lt;/ div&gt; &lt;/ div&gt; &lt;/ div&gt; &lt;/ div&gt; &lt;div tabindex = ""- 1"&amp;""" class = ""airy-video-unsupported-dialog airy-stage airy-Vertical-centering-table airy-dialog airy-denied"" style = ""opacity: 0; visibility: hidden; ""&gt; &lt;div tabindex ="" - 1 ""class ="" airy-video-unsupported-Vertical-centering-table-cell airy-Vertica"&amp;"l-centering-table-cell ""&gt; &lt;div tabindex ="" - 1 ""class = ""airy-Vertical-centering-wrapper airy-video-unsupported-elements-wrapper""&gt; &lt;div tabindex = ""- 1"" class = ""airy-video-unsupported-elements airy-dialog-elements""&gt; &lt;div tabindex = "" -1 ""class"&amp;" ="" airy-video-unsupported-prompt ""&gt; &lt;/ div&gt; &lt;/ div&gt; &lt;/ div&gt; &lt;/ div&gt; &lt;/ div&gt; &lt;div tabindex ="" - 1 ""class ="" airy-loading- spinner-stage airy-stage ""&gt; &lt;div tabindex ="" - 1 ""class ="" airy-loading-spinner-Vertical-centering-table-cell airy-Vertical-"&amp;"centering-table-cell ""&gt; &lt;div tabindex ="" - 1 ""class ="" airy-loading-spinner-container airy-scalable-hint-container ""&gt; &lt;div tabindex ="" - 1 ""class ="" airy-loading-spinner-dummy airy-scalable-dummy ""&gt; &lt;/ div&gt; &lt; div tabindex = ""- 1"" class = ""airy"&amp;"-loading-spinner airy-hint"" style = ""visibility: hidden;""&gt; &lt;/ div&gt; &lt;/ div&gt; &lt;/ div&gt; &lt;/ div&gt; &lt;div tabindex = ""- 1 ""class ="" airy-ads-screen-size-toggle airy-screen-size-toggle-fullscreen airy ""style ="" visibility: hidden; ""&gt; &lt;/ div&gt; &lt;div tabindex ="&amp;" ""-1"" class = ""airy-ad-prompt-container"" style = ""visibility: hidden;""&gt; &lt;div tabindex = ""- 1"" class = ""airy-ad-prompt-Vertical-centering-table-vertically airy centering-table ""&gt; &lt;div tabindex ="" - 1 ""class ="" airy-ad-prompt-Vertical-centering"&amp;"-table-cell airy-Vertical-centering-table-cell ""&gt; &lt;div tabindex ="" - 1 ""class = ""airy-ad-prompt-label""&gt; &lt;/ div&gt; &lt;/ div&gt; &lt;/ div&gt; &lt;/ div&gt; &lt;div tabindex = ""- 1"" class = ""airy-ads-controls-container"" style = ""visibility: hidden; ""&gt; &lt;div tabindex ="&amp;""" - 1 ""class ="" airy-ads-audio-toggle airy-audio-toggle airy-on ""style ="" visibility: hidden; ""&gt; &lt;/ div&gt; &lt;div tabindex ="" - 1 ""class ="" airy-time-remaining-label-container ""&gt; &lt;div tabindex ="" - 1 ""class ="" airy-time-remaining-Vertical-centeri"&amp;"ng-table airy-Vertical-centering-table ""&gt; &lt;div tabindex = ""- 1"" class = ""airy-time-remaining-Vertical-centering-table-cell airy-Vertical-centering-table-cell""&gt; &lt;div tabindex = ""- 1"" class = ""airy-Vertical-centering-wrapper airy-time-remaining-labe"&amp;"l-wrapper ""&gt; &lt;div tabindex ="" - 1 ""class ="" airy-time-remaining-label ""style ="" visibility: hidden; ""&gt; &lt;/ div&gt; &lt;div tabi ndex = ""- 1"" class = ""airy-ad-skip"" style = ""visibility: hidden;""&gt; &lt;/ div&gt; &lt;div tabindex = ""- 1"" class = ""airy-ad-end"&amp;""" style = ""visibility: hidden ""&gt; &lt;/ div&gt; &lt;/ div&gt; &lt;/ div&gt; &lt;/ div&gt; &lt;/ div&gt; &lt;div tabindex ="" - 1 ""class ="" airy-learn-more ""style ="" visibility: hidden; ""&gt; &lt;/ div&gt; &lt;/ div&gt; &lt;div tabindex = ""- 1"" class = ""airy-play-toggle-hint-stage airy-stage airy"&amp;"-cursor""&gt; &lt;div tabindex = ""- 1"" class = ""airy-play -toggle-hint-Vertical-centering-table-cell airy-Vertical-centering-table-cell airy-cursor ""&gt; &lt;div tabindex ="" - 1 ""class ="" airy-play-toggle-hint-container airy-scalable- Hint-container ""&gt; &lt;div t"&amp;"abindex ="" - 1 ""class ="" airy-play-toggle-hint-dummy airy-scalable-dummy ""&gt; &lt;/ div&gt; &lt;div tabindex ="" - 1 ""class ="" airy-play -toggle-hint hint airy-airy-play-hint ""style ="" opacity: 1; visibility: visible; ""&gt; &lt;/ div&gt; &lt;/ div&gt; &lt;/ div&gt; &lt;/ div&gt; &lt;div"&amp;" tabindex ="" - 1 ""class ="" airy-replay-hint-stage airy-stage ""style ="" visibility: hidden ; ""&gt; &lt;div tabindex ="" - 1 ""class ="" airy-replay-hint-Vertical-centering-table-cell airy-Vertical-centering-table-cell airy-cursor ""&gt; &lt;div tabindex ="" - 1 "&amp;"""class = ""airy-replay-hint-container airy-scalable-hint-container""&gt; &lt;div tabindex = ""- 1"" class = ""airy-replay-hint-dummy airy-scalable-dummy""&gt; &lt;/ div&gt; &lt;div tabindex = ""- 1"" class = ""airy-replay-hint airy-hint""&gt; &lt;/ div&gt; &lt;/ div&gt; &lt;/ div&gt; &lt;/ div&gt; "&amp;"&lt;div tabindex = ""- 1"" class = ""airy-autoplay-hint -stage airy-stage ""style ="" visibility: hidden; ""&gt; &lt;div tabindex ="" - 1 ""class ="" airy-autoplay-hint-Vertical-centering-table-cell airy-Vertical-centering-table-cell airy- cursor ""&gt; &lt;div tabindex"&amp;" ="" - 1 ""class ="" autoplay airy-airy-hint-container-scalable-hint-container ""&gt; &lt;div tabindex ="" - 1 ""class ="" airy-autoplay-hint-dummy airy- scalable-dummy ""&gt; &lt;/ div&gt; &lt;/ div&gt; &lt;/ div&gt; &lt;/ div&gt; &lt;/ div&gt; &lt;/ div&gt; &lt;input type ="" hidden ""name ="" ""valu"&amp;"e ="" https: // images-eu .ssl-images-amazon.com / images / I / 81bBRdFEdgS.mp4 ""Class ="" video-url ""&gt; &lt;input type ="" hidden ""name ="" ""value ="" https://images-eu.ssl-images-amazon.com/images/I/910cBb7rgmS.png ""class ="" video-slate-img-url ""&gt; &amp; "&amp;"nbsp; Great, I use it very often because I heat the water so fast and saving time and energy for cooking. It is very fast and I love to come to light. Very nice and recommended.")</f>
        <v>Very nice and fast. &lt;Div id = "video-block-R1JUYSS2JEXMO6" class = "section a-a-a-spacing-small spacing-top-video mini-block"&gt; &lt;div tabindex = "0" class = "airy airy-svg vmin- unsupported airy-skin-beacon "style =" background-color: rgb (0, 0, 0) position: relative; width: 100%; height: 100%; font-size: 0px; overflow: hidden; outline: none ; "&gt; &lt;div class =" airy-renderer-container "style =" position: relative; height: 100%; width: 100%; "&gt; &lt;video id =" 21 "preload =" auto "src =" https: //images-eu.ssl-images-amazon.com/images/I/81bBRdFEdgS.mp4 "style =" position: absolute; left: 0px; top: 0px; overflow: hidden; height: 1px; width: 1px; " &gt; &lt;/ video&gt; &lt;/ div&gt; &lt;div id = "airy-slate-preload" style = "background-color: rgb (0, 0, 0); background-image: url (&amp; quot; https: // images- eu.ssl-images-amazon.com/images/I/910cBb7rgmS.png&amp;quot;); background-size: Contain; background-position: center center; background-repeat: no-repeat; position: absolute; top: 0px; left : 0px; visibility: visible; width: 100%; height: 100%; "&gt; &lt;/ div&gt; &lt;iframe scrolling =" no "framebord 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0:07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 bar-elements "&gt; &lt;div tabindex =" - 1 "class =" airy-progress bar "style =" width: 100%; "&gt; &lt;/ div&gt; &lt;div tabindex =" - 1 "class =" airy-scrubber-bar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81bBRdFEdgS.mp4 "Class =" video-url "&gt; &lt;input type =" hidden "name =" "value =" https://images-eu.ssl-images-amazon.com/images/I/910cBb7rgmS.png "class =" video-slate-img-url "&gt; &amp; nbsp; Great, I use it very often because I heat the water so fast and saving time and energy for cooking. It is very fast and I love to come to light. Very nice and recommended.</v>
      </c>
    </row>
    <row r="19271">
      <c r="A19271" s="1">
        <v>5.0</v>
      </c>
      <c r="B19271" s="1" t="s">
        <v>19085</v>
      </c>
      <c r="C19271" t="str">
        <f>IFERROR(__xludf.DUMMYFUNCTION("GOOGLETRANSLATE(B19271, ""es"", ""en"")"),"Perfectas good quality, as they were described")</f>
        <v>Perfectas good quality, as they were described</v>
      </c>
    </row>
    <row r="19272">
      <c r="A19272" s="1">
        <v>5.0</v>
      </c>
      <c r="B19272" s="1" t="s">
        <v>19086</v>
      </c>
      <c r="C19272" t="str">
        <f>IFERROR(__xludf.DUMMYFUNCTION("GOOGLETRANSLATE(B19272, ""es"", ""en"")"),"The first great stress that is quite large. On the one hand it has bristles to thoroughly clean the bottles inside (on Medela bottles comes a fair bit, but in), and on the other side a spiral to clean the teats. It comes with a small plastic cover that co"&amp;"vers the portion of the bristles to save without being too dirty. After 6 months of daily use I noticed that the bristles have softened enough, but continues to function without problem. I would appreciate you to give a helpful vote if my comment has serv"&amp;"ed you for help.")</f>
        <v>The first great stress that is quite large. On the one hand it has bristles to thoroughly clean the bottles inside (on Medela bottles comes a fair bit, but in), and on the other side a spiral to clean the teats. It comes with a small plastic cover that covers the portion of the bristles to save without being too dirty. After 6 months of daily use I noticed that the bristles have softened enough, but continues to function without problem. I would appreciate you to give a helpful vote if my comment has served you for help.</v>
      </c>
    </row>
    <row r="19273">
      <c r="A19273" s="1">
        <v>5.0</v>
      </c>
      <c r="B19273" s="1" t="s">
        <v>19087</v>
      </c>
      <c r="C19273" t="str">
        <f>IFERROR(__xludf.DUMMYFUNCTION("GOOGLETRANSLATE(B19273, ""es"", ""en"")"),"quality and design just got the dispenser capsules dolce gusto, and looks great with all different departments capsules in a space very good buy ¡¡¡")</f>
        <v>quality and design just got the dispenser capsules dolce gusto, and looks great with all different departments capsules in a space very good buy ¡¡¡</v>
      </c>
    </row>
    <row r="19274">
      <c r="A19274" s="1">
        <v>5.0</v>
      </c>
      <c r="B19274" s="1" t="s">
        <v>19088</v>
      </c>
      <c r="C19274" t="str">
        <f>IFERROR(__xludf.DUMMYFUNCTION("GOOGLETRANSLATE(B19274, ""es"", ""en"")"),"It came very fast, works great clock Solar came very fast and works great and does not need much exposed to light so they will not stop")</f>
        <v>It came very fast, works great clock Solar came very fast and works great and does not need much exposed to light so they will not stop</v>
      </c>
    </row>
    <row r="19275">
      <c r="A19275" s="1">
        <v>5.0</v>
      </c>
      <c r="B19275" s="1" t="s">
        <v>19089</v>
      </c>
      <c r="C19275" t="str">
        <f>IFERROR(__xludf.DUMMYFUNCTION("GOOGLETRANSLATE(B19275, ""es"", ""en"")"),"Perfect kettle, recommended Harto heating in the microwave to the water to make me tea, I bought this kettle, which I find very good material to use and touch, which is appreciated in a product of the price at which find. Has a capacity of 1.7L and in my "&amp;"case (varies water temperature that you take), 1.7L of water from the tap the heated in 3:20 minutes, which I have found a good figure. Regarding usability, simply fill the carafe and push a switch down, switching off only after bringing the water to boil"&amp;"ing point. Cleanliness is a little complicated if you have very large hands, but should not pose much of a problem for the times you need to clean a kettle. I recommend the purchase, would buy it.")</f>
        <v>Perfect kettle, recommended Harto heating in the microwave to the water to make me tea, I bought this kettle, which I find very good material to use and touch, which is appreciated in a product of the price at which find. Has a capacity of 1.7L and in my case (varies water temperature that you take), 1.7L of water from the tap the heated in 3:20 minutes, which I have found a good figure. Regarding usability, simply fill the carafe and push a switch down, switching off only after bringing the water to boiling point. Cleanliness is a little complicated if you have very large hands, but should not pose much of a problem for the times you need to clean a kettle. I recommend the purchase, would buy it.</v>
      </c>
    </row>
    <row r="19276">
      <c r="A19276" s="1">
        <v>5.0</v>
      </c>
      <c r="B19276" s="1" t="s">
        <v>19090</v>
      </c>
      <c r="C19276" t="str">
        <f>IFERROR(__xludf.DUMMYFUNCTION("GOOGLETRANSLATE(B19276, ""es"", ""en"")"),"are panama that says it all. are great, they are stylish and make another floor ... perfect. sending from Jomodo tb well")</f>
        <v>are panama that says it all. are great, they are stylish and make another floor ... perfect. sending from Jomodo tb well</v>
      </c>
    </row>
    <row r="19277">
      <c r="A19277" s="1">
        <v>5.0</v>
      </c>
      <c r="B19277" s="1" t="s">
        <v>19091</v>
      </c>
      <c r="C19277" t="str">
        <f>IFERROR(__xludf.DUMMYFUNCTION("GOOGLETRANSLATE(B19277, ""es"", ""en"")"),"well comfortable")</f>
        <v>well comfortable</v>
      </c>
    </row>
    <row r="19278">
      <c r="A19278" s="1">
        <v>2.0</v>
      </c>
      <c r="B19278" s="1" t="s">
        <v>19092</v>
      </c>
      <c r="C19278" t="str">
        <f>IFERROR(__xludf.DUMMYFUNCTION("GOOGLETRANSLATE(B19278, ""es"", ""en"")"),"Do not buy adult for an adult and the runs had to be exchanged is rather small for a child or adolescent")</f>
        <v>Do not buy adult for an adult and the runs had to be exchanged is rather small for a child or adolescent</v>
      </c>
    </row>
    <row r="19279">
      <c r="A19279" s="1">
        <v>3.0</v>
      </c>
      <c r="B19279" s="1" t="s">
        <v>19093</v>
      </c>
      <c r="C19279" t="str">
        <f>IFERROR(__xludf.DUMMYFUNCTION("GOOGLETRANSLATE(B19279, ""es"", ""en"")"),"After only recommended in summer smear all over the body with a massage, you feel like Leonardo di Caprio tied to the table Icicles before plunging into the cold ocean. Rather than cooling effect is indeed freezing at 40 degrees for summer must be wonderf"&amp;"ul, but if you're at these temperatures will not have consolation calentándote or envolvindote in 3 blankets and projecting a blow to your body. After using it I think I would die of hypothermia.")</f>
        <v>After only recommended in summer smear all over the body with a massage, you feel like Leonardo di Caprio tied to the table Icicles before plunging into the cold ocean. Rather than cooling effect is indeed freezing at 40 degrees for summer must be wonderful, but if you're at these temperatures will not have consolation calentándote or envolvindote in 3 blankets and projecting a blow to your body. After using it I think I would die of hypothermia.</v>
      </c>
    </row>
    <row r="19280">
      <c r="A19280" s="1">
        <v>1.0</v>
      </c>
      <c r="B19280" s="1" t="s">
        <v>19094</v>
      </c>
      <c r="C19280" t="str">
        <f>IFERROR(__xludf.DUMMYFUNCTION("GOOGLETRANSLATE(B19280, ""es"", ""en"")"),"A fire has lit the plug after 5 minutes have gone electrics sparks and burned my hair. No comment.")</f>
        <v>A fire has lit the plug after 5 minutes have gone electrics sparks and burned my hair. No comment.</v>
      </c>
    </row>
    <row r="19281">
      <c r="A19281" s="1">
        <v>1.0</v>
      </c>
      <c r="B19281" s="1" t="s">
        <v>19095</v>
      </c>
      <c r="C19281" t="str">
        <f>IFERROR(__xludf.DUMMYFUNCTION("GOOGLETRANSLATE(B19281, ""es"", ""en"")"),"Material unhelpful. Loose")</f>
        <v>Material unhelpful. Loose</v>
      </c>
    </row>
    <row r="19282">
      <c r="A19282" s="1">
        <v>1.0</v>
      </c>
      <c r="B19282" s="1" t="s">
        <v>19096</v>
      </c>
      <c r="C19282" t="str">
        <f>IFERROR(__xludf.DUMMYFUNCTION("GOOGLETRANSLATE(B19282, ""es"", ""en"")"),"Poor quality poor quality")</f>
        <v>Poor quality poor quality</v>
      </c>
    </row>
    <row r="19283">
      <c r="A19283" s="1">
        <v>4.0</v>
      </c>
      <c r="B19283" s="1" t="s">
        <v>19097</v>
      </c>
      <c r="C19283" t="str">
        <f>IFERROR(__xludf.DUMMYFUNCTION("GOOGLETRANSLATE(B19283, ""es"", ""en"")"),"It is very expensive cheaper costs should it OK fulfills its function more you sweat but it is too light")</f>
        <v>It is very expensive cheaper costs should it OK fulfills its function more you sweat but it is too light</v>
      </c>
    </row>
    <row r="19284">
      <c r="A19284" s="1">
        <v>4.0</v>
      </c>
      <c r="B19284" s="1" t="s">
        <v>19098</v>
      </c>
      <c r="C19284" t="str">
        <f>IFERROR(__xludf.DUMMYFUNCTION("GOOGLETRANSLATE(B19284, ""es"", ""en"")"),"Rocio Garcia Marin were a gift for a family and was very happy. It is a very satisfying shopping compared to the price of the sports shop")</f>
        <v>Rocio Garcia Marin were a gift for a family and was very happy. It is a very satisfying shopping compared to the price of the sports shop</v>
      </c>
    </row>
    <row r="19285">
      <c r="A19285" s="1">
        <v>4.0</v>
      </c>
      <c r="B19285" s="1" t="s">
        <v>19099</v>
      </c>
      <c r="C19285" t="str">
        <f>IFERROR(__xludf.DUMMYFUNCTION("GOOGLETRANSLATE(B19285, ""es"", ""en"")"),"They are the original and arrived fast all perfect, the shoe is original and is in perfect condition. Only one paragraph ... the skin is so hard that it hurts a lot to walking, to soften it must be given 1 week.")</f>
        <v>They are the original and arrived fast all perfect, the shoe is original and is in perfect condition. Only one paragraph ... the skin is so hard that it hurts a lot to walking, to soften it must be given 1 week.</v>
      </c>
    </row>
    <row r="19286">
      <c r="A19286" s="1">
        <v>4.0</v>
      </c>
      <c r="B19286" s="1" t="s">
        <v>19100</v>
      </c>
      <c r="C19286" t="str">
        <f>IFERROR(__xludf.DUMMYFUNCTION("GOOGLETRANSLATE(B19286, ""es"", ""en"")"),"Reliable Brand - Product regular controller quite striking and intuitive at the same time. Akai is a trusted brand for years for its products related to the world of music production. However, this product in my opinion leave much to be desired. I think t"&amp;"hat the product has reached me partly defective or failing that the manufacturer has created itself so the product. The pads are quite hard and there are times you hit marks and two are played. To my opinion removing software problems such as slowing down"&amp;" or delay of this is a product that could be improved. My rating is a 6/10. By Amazon on the return of the product as it is always a 10!")</f>
        <v>Reliable Brand - Product regular controller quite striking and intuitive at the same time. Akai is a trusted brand for years for its products related to the world of music production. However, this product in my opinion leave much to be desired. I think that the product has reached me partly defective or failing that the manufacturer has created itself so the product. The pads are quite hard and there are times you hit marks and two are played. To my opinion removing software problems such as slowing down or delay of this is a product that could be improved. My rating is a 6/10. By Amazon on the return of the product as it is always a 10!</v>
      </c>
    </row>
    <row r="19287">
      <c r="A19287" s="1">
        <v>4.0</v>
      </c>
      <c r="B19287" s="1" t="s">
        <v>19101</v>
      </c>
      <c r="C19287" t="str">
        <f>IFERROR(__xludf.DUMMYFUNCTION("GOOGLETRANSLATE(B19287, ""es"", ""en"")"),"Well, although box should be stronger Pegan well. The only problem is that the box was opened immediately, and the role to be fulfilled in my case did not meet, and becomes somewhat awkward to use (is continuously unwound)")</f>
        <v>Well, although box should be stronger Pegan well. The only problem is that the box was opened immediately, and the role to be fulfilled in my case did not meet, and becomes somewhat awkward to use (is continuously unwound)</v>
      </c>
    </row>
    <row r="19288">
      <c r="A19288" s="1">
        <v>5.0</v>
      </c>
      <c r="B19288" s="1" t="s">
        <v>19102</v>
      </c>
      <c r="C19288" t="str">
        <f>IFERROR(__xludf.DUMMYFUNCTION("GOOGLETRANSLATE(B19288, ""es"", ""en"")"),"Functional and powerful. complete kit of blender, mincer and Barilla to beat. Also it carries two differently sized cups. What I liked is its sleek design, note that is of good quality and potency. Pica no problem ice and frozen stuff. It is removable for"&amp;" easy cleaning. A but is put in the hand it may be noted that weighs pretty, but also ergonomics makes it very comfortable to handle.")</f>
        <v>Functional and powerful. complete kit of blender, mincer and Barilla to beat. Also it carries two differently sized cups. What I liked is its sleek design, note that is of good quality and potency. Pica no problem ice and frozen stuff. It is removable for easy cleaning. A but is put in the hand it may be noted that weighs pretty, but also ergonomics makes it very comfortable to handle.</v>
      </c>
    </row>
    <row r="19289">
      <c r="A19289" s="1">
        <v>5.0</v>
      </c>
      <c r="B19289" s="1" t="s">
        <v>19103</v>
      </c>
      <c r="C19289" t="str">
        <f>IFERROR(__xludf.DUMMYFUNCTION("GOOGLETRANSLATE(B19289, ""es"", ""en"")"),"Pretty nice bracelet bracelet, anklet buy but to put it as not so far as to use it, but as wrist bracelet is perfect.")</f>
        <v>Pretty nice bracelet bracelet, anklet buy but to put it as not so far as to use it, but as wrist bracelet is perfect.</v>
      </c>
    </row>
    <row r="19290">
      <c r="A19290" s="1">
        <v>5.0</v>
      </c>
      <c r="B19290" s="1" t="s">
        <v>19104</v>
      </c>
      <c r="C19290" t="str">
        <f>IFERROR(__xludf.DUMMYFUNCTION("GOOGLETRANSLATE(B19290, ""es"", ""en"")"),"Expensive but good sound fantastic. I have a so-called clones that have become very famous and costing fifth, but can not be compared. You can go to the other end of the house with walls and doors via Bluetooth and stay connected. Have few configuration o"&amp;"ptions, that's true, but you can do whatever you want by asking Siri. Yes. All this is true if you use an iPhone or an iPad and certainly with a MacBook but if you're using an android, but can be connected, do not recommend you spend that money because yo"&amp;"u will not have available many options and no longer worthwhile.")</f>
        <v>Expensive but good sound fantastic. I have a so-called clones that have become very famous and costing fifth, but can not be compared. You can go to the other end of the house with walls and doors via Bluetooth and stay connected. Have few configuration options, that's true, but you can do whatever you want by asking Siri. Yes. All this is true if you use an iPhone or an iPad and certainly with a MacBook but if you're using an android, but can be connected, do not recommend you spend that money because you will not have available many options and no longer worthwhile.</v>
      </c>
    </row>
    <row r="19291">
      <c r="A19291" s="1">
        <v>5.0</v>
      </c>
      <c r="B19291" s="1" t="s">
        <v>19105</v>
      </c>
      <c r="C19291" t="str">
        <f>IFERROR(__xludf.DUMMYFUNCTION("GOOGLETRANSLATE(B19291, ""es"", ""en"")"),"ECONOMIC AND FUNCTIONING moment does its job well. I recommend it.")</f>
        <v>ECONOMIC AND FUNCTIONING moment does its job well. I recommend it.</v>
      </c>
    </row>
    <row r="19292">
      <c r="A19292" s="1">
        <v>5.0</v>
      </c>
      <c r="B19292" s="1" t="s">
        <v>19106</v>
      </c>
      <c r="C19292" t="str">
        <f>IFERROR(__xludf.DUMMYFUNCTION("GOOGLETRANSLATE(B19292, ""es"", ""en"")"),"Size XS perfect, fit well, have a small inner lining that makes have a warm feeling. Not recommended to train indoors because they just barbecuing sites but are ideal for outdoor use")</f>
        <v>Size XS perfect, fit well, have a small inner lining that makes have a warm feeling. Not recommended to train indoors because they just barbecuing sites but are ideal for outdoor use</v>
      </c>
    </row>
    <row r="19293">
      <c r="A19293" s="1">
        <v>5.0</v>
      </c>
      <c r="B19293" s="1" t="s">
        <v>19107</v>
      </c>
      <c r="C19293" t="str">
        <f>IFERROR(__xludf.DUMMYFUNCTION("GOOGLETRANSLATE(B19293, ""es"", ""en"")"),"He loves my son and very easy to sterilize in microwave. He is the only accepts bibe my son. I love how easy it is to clean and sterilize. Very good product!")</f>
        <v>He loves my son and very easy to sterilize in microwave. He is the only accepts bibe my son. I love how easy it is to clean and sterilize. Very good product!</v>
      </c>
    </row>
    <row r="19294">
      <c r="A19294" s="1">
        <v>5.0</v>
      </c>
      <c r="B19294" s="1" t="s">
        <v>19108</v>
      </c>
      <c r="C19294" t="str">
        <f>IFERROR(__xludf.DUMMYFUNCTION("GOOGLETRANSLATE(B19294, ""es"", ""en"")"),"A classic! It is a classic, and at a great price. Not heavy, and the size of the sphere is perfect for both men and women. Being male, and having a small doll looks great and it's not uncomfortable. Recommended!")</f>
        <v>A classic! It is a classic, and at a great price. Not heavy, and the size of the sphere is perfect for both men and women. Being male, and having a small doll looks great and it's not uncomfortable. Recommended!</v>
      </c>
    </row>
    <row r="19295">
      <c r="A19295" s="1">
        <v>5.0</v>
      </c>
      <c r="B19295" s="1" t="s">
        <v>19109</v>
      </c>
      <c r="C19295" t="str">
        <f>IFERROR(__xludf.DUMMYFUNCTION("GOOGLETRANSLATE(B19295, ""es"", ""en"")"),"Very comfortable very comfortable, size is fine")</f>
        <v>Very comfortable very comfortable, size is fine</v>
      </c>
    </row>
    <row r="19296">
      <c r="A19296" s="1">
        <v>5.0</v>
      </c>
      <c r="B19296" s="1" t="s">
        <v>19110</v>
      </c>
      <c r="C19296" t="str">
        <f>IFERROR(__xludf.DUMMYFUNCTION("GOOGLETRANSLATE(B19296, ""es"", ""en"")"),"super useful well as it is seen on page, super spacious and very useful. As paste belt will slip if heavily loaded")</f>
        <v>super useful well as it is seen on page, super spacious and very useful. As paste belt will slip if heavily loaded</v>
      </c>
    </row>
    <row r="19297">
      <c r="A19297" s="1">
        <v>5.0</v>
      </c>
      <c r="B19297" s="1" t="s">
        <v>19111</v>
      </c>
      <c r="C19297" t="str">
        <f>IFERROR(__xludf.DUMMYFUNCTION("GOOGLETRANSLATE(B19297, ""es"", ""en"")"),"Quality very fast and in perfect condition all, thank you very much !!!")</f>
        <v>Quality very fast and in perfect condition all, thank you very much !!!</v>
      </c>
    </row>
    <row r="19298">
      <c r="A19298" s="1">
        <v>5.0</v>
      </c>
      <c r="B19298" s="1" t="s">
        <v>19112</v>
      </c>
      <c r="C19298" t="str">
        <f>IFERROR(__xludf.DUMMYFUNCTION("GOOGLETRANSLATE(B19298, ""es"", ""en"")"),"Nice and quiet I liked. Recommended hundred percent, but I wanted something smaller. I too big in the space reserved for him had")</f>
        <v>Nice and quiet I liked. Recommended hundred percent, but I wanted something smaller. I too big in the space reserved for him had</v>
      </c>
    </row>
    <row r="19299">
      <c r="A19299" s="1">
        <v>5.0</v>
      </c>
      <c r="B19299" s="1" t="s">
        <v>19113</v>
      </c>
      <c r="C19299" t="str">
        <f>IFERROR(__xludf.DUMMYFUNCTION("GOOGLETRANSLATE(B19299, ""es"", ""en"")"),"To work for a long toiempo. It's what I expected. I used to boil water.")</f>
        <v>To work for a long toiempo. It's what I expected. I used to boil water.</v>
      </c>
    </row>
    <row r="19300">
      <c r="A19300" s="1">
        <v>5.0</v>
      </c>
      <c r="B19300" s="1" t="s">
        <v>19114</v>
      </c>
      <c r="C19300" t="str">
        <f>IFERROR(__xludf.DUMMYFUNCTION("GOOGLETRANSLATE(B19300, ""es"", ""en"")"),"It is perfect comfy")</f>
        <v>It is perfect comfy</v>
      </c>
    </row>
    <row r="19301">
      <c r="A19301" s="1">
        <v>5.0</v>
      </c>
      <c r="B19301" s="1" t="s">
        <v>19115</v>
      </c>
      <c r="C19301" t="str">
        <f>IFERROR(__xludf.DUMMYFUNCTION("GOOGLETRANSLATE(B19301, ""es"", ""en"")"),"Recommended I have loved, I never had a humidifier and was not sure how it was going. Now that I'm oils every now changing aroma, they smell good and having to take a few drops, the boat you hard enough. He had smelled all and the most liked was my orange"&amp;", to the try I loved the eucalyptus and mint, for the freshness they have and make you breathe better.")</f>
        <v>Recommended I have loved, I never had a humidifier and was not sure how it was going. Now that I'm oils every now changing aroma, they smell good and having to take a few drops, the boat you hard enough. He had smelled all and the most liked was my orange, to the try I loved the eucalyptus and mint, for the freshness they have and make you breathe better.</v>
      </c>
    </row>
    <row r="19302">
      <c r="A19302" s="1">
        <v>5.0</v>
      </c>
      <c r="B19302" s="1" t="s">
        <v>19116</v>
      </c>
      <c r="C19302" t="str">
        <f>IFERROR(__xludf.DUMMYFUNCTION("GOOGLETRANSLATE(B19302, ""es"", ""en"")"),"Pickling complete kit complete accessory kit for cleaning wheels, bicycles, motorcycles and in general all kinds of materials to be pickled necessary. It comes brushes, sandpaper and polishers Very complete")</f>
        <v>Pickling complete kit complete accessory kit for cleaning wheels, bicycles, motorcycles and in general all kinds of materials to be pickled necessary. It comes brushes, sandpaper and polishers Very complete</v>
      </c>
    </row>
    <row r="19303">
      <c r="A19303" s="1">
        <v>5.0</v>
      </c>
      <c r="B19303" s="1" t="s">
        <v>19117</v>
      </c>
      <c r="C19303" t="str">
        <f>IFERROR(__xludf.DUMMYFUNCTION("GOOGLETRANSLATE(B19303, ""es"", ""en"")"),"10 in value More can not ask the price. Sound these little headphones Sennheiser, this great brand does not disappoint me. I have the same cost about another brand, which sound tinny, however this model, both acute and severe quality is very good for the "&amp;"price so tight they have.")</f>
        <v>10 in value More can not ask the price. Sound these little headphones Sennheiser, this great brand does not disappoint me. I have the same cost about another brand, which sound tinny, however this model, both acute and severe quality is very good for the price so tight they have.</v>
      </c>
    </row>
    <row r="19304">
      <c r="A19304" s="1">
        <v>5.0</v>
      </c>
      <c r="B19304" s="1" t="s">
        <v>19118</v>
      </c>
      <c r="C19304" t="str">
        <f>IFERROR(__xludf.DUMMYFUNCTION("GOOGLETRANSLATE(B19304, ""es"", ""en"")"),"Very nice and good quality because I returned were great but they looked great, if it had been my number had been me without any hesitation, and repayment was quick and painless")</f>
        <v>Very nice and good quality because I returned were great but they looked great, if it had been my number had been me without any hesitation, and repayment was quick and painless</v>
      </c>
    </row>
    <row r="19305">
      <c r="A19305" s="1">
        <v>5.0</v>
      </c>
      <c r="B19305" s="1" t="s">
        <v>19119</v>
      </c>
      <c r="C19305" t="str">
        <f>IFERROR(__xludf.DUMMYFUNCTION("GOOGLETRANSLATE(B19305, ""es"", ""en"")"),"Pretty good enough balm Calenta the area where you put it, prevents and relieves contractures quite well if it hurts. Bring plenty amount spent so quickly as not sold in pharmacies.")</f>
        <v>Pretty good enough balm Calenta the area where you put it, prevents and relieves contractures quite well if it hurts. Bring plenty amount spent so quickly as not sold in pharmacies.</v>
      </c>
    </row>
    <row r="19306">
      <c r="A19306" s="1">
        <v>5.0</v>
      </c>
      <c r="B19306" s="1" t="s">
        <v>19120</v>
      </c>
      <c r="C19306" t="str">
        <f>IFERROR(__xludf.DUMMYFUNCTION("GOOGLETRANSLATE(B19306, ""es"", ""en"")"),"Easy to use easy to use to get espumilla")</f>
        <v>Easy to use easy to use to get espumilla</v>
      </c>
    </row>
    <row r="19307">
      <c r="A19307" s="1">
        <v>2.0</v>
      </c>
      <c r="B19307" s="1" t="s">
        <v>19121</v>
      </c>
      <c r="C19307" t="str">
        <f>IFERROR(__xludf.DUMMYFUNCTION("GOOGLETRANSLATE(B19307, ""es"", ""en"")"),"I find it very interesting what and seen that you can do with these devices can not say whether it's good or not because of my inexperience I did not and have used thought it would be easier, I was very attracted to what in YouTube videos saw to do could,"&amp;" but and had the hits that did not let me unlock the programs you got for free that came with the AKAI and not even me sounded more than the metronome, me and stayed with the desire to learn to I use it interesting, maybe could directly add a CD with soft"&amp;"ware unlocked but anyway, do not want to take the idea to anyone about buying or not this MIDI controller.")</f>
        <v>I find it very interesting what and seen that you can do with these devices can not say whether it's good or not because of my inexperience I did not and have used thought it would be easier, I was very attracted to what in YouTube videos saw to do could, but and had the hits that did not let me unlock the programs you got for free that came with the AKAI and not even me sounded more than the metronome, me and stayed with the desire to learn to I use it interesting, maybe could directly add a CD with software unlocked but anyway, do not want to take the idea to anyone about buying or not this MIDI controller.</v>
      </c>
    </row>
    <row r="19308">
      <c r="A19308" s="1">
        <v>3.0</v>
      </c>
      <c r="B19308" s="1" t="s">
        <v>19122</v>
      </c>
      <c r="C19308" t="str">
        <f>IFERROR(__xludf.DUMMYFUNCTION("GOOGLETRANSLATE(B19308, ""es"", ""en"")"),"Well Mencanta this tetina but I think k is very long as my son is sulky when I give the and had to cut, I really like pk if no stretch does not leave a drop, so do not get used to the bibi and continues the chest")</f>
        <v>Well Mencanta this tetina but I think k is very long as my son is sulky when I give the and had to cut, I really like pk if no stretch does not leave a drop, so do not get used to the bibi and continues the chest</v>
      </c>
    </row>
    <row r="19309">
      <c r="A19309" s="1">
        <v>3.0</v>
      </c>
      <c r="B19309" s="1" t="s">
        <v>19123</v>
      </c>
      <c r="C19309" t="str">
        <f>IFERROR(__xludf.DUMMYFUNCTION("GOOGLETRANSLATE(B19309, ""es"", ""en"")"),"Nice but ... ne The first few days was difficult to use because you do not come with instructions! Antipoping then goes off-hook, he loses grip strength! I thought you would hear better ... and it was not")</f>
        <v>Nice but ... ne The first few days was difficult to use because you do not come with instructions! Antipoping then goes off-hook, he loses grip strength! I thought you would hear better ... and it was not</v>
      </c>
    </row>
    <row r="19310">
      <c r="A19310" s="1">
        <v>1.0</v>
      </c>
      <c r="B19310" s="1" t="s">
        <v>19124</v>
      </c>
      <c r="C19310" t="str">
        <f>IFERROR(__xludf.DUMMYFUNCTION("GOOGLETRANSLATE(B19310, ""es"", ""en"")"),"I'm not upset or return it. For the price you can not ask for more ... is stopped and the small hands of the clock are docked, the bracelet is very soft metal that sounds more than a rattle, and finally the main needles are in total disagreement with the "&amp;"measuring marks the hour.")</f>
        <v>I'm not upset or return it. For the price you can not ask for more ... is stopped and the small hands of the clock are docked, the bracelet is very soft metal that sounds more than a rattle, and finally the main needles are in total disagreement with the measuring marks the hour.</v>
      </c>
    </row>
    <row r="19311">
      <c r="A19311" s="1">
        <v>1.0</v>
      </c>
      <c r="B19311" s="1" t="s">
        <v>19125</v>
      </c>
      <c r="C19311" t="str">
        <f>IFERROR(__xludf.DUMMYFUNCTION("GOOGLETRANSLATE(B19311, ""es"", ""en"")"),"Lousy takes a thousand years to pass data. It is to shoot. I have to buy me one that is high transfer usb because it is not provided between its high capacity and how slow moving the data.")</f>
        <v>Lousy takes a thousand years to pass data. It is to shoot. I have to buy me one that is high transfer usb because it is not provided between its high capacity and how slow moving the data.</v>
      </c>
    </row>
    <row r="19312">
      <c r="A19312" s="1">
        <v>4.0</v>
      </c>
      <c r="B19312" s="1" t="s">
        <v>19126</v>
      </c>
      <c r="C19312" t="str">
        <f>IFERROR(__xludf.DUMMYFUNCTION("GOOGLETRANSLATE(B19312, ""es"", ""en"")"),"perfect perfect")</f>
        <v>perfect perfect</v>
      </c>
    </row>
    <row r="19313">
      <c r="A19313" s="1">
        <v>4.0</v>
      </c>
      <c r="B19313" s="1" t="s">
        <v>19127</v>
      </c>
      <c r="C19313" t="str">
        <f>IFERROR(__xludf.DUMMYFUNCTION("GOOGLETRANSLATE(B19313, ""es"", ""en"")"),"It meets perfectly useful purpose: fits into the radiator and lumpia inside.")</f>
        <v>It meets perfectly useful purpose: fits into the radiator and lumpia inside.</v>
      </c>
    </row>
    <row r="19314">
      <c r="A19314" s="1">
        <v>4.0</v>
      </c>
      <c r="B19314" s="1" t="s">
        <v>19128</v>
      </c>
      <c r="C19314" t="str">
        <f>IFERROR(__xludf.DUMMYFUNCTION("GOOGLETRANSLATE(B19314, ""es"", ""en"")"),"I remain perfectly Perfect")</f>
        <v>I remain perfectly Perfect</v>
      </c>
    </row>
    <row r="19315">
      <c r="A19315" s="1">
        <v>4.0</v>
      </c>
      <c r="B19315" s="1" t="s">
        <v>19129</v>
      </c>
      <c r="C19315" t="str">
        <f>IFERROR(__xludf.DUMMYFUNCTION("GOOGLETRANSLATE(B19315, ""es"", ""en"")"),"Very good! Very good product! Order a half size too!")</f>
        <v>Very good! Very good product! Order a half size too!</v>
      </c>
    </row>
    <row r="19316">
      <c r="A19316" s="1">
        <v>5.0</v>
      </c>
      <c r="B19316" s="1" t="s">
        <v>19130</v>
      </c>
      <c r="C19316" t="str">
        <f>IFERROR(__xludf.DUMMYFUNCTION("GOOGLETRANSLATE(B19316, ""es"", ""en"")"),"Price Superlux impressive quality, sound great but tamb have to think about the price they")</f>
        <v>Price Superlux impressive quality, sound great but tamb have to think about the price they</v>
      </c>
    </row>
    <row r="19317">
      <c r="A19317" s="1">
        <v>5.0</v>
      </c>
      <c r="B19317" s="1" t="s">
        <v>19131</v>
      </c>
      <c r="C19317" t="str">
        <f>IFERROR(__xludf.DUMMYFUNCTION("GOOGLETRANSLATE(B19317, ""es"", ""en"")"),"I have liked are ideal liked me a lot and I wear them very often")</f>
        <v>I have liked are ideal liked me a lot and I wear them very often</v>
      </c>
    </row>
    <row r="19318">
      <c r="A19318" s="1">
        <v>5.0</v>
      </c>
      <c r="B19318" s="1" t="s">
        <v>19132</v>
      </c>
      <c r="C19318" t="str">
        <f>IFERROR(__xludf.DUMMYFUNCTION("GOOGLETRANSLATE(B19318, ""es"", ""en"")"),"Discretion A very powerful and relaxer massager")</f>
        <v>Discretion A very powerful and relaxer massager</v>
      </c>
    </row>
    <row r="19319">
      <c r="A19319" s="1">
        <v>5.0</v>
      </c>
      <c r="B19319" s="1" t="s">
        <v>19133</v>
      </c>
      <c r="C19319" t="str">
        <f>IFERROR(__xludf.DUMMYFUNCTION("GOOGLETRANSLATE(B19319, ""es"", ""en"")"),"perfect card! SD card with a value amazing. Reliably and quickly. I have had many cards from other brands but the truth is that I gave no results so fast writing and reading. The would buy!")</f>
        <v>perfect card! SD card with a value amazing. Reliably and quickly. I have had many cards from other brands but the truth is that I gave no results so fast writing and reading. The would buy!</v>
      </c>
    </row>
    <row r="19320">
      <c r="A19320" s="1">
        <v>5.0</v>
      </c>
      <c r="B19320" s="1" t="s">
        <v>19134</v>
      </c>
      <c r="C19320" t="str">
        <f>IFERROR(__xludf.DUMMYFUNCTION("GOOGLETRANSLATE(B19320, ""es"", ""en"")"),"Recommended are warm enough as it is and feet. Highly recommended. We bought several pairs because we liked.")</f>
        <v>Recommended are warm enough as it is and feet. Highly recommended. We bought several pairs because we liked.</v>
      </c>
    </row>
    <row r="19321">
      <c r="A19321" s="1">
        <v>5.0</v>
      </c>
      <c r="B19321" s="1" t="s">
        <v>19135</v>
      </c>
      <c r="C19321" t="str">
        <f>IFERROR(__xludf.DUMMYFUNCTION("GOOGLETRANSLATE(B19321, ""es"", ""en"")"),"smarwatch thrilled with the clock. I like the color, the strap do not mind getting wet, touch you have, the comfort of wearing it. By design is ideal for any occasion. I have used to measure me stress, to walk and am slowly discovering more. Ideal for tho"&amp;"se people that we forget the place where we put mobile, thanks to the clock we found it. I have three days with him and I no longer indispensable. If sports do not have to carry the phone and just notes you take. and I love how it is loaded as the charger"&amp;" is magnetised. And it gives us time !!")</f>
        <v>smarwatch thrilled with the clock. I like the color, the strap do not mind getting wet, touch you have, the comfort of wearing it. By design is ideal for any occasion. I have used to measure me stress, to walk and am slowly discovering more. Ideal for those people that we forget the place where we put mobile, thanks to the clock we found it. I have three days with him and I no longer indispensable. If sports do not have to carry the phone and just notes you take. and I love how it is loaded as the charger is magnetised. And it gives us time !!</v>
      </c>
    </row>
    <row r="19322">
      <c r="A19322" s="1">
        <v>5.0</v>
      </c>
      <c r="B19322" s="1" t="s">
        <v>19136</v>
      </c>
      <c r="C19322" t="str">
        <f>IFERROR(__xludf.DUMMYFUNCTION("GOOGLETRANSLATE(B19322, ""es"", ""en"")"),"Original Perfect! I recommend 100%")</f>
        <v>Original Perfect! I recommend 100%</v>
      </c>
    </row>
    <row r="19323">
      <c r="A19323" s="1">
        <v>5.0</v>
      </c>
      <c r="B19323" s="1" t="s">
        <v>19137</v>
      </c>
      <c r="C19323" t="str">
        <f>IFERROR(__xludf.DUMMYFUNCTION("GOOGLETRANSLATE(B19323, ""es"", ""en"")"),"Ideal for a gift precious gift, elegant and good calidad.Yo I gave it to my wife on her birthday and was delighted. highly recommended")</f>
        <v>Ideal for a gift precious gift, elegant and good calidad.Yo I gave it to my wife on her birthday and was delighted. highly recommended</v>
      </c>
    </row>
    <row r="19324">
      <c r="A19324" s="1">
        <v>5.0</v>
      </c>
      <c r="B19324" s="1" t="s">
        <v>19138</v>
      </c>
      <c r="C19324" t="str">
        <f>IFERROR(__xludf.DUMMYFUNCTION("GOOGLETRANSLATE(B19324, ""es"", ""en"")"),"Very good and small size. Two things .: 1. When much information is transferred warms up a bit, but it works perfectly and allows catch by hand without problems. 2. Most importantly, it does not happen to anyone when there is much to erase stored informat"&amp;"ion, then proceed to format it because certain devices such as car audio do not recognize. I had to find the information that comes from factory Kingston and rerecord it to recognize me.")</f>
        <v>Very good and small size. Two things .: 1. When much information is transferred warms up a bit, but it works perfectly and allows catch by hand without problems. 2. Most importantly, it does not happen to anyone when there is much to erase stored information, then proceed to format it because certain devices such as car audio do not recognize. I had to find the information that comes from factory Kingston and rerecord it to recognize me.</v>
      </c>
    </row>
    <row r="19325">
      <c r="A19325" s="1">
        <v>5.0</v>
      </c>
      <c r="B19325" s="1" t="s">
        <v>19139</v>
      </c>
      <c r="C19325" t="str">
        <f>IFERROR(__xludf.DUMMYFUNCTION("GOOGLETRANSLATE(B19325, ""es"", ""en"")"),"All right! All right!")</f>
        <v>All right! All right!</v>
      </c>
    </row>
    <row r="19326">
      <c r="A19326" s="1">
        <v>5.0</v>
      </c>
      <c r="B19326" s="1" t="s">
        <v>19140</v>
      </c>
      <c r="C19326" t="str">
        <f>IFERROR(__xludf.DUMMYFUNCTION("GOOGLETRANSLATE(B19326, ""es"", ""en"")"),"I liked very cute, nice quality, thanks")</f>
        <v>I liked very cute, nice quality, thanks</v>
      </c>
    </row>
    <row r="19327">
      <c r="A19327" s="1">
        <v>5.0</v>
      </c>
      <c r="B19327" s="1" t="s">
        <v>19141</v>
      </c>
      <c r="C19327" t="str">
        <f>IFERROR(__xludf.DUMMYFUNCTION("GOOGLETRANSLATE(B19327, ""es"", ""en"")"),"I Alvariquay blackboard attached to the kitchen wall with adhesive tape double-sided small thanks to low weight. Cleared good, but if the board perpanece ink painted by the pen approximately one week, erasing marring. Alcohol, any flag is removed and is n"&amp;"ew. I'm happy about the shopping.")</f>
        <v>I Alvariquay blackboard attached to the kitchen wall with adhesive tape double-sided small thanks to low weight. Cleared good, but if the board perpanece ink painted by the pen approximately one week, erasing marring. Alcohol, any flag is removed and is new. I'm happy about the shopping.</v>
      </c>
    </row>
    <row r="19328">
      <c r="A19328" s="1">
        <v>5.0</v>
      </c>
      <c r="B19328" s="1" t="s">
        <v>19142</v>
      </c>
      <c r="C19328" t="str">
        <f>IFERROR(__xludf.DUMMYFUNCTION("GOOGLETRANSLATE(B19328, ""es"", ""en"")"),"The strong mountain boot comfortable recomiendo..bota have to ask one less than the number you are walking tiene..si x mountain bike shows comfort, grip and is waterproof as it says fabricante..vale definitely buy it. .There are tochas boots and incómodas"&amp;"..esta is a great find !!")</f>
        <v>The strong mountain boot comfortable recomiendo..bota have to ask one less than the number you are walking tiene..si x mountain bike shows comfort, grip and is waterproof as it says fabricante..vale definitely buy it. .There are tochas boots and incómodas..esta is a great find !!</v>
      </c>
    </row>
    <row r="19329">
      <c r="A19329" s="1">
        <v>5.0</v>
      </c>
      <c r="B19329" s="1" t="s">
        <v>19143</v>
      </c>
      <c r="C19329" t="str">
        <f>IFERROR(__xludf.DUMMYFUNCTION("GOOGLETRANSLATE(B19329, ""es"", ""en"")"),"I love Pandora Unicorn")</f>
        <v>I love Pandora Unicorn</v>
      </c>
    </row>
    <row r="19330">
      <c r="A19330" s="1">
        <v>5.0</v>
      </c>
      <c r="B19330" s="1" t="s">
        <v>19144</v>
      </c>
      <c r="C19330" t="str">
        <f>IFERROR(__xludf.DUMMYFUNCTION("GOOGLETRANSLATE(B19330, ""es"", ""en"")"),"automatic watch man. It had long been looking for a watch like this. Price and quality go hand in hand and Amazon server, perfect throughout the chain. 100% recommendable.")</f>
        <v>automatic watch man. It had long been looking for a watch like this. Price and quality go hand in hand and Amazon server, perfect throughout the chain. 100% recommendable.</v>
      </c>
    </row>
    <row r="19331">
      <c r="A19331" s="1">
        <v>5.0</v>
      </c>
      <c r="B19331" s="1" t="s">
        <v>19145</v>
      </c>
      <c r="C19331" t="str">
        <f>IFERROR(__xludf.DUMMYFUNCTION("GOOGLETRANSLATE(B19331, ""es"", ""en"")"),"Super A good gift")</f>
        <v>Super A good gift</v>
      </c>
    </row>
    <row r="19332">
      <c r="A19332" s="1">
        <v>5.0</v>
      </c>
      <c r="B19332" s="1" t="s">
        <v>19146</v>
      </c>
      <c r="C19332" t="str">
        <f>IFERROR(__xludf.DUMMYFUNCTION("GOOGLETRANSLATE(B19332, ""es"", ""en"")"),"10/10 for a provider Fast shipping. affordable and consistent with the description article. I rated the durability because it is seen, but runs smoothly according to the description of the manufacturer / vendor. Cheers")</f>
        <v>10/10 for a provider Fast shipping. affordable and consistent with the description article. I rated the durability because it is seen, but runs smoothly according to the description of the manufacturer / vendor. Cheers</v>
      </c>
    </row>
    <row r="19333">
      <c r="A19333" s="1">
        <v>5.0</v>
      </c>
      <c r="B19333" s="1" t="s">
        <v>19147</v>
      </c>
      <c r="C19333" t="str">
        <f>IFERROR(__xludf.DUMMYFUNCTION("GOOGLETRANSLATE(B19333, ""es"", ""en"")"),"Perfect !! The shoes are as expected. The size is pererecta. I recommend 100% to buy them worldwide. Thank you so much for everything.")</f>
        <v>Perfect !! The shoes are as expected. The size is pererecta. I recommend 100% to buy them worldwide. Thank you so much for everything.</v>
      </c>
    </row>
    <row r="19334">
      <c r="A19334" s="1">
        <v>5.0</v>
      </c>
      <c r="B19334" s="1" t="s">
        <v>19148</v>
      </c>
      <c r="C19334" t="str">
        <f>IFERROR(__xludf.DUMMYFUNCTION("GOOGLETRANSLATE(B19334, ""es"", ""en"")"),"Small and practical are facing a fully functional pen drive for those who need something discreet. It is very small and hides very well especially in DVD drive. It comes with a lid to transport and not dirty, also has a tiny hook where we can put a rubber"&amp;" or thin rope to hook it to a key chain or anywhere else. The file transfer speed is not the fastest, but it is not slow (the files are not big step so it does not take long). A greeting.")</f>
        <v>Small and practical are facing a fully functional pen drive for those who need something discreet. It is very small and hides very well especially in DVD drive. It comes with a lid to transport and not dirty, also has a tiny hook where we can put a rubber or thin rope to hook it to a key chain or anywhere else. The file transfer speed is not the fastest, but it is not slow (the files are not big step so it does not take long). A greeting.</v>
      </c>
    </row>
    <row r="19335">
      <c r="A19335" s="1">
        <v>2.0</v>
      </c>
      <c r="B19335" s="1" t="s">
        <v>19149</v>
      </c>
      <c r="C19335" t="str">
        <f>IFERROR(__xludf.DUMMYFUNCTION("GOOGLETRANSLATE(B19335, ""es"", ""en"")"),"Many power passable ... but there are many pieces in the blades and is very difficult to clean")</f>
        <v>Many power passable ... but there are many pieces in the blades and is very difficult to clean</v>
      </c>
    </row>
    <row r="19336">
      <c r="A19336" s="1">
        <v>3.0</v>
      </c>
      <c r="B19336" s="1" t="s">
        <v>19150</v>
      </c>
      <c r="C19336" t="str">
        <f>IFERROR(__xludf.DUMMYFUNCTION("GOOGLETRANSLATE(B19336, ""es"", ""en"")"),"bag is very comfortable but I expected a little bigger but when you get used to this quite well when making a gift'll buy")</f>
        <v>bag is very comfortable but I expected a little bigger but when you get used to this quite well when making a gift'll buy</v>
      </c>
    </row>
    <row r="19337">
      <c r="A19337" s="1">
        <v>3.0</v>
      </c>
      <c r="B19337" s="1" t="s">
        <v>19151</v>
      </c>
      <c r="C19337" t="str">
        <f>IFERROR(__xludf.DUMMYFUNCTION("GOOGLETRANSLATE(B19337, ""es"", ""en"")"),"Dismounts very easily be easily removed, it is convenient to operate, but it is quite noisy.")</f>
        <v>Dismounts very easily be easily removed, it is convenient to operate, but it is quite noisy.</v>
      </c>
    </row>
    <row r="19338">
      <c r="A19338" s="1">
        <v>1.0</v>
      </c>
      <c r="B19338" s="1" t="s">
        <v>19152</v>
      </c>
      <c r="C19338" t="str">
        <f>IFERROR(__xludf.DUMMYFUNCTION("GOOGLETRANSLATE(B19338, ""es"", ""en"")"),"Very poor quality looks fake. It looks like a cheap fake. The fabric is bad, cheap and poor. Clothing smells cumulative market")</f>
        <v>Very poor quality looks fake. It looks like a cheap fake. The fabric is bad, cheap and poor. Clothing smells cumulative market</v>
      </c>
    </row>
    <row r="19339">
      <c r="A19339" s="1">
        <v>1.0</v>
      </c>
      <c r="B19339" s="1" t="s">
        <v>19153</v>
      </c>
      <c r="C19339" t="str">
        <f>IFERROR(__xludf.DUMMYFUNCTION("GOOGLETRANSLATE(B19339, ""es"", ""en"")"),"Cape fault 10 months within 10 months, no problem. He began to fail and now recognizes but can not access the data. Luckily I had just performed a backup 5 days before. In trying to process the warranty Kingdian asked me to return it to China !!! Amazon s"&amp;"olved my problem, I managed the return and refund. Ten for them.")</f>
        <v>Cape fault 10 months within 10 months, no problem. He began to fail and now recognizes but can not access the data. Luckily I had just performed a backup 5 days before. In trying to process the warranty Kingdian asked me to return it to China !!! Amazon solved my problem, I managed the return and refund. Ten for them.</v>
      </c>
    </row>
    <row r="19340">
      <c r="A19340" s="1">
        <v>4.0</v>
      </c>
      <c r="B19340" s="1" t="s">
        <v>19154</v>
      </c>
      <c r="C19340" t="str">
        <f>IFERROR(__xludf.DUMMYFUNCTION("GOOGLETRANSLATE(B19340, ""es"", ""en"")"),"Good discounts pen drive pen drive itself, great works, and van transfers data at speed. I give it four stars because it seems to be a bit thicker account and go a bit forced into the USB ports, I tried it on two PCs and two's the same, anyway recommend p"&amp;"urchase.")</f>
        <v>Good discounts pen drive pen drive itself, great works, and van transfers data at speed. I give it four stars because it seems to be a bit thicker account and go a bit forced into the USB ports, I tried it on two PCs and two's the same, anyway recommend purchase.</v>
      </c>
    </row>
    <row r="19341">
      <c r="A19341" s="1">
        <v>4.0</v>
      </c>
      <c r="B19341" s="1" t="s">
        <v>19155</v>
      </c>
      <c r="C19341" t="str">
        <f>IFERROR(__xludf.DUMMYFUNCTION("GOOGLETRANSLATE(B19341, ""es"", ""en"")"),"Genial very comfortable buying. Very comfortable")</f>
        <v>Genial very comfortable buying. Very comfortable</v>
      </c>
    </row>
    <row r="19342">
      <c r="A19342" s="1">
        <v>4.0</v>
      </c>
      <c r="B19342" s="1" t="s">
        <v>19156</v>
      </c>
      <c r="C19342" t="str">
        <f>IFERROR(__xludf.DUMMYFUNCTION("GOOGLETRANSLATE(B19342, ""es"", ""en"")"),"Oscar for her price is right. Without bragging in detail and quality of plastic. Just right for the price you")</f>
        <v>Oscar for her price is right. Without bragging in detail and quality of plastic. Just right for the price you</v>
      </c>
    </row>
    <row r="19343">
      <c r="A19343" s="1">
        <v>4.0</v>
      </c>
      <c r="B19343" s="1" t="s">
        <v>19157</v>
      </c>
      <c r="C19343" t="str">
        <f>IFERROR(__xludf.DUMMYFUNCTION("GOOGLETRANSLATE(B19343, ""es"", ""en"")"),"Very good quality Excellent quality")</f>
        <v>Very good quality Excellent quality</v>
      </c>
    </row>
    <row r="19344">
      <c r="A19344" s="1">
        <v>4.0</v>
      </c>
      <c r="B19344" s="1" t="s">
        <v>19158</v>
      </c>
      <c r="C19344" t="str">
        <f>IFERROR(__xludf.DUMMYFUNCTION("GOOGLETRANSLATE(B19344, ""es"", ""en"")"),"It was a good anniversary gift is fine. It's smaller than I expected. But good size to use. Pointy parts can harm a child catching")</f>
        <v>It was a good anniversary gift is fine. It's smaller than I expected. But good size to use. Pointy parts can harm a child catching</v>
      </c>
    </row>
    <row r="19345">
      <c r="A19345" s="1">
        <v>5.0</v>
      </c>
      <c r="B19345" s="1" t="s">
        <v>19159</v>
      </c>
      <c r="C19345" t="str">
        <f>IFERROR(__xludf.DUMMYFUNCTION("GOOGLETRANSLATE(B19345, ""es"", ""en"")"),"Perfect precious encantan.en me against the foami template form is not very much like cream acolchada.me but black cogi because they are less sucias.la always carving neither more nor less")</f>
        <v>Perfect precious encantan.en me against the foami template form is not very much like cream acolchada.me but black cogi because they are less sucias.la always carving neither more nor less</v>
      </c>
    </row>
    <row r="19346">
      <c r="A19346" s="1">
        <v>5.0</v>
      </c>
      <c r="B19346" s="1" t="s">
        <v>19160</v>
      </c>
      <c r="C19346" t="str">
        <f>IFERROR(__xludf.DUMMYFUNCTION("GOOGLETRANSLATE(B19346, ""es"", ""en"")"),"Just great open space occupies folded and has plenty of capacity. Buy it for my newborn baby and my daughter almost 3 years fits perfectly.")</f>
        <v>Just great open space occupies folded and has plenty of capacity. Buy it for my newborn baby and my daughter almost 3 years fits perfectly.</v>
      </c>
    </row>
    <row r="19347">
      <c r="A19347" s="1">
        <v>5.0</v>
      </c>
      <c r="B19347" s="1" t="s">
        <v>19161</v>
      </c>
      <c r="C19347" t="str">
        <f>IFERROR(__xludf.DUMMYFUNCTION("GOOGLETRANSLATE(B19347, ""es"", ""en"")"),"It's very nice to buy one size smaller Buy one size smaller but nice")</f>
        <v>It's very nice to buy one size smaller Buy one size smaller but nice</v>
      </c>
    </row>
    <row r="19348">
      <c r="A19348" s="1">
        <v>5.0</v>
      </c>
      <c r="B19348" s="1" t="s">
        <v>19162</v>
      </c>
      <c r="C19348" t="str">
        <f>IFERROR(__xludf.DUMMYFUNCTION("GOOGLETRANSLATE(B19348, ""es"", ""en"")"),"You are very nice liked was for a gift, speed")</f>
        <v>You are very nice liked was for a gift, speed</v>
      </c>
    </row>
    <row r="19349">
      <c r="A19349" s="1">
        <v>5.0</v>
      </c>
      <c r="B19349" s="1" t="s">
        <v>3335</v>
      </c>
      <c r="C19349" t="str">
        <f>IFERROR(__xludf.DUMMYFUNCTION("GOOGLETRANSLATE(B19349, ""es"", ""en"")"),"Perfect Very good")</f>
        <v>Perfect Very good</v>
      </c>
    </row>
    <row r="19350">
      <c r="A19350" s="1">
        <v>5.0</v>
      </c>
      <c r="B19350" s="1" t="s">
        <v>19163</v>
      </c>
      <c r="C19350" t="str">
        <f>IFERROR(__xludf.DUMMYFUNCTION("GOOGLETRANSLATE(B19350, ""es"", ""en"")"),"Your gift preciobien ok")</f>
        <v>Your gift preciobien ok</v>
      </c>
    </row>
    <row r="19351">
      <c r="A19351" s="1">
        <v>5.0</v>
      </c>
      <c r="B19351" s="1" t="s">
        <v>19164</v>
      </c>
      <c r="C19351" t="str">
        <f>IFERROR(__xludf.DUMMYFUNCTION("GOOGLETRANSLATE(B19351, ""es"", ""en"")"),"Full is the 1st time I buy a bracelet of activity and this seems very complete. Not only keeps track of my activity (running, walking, cycling, yoga, basketball etc ...) but also monitors sleep and heart rate continues. Furthermore its operation is very i"&amp;"ntuitive, and the app with which it is paired is very easy to use. And loaded directly into a USB port without cables, making it very practical. As it is waterproof, you can shower with it or go to the beach ... It is also very nice (I chose red and black"&amp;") Anyway, very good buy.")</f>
        <v>Full is the 1st time I buy a bracelet of activity and this seems very complete. Not only keeps track of my activity (running, walking, cycling, yoga, basketball etc ...) but also monitors sleep and heart rate continues. Furthermore its operation is very intuitive, and the app with which it is paired is very easy to use. And loaded directly into a USB port without cables, making it very practical. As it is waterproof, you can shower with it or go to the beach ... It is also very nice (I chose red and black) Anyway, very good buy.</v>
      </c>
    </row>
    <row r="19352">
      <c r="A19352" s="1">
        <v>5.0</v>
      </c>
      <c r="B19352" s="1" t="s">
        <v>19165</v>
      </c>
      <c r="C19352" t="str">
        <f>IFERROR(__xludf.DUMMYFUNCTION("GOOGLETRANSLATE(B19352, ""es"", ""en"")"),"Spanish quality shoes I use for many years, both for sport and for the day. These sports are comfortable and very durable.")</f>
        <v>Spanish quality shoes I use for many years, both for sport and for the day. These sports are comfortable and very durable.</v>
      </c>
    </row>
    <row r="19353">
      <c r="A19353" s="1">
        <v>5.0</v>
      </c>
      <c r="B19353" s="1" t="s">
        <v>19166</v>
      </c>
      <c r="C19353" t="str">
        <f>IFERROR(__xludf.DUMMYFUNCTION("GOOGLETRANSLATE(B19353, ""es"", ""en"")"),"Superslim hard disk 2.5 ""hard drive works perfectly and comes in perfect bad sectors, etc ... The packaging is a bit lacking because it is not original and simply consists of a bubble envelope. But the album works perfectly.")</f>
        <v>Superslim hard disk 2.5 "hard drive works perfectly and comes in perfect bad sectors, etc ... The packaging is a bit lacking because it is not original and simply consists of a bubble envelope. But the album works perfectly.</v>
      </c>
    </row>
    <row r="19354">
      <c r="A19354" s="1">
        <v>5.0</v>
      </c>
      <c r="B19354" s="1" t="s">
        <v>19167</v>
      </c>
      <c r="C19354" t="str">
        <f>IFERROR(__xludf.DUMMYFUNCTION("GOOGLETRANSLATE(B19354, ""es"", ""en"")"),"Good device that does its job right, it does the job.")</f>
        <v>Good device that does its job right, it does the job.</v>
      </c>
    </row>
    <row r="19355">
      <c r="A19355" s="1">
        <v>5.0</v>
      </c>
      <c r="B19355" s="1" t="s">
        <v>19168</v>
      </c>
      <c r="C19355" t="str">
        <f>IFERROR(__xludf.DUMMYFUNCTION("GOOGLETRANSLATE(B19355, ""es"", ""en"")"),"I liked everything perfect sneakers")</f>
        <v>I liked everything perfect sneakers</v>
      </c>
    </row>
    <row r="19356">
      <c r="A19356" s="1">
        <v>5.0</v>
      </c>
      <c r="B19356" s="1" t="s">
        <v>19169</v>
      </c>
      <c r="C19356" t="str">
        <f>IFERROR(__xludf.DUMMYFUNCTION("GOOGLETRANSLATE(B19356, ""es"", ""en"")"),"I like I like it. It has a function of infrared massage. You can adjust the strength. The thermal insulation function is that the temperature of the water is not too high. If your load line is longer, it'll be fine.")</f>
        <v>I like I like it. It has a function of infrared massage. You can adjust the strength. The thermal insulation function is that the temperature of the water is not too high. If your load line is longer, it'll be fine.</v>
      </c>
    </row>
    <row r="19357">
      <c r="A19357" s="1">
        <v>5.0</v>
      </c>
      <c r="B19357" s="1" t="s">
        <v>19170</v>
      </c>
      <c r="C19357" t="str">
        <f>IFERROR(__xludf.DUMMYFUNCTION("GOOGLETRANSLATE(B19357, ""es"", ""en"")"),"Quality and speed. Care // // the clone My Pc took forever to come on in recent months and with this SSD, it's been on again within seconds. Applications such as Photoshop or After Effects is open at the time, I used to be waiting a while they loaded ever"&amp;"ything. I cloning, but be careful with the options that gives the program are not of the functional all, I do not recommend reformatting the old hard drive until you know for 100% that everything goes well. For the physical installation, there are people "&amp;"who use a special support for this, in my case has not been necessary, I had to screw it only on one side and is completely stable. It's simple to install. Packaging and everything is fine, if I recommend to be careful opening the box and remove the hard "&amp;"drive because it is not subject. I would definitely recommend 100%")</f>
        <v>Quality and speed. Care // // the clone My Pc took forever to come on in recent months and with this SSD, it's been on again within seconds. Applications such as Photoshop or After Effects is open at the time, I used to be waiting a while they loaded everything. I cloning, but be careful with the options that gives the program are not of the functional all, I do not recommend reformatting the old hard drive until you know for 100% that everything goes well. For the physical installation, there are people who use a special support for this, in my case has not been necessary, I had to screw it only on one side and is completely stable. It's simple to install. Packaging and everything is fine, if I recommend to be careful opening the box and remove the hard drive because it is not subject. I would definitely recommend 100%</v>
      </c>
    </row>
    <row r="19358">
      <c r="A19358" s="1">
        <v>5.0</v>
      </c>
      <c r="B19358" s="1" t="s">
        <v>19171</v>
      </c>
      <c r="C19358" t="str">
        <f>IFERROR(__xludf.DUMMYFUNCTION("GOOGLETRANSLATE(B19358, ""es"", ""en"")"),"The best I probabdo bottles Avent, Dr. Brown and others but tried these and they are the ones I like me and my baby, do not cause gas, easy to wash and sanitize (no cumbersome) and here the best price and fast shipping. One blue and one gray patterned ver"&amp;"y nice")</f>
        <v>The best I probabdo bottles Avent, Dr. Brown and others but tried these and they are the ones I like me and my baby, do not cause gas, easy to wash and sanitize (no cumbersome) and here the best price and fast shipping. One blue and one gray patterned very nice</v>
      </c>
    </row>
    <row r="19359">
      <c r="A19359" s="1">
        <v>5.0</v>
      </c>
      <c r="B19359" s="1" t="s">
        <v>19172</v>
      </c>
      <c r="C19359" t="str">
        <f>IFERROR(__xludf.DUMMYFUNCTION("GOOGLETRANSLATE(B19359, ""es"", ""en"")"),"I came very fast delivery super fast (the next day), I've loved no complains very happy")</f>
        <v>I came very fast delivery super fast (the next day), I've loved no complains very happy</v>
      </c>
    </row>
    <row r="19360">
      <c r="A19360" s="1">
        <v>5.0</v>
      </c>
      <c r="B19360" s="1" t="s">
        <v>19173</v>
      </c>
      <c r="C19360" t="str">
        <f>IFERROR(__xludf.DUMMYFUNCTION("GOOGLETRANSLATE(B19360, ""es"", ""en"")"),"Humidifier plain white This humidifier has a smooth design and is fitting into the environment. Besides just playing noise. Bring oil (lavender in my case) and a remote control. A wise move to moisten the fourth and ease breathing.")</f>
        <v>Humidifier plain white This humidifier has a smooth design and is fitting into the environment. Besides just playing noise. Bring oil (lavender in my case) and a remote control. A wise move to moisten the fourth and ease breathing.</v>
      </c>
    </row>
    <row r="19361">
      <c r="A19361" s="1">
        <v>5.0</v>
      </c>
      <c r="B19361" s="1" t="s">
        <v>19174</v>
      </c>
      <c r="C19361" t="str">
        <f>IFERROR(__xludf.DUMMYFUNCTION("GOOGLETRANSLATE(B19361, ""es"", ""en"")"),"If you are looking for quality and comfort comprenlos Excelling headphones and speed of delivery, congratulations again Amazon")</f>
        <v>If you are looking for quality and comfort comprenlos Excelling headphones and speed of delivery, congratulations again Amazon</v>
      </c>
    </row>
    <row r="19362">
      <c r="A19362" s="1">
        <v>5.0</v>
      </c>
      <c r="B19362" s="1" t="s">
        <v>19175</v>
      </c>
      <c r="C19362" t="str">
        <f>IFERROR(__xludf.DUMMYFUNCTION("GOOGLETRANSLATE(B19362, ""es"", ""en"")"),"Cool! Comfortable, cool i tight. Very comfortable during entrenamientoz")</f>
        <v>Cool! Comfortable, cool i tight. Very comfortable during entrenamientoz</v>
      </c>
    </row>
    <row r="19363">
      <c r="A19363" s="1">
        <v>2.0</v>
      </c>
      <c r="B19363" s="1" t="s">
        <v>19176</v>
      </c>
      <c r="C19363" t="str">
        <f>IFERROR(__xludf.DUMMYFUNCTION("GOOGLETRANSLATE(B19363, ""es"", ""en"")"),"Poor value poor value, the black plastic container leaves not see the juice containing and port outputs juice is a bit flimsy, it does not seem very durable.")</f>
        <v>Poor value poor value, the black plastic container leaves not see the juice containing and port outputs juice is a bit flimsy, it does not seem very durable.</v>
      </c>
    </row>
    <row r="19364">
      <c r="A19364" s="1">
        <v>3.0</v>
      </c>
      <c r="B19364" s="1" t="s">
        <v>19177</v>
      </c>
      <c r="C19364" t="str">
        <f>IFERROR(__xludf.DUMMYFUNCTION("GOOGLETRANSLATE(B19364, ""es"", ""en"")"),"Expected more speed to be expected 3.1 faster, it looks sturdy and seems durable.")</f>
        <v>Expected more speed to be expected 3.1 faster, it looks sturdy and seems durable.</v>
      </c>
    </row>
    <row r="19365">
      <c r="A19365" s="1">
        <v>1.0</v>
      </c>
      <c r="B19365" s="1" t="s">
        <v>19178</v>
      </c>
      <c r="C19365" t="str">
        <f>IFERROR(__xludf.DUMMYFUNCTION("GOOGLETRANSLATE(B19365, ""es"", ""en"")"),"In less than six months total losses errors and eradicates automaticamnte the photos from the camera and finally is no longer recognizable either by the camera or the pc / mac. I lost many important works and would like to make a complaint.")</f>
        <v>In less than six months total losses errors and eradicates automaticamnte the photos from the camera and finally is no longer recognizable either by the camera or the pc / mac. I lost many important works and would like to make a complaint.</v>
      </c>
    </row>
    <row r="19366">
      <c r="A19366" s="1">
        <v>1.0</v>
      </c>
      <c r="B19366" s="1" t="s">
        <v>19179</v>
      </c>
      <c r="C19366" t="str">
        <f>IFERROR(__xludf.DUMMYFUNCTION("GOOGLETRANSLATE(B19366, ""es"", ""en"")"),"Not Horrible USB 3.0 speed rates are low and when half takes second writing is stopped and restarted again within two seconds, which makes it go even slower.")</f>
        <v>Not Horrible USB 3.0 speed rates are low and when half takes second writing is stopped and restarted again within two seconds, which makes it go even slower.</v>
      </c>
    </row>
    <row r="19367">
      <c r="A19367" s="1">
        <v>4.0</v>
      </c>
      <c r="B19367" s="1" t="s">
        <v>19180</v>
      </c>
      <c r="C19367" t="str">
        <f>IFERROR(__xludf.DUMMYFUNCTION("GOOGLETRANSLATE(B19367, ""es"", ""en"")"),"Good micro, microphone support is a waste of Rode quality streamings and video calls from PC-Mac devices such as very high quality. If you want to use to sing other micro I recommend selling this brand. Support is a disaster that brings plastic not suffic"&amp;"iently support the weight of it if you lean too much cheese. If you are using mechanical keyboard you may have to use software cleaner noise. The anti-pop that brings perfect but is it to clean the air ... usually very sensitive to outside noises. But a g"&amp;"ood buy ... if you get it percent and little but often fluctuate widely eye price ...")</f>
        <v>Good micro, microphone support is a waste of Rode quality streamings and video calls from PC-Mac devices such as very high quality. If you want to use to sing other micro I recommend selling this brand. Support is a disaster that brings plastic not sufficiently support the weight of it if you lean too much cheese. If you are using mechanical keyboard you may have to use software cleaner noise. The anti-pop that brings perfect but is it to clean the air ... usually very sensitive to outside noises. But a good buy ... if you get it percent and little but often fluctuate widely eye price ...</v>
      </c>
    </row>
    <row r="19368">
      <c r="A19368" s="1">
        <v>4.0</v>
      </c>
      <c r="B19368" s="1" t="s">
        <v>19181</v>
      </c>
      <c r="C19368" t="str">
        <f>IFERROR(__xludf.DUMMYFUNCTION("GOOGLETRANSLATE(B19368, ""es"", ""en"")"),"well is nice, as pictured")</f>
        <v>well is nice, as pictured</v>
      </c>
    </row>
    <row r="19369">
      <c r="A19369" s="1">
        <v>4.0</v>
      </c>
      <c r="B19369" s="1" t="s">
        <v>19182</v>
      </c>
      <c r="C19369" t="str">
        <f>IFERROR(__xludf.DUMMYFUNCTION("GOOGLETRANSLATE(B19369, ""es"", ""en"")"),"Brand pretty good quality and that face is usually, but purchased for 40 € is a very good price. They are not very flashy but are nice, the letter is somewhat reflective, but looks good. Very comfortable and nice for everyday use. Take the usual size, in "&amp;"this same brand U420 itself have to take one size bigger.")</f>
        <v>Brand pretty good quality and that face is usually, but purchased for 40 € is a very good price. They are not very flashy but are nice, the letter is somewhat reflective, but looks good. Very comfortable and nice for everyday use. Take the usual size, in this same brand U420 itself have to take one size bigger.</v>
      </c>
    </row>
    <row r="19370">
      <c r="A19370" s="1">
        <v>4.0</v>
      </c>
      <c r="B19370" s="1" t="s">
        <v>19183</v>
      </c>
      <c r="C19370" t="str">
        <f>IFERROR(__xludf.DUMMYFUNCTION("GOOGLETRANSLATE(B19370, ""es"", ""en"")"),"A total success Sounds good, very easily connects to mobile and is very easy to use. It was a gift for a 11 year old girl ... and has exhausted the battery (not that last bit: it's what has not stopped all day !!")</f>
        <v>A total success Sounds good, very easily connects to mobile and is very easy to use. It was a gift for a 11 year old girl ... and has exhausted the battery (not that last bit: it's what has not stopped all day !!</v>
      </c>
    </row>
    <row r="19371">
      <c r="A19371" s="1">
        <v>4.0</v>
      </c>
      <c r="B19371" s="1" t="s">
        <v>19184</v>
      </c>
      <c r="C19371" t="str">
        <f>IFERROR(__xludf.DUMMYFUNCTION("GOOGLETRANSLATE(B19371, ""es"", ""en"")"),"vastante acceptable are well supported by the nose makes a bit of damage when such a long time")</f>
        <v>vastante acceptable are well supported by the nose makes a bit of damage when such a long time</v>
      </c>
    </row>
    <row r="19372">
      <c r="A19372" s="1">
        <v>5.0</v>
      </c>
      <c r="B19372" s="1" t="s">
        <v>19185</v>
      </c>
      <c r="C19372" t="str">
        <f>IFERROR(__xludf.DUMMYFUNCTION("GOOGLETRANSLATE(B19372, ""es"", ""en"")"),"Memoirs. Yeah, well, they arrived safely and on time. Thank you. A greeting.")</f>
        <v>Memoirs. Yeah, well, they arrived safely and on time. Thank you. A greeting.</v>
      </c>
    </row>
    <row r="19373">
      <c r="A19373" s="1">
        <v>5.0</v>
      </c>
      <c r="B19373" s="1" t="s">
        <v>19186</v>
      </c>
      <c r="C19373" t="str">
        <f>IFERROR(__xludf.DUMMYFUNCTION("GOOGLETRANSLATE(B19373, ""es"", ""en"")"),"there is another fantastic velvet brush just never give you leave any scratch, with liquid brand am making a fantastic duo, essential brush")</f>
        <v>there is another fantastic velvet brush just never give you leave any scratch, with liquid brand am making a fantastic duo, essential brush</v>
      </c>
    </row>
    <row r="19374">
      <c r="A19374" s="1">
        <v>5.0</v>
      </c>
      <c r="B19374" s="1" t="s">
        <v>19187</v>
      </c>
      <c r="C19374" t="str">
        <f>IFERROR(__xludf.DUMMYFUNCTION("GOOGLETRANSLATE(B19374, ""es"", ""en"")"),"For the price of one you get two. It was for a gift and was delighted.")</f>
        <v>For the price of one you get two. It was for a gift and was delighted.</v>
      </c>
    </row>
    <row r="19375">
      <c r="A19375" s="1">
        <v>5.0</v>
      </c>
      <c r="B19375" s="1" t="s">
        <v>19188</v>
      </c>
      <c r="C19375" t="str">
        <f>IFERROR(__xludf.DUMMYFUNCTION("GOOGLETRANSLATE(B19375, ""es"", ""en"")"),"Good stickers use them to glue on wood marquetry and stick very well for once ended sawcut unstick.")</f>
        <v>Good stickers use them to glue on wood marquetry and stick very well for once ended sawcut unstick.</v>
      </c>
    </row>
    <row r="19376">
      <c r="A19376" s="1">
        <v>5.0</v>
      </c>
      <c r="B19376" s="1" t="s">
        <v>19189</v>
      </c>
      <c r="C19376" t="str">
        <f>IFERROR(__xludf.DUMMYFUNCTION("GOOGLETRANSLATE(B19376, ""es"", ""en"")"),"Well a bit tight in the leg, well ok")</f>
        <v>Well a bit tight in the leg, well ok</v>
      </c>
    </row>
    <row r="19377">
      <c r="A19377" s="1">
        <v>5.0</v>
      </c>
      <c r="B19377" s="1" t="s">
        <v>19190</v>
      </c>
      <c r="C19377" t="str">
        <f>IFERROR(__xludf.DUMMYFUNCTION("GOOGLETRANSLATE(B19377, ""es"", ""en"")"),"Good quality for money you have, has not failures (yet, and hopefully not those). I have not measured their transfer speeds but has not given me any problems recording with a Sony 4K a7iii so I personally do it.")</f>
        <v>Good quality for money you have, has not failures (yet, and hopefully not those). I have not measured their transfer speeds but has not given me any problems recording with a Sony 4K a7iii so I personally do it.</v>
      </c>
    </row>
    <row r="19378">
      <c r="A19378" s="1">
        <v>5.0</v>
      </c>
      <c r="B19378" s="1" t="s">
        <v>19191</v>
      </c>
      <c r="C19378" t="str">
        <f>IFERROR(__xludf.DUMMYFUNCTION("GOOGLETRANSLATE(B19378, ""es"", ""en"")"),"PERFECT QUALITY price is what I was looking for something cheap and ground up, takes up little and works very well. You can not ask for more in quality / price ratio")</f>
        <v>PERFECT QUALITY price is what I was looking for something cheap and ground up, takes up little and works very well. You can not ask for more in quality / price ratio</v>
      </c>
    </row>
    <row r="19379">
      <c r="A19379" s="1">
        <v>5.0</v>
      </c>
      <c r="B19379" s="1" t="s">
        <v>19192</v>
      </c>
      <c r="C19379" t="str">
        <f>IFERROR(__xludf.DUMMYFUNCTION("GOOGLETRANSLATE(B19379, ""es"", ""en"")"),"Canon 750D used in a whole range Within SDHC card, this is one of the most valued and with the best price / quality. Read speeds and recorded they are not bad for the price we paid for it and easily meets for use ""amateur"". 100% recommended purchase.")</f>
        <v>Canon 750D used in a whole range Within SDHC card, this is one of the most valued and with the best price / quality. Read speeds and recorded they are not bad for the price we paid for it and easily meets for use "amateur". 100% recommended purchase.</v>
      </c>
    </row>
    <row r="19380">
      <c r="A19380" s="1">
        <v>5.0</v>
      </c>
      <c r="B19380" s="1" t="s">
        <v>19193</v>
      </c>
      <c r="C19380" t="str">
        <f>IFERROR(__xludf.DUMMYFUNCTION("GOOGLETRANSLATE(B19380, ""es"", ""en"")"),"Kit blender / shaver. Genial very good kit. Mixer with adjustable speed according to the pressure exerted on the button. Mincer various sizes with different blades depending on use")</f>
        <v>Kit blender / shaver. Genial very good kit. Mixer with adjustable speed according to the pressure exerted on the button. Mincer various sizes with different blades depending on use</v>
      </c>
    </row>
    <row r="19381">
      <c r="A19381" s="1">
        <v>5.0</v>
      </c>
      <c r="B19381" s="1" t="s">
        <v>19194</v>
      </c>
      <c r="C19381" t="str">
        <f>IFERROR(__xludf.DUMMYFUNCTION("GOOGLETRANSLATE(B19381, ""es"", ""en"")"),"Trinidad'm very happy with the purchase, and others have combrado other colors because they Comodisimos and carvings are no real problems. I also bought this brand and all other clothes very well. Seguire compranado this brand because it has things in my "&amp;"style of dress.")</f>
        <v>Trinidad'm very happy with the purchase, and others have combrado other colors because they Comodisimos and carvings are no real problems. I also bought this brand and all other clothes very well. Seguire compranado this brand because it has things in my style of dress.</v>
      </c>
    </row>
    <row r="19382">
      <c r="A19382" s="1">
        <v>5.0</v>
      </c>
      <c r="B19382" s="1" t="s">
        <v>19195</v>
      </c>
      <c r="C19382" t="str">
        <f>IFERROR(__xludf.DUMMYFUNCTION("GOOGLETRANSLATE(B19382, ""es"", ""en"")"),"Magnifico treatment of the seller Although I have not gotten to try, it's a wonder belt. It seems to be very durable. The pity is that it is not compatible for Xiaomi Mi Band 4 is for the 3. thought that it would buy (what with straps 3 are compatible wit"&amp;"h 4) but did not. The seller was very understanding when returning and informed me that would remove the strap equivalent to 4 during this month. So I will wait to be taken out to buy it.")</f>
        <v>Magnifico treatment of the seller Although I have not gotten to try, it's a wonder belt. It seems to be very durable. The pity is that it is not compatible for Xiaomi Mi Band 4 is for the 3. thought that it would buy (what with straps 3 are compatible with 4) but did not. The seller was very understanding when returning and informed me that would remove the strap equivalent to 4 during this month. So I will wait to be taken out to buy it.</v>
      </c>
    </row>
    <row r="19383">
      <c r="A19383" s="1">
        <v>5.0</v>
      </c>
      <c r="B19383" s="1" t="s">
        <v>19196</v>
      </c>
      <c r="C19383" t="str">
        <f>IFERROR(__xludf.DUMMYFUNCTION("GOOGLETRANSLATE(B19383, ""es"", ""en"")"),"Very seriously good buy shipping and fast as expected. Right size, intermediate for who does not like big, heavy")</f>
        <v>Very seriously good buy shipping and fast as expected. Right size, intermediate for who does not like big, heavy</v>
      </c>
    </row>
    <row r="19384">
      <c r="A19384" s="1">
        <v>5.0</v>
      </c>
      <c r="B19384" s="1" t="s">
        <v>19197</v>
      </c>
      <c r="C19384" t="str">
        <f>IFERROR(__xludf.DUMMYFUNCTION("GOOGLETRANSLATE(B19384, ""es"", ""en"")"),"very good bought 3 years ago and I am delighted, I have not had any problems, it is powerful, for merengue or whipping cream is ideal, rod brings, grinds very well, it is robust and handles well, I recommend it worth to invest little more")</f>
        <v>very good bought 3 years ago and I am delighted, I have not had any problems, it is powerful, for merengue or whipping cream is ideal, rod brings, grinds very well, it is robust and handles well, I recommend it worth to invest little more</v>
      </c>
    </row>
    <row r="19385">
      <c r="A19385" s="1">
        <v>5.0</v>
      </c>
      <c r="B19385" s="1" t="s">
        <v>19198</v>
      </c>
      <c r="C19385" t="str">
        <f>IFERROR(__xludf.DUMMYFUNCTION("GOOGLETRANSLATE(B19385, ""es"", ""en"")"),"Soft and squishy wire connectors is good, with gummy coating, nothing strong and very flexible. The connectors are stereo and quality are large and beautifully finished. Perfect cable to go from the pedal to the amplifier. Already he had other products of"&amp;" this brand and it has not failed me, just what we wanted.")</f>
        <v>Soft and squishy wire connectors is good, with gummy coating, nothing strong and very flexible. The connectors are stereo and quality are large and beautifully finished. Perfect cable to go from the pedal to the amplifier. Already he had other products of this brand and it has not failed me, just what we wanted.</v>
      </c>
    </row>
    <row r="19386">
      <c r="A19386" s="1">
        <v>5.0</v>
      </c>
      <c r="B19386" s="1" t="s">
        <v>19199</v>
      </c>
      <c r="C19386" t="str">
        <f>IFERROR(__xludf.DUMMYFUNCTION("GOOGLETRANSLATE(B19386, ""es"", ""en"")"),"Very nice. They arrived earlier than expected are as seen in the photo. The girl he loved")</f>
        <v>Very nice. They arrived earlier than expected are as seen in the photo. The girl he loved</v>
      </c>
    </row>
    <row r="19387">
      <c r="A19387" s="1">
        <v>5.0</v>
      </c>
      <c r="B19387" s="1" t="s">
        <v>19200</v>
      </c>
      <c r="C19387" t="str">
        <f>IFERROR(__xludf.DUMMYFUNCTION("GOOGLETRANSLATE(B19387, ""es"", ""en"")"),"Massager Shiatsu very relaxing heat effect &lt;div id = ""video-block-R3NGLQXZC5KQVO"" class = ""a-section a-spacing-small a-spacing-top mini video-block""&gt; &lt;div tabindex = ""0"" class = ""airy airy-svg vmin-supported airy-skin-beacon"" style = ""background-"&amp;"color: rgb (0, 0, 0) position: relative; width: 100%; height: 100%; font-size: 0px; overflow: hidden; outline: none; ""&gt; &lt;div class ="" airy-renderer-container ""style ="" position: relative; height: 100%; width: 100%; ""&gt; &lt;video id ="" 15 ""preload ="" a"&amp;"uto ""src ="" https://images-eu.ssl-images-amazon.com/images/I/A1soDxF7R+S.mp4 ""style ="" position: absolute; left: 0px; top: 0px; overflow: hidden; height: 1px; width: 1px; ""&gt; &lt;/ video&gt; &lt;/ div&gt; &lt;div id ="" airy-slate-preload ""style ="" background-colo"&amp;"r: rgb (0, 0, 0); background-image: url (&amp; quot; https: //images-eu.ssl-images-amazon.com/images/I/81jWuIJ+I1S.png&amp;quot;); background-size: Contain; background-position: center center; background-repeat: non repeat; position: absolute; top: 0px; left: 0px"&amp;"; visibility: visible; width: 100%; heigh t: 100%; ""&gt; &lt;/ div&gt; &lt;iframe scrolling ="" no ""frameborder ="" 0 ""src ="" about: blank ""style ="" display: none; ""&gt; &lt;/ iframe&gt; &lt;div tabindex ="" - 1 ""class ="" airy-controls-container ""style ="" opacity: 0; "&amp;"visibility: hidden; ""&gt; &lt;div tabindex ="" - 1 ""class ="" airy-screen-size-toggle airy-fullscreen ""&gt; &lt;/ div&gt; &lt;div tabindex ="" - 1 ""class ="" airy-container-bottom "" &gt; &lt;div tabindex = ""- 1"" class = ""airy-track-bar-spacer-left"" style = ""width: 11px"&amp;";""&gt; &lt;/ div&gt; &lt;div tabindex = ""- 1"" class = ""airy-play- airy toggle-play ""style ="" width: 12px; margin-right: 12px; ""&gt; &lt;/ div&gt; &lt;div tabindex ="" - 1 ""class ="" airy-audio-elements ""style ="" float: right; width: 34px; ""&gt; &lt;div tabindex ="" - 1 ""cl"&amp;"ass ="" airy-audio-toggle airy-on ""&gt; &lt;/ div&gt; &lt;div tabindex ="" - 1 ""class ="" airy-audio-container ""style = ""opacity: 0; visibility: hidden; ""&gt; &lt;div tabindex ="" - 1 ""class ="" airy-audio-track-bar ""style ="" height: 80%; ""&gt; &lt;div tabindex ="" - 1 "&amp;"""class ="" airy-audio- Scrubber-bar ""style ="" height: 85%; ""&gt; &lt;/ div&gt; &lt;div tabindex ="" - 1 ""class ="" airy-audio-scrubber ""style ="" height: 12px; bottom: 85% ""&gt; &lt;/ div&gt; &lt;/ div&gt; &lt;/ div&gt; &lt;/ div&gt; &lt;div tabindex ="" - 1 ""class ="" airy-duration-label"&amp;" ""style ="" float: right; width: 26px; margin-right: 4px; text-align: center; ""&gt; 0:00 &lt;/ div&gt; &lt;div tabindex ="" - 1 ""class ="" airy-track-bar-spacer-right ""style ="" float: right; width: 11px; ""&gt; &lt;/ div&gt; &lt;div tabindex ="" - 1 ""class ="" airy-track-b"&amp;"ar-container ""style ="" margin-left: 35px; margin-right: 75px; ""&gt; &lt;div tabindex ="" - 1 ""class ="" airy-airy-track-bar vertically-centering-table ""&gt; &lt;div tabindex ="" - 1 ""class ="" airy-Vertical-centering- table-cell ""&gt; &lt;div tabindex ="" - 1 ""clas"&amp;"s ="" airy-track-bar-elements ""&gt; &lt;div tabindex ="" - 1 ""class ="" airy-progress-bar ""&gt; &lt;/ div&gt; &lt;div tabindex = ""- 1"" class = ""airy-scrubber-bar""&gt; &lt;/ div&gt; &lt;div tabindex = ""- 1"" class = ""airy-scrubber""&gt; &lt;div tabindex = ""- 1"" class = ""airy-scru"&amp;"bber- icon ""&gt; &lt;/ div&gt; &lt;div tabindex ="" - 1 ""class ="" airy-adjusted-AUI-tooltip ""style ="" opacity: 0; visibility: hidden; ""&gt; &lt;div tabindex ="" - 1 ""class ="" airy-adjusted-aui-tooltip-inner ""&gt; &lt;div tabindex ="" - 1 ""class ="" airy-current-time-la"&amp;"bel ""&gt; 0: 00 &lt;/ div&gt; &lt;/ div&gt; &lt;div tabindex = ""- 1"" class = ""airy-adjusted-AUI-arrow-border""&gt; &lt;div tabindex = ""- 1"" class = ""airy-adjusted-AUI-arrow"" &gt; &lt;/ div&gt; &lt;/ div&gt; &lt;/ div&gt; &lt;/ div&gt; &lt;/ div&gt; &lt;/ div&gt; &lt;/ div&gt; &lt;/ div&gt; &lt;/ div&gt; &lt;/ div&gt; &lt;div tabindex ="&amp;" ""- 1"" class = ""airy-age-gate airy-stage airy-Vertical-centering-table airy-dialog"" style = ""opacity: 0; visibility: hidden; ""&gt; &lt;div tabindex ="" - 1 ""class ="" airy-age-gate-Vertical-centering-table-cell airy-Vertical-centering-table-cell ""&gt; &lt;div"&amp;" tabindex ="" - 1 ""class = ""airy-Vertical-centering-wrapper airy-age-gate-elements-wrapper""&gt; &lt;div tabindex = ""- 1"" class = ""airy-age-gate-elements airy-dialog-elements""&gt; &lt;div tabindex = "" -1 ""class ="" airy-age-gate-prompt ""&gt; This video is not I"&amp;"ntended for all audiences What date were you born &lt;/ div&gt; &lt;div tabindex =.?"" - 1 ""class ="" airy-age-gate -inputs airy-dialog-inner-elements ""&gt; &lt;select tabindex ="" - 1 ""class ="" airy-age-gate-month ""&gt; &lt;option value ="" 1 ""&gt; January &lt;/ option&gt; &lt;opt"&amp;"ion value ="" 2 ""&gt; February &lt;/ option&gt; &lt;option value ="" 3 ""&gt; March &lt;/ option&gt; &lt;option value ="" 4 ""&gt; April &lt;/ option&gt; &lt;option value ="" 5 ""&gt; May &lt;/ option&gt; &lt;option value = ""6""&gt; June &lt;/ option&gt; &lt;option value = ""7""&gt; July &lt;/ option&gt; &lt;option value = "&amp;"""8""&gt; August &lt;/ option&gt; &lt;option value = ""9""&gt; September &lt;/ option&gt; &lt;option value = ""10""&gt; October &lt;/ option&gt; &lt;option value = ""11""&gt; November &lt;/ option&gt; &lt;option value = ""12""&gt; December &lt;/ option&gt; &lt;/ select&gt; &lt;select tabindex = ""- 1"" class = ""airy-ag"&amp;"e-gate-day""&gt; &lt;opti on value = ""1""&gt; 1 &lt;/ option&gt; &lt;option value = ""2""&gt; 2 &lt;/ option&gt; &lt;option value = ""3""&gt; 3 &lt;/ option&gt; &lt;option value = ""4""&gt; 4 &lt;/ option &gt; &lt;option value = ""5""&gt; 5 &lt;/ option&gt; &lt;option value = ""6""&gt; 6 &lt;/ option&gt; &lt;option value = ""7""&gt; "&amp;"7 &lt;/ option&gt; &lt;option value = ""8""&gt; 8 &lt; / option&gt; &lt;option value = ""9""&gt; 9 &lt;/ option&gt; &lt;option value = ""10""&gt; 10 &lt;/ option&gt; &lt;option value = ""11""&gt; 11 &lt;/ option&gt; &lt;option value = ""12""&gt; 12 &lt;/ option&gt; &lt;option value = ""13""&gt; 13 &lt;/ option&gt; &lt;option value = "&amp;"""14""&gt; 14 &lt;/ option&gt; &lt;option value = ""15""&gt; 15 &lt;/ option&gt; &lt;option value = ""16 ""&gt; 16 &lt;/ option&gt; &lt;option value ="" 17 ""&gt; 17 &lt;/ option&gt; &lt;option value ="" 18 ""&gt; 18 &lt;/ option&gt; &lt;option value ="" 19 ""&gt; 19 &lt;/ option&gt; &lt;option value = ""20""&gt; 20 &lt;/ option&gt; &lt;"&amp;"option value = ""21""&gt; 21 &lt;/ option&gt; &lt;option value = ""22""&gt; 22 &lt;/ option&gt; &lt;option value = ""23""&gt; 23 &lt;/ option&gt; &lt;option value = ""24""&gt; 24 &lt;/ option&gt; &lt;option value = ""25""&gt; 25 &lt;/ option&gt; &lt;option value = ""26""&gt; 26 &lt;/ option&gt; &lt;option value = ""27""&gt; 27 &lt;"&amp;"/ option&gt; &lt;option value = ""28""&gt; 28 &lt;/ option&gt; &lt;option value = ""29""&gt; 29 &lt;/ option&gt; &lt;option value = ""30""&gt; 30 &lt;/ option&gt; &lt;option value = ""31""&gt; 31 &lt;/ option&gt; &lt;/ select&gt; &lt;select tabindex = ""- 1"" class = ""airy-age-gate-year""&gt; &lt;option value = ""2019"&amp;"""&gt; 2019 &lt;/ option&gt; &lt; option value = ""2018""&gt; 2018 &lt;/ option&gt; &lt;option value = ""2017""&gt; 2017 &lt;/ option&gt; &lt;option value = ""2016""&gt; ​​2016 &lt;/ option&gt; &lt;option value = ""2015""&gt; 2015 &lt;/ option &gt; &lt;option value = ""2014""&gt; 2014 &lt;/ option&gt; &lt;option value = ""201"&amp;"3""&gt; 2013 &lt;/ option&gt; &lt;option value = ""2012""&gt; 2012 &lt;/ option&gt; &lt;option value = ""2011""&gt; 2011 &lt; / option&gt; &lt;option value = ""2010""&gt; 2010 &lt;/ option&gt; &lt;option value = ""2009""&gt; 2009 &lt;/ option&gt; &lt;option value = ""2008""&gt; 2008 &lt;/ option&gt; &lt;option value = ""2007"&amp;"""&gt; 2007 &lt;/ option&gt; &lt;option value = ""2006""&gt; 2006 &lt;/ option&gt; &lt;option value = ""2005""&gt; 2005 &lt;/ option&gt; &lt;option value = ""2004""&gt; 2004 &lt;/ option&gt; &lt;option value = ""2003 ""&gt; 2003 &lt;/ option&gt; &lt;option value ="" 2002 ""&gt; 2002 &lt;/ option&gt; &lt;option value ="" 2001 "&amp;"""&gt;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""&gt;"&amp;" 1989 &lt;/ option&gt; &lt;option value ="" 1988 ""&gt; 1988 &lt;/ option&gt; &lt;option value ="" 1987 ""&gt; 1987 &lt;/ option&gt; &lt;option value ="" 1986 ""&gt; 1986 &lt;/ option&gt; &lt;value option = ""1985""&gt; 1985 &lt;/ option&gt; &lt;option value = ""1984""&gt; 1984 &lt;/ option&gt; &lt;option value = ""1983""&gt;"&amp;" 1983 &lt;/ option&gt; &lt;option value = ""1982""&gt; 1982 &lt;/ option&gt; &lt; option value = ""1981""&gt; 1981 &lt;/ option&gt; &lt;option value = ""1980""&gt; 1980 &lt;/ option&gt; &lt;option value = ""1979""&gt; 1979 &lt;/ option&gt; &lt;option value = ""1978""&gt; 1978 &lt;/ option &gt; &lt;option value = ""1977""&gt; "&amp;"1977 &lt;/ option&gt; &lt;option value = ""1976""&gt; 1976 &lt;/ option&gt; &lt;option value = ""1975""&gt; 1975 &lt;/ option&gt; &lt;option value = ""1974""&gt; 1974 &lt; / option&gt; &lt;option value = ""1973""&gt; 1973 &lt;/ option&gt; &lt;option value = ""1972""&gt; 1972 &lt;/ option&gt; &lt;option value = ""1971""&gt; 19"&amp;"71 &lt;/ option&gt; &lt;option value = ""1970""&gt; 1970 &lt;/ option&gt; &lt;option value = ""1969""&gt; 1969 &lt;/ option&gt; &lt;option value = ""1968""&gt; 1968 &lt;/ option&gt; &lt;option value = ""1967""&gt; 1967 &lt;/ option&gt; &lt;option value = ""1966 ""&gt; 1966 &lt;/ option&gt; &lt;option value ="" 1965 ""&gt; 196"&amp;"5 &lt;/ option&gt; &lt;option value ="" 1964 ""&gt; 1964 &lt;/ option&gt; &lt;option value ="" 1963 ""&gt; 1963 &lt;/ option&gt; &lt;option value = ""1962""&gt; 1962 &lt;/ option&gt; &lt;option value = ""1961""&gt; 1961 &lt;/ option&gt; &lt;option value = ""1960""&gt; 1960 &lt;/ op tion&gt; &lt;option value = ""1959""&gt; 195"&amp;"9 &lt;/ option&gt; &lt;option value = ""1958""&gt; 1958 &lt;/ option&gt; &lt;option value = ""1957""&gt; 1957 &lt;/ option&gt; &lt;option value = ""1956""&gt; 1956 &lt;/ option&gt; &lt;option value = ""1955""&gt; 1955 &lt;/ option&gt; &lt;option value = ""1954""&gt; 1954 &lt;/ option&gt; &lt;option value = ""1953""&gt; 1953 &lt;"&amp;"/ option&gt; &lt;option value = ""1952"" &gt; 1952 &lt;/ option&gt; &lt;option value = ""1951""&gt; 1951 &lt;/ option&gt; &lt;option value = ""1950""&gt; 1950 &lt;/ option&gt; &lt;option value = ""1949""&gt; 1949 &lt;/ option&gt; &lt;option value = "" 1948 ""&gt; 1948 &lt;/ option&gt; &lt;option value ="" 1947 ""&gt; 1947 "&amp;"&lt;/ option&gt; &lt;option value ="" 1946 ""&gt; 1946 &lt;/ option&gt; &lt;option value ="" 1945 ""&gt; 1945 &lt;/ option&gt; &lt;value option = ""1944""&gt; 1944 &lt;/ option&gt; &lt;option value = ""1943""&gt; 1943 &lt;/ option&gt; &lt;option value = ""1942""&gt; 1942 &lt;/ option&gt; &lt;option value = ""1941""&gt; 1941 &lt;"&amp;"/ option&gt; &lt; option value = ""1940""&gt; 1940 &lt;/ option&gt; &lt;option value = ""1939""&gt; 1939 &lt;/ option&gt; &lt;option value = ""1938""&gt; 1938 &lt;/ option&gt; &lt;option value = ""1937""&gt; 1937 &lt;/ option &gt; &lt;option value = ""1936""&gt; 1936 &lt;/ option&gt; &lt;option value = ""1935""&gt; 1935 &lt;/"&amp;" option&gt; &lt;option value = ""1934""&gt; 1934 &lt;/ option&gt; &lt;option value = ""1933""&gt; 1933 &lt; / option&gt; &lt;option value = ""1932""&gt; 1932 &lt;/ option&gt; &lt;option value = ""1931""&gt; 1931 &lt;/ option&gt; &lt;option v alue = ""1930""&gt; 1930 &lt;/ option&gt; &lt;option value = ""1929""&gt; 1929 &lt;/ "&amp;"option&gt; &lt;option value = ""1928""&gt; 1928 &lt;/ option&gt; &lt;option value = ""1927""&gt; 1927 &lt;/ option&gt; &lt;option value = ""1926""&gt; 1926 &lt;/ option&gt; &lt;option value = ""1925""&gt; 1925 &lt;/ option&gt; &lt;option value = ""1924""&gt; 1924 &lt;/ option&gt; &lt;option value = ""1923""&gt; 1923 &lt;/ opt"&amp;"ion&gt; &lt;option value = ""1922""&gt; 1922 &lt;/ option&gt; &lt;option value = ""1921""&gt; 1921 &lt;/ option&gt; &lt;option value = ""1920""&gt; 1920 &lt;/ option&gt; &lt;option value = ""1919""&gt; 1919 &lt;/ option&gt; &lt;option value = ""1918""&gt; 1918 &lt;/ option&gt; &lt;option value = ""1917""&gt; 1917 &lt;/ option"&amp;"&gt; &lt;option value = ""1916""&gt; 1916 &lt;/ option&gt; &lt;option value = ""1915"" &gt; 1915 &lt;/ option&gt; &lt;option value = ""1914""&gt; 1914 &lt;/ option&gt; &lt;option value = ""1913""&gt; 1913 &lt;/ option&gt; &lt;option value = ""1912""&gt; 1912 &lt;/ option&gt; &lt;option value = "" 1911 ""&gt; 1911 &lt;/ option"&amp;"&gt; &lt;option value ="" 1910 ""&gt; 1910 &lt;/ option&gt; &lt;option value ="" 1909 ""&gt; 1909 &lt;/ option&gt; &lt;option value ="" 1908 ""&gt; 1908 &lt;/ option&gt; &lt;value option = ""1907""&gt; 1907 &lt;/ option&gt; &lt;option value = ""1906""&gt; 1906 &lt;/ option&gt; &lt;option value = ""1905""&gt; 1905 &lt;/ option"&amp;"&gt; &lt;option value = ""1904""&gt; 1904 &lt;/ option&gt; &lt; option value = ""1903""&gt; 1903 &lt;/ option&gt; &lt;option value = ""1902""&gt; 1902 &lt;/ option&gt; &lt;option value = ""1901""&gt; 19 01 &lt;/ option&gt; &lt;option value = ""1900""&gt; 1900 &lt;/ option&gt; &lt;/ select&gt; &lt;div tabindex = ""- 1"" class "&amp;"= ""airy-age-gate-submit airy-submit-button airy airy-submit- disabled ""&gt; Submit &lt;/ div&gt; &lt;/ div&gt; &lt;/ div&gt; &lt;/ div&gt; &lt;/ div&gt; &lt;/ div&gt; &lt;div tabindex ="" - 1 ""class ="" airy-install-flash-dialog airy-stage airy -vertical-centering-table-dialog airy airy-denied"&amp;" ""style ="" opacity: 0; visibility: hidden; ""&gt; &lt;div tabindex ="" - 1 ""class ="" airy-install-flash-Vertical-centering-table-cell airy-Vertical-centering-table-cell ""&gt; &lt;div tabindex ="" - 1 ""class = ""airy-Vertical-centering-wrapper airy-install-flash"&amp;"-elements-wrapper""&gt; &lt;div tabindex = ""- 1"" class = ""airy-install-flash-elements airy-dialog-elements""&gt; &lt;div tabindex = "" -1 ""class ="" airy-install-flash-prompt ""&gt; Adobe Flash Player is required to watch this video &lt;/ div&gt; &lt;div tabindex =."" - 1 """&amp;"class ="" airy-install-flash-button-wrapper airy -dialog-inner-elements ""&gt; &lt;div tabindex ="" - 1 ""class ="" airy-install-flash-button airy-button ""&gt; install Flash Player &lt;/ div&gt; &lt;/ div&gt; &lt;/ div&gt; &lt;/ div&gt; &lt;/ div&gt; &lt;/ div&gt; &lt;div tabindex = ""- 1"" class = """&amp;"airy-video-unsupported-dialog airy-stage airy-Vertical-centering-table airy-dialog airy-denied"" style = ""opacity: 0; visibility: hidden; ""&gt; &lt;div tabindex ="" - 1 ""class ="" airy-video-unsupported-Vertical-centering-table-cell airy-Vertical-centering-t"&amp;"able-cell ""&gt; &lt;div tabindex ="" - 1 ""class = ""airy-Vertical-centering-wrapper airy-video-unsupported-elements-wrapper""&gt; &lt;div tabindex = ""- 1"" class = ""airy-video-unsupported-elements airy-dialog-elements""&gt; &lt;div tabindex = "" -1 ""class ="" airy-vid"&amp;"eo-unsupported-prompt ""&gt; &lt;/ div&gt; &lt;/ div&gt; &lt;/ div&gt; &lt;/ div&gt; &lt;/ div&gt; &lt;div tabindex ="" - 1 ""class ="" airy-loading- spinner-stage airy-stage ""&gt; &lt;div tabindex ="" - 1 ""class ="" airy-loading-spinner-Vertical-centering-table-cell airy-Vertical-centering-tab"&amp;"le-cell ""&gt; &lt;div tabindex ="" - 1 ""class ="" airy-loading-spinner-container airy-scalable-hint-container ""&gt; &lt;div tabindex ="" - 1 ""class ="" airy-loading-spinner-dummy airy-scalable-dummy ""&gt; &lt;/ div&gt; &lt; div tabindex = ""- 1"" class = ""airy-loading-spin"&amp;"ner airy-hint"" style = ""visibility: hidden;""&gt; &lt;/ div&gt; &lt;/ div&gt; &lt;/ div&gt; &lt;/ div&gt; &lt;div tabindex = ""- 1 ""class ="" airy-ads-screen-size-toggle airy-screen-size-toggle-fullscreen airy ""style ="" visibility: hidden; ""&gt; &lt;/ div&gt; &lt;div tabindex = ""-1"" class"&amp;" = ""airy-ad-prompt-container"" style = ""visibility: hidden;""&gt; &lt;div tabindex = ""- 1"" class = ""airy-ad-prompt-Vertical-centering-table-vertically airy centering-table ""&gt; &lt;div tabindex ="" - 1 ""class ="" airy-ad-prompt-Vertical-centering-table-cell a"&amp;"iry-Vertical-centering-table-cell ""&gt; &lt;div tabindex ="" - 1 ""class = ""airy-ad-prompt-label""&gt; &lt;/ div&gt; &lt;/ div&gt; &lt;/ div&gt; &lt;/ div&gt; &lt;div tabindex = ""- 1"" class = ""airy-ads-controls-container"" style = ""visibility: hidden; ""&gt; &lt;div tabindex ="" - 1 ""class"&amp;" ="" airy-ads-audio-toggle airy-audio-toggle airy-on ""style ="" visibility: hidden; ""&gt; &lt;/ div&gt; &lt;div tabindex ="" - 1 ""class ="" airy-time-remaining-label-container ""&gt; &lt;div tabindex ="" - 1 ""class ="" airy-time-remaining-Vertical-centering-table airy-"&amp;"Vertical-centering-table ""&gt; &lt;div tabindex = ""- 1"" class = ""airy-time-remaining-Vertical-centering-table-cell airy-Vertical-centering-table-cell""&gt; &lt;div tabindex = ""- 1"" class = ""airy-Vertical-centering-wrapper airy-time-remaining-label-wrapper ""&gt; "&amp;"&lt;div tabindex ="" - 1 ""class ="" airy-time-remaining-label ""style ="" visibility: hidden; ""&gt; &lt;/ div&gt; &lt;div tabi ndex = ""- 1"" class = ""airy-ad-skip"" style = ""visibility: hidden;""&gt; &lt;/ div&gt; &lt;div tabindex = ""- 1"" class = ""airy-ad-end"" style = ""vi"&amp;"sibility: hidden ""&gt; &lt;/ div&gt; &lt;/ div&gt; &lt;/ div&gt; &lt;/ div&gt; &lt;/ div&gt; &lt;div tabindex ="" - 1 ""class ="" airy-learn-more ""style ="" visibility: hidden; ""&gt; &lt;/ div&gt; &lt;/ div&gt; &lt;div tabindex = ""- 1"" class = ""airy-play-toggle-hint-stage airy-stage airy-cursor""&gt; &lt;div"&amp;" tabindex = ""- 1"" class = ""airy-play -toggle-hint-Vertical-centering-table-cell airy-Vertical-centering-table-cell airy-cursor ""&gt; &lt;div tabindex ="" - 1 ""class ="" airy-play-toggle-hint-container airy-scalable- Hint-container ""&gt; &lt;div tabindex ="" - 1"&amp;" ""class ="" airy-play-toggle-hint-dummy airy-scalable-dummy ""&gt; &lt;/ div&gt; &lt;div tabindex ="" - 1 ""class ="" airy-play -toggle-hint hint airy-airy-play-hint ""style ="" opacity: 1; visibility: visible; ""&gt; &lt;/ div&gt; &lt;/ div&gt; &lt;/ div&gt; &lt;/ div&gt; &lt;div tabindex ="" -"&amp;" 1 ""class ="" airy-replay-hint-stage airy-stage ""style ="" visibility: hidden ; ""&gt; &lt;div tabindex ="" - 1 ""class ="" airy-replay-hint-Vertical-centering-table-cell airy-Vertical-centering-table-cell airy-cursor ""&gt; &lt;div tabindex ="" - 1 ""class = ""air"&amp;"y-replay-hint-container airy-scalable-hint-container""&gt; &lt;div tabindex = ""- 1"" class = ""airy-replay-hint-dummy airy-scalable-dummy""&gt; &lt;/ div&gt; &lt;div tabindex = ""- 1"" class = ""airy-replay-hint airy-hint""&gt; &lt;/ div&gt; &lt;/ div&gt; &lt;/ div&gt; &lt;/ div&gt; &lt;div tabindex ="&amp;" ""- 1"" class = ""airy-autoplay-hint -stage airy-stage ""style ="" visibility: hidden; ""&gt; &lt;div tabindex ="" - 1 ""class ="" airy-autoplay-hint-Vertical-centering-table-cell airy-Vertical-centering-table-cell airy- cursor ""&gt; &lt;div tabindex ="" - 1 ""clas"&amp;"s ="" autoplay airy-airy-hint-container-scalable-hint-container ""&gt; &lt;div tabindex ="" - 1 ""class ="" airy-autoplay-hint-dummy airy- scalable-dummy ""&gt; &lt;/ div&gt; &lt;/ div&gt; &lt;/ div&gt; &lt;/ div&gt; &lt;/ div&gt; &lt;/ div&gt; &lt;input type ="" hidden ""name ="" ""value ="" https: //"&amp;" images-eu .ssl-images-amazon.com / images / I / A1soDxF7R + S.mp4 ""Class ="" video-url ""&gt; &lt;input type ="" hidden ""name ="" ""value ="" https://images-eu.ssl-images-amazon.com/images/I/81jWuIJ+I1S.png ""class = ""video-slate-img-url""&gt; &amp; nbsp; My wife "&amp;"sometimes suffers from cervical pain and apply heat comes in handy in the area. For my part, I was drawn to have a massage device, so agree to acquire this massager. What did we ?, I summarize: 1) FUNCTION MASSAGE HEAT OPTION: it can choose different spee"&amp;"ds and also change the direction of rotation of the massage rollers. It can be adjusted so that massage is more or less intense and valid for any height. Very pleasant and very easy to use. Heat is not very intense, but sufficient, especially when used fo"&amp;"r the recommended time (15 minutes). 2) GREAT STUFF. The massager is built with quality materials, it is very how to put it and adjust it to your needs 3) CONNECT EASY TO POWER. In addition, also optionally it allows a cable to connect it to the car. The "&amp;"cable is long, which allows to use it without problems. 4) AUTOMATIC MASSAGE PROCESS ... The automated program for fifteen minutes. For newbies massage it is easy to use. And if you get tired, of course, you can interrupt or change the intensity of the ma"&amp;"ssage. In conclusion, a good device for family enjoyment. Manual recommends not use it for more than two consecutive sessions (about 30 minutes) so that the device does not suffer and may deteriorate. One possible improvement would have been to have inclu"&amp;"ded a box for storage.")</f>
        <v>Massager Shiatsu very relaxing heat effect &lt;div id = "video-block-R3NGLQXZC5KQVO" class = "a-section a-spacing-small a-spacing-top mini video-block"&gt; &lt;div tabindex = "0" class = "airy airy-svg vmin-supported airy-skin-beacon" style = "background-color: rgb (0, 0, 0) position: relative; width: 100%; height: 100%; font-size: 0px; overflow: hidden; outline: none; "&gt; &lt;div class =" airy-renderer-container "style =" position: relative; height: 100%; width: 100%; "&gt; &lt;video id =" 15 "preload =" auto "src =" https://images-eu.ssl-images-amazon.com/images/I/A1soDxF7R+S.mp4 "style =" position: absolute; left: 0px; top: 0px; overflow: hidden; height: 1px; width: 1px; "&gt; &lt;/ video&gt; &lt;/ div&gt; &lt;div id =" airy-slate-preload "style =" background-color: rgb (0, 0, 0); background-image: url (&amp; quot; https: //images-eu.ssl-images-amazon.com/images/I/81jWuIJ+I1S.png&amp;quot;); background-size: Contain; background-position: center center; background-repeat: non repeat; position: absolute; top: 0px; left: 0px; visibility: visible; width: 100%; heigh t: 100%;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A1soDxF7R + S.mp4 "Class =" video-url "&gt; &lt;input type =" hidden "name =" "value =" https://images-eu.ssl-images-amazon.com/images/I/81jWuIJ+I1S.png "class = "video-slate-img-url"&gt; &amp; nbsp; My wife sometimes suffers from cervical pain and apply heat comes in handy in the area. For my part, I was drawn to have a massage device, so agree to acquire this massager. What did we ?, I summarize: 1) FUNCTION MASSAGE HEAT OPTION: it can choose different speeds and also change the direction of rotation of the massage rollers. It can be adjusted so that massage is more or less intense and valid for any height. Very pleasant and very easy to use. Heat is not very intense, but sufficient, especially when used for the recommended time (15 minutes). 2) GREAT STUFF. The massager is built with quality materials, it is very how to put it and adjust it to your needs 3) CONNECT EASY TO POWER. In addition, also optionally it allows a cable to connect it to the car. The cable is long, which allows to use it without problems. 4) AUTOMATIC MASSAGE PROCESS ... The automated program for fifteen minutes. For newbies massage it is easy to use. And if you get tired, of course, you can interrupt or change the intensity of the massage. In conclusion, a good device for family enjoyment. Manual recommends not use it for more than two consecutive sessions (about 30 minutes) so that the device does not suffer and may deteriorate. One possible improvement would have been to have included a box for storage.</v>
      </c>
    </row>
    <row r="19388">
      <c r="A19388" s="1">
        <v>5.0</v>
      </c>
      <c r="B19388" s="1" t="s">
        <v>19201</v>
      </c>
      <c r="C19388" t="str">
        <f>IFERROR(__xludf.DUMMYFUNCTION("GOOGLETRANSLATE(B19388, ""es"", ""en"")"),"Nice and simple is very easy to use and is very pretty and decorative. Oils too do not like the lavender gives me the sense of smell swatter, the menthol smell very good")</f>
        <v>Nice and simple is very easy to use and is very pretty and decorative. Oils too do not like the lavender gives me the sense of smell swatter, the menthol smell very good</v>
      </c>
    </row>
    <row r="19389">
      <c r="A19389" s="1">
        <v>5.0</v>
      </c>
      <c r="B19389" s="1" t="s">
        <v>19202</v>
      </c>
      <c r="C19389" t="str">
        <f>IFERROR(__xludf.DUMMYFUNCTION("GOOGLETRANSLATE(B19389, ""es"", ""en"")"),"It's perfect perfect is the right size, the sound is great and you can make it longer at the end of pregnancy. No ugly it gets.")</f>
        <v>It's perfect perfect is the right size, the sound is great and you can make it longer at the end of pregnancy. No ugly it gets.</v>
      </c>
    </row>
    <row r="19390">
      <c r="A19390" s="1">
        <v>5.0</v>
      </c>
      <c r="B19390" s="1" t="s">
        <v>19203</v>
      </c>
      <c r="C19390" t="str">
        <f>IFERROR(__xludf.DUMMYFUNCTION("GOOGLETRANSLATE(B19390, ""es"", ""en"")"),"Very pleased Product is great. I bought the version with all accessories, and are very good and resistant materials. The arm does not lose strength and remains in the position you place it. The micro is not the best, but the best for the price it costs. V"&amp;"ery satisfied.")</f>
        <v>Very pleased Product is great. I bought the version with all accessories, and are very good and resistant materials. The arm does not lose strength and remains in the position you place it. The micro is not the best, but the best for the price it costs. Very satisfied.</v>
      </c>
    </row>
    <row r="19391">
      <c r="A19391" s="1">
        <v>2.0</v>
      </c>
      <c r="B19391" s="1" t="s">
        <v>19204</v>
      </c>
      <c r="C19391" t="str">
        <f>IFERROR(__xludf.DUMMYFUNCTION("GOOGLETRANSLATE(B19391, ""es"", ""en"")"),"Spoiled to the first use I bought 2, a failure gave writeprotected to the first use, I tried to format in various ways and has not served. Besides the order it was delayed 1 week (although that was because post). Give it 2 stars because the 2nd still work"&amp;"s, we'll see ... Luckily and as usual, Amazon 10, thus solving the delay as the return of the defective.")</f>
        <v>Spoiled to the first use I bought 2, a failure gave writeprotected to the first use, I tried to format in various ways and has not served. Besides the order it was delayed 1 week (although that was because post). Give it 2 stars because the 2nd still works, we'll see ... Luckily and as usual, Amazon 10, thus solving the delay as the return of the defective.</v>
      </c>
    </row>
    <row r="19392">
      <c r="A19392" s="1">
        <v>3.0</v>
      </c>
      <c r="B19392" s="1" t="s">
        <v>19205</v>
      </c>
      <c r="C19392" t="str">
        <f>IFERROR(__xludf.DUMMYFUNCTION("GOOGLETRANSLATE(B19392, ""es"", ""en"")"),"Lamber not like to tell me you have large numbers and is not if I'll take is to have one reservation but not if you still devolvere")</f>
        <v>Lamber not like to tell me you have large numbers and is not if I'll take is to have one reservation but not if you still devolvere</v>
      </c>
    </row>
    <row r="19393">
      <c r="A19393" s="1">
        <v>3.0</v>
      </c>
      <c r="B19393" s="1" t="s">
        <v>19206</v>
      </c>
      <c r="C19393" t="str">
        <f>IFERROR(__xludf.DUMMYFUNCTION("GOOGLETRANSLATE(B19393, ""es"", ""en"")"),"are fine, just what is expected to emphasize that seems incredible but the strings are loosened, the ATAS and constantly untie, I'll have to put them other")</f>
        <v>are fine, just what is expected to emphasize that seems incredible but the strings are loosened, the ATAS and constantly untie, I'll have to put them other</v>
      </c>
    </row>
    <row r="19394">
      <c r="A19394" s="1">
        <v>1.0</v>
      </c>
      <c r="B19394" s="1" t="s">
        <v>19207</v>
      </c>
      <c r="C19394" t="str">
        <f>IFERROR(__xludf.DUMMYFUNCTION("GOOGLETRANSLATE(B19394, ""es"", ""en"")"),"Low quality I ordered a dive because I had two and had given very good results. First I came not work and the second barely warm. Product quality leaves much to be desired. Disappointed with the purchase.")</f>
        <v>Low quality I ordered a dive because I had two and had given very good results. First I came not work and the second barely warm. Product quality leaves much to be desired. Disappointed with the purchase.</v>
      </c>
    </row>
    <row r="19395">
      <c r="A19395" s="1">
        <v>1.0</v>
      </c>
      <c r="B19395" s="1" t="s">
        <v>19208</v>
      </c>
      <c r="C19395" t="str">
        <f>IFERROR(__xludf.DUMMYFUNCTION("GOOGLETRANSLATE(B19395, ""es"", ""en"")"),"Wrap in poor condition Sneaker very badly took two days with them and are descended from behind and it is a bit cramped for having the very wide foot, I ordered 47 and I is a fair bit, but it sure will yield something. The box arrived very damaged and bro"&amp;"ken and the bag that protects the box was also quite shabby, while UPS is this happening.")</f>
        <v>Wrap in poor condition Sneaker very badly took two days with them and are descended from behind and it is a bit cramped for having the very wide foot, I ordered 47 and I is a fair bit, but it sure will yield something. The box arrived very damaged and broken and the bag that protects the box was also quite shabby, while UPS is this happening.</v>
      </c>
    </row>
    <row r="19396">
      <c r="A19396" s="1">
        <v>1.0</v>
      </c>
      <c r="B19396" s="1" t="s">
        <v>19209</v>
      </c>
      <c r="C19396" t="str">
        <f>IFERROR(__xludf.DUMMYFUNCTION("GOOGLETRANSLATE(B19396, ""es"", ""en"")"),"Brush does not collect crumbs from a tablecloth fabric is a real crap crumb of a tablecloth fabric, in addition to crumple")</f>
        <v>Brush does not collect crumbs from a tablecloth fabric is a real crap crumb of a tablecloth fabric, in addition to crumple</v>
      </c>
    </row>
    <row r="19397">
      <c r="A19397" s="1">
        <v>4.0</v>
      </c>
      <c r="B19397" s="1" t="s">
        <v>19210</v>
      </c>
      <c r="C19397" t="str">
        <f>IFERROR(__xludf.DUMMYFUNCTION("GOOGLETRANSLATE(B19397, ""es"", ""en"")"),"I love beautiful because they look much I had some small. At the beginning but did not close well enough to widen a little hoop and close to perfection.")</f>
        <v>I love beautiful because they look much I had some small. At the beginning but did not close well enough to widen a little hoop and close to perfection.</v>
      </c>
    </row>
    <row r="19398">
      <c r="A19398" s="1">
        <v>4.0</v>
      </c>
      <c r="B19398" s="1" t="s">
        <v>19211</v>
      </c>
      <c r="C19398" t="str">
        <f>IFERROR(__xludf.DUMMYFUNCTION("GOOGLETRANSLATE(B19398, ""es"", ""en"")"),"Product Description: Good buy. Consistent price and quality.")</f>
        <v>Product Description: Good buy. Consistent price and quality.</v>
      </c>
    </row>
    <row r="19399">
      <c r="A19399" s="1">
        <v>4.0</v>
      </c>
      <c r="B19399" s="1" t="s">
        <v>19212</v>
      </c>
      <c r="C19399" t="str">
        <f>IFERROR(__xludf.DUMMYFUNCTION("GOOGLETRANSLATE(B19399, ""es"", ""en"")"),"Recommended The quality is good, even though its price is somewhat high, it is useful and manageable. It may be recommended.")</f>
        <v>Recommended The quality is good, even though its price is somewhat high, it is useful and manageable. It may be recommended.</v>
      </c>
    </row>
    <row r="19400">
      <c r="A19400" s="1">
        <v>4.0</v>
      </c>
      <c r="B19400" s="1" t="s">
        <v>19213</v>
      </c>
      <c r="C19400" t="str">
        <f>IFERROR(__xludf.DUMMYFUNCTION("GOOGLETRANSLATE(B19400, ""es"", ""en"")"),"Good product is the product of a lifetime is good brand and it works well. I bought it because my family has always been this type of blender. I give one star less, because it's a little noisier than I've ever seen.")</f>
        <v>Good product is the product of a lifetime is good brand and it works well. I bought it because my family has always been this type of blender. I give one star less, because it's a little noisier than I've ever seen.</v>
      </c>
    </row>
    <row r="19401">
      <c r="A19401" s="1">
        <v>4.0</v>
      </c>
      <c r="B19401" s="1" t="s">
        <v>19214</v>
      </c>
      <c r="C19401" t="str">
        <f>IFERROR(__xludf.DUMMYFUNCTION("GOOGLETRANSLATE(B19401, ""es"", ""en"")"),"Good quality ratio / price The watch arrived in its cardboard box (simple, but sufficient) accompanied by a cloth and a suitable screwdriver to adjust the cuff. It also comes with a small user manual in English. Adjusting the cuff is readily accomplished "&amp;"with the tool provided, since the pins are screw; until now none has been loosened. My wrist is small (16 cm), but the bracelet fits smoothly. Doll closer, perhaps not so simple. Aesthetically the watch is very similar to a Rolex Submariner. The main diff"&amp;"erences are that the box is a little larger (43 vs. 40 mm) and the hour markers are not luminescent and points, instead of being flat as in Rolex seem calottes). Besides that, of course, it bears the name and logo Design Pagani instead of Rolex. As for th"&amp;"e movement, it is an automatic gauge NH-35A Japanese manufacturing (Seiko). Offers stop the second hand and lift manually (manual winding). It is a model that offers more benefits than usually Seiko watches offer a similar price. For now, he has been carr"&amp;"ying about 30 seconds per day; I could have had more luck, but I consider acceptable. Glass, synthetic sapphire supposedly so far not been scratched. For now, what bothers me is slight clearance presenting the rotating bezel. I believe that the price we o"&amp;"ffer it acquired in flash (77.55 €), the price / quality ratio is pretty good. Surely it is also good buy for the 100 € that is usually costing.")</f>
        <v>Good quality ratio / price The watch arrived in its cardboard box (simple, but sufficient) accompanied by a cloth and a suitable screwdriver to adjust the cuff. It also comes with a small user manual in English. Adjusting the cuff is readily accomplished with the tool provided, since the pins are screw; until now none has been loosened. My wrist is small (16 cm), but the bracelet fits smoothly. Doll closer, perhaps not so simple. Aesthetically the watch is very similar to a Rolex Submariner. The main differences are that the box is a little larger (43 vs. 40 mm) and the hour markers are not luminescent and points, instead of being flat as in Rolex seem calottes). Besides that, of course, it bears the name and logo Design Pagani instead of Rolex. As for the movement, it is an automatic gauge NH-35A Japanese manufacturing (Seiko). Offers stop the second hand and lift manually (manual winding). It is a model that offers more benefits than usually Seiko watches offer a similar price. For now, he has been carrying about 30 seconds per day; I could have had more luck, but I consider acceptable. Glass, synthetic sapphire supposedly so far not been scratched. For now, what bothers me is slight clearance presenting the rotating bezel. I believe that the price we offer it acquired in flash (77.55 €), the price / quality ratio is pretty good. Surely it is also good buy for the 100 € that is usually costing.</v>
      </c>
    </row>
    <row r="19402">
      <c r="A19402" s="1">
        <v>5.0</v>
      </c>
      <c r="B19402" s="1" t="s">
        <v>19215</v>
      </c>
      <c r="C19402" t="str">
        <f>IFERROR(__xludf.DUMMYFUNCTION("GOOGLETRANSLATE(B19402, ""es"", ""en"")"),"There are very they are very cool punks weigh anything but fair")</f>
        <v>There are very they are very cool punks weigh anything but fair</v>
      </c>
    </row>
    <row r="19403">
      <c r="A19403" s="1">
        <v>5.0</v>
      </c>
      <c r="B19403" s="1" t="s">
        <v>19216</v>
      </c>
      <c r="C19403" t="str">
        <f>IFERROR(__xludf.DUMMYFUNCTION("GOOGLETRANSLATE(B19403, ""es"", ""en"")"),"I liked looking good product. I love the smell of new skin you have. finishes are good. Now it is using it and see that durability has. Within a few months reevaluaré resistance of this product.")</f>
        <v>I liked looking good product. I love the smell of new skin you have. finishes are good. Now it is using it and see that durability has. Within a few months reevaluaré resistance of this product.</v>
      </c>
    </row>
    <row r="19404">
      <c r="A19404" s="1">
        <v>5.0</v>
      </c>
      <c r="B19404" s="1" t="s">
        <v>19217</v>
      </c>
      <c r="C19404" t="str">
        <f>IFERROR(__xludf.DUMMYFUNCTION("GOOGLETRANSLATE(B19404, ""es"", ""en"")"),"Good buy The truth is very happy, me and do once a week, you soft face and the pot is giving you for is enough if you do not put much thickness")</f>
        <v>Good buy The truth is very happy, me and do once a week, you soft face and the pot is giving you for is enough if you do not put much thickness</v>
      </c>
    </row>
    <row r="19405">
      <c r="A19405" s="1">
        <v>5.0</v>
      </c>
      <c r="B19405" s="1" t="s">
        <v>19218</v>
      </c>
      <c r="C19405" t="str">
        <f>IFERROR(__xludf.DUMMYFUNCTION("GOOGLETRANSLATE(B19405, ""es"", ""en"")"),"Good is a good design. I expected in terms of functionality")</f>
        <v>Good is a good design. I expected in terms of functionality</v>
      </c>
    </row>
    <row r="19406">
      <c r="A19406" s="1">
        <v>5.0</v>
      </c>
      <c r="B19406" s="1" t="s">
        <v>19219</v>
      </c>
      <c r="C19406" t="str">
        <f>IFERROR(__xludf.DUMMYFUNCTION("GOOGLETRANSLATE(B19406, ""es"", ""en"")"),"I arrived in perfect condition I liked")</f>
        <v>I arrived in perfect condition I liked</v>
      </c>
    </row>
    <row r="19407">
      <c r="A19407" s="1">
        <v>5.0</v>
      </c>
      <c r="B19407" s="1" t="s">
        <v>19220</v>
      </c>
      <c r="C19407" t="str">
        <f>IFERROR(__xludf.DUMMYFUNCTION("GOOGLETRANSLATE(B19407, ""es"", ""en"")"),"Good watch good watch money the most negative is that you have to go by regulating the altimeter")</f>
        <v>Good watch good watch money the most negative is that you have to go by regulating the altimeter</v>
      </c>
    </row>
    <row r="19408">
      <c r="A19408" s="1">
        <v>5.0</v>
      </c>
      <c r="B19408" s="1" t="s">
        <v>19221</v>
      </c>
      <c r="C19408" t="str">
        <f>IFERROR(__xludf.DUMMYFUNCTION("GOOGLETRANSLATE(B19408, ""es"", ""en"")"),"Casio 100% I bought it for a gift and it was expected. a nice watch looks and the price is fair purchase")</f>
        <v>Casio 100% I bought it for a gift and it was expected. a nice watch looks and the price is fair purchase</v>
      </c>
    </row>
    <row r="19409">
      <c r="A19409" s="1">
        <v>5.0</v>
      </c>
      <c r="B19409" s="1" t="s">
        <v>19222</v>
      </c>
      <c r="C19409" t="str">
        <f>IFERROR(__xludf.DUMMYFUNCTION("GOOGLETRANSLATE(B19409, ""es"", ""en"")"),"Good aroma I've used for natural deodorant and the smell after a few hours just stays slightly but is strong enough to cover the undesirable smell of beeswax. It has not seemed excellent and smell great stay but quite nice, and for the price, I must say g"&amp;"ood product.")</f>
        <v>Good aroma I've used for natural deodorant and the smell after a few hours just stays slightly but is strong enough to cover the undesirable smell of beeswax. It has not seemed excellent and smell great stay but quite nice, and for the price, I must say good product.</v>
      </c>
    </row>
    <row r="19410">
      <c r="A19410" s="1">
        <v>5.0</v>
      </c>
      <c r="B19410" s="1" t="s">
        <v>19223</v>
      </c>
      <c r="C19410" t="str">
        <f>IFERROR(__xludf.DUMMYFUNCTION("GOOGLETRANSLATE(B19410, ""es"", ""en"")"),"Very comfortable leather bag !!!! genuine leather. Meets expectations perfectly. Ideal for city !!!!")</f>
        <v>Very comfortable leather bag !!!! genuine leather. Meets expectations perfectly. Ideal for city !!!!</v>
      </c>
    </row>
    <row r="19411">
      <c r="A19411" s="1">
        <v>5.0</v>
      </c>
      <c r="B19411" s="1" t="s">
        <v>19224</v>
      </c>
      <c r="C19411" t="str">
        <f>IFERROR(__xludf.DUMMYFUNCTION("GOOGLETRANSLATE(B19411, ""es"", ""en"")"),"Almost two years can not be happier. I do not put any hits 100% Recommended")</f>
        <v>Almost two years can not be happier. I do not put any hits 100% Recommended</v>
      </c>
    </row>
    <row r="19412">
      <c r="A19412" s="1">
        <v>5.0</v>
      </c>
      <c r="B19412" s="1" t="s">
        <v>19225</v>
      </c>
      <c r="C19412" t="str">
        <f>IFERROR(__xludf.DUMMYFUNCTION("GOOGLETRANSLATE(B19412, ""es"", ""en"")"),"Fantastic good buy. Has fulfilled. My expectations above what I expected. He had tried several blankets but no heating what he said neither party intended to cover. This way you have several options you can select the parts to cover and you can regulate t"&amp;"he temperature.")</f>
        <v>Fantastic good buy. Has fulfilled. My expectations above what I expected. He had tried several blankets but no heating what he said neither party intended to cover. This way you have several options you can select the parts to cover and you can regulate the temperature.</v>
      </c>
    </row>
    <row r="19413">
      <c r="A19413" s="1">
        <v>5.0</v>
      </c>
      <c r="B19413" s="1" t="s">
        <v>19226</v>
      </c>
      <c r="C19413" t="str">
        <f>IFERROR(__xludf.DUMMYFUNCTION("GOOGLETRANSLATE(B19413, ""es"", ""en"")"),"USB Owl I loved !!! It is super convenient and very beautiful !!!")</f>
        <v>USB Owl I loved !!! It is super convenient and very beautiful !!!</v>
      </c>
    </row>
    <row r="19414">
      <c r="A19414" s="1">
        <v>5.0</v>
      </c>
      <c r="B19414" s="1" t="s">
        <v>19227</v>
      </c>
      <c r="C19414" t="str">
        <f>IFERROR(__xludf.DUMMYFUNCTION("GOOGLETRANSLATE(B19414, ""es"", ""en"")"),"Hello everyone recommended used a perfect 36 and to being open must put Pinkis or transparent stockings are very comfortable to me why neither foot is fine")</f>
        <v>Hello everyone recommended used a perfect 36 and to being open must put Pinkis or transparent stockings are very comfortable to me why neither foot is fine</v>
      </c>
    </row>
    <row r="19415">
      <c r="A19415" s="1">
        <v>5.0</v>
      </c>
      <c r="B19415" s="1" t="s">
        <v>19228</v>
      </c>
      <c r="C19415" t="str">
        <f>IFERROR(__xludf.DUMMYFUNCTION("GOOGLETRANSLATE(B19415, ""es"", ""en"")"),"Perfect works very well and remove dead hairs, October 1, happy with the product and buy another later ☺")</f>
        <v>Perfect works very well and remove dead hairs, October 1, happy with the product and buy another later ☺</v>
      </c>
    </row>
    <row r="19416">
      <c r="A19416" s="1">
        <v>5.0</v>
      </c>
      <c r="B19416" s="1" t="s">
        <v>19229</v>
      </c>
      <c r="C19416" t="str">
        <f>IFERROR(__xludf.DUMMYFUNCTION("GOOGLETRANSLATE(B19416, ""es"", ""en"")"),"Size is ideal and makes its ideal size function does not bother nor interferes and looks good.")</f>
        <v>Size is ideal and makes its ideal size function does not bother nor interferes and looks good.</v>
      </c>
    </row>
    <row r="19417">
      <c r="A19417" s="1">
        <v>5.0</v>
      </c>
      <c r="B19417" s="1" t="s">
        <v>3029</v>
      </c>
      <c r="C19417" t="str">
        <f>IFERROR(__xludf.DUMMYFUNCTION("GOOGLETRANSLATE(B19417, ""es"", ""en"")"),"Great, cool")</f>
        <v>Great, cool</v>
      </c>
    </row>
    <row r="19418">
      <c r="A19418" s="1">
        <v>5.0</v>
      </c>
      <c r="B19418" s="1" t="s">
        <v>19230</v>
      </c>
      <c r="C19418" t="str">
        <f>IFERROR(__xludf.DUMMYFUNCTION("GOOGLETRANSLATE(B19418, ""es"", ""en"")"),"Excellent quality sweatshirt I gusrado")</f>
        <v>Excellent quality sweatshirt I gusrado</v>
      </c>
    </row>
    <row r="19419">
      <c r="A19419" s="1">
        <v>5.0</v>
      </c>
      <c r="B19419" s="1" t="s">
        <v>19231</v>
      </c>
      <c r="C19419" t="str">
        <f>IFERROR(__xludf.DUMMYFUNCTION("GOOGLETRANSLATE(B19419, ""es"", ""en"")"),"Great shoes to work My father is dedicated to the hospitality and therefore spends long periods of time standing and walking. These shoes are ideal for this or similar jobs. Very comfortable and aesthetic. In fact, I've bought two pairs.")</f>
        <v>Great shoes to work My father is dedicated to the hospitality and therefore spends long periods of time standing and walking. These shoes are ideal for this or similar jobs. Very comfortable and aesthetic. In fact, I've bought two pairs.</v>
      </c>
    </row>
    <row r="19420">
      <c r="A19420" s="1">
        <v>5.0</v>
      </c>
      <c r="B19420" s="1" t="s">
        <v>19232</v>
      </c>
      <c r="C19420" t="str">
        <f>IFERROR(__xludf.DUMMYFUNCTION("GOOGLETRANSLATE(B19420, ""es"", ""en"")"),"While taking advantage bought an offer and do not regret anything, I would definitely buy")</f>
        <v>While taking advantage bought an offer and do not regret anything, I would definitely buy</v>
      </c>
    </row>
    <row r="19421">
      <c r="A19421" s="1">
        <v>2.0</v>
      </c>
      <c r="B19421" s="1" t="s">
        <v>19233</v>
      </c>
      <c r="C19421" t="str">
        <f>IFERROR(__xludf.DUMMYFUNCTION("GOOGLETRANSLATE(B19421, ""es"", ""en"")"),"Not useful I noticed that the tank stays cleaner after performing cleaning with this vinegar. And in fact quite difficult to remove the smell.")</f>
        <v>Not useful I noticed that the tank stays cleaner after performing cleaning with this vinegar. And in fact quite difficult to remove the smell.</v>
      </c>
    </row>
    <row r="19422">
      <c r="A19422" s="1">
        <v>3.0</v>
      </c>
      <c r="B19422" s="1" t="s">
        <v>19234</v>
      </c>
      <c r="C19422" t="str">
        <f>IFERROR(__xludf.DUMMYFUNCTION("GOOGLETRANSLATE(B19422, ""es"", ""en"")"),"Good design, low power a) The base of the mixer has a superb quality finish and assembly of the engine. Stainless steel feels good, has great quality. The absurdity is the low power and has 2 speeds. While the blades are made of steel, they are very thin "&amp;"and are widely separated. In practice it serves more to shred or chop fruits and vegetables, even shredding nuts. The best is its thinness and easy to remove and wash the blades. b) The crystal glass top is amazing for quality and size. Pity binding base "&amp;"plastic thread. The union is firm but still a bit ""sloppy"". However it will be difficult to break because the speed is not high. c) accessory bottle stoppered plastic ..... it is appreciated but inncesario. Better to have improved binding of the supeior"&amp;" glass, making the most grus blades and give it greater power reaching 600 w. In practice you have to be patient. Do your work is done but needs longer necessary. The batter is very slow, produces a lot of foam and grumo. To clear the lump or leave pieces"&amp;" of fruit must insist on ""high"" speed at the cost of greater foam. To help the blender is best to mix with milk and / or water. Needless to say, can not beat frozen strawberries to make a smoothie, creates an insufferable foam and too many pieces appear"&amp;" without beating. It is a product that is only interested in aesthetics and if you are undemanding because it is inefficient. Shakes out right with patience, if you use water or milk to help")</f>
        <v>Good design, low power a) The base of the mixer has a superb quality finish and assembly of the engine. Stainless steel feels good, has great quality. The absurdity is the low power and has 2 speeds. While the blades are made of steel, they are very thin and are widely separated. In practice it serves more to shred or chop fruits and vegetables, even shredding nuts. The best is its thinness and easy to remove and wash the blades. b) The crystal glass top is amazing for quality and size. Pity binding base plastic thread. The union is firm but still a bit "sloppy". However it will be difficult to break because the speed is not high. c) accessory bottle stoppered plastic ..... it is appreciated but inncesario. Better to have improved binding of the supeior glass, making the most grus blades and give it greater power reaching 600 w. In practice you have to be patient. Do your work is done but needs longer necessary. The batter is very slow, produces a lot of foam and grumo. To clear the lump or leave pieces of fruit must insist on "high" speed at the cost of greater foam. To help the blender is best to mix with milk and / or water. Needless to say, can not beat frozen strawberries to make a smoothie, creates an insufferable foam and too many pieces appear without beating. It is a product that is only interested in aesthetics and if you are undemanding because it is inefficient. Shakes out right with patience, if you use water or milk to help</v>
      </c>
    </row>
    <row r="19423">
      <c r="A19423" s="1">
        <v>3.0</v>
      </c>
      <c r="B19423" s="1" t="s">
        <v>19235</v>
      </c>
      <c r="C19423" t="str">
        <f>IFERROR(__xludf.DUMMYFUNCTION("GOOGLETRANSLATE(B19423, ""es"", ""en"")"),"Disappointing lu, blue lights around the room, doing something complicated to appreciate-law increases / decreases the intensity of light, the whole room was fully illuminated.")</f>
        <v>Disappointing lu, blue lights around the room, doing something complicated to appreciate-law increases / decreases the intensity of light, the whole room was fully illuminated.</v>
      </c>
    </row>
    <row r="19424">
      <c r="A19424" s="1">
        <v>1.0</v>
      </c>
      <c r="B19424" s="1" t="s">
        <v>19236</v>
      </c>
      <c r="C19424" t="str">
        <f>IFERROR(__xludf.DUMMYFUNCTION("GOOGLETRANSLATE(B19424, ""es"", ""en"")"),"the description has been great. Table Size does not fit with the article.")</f>
        <v>the description has been great. Table Size does not fit with the article.</v>
      </c>
    </row>
    <row r="19425">
      <c r="A19425" s="1">
        <v>1.0</v>
      </c>
      <c r="B19425" s="1" t="s">
        <v>19237</v>
      </c>
      <c r="C19425" t="str">
        <f>IFERROR(__xludf.DUMMYFUNCTION("GOOGLETRANSLATE(B19425, ""es"", ""en"")"),"Poor quality! A little time has been taken off the sole of the fabric")</f>
        <v>Poor quality! A little time has been taken off the sole of the fabric</v>
      </c>
    </row>
    <row r="19426">
      <c r="A19426" s="1">
        <v>4.0</v>
      </c>
      <c r="B19426" s="1" t="s">
        <v>19238</v>
      </c>
      <c r="C19426" t="str">
        <f>IFERROR(__xludf.DUMMYFUNCTION("GOOGLETRANSLATE(B19426, ""es"", ""en"")"),"Large blackboard at a good price. Is a large board at a great price, it must be purchased separately labelers but it's something no problem, is easy to clean and after a couple of months is like the first day.")</f>
        <v>Large blackboard at a good price. Is a large board at a great price, it must be purchased separately labelers but it's something no problem, is easy to clean and after a couple of months is like the first day.</v>
      </c>
    </row>
    <row r="19427">
      <c r="A19427" s="1">
        <v>4.0</v>
      </c>
      <c r="B19427" s="1" t="s">
        <v>19239</v>
      </c>
      <c r="C19427" t="str">
        <f>IFERROR(__xludf.DUMMYFUNCTION("GOOGLETRANSLATE(B19427, ""es"", ""en"")"),"Comfortable but unsuitable for warm weather sandals are very comfortable, especially because they are wide at the front and very flexible in general part. The only downside is that being plastic foot sweat much heat so it probably would not buy this as cl"&amp;"osed model.")</f>
        <v>Comfortable but unsuitable for warm weather sandals are very comfortable, especially because they are wide at the front and very flexible in general part. The only downside is that being plastic foot sweat much heat so it probably would not buy this as closed model.</v>
      </c>
    </row>
    <row r="19428">
      <c r="A19428" s="1">
        <v>4.0</v>
      </c>
      <c r="B19428" s="1" t="s">
        <v>19240</v>
      </c>
      <c r="C19428" t="str">
        <f>IFERROR(__xludf.DUMMYFUNCTION("GOOGLETRANSLATE(B19428, ""es"", ""en"")"),"I not just convinced me I have other shoes this brand and best fit my foot, being of the same size. It will question whether they give.")</f>
        <v>I not just convinced me I have other shoes this brand and best fit my foot, being of the same size. It will question whether they give.</v>
      </c>
    </row>
    <row r="19429">
      <c r="A19429" s="1">
        <v>4.0</v>
      </c>
      <c r="B19429" s="1" t="s">
        <v>19241</v>
      </c>
      <c r="C19429" t="str">
        <f>IFERROR(__xludf.DUMMYFUNCTION("GOOGLETRANSLATE(B19429, ""es"", ""en"")"),"Works very well at unbeatable prices very good purifying action")</f>
        <v>Works very well at unbeatable prices very good purifying action</v>
      </c>
    </row>
    <row r="19430">
      <c r="A19430" s="1">
        <v>5.0</v>
      </c>
      <c r="B19430" s="1" t="s">
        <v>19242</v>
      </c>
      <c r="C19430" t="str">
        <f>IFERROR(__xludf.DUMMYFUNCTION("GOOGLETRANSLATE(B19430, ""es"", ""en"")"),"BT best price / quality I was looking for a headset BT to be comfortably on the sofa while listening to my music from Spotify or when traveling by plane. A lowering of the current price of 79 € I had doubts and I threw them after reading several reviews. "&amp;"They are lightweight and pillows are very comfortable. If we add to this that are folding because we have a very versatile helmets. A being BT4.0 and aptX codec have high quality music and not detract anything to my other helmets with cable. Headphones ar"&amp;"e closed so no annoying or bother. BT pairing to the iPad and the iPhone was instant so no problem. If you are hesitating with a headset BT by lower prices at € 100 I think this is the best option dreamed. Do not forget that Sennheiser threw 150 € last ye"&amp;"ar.")</f>
        <v>BT best price / quality I was looking for a headset BT to be comfortably on the sofa while listening to my music from Spotify or when traveling by plane. A lowering of the current price of 79 € I had doubts and I threw them after reading several reviews. They are lightweight and pillows are very comfortable. If we add to this that are folding because we have a very versatile helmets. A being BT4.0 and aptX codec have high quality music and not detract anything to my other helmets with cable. Headphones are closed so no annoying or bother. BT pairing to the iPad and the iPhone was instant so no problem. If you are hesitating with a headset BT by lower prices at € 100 I think this is the best option dreamed. Do not forget that Sennheiser threw 150 € last year.</v>
      </c>
    </row>
    <row r="19431">
      <c r="A19431" s="1">
        <v>5.0</v>
      </c>
      <c r="B19431" s="1" t="s">
        <v>19243</v>
      </c>
      <c r="C19431" t="str">
        <f>IFERROR(__xludf.DUMMYFUNCTION("GOOGLETRANSLATE(B19431, ""es"", ""en"")"),"We love and great to be sterilized in the microwave so fast perfect!")</f>
        <v>We love and great to be sterilized in the microwave so fast perfect!</v>
      </c>
    </row>
    <row r="19432">
      <c r="A19432" s="1">
        <v>5.0</v>
      </c>
      <c r="B19432" s="1" t="s">
        <v>19244</v>
      </c>
      <c r="C19432" t="str">
        <f>IFERROR(__xludf.DUMMYFUNCTION("GOOGLETRANSLATE(B19432, ""es"", ""en"")"),"Buenos helmets with long cable have a very long cord, which is what I wanted. Jack connection, simpler impossible.")</f>
        <v>Buenos helmets with long cable have a very long cord, which is what I wanted. Jack connection, simpler impossible.</v>
      </c>
    </row>
    <row r="19433">
      <c r="A19433" s="1">
        <v>5.0</v>
      </c>
      <c r="B19433" s="1" t="s">
        <v>19245</v>
      </c>
      <c r="C19433" t="str">
        <f>IFERROR(__xludf.DUMMYFUNCTION("GOOGLETRANSLATE(B19433, ""es"", ""en"")"),"Excellent Excellent good as it gets, very cute, super comfortable, recommended 100%")</f>
        <v>Excellent Excellent good as it gets, very cute, super comfortable, recommended 100%</v>
      </c>
    </row>
    <row r="19434">
      <c r="A19434" s="1">
        <v>5.0</v>
      </c>
      <c r="B19434" s="1" t="s">
        <v>19246</v>
      </c>
      <c r="C19434" t="str">
        <f>IFERROR(__xludf.DUMMYFUNCTION("GOOGLETRANSLATE(B19434, ""es"", ""en"")"),"It is beautiful and perfect luxury. We use both as teas saving time to cook or boil water to clean some things. It is very fast, has a lot of capacity range with what you worth to make a tea or boil water for rice or a paste and save some minutillos in th"&amp;"e kitchen when you're having an affair. We use a lot, therefore, that not remove the counter.")</f>
        <v>It is beautiful and perfect luxury. We use both as teas saving time to cook or boil water to clean some things. It is very fast, has a lot of capacity range with what you worth to make a tea or boil water for rice or a paste and save some minutillos in the kitchen when you're having an affair. We use a lot, therefore, that not remove the counter.</v>
      </c>
    </row>
    <row r="19435">
      <c r="A19435" s="1">
        <v>5.0</v>
      </c>
      <c r="B19435" s="1" t="s">
        <v>19247</v>
      </c>
      <c r="C19435" t="str">
        <f>IFERROR(__xludf.DUMMYFUNCTION("GOOGLETRANSLATE(B19435, ""es"", ""en"")"),"Comodos Pedi 43-46, chock 43, and I look perfect, and are comfortable ... perfect sending ....")</f>
        <v>Comodos Pedi 43-46, chock 43, and I look perfect, and are comfortable ... perfect sending ....</v>
      </c>
    </row>
    <row r="19436">
      <c r="A19436" s="1">
        <v>5.0</v>
      </c>
      <c r="B19436" s="1" t="s">
        <v>19248</v>
      </c>
      <c r="C19436" t="str">
        <f>IFERROR(__xludf.DUMMYFUNCTION("GOOGLETRANSLATE(B19436, ""es"", ""en"")"),"SOUND, is small. It takes everywhere and the sound is spectacular.")</f>
        <v>SOUND, is small. It takes everywhere and the sound is spectacular.</v>
      </c>
    </row>
    <row r="19437">
      <c r="A19437" s="1">
        <v>5.0</v>
      </c>
      <c r="B19437" s="1" t="s">
        <v>19249</v>
      </c>
      <c r="C19437" t="str">
        <f>IFERROR(__xludf.DUMMYFUNCTION("GOOGLETRANSLATE(B19437, ""es"", ""en"")"),"That the chain does not turn black. It's very nice and I liked it when I hope the chain does not turn black.")</f>
        <v>That the chain does not turn black. It's very nice and I liked it when I hope the chain does not turn black.</v>
      </c>
    </row>
    <row r="19438">
      <c r="A19438" s="1">
        <v>5.0</v>
      </c>
      <c r="B19438" s="1" t="s">
        <v>19250</v>
      </c>
      <c r="C19438" t="str">
        <f>IFERROR(__xludf.DUMMYFUNCTION("GOOGLETRANSLATE(B19438, ""es"", ""en"")"),"The best bottles are the best I've used Bibes. My baby took it very well, better than nuk or suavinex. Gote not beat anything unlike the others who are a disaster. They are the best I've tasted I recommend 100%")</f>
        <v>The best bottles are the best I've used Bibes. My baby took it very well, better than nuk or suavinex. Gote not beat anything unlike the others who are a disaster. They are the best I've tasted I recommend 100%</v>
      </c>
    </row>
    <row r="19439">
      <c r="A19439" s="1">
        <v>5.0</v>
      </c>
      <c r="B19439" s="1" t="s">
        <v>19251</v>
      </c>
      <c r="C19439" t="str">
        <f>IFERROR(__xludf.DUMMYFUNCTION("GOOGLETRANSLATE(B19439, ""es"", ""en"")"),"They are very comfortable very comfortable and beautiful shoes without laces. I just do not like is that I remain the sole small stones embedded soil")</f>
        <v>They are very comfortable very comfortable and beautiful shoes without laces. I just do not like is that I remain the sole small stones embedded soil</v>
      </c>
    </row>
    <row r="19440">
      <c r="A19440" s="1">
        <v>5.0</v>
      </c>
      <c r="B19440" s="1" t="s">
        <v>19252</v>
      </c>
      <c r="C19440" t="str">
        <f>IFERROR(__xludf.DUMMYFUNCTION("GOOGLETRANSLATE(B19440, ""es"", ""en"")"),"The battery life is good. The watch has a good size and because of the different ways you can choose whether to use as a smart watch or as a rastredor of fitness.Es very easy to use, easy to adjust and connection to the smart phone was very easy. Has grea"&amp;"t battery life, keep the clock in use for 7 days and still has 45% battery.")</f>
        <v>The battery life is good. The watch has a good size and because of the different ways you can choose whether to use as a smart watch or as a rastredor of fitness.Es very easy to use, easy to adjust and connection to the smart phone was very easy. Has great battery life, keep the clock in use for 7 days and still has 45% battery.</v>
      </c>
    </row>
    <row r="19441">
      <c r="A19441" s="1">
        <v>5.0</v>
      </c>
      <c r="B19441" s="1" t="s">
        <v>19253</v>
      </c>
      <c r="C19441" t="str">
        <f>IFERROR(__xludf.DUMMYFUNCTION("GOOGLETRANSLATE(B19441, ""es"", ""en"")"),"It is good and fast. A brand already known to me, but a new model. And so I have used so far it works very well and is small and handy. Value very good for if you have to deliver it is not too expensive. I also took less capacity for it.")</f>
        <v>It is good and fast. A brand already known to me, but a new model. And so I have used so far it works very well and is small and handy. Value very good for if you have to deliver it is not too expensive. I also took less capacity for it.</v>
      </c>
    </row>
    <row r="19442">
      <c r="A19442" s="1">
        <v>5.0</v>
      </c>
      <c r="B19442" s="1" t="s">
        <v>19254</v>
      </c>
      <c r="C19442" t="str">
        <f>IFERROR(__xludf.DUMMYFUNCTION("GOOGLETRANSLATE(B19442, ""es"", ""en"")"),"casio watch the clock fits what he wanted, warm exceptional price")</f>
        <v>casio watch the clock fits what he wanted, warm exceptional price</v>
      </c>
    </row>
    <row r="19443">
      <c r="A19443" s="1">
        <v>5.0</v>
      </c>
      <c r="B19443" s="1" t="s">
        <v>19255</v>
      </c>
      <c r="C19443" t="str">
        <f>IFERROR(__xludf.DUMMYFUNCTION("GOOGLETRANSLATE(B19443, ""es"", ""en"")"),"Very nice use to play paddle and truth are the best adjustable and very comfortable")</f>
        <v>Very nice use to play paddle and truth are the best adjustable and very comfortable</v>
      </c>
    </row>
    <row r="19444">
      <c r="A19444" s="1">
        <v>5.0</v>
      </c>
      <c r="B19444" s="1" t="s">
        <v>19256</v>
      </c>
      <c r="C19444" t="str">
        <f>IFERROR(__xludf.DUMMYFUNCTION("GOOGLETRANSLATE(B19444, ""es"", ""en"")"),"Great!! It goes very well at the moment. I have since 8 March and the truth is that it relaxes the muscles of the back lot. I recommend it!")</f>
        <v>Great!! It goes very well at the moment. I have since 8 March and the truth is that it relaxes the muscles of the back lot. I recommend it!</v>
      </c>
    </row>
    <row r="19445">
      <c r="A19445" s="1">
        <v>5.0</v>
      </c>
      <c r="B19445" s="1" t="s">
        <v>19257</v>
      </c>
      <c r="C19445" t="str">
        <f>IFERROR(__xludf.DUMMYFUNCTION("GOOGLETRANSLATE(B19445, ""es"", ""en"")"),"I bought them multiple uses to sleep on flights by its noise cancellation feature. It works great but also are so comfortable and lightweight also I take them to listen to music or running on the subway and even to watch television thanks to the bluetooth")</f>
        <v>I bought them multiple uses to sleep on flights by its noise cancellation feature. It works great but also are so comfortable and lightweight also I take them to listen to music or running on the subway and even to watch television thanks to the bluetooth</v>
      </c>
    </row>
    <row r="19446">
      <c r="A19446" s="1">
        <v>5.0</v>
      </c>
      <c r="B19446" s="1" t="s">
        <v>19258</v>
      </c>
      <c r="C19446" t="str">
        <f>IFERROR(__xludf.DUMMYFUNCTION("GOOGLETRANSLATE(B19446, ""es"", ""en"")"),"Large kettle Very pleased with the acquisition of this kettle. Heated water very quickly, with a minimum of half a liter and a maximum of 1.7L me is perfect. Besides that once the water is boiling stands alone. I recommend it to you.")</f>
        <v>Large kettle Very pleased with the acquisition of this kettle. Heated water very quickly, with a minimum of half a liter and a maximum of 1.7L me is perfect. Besides that once the water is boiling stands alone. I recommend it to you.</v>
      </c>
    </row>
    <row r="19447">
      <c r="A19447" s="1">
        <v>5.0</v>
      </c>
      <c r="B19447" s="1" t="s">
        <v>19259</v>
      </c>
      <c r="C19447" t="str">
        <f>IFERROR(__xludf.DUMMYFUNCTION("GOOGLETRANSLATE(B19447, ""es"", ""en"")"),"Good Pencil large capacity and a good price.")</f>
        <v>Good Pencil large capacity and a good price.</v>
      </c>
    </row>
    <row r="19448">
      <c r="A19448" s="1">
        <v>2.0</v>
      </c>
      <c r="B19448" s="1" t="s">
        <v>19260</v>
      </c>
      <c r="C19448" t="str">
        <f>IFERROR(__xludf.DUMMYFUNCTION("GOOGLETRANSLATE(B19448, ""es"", ""en"")"),"They ARE NOT ORIGINAL, but sound good. They ARE NOT ORIGINAL, but sound good. I fucked a lot to walk lying, are exactly the same and the only difference is seen in the Netherlands, which are ""somewhat"" less powerful. For the all very good. Obviously it "&amp;"does not justify the original cost more than 80 euros so great")</f>
        <v>They ARE NOT ORIGINAL, but sound good. They ARE NOT ORIGINAL, but sound good. I fucked a lot to walk lying, are exactly the same and the only difference is seen in the Netherlands, which are "somewhat" less powerful. For the all very good. Obviously it does not justify the original cost more than 80 euros so great</v>
      </c>
    </row>
    <row r="19449">
      <c r="A19449" s="1">
        <v>3.0</v>
      </c>
      <c r="B19449" s="1" t="s">
        <v>19261</v>
      </c>
      <c r="C19449" t="str">
        <f>IFERROR(__xludf.DUMMYFUNCTION("GOOGLETRANSLATE(B19449, ""es"", ""en"")"),"good quality. cut sweatshirt rare good quality. perfect for gigs as I needed a black smooth. the quibble see is that it is too short below, size is a little big and very wide sleeves. It's a bit 90s.")</f>
        <v>good quality. cut sweatshirt rare good quality. perfect for gigs as I needed a black smooth. the quibble see is that it is too short below, size is a little big and very wide sleeves. It's a bit 90s.</v>
      </c>
    </row>
    <row r="19450">
      <c r="A19450" s="1">
        <v>3.0</v>
      </c>
      <c r="B19450" s="1" t="s">
        <v>19262</v>
      </c>
      <c r="C19450" t="str">
        <f>IFERROR(__xludf.DUMMYFUNCTION("GOOGLETRANSLATE(B19450, ""es"", ""en"")"),"Laminita 1mm cork more corrugated cardboard I cork has to decorate, if a tad scratch with the feeler pin jumps cork. For the price you is cheaper to go by one to the nearest Chinese, sure the quality is better.")</f>
        <v>Laminita 1mm cork more corrugated cardboard I cork has to decorate, if a tad scratch with the feeler pin jumps cork. For the price you is cheaper to go by one to the nearest Chinese, sure the quality is better.</v>
      </c>
    </row>
    <row r="19451">
      <c r="A19451" s="1">
        <v>1.0</v>
      </c>
      <c r="B19451" s="1" t="s">
        <v>19263</v>
      </c>
      <c r="C19451" t="str">
        <f>IFERROR(__xludf.DUMMYFUNCTION("GOOGLETRANSLATE(B19451, ""es"", ""en"")"),"As damaged were pleased with the product, but had used only once in January. A going to use it this past weekend, it does not work. Shall we can replace or fix it?")</f>
        <v>As damaged were pleased with the product, but had used only once in January. A going to use it this past weekend, it does not work. Shall we can replace or fix it?</v>
      </c>
    </row>
    <row r="19452">
      <c r="A19452" s="1">
        <v>1.0</v>
      </c>
      <c r="B19452" s="1" t="s">
        <v>19264</v>
      </c>
      <c r="C19452" t="str">
        <f>IFERROR(__xludf.DUMMYFUNCTION("GOOGLETRANSLATE(B19452, ""es"", ""en"")"),"I want the income of earrings in my primer on the BUYING not put the earring in pajina Amazon. There stone covers the entire space of the center. .... these earrings. No. It is very small stone center")</f>
        <v>I want the income of earrings in my primer on the BUYING not put the earring in pajina Amazon. There stone covers the entire space of the center. .... these earrings. No. It is very small stone center</v>
      </c>
    </row>
    <row r="19453">
      <c r="A19453" s="1">
        <v>4.0</v>
      </c>
      <c r="B19453" s="1" t="s">
        <v>19265</v>
      </c>
      <c r="C19453" t="str">
        <f>IFERROR(__xludf.DUMMYFUNCTION("GOOGLETRANSLATE(B19453, ""es"", ""en"")"),"Grip and comfort of the shoe. I bought these shoes for the sole, good grip, comfortable on uneven floors, mud, stones, and gap. I recommend it. I bought 2 numbers, the usual mine, and one for the read recommendations. But I stayed with my number.")</f>
        <v>Grip and comfort of the shoe. I bought these shoes for the sole, good grip, comfortable on uneven floors, mud, stones, and gap. I recommend it. I bought 2 numbers, the usual mine, and one for the read recommendations. But I stayed with my number.</v>
      </c>
    </row>
    <row r="19454">
      <c r="A19454" s="1">
        <v>4.0</v>
      </c>
      <c r="B19454" s="1" t="s">
        <v>19266</v>
      </c>
      <c r="C19454" t="str">
        <f>IFERROR(__xludf.DUMMYFUNCTION("GOOGLETRANSLATE(B19454, ""es"", ""en"")"),"The Las comfort used for many years, both white and black")</f>
        <v>The Las comfort used for many years, both white and black</v>
      </c>
    </row>
    <row r="19455">
      <c r="A19455" s="1">
        <v>4.0</v>
      </c>
      <c r="B19455" s="1" t="s">
        <v>19267</v>
      </c>
      <c r="C19455" t="str">
        <f>IFERROR(__xludf.DUMMYFUNCTION("GOOGLETRANSLATE(B19455, ""es"", ""en"")"),"Perfect envelopes is very useful for beating drug, it is my use and perfect ....")</f>
        <v>Perfect envelopes is very useful for beating drug, it is my use and perfect ....</v>
      </c>
    </row>
    <row r="19456">
      <c r="A19456" s="1">
        <v>4.0</v>
      </c>
      <c r="B19456" s="1" t="s">
        <v>19268</v>
      </c>
      <c r="C19456" t="str">
        <f>IFERROR(__xludf.DUMMYFUNCTION("GOOGLETRANSLATE(B19456, ""es"", ""en"")"),"Comfort The design itself is ugly, but the quality looks pretty good and put up enough temperature. Perhaps the only downside is that it is something strange walk on grains, it does not have much stability.")</f>
        <v>Comfort The design itself is ugly, but the quality looks pretty good and put up enough temperature. Perhaps the only downside is that it is something strange walk on grains, it does not have much stability.</v>
      </c>
    </row>
    <row r="19457">
      <c r="A19457" s="1">
        <v>4.0</v>
      </c>
      <c r="B19457" s="1" t="s">
        <v>19269</v>
      </c>
      <c r="C19457" t="str">
        <f>IFERROR(__xludf.DUMMYFUNCTION("GOOGLETRANSLATE(B19457, ""es"", ""en"")"),"Well Very comfortable")</f>
        <v>Well Very comfortable</v>
      </c>
    </row>
    <row r="19458">
      <c r="A19458" s="1">
        <v>5.0</v>
      </c>
      <c r="B19458" s="1" t="s">
        <v>19270</v>
      </c>
      <c r="C19458" t="str">
        <f>IFERROR(__xludf.DUMMYFUNCTION("GOOGLETRANSLATE(B19458, ""es"", ""en"")"),"Perfect I discovered this brand recently and in less than 1 month are second to buy me. They are a blast. I use them for work since dd spend many hours standing and I walk a lot and seems to float, no notes at all the shoe, it fits great underfoot and doe"&amp;"s not rub anywhere. Best Buy! 36 use and perfect fits.")</f>
        <v>Perfect I discovered this brand recently and in less than 1 month are second to buy me. They are a blast. I use them for work since dd spend many hours standing and I walk a lot and seems to float, no notes at all the shoe, it fits great underfoot and does not rub anywhere. Best Buy! 36 use and perfect fits.</v>
      </c>
    </row>
    <row r="19459">
      <c r="A19459" s="1">
        <v>5.0</v>
      </c>
      <c r="B19459" s="1" t="s">
        <v>19271</v>
      </c>
      <c r="C19459" t="str">
        <f>IFERROR(__xludf.DUMMYFUNCTION("GOOGLETRANSLATE(B19459, ""es"", ""en"")"),"A third very fragile use me broken, but the communication was perfect. They changed me.")</f>
        <v>A third very fragile use me broken, but the communication was perfect. They changed me.</v>
      </c>
    </row>
    <row r="19460">
      <c r="A19460" s="1">
        <v>5.0</v>
      </c>
      <c r="B19460" s="1" t="s">
        <v>19272</v>
      </c>
      <c r="C19460" t="str">
        <f>IFERROR(__xludf.DUMMYFUNCTION("GOOGLETRANSLATE(B19460, ""es"", ""en"")"),"Good value for money and fast in shipment arrived on time. Quality is not the best in the market but its price is not bad. function makes the least for me")</f>
        <v>Good value for money and fast in shipment arrived on time. Quality is not the best in the market but its price is not bad. function makes the least for me</v>
      </c>
    </row>
    <row r="19461">
      <c r="A19461" s="1">
        <v>5.0</v>
      </c>
      <c r="B19461" s="1" t="s">
        <v>19273</v>
      </c>
      <c r="C19461" t="str">
        <f>IFERROR(__xludf.DUMMYFUNCTION("GOOGLETRANSLATE(B19461, ""es"", ""en"")"),"It's perfect totally satisfactory, very good quality")</f>
        <v>It's perfect totally satisfactory, very good quality</v>
      </c>
    </row>
    <row r="19462">
      <c r="A19462" s="1">
        <v>5.0</v>
      </c>
      <c r="B19462" s="1" t="s">
        <v>19274</v>
      </c>
      <c r="C19462" t="str">
        <f>IFERROR(__xludf.DUMMYFUNCTION("GOOGLETRANSLATE(B19462, ""es"", ""en"")"),"Headphones for any activity very comfortable to walk and talk on the phone. With stereo system, audio quality is very high and can be heard clearly. The case bringing to save is the one that is responsible for recharging. Its autonomy is very high, althou"&amp;"gh it is a hands-free, so I used to listen to music and has lasted me 6 hours non-stop and recharge is about 2 or 3 hours. Highly recommended.")</f>
        <v>Headphones for any activity very comfortable to walk and talk on the phone. With stereo system, audio quality is very high and can be heard clearly. The case bringing to save is the one that is responsible for recharging. Its autonomy is very high, although it is a hands-free, so I used to listen to music and has lasted me 6 hours non-stop and recharge is about 2 or 3 hours. Highly recommended.</v>
      </c>
    </row>
    <row r="19463">
      <c r="A19463" s="1">
        <v>5.0</v>
      </c>
      <c r="B19463" s="1" t="s">
        <v>19275</v>
      </c>
      <c r="C19463" t="str">
        <f>IFERROR(__xludf.DUMMYFUNCTION("GOOGLETRANSLATE(B19463, ""es"", ""en"")"),"Quality is the best, easy to use and clean, power is more q enough not advise chop ice, not the Thermomix, for everything else is the best bastidora.")</f>
        <v>Quality is the best, easy to use and clean, power is more q enough not advise chop ice, not the Thermomix, for everything else is the best bastidora.</v>
      </c>
    </row>
    <row r="19464">
      <c r="A19464" s="1">
        <v>5.0</v>
      </c>
      <c r="B19464" s="1" t="s">
        <v>19276</v>
      </c>
      <c r="C19464" t="str">
        <f>IFERROR(__xludf.DUMMYFUNCTION("GOOGLETRANSLATE(B19464, ""es"", ""en"")"),"A Casio 90 such. It's just what I expected. Good watch style 90. All I hoped was backlit and only has a small light somewhat insufficient. But that was the first casio!")</f>
        <v>A Casio 90 such. It's just what I expected. Good watch style 90. All I hoped was backlit and only has a small light somewhat insufficient. But that was the first casio!</v>
      </c>
    </row>
    <row r="19465">
      <c r="A19465" s="1">
        <v>5.0</v>
      </c>
      <c r="B19465" s="1" t="s">
        <v>19277</v>
      </c>
      <c r="C19465" t="str">
        <f>IFERROR(__xludf.DUMMYFUNCTION("GOOGLETRANSLATE(B19465, ""es"", ""en"")"),"Prime 5A needed compatible headset compatible with redmi Prime Note 5A and these are perfect! Clear sound and fit pads")</f>
        <v>Prime 5A needed compatible headset compatible with redmi Prime Note 5A and these are perfect! Clear sound and fit pads</v>
      </c>
    </row>
    <row r="19466">
      <c r="A19466" s="1">
        <v>5.0</v>
      </c>
      <c r="B19466" s="1" t="s">
        <v>19278</v>
      </c>
      <c r="C19466" t="str">
        <f>IFERROR(__xludf.DUMMYFUNCTION("GOOGLETRANSLATE(B19466, ""es"", ""en"")"),"CHULISIMO💃🏼 Very cool and charm ligero.Me precio.Casio Original quality. Shipping very fast and wrapper 10.")</f>
        <v>CHULISIMO💃🏼 Very cool and charm ligero.Me precio.Casio Original quality. Shipping very fast and wrapper 10.</v>
      </c>
    </row>
    <row r="19467">
      <c r="A19467" s="1">
        <v>5.0</v>
      </c>
      <c r="B19467" s="1" t="s">
        <v>19279</v>
      </c>
      <c r="C19467" t="str">
        <f>IFERROR(__xludf.DUMMYFUNCTION("GOOGLETRANSLATE(B19467, ""es"", ""en"")"),"It works seamlessly works perfectly. Thank you")</f>
        <v>It works seamlessly works perfectly. Thank you</v>
      </c>
    </row>
    <row r="19468">
      <c r="A19468" s="1">
        <v>5.0</v>
      </c>
      <c r="B19468" s="1" t="s">
        <v>19280</v>
      </c>
      <c r="C19468" t="str">
        <f>IFERROR(__xludf.DUMMYFUNCTION("GOOGLETRANSLATE(B19468, ""es"", ""en"")"),"Kettle I loved. Heated superfast. Serves")</f>
        <v>Kettle I loved. Heated superfast. Serves</v>
      </c>
    </row>
    <row r="19469">
      <c r="A19469" s="1">
        <v>5.0</v>
      </c>
      <c r="B19469" s="1" t="s">
        <v>19281</v>
      </c>
      <c r="C19469" t="str">
        <f>IFERROR(__xludf.DUMMYFUNCTION("GOOGLETRANSLATE(B19469, ""es"", ""en"")"),"Comfortable and light !! Just very comfortable and light, they are my first but certainly Skechers repeat, they are nice, do not weigh and conform well to the foot. The number asked that and I usually use is perfect.")</f>
        <v>Comfortable and light !! Just very comfortable and light, they are my first but certainly Skechers repeat, they are nice, do not weigh and conform well to the foot. The number asked that and I usually use is perfect.</v>
      </c>
    </row>
    <row r="19470">
      <c r="A19470" s="1">
        <v>5.0</v>
      </c>
      <c r="B19470" s="1" t="s">
        <v>19282</v>
      </c>
      <c r="C19470" t="str">
        <f>IFERROR(__xludf.DUMMYFUNCTION("GOOGLETRANSLATE(B19470, ""es"", ""en"")"),"Good results easy to use and dries the Mocho very well with little effort")</f>
        <v>Good results easy to use and dries the Mocho very well with little effort</v>
      </c>
    </row>
    <row r="19471">
      <c r="A19471" s="1">
        <v>5.0</v>
      </c>
      <c r="B19471" s="1" t="s">
        <v>19283</v>
      </c>
      <c r="C19471" t="str">
        <f>IFERROR(__xludf.DUMMYFUNCTION("GOOGLETRANSLATE(B19471, ""es"", ""en"")"),"Lumi Very bien.a my husband loved it and is very happy with the .No is too large, and weighs nada.buen price too.")</f>
        <v>Lumi Very bien.a my husband loved it and is very happy with the .No is too large, and weighs nada.buen price too.</v>
      </c>
    </row>
    <row r="19472">
      <c r="A19472" s="1">
        <v>5.0</v>
      </c>
      <c r="B19472" s="1" t="s">
        <v>19284</v>
      </c>
      <c r="C19472" t="str">
        <f>IFERROR(__xludf.DUMMYFUNCTION("GOOGLETRANSLATE(B19472, ""es"", ""en"")"),"Super socks socks are the best buy ever in my life I keep me dry and healthy feet")</f>
        <v>Super socks socks are the best buy ever in my life I keep me dry and healthy feet</v>
      </c>
    </row>
    <row r="19473">
      <c r="A19473" s="1">
        <v>5.0</v>
      </c>
      <c r="B19473" s="1" t="s">
        <v>19285</v>
      </c>
      <c r="C19473" t="str">
        <f>IFERROR(__xludf.DUMMYFUNCTION("GOOGLETRANSLATE(B19473, ""es"", ""en"")"),"Anonymous bibi Best of aguacque have found to date, no dripping and both the baby does not have to suck too strong to drink.")</f>
        <v>Anonymous bibi Best of aguacque have found to date, no dripping and both the baby does not have to suck too strong to drink.</v>
      </c>
    </row>
    <row r="19474">
      <c r="A19474" s="1">
        <v>5.0</v>
      </c>
      <c r="B19474" s="1" t="s">
        <v>19286</v>
      </c>
      <c r="C19474" t="str">
        <f>IFERROR(__xludf.DUMMYFUNCTION("GOOGLETRANSLATE(B19474, ""es"", ""en"")"),"Price and excellent quality. Are super good that if I was right to buy a number but more because I had been justitas.")</f>
        <v>Price and excellent quality. Are super good that if I was right to buy a number but more because I had been justitas.</v>
      </c>
    </row>
    <row r="19475">
      <c r="A19475" s="1">
        <v>5.0</v>
      </c>
      <c r="B19475" s="1" t="s">
        <v>696</v>
      </c>
      <c r="C19475" t="str">
        <f>IFERROR(__xludf.DUMMYFUNCTION("GOOGLETRANSLATE(B19475, ""es"", ""en"")"),"Very good very good")</f>
        <v>Very good very good</v>
      </c>
    </row>
    <row r="19476">
      <c r="A19476" s="1">
        <v>5.0</v>
      </c>
      <c r="B19476" s="1" t="s">
        <v>19287</v>
      </c>
      <c r="C19476" t="str">
        <f>IFERROR(__xludf.DUMMYFUNCTION("GOOGLETRANSLATE(B19476, ""es"", ""en"")"),"Worth more than it costs definitely the reviews from other customers were not wrong. The brush is of high quality and cost far less than they cost like. I've used it with water and soap and grill has been very good. I think it will take some time and perf"&amp;"orm their function for many years. Gift comes cooking brush that may be useful. Recommend purchase of other brushes for value / price.")</f>
        <v>Worth more than it costs definitely the reviews from other customers were not wrong. The brush is of high quality and cost far less than they cost like. I've used it with water and soap and grill has been very good. I think it will take some time and perform their function for many years. Gift comes cooking brush that may be useful. Recommend purchase of other brushes for value / price.</v>
      </c>
    </row>
    <row r="19477">
      <c r="A19477" s="1">
        <v>2.0</v>
      </c>
      <c r="B19477" s="1" t="s">
        <v>19288</v>
      </c>
      <c r="C19477" t="str">
        <f>IFERROR(__xludf.DUMMYFUNCTION("GOOGLETRANSLATE(B19477, ""es"", ""en"")"),"Very noisy for me it is very noisy, so if you have a lot of power, the glass seems very weak, the lid does not fit well in fact there is this grasping when using the device that it comes out and pours what you're beating")</f>
        <v>Very noisy for me it is very noisy, so if you have a lot of power, the glass seems very weak, the lid does not fit well in fact there is this grasping when using the device that it comes out and pours what you're beating</v>
      </c>
    </row>
    <row r="19478">
      <c r="A19478" s="1">
        <v>3.0</v>
      </c>
      <c r="B19478" s="1" t="s">
        <v>19289</v>
      </c>
      <c r="C19478" t="str">
        <f>IFERROR(__xludf.DUMMYFUNCTION("GOOGLETRANSLATE(B19478, ""es"", ""en"")"),"This bag lasts one year is not bad, bad is that deteriorates little time and I did not last even a year ...")</f>
        <v>This bag lasts one year is not bad, bad is that deteriorates little time and I did not last even a year ...</v>
      </c>
    </row>
    <row r="19479">
      <c r="A19479" s="1">
        <v>3.0</v>
      </c>
      <c r="B19479" s="1" t="s">
        <v>19290</v>
      </c>
      <c r="C19479" t="str">
        <f>IFERROR(__xludf.DUMMYFUNCTION("GOOGLETRANSLATE(B19479, ""es"", ""en"")"),"I decided to buy sweet and sour and I will travel to Thailand for a week and had good reviews. I've had a bittersweet feeling, on the one hand they are good (my size is perfect me) and the shoe if it seems to fulfill its function. On the other hand, it se"&amp;"ems that the materials are of average quality (the front grip enter the subject when foot has been broken literally on the first try) and not as last. I understand that for the price paid is good, but not if the decathlon long term will almost better")</f>
        <v>I decided to buy sweet and sour and I will travel to Thailand for a week and had good reviews. I've had a bittersweet feeling, on the one hand they are good (my size is perfect me) and the shoe if it seems to fulfill its function. On the other hand, it seems that the materials are of average quality (the front grip enter the subject when foot has been broken literally on the first try) and not as last. I understand that for the price paid is good, but not if the decathlon long term will almost better</v>
      </c>
    </row>
    <row r="19480">
      <c r="A19480" s="1">
        <v>1.0</v>
      </c>
      <c r="B19480" s="1" t="s">
        <v>19291</v>
      </c>
      <c r="C19480" t="str">
        <f>IFERROR(__xludf.DUMMYFUNCTION("GOOGLETRANSLATE(B19480, ""es"", ""en"")"),"It's not like carpet photo")</f>
        <v>It's not like carpet photo</v>
      </c>
    </row>
    <row r="19481">
      <c r="A19481" s="1">
        <v>1.0</v>
      </c>
      <c r="B19481" s="1" t="s">
        <v>19292</v>
      </c>
      <c r="C19481" t="str">
        <f>IFERROR(__xludf.DUMMYFUNCTION("GOOGLETRANSLATE(B19481, ""es"", ""en"")"),"I do not like way too small")</f>
        <v>I do not like way too small</v>
      </c>
    </row>
    <row r="19482">
      <c r="A19482" s="1">
        <v>4.0</v>
      </c>
      <c r="B19482" s="1" t="s">
        <v>19293</v>
      </c>
      <c r="C19482" t="str">
        <f>IFERROR(__xludf.DUMMYFUNCTION("GOOGLETRANSLATE(B19482, ""es"", ""en"")"),"A regal semper amb which POTS be bé. Ideal per gift.")</f>
        <v>A regal semper amb which POTS be bé. Ideal per gift.</v>
      </c>
    </row>
    <row r="19483">
      <c r="A19483" s="1">
        <v>4.0</v>
      </c>
      <c r="B19483" s="1" t="s">
        <v>19294</v>
      </c>
      <c r="C19483" t="str">
        <f>IFERROR(__xludf.DUMMYFUNCTION("GOOGLETRANSLATE(B19483, ""es"", ""en"")"),"Very comfortable Easy to use, easy to clean, very comfortable with good power")</f>
        <v>Very comfortable Easy to use, easy to clean, very comfortable with good power</v>
      </c>
    </row>
    <row r="19484">
      <c r="A19484" s="1">
        <v>4.0</v>
      </c>
      <c r="B19484" s="1" t="s">
        <v>19295</v>
      </c>
      <c r="C19484" t="str">
        <f>IFERROR(__xludf.DUMMYFUNCTION("GOOGLETRANSLATE(B19484, ""es"", ""en"")"),"Perfect good watch. It was a gift and guessed right. Great for everyday and give trot.")</f>
        <v>Perfect good watch. It was a gift and guessed right. Great for everyday and give trot.</v>
      </c>
    </row>
    <row r="19485">
      <c r="A19485" s="1">
        <v>4.0</v>
      </c>
      <c r="B19485" s="1" t="s">
        <v>19296</v>
      </c>
      <c r="C19485" t="str">
        <f>IFERROR(__xludf.DUMMYFUNCTION("GOOGLETRANSLATE(B19485, ""es"", ""en"")"),"fastener surprisingly well. I have much chest and subject very well. It only remains to be resistant to washing time will tell. I have more expensive aguntado an average of 5 years we will see how enduring this time")</f>
        <v>fastener surprisingly well. I have much chest and subject very well. It only remains to be resistant to washing time will tell. I have more expensive aguntado an average of 5 years we will see how enduring this time</v>
      </c>
    </row>
    <row r="19486">
      <c r="A19486" s="1">
        <v>4.0</v>
      </c>
      <c r="B19486" s="1" t="s">
        <v>19297</v>
      </c>
      <c r="C19486" t="str">
        <f>IFERROR(__xludf.DUMMYFUNCTION("GOOGLETRANSLATE(B19486, ""es"", ""en"")"),"It is very light it takes a long time to charge the battery")</f>
        <v>It is very light it takes a long time to charge the battery</v>
      </c>
    </row>
    <row r="19487">
      <c r="A19487" s="1">
        <v>5.0</v>
      </c>
      <c r="B19487" s="1" t="s">
        <v>19298</v>
      </c>
      <c r="C19487" t="str">
        <f>IFERROR(__xludf.DUMMYFUNCTION("GOOGLETRANSLATE(B19487, ""es"", ""en"")"),"Quality design and good quality socks, perfectame to fit the foot. They are very pretty. The I'll buy.")</f>
        <v>Quality design and good quality socks, perfectame to fit the foot. They are very pretty. The I'll buy.</v>
      </c>
    </row>
    <row r="19488">
      <c r="A19488" s="1">
        <v>5.0</v>
      </c>
      <c r="B19488" s="1" t="s">
        <v>238</v>
      </c>
      <c r="C19488" t="str">
        <f>IFERROR(__xludf.DUMMYFUNCTION("GOOGLETRANSLATE(B19488, ""es"", ""en"")"),"perfect perfect")</f>
        <v>perfect perfect</v>
      </c>
    </row>
    <row r="19489">
      <c r="A19489" s="1">
        <v>5.0</v>
      </c>
      <c r="B19489" s="1" t="s">
        <v>19299</v>
      </c>
      <c r="C19489" t="str">
        <f>IFERROR(__xludf.DUMMYFUNCTION("GOOGLETRANSLATE(B19489, ""es"", ""en"")"),"This excellent Oster model is known to be robust, and this specific is no exception. It has very good strength and serves both for use at home and in restaurants.")</f>
        <v>This excellent Oster model is known to be robust, and this specific is no exception. It has very good strength and serves both for use at home and in restaurants.</v>
      </c>
    </row>
    <row r="19490">
      <c r="A19490" s="1">
        <v>5.0</v>
      </c>
      <c r="B19490" s="1" t="s">
        <v>19300</v>
      </c>
      <c r="C19490" t="str">
        <f>IFERROR(__xludf.DUMMYFUNCTION("GOOGLETRANSLATE(B19490, ""es"", ""en"")"),"Very good quality and comfortable I had to replace them with a smaller number was too big for me. But quality is skin and overall is very good. I am very happy with the purchase. Definitely I recommend this brand.")</f>
        <v>Very good quality and comfortable I had to replace them with a smaller number was too big for me. But quality is skin and overall is very good. I am very happy with the purchase. Definitely I recommend this brand.</v>
      </c>
    </row>
    <row r="19491">
      <c r="A19491" s="1">
        <v>5.0</v>
      </c>
      <c r="B19491" s="1" t="s">
        <v>19301</v>
      </c>
      <c r="C19491" t="str">
        <f>IFERROR(__xludf.DUMMYFUNCTION("GOOGLETRANSLATE(B19491, ""es"", ""en"")"),"Clean grill Perfect")</f>
        <v>Clean grill Perfect</v>
      </c>
    </row>
    <row r="19492">
      <c r="A19492" s="1">
        <v>5.0</v>
      </c>
      <c r="B19492" s="1" t="s">
        <v>19302</v>
      </c>
      <c r="C19492" t="str">
        <f>IFERROR(__xludf.DUMMYFUNCTION("GOOGLETRANSLATE(B19492, ""es"", ""en"")"),"No comments were found until now because although apparently looked good, had not had a chance to try it. No plan was purposely get a flat tire and the bike less. Perfect, circulé with the wick placed more than 2,000 km and this is your site perfectly and"&amp;" without air leakage. We must give a quarter turn before removing the needle to make it very big inside wheel and stick. But it worked perfectly.")</f>
        <v>No comments were found until now because although apparently looked good, had not had a chance to try it. No plan was purposely get a flat tire and the bike less. Perfect, circulé with the wick placed more than 2,000 km and this is your site perfectly and without air leakage. We must give a quarter turn before removing the needle to make it very big inside wheel and stick. But it worked perfectly.</v>
      </c>
    </row>
    <row r="19493">
      <c r="A19493" s="1">
        <v>5.0</v>
      </c>
      <c r="B19493" s="1" t="s">
        <v>19303</v>
      </c>
      <c r="C19493" t="str">
        <f>IFERROR(__xludf.DUMMYFUNCTION("GOOGLETRANSLATE(B19493, ""es"", ""en"")"),"I ordered these really magic sponges good reviews from other customers, and we really have surprised me. So far they have helped me to clean up a chair leatherette and plastic furniture outside where using multipurpose product with a cloth not fit well. O"&amp;"f the latter I put a picture as an example. Soon I'll use for the edges of the soles of my sneakers. Well they come packaged in a pack of 10 units, which can be cut to the desired size. There are only wet them with water and rub the surface to be cleaned."&amp;" They rinsed and dirt on them easily going. They have been a great discovery.")</f>
        <v>I ordered these really magic sponges good reviews from other customers, and we really have surprised me. So far they have helped me to clean up a chair leatherette and plastic furniture outside where using multipurpose product with a cloth not fit well. Of the latter I put a picture as an example. Soon I'll use for the edges of the soles of my sneakers. Well they come packaged in a pack of 10 units, which can be cut to the desired size. There are only wet them with water and rub the surface to be cleaned. They rinsed and dirt on them easily going. They have been a great discovery.</v>
      </c>
    </row>
    <row r="19494">
      <c r="A19494" s="1">
        <v>5.0</v>
      </c>
      <c r="B19494" s="1" t="s">
        <v>19304</v>
      </c>
      <c r="C19494" t="str">
        <f>IFERROR(__xludf.DUMMYFUNCTION("GOOGLETRANSLATE(B19494, ""es"", ""en"")"),"fine guitar cable guitar cable with 4mm thick, and slightly rigid, if it is bent folds. The connectors are plastic, they are unlikely soldiers inside.")</f>
        <v>fine guitar cable guitar cable with 4mm thick, and slightly rigid, if it is bent folds. The connectors are plastic, they are unlikely soldiers inside.</v>
      </c>
    </row>
    <row r="19495">
      <c r="A19495" s="1">
        <v>5.0</v>
      </c>
      <c r="B19495" s="1" t="s">
        <v>19305</v>
      </c>
      <c r="C19495" t="str">
        <f>IFERROR(__xludf.DUMMYFUNCTION("GOOGLETRANSLATE(B19495, ""es"", ""en"")"),"Superior is fantastic! works like a charm")</f>
        <v>Superior is fantastic! works like a charm</v>
      </c>
    </row>
    <row r="19496">
      <c r="A19496" s="1">
        <v>5.0</v>
      </c>
      <c r="B19496" s="1" t="s">
        <v>19306</v>
      </c>
      <c r="C19496" t="str">
        <f>IFERROR(__xludf.DUMMYFUNCTION("GOOGLETRANSLATE(B19496, ""es"", ""en"")"),"10 These shoes are fabulous, good stuff, good touch, are super comfortable and last long. I think they are one of the best shoes I bought.")</f>
        <v>10 These shoes are fabulous, good stuff, good touch, are super comfortable and last long. I think they are one of the best shoes I bought.</v>
      </c>
    </row>
    <row r="19497">
      <c r="A19497" s="1">
        <v>5.0</v>
      </c>
      <c r="B19497" s="1" t="s">
        <v>19307</v>
      </c>
      <c r="C19497" t="str">
        <f>IFERROR(__xludf.DUMMYFUNCTION("GOOGLETRANSLATE(B19497, ""es"", ""en"")"),"amazing buy I still can not believe you bought a panama jack for less than 90 euros. Good boots, Spanish quality genuine leather and lined inside for the cold. 100% Recommended")</f>
        <v>amazing buy I still can not believe you bought a panama jack for less than 90 euros. Good boots, Spanish quality genuine leather and lined inside for the cold. 100% Recommended</v>
      </c>
    </row>
    <row r="19498">
      <c r="A19498" s="1">
        <v>5.0</v>
      </c>
      <c r="B19498" s="1" t="s">
        <v>19308</v>
      </c>
      <c r="C19498" t="str">
        <f>IFERROR(__xludf.DUMMYFUNCTION("GOOGLETRANSLATE(B19498, ""es"", ""en"")"),"Good selladior tubeless good product, I recommend purchase, is more liquid than other brands and not dry so fast.")</f>
        <v>Good selladior tubeless good product, I recommend purchase, is more liquid than other brands and not dry so fast.</v>
      </c>
    </row>
    <row r="19499">
      <c r="A19499" s="1">
        <v>5.0</v>
      </c>
      <c r="B19499" s="1" t="s">
        <v>19309</v>
      </c>
      <c r="C19499" t="str">
        <f>IFERROR(__xludf.DUMMYFUNCTION("GOOGLETRANSLATE(B19499, ""es"", ""en"")"),"Perfect . Everything is great .")</f>
        <v>Perfect . Everything is great .</v>
      </c>
    </row>
    <row r="19500">
      <c r="A19500" s="1">
        <v>5.0</v>
      </c>
      <c r="B19500" s="1" t="s">
        <v>19310</v>
      </c>
      <c r="C19500" t="str">
        <f>IFERROR(__xludf.DUMMYFUNCTION("GOOGLETRANSLATE(B19500, ""es"", ""en"")"),"Perfect perfect size d")</f>
        <v>Perfect perfect size d</v>
      </c>
    </row>
    <row r="19501">
      <c r="A19501" s="1">
        <v>5.0</v>
      </c>
      <c r="B19501" s="1" t="s">
        <v>19311</v>
      </c>
      <c r="C19501" t="str">
        <f>IFERROR(__xludf.DUMMYFUNCTION("GOOGLETRANSLATE(B19501, ""es"", ""en"")"),"Practice. Ideal for making smoothies quickly and easy to clean.")</f>
        <v>Practice. Ideal for making smoothies quickly and easy to clean.</v>
      </c>
    </row>
    <row r="19502">
      <c r="A19502" s="1">
        <v>5.0</v>
      </c>
      <c r="B19502" s="1" t="s">
        <v>19312</v>
      </c>
      <c r="C19502" t="str">
        <f>IFERROR(__xludf.DUMMYFUNCTION("GOOGLETRANSLATE(B19502, ""es"", ""en"")"),"Mocho Vileda Turbo I have gustsdo for comfort and absorption but not its durability.")</f>
        <v>Mocho Vileda Turbo I have gustsdo for comfort and absorption but not its durability.</v>
      </c>
    </row>
    <row r="19503">
      <c r="A19503" s="1">
        <v>5.0</v>
      </c>
      <c r="B19503" s="1" t="s">
        <v>19313</v>
      </c>
      <c r="C19503" t="str">
        <f>IFERROR(__xludf.DUMMYFUNCTION("GOOGLETRANSLATE(B19503, ""es"", ""en"")"),"Perfect !!!! Very good product!!! Carve perfect! I have 39 and I look great.")</f>
        <v>Perfect !!!! Very good product!!! Carve perfect! I have 39 and I look great.</v>
      </c>
    </row>
    <row r="19504">
      <c r="A19504" s="1">
        <v>5.0</v>
      </c>
      <c r="B19504" s="1" t="s">
        <v>19314</v>
      </c>
      <c r="C19504" t="str">
        <f>IFERROR(__xludf.DUMMYFUNCTION("GOOGLETRANSLATE(B19504, ""es"", ""en"")"),"Wonderful We're using the whole family .... and to summarize: it is a wonder ....... and I delivered in time they said ..... great .... congratulations Naipo and Amazon")</f>
        <v>Wonderful We're using the whole family .... and to summarize: it is a wonder ....... and I delivered in time they said ..... great .... congratulations Naipo and Amazon</v>
      </c>
    </row>
    <row r="19505">
      <c r="A19505" s="1">
        <v>5.0</v>
      </c>
      <c r="B19505" s="1" t="s">
        <v>19315</v>
      </c>
      <c r="C19505" t="str">
        <f>IFERROR(__xludf.DUMMYFUNCTION("GOOGLETRANSLATE(B19505, ""es"", ""en"")"),"Repeat order delivered on time. fully meets my expectations. They are very comfortable, with good finishes. I ordered a size 37 which is usually without problems use. Quality / price exceeded.")</f>
        <v>Repeat order delivered on time. fully meets my expectations. They are very comfortable, with good finishes. I ordered a size 37 which is usually without problems use. Quality / price exceeded.</v>
      </c>
    </row>
    <row r="19506">
      <c r="A19506" s="1">
        <v>2.0</v>
      </c>
      <c r="B19506" s="1" t="s">
        <v>19316</v>
      </c>
      <c r="C19506" t="str">
        <f>IFERROR(__xludf.DUMMYFUNCTION("GOOGLETRANSLATE(B19506, ""es"", ""en"")"),"Excessive volume in severe There are three things I value when choosing this type of headphones: 1. Noise reduction: it is certainly one of the best but nowhere near the best. as a 80 removes background noise. Conversations, noises of a supermarket, to gi"&amp;"ve an example, not removes and it's like retumbasen within the handset. 2. The sound: for me, a headset of this price would have to be well balanced bass, middle and treble. Well, it's not like that. The whole area is severe, (as each course) for me, unbe"&amp;"arable. Removing only 10 to 15 dB can endure. That's why I've put a star only. 3. And finally, note the pressure inside the ear. These headphones are a rather moderate size and right ear covers. To me it has given me the feeling of excessive internal pres"&amp;"sure at the close completely and being so close to the sound source to the ear, causing discomfort true. (This is debatable as the hearing health of each person, of course. How would good aspects that are comfortable and weigh very little. Aesthetically a"&amp;"re nice.")</f>
        <v>Excessive volume in severe There are three things I value when choosing this type of headphones: 1. Noise reduction: it is certainly one of the best but nowhere near the best. as a 80 removes background noise. Conversations, noises of a supermarket, to give an example, not removes and it's like retumbasen within the handset. 2. The sound: for me, a headset of this price would have to be well balanced bass, middle and treble. Well, it's not like that. The whole area is severe, (as each course) for me, unbearable. Removing only 10 to 15 dB can endure. That's why I've put a star only. 3. And finally, note the pressure inside the ear. These headphones are a rather moderate size and right ear covers. To me it has given me the feeling of excessive internal pressure at the close completely and being so close to the sound source to the ear, causing discomfort true. (This is debatable as the hearing health of each person, of course. How would good aspects that are comfortable and weigh very little. Aesthetically are nice.</v>
      </c>
    </row>
    <row r="19507">
      <c r="A19507" s="1">
        <v>3.0</v>
      </c>
      <c r="B19507" s="1" t="s">
        <v>19317</v>
      </c>
      <c r="C19507" t="str">
        <f>IFERROR(__xludf.DUMMYFUNCTION("GOOGLETRANSLATE(B19507, ""es"", ""en"")"),"Very good I bought to replace it broke. No I never take it off, or to shower. Updated: It has turned black.")</f>
        <v>Very good I bought to replace it broke. No I never take it off, or to shower. Updated: It has turned black.</v>
      </c>
    </row>
    <row r="19508">
      <c r="A19508" s="1">
        <v>1.0</v>
      </c>
      <c r="B19508" s="1" t="s">
        <v>19318</v>
      </c>
      <c r="C19508" t="str">
        <f>IFERROR(__xludf.DUMMYFUNCTION("GOOGLETRANSLATE(B19508, ""es"", ""en"")"),"Is useless worst I've bought in a long time, waste of money. After what has been slow in coming completely out of time, it is useless ...")</f>
        <v>Is useless worst I've bought in a long time, waste of money. After what has been slow in coming completely out of time, it is useless ...</v>
      </c>
    </row>
    <row r="19509">
      <c r="A19509" s="1">
        <v>1.0</v>
      </c>
      <c r="B19509" s="1" t="s">
        <v>19319</v>
      </c>
      <c r="C19509" t="str">
        <f>IFERROR(__xludf.DUMMYFUNCTION("GOOGLETRANSLATE(B19509, ""es"", ""en"")"),"NO MANS I purchased the Amazon collects crumbs but I got home and I can assure that it is anything but crumbs collected. The bristles of the three rollers are too hard and only succeed in dragging the fabric but not the tablecloth crumbs. Its correct name"&amp;" would be ""scattered crumbs"" I assure you that not collect anything and yet just more crumbs on the floor at the table. I do not know if the manufacturer has other models but this in particular is totally useless. Not recommended at all, indeed, he gave"&amp;" mine.")</f>
        <v>NO MANS I purchased the Amazon collects crumbs but I got home and I can assure that it is anything but crumbs collected. The bristles of the three rollers are too hard and only succeed in dragging the fabric but not the tablecloth crumbs. Its correct name would be "scattered crumbs" I assure you that not collect anything and yet just more crumbs on the floor at the table. I do not know if the manufacturer has other models but this in particular is totally useless. Not recommended at all, indeed, he gave mine.</v>
      </c>
    </row>
    <row r="19510">
      <c r="A19510" s="1">
        <v>1.0</v>
      </c>
      <c r="B19510" s="1" t="s">
        <v>19320</v>
      </c>
      <c r="C19510" t="str">
        <f>IFERROR(__xludf.DUMMYFUNCTION("GOOGLETRANSLATE(B19510, ""es"", ""en"")"),"Nerea17 It is not what you put in the description.")</f>
        <v>Nerea17 It is not what you put in the description.</v>
      </c>
    </row>
    <row r="19511">
      <c r="A19511" s="1">
        <v>4.0</v>
      </c>
      <c r="B19511" s="1" t="s">
        <v>19321</v>
      </c>
      <c r="C19511" t="str">
        <f>IFERROR(__xludf.DUMMYFUNCTION("GOOGLETRANSLATE(B19511, ""es"", ""en"")"),"Juan M good microphone looks good stuff, is not quite heavy plastic and does not sound bad for the price it is okay")</f>
        <v>Juan M good microphone looks good stuff, is not quite heavy plastic and does not sound bad for the price it is okay</v>
      </c>
    </row>
    <row r="19512">
      <c r="A19512" s="1">
        <v>4.0</v>
      </c>
      <c r="B19512" s="1" t="s">
        <v>19322</v>
      </c>
      <c r="C19512" t="str">
        <f>IFERROR(__xludf.DUMMYFUNCTION("GOOGLETRANSLATE(B19512, ""es"", ""en"")"),"While we bought quite a while ago, my wife is delighted and not spend a lot of light in excess, still works (I think that buy more than 1 year) the only thing that will eventually come out balls on the fabric, but good for the price can not ask for gold, "&amp;"otherwise great and warm heated.")</f>
        <v>While we bought quite a while ago, my wife is delighted and not spend a lot of light in excess, still works (I think that buy more than 1 year) the only thing that will eventually come out balls on the fabric, but good for the price can not ask for gold, otherwise great and warm heated.</v>
      </c>
    </row>
    <row r="19513">
      <c r="A19513" s="1">
        <v>4.0</v>
      </c>
      <c r="B19513" s="1" t="s">
        <v>19323</v>
      </c>
      <c r="C19513" t="str">
        <f>IFERROR(__xludf.DUMMYFUNCTION("GOOGLETRANSLATE(B19513, ""es"", ""en"")"),"Very comfortable, like a glove remain perfect, like all munich")</f>
        <v>Very comfortable, like a glove remain perfect, like all munich</v>
      </c>
    </row>
    <row r="19514">
      <c r="A19514" s="1">
        <v>4.0</v>
      </c>
      <c r="B19514" s="1" t="s">
        <v>19324</v>
      </c>
      <c r="C19514" t="str">
        <f>IFERROR(__xludf.DUMMYFUNCTION("GOOGLETRANSLATE(B19514, ""es"", ""en"")"),"A week began to make some ruidillos. Hear well, but after a few days began to make some noise, as loose cable ... the question is that does not always happen and is imperceptible half. I get the feeling that they are very fragile and can not be storing an"&amp;"d removing cables because fussing and make those noises.")</f>
        <v>A week began to make some ruidillos. Hear well, but after a few days began to make some noise, as loose cable ... the question is that does not always happen and is imperceptible half. I get the feeling that they are very fragile and can not be storing and removing cables because fussing and make those noises.</v>
      </c>
    </row>
    <row r="19515">
      <c r="A19515" s="1">
        <v>5.0</v>
      </c>
      <c r="B19515" s="1" t="s">
        <v>19325</v>
      </c>
      <c r="C19515" t="str">
        <f>IFERROR(__xludf.DUMMYFUNCTION("GOOGLETRANSLATE(B19515, ""es"", ""en"")"),"If offer worth has many functions, it is also durable and enduring good looks passage of time. Moreover, it is complex to set up and understand if you're not used. Recommended")</f>
        <v>If offer worth has many functions, it is also durable and enduring good looks passage of time. Moreover, it is complex to set up and understand if you're not used. Recommended</v>
      </c>
    </row>
    <row r="19516">
      <c r="A19516" s="1">
        <v>5.0</v>
      </c>
      <c r="B19516" s="1" t="s">
        <v>19326</v>
      </c>
      <c r="C19516" t="str">
        <f>IFERROR(__xludf.DUMMYFUNCTION("GOOGLETRANSLATE(B19516, ""es"", ""en"")"),"quality shoe versatile, comfortable, sturdy, quality and yet elegant, very good buy")</f>
        <v>quality shoe versatile, comfortable, sturdy, quality and yet elegant, very good buy</v>
      </c>
    </row>
    <row r="19517">
      <c r="A19517" s="1">
        <v>5.0</v>
      </c>
      <c r="B19517" s="1" t="s">
        <v>19327</v>
      </c>
      <c r="C19517" t="str">
        <f>IFERROR(__xludf.DUMMYFUNCTION("GOOGLETRANSLATE(B19517, ""es"", ""en"")"),"Very good Fits perfectly, good quality stainless and good polished steel, Crescent cover completely the pins, useful bring to place the pins and to adjust the armis to the wrist, highly recommended if you are looking for a metal armis that suits the gear "&amp;"Classic S3.")</f>
        <v>Very good Fits perfectly, good quality stainless and good polished steel, Crescent cover completely the pins, useful bring to place the pins and to adjust the armis to the wrist, highly recommended if you are looking for a metal armis that suits the gear Classic S3.</v>
      </c>
    </row>
    <row r="19518">
      <c r="A19518" s="1">
        <v>5.0</v>
      </c>
      <c r="B19518" s="1" t="s">
        <v>19328</v>
      </c>
      <c r="C19518" t="str">
        <f>IFERROR(__xludf.DUMMYFUNCTION("GOOGLETRANSLATE(B19518, ""es"", ""en"")"),"I have reviewed a few days ago as good ... I have valued for days as good ...")</f>
        <v>I have reviewed a few days ago as good ... I have valued for days as good ...</v>
      </c>
    </row>
    <row r="19519">
      <c r="A19519" s="1">
        <v>5.0</v>
      </c>
      <c r="B19519" s="1" t="s">
        <v>19329</v>
      </c>
      <c r="C19519" t="str">
        <f>IFERROR(__xludf.DUMMYFUNCTION("GOOGLETRANSLATE(B19519, ""es"", ""en"")"),"Seagate Pipeline HD - 500GB internal hard drive everything perfect and in good condition. Article sent fully protected. I tried the product, and it works perfectly. For the price completely fulfills its function. I would buy.")</f>
        <v>Seagate Pipeline HD - 500GB internal hard drive everything perfect and in good condition. Article sent fully protected. I tried the product, and it works perfectly. For the price completely fulfills its function. I would buy.</v>
      </c>
    </row>
    <row r="19520">
      <c r="A19520" s="1">
        <v>5.0</v>
      </c>
      <c r="B19520" s="1" t="s">
        <v>19330</v>
      </c>
      <c r="C19520" t="str">
        <f>IFERROR(__xludf.DUMMYFUNCTION("GOOGLETRANSLATE(B19520, ""es"", ""en"")"),"PERFECT positive all. The truth is going very well. It is powerful and resists. I bought it for several reasons. One, by the brand. Everything I've had this march has given very good results. I remember the mincer and 1, 2, 3 I had my mother more than 30 "&amp;"years and still does. On the other hand, I was excited accessory for sauces, I have to say that I have done very well. Another reason was the foot of steel. Mine had foot white plastic blades and I knew I did not want another just because eventually come "&amp;"to be stained and is ugly, making them look old and even seems unhygienic. To put some hits would say the accessory sauces is not easy to clean and that the vessels do not carry cap, which the previous one had a Braun, yes wore and are very useful because"&amp;" if you make a smoothie or a sauce and want leave it in the fridge, you can get your cap and doing very well. Otherwise, I recommend it.")</f>
        <v>PERFECT positive all. The truth is going very well. It is powerful and resists. I bought it for several reasons. One, by the brand. Everything I've had this march has given very good results. I remember the mincer and 1, 2, 3 I had my mother more than 30 years and still does. On the other hand, I was excited accessory for sauces, I have to say that I have done very well. Another reason was the foot of steel. Mine had foot white plastic blades and I knew I did not want another just because eventually come to be stained and is ugly, making them look old and even seems unhygienic. To put some hits would say the accessory sauces is not easy to clean and that the vessels do not carry cap, which the previous one had a Braun, yes wore and are very useful because if you make a smoothie or a sauce and want leave it in the fridge, you can get your cap and doing very well. Otherwise, I recommend it.</v>
      </c>
    </row>
    <row r="19521">
      <c r="A19521" s="1">
        <v>5.0</v>
      </c>
      <c r="B19521" s="1" t="s">
        <v>19331</v>
      </c>
      <c r="C19521" t="str">
        <f>IFERROR(__xludf.DUMMYFUNCTION("GOOGLETRANSLATE(B19521, ""es"", ""en"")"),"microSD card kinhston 32GB In my case I bought this card for a mobile phone and works perfectly on top comes with the adapter to SD if you want to connect to the computer, for example, or if you want to use the card in another I use SD appliance instead o"&amp;"f microSD (eg a camera). It gives good reading and writing and is sure what I had expected given the card brand. Recommended, plus good quality / price.")</f>
        <v>microSD card kinhston 32GB In my case I bought this card for a mobile phone and works perfectly on top comes with the adapter to SD if you want to connect to the computer, for example, or if you want to use the card in another I use SD appliance instead of microSD (eg a camera). It gives good reading and writing and is sure what I had expected given the card brand. Recommended, plus good quality / price.</v>
      </c>
    </row>
    <row r="19522">
      <c r="A19522" s="1">
        <v>5.0</v>
      </c>
      <c r="B19522" s="1" t="s">
        <v>19332</v>
      </c>
      <c r="C19522" t="str">
        <f>IFERROR(__xludf.DUMMYFUNCTION("GOOGLETRANSLATE(B19522, ""es"", ""en"")"),"Perfect ordered two cases of Faber Castell, and perfect for technology classes my children have been told they are the best")</f>
        <v>Perfect ordered two cases of Faber Castell, and perfect for technology classes my children have been told they are the best</v>
      </c>
    </row>
    <row r="19523">
      <c r="A19523" s="1">
        <v>5.0</v>
      </c>
      <c r="B19523" s="1" t="s">
        <v>19333</v>
      </c>
      <c r="C19523" t="str">
        <f>IFERROR(__xludf.DUMMYFUNCTION("GOOGLETRANSLATE(B19523, ""es"", ""en"")"),"very complete, the best in its category below 250 € I think they are very good headphones within your price range, a fantastic option that can compete with models of 350 €, as the BeoPlay 8.0, sennheiser momentum true wireless or Master and Dynamic mw07, "&amp;"have these models and although it does not sound quality, playing with the equalizer a level of very similar quality is achieved. In short if you do not want to read you all, they are an excellent choice within the price range of 250 € and meet well in al"&amp;"l sections. What I liked most: FREE ✅MANOS ---------------------------------------- --- - Very good, listening to the best outdoor like cogieras the phone, the caller does not notice at all that you're using a hands-free and this is not common in wireless"&amp;" models, I think so far is at the top as speakerphones. NOISE ✅CANCELACIÓN ------------------------------------------- In this section It does not reach the quality level of his older brother Sony WH1000XM2, but it is surprising how something so small can"&amp;" cancel and, together with pillows also cancel the noise level pretty good insulation is achieved, enough to go on Metro without turning up the volume. When more notes cancellation is when you take them off. With the application for the phone can be set t"&amp;"o noise cancellation suits by state, if you litter, you stop or if you drive, it works pretty well. Where could you improve is in transparent mode, which lets you hear the noise outside, it works well but is not as impressive as in the model of Sennheiser"&amp;" true wirless, the outside is heard as if you did not have any clothes and background music. ✅CONEXIÓN ------------------------------------------- Very fast, is to take the handset of the case and already paired with your phone. I can have the phone in hi"&amp;"s pants without losing signal this with such BeoPlay sometimes I failed me and forced me to carry the phone in your shirt pocket or jacket, with this model it does not happen to me. SOUND ✅CALIDAD the base ------------------------------------------- equal"&amp;"ization is a bit flat, playing with the app can equalize your taste is improved enough, although you upload fails to low saturate, but does not have much punch. Are headphones that sound good but for lovers of low perhaps notice that something is missing."&amp;" ------------------------------------------- ✅CONFORT Despite the size are a lightweight headset and fairly comfortable. It Includes 7 pairs of pads of different sizes and materials, if you are not comfortable with these is that these headphones are not y"&amp;"our thing we liked: ❌ESTUCHE ------------- ------------------------------ for my taste too bulky to carry in your pocket, the interesting thing about the case is that it is compact, as thin as possible, but this is quite the opposite, it seems designed to"&amp;" carry in a purse or backpack. The good thing is using USB-C and fast loading. The headphones are very easily magnetized and placed because they are placed practically alone the closer. The design is no noteworthy that although it is somewhat bigger than "&amp;"it does not bother usual, is carried comfortably and can run with them without falling, the advantage of this design is that it gives up to 8 hours of playback on a single charge, where usual in this type of headphones is that is close to the 6. ❌BOTONES "&amp;"-------------------------------- ----------- it has a touch button on each handset, with this you have to control everything, reproduction, volume, cancel ... which is up three hits in a row to perform an action. Not very intuitive and learning you have t"&amp;"o commands. For example, the right headset lets you control playback and left cancellation. You can change the response from the app. ------------------------------------------- ❌DEPORTE does not appear any information about if they are resistant to water"&amp;", I have I used to run and endure without falling, but would not recommend for sports because I do not think that support good sweat and design does not give me security because although it is subject well could fall over.")</f>
        <v>very complete, the best in its category below 250 € I think they are very good headphones within your price range, a fantastic option that can compete with models of 350 €, as the BeoPlay 8.0, sennheiser momentum true wireless or Master and Dynamic mw07, have these models and although it does not sound quality, playing with the equalizer a level of very similar quality is achieved. In short if you do not want to read you all, they are an excellent choice within the price range of 250 € and meet well in all sections. What I liked most: FREE ✅MANOS ---------------------------------------- --- - Very good, listening to the best outdoor like cogieras the phone, the caller does not notice at all that you're using a hands-free and this is not common in wireless models, I think so far is at the top as speakerphones. NOISE ✅CANCELACIÓN ------------------------------------------- In this section It does not reach the quality level of his older brother Sony WH1000XM2, but it is surprising how something so small can cancel and, together with pillows also cancel the noise level pretty good insulation is achieved, enough to go on Metro without turning up the volume. When more notes cancellation is when you take them off. With the application for the phone can be set to noise cancellation suits by state, if you litter, you stop or if you drive, it works pretty well. Where could you improve is in transparent mode, which lets you hear the noise outside, it works well but is not as impressive as in the model of Sennheiser true wirless, the outside is heard as if you did not have any clothes and background music. ✅CONEXIÓN ------------------------------------------- Very fast, is to take the handset of the case and already paired with your phone. I can have the phone in his pants without losing signal this with such BeoPlay sometimes I failed me and forced me to carry the phone in your shirt pocket or jacket, with this model it does not happen to me. SOUND ✅CALIDAD the base ------------------------------------------- equalization is a bit flat, playing with the app can equalize your taste is improved enough, although you upload fails to low saturate, but does not have much punch. Are headphones that sound good but for lovers of low perhaps notice that something is missing. ------------------------------------------- ✅CONFORT Despite the size are a lightweight headset and fairly comfortable. It Includes 7 pairs of pads of different sizes and materials, if you are not comfortable with these is that these headphones are not your thing we liked: ❌ESTUCHE ------------- ------------------------------ for my taste too bulky to carry in your pocket, the interesting thing about the case is that it is compact, as thin as possible, but this is quite the opposite, it seems designed to carry in a purse or backpack. The good thing is using USB-C and fast loading. The headphones are very easily magnetized and placed because they are placed practically alone the closer. The design is no noteworthy that although it is somewhat bigger than it does not bother usual, is carried comfortably and can run with them without falling, the advantage of this design is that it gives up to 8 hours of playback on a single charge, where usual in this type of headphones is that is close to the 6. ❌BOTONES -------------------------------- ----------- it has a touch button on each handset, with this you have to control everything, reproduction, volume, cancel ... which is up three hits in a row to perform an action. Not very intuitive and learning you have to commands. For example, the right headset lets you control playback and left cancellation. You can change the response from the app. ------------------------------------------- ❌DEPORTE does not appear any information about if they are resistant to water, I have I used to run and endure without falling, but would not recommend for sports because I do not think that support good sweat and design does not give me security because although it is subject well could fall over.</v>
      </c>
    </row>
    <row r="19524">
      <c r="A19524" s="1">
        <v>5.0</v>
      </c>
      <c r="B19524" s="1" t="s">
        <v>19334</v>
      </c>
      <c r="C19524" t="str">
        <f>IFERROR(__xludf.DUMMYFUNCTION("GOOGLETRANSLATE(B19524, ""es"", ""en"")"),"100% recommended Highly recommended. If it is true that perhaps the amount that fits in the glass is fair, but for a single person is sufficient. perfect and very fast crushes everything.")</f>
        <v>100% recommended Highly recommended. If it is true that perhaps the amount that fits in the glass is fair, but for a single person is sufficient. perfect and very fast crushes everything.</v>
      </c>
    </row>
    <row r="19525">
      <c r="A19525" s="1">
        <v>5.0</v>
      </c>
      <c r="B19525" s="1" t="s">
        <v>19335</v>
      </c>
      <c r="C19525" t="str">
        <f>IFERROR(__xludf.DUMMYFUNCTION("GOOGLETRANSLATE(B19525, ""es"", ""en"")"),"Buy it! I've been using it a while and this great! With the function for microsd Blast is great, to improve the volume (for my taste could have more, by street noise) but everything else amazing! Practical and more than acceptable for the price! Weigh not"&amp;"hing are very practical to bring microsd Blast is an added quality perfect price point!")</f>
        <v>Buy it! I've been using it a while and this great! With the function for microsd Blast is great, to improve the volume (for my taste could have more, by street noise) but everything else amazing! Practical and more than acceptable for the price! Weigh nothing are very practical to bring microsd Blast is an added quality perfect price point!</v>
      </c>
    </row>
    <row r="19526">
      <c r="A19526" s="1">
        <v>5.0</v>
      </c>
      <c r="B19526" s="1" t="s">
        <v>19336</v>
      </c>
      <c r="C19526" t="str">
        <f>IFERROR(__xludf.DUMMYFUNCTION("GOOGLETRANSLATE(B19526, ""es"", ""en"")"),"Great hanging very fine, it is ideal for gift and for the price the truth that is fine, comes with box")</f>
        <v>Great hanging very fine, it is ideal for gift and for the price the truth that is fine, comes with box</v>
      </c>
    </row>
    <row r="19527">
      <c r="A19527" s="1">
        <v>5.0</v>
      </c>
      <c r="B19527" s="1" t="s">
        <v>19337</v>
      </c>
      <c r="C19527" t="str">
        <f>IFERROR(__xludf.DUMMYFUNCTION("GOOGLETRANSLATE(B19527, ""es"", ""en"")"),"Nothing quite well for that price. Good sound and very comfortable. I use it with iPhone and connect to the instant")</f>
        <v>Nothing quite well for that price. Good sound and very comfortable. I use it with iPhone and connect to the instant</v>
      </c>
    </row>
    <row r="19528">
      <c r="A19528" s="1">
        <v>5.0</v>
      </c>
      <c r="B19528" s="1" t="s">
        <v>19338</v>
      </c>
      <c r="C19528" t="str">
        <f>IFERROR(__xludf.DUMMYFUNCTION("GOOGLETRANSLATE(B19528, ""es"", ""en"")"),"Carlos Vallejo Beautiful briefly to set with earrings are beautiful in a woman a great gift for someone special !!")</f>
        <v>Carlos Vallejo Beautiful briefly to set with earrings are beautiful in a woman a great gift for someone special !!</v>
      </c>
    </row>
    <row r="19529">
      <c r="A19529" s="1">
        <v>5.0</v>
      </c>
      <c r="B19529" s="1" t="s">
        <v>19339</v>
      </c>
      <c r="C19529" t="str">
        <f>IFERROR(__xludf.DUMMYFUNCTION("GOOGLETRANSLATE(B19529, ""es"", ""en"")"),"Presentation has come in a set package, in which everything is perfectly packed with original boxes, manuals and seals. Operation is try. Incidentally, the clamping screw of this specification does not come with the memory, otherwise, with the motherboard"&amp;".")</f>
        <v>Presentation has come in a set package, in which everything is perfectly packed with original boxes, manuals and seals. Operation is try. Incidentally, the clamping screw of this specification does not come with the memory, otherwise, with the motherboard.</v>
      </c>
    </row>
    <row r="19530">
      <c r="A19530" s="1">
        <v>5.0</v>
      </c>
      <c r="B19530" s="1" t="s">
        <v>19340</v>
      </c>
      <c r="C19530" t="str">
        <f>IFERROR(__xludf.DUMMYFUNCTION("GOOGLETRANSLATE(B19530, ""es"", ""en"")"),"Resistant material Plastic is very good material but has fallen several times and breaks, it is easy to grasp for children, and is anti-colic silicone nipple is in fact is the only one who wants our child. The only downside is a bit difficult to clean up "&amp;"the bottom so long that it would have to buy a bottle brush to clean it part time. I hope this review has been helpful, if so, give the LIKE. Thank you")</f>
        <v>Resistant material Plastic is very good material but has fallen several times and breaks, it is easy to grasp for children, and is anti-colic silicone nipple is in fact is the only one who wants our child. The only downside is a bit difficult to clean up the bottom so long that it would have to buy a bottle brush to clean it part time. I hope this review has been helpful, if so, give the LIKE. Thank you</v>
      </c>
    </row>
    <row r="19531">
      <c r="A19531" s="1">
        <v>5.0</v>
      </c>
      <c r="B19531" s="1" t="s">
        <v>19341</v>
      </c>
      <c r="C19531" t="str">
        <f>IFERROR(__xludf.DUMMYFUNCTION("GOOGLETRANSLATE(B19531, ""es"", ""en"")"),"Very good sound good sound and very good price. Graves unbeatable. They are a wired headset to use the gym and for running. not out of the ears. Try not to listen to blaring to avoid damaging your ears.")</f>
        <v>Very good sound good sound and very good price. Graves unbeatable. They are a wired headset to use the gym and for running. not out of the ears. Try not to listen to blaring to avoid damaging your ears.</v>
      </c>
    </row>
    <row r="19532">
      <c r="A19532" s="1">
        <v>5.0</v>
      </c>
      <c r="B19532" s="1" t="s">
        <v>19342</v>
      </c>
      <c r="C19532" t="str">
        <f>IFERROR(__xludf.DUMMYFUNCTION("GOOGLETRANSLATE(B19532, ""es"", ""en"")"),"As I like, it's nice. It is exactly like the picture. The photo of the cover can be removed and put you want. It has many pages, so it can fit many photos. The pages are black so I recommend that if you pretend to write to them to judge with a white pen o"&amp;"r other clear or metallic color gel to make it look.")</f>
        <v>As I like, it's nice. It is exactly like the picture. The photo of the cover can be removed and put you want. It has many pages, so it can fit many photos. The pages are black so I recommend that if you pretend to write to them to judge with a white pen or other clear or metallic color gel to make it look.</v>
      </c>
    </row>
    <row r="19533">
      <c r="A19533" s="1">
        <v>2.0</v>
      </c>
      <c r="B19533" s="1" t="s">
        <v>19343</v>
      </c>
      <c r="C19533" t="str">
        <f>IFERROR(__xludf.DUMMYFUNCTION("GOOGLETRANSLATE(B19533, ""es"", ""en"")"),"Disappointed. The watch comes in a carton in a plastic bag, DO NOT BRING INSTRUCTIONS AND COMES WITHOUT INVOICE. Maybe it's the original.")</f>
        <v>Disappointed. The watch comes in a carton in a plastic bag, DO NOT BRING INSTRUCTIONS AND COMES WITHOUT INVOICE. Maybe it's the original.</v>
      </c>
    </row>
    <row r="19534">
      <c r="A19534" s="1">
        <v>3.0</v>
      </c>
      <c r="B19534" s="1" t="s">
        <v>19344</v>
      </c>
      <c r="C19534" t="str">
        <f>IFERROR(__xludf.DUMMYFUNCTION("GOOGLETRANSLATE(B19534, ""es"", ""en"")"),"good inside than I expected good inside than I expected")</f>
        <v>good inside than I expected good inside than I expected</v>
      </c>
    </row>
    <row r="19535">
      <c r="A19535" s="1">
        <v>3.0</v>
      </c>
      <c r="B19535" s="1" t="s">
        <v>19345</v>
      </c>
      <c r="C19535" t="str">
        <f>IFERROR(__xludf.DUMMYFUNCTION("GOOGLETRANSLATE(B19535, ""es"", ""en"")"),"Lights with a little perfume must take many drops to smell something. And then scratchy throat at least me. Very pretty lights")</f>
        <v>Lights with a little perfume must take many drops to smell something. And then scratchy throat at least me. Very pretty lights</v>
      </c>
    </row>
    <row r="19536">
      <c r="A19536" s="1">
        <v>3.0</v>
      </c>
      <c r="B19536" s="1" t="s">
        <v>19346</v>
      </c>
      <c r="C19536" t="str">
        <f>IFERROR(__xludf.DUMMYFUNCTION("GOOGLETRANSLATE(B19536, ""es"", ""en"")"),"But weighs just have to take care of the design What I liked most is its smoothness and low weight on his shoulders. What it is less that has a thick edge that bother you when you wear lying or lying. A maximum position 3 is heated well, but not as wished"&amp;". As for the setting it is perfect for someone with more substantial than me. In the photos you take my son. Still, I've put a cream for contractures and pad for two days, morning and afternoon about two hours each time. I noticed a lot of improvement.")</f>
        <v>But weighs just have to take care of the design What I liked most is its smoothness and low weight on his shoulders. What it is less that has a thick edge that bother you when you wear lying or lying. A maximum position 3 is heated well, but not as wished. As for the setting it is perfect for someone with more substantial than me. In the photos you take my son. Still, I've put a cream for contractures and pad for two days, morning and afternoon about two hours each time. I noticed a lot of improvement.</v>
      </c>
    </row>
    <row r="19537">
      <c r="A19537" s="1">
        <v>1.0</v>
      </c>
      <c r="B19537" s="1" t="s">
        <v>19347</v>
      </c>
      <c r="C19537" t="str">
        <f>IFERROR(__xludf.DUMMYFUNCTION("GOOGLETRANSLATE(B19537, ""es"", ""en"")"),"does not work took longer than expected to arrive and when they amount to prove it does not work, disappointed me completely, I asked for a similar, I hope this time if that works because I use to broadcast live and this me inconvenienced.")</f>
        <v>does not work took longer than expected to arrive and when they amount to prove it does not work, disappointed me completely, I asked for a similar, I hope this time if that works because I use to broadcast live and this me inconvenienced.</v>
      </c>
    </row>
    <row r="19538">
      <c r="A19538" s="1">
        <v>1.0</v>
      </c>
      <c r="B19538" s="1" t="s">
        <v>19348</v>
      </c>
      <c r="C19538" t="str">
        <f>IFERROR(__xludf.DUMMYFUNCTION("GOOGLETRANSLATE(B19538, ""es"", ""en"")"),"beaded bracelet The truth is nothing of the other world, but for the price it has.")</f>
        <v>beaded bracelet The truth is nothing of the other world, but for the price it has.</v>
      </c>
    </row>
    <row r="19539">
      <c r="A19539" s="1">
        <v>4.0</v>
      </c>
      <c r="B19539" s="1" t="s">
        <v>19349</v>
      </c>
      <c r="C19539" t="str">
        <f>IFERROR(__xludf.DUMMYFUNCTION("GOOGLETRANSLATE(B19539, ""es"", ""en"")"),"Rebeca Goyenechea Very silent is not ... it puts the jar which is 2'3l, but you can only work up to 1'5l. Besides all this seems good mixer")</f>
        <v>Rebeca Goyenechea Very silent is not ... it puts the jar which is 2'3l, but you can only work up to 1'5l. Besides all this seems good mixer</v>
      </c>
    </row>
    <row r="19540">
      <c r="A19540" s="1">
        <v>4.0</v>
      </c>
      <c r="B19540" s="1" t="s">
        <v>19350</v>
      </c>
      <c r="C19540" t="str">
        <f>IFERROR(__xludf.DUMMYFUNCTION("GOOGLETRANSLATE(B19540, ""es"", ""en"")"),"Good buy My 7 year old daughter uses it for its flamenco classes and doing quite well, I ordered a size too and looks great. Non-professional classes is very correct. I arrive in perfect condition.")</f>
        <v>Good buy My 7 year old daughter uses it for its flamenco classes and doing quite well, I ordered a size too and looks great. Non-professional classes is very correct. I arrive in perfect condition.</v>
      </c>
    </row>
    <row r="19541">
      <c r="A19541" s="1">
        <v>4.0</v>
      </c>
      <c r="B19541" s="1" t="s">
        <v>19351</v>
      </c>
      <c r="C19541" t="str">
        <f>IFERROR(__xludf.DUMMYFUNCTION("GOOGLETRANSLATE(B19541, ""es"", ""en"")"),"Almost all fine watch meets all expectations. In my case is not a pleasant experience because it is not well suited to the size of my wrist: if I put the closure in the hole more snug, just leaving marks and if I put it in a more open, the clock just danc"&amp;"ing a little on the wrist . Otherwise everything perfect.")</f>
        <v>Almost all fine watch meets all expectations. In my case is not a pleasant experience because it is not well suited to the size of my wrist: if I put the closure in the hole more snug, just leaving marks and if I put it in a more open, the clock just dancing a little on the wrist . Otherwise everything perfect.</v>
      </c>
    </row>
    <row r="19542">
      <c r="A19542" s="1">
        <v>4.0</v>
      </c>
      <c r="B19542" s="1" t="s">
        <v>19352</v>
      </c>
      <c r="C19542" t="str">
        <f>IFERROR(__xludf.DUMMYFUNCTION("GOOGLETRANSLATE(B19542, ""es"", ""en"")"),"in general is a good product finishes are very well, only heated by the bottom. It must be put to maximum power forever, if not, hardly noticeable. To warm the feet at home is enough to go to the town where it is colder falls a bit short. I think it's a g"&amp;"ood always buy you're in a place not too cold.")</f>
        <v>in general is a good product finishes are very well, only heated by the bottom. It must be put to maximum power forever, if not, hardly noticeable. To warm the feet at home is enough to go to the town where it is colder falls a bit short. I think it's a good always buy you're in a place not too cold.</v>
      </c>
    </row>
    <row r="19543">
      <c r="A19543" s="1">
        <v>4.0</v>
      </c>
      <c r="B19543" s="1" t="s">
        <v>19353</v>
      </c>
      <c r="C19543" t="str">
        <f>IFERROR(__xludf.DUMMYFUNCTION("GOOGLETRANSLATE(B19543, ""es"", ""en"")"),"Very good blender - very good quality and good finish - To the beat does not splash at all. - The turbo mode and holds great bat much Antea time to start warming up.")</f>
        <v>Very good blender - very good quality and good finish - To the beat does not splash at all. - The turbo mode and holds great bat much Antea time to start warming up.</v>
      </c>
    </row>
    <row r="19544">
      <c r="A19544" s="1">
        <v>5.0</v>
      </c>
      <c r="B19544" s="1" t="s">
        <v>19354</v>
      </c>
      <c r="C19544" t="str">
        <f>IFERROR(__xludf.DUMMYFUNCTION("GOOGLETRANSLATE(B19544, ""es"", ""en"")"),"Very practical and easy to use I was surprised by the power you have, as I pressed the button has beaten all. It is very practical to make the smoothie and drink it in the same boat. Also it closes well and not get anything, so I can take him to the gym w"&amp;"ithout problems. Capacity is perfect for a smoothie.")</f>
        <v>Very practical and easy to use I was surprised by the power you have, as I pressed the button has beaten all. It is very practical to make the smoothie and drink it in the same boat. Also it closes well and not get anything, so I can take him to the gym without problems. Capacity is perfect for a smoothie.</v>
      </c>
    </row>
    <row r="19545">
      <c r="A19545" s="1">
        <v>5.0</v>
      </c>
      <c r="B19545" s="1" t="s">
        <v>19355</v>
      </c>
      <c r="C19545" t="str">
        <f>IFERROR(__xludf.DUMMYFUNCTION("GOOGLETRANSLATE(B19545, ""es"", ""en"")"),"Practical. Good sound")</f>
        <v>Practical. Good sound</v>
      </c>
    </row>
    <row r="19546">
      <c r="A19546" s="1">
        <v>5.0</v>
      </c>
      <c r="B19546" s="1" t="s">
        <v>19356</v>
      </c>
      <c r="C19546" t="str">
        <f>IFERROR(__xludf.DUMMYFUNCTION("GOOGLETRANSLATE(B19546, ""es"", ""en"")"),"Perfect and light perfect, as is")</f>
        <v>Perfect and light perfect, as is</v>
      </c>
    </row>
    <row r="19547">
      <c r="A19547" s="1">
        <v>5.0</v>
      </c>
      <c r="B19547" s="1" t="s">
        <v>19357</v>
      </c>
      <c r="C19547" t="str">
        <f>IFERROR(__xludf.DUMMYFUNCTION("GOOGLETRANSLATE(B19547, ""es"", ""en"")"),"Shirts comfortable and beautiful woman")</f>
        <v>Shirts comfortable and beautiful woman</v>
      </c>
    </row>
    <row r="19548">
      <c r="A19548" s="1">
        <v>5.0</v>
      </c>
      <c r="B19548" s="1" t="s">
        <v>19358</v>
      </c>
      <c r="C19548" t="str">
        <f>IFERROR(__xludf.DUMMYFUNCTION("GOOGLETRANSLATE(B19548, ""es"", ""en"")"),"Super useful super useful")</f>
        <v>Super useful super useful</v>
      </c>
    </row>
    <row r="19549">
      <c r="A19549" s="1">
        <v>5.0</v>
      </c>
      <c r="B19549" s="1" t="s">
        <v>19359</v>
      </c>
      <c r="C19549" t="str">
        <f>IFERROR(__xludf.DUMMYFUNCTION("GOOGLETRANSLATE(B19549, ""es"", ""en"")"),"Lovely great and super warm and super warm design size too snug super modern hits cn all")</f>
        <v>Lovely great and super warm and super warm design size too snug super modern hits cn all</v>
      </c>
    </row>
    <row r="19550">
      <c r="A19550" s="1">
        <v>5.0</v>
      </c>
      <c r="B19550" s="1" t="s">
        <v>19360</v>
      </c>
      <c r="C19550" t="str">
        <f>IFERROR(__xludf.DUMMYFUNCTION("GOOGLETRANSLATE(B19550, ""es"", ""en"")"),"Value'm Amazed! I received them yesterday. I am professional sound. I could not imagine this price sound quality and materials you have. Lodge been using for three hours and just that and rechargeable battery lasted receiver. Stacks of micros still indica"&amp;"te full charge. I recommend it. I will buy more. Insurance.")</f>
        <v>Value'm Amazed! I received them yesterday. I am professional sound. I could not imagine this price sound quality and materials you have. Lodge been using for three hours and just that and rechargeable battery lasted receiver. Stacks of micros still indicate full charge. I recommend it. I will buy more. Insurance.</v>
      </c>
    </row>
    <row r="19551">
      <c r="A19551" s="1">
        <v>5.0</v>
      </c>
      <c r="B19551" s="1" t="s">
        <v>19361</v>
      </c>
      <c r="C19551" t="str">
        <f>IFERROR(__xludf.DUMMYFUNCTION("GOOGLETRANSLATE(B19551, ""es"", ""en"")"),"Everything perfect Pesa pretty but very good product, buy it to my grandmother who has little vision and helps you a lot")</f>
        <v>Everything perfect Pesa pretty but very good product, buy it to my grandmother who has little vision and helps you a lot</v>
      </c>
    </row>
    <row r="19552">
      <c r="A19552" s="1">
        <v>5.0</v>
      </c>
      <c r="B19552" s="1" t="s">
        <v>19362</v>
      </c>
      <c r="C19552" t="str">
        <f>IFERROR(__xludf.DUMMYFUNCTION("GOOGLETRANSLATE(B19552, ""es"", ""en"")"),"Perfect I use a 39 normally and I took size 40 and they fit like a glove")</f>
        <v>Perfect I use a 39 normally and I took size 40 and they fit like a glove</v>
      </c>
    </row>
    <row r="19553">
      <c r="A19553" s="1">
        <v>5.0</v>
      </c>
      <c r="B19553" s="1" t="s">
        <v>19363</v>
      </c>
      <c r="C19553" t="str">
        <f>IFERROR(__xludf.DUMMYFUNCTION("GOOGLETRANSLATE(B19553, ""es"", ""en"")"),"Toesox socks for yoga practice yoga regularly and these socks are totally recommended. His grip on the mat for balance is perfect postures, as well as any other exercise. They are very comfortable and fit your feet perfectly. Premium delivery with Amazon "&amp;"great. I'll buy a couple more of this brand, Toesox.")</f>
        <v>Toesox socks for yoga practice yoga regularly and these socks are totally recommended. His grip on the mat for balance is perfect postures, as well as any other exercise. They are very comfortable and fit your feet perfectly. Premium delivery with Amazon great. I'll buy a couple more of this brand, Toesox.</v>
      </c>
    </row>
    <row r="19554">
      <c r="A19554" s="1">
        <v>5.0</v>
      </c>
      <c r="B19554" s="1" t="s">
        <v>19364</v>
      </c>
      <c r="C19554" t="str">
        <f>IFERROR(__xludf.DUMMYFUNCTION("GOOGLETRANSLATE(B19554, ""es"", ""en"")"),"Very good product was a gift for my q wife had always wanted a blender cup, I believed q is not really necessary but seen the results surprised me. Q has the power is quite good, grinds everything much faster q a hand mixer and leaves it better. As for ma"&amp;"terials, the jar is glass, and it seems pretty big q tough, the rest is plastic, but the blades are easily removed and cleaned very quickly. Overall the opinion of the product is very good")</f>
        <v>Very good product was a gift for my q wife had always wanted a blender cup, I believed q is not really necessary but seen the results surprised me. Q has the power is quite good, grinds everything much faster q a hand mixer and leaves it better. As for materials, the jar is glass, and it seems pretty big q tough, the rest is plastic, but the blades are easily removed and cleaned very quickly. Overall the opinion of the product is very good</v>
      </c>
    </row>
    <row r="19555">
      <c r="A19555" s="1">
        <v>5.0</v>
      </c>
      <c r="B19555" s="1" t="s">
        <v>19365</v>
      </c>
      <c r="C19555" t="str">
        <f>IFERROR(__xludf.DUMMYFUNCTION("GOOGLETRANSLATE(B19555, ""es"", ""en"")"),"Perfect for recovery Le buy this product to my father because he had some pain in the back of the fatigue accumulated at work and according to this product helps you recover so I give it 5 stars because it shows how effective it is.")</f>
        <v>Perfect for recovery Le buy this product to my father because he had some pain in the back of the fatigue accumulated at work and according to this product helps you recover so I give it 5 stars because it shows how effective it is.</v>
      </c>
    </row>
    <row r="19556">
      <c r="A19556" s="1">
        <v>5.0</v>
      </c>
      <c r="B19556" s="1" t="s">
        <v>19366</v>
      </c>
      <c r="C19556" t="str">
        <f>IFERROR(__xludf.DUMMYFUNCTION("GOOGLETRANSLATE(B19556, ""es"", ""en"")"),"Super you comfortable all I can say is good. highly recommended")</f>
        <v>Super you comfortable all I can say is good. highly recommended</v>
      </c>
    </row>
    <row r="19557">
      <c r="A19557" s="1">
        <v>5.0</v>
      </c>
      <c r="B19557" s="1" t="s">
        <v>19367</v>
      </c>
      <c r="C19557" t="str">
        <f>IFERROR(__xludf.DUMMYFUNCTION("GOOGLETRANSLATE(B19557, ""es"", ""en"")"),"Microphone powerful and fun. Great")</f>
        <v>Microphone powerful and fun. Great</v>
      </c>
    </row>
    <row r="19558">
      <c r="A19558" s="1">
        <v>5.0</v>
      </c>
      <c r="B19558" s="1" t="s">
        <v>19368</v>
      </c>
      <c r="C19558" t="str">
        <f>IFERROR(__xludf.DUMMYFUNCTION("GOOGLETRANSLATE(B19558, ""es"", ""en"")"),"It is what I expected deliver what they promise, yes I have done some need a little more grip in the concha, some of these types carry some rubber on top to fit better, this is the only that grabs the ear is its shape and how well fitted it is gum alante,"&amp;" as the sound is acceptable no wonder, and ignition problems and matching are solved by loading the box first, aesthetically're not bad, although the buttons plastic give a feeling of low quality, as I say would lack know the price they will have, the lef"&amp;"t ear is dominant, so when the battery is a little low, we put the mobile in the same vertical, I do have to say that pairing has been done without any problems, my phone has bluetooth connection, it should be noted that the level of sealing have achieved"&amp;" is quite excellent considering that have buttons m obile on both headphones, means that these headphones could survive being submerged for a period not exceeding 30 minutes at a depth of no more than one meter of water, so it would be a good choice for a"&amp;"thletes")</f>
        <v>It is what I expected deliver what they promise, yes I have done some need a little more grip in the concha, some of these types carry some rubber on top to fit better, this is the only that grabs the ear is its shape and how well fitted it is gum alante, as the sound is acceptable no wonder, and ignition problems and matching are solved by loading the box first, aesthetically're not bad, although the buttons plastic give a feeling of low quality, as I say would lack know the price they will have, the left ear is dominant, so when the battery is a little low, we put the mobile in the same vertical, I do have to say that pairing has been done without any problems, my phone has bluetooth connection, it should be noted that the level of sealing have achieved is quite excellent considering that have buttons m obile on both headphones, means that these headphones could survive being submerged for a period not exceeding 30 minutes at a depth of no more than one meter of water, so it would be a good choice for athletes</v>
      </c>
    </row>
    <row r="19559">
      <c r="A19559" s="1">
        <v>5.0</v>
      </c>
      <c r="B19559" s="1" t="s">
        <v>19369</v>
      </c>
      <c r="C19559" t="str">
        <f>IFERROR(__xludf.DUMMYFUNCTION("GOOGLETRANSLATE(B19559, ""es"", ""en"")"),"Casio, nothing more to say. Very nice watch and striking. Casio system lifetime. Price somewhat high, but as they are now fashionable ....")</f>
        <v>Casio, nothing more to say. Very nice watch and striking. Casio system lifetime. Price somewhat high, but as they are now fashionable ....</v>
      </c>
    </row>
    <row r="19560">
      <c r="A19560" s="1">
        <v>5.0</v>
      </c>
      <c r="B19560" s="1" t="s">
        <v>19370</v>
      </c>
      <c r="C19560" t="str">
        <f>IFERROR(__xludf.DUMMYFUNCTION("GOOGLETRANSLATE(B19560, ""es"", ""en"")"),"Very original and good finish is noted that it is an original charm of Pandora, good workmanship and good design. It was a gift and liked it.")</f>
        <v>Very original and good finish is noted that it is an original charm of Pandora, good workmanship and good design. It was a gift and liked it.</v>
      </c>
    </row>
    <row r="19561">
      <c r="A19561" s="1">
        <v>5.0</v>
      </c>
      <c r="B19561" s="1" t="s">
        <v>19371</v>
      </c>
      <c r="C19561" t="str">
        <f>IFERROR(__xludf.DUMMYFUNCTION("GOOGLETRANSLATE(B19561, ""es"", ""en"")"),"Quality, design and price. Quality, design. Sure will more orders, the designs are beautiful as well as price. Delighted with the material which I recommend my students of Yoga.")</f>
        <v>Quality, design and price. Quality, design. Sure will more orders, the designs are beautiful as well as price. Delighted with the material which I recommend my students of Yoga.</v>
      </c>
    </row>
    <row r="19562">
      <c r="A19562" s="1">
        <v>5.0</v>
      </c>
      <c r="B19562" s="1" t="s">
        <v>19372</v>
      </c>
      <c r="C19562" t="str">
        <f>IFERROR(__xludf.DUMMYFUNCTION("GOOGLETRANSLATE(B19562, ""es"", ""en"")"),"Normally I use a size 39 expected but I ordered the 40 sizes orientation on the product and give me are perfect, they are also very light.")</f>
        <v>Normally I use a size 39 expected but I ordered the 40 sizes orientation on the product and give me are perfect, they are also very light.</v>
      </c>
    </row>
    <row r="19563">
      <c r="A19563" s="1">
        <v>2.0</v>
      </c>
      <c r="B19563" s="1" t="s">
        <v>19373</v>
      </c>
      <c r="C19563" t="str">
        <f>IFERROR(__xludf.DUMMYFUNCTION("GOOGLETRANSLATE(B19563, ""es"", ""en"")"),"The kettle warming fiasco perfectly, but has not lasted a month, I bought the October 15, not used daily and no longer works today.")</f>
        <v>The kettle warming fiasco perfectly, but has not lasted a month, I bought the October 15, not used daily and no longer works today.</v>
      </c>
    </row>
    <row r="19564">
      <c r="A19564" s="1">
        <v>3.0</v>
      </c>
      <c r="B19564" s="1" t="s">
        <v>19374</v>
      </c>
      <c r="C19564" t="str">
        <f>IFERROR(__xludf.DUMMYFUNCTION("GOOGLETRANSLATE(B19564, ""es"", ""en"")"),"Only close to the backhand one thing I do not like, which closes at the back, as if it were a woman, also corresponds to what I expected")</f>
        <v>Only close to the backhand one thing I do not like, which closes at the back, as if it were a woman, also corresponds to what I expected</v>
      </c>
    </row>
    <row r="19565">
      <c r="A19565" s="1">
        <v>1.0</v>
      </c>
      <c r="B19565" s="1" t="s">
        <v>19375</v>
      </c>
      <c r="C19565" t="str">
        <f>IFERROR(__xludf.DUMMYFUNCTION("GOOGLETRANSLATE(B19565, ""es"", ""en"")"),"After 3 months, the hard drive will start deleting files without broke If full, just let the icon and 0 bytes")</f>
        <v>After 3 months, the hard drive will start deleting files without broke If full, just let the icon and 0 bytes</v>
      </c>
    </row>
    <row r="19566">
      <c r="A19566" s="1">
        <v>1.0</v>
      </c>
      <c r="B19566" s="1" t="s">
        <v>19376</v>
      </c>
      <c r="C19566" t="str">
        <f>IFERROR(__xludf.DUMMYFUNCTION("GOOGLETRANSLATE(B19566, ""es"", ""en"")"),"Comfortable and fast but the sole wears at the speed of light very comfortable but the owner hard ... Two days unless you have a technique that philotes on the ground")</f>
        <v>Comfortable and fast but the sole wears at the speed of light very comfortable but the owner hard ... Two days unless you have a technique that philotes on the ground</v>
      </c>
    </row>
    <row r="19567">
      <c r="A19567" s="1">
        <v>4.0</v>
      </c>
      <c r="B19567" s="1" t="s">
        <v>19377</v>
      </c>
      <c r="C19567" t="str">
        <f>IFERROR(__xludf.DUMMYFUNCTION("GOOGLETRANSLATE(B19567, ""es"", ""en"")"),"Good connectivity, not too much quality audio The very fast connection, Spanish language indicating the battery level and battery will hold a lot. Against the volume is not too high hear in environments with people is hard to hear the conversation. After "&amp;"a long bothered me the ear.")</f>
        <v>Good connectivity, not too much quality audio The very fast connection, Spanish language indicating the battery level and battery will hold a lot. Against the volume is not too high hear in environments with people is hard to hear the conversation. After a long bothered me the ear.</v>
      </c>
    </row>
    <row r="19568">
      <c r="A19568" s="1">
        <v>4.0</v>
      </c>
      <c r="B19568" s="1" t="s">
        <v>19378</v>
      </c>
      <c r="C19568" t="str">
        <f>IFERROR(__xludf.DUMMYFUNCTION("GOOGLETRANSLATE(B19568, ""es"", ""en"")"),"The good product there are faster, bigger, and of course with higher quality. but the value for money is very hard to beat for this product")</f>
        <v>The good product there are faster, bigger, and of course with higher quality. but the value for money is very hard to beat for this product</v>
      </c>
    </row>
    <row r="19569">
      <c r="A19569" s="1">
        <v>4.0</v>
      </c>
      <c r="B19569" s="1" t="s">
        <v>19379</v>
      </c>
      <c r="C19569" t="str">
        <f>IFERROR(__xludf.DUMMYFUNCTION("GOOGLETRANSLATE(B19569, ""es"", ""en"")"),"Highly recommended A very good watch, with a failure of one minute every 2 days, a running time of about 12 hours approximately, perfectly readable with a good luminescence and movement of soft and precious seconds, the nylon strap is very comfortable, ta"&amp;"kes certain smell if used at some point in physical stress and sweat but easily laba. I give 4 stars for that came with 2 failures, the first thing that did not come in Spanish, is not something I bother but if it is a shipping error because it came only "&amp;"in English and German, and another small bug but should not I have it, is the hallmark ""5"", are ligeramenre wide left, leaving a thin white line on the right giving emphasize that it is not the millimeter in position, is not something that affects their"&amp;" performance is excellent, but if in view of someone who is very fixed on small details. Otherwise, a beautiful clock for use in the day.")</f>
        <v>Highly recommended A very good watch, with a failure of one minute every 2 days, a running time of about 12 hours approximately, perfectly readable with a good luminescence and movement of soft and precious seconds, the nylon strap is very comfortable, takes certain smell if used at some point in physical stress and sweat but easily laba. I give 4 stars for that came with 2 failures, the first thing that did not come in Spanish, is not something I bother but if it is a shipping error because it came only in English and German, and another small bug but should not I have it, is the hallmark "5", are ligeramenre wide left, leaving a thin white line on the right giving emphasize that it is not the millimeter in position, is not something that affects their performance is excellent, but if in view of someone who is very fixed on small details. Otherwise, a beautiful clock for use in the day.</v>
      </c>
    </row>
    <row r="19570">
      <c r="A19570" s="1">
        <v>4.0</v>
      </c>
      <c r="B19570" s="1" t="s">
        <v>932</v>
      </c>
      <c r="C19570" t="str">
        <f>IFERROR(__xludf.DUMMYFUNCTION("GOOGLETRANSLATE(B19570, ""es"", ""en"")"),"All right all right")</f>
        <v>All right all right</v>
      </c>
    </row>
    <row r="19571">
      <c r="A19571" s="1">
        <v>4.0</v>
      </c>
      <c r="B19571" s="1" t="s">
        <v>19380</v>
      </c>
      <c r="C19571" t="str">
        <f>IFERROR(__xludf.DUMMYFUNCTION("GOOGLETRANSLATE(B19571, ""es"", ""en"")"),"Regular ... There are bad ... But sometimes the latch is not engaged and released.")</f>
        <v>Regular ... There are bad ... But sometimes the latch is not engaged and released.</v>
      </c>
    </row>
    <row r="19572">
      <c r="A19572" s="1">
        <v>5.0</v>
      </c>
      <c r="B19572" s="1" t="s">
        <v>19381</v>
      </c>
      <c r="C19572" t="str">
        <f>IFERROR(__xludf.DUMMYFUNCTION("GOOGLETRANSLATE(B19572, ""es"", ""en"")"),"Perfect look great and are super comfortable.")</f>
        <v>Perfect look great and are super comfortable.</v>
      </c>
    </row>
    <row r="19573">
      <c r="A19573" s="1">
        <v>5.0</v>
      </c>
      <c r="B19573" s="1" t="s">
        <v>19382</v>
      </c>
      <c r="C19573" t="str">
        <f>IFERROR(__xludf.DUMMYFUNCTION("GOOGLETRANSLATE(B19573, ""es"", ""en"")"),"Perfect moment I am very happy with the hard drive. Compact, packable and good presence. Recommendable. He has used to empty the hard drive of the computer, which already had full.")</f>
        <v>Perfect moment I am very happy with the hard drive. Compact, packable and good presence. Recommendable. He has used to empty the hard drive of the computer, which already had full.</v>
      </c>
    </row>
    <row r="19574">
      <c r="A19574" s="1">
        <v>5.0</v>
      </c>
      <c r="B19574" s="1" t="s">
        <v>19383</v>
      </c>
      <c r="C19574" t="str">
        <f>IFERROR(__xludf.DUMMYFUNCTION("GOOGLETRANSLATE(B19574, ""es"", ""en"")"),"very good in all aspects very good in all aspects")</f>
        <v>very good in all aspects very good in all aspects</v>
      </c>
    </row>
    <row r="19575">
      <c r="A19575" s="1">
        <v>5.0</v>
      </c>
      <c r="B19575" s="1" t="s">
        <v>19384</v>
      </c>
      <c r="C19575" t="str">
        <f>IFERROR(__xludf.DUMMYFUNCTION("GOOGLETRANSLATE(B19575, ""es"", ""en"")"),"Buenos beautiful and comfortable varatos")</f>
        <v>Buenos beautiful and comfortable varatos</v>
      </c>
    </row>
    <row r="19576">
      <c r="A19576" s="1">
        <v>5.0</v>
      </c>
      <c r="B19576" s="1" t="s">
        <v>19385</v>
      </c>
      <c r="C19576" t="str">
        <f>IFERROR(__xludf.DUMMYFUNCTION("GOOGLETRANSLATE(B19576, ""es"", ""en"")"),"Precii quality- quality- spectacular price !!!! You can not ask for more for this price, accuracy, quality. Great")</f>
        <v>Precii quality- quality- spectacular price !!!! You can not ask for more for this price, accuracy, quality. Great</v>
      </c>
    </row>
    <row r="19577">
      <c r="A19577" s="1">
        <v>5.0</v>
      </c>
      <c r="B19577" s="1" t="s">
        <v>19386</v>
      </c>
      <c r="C19577" t="str">
        <f>IFERROR(__xludf.DUMMYFUNCTION("GOOGLETRANSLATE(B19577, ""es"", ""en"")"),"Most Buy two, one for home and one for grandparents and everyone happy, take turns putting it on, and the effect ealmente seems a physio, but saving pertinent space, not having the chair entire home, and versatility to place it on the part of the body to "&amp;"consider. Heat setting and I think a lot full function. 10.")</f>
        <v>Most Buy two, one for home and one for grandparents and everyone happy, take turns putting it on, and the effect ealmente seems a physio, but saving pertinent space, not having the chair entire home, and versatility to place it on the part of the body to consider. Heat setting and I think a lot full function. 10.</v>
      </c>
    </row>
    <row r="19578">
      <c r="A19578" s="1">
        <v>5.0</v>
      </c>
      <c r="B19578" s="1" t="s">
        <v>19387</v>
      </c>
      <c r="C19578" t="str">
        <f>IFERROR(__xludf.DUMMYFUNCTION("GOOGLETRANSLATE(B19578, ""es"", ""en"")"),"Cheap helmets and light. It is a repetition. Casco is a cheap, tough the first few years. Light. perfectly does its maximum benefit. Others have much better quality but weigh more and catch more space. This I love to travel")</f>
        <v>Cheap helmets and light. It is a repetition. Casco is a cheap, tough the first few years. Light. perfectly does its maximum benefit. Others have much better quality but weigh more and catch more space. This I love to travel</v>
      </c>
    </row>
    <row r="19579">
      <c r="A19579" s="1">
        <v>5.0</v>
      </c>
      <c r="B19579" s="1" t="s">
        <v>19388</v>
      </c>
      <c r="C19579" t="str">
        <f>IFERROR(__xludf.DUMMYFUNCTION("GOOGLETRANSLATE(B19579, ""es"", ""en"")"),"Effective and very good applicator excellent as an ultrafine applied leads you can apply directly on the edge of the screen and overflows.")</f>
        <v>Effective and very good applicator excellent as an ultrafine applied leads you can apply directly on the edge of the screen and overflows.</v>
      </c>
    </row>
    <row r="19580">
      <c r="A19580" s="1">
        <v>5.0</v>
      </c>
      <c r="B19580" s="1" t="s">
        <v>19389</v>
      </c>
      <c r="C19580" t="str">
        <f>IFERROR(__xludf.DUMMYFUNCTION("GOOGLETRANSLATE(B19580, ""es"", ""en"")"),"Fast and reliable card card very reliable and fast for photography, delivery very fast and properly wrapped package, made only missing that does not come with its own sleeve instead of the plastic housing where it comes from.")</f>
        <v>Fast and reliable card card very reliable and fast for photography, delivery very fast and properly wrapped package, made only missing that does not come with its own sleeve instead of the plastic housing where it comes from.</v>
      </c>
    </row>
    <row r="19581">
      <c r="A19581" s="1">
        <v>5.0</v>
      </c>
      <c r="B19581" s="1" t="s">
        <v>19390</v>
      </c>
      <c r="C19581" t="str">
        <f>IFERROR(__xludf.DUMMYFUNCTION("GOOGLETRANSLATE(B19581, ""es"", ""en"")"),"I have loved very suitable, a gift perfect for children, can be colored and customize.")</f>
        <v>I have loved very suitable, a gift perfect for children, can be colored and customize.</v>
      </c>
    </row>
    <row r="19582">
      <c r="A19582" s="1">
        <v>5.0</v>
      </c>
      <c r="B19582" s="1" t="s">
        <v>19391</v>
      </c>
      <c r="C19582" t="str">
        <f>IFERROR(__xludf.DUMMYFUNCTION("GOOGLETRANSLATE(B19582, ""es"", ""en"")"),"Genial very good buy recommend this purchase makes your computer run wild with a hard disk read and write all impressive 10 is a marvel changing a hard drive to an SSD standard M2 is amazing")</f>
        <v>Genial very good buy recommend this purchase makes your computer run wild with a hard disk read and write all impressive 10 is a marvel changing a hard drive to an SSD standard M2 is amazing</v>
      </c>
    </row>
    <row r="19583">
      <c r="A19583" s="1">
        <v>5.0</v>
      </c>
      <c r="B19583" s="1" t="s">
        <v>19392</v>
      </c>
      <c r="C19583" t="str">
        <f>IFERROR(__xludf.DUMMYFUNCTION("GOOGLETRANSLATE(B19583, ""es"", ""en"")"),"Quality laser pointer quality, easy to use, although there are others in the market for a lower price.")</f>
        <v>Quality laser pointer quality, easy to use, although there are others in the market for a lower price.</v>
      </c>
    </row>
    <row r="19584">
      <c r="A19584" s="1">
        <v>5.0</v>
      </c>
      <c r="B19584" s="1" t="s">
        <v>19393</v>
      </c>
      <c r="C19584" t="str">
        <f>IFERROR(__xludf.DUMMYFUNCTION("GOOGLETRANSLATE(B19584, ""es"", ""en"")"),"Best buy of the year I think it's one of the best purchases I made on Amazon. It is an amazing product for only 45 euros. Buy two one for my parents and one for me. I have loaded on the back and noticed several days of use as relief and improves the healt"&amp;"h of my back. 100% recommended")</f>
        <v>Best buy of the year I think it's one of the best purchases I made on Amazon. It is an amazing product for only 45 euros. Buy two one for my parents and one for me. I have loaded on the back and noticed several days of use as relief and improves the health of my back. 100% recommended</v>
      </c>
    </row>
    <row r="19585">
      <c r="A19585" s="1">
        <v>5.0</v>
      </c>
      <c r="B19585" s="1" t="s">
        <v>19394</v>
      </c>
      <c r="C19585" t="str">
        <f>IFERROR(__xludf.DUMMYFUNCTION("GOOGLETRANSLATE(B19585, ""es"", ""en"")"),"Good sound. The sound quality is pretty good, personally I hear rock and most headphones distort, this has not done. Tapan sound environment. They are easy to use and hear interference. The cons are that the material does not look will last a long time, b"&amp;"ut you can not ask for more for that price. I am delighted.")</f>
        <v>Good sound. The sound quality is pretty good, personally I hear rock and most headphones distort, this has not done. Tapan sound environment. They are easy to use and hear interference. The cons are that the material does not look will last a long time, but you can not ask for more for that price. I am delighted.</v>
      </c>
    </row>
    <row r="19586">
      <c r="A19586" s="1">
        <v>5.0</v>
      </c>
      <c r="B19586" s="1" t="s">
        <v>19395</v>
      </c>
      <c r="C19586" t="str">
        <f>IFERROR(__xludf.DUMMYFUNCTION("GOOGLETRANSLATE(B19586, ""es"", ""en"")"),"Speed ​​..... I bought it to replace my mechanic drive, and you can tell it's another world ....")</f>
        <v>Speed ​​..... I bought it to replace my mechanic drive, and you can tell it's another world ....</v>
      </c>
    </row>
    <row r="19587">
      <c r="A19587" s="1">
        <v>5.0</v>
      </c>
      <c r="B19587" s="1" t="s">
        <v>19396</v>
      </c>
      <c r="C19587" t="str">
        <f>IFERROR(__xludf.DUMMYFUNCTION("GOOGLETRANSLATE(B19587, ""es"", ""en"")"),"It seems that I have taken my little sister I loved but I have some small")</f>
        <v>It seems that I have taken my little sister I loved but I have some small</v>
      </c>
    </row>
    <row r="19588">
      <c r="A19588" s="1">
        <v>5.0</v>
      </c>
      <c r="B19588" s="1" t="s">
        <v>19397</v>
      </c>
      <c r="C19588" t="str">
        <f>IFERROR(__xludf.DUMMYFUNCTION("GOOGLETRANSLATE(B19588, ""es"", ""en"")"),"Very good I expected. It works very well and is very comfortable")</f>
        <v>Very good I expected. It works very well and is very comfortable</v>
      </c>
    </row>
    <row r="19589">
      <c r="A19589" s="1">
        <v>5.0</v>
      </c>
      <c r="B19589" s="1" t="s">
        <v>19398</v>
      </c>
      <c r="C19589" t="str">
        <f>IFERROR(__xludf.DUMMYFUNCTION("GOOGLETRANSLATE(B19589, ""es"", ""en"")"),"Very nice perfect gift is as expected")</f>
        <v>Very nice perfect gift is as expected</v>
      </c>
    </row>
    <row r="19590">
      <c r="A19590" s="1">
        <v>5.0</v>
      </c>
      <c r="B19590" s="1" t="s">
        <v>19399</v>
      </c>
      <c r="C19590" t="str">
        <f>IFERROR(__xludf.DUMMYFUNCTION("GOOGLETRANSLATE(B19590, ""es"", ""en"")"),"The best external hard drive LaCie has always been a mark TOP for storage in production. This external hard drive has never left me lying, and have given much trot. I like that brings two adapter cables for use with USBC and USB3.0 connection to your need"&amp;"s.")</f>
        <v>The best external hard drive LaCie has always been a mark TOP for storage in production. This external hard drive has never left me lying, and have given much trot. I like that brings two adapter cables for use with USBC and USB3.0 connection to your needs.</v>
      </c>
    </row>
    <row r="19591">
      <c r="A19591" s="1">
        <v>2.0</v>
      </c>
      <c r="B19591" s="1" t="s">
        <v>19400</v>
      </c>
      <c r="C19591" t="str">
        <f>IFERROR(__xludf.DUMMYFUNCTION("GOOGLETRANSLATE(B19591, ""es"", ""en"")"),"Capacity and painful installation speed amazing that there is no doubt but 250GB absolutely worth anything, not to mention the happy screw that is not found anywhere, in short, comes out much better value to buy a ssd sata 1tb this 250GB .")</f>
        <v>Capacity and painful installation speed amazing that there is no doubt but 250GB absolutely worth anything, not to mention the happy screw that is not found anywhere, in short, comes out much better value to buy a ssd sata 1tb this 250GB .</v>
      </c>
    </row>
    <row r="19592">
      <c r="A19592" s="1">
        <v>3.0</v>
      </c>
      <c r="B19592" s="1" t="s">
        <v>19401</v>
      </c>
      <c r="C19592" t="str">
        <f>IFERROR(__xludf.DUMMYFUNCTION("GOOGLETRANSLATE(B19592, ""es"", ""en"")"),"expected quality, quality bullish size is correct for the price you, but the sizing is random. I bought several of the same size and there are different sizes, but, yes, all very large")</f>
        <v>expected quality, quality bullish size is correct for the price you, but the sizing is random. I bought several of the same size and there are different sizes, but, yes, all very large</v>
      </c>
    </row>
    <row r="19593">
      <c r="A19593" s="1">
        <v>3.0</v>
      </c>
      <c r="B19593" s="1" t="s">
        <v>19402</v>
      </c>
      <c r="C19593" t="str">
        <f>IFERROR(__xludf.DUMMYFUNCTION("GOOGLETRANSLATE(B19593, ""es"", ""en"")"),"Well until I broke Everything was going smoothly until one day to the connect to my pc this and did not recognize me, and no problem or cable (which buy one for sure) or my PC (since I have tried different pc), I'm waiting for a response from the service "&amp;"provider, which does not give specifications for repayment with guarantee to fix it for me.")</f>
        <v>Well until I broke Everything was going smoothly until one day to the connect to my pc this and did not recognize me, and no problem or cable (which buy one for sure) or my PC (since I have tried different pc), I'm waiting for a response from the service provider, which does not give specifications for repayment with guarantee to fix it for me.</v>
      </c>
    </row>
    <row r="19594">
      <c r="A19594" s="1">
        <v>1.0</v>
      </c>
      <c r="B19594" s="1" t="s">
        <v>19403</v>
      </c>
      <c r="C19594" t="str">
        <f>IFERROR(__xludf.DUMMYFUNCTION("GOOGLETRANSLATE(B19594, ""es"", ""en"")"),"Mayonnaise liquid. I do not like, mayonnaise goes liquid and the rest of sauces also not served me for what I wanted and I have returned.")</f>
        <v>Mayonnaise liquid. I do not like, mayonnaise goes liquid and the rest of sauces also not served me for what I wanted and I have returned.</v>
      </c>
    </row>
    <row r="19595">
      <c r="A19595" s="1">
        <v>1.0</v>
      </c>
      <c r="B19595" s="1" t="s">
        <v>19404</v>
      </c>
      <c r="C19595" t="str">
        <f>IFERROR(__xludf.DUMMYFUNCTION("GOOGLETRANSLATE(B19595, ""es"", ""en"")"),"There has never gotten me .. And circumstances have not received the refund. By caducarme card I have to lose an afternoon in the bank to collect what little is .... not worth it to me. I lose money")</f>
        <v>There has never gotten me .. And circumstances have not received the refund. By caducarme card I have to lose an afternoon in the bank to collect what little is .... not worth it to me. I lose money</v>
      </c>
    </row>
    <row r="19596">
      <c r="A19596" s="1">
        <v>4.0</v>
      </c>
      <c r="B19596" s="1" t="s">
        <v>19405</v>
      </c>
      <c r="C19596" t="str">
        <f>IFERROR(__xludf.DUMMYFUNCTION("GOOGLETRANSLATE(B19596, ""es"", ""en"")"),"meets expectations Yes")</f>
        <v>meets expectations Yes</v>
      </c>
    </row>
    <row r="19597">
      <c r="A19597" s="1">
        <v>4.0</v>
      </c>
      <c r="B19597" s="1" t="s">
        <v>19406</v>
      </c>
      <c r="C19597" t="str">
        <f>IFERROR(__xludf.DUMMYFUNCTION("GOOGLETRANSLATE(B19597, ""es"", ""en"")"),"Old Reliable is what is expected, the classic Casio watch, funi well and has no faults. After ordering as put it would take three weeks but finally took 6 days.")</f>
        <v>Old Reliable is what is expected, the classic Casio watch, funi well and has no faults. After ordering as put it would take three weeks but finally took 6 days.</v>
      </c>
    </row>
    <row r="19598">
      <c r="A19598" s="1">
        <v>4.0</v>
      </c>
      <c r="B19598" s="1" t="s">
        <v>19407</v>
      </c>
      <c r="C19598" t="str">
        <f>IFERROR(__xludf.DUMMYFUNCTION("GOOGLETRANSLATE(B19598, ""es"", ""en"")"),"Original price")</f>
        <v>Original price</v>
      </c>
    </row>
    <row r="19599">
      <c r="A19599" s="1">
        <v>4.0</v>
      </c>
      <c r="B19599" s="1" t="s">
        <v>19408</v>
      </c>
      <c r="C19599" t="str">
        <f>IFERROR(__xludf.DUMMYFUNCTION("GOOGLETRANSLATE(B19599, ""es"", ""en"")"),"Functional watch good price for my taste is a nice watch, the area is large and well protected against shocks, and best weighs very little")</f>
        <v>Functional watch good price for my taste is a nice watch, the area is large and well protected against shocks, and best weighs very little</v>
      </c>
    </row>
    <row r="19600">
      <c r="A19600" s="1">
        <v>4.0</v>
      </c>
      <c r="B19600" s="1" t="s">
        <v>19409</v>
      </c>
      <c r="C19600" t="str">
        <f>IFERROR(__xludf.DUMMYFUNCTION("GOOGLETRANSLATE(B19600, ""es"", ""en"")"),"How well it works I like his quickness to copy photos, documents and tables keep, note that is USB 3 which encounter afaltar is that no cap to protect the USB connector, otherwise a good product at a good price")</f>
        <v>How well it works I like his quickness to copy photos, documents and tables keep, note that is USB 3 which encounter afaltar is that no cap to protect the USB connector, otherwise a good product at a good price</v>
      </c>
    </row>
    <row r="19601">
      <c r="A19601" s="1">
        <v>5.0</v>
      </c>
      <c r="B19601" s="1" t="s">
        <v>19410</v>
      </c>
      <c r="C19601" t="str">
        <f>IFERROR(__xludf.DUMMYFUNCTION("GOOGLETRANSLATE(B19601, ""es"", ""en"")"),"perfeto perfect cushioning gel pad it is very soft and feel of the fabric is also very nice, fully recomebndable, very happy")</f>
        <v>perfeto perfect cushioning gel pad it is very soft and feel of the fabric is also very nice, fully recomebndable, very happy</v>
      </c>
    </row>
    <row r="19602">
      <c r="A19602" s="1">
        <v>5.0</v>
      </c>
      <c r="B19602" s="1" t="s">
        <v>19411</v>
      </c>
      <c r="C19602" t="str">
        <f>IFERROR(__xludf.DUMMYFUNCTION("GOOGLETRANSLATE(B19602, ""es"", ""en"")"),"Good sound quality the price they are very good. They have function to stop or change songs with a touch on the same handset and do not need to remove the phone from his pocket. landuración regarding battery I have seen a number of 50min and still have ba"&amp;"ttery. meets expectations.")</f>
        <v>Good sound quality the price they are very good. They have function to stop or change songs with a touch on the same handset and do not need to remove the phone from his pocket. landuración regarding battery I have seen a number of 50min and still have battery. meets expectations.</v>
      </c>
    </row>
    <row r="19603">
      <c r="A19603" s="1">
        <v>5.0</v>
      </c>
      <c r="B19603" s="1" t="s">
        <v>19412</v>
      </c>
      <c r="C19603" t="str">
        <f>IFERROR(__xludf.DUMMYFUNCTION("GOOGLETRANSLATE(B19603, ""es"", ""en"")"),"better than I expected Elegant, comfortable and safe. very good buy. No doubt I repeat if not passed with the price.")</f>
        <v>better than I expected Elegant, comfortable and safe. very good buy. No doubt I repeat if not passed with the price.</v>
      </c>
    </row>
    <row r="19604">
      <c r="A19604" s="1">
        <v>5.0</v>
      </c>
      <c r="B19604" s="1" t="s">
        <v>19413</v>
      </c>
      <c r="C19604" t="str">
        <f>IFERROR(__xludf.DUMMYFUNCTION("GOOGLETRANSLATE(B19604, ""es"", ""en"")"),"They are very good and comfortable camper and balls")</f>
        <v>They are very good and comfortable camper and balls</v>
      </c>
    </row>
    <row r="19605">
      <c r="A19605" s="1">
        <v>5.0</v>
      </c>
      <c r="B19605" s="1" t="s">
        <v>19414</v>
      </c>
      <c r="C19605" t="str">
        <f>IFERROR(__xludf.DUMMYFUNCTION("GOOGLETRANSLATE(B19605, ""es"", ""en"")"),"It is very satisfied as in the image. It works very well")</f>
        <v>It is very satisfied as in the image. It works very well</v>
      </c>
    </row>
    <row r="19606">
      <c r="A19606" s="1">
        <v>5.0</v>
      </c>
      <c r="B19606" s="1" t="s">
        <v>19415</v>
      </c>
      <c r="C19606" t="str">
        <f>IFERROR(__xludf.DUMMYFUNCTION("GOOGLETRANSLATE(B19606, ""es"", ""en"")"),"Good good memory USB USB memory - support very very comfortable, very easy to put right. - small and manageable, with a hitch practical, I have made him a cord, although not advisable keychains steel may break - Reading and writing good enough, without ma"&amp;"king geek extensive testing, storage has proved me very efficient, the I use every day, reading and writing. I read in another comment that was very hot indeed on extensive write operations (20GB p.ejemplo capsize suddenly) becomes hot, but do not conside"&amp;"r it a problem, I prefer the metal dissipates before overheating the chip in any If within 20 seconds returns to a more or less nornal temperature, and if you have it plugged in, for example editing a text file, the temperature is hot but normal. In order"&amp;" I not consider this negative. I said 100% recommended")</f>
        <v>Good good memory USB USB memory - support very very comfortable, very easy to put right. - small and manageable, with a hitch practical, I have made him a cord, although not advisable keychains steel may break - Reading and writing good enough, without making geek extensive testing, storage has proved me very efficient, the I use every day, reading and writing. I read in another comment that was very hot indeed on extensive write operations (20GB p.ejemplo capsize suddenly) becomes hot, but do not consider it a problem, I prefer the metal dissipates before overheating the chip in any If within 20 seconds returns to a more or less nornal temperature, and if you have it plugged in, for example editing a text file, the temperature is hot but normal. In order I not consider this negative. I said 100% recommended</v>
      </c>
    </row>
    <row r="19607">
      <c r="A19607" s="1">
        <v>5.0</v>
      </c>
      <c r="B19607" s="1" t="s">
        <v>19416</v>
      </c>
      <c r="C19607" t="str">
        <f>IFERROR(__xludf.DUMMYFUNCTION("GOOGLETRANSLATE(B19607, ""es"", ""en"")"),"Good shoes, nice design were to give to my mother, usually use a 39-40, I chose a size 40 and I was lucky. They are nice, comfortable and look great.")</f>
        <v>Good shoes, nice design were to give to my mother, usually use a 39-40, I chose a size 40 and I was lucky. They are nice, comfortable and look great.</v>
      </c>
    </row>
    <row r="19608">
      <c r="A19608" s="1">
        <v>5.0</v>
      </c>
      <c r="B19608" s="1" t="s">
        <v>19417</v>
      </c>
      <c r="C19608" t="str">
        <f>IFERROR(__xludf.DUMMYFUNCTION("GOOGLETRANSLATE(B19608, ""es"", ""en"")"),"Great Value insuperable")</f>
        <v>Great Value insuperable</v>
      </c>
    </row>
    <row r="19609">
      <c r="A19609" s="1">
        <v>5.0</v>
      </c>
      <c r="B19609" s="1" t="s">
        <v>19418</v>
      </c>
      <c r="C19609" t="str">
        <f>IFERROR(__xludf.DUMMYFUNCTION("GOOGLETRANSLATE(B19609, ""es"", ""en"")"),"Complete Watch Moses, appearing, in my opinion, between Casio watches best looking. I would buy, it has all the qualities of a good watch.")</f>
        <v>Complete Watch Moses, appearing, in my opinion, between Casio watches best looking. I would buy, it has all the qualities of a good watch.</v>
      </c>
    </row>
    <row r="19610">
      <c r="A19610" s="1">
        <v>5.0</v>
      </c>
      <c r="B19610" s="1" t="s">
        <v>19419</v>
      </c>
      <c r="C19610" t="str">
        <f>IFERROR(__xludf.DUMMYFUNCTION("GOOGLETRANSLATE(B19610, ""es"", ""en"")"),"Good product at a great price The tiles have a size and thickness suitable for large type of work is pretty good adhesive and paste the multitude of surfaces. The value for money is excellent.")</f>
        <v>Good product at a great price The tiles have a size and thickness suitable for large type of work is pretty good adhesive and paste the multitude of surfaces. The value for money is excellent.</v>
      </c>
    </row>
    <row r="19611">
      <c r="A19611" s="1">
        <v>5.0</v>
      </c>
      <c r="B19611" s="1" t="s">
        <v>19420</v>
      </c>
      <c r="C19611" t="str">
        <f>IFERROR(__xludf.DUMMYFUNCTION("GOOGLETRANSLATE(B19611, ""es"", ""en"")"),"INCREDIBLE If you are looking a wired headset, as in my case, indicate that been using a week and the results are very positive. For the price I paid, the quality of materials is very good, are kept to the smallest of details in the presentation, is all p"&amp;"erfectly presented, with various sizes of silicone to fit ears, brings even a plastic in the Jack. It also brings a bag of transport, honestly I think a great idea because it saved in this bag is prevented from becoming entangled with anything else. Again"&amp;", the audio quality is fantastic, low are very powerful and pleasant. Also the quality of the microphone is great, I use it with the phone and hear perfect. The material of the cable is as twisted plastic and gives a look of robustez.La length of the cabl"&amp;"e is 125cm In summary accounts, 10/10, for this price, I recommend giving them a try.")</f>
        <v>INCREDIBLE If you are looking a wired headset, as in my case, indicate that been using a week and the results are very positive. For the price I paid, the quality of materials is very good, are kept to the smallest of details in the presentation, is all perfectly presented, with various sizes of silicone to fit ears, brings even a plastic in the Jack. It also brings a bag of transport, honestly I think a great idea because it saved in this bag is prevented from becoming entangled with anything else. Again, the audio quality is fantastic, low are very powerful and pleasant. Also the quality of the microphone is great, I use it with the phone and hear perfect. The material of the cable is as twisted plastic and gives a look of robustez.La length of the cable is 125cm In summary accounts, 10/10, for this price, I recommend giving them a try.</v>
      </c>
    </row>
    <row r="19612">
      <c r="A19612" s="1">
        <v>5.0</v>
      </c>
      <c r="B19612" s="1" t="s">
        <v>19421</v>
      </c>
      <c r="C19612" t="str">
        <f>IFERROR(__xludf.DUMMYFUNCTION("GOOGLETRANSLATE(B19612, ""es"", ""en"")"),"Belted tracksuit are shooting under very narrow but are very much wrapped so they're not for entretiempo are for winter but are very well")</f>
        <v>Belted tracksuit are shooting under very narrow but are very much wrapped so they're not for entretiempo are for winter but are very well</v>
      </c>
    </row>
    <row r="19613">
      <c r="A19613" s="1">
        <v>5.0</v>
      </c>
      <c r="B19613" s="1" t="s">
        <v>19422</v>
      </c>
      <c r="C19613" t="str">
        <f>IFERROR(__xludf.DUMMYFUNCTION("GOOGLETRANSLATE(B19613, ""es"", ""en"")"),"32gb is very nice and works very well. as it is very little I can always carry it hanging on my key chain.")</f>
        <v>32gb is very nice and works very well. as it is very little I can always carry it hanging on my key chain.</v>
      </c>
    </row>
    <row r="19614">
      <c r="A19614" s="1">
        <v>5.0</v>
      </c>
      <c r="B19614" s="1" t="s">
        <v>19423</v>
      </c>
      <c r="C19614" t="str">
        <f>IFERROR(__xludf.DUMMYFUNCTION("GOOGLETRANSLATE(B19614, ""es"", ""en"")"),"Perfect perfect size and very comfortable")</f>
        <v>Perfect perfect size and very comfortable</v>
      </c>
    </row>
    <row r="19615">
      <c r="A19615" s="1">
        <v>5.0</v>
      </c>
      <c r="B19615" s="1" t="s">
        <v>19424</v>
      </c>
      <c r="C19615" t="str">
        <f>IFERROR(__xludf.DUMMYFUNCTION("GOOGLETRANSLATE(B19615, ""es"", ""en"")"),"QUALITY 🧽 VILEDA 🧼 Typically you find on Amazon Pantry and together with some more stuff you buy it, because it's a product you've ever used, only better price. Is a pack of three salvauñas pads: 🧽 On the one hand the green part, scouring 🧼 Amid yello"&amp;"w sponge 🧽 And finally in blue on the other hand, the baize Buy recommended! HerHen 👍")</f>
        <v>QUALITY 🧽 VILEDA 🧼 Typically you find on Amazon Pantry and together with some more stuff you buy it, because it's a product you've ever used, only better price. Is a pack of three salvauñas pads: 🧽 On the one hand the green part, scouring 🧼 Amid yellow sponge 🧽 And finally in blue on the other hand, the baize Buy recommended! HerHen 👍</v>
      </c>
    </row>
    <row r="19616">
      <c r="A19616" s="1">
        <v>5.0</v>
      </c>
      <c r="B19616" s="1" t="s">
        <v>19425</v>
      </c>
      <c r="C19616" t="str">
        <f>IFERROR(__xludf.DUMMYFUNCTION("GOOGLETRANSLATE(B19616, ""es"", ""en"")"),"Genial Like everything I've tried to MAM, good quality. Easy to clean, resistant to the child likes these teats.")</f>
        <v>Genial Like everything I've tried to MAM, good quality. Easy to clean, resistant to the child likes these teats.</v>
      </c>
    </row>
    <row r="19617">
      <c r="A19617" s="1">
        <v>5.0</v>
      </c>
      <c r="B19617" s="1" t="s">
        <v>19426</v>
      </c>
      <c r="C19617" t="str">
        <f>IFERROR(__xludf.DUMMYFUNCTION("GOOGLETRANSLATE(B19617, ""es"", ""en"")"),"Maquinon unbeatable quality / price ratio, I have it for 2 years and as the first day. EYE! to be updated good night time should be separated electrical circuits (sockets switches) or the typical alarm clock that is plugged (electromagnetic interference)")</f>
        <v>Maquinon unbeatable quality / price ratio, I have it for 2 years and as the first day. EYE! to be updated good night time should be separated electrical circuits (sockets switches) or the typical alarm clock that is plugged (electromagnetic interference)</v>
      </c>
    </row>
    <row r="19618">
      <c r="A19618" s="1">
        <v>5.0</v>
      </c>
      <c r="B19618" s="1" t="s">
        <v>19427</v>
      </c>
      <c r="C19618" t="str">
        <f>IFERROR(__xludf.DUMMYFUNCTION("GOOGLETRANSLATE(B19618, ""es"", ""en"")"),"All good, highest quality for pocisimo money. I was hesitant to ask as there were many comments on the malisimo packaging etc. but the price convinced me. For the truth is that everything arrived in perfect condition, there was not rascas nis blows. I thi"&amp;"nk it depends more on the carrier and treats packages as the packaging because that's quite fine. Place it is super easy whenever there is a minimum of two people. The board works well and does not leave stains markers. We use it for language classes for "&amp;"adults. So for that price it deserves 5 stars.")</f>
        <v>All good, highest quality for pocisimo money. I was hesitant to ask as there were many comments on the malisimo packaging etc. but the price convinced me. For the truth is that everything arrived in perfect condition, there was not rascas nis blows. I think it depends more on the carrier and treats packages as the packaging because that's quite fine. Place it is super easy whenever there is a minimum of two people. The board works well and does not leave stains markers. We use it for language classes for adults. So for that price it deserves 5 stars.</v>
      </c>
    </row>
    <row r="19619">
      <c r="A19619" s="1">
        <v>2.0</v>
      </c>
      <c r="B19619" s="1" t="s">
        <v>19428</v>
      </c>
      <c r="C19619" t="str">
        <f>IFERROR(__xludf.DUMMYFUNCTION("GOOGLETRANSLATE(B19619, ""es"", ""en"")"),"SALOMON TO BE DISAPPOINTED ME HAVE LITTLE TALLAN and that took a bigger size you already LEI MIA IN THE COMMENTS AND VERY HARD NOT PUT IMPERMEABLES EVEN IF THAT")</f>
        <v>SALOMON TO BE DISAPPOINTED ME HAVE LITTLE TALLAN and that took a bigger size you already LEI MIA IN THE COMMENTS AND VERY HARD NOT PUT IMPERMEABLES EVEN IF THAT</v>
      </c>
    </row>
    <row r="19620">
      <c r="A19620" s="1">
        <v>3.0</v>
      </c>
      <c r="B19620" s="1" t="s">
        <v>19429</v>
      </c>
      <c r="C19620" t="str">
        <f>IFERROR(__xludf.DUMMYFUNCTION("GOOGLETRANSLATE(B19620, ""es"", ""en"")"),"Beautiful ... but ... A watch simply spectacular in design, but has a big but, although it is a clock outdoor durability leaves much to be desired, the sphere is plastic and tends to be scratched with incredible ease. As the barometer and altimeter work w"&amp;"onders after an initial configuration.")</f>
        <v>Beautiful ... but ... A watch simply spectacular in design, but has a big but, although it is a clock outdoor durability leaves much to be desired, the sphere is plastic and tends to be scratched with incredible ease. As the barometer and altimeter work wonders after an initial configuration.</v>
      </c>
    </row>
    <row r="19621">
      <c r="A19621" s="1">
        <v>3.0</v>
      </c>
      <c r="B19621" s="1" t="s">
        <v>19430</v>
      </c>
      <c r="C19621" t="str">
        <f>IFERROR(__xludf.DUMMYFUNCTION("GOOGLETRANSLATE(B19621, ""es"", ""en"")"),"micro All good for the price it cost, but the quality of the sound to the record is us very clean, but for me it started.")</f>
        <v>micro All good for the price it cost, but the quality of the sound to the record is us very clean, but for me it started.</v>
      </c>
    </row>
    <row r="19622">
      <c r="A19622" s="1">
        <v>1.0</v>
      </c>
      <c r="B19622" s="1" t="s">
        <v>19431</v>
      </c>
      <c r="C19622" t="str">
        <f>IFERROR(__xludf.DUMMYFUNCTION("GOOGLETRANSLATE(B19622, ""es"", ""en"")"),"not buy low quality product, the fabric is superfine almost like cigarette paper")</f>
        <v>not buy low quality product, the fabric is superfine almost like cigarette paper</v>
      </c>
    </row>
    <row r="19623">
      <c r="A19623" s="1">
        <v>1.0</v>
      </c>
      <c r="B19623" s="1" t="s">
        <v>19432</v>
      </c>
      <c r="C19623" t="str">
        <f>IFERROR(__xludf.DUMMYFUNCTION("GOOGLETRANSLATE(B19623, ""es"", ""en"")"),"Not good I have put in agptk mp3 purchased from Amazon and is only a headset")</f>
        <v>Not good I have put in agptk mp3 purchased from Amazon and is only a headset</v>
      </c>
    </row>
    <row r="19624">
      <c r="A19624" s="1">
        <v>1.0</v>
      </c>
      <c r="B19624" s="1" t="s">
        <v>19433</v>
      </c>
      <c r="C19624" t="str">
        <f>IFERROR(__xludf.DUMMYFUNCTION("GOOGLETRANSLATE(B19624, ""es"", ""en"")"),"Very poor quality product Hearing is bad. Everyone I've talked to me said that listening fatal. I do not recommend anyone buy this product.")</f>
        <v>Very poor quality product Hearing is bad. Everyone I've talked to me said that listening fatal. I do not recommend anyone buy this product.</v>
      </c>
    </row>
    <row r="19625">
      <c r="A19625" s="1">
        <v>4.0</v>
      </c>
      <c r="B19625" s="1" t="s">
        <v>19434</v>
      </c>
      <c r="C19625" t="str">
        <f>IFERROR(__xludf.DUMMYFUNCTION("GOOGLETRANSLATE(B19625, ""es"", ""en"")"),"a lot of capacity at an affordable price is an external hard drive that until now meets all expected. I use it to backup regularly and to transfer data from the laptop to the PC and the reverse. It has worked flawlessly (GNU / Linux, ext4 filesystem syste"&amp;"m). See how long it will last. (So ​​far, a ""life"" too short has been my only complaint with hard drives in general - will modify this opinion if necessary.)")</f>
        <v>a lot of capacity at an affordable price is an external hard drive that until now meets all expected. I use it to backup regularly and to transfer data from the laptop to the PC and the reverse. It has worked flawlessly (GNU / Linux, ext4 filesystem system). See how long it will last. (So ​​far, a "life" too short has been my only complaint with hard drives in general - will modify this opinion if necessary.)</v>
      </c>
    </row>
    <row r="19626">
      <c r="A19626" s="1">
        <v>4.0</v>
      </c>
      <c r="B19626" s="1" t="s">
        <v>19435</v>
      </c>
      <c r="C19626" t="str">
        <f>IFERROR(__xludf.DUMMYFUNCTION("GOOGLETRANSLATE(B19626, ""es"", ""en"")"),"For booking. Better quality than other store bought at 7 euros. And only 2.5. They arrived in perfect condition. The reserve.")</f>
        <v>For booking. Better quality than other store bought at 7 euros. And only 2.5. They arrived in perfect condition. The reserve.</v>
      </c>
    </row>
    <row r="19627">
      <c r="A19627" s="1">
        <v>4.0</v>
      </c>
      <c r="B19627" s="1" t="s">
        <v>42</v>
      </c>
      <c r="C19627" t="str">
        <f>IFERROR(__xludf.DUMMYFUNCTION("GOOGLETRANSLATE(B19627, ""es"", ""en"")"),"Well well")</f>
        <v>Well well</v>
      </c>
    </row>
    <row r="19628">
      <c r="A19628" s="1">
        <v>4.0</v>
      </c>
      <c r="B19628" s="1" t="s">
        <v>19436</v>
      </c>
      <c r="C19628" t="str">
        <f>IFERROR(__xludf.DUMMYFUNCTION("GOOGLETRANSLATE(B19628, ""es"", ""en"")"),"Good team to start no big thing but it is a marked improvement to any audio integrated into the PC. It is a good starting point.")</f>
        <v>Good team to start no big thing but it is a marked improvement to any audio integrated into the PC. It is a good starting point.</v>
      </c>
    </row>
    <row r="19629">
      <c r="A19629" s="1">
        <v>5.0</v>
      </c>
      <c r="B19629" s="1" t="s">
        <v>19437</v>
      </c>
      <c r="C19629" t="str">
        <f>IFERROR(__xludf.DUMMYFUNCTION("GOOGLETRANSLATE(B19629, ""es"", ""en"")"),"Carmen back muscle pain is great. I discovered it because I used my physio. Very good product. It has been my salvation after an intervention that gave me back contractures.")</f>
        <v>Carmen back muscle pain is great. I discovered it because I used my physio. Very good product. It has been my salvation after an intervention that gave me back contractures.</v>
      </c>
    </row>
    <row r="19630">
      <c r="A19630" s="1">
        <v>5.0</v>
      </c>
      <c r="B19630" s="1" t="s">
        <v>19438</v>
      </c>
      <c r="C19630" t="str">
        <f>IFERROR(__xludf.DUMMYFUNCTION("GOOGLETRANSLATE(B19630, ""es"", ""en"")"),"Value I liked the material because it is durable, well-crafted finishes")</f>
        <v>Value I liked the material because it is durable, well-crafted finishes</v>
      </c>
    </row>
    <row r="19631">
      <c r="A19631" s="1">
        <v>5.0</v>
      </c>
      <c r="B19631" s="1" t="s">
        <v>19439</v>
      </c>
      <c r="C19631" t="str">
        <f>IFERROR(__xludf.DUMMYFUNCTION("GOOGLETRANSLATE(B19631, ""es"", ""en"")"),"Very satisfied and happy all so great trust in the Amazon A_Z")</f>
        <v>Very satisfied and happy all so great trust in the Amazon A_Z</v>
      </c>
    </row>
    <row r="19632">
      <c r="A19632" s="1">
        <v>5.0</v>
      </c>
      <c r="B19632" s="1" t="s">
        <v>19440</v>
      </c>
      <c r="C19632" t="str">
        <f>IFERROR(__xludf.DUMMYFUNCTION("GOOGLETRANSLATE(B19632, ""es"", ""en"")"),"For the price, Excellent Everything works fine with this microphone has a solid structure mechanically and from the point of view of performance, it works fine. Not super professional, but the results are excellent recordings made. I'm happy and I recomme"&amp;"nd it.")</f>
        <v>For the price, Excellent Everything works fine with this microphone has a solid structure mechanically and from the point of view of performance, it works fine. Not super professional, but the results are excellent recordings made. I'm happy and I recommend it.</v>
      </c>
    </row>
    <row r="19633">
      <c r="A19633" s="1">
        <v>5.0</v>
      </c>
      <c r="B19633" s="1" t="s">
        <v>19441</v>
      </c>
      <c r="C19633" t="str">
        <f>IFERROR(__xludf.DUMMYFUNCTION("GOOGLETRANSLATE(B19633, ""es"", ""en"")"),"You can select the time you want this on and off when no water is beautiful can put light as only spirit you who Ambienta only where it is but gives a very cozy atmosphere for its color and aroma bouncing as which oil is put")</f>
        <v>You can select the time you want this on and off when no water is beautiful can put light as only spirit you who Ambienta only where it is but gives a very cozy atmosphere for its color and aroma bouncing as which oil is put</v>
      </c>
    </row>
    <row r="19634">
      <c r="A19634" s="1">
        <v>5.0</v>
      </c>
      <c r="B19634" s="1" t="s">
        <v>19442</v>
      </c>
      <c r="C19634" t="str">
        <f>IFERROR(__xludf.DUMMYFUNCTION("GOOGLETRANSLATE(B19634, ""es"", ""en"")"),"Very good quality / price ratio is a great buy this card with an already recognized brand like SanDisk. Great choice for autofocus cameras that will compact to mid-range and higher-end inlcuso certainly alguna.Por capacity and quality. Ideal for cameras s"&amp;"upporting SDHC / SDXC and SDHC-I / SDXC UHS-I-I. Exceptional video recording performance with Class 10 category for video recording Full HD (1080 p) and 2k so far has not given me problems. The only negative, packing Amazon where it came from, since the S"&amp;"D does not include the cover / housing typical plastic for protection and transportation as is customary in other stores, in this case the ad says and is included loose in an envelope cardstock logo Sandisk Amazon and even cost the same as in other physic"&amp;"al stores.")</f>
        <v>Very good quality / price ratio is a great buy this card with an already recognized brand like SanDisk. Great choice for autofocus cameras that will compact to mid-range and higher-end inlcuso certainly alguna.Por capacity and quality. Ideal for cameras supporting SDHC / SDXC and SDHC-I / SDXC UHS-I-I. Exceptional video recording performance with Class 10 category for video recording Full HD (1080 p) and 2k so far has not given me problems. The only negative, packing Amazon where it came from, since the SD does not include the cover / housing typical plastic for protection and transportation as is customary in other stores, in this case the ad says and is included loose in an envelope cardstock logo Sandisk Amazon and even cost the same as in other physical stores.</v>
      </c>
    </row>
    <row r="19635">
      <c r="A19635" s="1">
        <v>5.0</v>
      </c>
      <c r="B19635" s="1" t="s">
        <v>19443</v>
      </c>
      <c r="C19635" t="str">
        <f>IFERROR(__xludf.DUMMYFUNCTION("GOOGLETRANSLATE(B19635, ""es"", ""en"")"),"I like is exactly like the picture maybe for me I'm petite and I had come a little xs well but there is not. Otherwise, all good. Very fast delivery. I recommend the seller.")</f>
        <v>I like is exactly like the picture maybe for me I'm petite and I had come a little xs well but there is not. Otherwise, all good. Very fast delivery. I recommend the seller.</v>
      </c>
    </row>
    <row r="19636">
      <c r="A19636" s="1">
        <v>5.0</v>
      </c>
      <c r="B19636" s="1" t="s">
        <v>19444</v>
      </c>
      <c r="C19636" t="str">
        <f>IFERROR(__xludf.DUMMYFUNCTION("GOOGLETRANSLATE(B19636, ""es"", ""en"")"),"There can be many photos size, has 50 sheets, on both sides, with a paper separation between them. The cover can put a photo")</f>
        <v>There can be many photos size, has 50 sheets, on both sides, with a paper separation between them. The cover can put a photo</v>
      </c>
    </row>
    <row r="19637">
      <c r="A19637" s="1">
        <v>5.0</v>
      </c>
      <c r="B19637" s="1" t="s">
        <v>19445</v>
      </c>
      <c r="C19637" t="str">
        <f>IFERROR(__xludf.DUMMYFUNCTION("GOOGLETRANSLATE(B19637, ""es"", ""en"")"),"Always watch is a watch collector. It is well known, so words are unnecessary. Their quality is good and its design is lifelong. Always watch")</f>
        <v>Always watch is a watch collector. It is well known, so words are unnecessary. Their quality is good and its design is lifelong. Always watch</v>
      </c>
    </row>
    <row r="19638">
      <c r="A19638" s="1">
        <v>5.0</v>
      </c>
      <c r="B19638" s="1" t="s">
        <v>19446</v>
      </c>
      <c r="C19638" t="str">
        <f>IFERROR(__xludf.DUMMYFUNCTION("GOOGLETRANSLATE(B19638, ""es"", ""en"")"),"We really like I have three of these, at the beginning we tried several bottles and being this the best drank opted to buy more.")</f>
        <v>We really like I have three of these, at the beginning we tried several bottles and being this the best drank opted to buy more.</v>
      </c>
    </row>
    <row r="19639">
      <c r="A19639" s="1">
        <v>5.0</v>
      </c>
      <c r="B19639" s="1" t="s">
        <v>19447</v>
      </c>
      <c r="C19639" t="str">
        <f>IFERROR(__xludf.DUMMYFUNCTION("GOOGLETRANSLATE(B19639, ""es"", ""en"")"),"Very comfortable Merrell quality recommend ordering a number more than usual. Fully waterproof and very good sole")</f>
        <v>Very comfortable Merrell quality recommend ordering a number more than usual. Fully waterproof and very good sole</v>
      </c>
    </row>
    <row r="19640">
      <c r="A19640" s="1">
        <v>5.0</v>
      </c>
      <c r="B19640" s="1" t="s">
        <v>19448</v>
      </c>
      <c r="C19640" t="str">
        <f>IFERROR(__xludf.DUMMYFUNCTION("GOOGLETRANSLATE(B19640, ""es"", ""en"")"),"very good Aspira well and is lightweight. The noise is acceptable. Not but I still wash is easy. I would buy")</f>
        <v>very good Aspira well and is lightweight. The noise is acceptable. Not but I still wash is easy. I would buy</v>
      </c>
    </row>
    <row r="19641">
      <c r="A19641" s="1">
        <v>5.0</v>
      </c>
      <c r="B19641" s="1" t="s">
        <v>19449</v>
      </c>
      <c r="C19641" t="str">
        <f>IFERROR(__xludf.DUMMYFUNCTION("GOOGLETRANSLATE(B19641, ""es"", ""en"")"),"Lovely necklace Silver 925 for display or give it away. My wife has the problem that is allergic to some materials jewelry so to take, have to be sterling silver or gold, so you can wear it without fear of reactions. The presentation of the collar is impe"&amp;"ccable, comparable to other brands of renown. This necklace comes with an excellent presentation in a blue box with gold, lined inside with velvet. The necklace itself is shaped like three interlocking circles very original in three colors: gold, gold and"&amp;" silver rosaque certainly have to say that shines more than I expected. The chain is finite but strong lanyard remains to be seen with daily use if resistant to pulls and hooks with clothes and hair, although apparently moment and looks strong. Back to th"&amp;"e pendant it is smooth, this fact is appreciated as thus prevented from cutting into the skin. Regarding the authenticity of the silver material in the clasp of the chain is stamped 925 sterling silver, this information is for those who doubt the manufact"&amp;"uring material silver, and the low selling price this necklace can make doubt which wants to buy. In short, it seems to me a jewel of very good quality at an enviable price, perfect gift for the perfect woman, in short, a success assured.")</f>
        <v>Lovely necklace Silver 925 for display or give it away. My wife has the problem that is allergic to some materials jewelry so to take, have to be sterling silver or gold, so you can wear it without fear of reactions. The presentation of the collar is impeccable, comparable to other brands of renown. This necklace comes with an excellent presentation in a blue box with gold, lined inside with velvet. The necklace itself is shaped like three interlocking circles very original in three colors: gold, gold and silver rosaque certainly have to say that shines more than I expected. The chain is finite but strong lanyard remains to be seen with daily use if resistant to pulls and hooks with clothes and hair, although apparently moment and looks strong. Back to the pendant it is smooth, this fact is appreciated as thus prevented from cutting into the skin. Regarding the authenticity of the silver material in the clasp of the chain is stamped 925 sterling silver, this information is for those who doubt the manufacturing material silver, and the low selling price this necklace can make doubt which wants to buy. In short, it seems to me a jewel of very good quality at an enviable price, perfect gift for the perfect woman, in short, a success assured.</v>
      </c>
    </row>
    <row r="19642">
      <c r="A19642" s="1">
        <v>5.0</v>
      </c>
      <c r="B19642" s="1" t="s">
        <v>19450</v>
      </c>
      <c r="C19642" t="str">
        <f>IFERROR(__xludf.DUMMYFUNCTION("GOOGLETRANSLATE(B19642, ""es"", ""en"")"),"Good Good size and color")</f>
        <v>Good Good size and color</v>
      </c>
    </row>
    <row r="19643">
      <c r="A19643" s="1">
        <v>5.0</v>
      </c>
      <c r="B19643" s="1" t="s">
        <v>19451</v>
      </c>
      <c r="C19643" t="str">
        <f>IFERROR(__xludf.DUMMYFUNCTION("GOOGLETRANSLATE(B19643, ""es"", ""en"")"),"I no longer rebranding or model. These costs day horrors found in stores of sport shoes are not garish colors or are designed to give the note. And when they finally get a discrete model, it disappears quickly. Here's quality sneakers, tough, with good so"&amp;"le, slip and perfect for those who do not have attention deficit or fuchsia rosita want to go through life.")</f>
        <v>I no longer rebranding or model. These costs day horrors found in stores of sport shoes are not garish colors or are designed to give the note. And when they finally get a discrete model, it disappears quickly. Here's quality sneakers, tough, with good sole, slip and perfect for those who do not have attention deficit or fuchsia rosita want to go through life.</v>
      </c>
    </row>
    <row r="19644">
      <c r="A19644" s="1">
        <v>5.0</v>
      </c>
      <c r="B19644" s="1" t="s">
        <v>19452</v>
      </c>
      <c r="C19644" t="str">
        <f>IFERROR(__xludf.DUMMYFUNCTION("GOOGLETRANSLATE(B19644, ""es"", ""en"")"),"Good price Buy the tape and I think it is the best ever. Timely delivery. Good observance of prices in the physical market.")</f>
        <v>Good price Buy the tape and I think it is the best ever. Timely delivery. Good observance of prices in the physical market.</v>
      </c>
    </row>
    <row r="19645">
      <c r="A19645" s="1">
        <v>5.0</v>
      </c>
      <c r="B19645" s="1" t="s">
        <v>19453</v>
      </c>
      <c r="C19645" t="str">
        <f>IFERROR(__xludf.DUMMYFUNCTION("GOOGLETRANSLATE(B19645, ""es"", ""en"")"),"Good grip slippers home, I bought my mother is older and slipped on the old saw that you had good grip and she likes")</f>
        <v>Good grip slippers home, I bought my mother is older and slipped on the old saw that you had good grip and she likes</v>
      </c>
    </row>
    <row r="19646">
      <c r="A19646" s="1">
        <v>5.0</v>
      </c>
      <c r="B19646" s="1" t="s">
        <v>19454</v>
      </c>
      <c r="C19646" t="str">
        <f>IFERROR(__xludf.DUMMYFUNCTION("GOOGLETRANSLATE(B19646, ""es"", ""en"")"),"Casio watch is a good quality product")</f>
        <v>Casio watch is a good quality product</v>
      </c>
    </row>
    <row r="19647">
      <c r="A19647" s="1">
        <v>5.0</v>
      </c>
      <c r="B19647" s="1" t="s">
        <v>19455</v>
      </c>
      <c r="C19647" t="str">
        <f>IFERROR(__xludf.DUMMYFUNCTION("GOOGLETRANSLATE(B19647, ""es"", ""en"")"),"As FABULOSAS corresponds to a mark as timberland, the quality of the product is excellent. I'm using this brand for many years, and items the bud, not because they are in poor condition because of its quality, but by the number of years that use. !! Congr"&amp;"atulations!!")</f>
        <v>As FABULOSAS corresponds to a mark as timberland, the quality of the product is excellent. I'm using this brand for many years, and items the bud, not because they are in poor condition because of its quality, but by the number of years that use. !! Congratulations!!</v>
      </c>
    </row>
    <row r="19648">
      <c r="A19648" s="1">
        <v>2.0</v>
      </c>
      <c r="B19648" s="1" t="s">
        <v>19456</v>
      </c>
      <c r="C19648" t="str">
        <f>IFERROR(__xludf.DUMMYFUNCTION("GOOGLETRANSLATE(B19648, ""es"", ""en"")"),"A Casio of life had cost me the same ... but better quality. A week already had a line in the pantalla.No is as hard as described.")</f>
        <v>A Casio of life had cost me the same ... but better quality. A week already had a line in the pantalla.No is as hard as described.</v>
      </c>
    </row>
    <row r="19649">
      <c r="A19649" s="1">
        <v>3.0</v>
      </c>
      <c r="B19649" s="1" t="s">
        <v>19457</v>
      </c>
      <c r="C19649" t="str">
        <f>IFERROR(__xludf.DUMMYFUNCTION("GOOGLETRANSLATE(B19649, ""es"", ""en"")"),"Pongo has not convinced me it three stars because the product complies with the description, although their quality and usefulness did not convince me. The main body of transparent plastic seemed very weak and moved during operation. In his second applica"&amp;"tion he started making a strange noise. It worked only partially with tomato, as the skin quickly clogged the filter. Hydrous does not work with almonds, so if you're looking for something to do besides Vegetal milks also juices, do not buy it. With orang"&amp;"es and carrots worked well, but the time needed for cutting up the fruit into small pieces that supports input, and time to clean all its parts, it becomes an object that could only be used for breakfasts to of week. Seeing that he was going to become a m"&amp;"ore junk in the kitchen, I finally returned.")</f>
        <v>Pongo has not convinced me it three stars because the product complies with the description, although their quality and usefulness did not convince me. The main body of transparent plastic seemed very weak and moved during operation. In his second application he started making a strange noise. It worked only partially with tomato, as the skin quickly clogged the filter. Hydrous does not work with almonds, so if you're looking for something to do besides Vegetal milks also juices, do not buy it. With oranges and carrots worked well, but the time needed for cutting up the fruit into small pieces that supports input, and time to clean all its parts, it becomes an object that could only be used for breakfasts to of week. Seeing that he was going to become a more junk in the kitchen, I finally returned.</v>
      </c>
    </row>
    <row r="19650">
      <c r="A19650" s="1">
        <v>3.0</v>
      </c>
      <c r="B19650" s="1" t="s">
        <v>19458</v>
      </c>
      <c r="C19650" t="str">
        <f>IFERROR(__xludf.DUMMYFUNCTION("GOOGLETRANSLATE(B19650, ""es"", ""en"")"),"/ Original regular price quality shoes, but with the first yellow spots washed out by the toe. I ordered my usual size and was correct.")</f>
        <v>/ Original regular price quality shoes, but with the first yellow spots washed out by the toe. I ordered my usual size and was correct.</v>
      </c>
    </row>
    <row r="19651">
      <c r="A19651" s="1">
        <v>1.0</v>
      </c>
      <c r="B19651" s="1" t="s">
        <v>19459</v>
      </c>
      <c r="C19651" t="str">
        <f>IFERROR(__xludf.DUMMYFUNCTION("GOOGLETRANSLATE(B19651, ""es"", ""en"")"),"In two weeks sleazy useless, very awkward to assemble and disassemble and is broken up into two semanas.Muy engagement with the product disfustada")</f>
        <v>In two weeks sleazy useless, very awkward to assemble and disassemble and is broken up into two semanas.Muy engagement with the product disfustada</v>
      </c>
    </row>
    <row r="19652">
      <c r="A19652" s="1">
        <v>1.0</v>
      </c>
      <c r="B19652" s="1" t="s">
        <v>19460</v>
      </c>
      <c r="C19652" t="str">
        <f>IFERROR(__xludf.DUMMYFUNCTION("GOOGLETRANSLATE(B19652, ""es"", ""en"")"),"NOT WORK once the received after two days did not work, you do not hear anything with headphones, are not original")</f>
        <v>NOT WORK once the received after two days did not work, you do not hear anything with headphones, are not original</v>
      </c>
    </row>
    <row r="19653">
      <c r="A19653" s="1">
        <v>4.0</v>
      </c>
      <c r="B19653" s="1" t="s">
        <v>19461</v>
      </c>
      <c r="C19653" t="str">
        <f>IFERROR(__xludf.DUMMYFUNCTION("GOOGLETRANSLATE(B19653, ""es"", ""en"")"),"Small and efficient Everything arrived correctly and before the estimated time. The computer recognizes the plug. The durability not know because I've been less than a month with.")</f>
        <v>Small and efficient Everything arrived correctly and before the estimated time. The computer recognizes the plug. The durability not know because I've been less than a month with.</v>
      </c>
    </row>
    <row r="19654">
      <c r="A19654" s="1">
        <v>4.0</v>
      </c>
      <c r="B19654" s="1" t="s">
        <v>19462</v>
      </c>
      <c r="C19654" t="str">
        <f>IFERROR(__xludf.DUMMYFUNCTION("GOOGLETRANSLATE(B19654, ""es"", ""en"")"),"Comfortable and excellent sound The Logitech G430 helmets are excellent for the price they have. They are valid for both PC and for PS4 and XBOX, but must be connected by USB. Eye, do not include the adapter to connect to the 3.5mm jack of command. It has"&amp;" a pin for micro and another for helmets and yes that includes the connector between these jacks and USB. The sound is very good and the people I speak tell me that listening clean voice, so the micro is also good. Interesting, especially to play on PC, t"&amp;"he possibility of using the software, which gives you 7.1 surround sound. It's not real, is emulated by software, so it's PS4 and XBOX works in stereo, but still a quality sound. Highly recommended in its price range.")</f>
        <v>Comfortable and excellent sound The Logitech G430 helmets are excellent for the price they have. They are valid for both PC and for PS4 and XBOX, but must be connected by USB. Eye, do not include the adapter to connect to the 3.5mm jack of command. It has a pin for micro and another for helmets and yes that includes the connector between these jacks and USB. The sound is very good and the people I speak tell me that listening clean voice, so the micro is also good. Interesting, especially to play on PC, the possibility of using the software, which gives you 7.1 surround sound. It's not real, is emulated by software, so it's PS4 and XBOX works in stereo, but still a quality sound. Highly recommended in its price range.</v>
      </c>
    </row>
    <row r="19655">
      <c r="A19655" s="1">
        <v>4.0</v>
      </c>
      <c r="B19655" s="1" t="s">
        <v>19463</v>
      </c>
      <c r="C19655" t="str">
        <f>IFERROR(__xludf.DUMMYFUNCTION("GOOGLETRANSLATE(B19655, ""es"", ""en"")"),"Small but elegant are very fine and beautiful. Small but very elegant")</f>
        <v>Small but elegant are very fine and beautiful. Small but very elegant</v>
      </c>
    </row>
    <row r="19656">
      <c r="A19656" s="1">
        <v>4.0</v>
      </c>
      <c r="B19656" s="1" t="s">
        <v>19464</v>
      </c>
      <c r="C19656" t="str">
        <f>IFERROR(__xludf.DUMMYFUNCTION("GOOGLETRANSLATE(B19656, ""es"", ""en"")"),"Vegan and eco. I put a washer with 4 balls and dded smell of vinegar cleaning MARSEILLE, instead of softening. The roos has come clean and fresh smelling. I put the second washing machine, the few left 3 hours without tender and took quick smell bad, but "&amp;"it's normal, no chemicals.")</f>
        <v>Vegan and eco. I put a washer with 4 balls and dded smell of vinegar cleaning MARSEILLE, instead of softening. The roos has come clean and fresh smelling. I put the second washing machine, the few left 3 hours without tender and took quick smell bad, but it's normal, no chemicals.</v>
      </c>
    </row>
    <row r="19657">
      <c r="A19657" s="1">
        <v>4.0</v>
      </c>
      <c r="B19657" s="1" t="s">
        <v>19465</v>
      </c>
      <c r="C19657" t="str">
        <f>IFERROR(__xludf.DUMMYFUNCTION("GOOGLETRANSLATE(B19657, ""es"", ""en"")"),"1 Perfect")</f>
        <v>1 Perfect</v>
      </c>
    </row>
    <row r="19658">
      <c r="A19658" s="1">
        <v>5.0</v>
      </c>
      <c r="B19658" s="1" t="s">
        <v>19466</v>
      </c>
      <c r="C19658" t="str">
        <f>IFERROR(__xludf.DUMMYFUNCTION("GOOGLETRANSLATE(B19658, ""es"", ""en"")"),"Blender, magnificent is a wonder")</f>
        <v>Blender, magnificent is a wonder</v>
      </c>
    </row>
    <row r="19659">
      <c r="A19659" s="1">
        <v>5.0</v>
      </c>
      <c r="B19659" s="1" t="s">
        <v>19467</v>
      </c>
      <c r="C19659" t="str">
        <f>IFERROR(__xludf.DUMMYFUNCTION("GOOGLETRANSLATE(B19659, ""es"", ""en"")"),"Comfortable, quality and low price these headphones in my opinion are quite premium because they bring a bag and everything and I think for that price is a detail. Besides great you hear your microphone is very claidad, I've been trying to make phone call"&amp;"s and Skype and I are giving very good performance. I also want to add that are quite comfortable, even if you bring a time without stopping using them does not bother you ear, all a success.")</f>
        <v>Comfortable, quality and low price these headphones in my opinion are quite premium because they bring a bag and everything and I think for that price is a detail. Besides great you hear your microphone is very claidad, I've been trying to make phone calls and Skype and I are giving very good performance. I also want to add that are quite comfortable, even if you bring a time without stopping using them does not bother you ear, all a success.</v>
      </c>
    </row>
    <row r="19660">
      <c r="A19660" s="1">
        <v>5.0</v>
      </c>
      <c r="B19660" s="1" t="s">
        <v>19468</v>
      </c>
      <c r="C19660" t="str">
        <f>IFERROR(__xludf.DUMMYFUNCTION("GOOGLETRANSLATE(B19660, ""es"", ""en"")"),"Great multiple size utility This blanket electric large is thought to warm the beds or anywhere lets enter the perfect feet for winter, thanks to its large size is ideal for applying heat twisted in most of the body and two levels, also the fact that clea"&amp;"ns the cover in the washing machine after use makes the best electric blanket the market and we add free and fast shipping with Amazon Prime")</f>
        <v>Great multiple size utility This blanket electric large is thought to warm the beds or anywhere lets enter the perfect feet for winter, thanks to its large size is ideal for applying heat twisted in most of the body and two levels, also the fact that cleans the cover in the washing machine after use makes the best electric blanket the market and we add free and fast shipping with Amazon Prime</v>
      </c>
    </row>
    <row r="19661">
      <c r="A19661" s="1">
        <v>5.0</v>
      </c>
      <c r="B19661" s="1" t="s">
        <v>19469</v>
      </c>
      <c r="C19661" t="str">
        <f>IFERROR(__xludf.DUMMYFUNCTION("GOOGLETRANSLATE(B19661, ""es"", ""en"")"),"Phenomenal!!! They discharge their responsibilities perfectly.")</f>
        <v>Phenomenal!!! They discharge their responsibilities perfectly.</v>
      </c>
    </row>
    <row r="19662">
      <c r="A19662" s="1">
        <v>5.0</v>
      </c>
      <c r="B19662" s="1" t="s">
        <v>19470</v>
      </c>
      <c r="C19662" t="str">
        <f>IFERROR(__xludf.DUMMYFUNCTION("GOOGLETRANSLATE(B19662, ""es"", ""en"")"),"They are perfect as one would expect, to me I do well number that is mine asked nothing narrow or smaller color practically all the same but if you notice some different tonality but nothing serious. I certainly ask other different color since I love this"&amp;" brand are super comfortable and light, and have other another model for some time and are so comfortable I decided to move on to this mark even if they always go the same but different color, I prefer comfort before people think always with the brand sne"&amp;"akers that will always seem the same. I bought some Nike while the first new balance that I have and if they are interesting, but something incomdas to wear are new because in a year to me have put 4 times as much, if I start or one or other but of these "&amp;"for their comfort and they are also better because the least to me.")</f>
        <v>They are perfect as one would expect, to me I do well number that is mine asked nothing narrow or smaller color practically all the same but if you notice some different tonality but nothing serious. I certainly ask other different color since I love this brand are super comfortable and light, and have other another model for some time and are so comfortable I decided to move on to this mark even if they always go the same but different color, I prefer comfort before people think always with the brand sneakers that will always seem the same. I bought some Nike while the first new balance that I have and if they are interesting, but something incomdas to wear are new because in a year to me have put 4 times as much, if I start or one or other but of these for their comfort and they are also better because the least to me.</v>
      </c>
    </row>
    <row r="19663">
      <c r="A19663" s="1">
        <v>5.0</v>
      </c>
      <c r="B19663" s="1" t="s">
        <v>19471</v>
      </c>
      <c r="C19663" t="str">
        <f>IFERROR(__xludf.DUMMYFUNCTION("GOOGLETRANSLATE(B19663, ""es"", ""en"")"),"Very handy I love, had another she wore every day until it broke, and I bought this for opinions. And I'm very happy because it's high capacity, fast and easy to handle.")</f>
        <v>Very handy I love, had another she wore every day until it broke, and I bought this for opinions. And I'm very happy because it's high capacity, fast and easy to handle.</v>
      </c>
    </row>
    <row r="19664">
      <c r="A19664" s="1">
        <v>5.0</v>
      </c>
      <c r="B19664" s="1" t="s">
        <v>19472</v>
      </c>
      <c r="C19664" t="str">
        <f>IFERROR(__xludf.DUMMYFUNCTION("GOOGLETRANSLATE(B19664, ""es"", ""en"")"),"All very nice special gift")</f>
        <v>All very nice special gift</v>
      </c>
    </row>
    <row r="19665">
      <c r="A19665" s="1">
        <v>5.0</v>
      </c>
      <c r="B19665" s="1" t="s">
        <v>19473</v>
      </c>
      <c r="C19665" t="str">
        <f>IFERROR(__xludf.DUMMYFUNCTION("GOOGLETRANSLATE(B19665, ""es"", ""en"")"),"Perfect I have been testing it a few months and Casio is the best I've had. Simulates the first g-shock 80 and is solar, that is, the battery can last many years. A timer, stopwatch, alarm, radio time is synchronized daily (usually 0:00) and it is very ha"&amp;"rd and tough. Size is perfect neither too small nor too large. I use it for everything, my daily life, and sports like going to the gym, running and swimming. In short, it's perfect. Buy it from Amazon 80 in El Corte Ingles 140 cost.")</f>
        <v>Perfect I have been testing it a few months and Casio is the best I've had. Simulates the first g-shock 80 and is solar, that is, the battery can last many years. A timer, stopwatch, alarm, radio time is synchronized daily (usually 0:00) and it is very hard and tough. Size is perfect neither too small nor too large. I use it for everything, my daily life, and sports like going to the gym, running and swimming. In short, it's perfect. Buy it from Amazon 80 in El Corte Ingles 140 cost.</v>
      </c>
    </row>
    <row r="19666">
      <c r="A19666" s="1">
        <v>5.0</v>
      </c>
      <c r="B19666" s="1" t="s">
        <v>19474</v>
      </c>
      <c r="C19666" t="str">
        <f>IFERROR(__xludf.DUMMYFUNCTION("GOOGLETRANSLATE(B19666, ""es"", ""en"")"),"Excellent value Prefecta value. Very comfortable to wear without being too small. Correa very appropriately and effectively, water resistant. I would buy it without hesitation.")</f>
        <v>Excellent value Prefecta value. Very comfortable to wear without being too small. Correa very appropriately and effectively, water resistant. I would buy it without hesitation.</v>
      </c>
    </row>
    <row r="19667">
      <c r="A19667" s="1">
        <v>5.0</v>
      </c>
      <c r="B19667" s="1" t="s">
        <v>19475</v>
      </c>
      <c r="C19667" t="str">
        <f>IFERROR(__xludf.DUMMYFUNCTION("GOOGLETRANSLATE(B19667, ""es"", ""en"")"),"It meets its mission perfectly practical")</f>
        <v>It meets its mission perfectly practical</v>
      </c>
    </row>
    <row r="19668">
      <c r="A19668" s="1">
        <v>5.0</v>
      </c>
      <c r="B19668" s="1" t="s">
        <v>19476</v>
      </c>
      <c r="C19668" t="str">
        <f>IFERROR(__xludf.DUMMYFUNCTION("GOOGLETRANSLATE(B19668, ""es"", ""en"")"),"Stitcher is a very comfortable and convenient stapler. It is very manageable and nice and elegant design. Apparently it is very good quality and although not much use, time will tell if I am right. Has an ideal size and any gap can save your office or des"&amp;"k.")</f>
        <v>Stitcher is a very comfortable and convenient stapler. It is very manageable and nice and elegant design. Apparently it is very good quality and although not much use, time will tell if I am right. Has an ideal size and any gap can save your office or desk.</v>
      </c>
    </row>
    <row r="19669">
      <c r="A19669" s="1">
        <v>5.0</v>
      </c>
      <c r="B19669" s="1" t="s">
        <v>19477</v>
      </c>
      <c r="C19669" t="str">
        <f>IFERROR(__xludf.DUMMYFUNCTION("GOOGLETRANSLATE(B19669, ""es"", ""en"")"),"Tudo Tudo as expected as expected")</f>
        <v>Tudo Tudo as expected as expected</v>
      </c>
    </row>
    <row r="19670">
      <c r="A19670" s="1">
        <v>5.0</v>
      </c>
      <c r="B19670" s="1" t="s">
        <v>19478</v>
      </c>
      <c r="C19670" t="str">
        <f>IFERROR(__xludf.DUMMYFUNCTION("GOOGLETRANSLATE(B19670, ""es"", ""en"")"),"Perfect bought it because years ago and had already had a terrific but will not find long since Feb. 1 long slots and when I broke which had and was looking and saw decant me for it")</f>
        <v>Perfect bought it because years ago and had already had a terrific but will not find long since Feb. 1 long slots and when I broke which had and was looking and saw decant me for it</v>
      </c>
    </row>
    <row r="19671">
      <c r="A19671" s="1">
        <v>5.0</v>
      </c>
      <c r="B19671" s="1" t="s">
        <v>19479</v>
      </c>
      <c r="C19671" t="str">
        <f>IFERROR(__xludf.DUMMYFUNCTION("GOOGLETRANSLATE(B19671, ""es"", ""en"")"),"Sharpness I like this product completion, it is absolutely clear, crisp tone increases photography giving a totally professional look, does not produce bubbles and perfectly adheres to the surface of the papel.Gracias.")</f>
        <v>Sharpness I like this product completion, it is absolutely clear, crisp tone increases photography giving a totally professional look, does not produce bubbles and perfectly adheres to the surface of the papel.Gracias.</v>
      </c>
    </row>
    <row r="19672">
      <c r="A19672" s="1">
        <v>5.0</v>
      </c>
      <c r="B19672" s="1" t="s">
        <v>19480</v>
      </c>
      <c r="C19672" t="str">
        <f>IFERROR(__xludf.DUMMYFUNCTION("GOOGLETRANSLATE(B19672, ""es"", ""en"")"),"Cable A longer fulfilled perfectly, looked a long cable with these characteristics and this was the ideal extension for having")</f>
        <v>Cable A longer fulfilled perfectly, looked a long cable with these characteristics and this was the ideal extension for having</v>
      </c>
    </row>
    <row r="19673">
      <c r="A19673" s="1">
        <v>5.0</v>
      </c>
      <c r="B19673" s="1" t="s">
        <v>19481</v>
      </c>
      <c r="C19673" t="str">
        <f>IFERROR(__xludf.DUMMYFUNCTION("GOOGLETRANSLATE(B19673, ""es"", ""en"")"),"Light. Ergonomic. It works with a aaa. Super lightweight all great. Easy to use. Lotsa away both the pointer and buttons. With a box for storage and user manuals. Although not necessary. It is very intuitive")</f>
        <v>Light. Ergonomic. It works with a aaa. Super lightweight all great. Easy to use. Lotsa away both the pointer and buttons. With a box for storage and user manuals. Although not necessary. It is very intuitive</v>
      </c>
    </row>
    <row r="19674">
      <c r="A19674" s="1">
        <v>5.0</v>
      </c>
      <c r="B19674" s="1" t="s">
        <v>19482</v>
      </c>
      <c r="C19674" t="str">
        <f>IFERROR(__xludf.DUMMYFUNCTION("GOOGLETRANSLATE(B19674, ""es"", ""en"")"),"Good product recommended for loose tea")</f>
        <v>Good product recommended for loose tea</v>
      </c>
    </row>
    <row r="19675">
      <c r="A19675" s="1">
        <v>5.0</v>
      </c>
      <c r="B19675" s="1" t="s">
        <v>19483</v>
      </c>
      <c r="C19675" t="str">
        <f>IFERROR(__xludf.DUMMYFUNCTION("GOOGLETRANSLATE(B19675, ""es"", ""en"")"),"Easy and convenient I liked everything, I do not add pictures because it is as it is in the store. I use it for fruit smoothies, corn flakes, etc. You can get ice without any problems. What not to do is put a lot of fruit or a crushing blow.")</f>
        <v>Easy and convenient I liked everything, I do not add pictures because it is as it is in the store. I use it for fruit smoothies, corn flakes, etc. You can get ice without any problems. What not to do is put a lot of fruit or a crushing blow.</v>
      </c>
    </row>
    <row r="19676">
      <c r="A19676" s="1">
        <v>5.0</v>
      </c>
      <c r="B19676" s="1" t="s">
        <v>19484</v>
      </c>
      <c r="C19676" t="str">
        <f>IFERROR(__xludf.DUMMYFUNCTION("GOOGLETRANSLATE(B19676, ""es"", ""en"")"),"Actually it corresponds to the image as it is described in the picture.")</f>
        <v>Actually it corresponds to the image as it is described in the picture.</v>
      </c>
    </row>
    <row r="19677">
      <c r="A19677" s="1">
        <v>2.0</v>
      </c>
      <c r="B19677" s="1" t="s">
        <v>19485</v>
      </c>
      <c r="C19677" t="str">
        <f>IFERROR(__xludf.DUMMYFUNCTION("GOOGLETRANSLATE(B19677, ""es"", ""en"")"),"Okay Considering its price is great, but cheap jewelry, is very nice, especially necklines.")</f>
        <v>Okay Considering its price is great, but cheap jewelry, is very nice, especially necklines.</v>
      </c>
    </row>
    <row r="19678">
      <c r="A19678" s="1">
        <v>3.0</v>
      </c>
      <c r="B19678" s="1" t="s">
        <v>19486</v>
      </c>
      <c r="C19678" t="str">
        <f>IFERROR(__xludf.DUMMYFUNCTION("GOOGLETRANSLATE(B19678, ""es"", ""en"")"),"ana all good just to bear in mind that the USB part well but the other according to mobile entry is not valid for all brands, problem many changes ticket, this is very rare because however to load if it is to all mobile I have at home my encambio chargers"&amp;" that does not recognize nor goes too lake and does not enter the whole, so the USB divine ""BUT"" I'm sorry ha and say that even in this day I could not send because here in Granada we are in fair excuse me")</f>
        <v>ana all good just to bear in mind that the USB part well but the other according to mobile entry is not valid for all brands, problem many changes ticket, this is very rare because however to load if it is to all mobile I have at home my encambio chargers that does not recognize nor goes too lake and does not enter the whole, so the USB divine "BUT" I'm sorry ha and say that even in this day I could not send because here in Granada we are in fair excuse me</v>
      </c>
    </row>
    <row r="19679">
      <c r="A19679" s="1">
        <v>3.0</v>
      </c>
      <c r="B19679" s="1" t="s">
        <v>19487</v>
      </c>
      <c r="C19679" t="str">
        <f>IFERROR(__xludf.DUMMYFUNCTION("GOOGLETRANSLATE(B19679, ""es"", ""en"")"),"Long overdue nice and comfortable but I arrived very late")</f>
        <v>Long overdue nice and comfortable but I arrived very late</v>
      </c>
    </row>
    <row r="19680">
      <c r="A19680" s="1">
        <v>1.0</v>
      </c>
      <c r="B19680" s="1" t="s">
        <v>19488</v>
      </c>
      <c r="C19680" t="str">
        <f>IFERROR(__xludf.DUMMYFUNCTION("GOOGLETRANSLATE(B19680, ""es"", ""en"")"),"Uncomfortable comfort")</f>
        <v>Uncomfortable comfort</v>
      </c>
    </row>
    <row r="19681">
      <c r="A19681" s="1">
        <v>1.0</v>
      </c>
      <c r="B19681" s="1" t="s">
        <v>19489</v>
      </c>
      <c r="C19681" t="str">
        <f>IFERROR(__xludf.DUMMYFUNCTION("GOOGLETRANSLATE(B19681, ""es"", ""en"")"),"The deception is best to see what you buy. Looks are deceiving.")</f>
        <v>The deception is best to see what you buy. Looks are deceiving.</v>
      </c>
    </row>
    <row r="19682">
      <c r="A19682" s="1">
        <v>4.0</v>
      </c>
      <c r="B19682" s="1" t="s">
        <v>19490</v>
      </c>
      <c r="C19682" t="str">
        <f>IFERROR(__xludf.DUMMYFUNCTION("GOOGLETRANSLATE(B19682, ""es"", ""en"")"),"Your price for my perfectly meets their quality, they are comfortable and good sound.")</f>
        <v>Your price for my perfectly meets their quality, they are comfortable and good sound.</v>
      </c>
    </row>
    <row r="19683">
      <c r="A19683" s="1">
        <v>4.0</v>
      </c>
      <c r="B19683" s="1" t="s">
        <v>19491</v>
      </c>
      <c r="C19683" t="str">
        <f>IFERROR(__xludf.DUMMYFUNCTION("GOOGLETRANSLATE(B19683, ""es"", ""en"")"),"Very cool With this boiler can heat a lot of water quickly because it has a capacity of 1.5 liters and an output of 2200W. It has a base in which it is heated very safe and comfortable because we can extract from any position without risk of falling. It a"&amp;"lso incorporates a push button to open the lid easily. It does virtually noise being in operation, in addition to boiling water with enough speed. It is made of good quality materials and design (one of the strengths of this device) is really nice and ele"&amp;"gant. The price a priori is a bit high, because the purpose and the only serves out to boil water and that for a similar price we find the same brand but with more capacity and power but keep in mind that has a filter Brita we can purify water. In short, "&amp;"if you use it too often it is not a bad investment.")</f>
        <v>Very cool With this boiler can heat a lot of water quickly because it has a capacity of 1.5 liters and an output of 2200W. It has a base in which it is heated very safe and comfortable because we can extract from any position without risk of falling. It also incorporates a push button to open the lid easily. It does virtually noise being in operation, in addition to boiling water with enough speed. It is made of good quality materials and design (one of the strengths of this device) is really nice and elegant. The price a priori is a bit high, because the purpose and the only serves out to boil water and that for a similar price we find the same brand but with more capacity and power but keep in mind that has a filter Brita we can purify water. In short, if you use it too often it is not a bad investment.</v>
      </c>
    </row>
    <row r="19684">
      <c r="A19684" s="1">
        <v>4.0</v>
      </c>
      <c r="B19684" s="1" t="s">
        <v>19492</v>
      </c>
      <c r="C19684" t="str">
        <f>IFERROR(__xludf.DUMMYFUNCTION("GOOGLETRANSLATE(B19684, ""es"", ""en"")"),"I not very thick perfect joke for summer size as esperava")</f>
        <v>I not very thick perfect joke for summer size as esperava</v>
      </c>
    </row>
    <row r="19685">
      <c r="A19685" s="1">
        <v>4.0</v>
      </c>
      <c r="B19685" s="1" t="s">
        <v>19493</v>
      </c>
      <c r="C19685" t="str">
        <f>IFERROR(__xludf.DUMMYFUNCTION("GOOGLETRANSLATE(B19685, ""es"", ""en"")"),"I quite like it, I not give it 5 stars because I pressed a little rubber down I like, not give it 5 stars because I pressed a little rubber down")</f>
        <v>I quite like it, I not give it 5 stars because I pressed a little rubber down I like, not give it 5 stars because I pressed a little rubber down</v>
      </c>
    </row>
    <row r="19686">
      <c r="A19686" s="1">
        <v>4.0</v>
      </c>
      <c r="B19686" s="1" t="s">
        <v>19494</v>
      </c>
      <c r="C19686" t="str">
        <f>IFERROR(__xludf.DUMMYFUNCTION("GOOGLETRANSLATE(B19686, ""es"", ""en"")"),"Comfortable Good quality, looking pants to go to the gym that they were not camal widths, they fit perfectly and carry zipper, very happy with them.")</f>
        <v>Comfortable Good quality, looking pants to go to the gym that they were not camal widths, they fit perfectly and carry zipper, very happy with them.</v>
      </c>
    </row>
    <row r="19687">
      <c r="A19687" s="1">
        <v>5.0</v>
      </c>
      <c r="B19687" s="1" t="s">
        <v>19495</v>
      </c>
      <c r="C19687" t="str">
        <f>IFERROR(__xludf.DUMMYFUNCTION("GOOGLETRANSLATE(B19687, ""es"", ""en"")"),"Awesome. The truth is that I did not expect so, is pretty good big as it wanted, also was in a hurry to do so comes very prepared and I recommend muchisimoo.")</f>
        <v>Awesome. The truth is that I did not expect so, is pretty good big as it wanted, also was in a hurry to do so comes very prepared and I recommend muchisimoo.</v>
      </c>
    </row>
    <row r="19688">
      <c r="A19688" s="1">
        <v>5.0</v>
      </c>
      <c r="B19688" s="1" t="s">
        <v>19496</v>
      </c>
      <c r="C19688" t="str">
        <f>IFERROR(__xludf.DUMMYFUNCTION("GOOGLETRANSLATE(B19688, ""es"", ""en"")"),"Genial very cool, fast it takes a pen with refills")</f>
        <v>Genial very cool, fast it takes a pen with refills</v>
      </c>
    </row>
    <row r="19689">
      <c r="A19689" s="1">
        <v>5.0</v>
      </c>
      <c r="B19689" s="1" t="s">
        <v>19497</v>
      </c>
      <c r="C19689" t="str">
        <f>IFERROR(__xludf.DUMMYFUNCTION("GOOGLETRANSLATE(B19689, ""es"", ""en"")"),"shoes are very comfortable. I ordered a number of the most commonly used. The downside is that the box came a little dented, not going to protected only by plastic bag.")</f>
        <v>shoes are very comfortable. I ordered a number of the most commonly used. The downside is that the box came a little dented, not going to protected only by plastic bag.</v>
      </c>
    </row>
    <row r="19690">
      <c r="A19690" s="1">
        <v>5.0</v>
      </c>
      <c r="B19690" s="1" t="s">
        <v>19498</v>
      </c>
      <c r="C19690" t="str">
        <f>IFERROR(__xludf.DUMMYFUNCTION("GOOGLETRANSLATE(B19690, ""es"", ""en"")"),"Value extraordinary Excellent product, at a great price, with which are expensive, rarely, they can be found in stores. Velvety skin. And I had decided in red and navy blue also buy the. The sizing is you have, use 45 and ordered 45 1/3 and perfect.")</f>
        <v>Value extraordinary Excellent product, at a great price, with which are expensive, rarely, they can be found in stores. Velvety skin. And I had decided in red and navy blue also buy the. The sizing is you have, use 45 and ordered 45 1/3 and perfect.</v>
      </c>
    </row>
    <row r="19691">
      <c r="A19691" s="1">
        <v>5.0</v>
      </c>
      <c r="B19691" s="1" t="s">
        <v>19499</v>
      </c>
      <c r="C19691" t="str">
        <f>IFERROR(__xludf.DUMMYFUNCTION("GOOGLETRANSLATE(B19691, ""es"", ""en"")"),"Take a number plus the perfect number, these Vietnam i my normal number is 39 but in this case and had to take a 40 and perfect.")</f>
        <v>Take a number plus the perfect number, these Vietnam i my normal number is 39 but in this case and had to take a 40 and perfect.</v>
      </c>
    </row>
    <row r="19692">
      <c r="A19692" s="1">
        <v>5.0</v>
      </c>
      <c r="B19692" s="1" t="s">
        <v>19500</v>
      </c>
      <c r="C19692" t="str">
        <f>IFERROR(__xludf.DUMMYFUNCTION("GOOGLETRANSLATE(B19692, ""es"", ""en"")"),"Excellent buy. It was a gift and who received it tells me it is very soft, warm and comfortable. Heats quickly and puts a daily relieving him chronic back pain. Very satisfied.")</f>
        <v>Excellent buy. It was a gift and who received it tells me it is very soft, warm and comfortable. Heats quickly and puts a daily relieving him chronic back pain. Very satisfied.</v>
      </c>
    </row>
    <row r="19693">
      <c r="A19693" s="1">
        <v>5.0</v>
      </c>
      <c r="B19693" s="1" t="s">
        <v>19501</v>
      </c>
      <c r="C19693" t="str">
        <f>IFERROR(__xludf.DUMMYFUNCTION("GOOGLETRANSLATE(B19693, ""es"", ""en"")"),"All star shoes are perfect, as expected!")</f>
        <v>All star shoes are perfect, as expected!</v>
      </c>
    </row>
    <row r="19694">
      <c r="A19694" s="1">
        <v>5.0</v>
      </c>
      <c r="B19694" s="1" t="s">
        <v>19502</v>
      </c>
      <c r="C19694" t="str">
        <f>IFERROR(__xludf.DUMMYFUNCTION("GOOGLETRANSLATE(B19694, ""es"", ""en"")"),"Very comfortable comfortable")</f>
        <v>Very comfortable comfortable</v>
      </c>
    </row>
    <row r="19695">
      <c r="A19695" s="1">
        <v>5.0</v>
      </c>
      <c r="B19695" s="1" t="s">
        <v>19503</v>
      </c>
      <c r="C19695" t="str">
        <f>IFERROR(__xludf.DUMMYFUNCTION("GOOGLETRANSLATE(B19695, ""es"", ""en"")"),"The material is very good is very cute and my wife is delighted, good product")</f>
        <v>The material is very good is very cute and my wife is delighted, good product</v>
      </c>
    </row>
    <row r="19696">
      <c r="A19696" s="1">
        <v>5.0</v>
      </c>
      <c r="B19696" s="1" t="s">
        <v>19504</v>
      </c>
      <c r="C19696" t="str">
        <f>IFERROR(__xludf.DUMMYFUNCTION("GOOGLETRANSLATE(B19696, ""es"", ""en"")"),"I recommend are very good headphones have sound quite loud and can be heard quite well, it is one of the best qje've tried, they are very comfortable. I recommend")</f>
        <v>I recommend are very good headphones have sound quite loud and can be heard quite well, it is one of the best qje've tried, they are very comfortable. I recommend</v>
      </c>
    </row>
    <row r="19697">
      <c r="A19697" s="1">
        <v>5.0</v>
      </c>
      <c r="B19697" s="1" t="s">
        <v>13683</v>
      </c>
      <c r="C19697" t="str">
        <f>IFERROR(__xludf.DUMMYFUNCTION("GOOGLETRANSLATE(B19697, ""es"", ""en"")"),"Expected expected")</f>
        <v>Expected expected</v>
      </c>
    </row>
    <row r="19698">
      <c r="A19698" s="1">
        <v>5.0</v>
      </c>
      <c r="B19698" s="1" t="s">
        <v>19505</v>
      </c>
      <c r="C19698" t="str">
        <f>IFERROR(__xludf.DUMMYFUNCTION("GOOGLETRANSLATE(B19698, ""es"", ""en"")"),"Feet warm. Slippers discharge their responsibilities. They are heated in seconds and the heat does not last forever but is perfect for the feet come into heat. The've used both to watch TV to study. As a comment to say that fit small because I just go and"&amp;" have a 38 foot, putting maximum is 40, so I think those who have a 39 or 40 should take the larger size.")</f>
        <v>Feet warm. Slippers discharge their responsibilities. They are heated in seconds and the heat does not last forever but is perfect for the feet come into heat. The've used both to watch TV to study. As a comment to say that fit small because I just go and have a 38 foot, putting maximum is 40, so I think those who have a 39 or 40 should take the larger size.</v>
      </c>
    </row>
    <row r="19699">
      <c r="A19699" s="1">
        <v>5.0</v>
      </c>
      <c r="B19699" s="1" t="s">
        <v>19506</v>
      </c>
      <c r="C19699" t="str">
        <f>IFERROR(__xludf.DUMMYFUNCTION("GOOGLETRANSLATE(B19699, ""es"", ""en"")"),"Ideal Perfectas all")</f>
        <v>Ideal Perfectas all</v>
      </c>
    </row>
    <row r="19700">
      <c r="A19700" s="1">
        <v>5.0</v>
      </c>
      <c r="B19700" s="1" t="s">
        <v>19507</v>
      </c>
      <c r="C19700" t="str">
        <f>IFERROR(__xludf.DUMMYFUNCTION("GOOGLETRANSLATE(B19700, ""es"", ""en"")"),"Lower height has less height than other brands of vacuum cleaner robot, so it fits better under shelves, is very light and it works fine. Not especially aspires carpets but it is said to be for hard floors. The downside is getting the junk drawer, as indi"&amp;"cated by the arrow (1) is easy, but then again tighten as indicated by the arrow to remove the trash from the drawer and does not work, would it draw another number arrow 2 in the opposite direction to you can think of opening the lid without once baring "&amp;"it's elementary, but spends a hard time until he is discovered")</f>
        <v>Lower height has less height than other brands of vacuum cleaner robot, so it fits better under shelves, is very light and it works fine. Not especially aspires carpets but it is said to be for hard floors. The downside is getting the junk drawer, as indicated by the arrow (1) is easy, but then again tighten as indicated by the arrow to remove the trash from the drawer and does not work, would it draw another number arrow 2 in the opposite direction to you can think of opening the lid without once baring it's elementary, but spends a hard time until he is discovered</v>
      </c>
    </row>
    <row r="19701">
      <c r="A19701" s="1">
        <v>5.0</v>
      </c>
      <c r="B19701" s="1" t="s">
        <v>19508</v>
      </c>
      <c r="C19701" t="str">
        <f>IFERROR(__xludf.DUMMYFUNCTION("GOOGLETRANSLATE(B19701, ""es"", ""en"")"),"A silk Very comfortable, but not the size I was right .... Very long. But still I will use, is very cool and comfortable, juicy")</f>
        <v>A silk Very comfortable, but not the size I was right .... Very long. But still I will use, is very cool and comfortable, juicy</v>
      </c>
    </row>
    <row r="19702">
      <c r="A19702" s="1">
        <v>5.0</v>
      </c>
      <c r="B19702" s="1" t="s">
        <v>19509</v>
      </c>
      <c r="C19702" t="str">
        <f>IFERROR(__xludf.DUMMYFUNCTION("GOOGLETRANSLATE(B19702, ""es"", ""en"")"),"What does the burden Buenos")</f>
        <v>What does the burden Buenos</v>
      </c>
    </row>
    <row r="19703">
      <c r="A19703" s="1">
        <v>5.0</v>
      </c>
      <c r="B19703" s="1" t="s">
        <v>19510</v>
      </c>
      <c r="C19703" t="str">
        <f>IFERROR(__xludf.DUMMYFUNCTION("GOOGLETRANSLATE(B19703, ""es"", ""en"")"),"Very nice Comfortable and which are as shown in the photo box and all. The same size so use everything perfect.")</f>
        <v>Very nice Comfortable and which are as shown in the photo box and all. The same size so use everything perfect.</v>
      </c>
    </row>
    <row r="19704">
      <c r="A19704" s="1">
        <v>5.0</v>
      </c>
      <c r="B19704" s="1" t="s">
        <v>19511</v>
      </c>
      <c r="C19704" t="str">
        <f>IFERROR(__xludf.DUMMYFUNCTION("GOOGLETRANSLATE(B19704, ""es"", ""en"")"),"COMFORTABLE good quality, very comfortable for Yoga and Pilates")</f>
        <v>COMFORTABLE good quality, very comfortable for Yoga and Pilates</v>
      </c>
    </row>
    <row r="19705">
      <c r="A19705" s="1">
        <v>2.0</v>
      </c>
      <c r="B19705" s="1" t="s">
        <v>19512</v>
      </c>
      <c r="C19705" t="str">
        <f>IFERROR(__xludf.DUMMYFUNCTION("GOOGLETRANSLATE(B19705, ""es"", ""en"")"),"I bought disappointed by the comments were so good and I was disappointed. The quality of the sound is normal, but the same is because I do not enter the ear, they hurt if they sport would make me fall. Battery with very little. Honestly, look at others w"&amp;"ho have a little more quality.")</f>
        <v>I bought disappointed by the comments were so good and I was disappointed. The quality of the sound is normal, but the same is because I do not enter the ear, they hurt if they sport would make me fall. Battery with very little. Honestly, look at others who have a little more quality.</v>
      </c>
    </row>
    <row r="19706">
      <c r="A19706" s="1">
        <v>3.0</v>
      </c>
      <c r="B19706" s="1" t="s">
        <v>19513</v>
      </c>
      <c r="C19706" t="str">
        <f>IFERROR(__xludf.DUMMYFUNCTION("GOOGLETRANSLATE(B19706, ""es"", ""en"")"),"A little grip")</f>
        <v>A little grip</v>
      </c>
    </row>
    <row r="19707">
      <c r="A19707" s="1">
        <v>1.0</v>
      </c>
      <c r="B19707" s="1" t="s">
        <v>19514</v>
      </c>
      <c r="C19707" t="str">
        <f>IFERROR(__xludf.DUMMYFUNCTION("GOOGLETRANSLATE(B19707, ""es"", ""en"")"),"I do not recommend nor with the legs that leads stays firm, always limp, which is quite incómodo..pero clear without those legs would slip. The worst is that he has scratched the bottom of the ratón..fatal, I've changed")</f>
        <v>I do not recommend nor with the legs that leads stays firm, always limp, which is quite incómodo..pero clear without those legs would slip. The worst is that he has scratched the bottom of the ratón..fatal, I've changed</v>
      </c>
    </row>
    <row r="19708">
      <c r="A19708" s="1">
        <v>1.0</v>
      </c>
      <c r="B19708" s="1" t="s">
        <v>19515</v>
      </c>
      <c r="C19708" t="str">
        <f>IFERROR(__xludf.DUMMYFUNCTION("GOOGLETRANSLATE(B19708, ""es"", ""en"")"),"defrauded expectations. He arrived unsealing and poor packaging. The product does not meet expectations. Both the gear and accessories are plastic; They are neither corrresponden to 1000W, or the price of the product. Braun is not what it was. I gave it b"&amp;"ack.")</f>
        <v>defrauded expectations. He arrived unsealing and poor packaging. The product does not meet expectations. Both the gear and accessories are plastic; They are neither corrresponden to 1000W, or the price of the product. Braun is not what it was. I gave it back.</v>
      </c>
    </row>
    <row r="19709">
      <c r="A19709" s="1">
        <v>4.0</v>
      </c>
      <c r="B19709" s="1" t="s">
        <v>19516</v>
      </c>
      <c r="C19709" t="str">
        <f>IFERROR(__xludf.DUMMYFUNCTION("GOOGLETRANSLATE(B19709, ""es"", ""en"")"),"Good shoes are warm and comfortable. I had to catch another number.")</f>
        <v>Good shoes are warm and comfortable. I had to catch another number.</v>
      </c>
    </row>
    <row r="19710">
      <c r="A19710" s="1">
        <v>4.0</v>
      </c>
      <c r="B19710" s="1" t="s">
        <v>19517</v>
      </c>
      <c r="C19710" t="str">
        <f>IFERROR(__xludf.DUMMYFUNCTION("GOOGLETRANSLATE(B19710, ""es"", ""en"")"),"As beautiful in the photo, all you half broke three days !!")</f>
        <v>As beautiful in the photo, all you half broke three days !!</v>
      </c>
    </row>
    <row r="19711">
      <c r="A19711" s="1">
        <v>4.0</v>
      </c>
      <c r="B19711" s="1" t="s">
        <v>19518</v>
      </c>
      <c r="C19711" t="str">
        <f>IFERROR(__xludf.DUMMYFUNCTION("GOOGLETRANSLATE(B19711, ""es"", ""en"")"),"Great practice")</f>
        <v>Great practice</v>
      </c>
    </row>
    <row r="19712">
      <c r="A19712" s="1">
        <v>4.0</v>
      </c>
      <c r="B19712" s="1" t="s">
        <v>19519</v>
      </c>
      <c r="C19712" t="str">
        <f>IFERROR(__xludf.DUMMYFUNCTION("GOOGLETRANSLATE(B19712, ""es"", ""en"")"),"Q I would buy it expected. Multifunctional, with multiple compartments and possibilities. Fulfills the mission for q buy it perfectly, being able to take x front and back while I bike. Xq took a star one inside zipper rozabs and I q do a little repair but"&amp;" deserves its price x")</f>
        <v>Q I would buy it expected. Multifunctional, with multiple compartments and possibilities. Fulfills the mission for q buy it perfectly, being able to take x front and back while I bike. Xq took a star one inside zipper rozabs and I q do a little repair but deserves its price x</v>
      </c>
    </row>
    <row r="19713">
      <c r="A19713" s="1">
        <v>5.0</v>
      </c>
      <c r="B19713" s="1" t="s">
        <v>19520</v>
      </c>
      <c r="C19713" t="str">
        <f>IFERROR(__xludf.DUMMYFUNCTION("GOOGLETRANSLATE(B19713, ""es"", ""en"")"),"So comfortable sole !! Soled very squishy, ​​but on the floor of the gym, slide. Otherwise, perfect !!")</f>
        <v>So comfortable sole !! Soled very squishy, ​​but on the floor of the gym, slide. Otherwise, perfect !!</v>
      </c>
    </row>
    <row r="19714">
      <c r="A19714" s="1">
        <v>5.0</v>
      </c>
      <c r="B19714" s="1" t="s">
        <v>19521</v>
      </c>
      <c r="C19714" t="str">
        <f>IFERROR(__xludf.DUMMYFUNCTION("GOOGLETRANSLATE(B19714, ""es"", ""en"")"),"Just what I expected and a top price. They are authentic. If you've been converse with no problem size because either the boot or lower the sizing is the same. The shipment has arrived at the specified time. They come with your box in perfect condition. I"&amp;" recommend it.")</f>
        <v>Just what I expected and a top price. They are authentic. If you've been converse with no problem size because either the boot or lower the sizing is the same. The shipment has arrived at the specified time. They come with your box in perfect condition. I recommend it.</v>
      </c>
    </row>
    <row r="19715">
      <c r="A19715" s="1">
        <v>5.0</v>
      </c>
      <c r="B19715" s="1" t="s">
        <v>19522</v>
      </c>
      <c r="C19715" t="str">
        <f>IFERROR(__xludf.DUMMYFUNCTION("GOOGLETRANSLATE(B19715, ""es"", ""en"")"),"Bursts Scents I have loved these oils. The smell is intense and it opens the box as fragrances jump to the environment. I have tasted in a burner essences and little time to put to work and perfuming the entire stay. I like the dropper that bring built. I"&amp;"t is very accurate and clean. The only downside is that seeing the picture I thought they would be bigger boats, but they are fine.")</f>
        <v>Bursts Scents I have loved these oils. The smell is intense and it opens the box as fragrances jump to the environment. I have tasted in a burner essences and little time to put to work and perfuming the entire stay. I like the dropper that bring built. It is very accurate and clean. The only downside is that seeing the picture I thought they would be bigger boats, but they are fine.</v>
      </c>
    </row>
    <row r="19716">
      <c r="A19716" s="1">
        <v>5.0</v>
      </c>
      <c r="B19716" s="1" t="s">
        <v>19523</v>
      </c>
      <c r="C19716" t="str">
        <f>IFERROR(__xludf.DUMMYFUNCTION("GOOGLETRANSLATE(B19716, ""es"", ""en"")"),"Comfortable shoes very comfortable, exceeds expectations regarding the price, I chock one 43-44, and had a Panter size 44, so not changed and ordered a 44 or size 10 in UK, and I will perfect without touching by little toe")</f>
        <v>Comfortable shoes very comfortable, exceeds expectations regarding the price, I chock one 43-44, and had a Panter size 44, so not changed and ordered a 44 or size 10 in UK, and I will perfect without touching by little toe</v>
      </c>
    </row>
    <row r="19717">
      <c r="A19717" s="1">
        <v>5.0</v>
      </c>
      <c r="B19717" s="1" t="s">
        <v>19524</v>
      </c>
      <c r="C19717" t="str">
        <f>IFERROR(__xludf.DUMMYFUNCTION("GOOGLETRANSLATE(B19717, ""es"", ""en"")"),"Casio SGW-100 The first through Amazon Delivered on the date digeron. Well the truth that watch this well is not very large and the digits are perfect in every screen, reads reads very well, I recommend this watch if you are looking for a good watch at th"&amp;"is price it's great. The clock is more beautiful when tengais front, thanks.")</f>
        <v>Casio SGW-100 The first through Amazon Delivered on the date digeron. Well the truth that watch this well is not very large and the digits are perfect in every screen, reads reads very well, I recommend this watch if you are looking for a good watch at this price it's great. The clock is more beautiful when tengais front, thanks.</v>
      </c>
    </row>
    <row r="19718">
      <c r="A19718" s="1">
        <v>5.0</v>
      </c>
      <c r="B19718" s="1" t="s">
        <v>19525</v>
      </c>
      <c r="C19718" t="str">
        <f>IFERROR(__xludf.DUMMYFUNCTION("GOOGLETRANSLATE(B19718, ""es"", ""en"")"),"A perfect being carve Brazilian have to look good to the order them because it can be small. I usually wear 44 and Havaianas is 43-44 European marque BRA although 44-45")</f>
        <v>A perfect being carve Brazilian have to look good to the order them because it can be small. I usually wear 44 and Havaianas is 43-44 European marque BRA although 44-45</v>
      </c>
    </row>
    <row r="19719">
      <c r="A19719" s="1">
        <v>5.0</v>
      </c>
      <c r="B19719" s="1" t="s">
        <v>19526</v>
      </c>
      <c r="C19719" t="str">
        <f>IFERROR(__xludf.DUMMYFUNCTION("GOOGLETRANSLATE(B19719, ""es"", ""en"")"),"Sweatshirt")</f>
        <v>Sweatshirt</v>
      </c>
    </row>
    <row r="19720">
      <c r="A19720" s="1">
        <v>5.0</v>
      </c>
      <c r="B19720" s="1" t="s">
        <v>19527</v>
      </c>
      <c r="C19720" t="str">
        <f>IFERROR(__xludf.DUMMYFUNCTION("GOOGLETRANSLATE(B19720, ""es"", ""en"")"),"Filomena Value fine, easy to use, instructions in Spanish. Casio is never falla.mi husband also takes him to work hard as a rock. Excellent buy")</f>
        <v>Filomena Value fine, easy to use, instructions in Spanish. Casio is never falla.mi husband also takes him to work hard as a rock. Excellent buy</v>
      </c>
    </row>
    <row r="19721">
      <c r="A19721" s="1">
        <v>5.0</v>
      </c>
      <c r="B19721" s="1" t="s">
        <v>19528</v>
      </c>
      <c r="C19721" t="str">
        <f>IFERROR(__xludf.DUMMYFUNCTION("GOOGLETRANSLATE(B19721, ""es"", ""en"")"),"Well good quality.")</f>
        <v>Well good quality.</v>
      </c>
    </row>
    <row r="19722">
      <c r="A19722" s="1">
        <v>5.0</v>
      </c>
      <c r="B19722" s="1" t="s">
        <v>19529</v>
      </c>
      <c r="C19722" t="str">
        <f>IFERROR(__xludf.DUMMYFUNCTION("GOOGLETRANSLATE(B19722, ""es"", ""en"")"),"Boil water very fast and the design is very nice. He never had a kettle at home and are delighted with him. pretty, metallic. Design We chose this for free bpa material. Easy operation. Before taking the cup, spoon and have tea and boiling water. With thi"&amp;"s kettle get up from the couch to get an infusion will not give any laziness. The swivel base handed use very convenient also.")</f>
        <v>Boil water very fast and the design is very nice. He never had a kettle at home and are delighted with him. pretty, metallic. Design We chose this for free bpa material. Easy operation. Before taking the cup, spoon and have tea and boiling water. With this kettle get up from the couch to get an infusion will not give any laziness. The swivel base handed use very convenient also.</v>
      </c>
    </row>
    <row r="19723">
      <c r="A19723" s="1">
        <v>5.0</v>
      </c>
      <c r="B19723" s="1" t="s">
        <v>19530</v>
      </c>
      <c r="C19723" t="str">
        <f>IFERROR(__xludf.DUMMYFUNCTION("GOOGLETRANSLATE(B19723, ""es"", ""en"")"),"Shoe very good but small I bought these shoes jugándomela with size. I usually wear 38 but I still have something small. I changed to a larger and great size. The material is good, the brand is noticed. It is also very cheap compared to other stores. The "&amp;"color is such that the photo and does not have much fabric area (which bothers me that me enough because it is giving itself). Overall very happy with them. Holding well ankle")</f>
        <v>Shoe very good but small I bought these shoes jugándomela with size. I usually wear 38 but I still have something small. I changed to a larger and great size. The material is good, the brand is noticed. It is also very cheap compared to other stores. The color is such that the photo and does not have much fabric area (which bothers me that me enough because it is giving itself). Overall very happy with them. Holding well ankle</v>
      </c>
    </row>
    <row r="19724">
      <c r="A19724" s="1">
        <v>5.0</v>
      </c>
      <c r="B19724" s="1" t="s">
        <v>19531</v>
      </c>
      <c r="C19724" t="str">
        <f>IFERROR(__xludf.DUMMYFUNCTION("GOOGLETRANSLATE(B19724, ""es"", ""en"")"),"Recommended Better than I expected")</f>
        <v>Recommended Better than I expected</v>
      </c>
    </row>
    <row r="19725">
      <c r="A19725" s="1">
        <v>5.0</v>
      </c>
      <c r="B19725" s="1" t="s">
        <v>19532</v>
      </c>
      <c r="C19725" t="str">
        <f>IFERROR(__xludf.DUMMYFUNCTION("GOOGLETRANSLATE(B19725, ""es"", ""en"")"),"Excellent buy very fast matching and sound much, aesthetics is very nice, bright and resistant cargo box appears. I took 2 hours using them watching a movie and still has not made me lack load. An excellent buy")</f>
        <v>Excellent buy very fast matching and sound much, aesthetics is very nice, bright and resistant cargo box appears. I took 2 hours using them watching a movie and still has not made me lack load. An excellent buy</v>
      </c>
    </row>
    <row r="19726">
      <c r="A19726" s="1">
        <v>5.0</v>
      </c>
      <c r="B19726" s="1" t="s">
        <v>19533</v>
      </c>
      <c r="C19726" t="str">
        <f>IFERROR(__xludf.DUMMYFUNCTION("GOOGLETRANSLATE(B19726, ""es"", ""en"")"),"It cleans very easy Well I waited to use the zumera and to give my assessment'm excellent excited is true q leaves pulp but we're talking q all let you use a colander there who likes more and some people do not, but in my personal opinion I zumera and enc"&amp;"hanted with no effort or to wring my opinion EXELENTE or clean! !!")</f>
        <v>It cleans very easy Well I waited to use the zumera and to give my assessment'm excellent excited is true q leaves pulp but we're talking q all let you use a colander there who likes more and some people do not, but in my personal opinion I zumera and enchanted with no effort or to wring my opinion EXELENTE or clean! !!</v>
      </c>
    </row>
    <row r="19727">
      <c r="A19727" s="1">
        <v>5.0</v>
      </c>
      <c r="B19727" s="1" t="s">
        <v>19534</v>
      </c>
      <c r="C19727" t="str">
        <f>IFERROR(__xludf.DUMMYFUNCTION("GOOGLETRANSLATE(B19727, ""es"", ""en"")"),"Impressed, I recommend it over other less expensive and even more expensive. I have been impressed with the quality of this solid disc 480 gigas version, I've installed on an Intel NUC8i3BEH with 16 gigabytes of RAM in dual chanel and speed is amazing. Th"&amp;"ere are some cheaper models, we are talking about 15 or 20 euros difference. but I have not the slightest doubt that agrees to pay the difference to buy this model.")</f>
        <v>Impressed, I recommend it over other less expensive and even more expensive. I have been impressed with the quality of this solid disc 480 gigas version, I've installed on an Intel NUC8i3BEH with 16 gigabytes of RAM in dual chanel and speed is amazing. There are some cheaper models, we are talking about 15 or 20 euros difference. but I have not the slightest doubt that agrees to pay the difference to buy this model.</v>
      </c>
    </row>
    <row r="19728">
      <c r="A19728" s="1">
        <v>5.0</v>
      </c>
      <c r="B19728" s="1" t="s">
        <v>19535</v>
      </c>
      <c r="C19728" t="str">
        <f>IFERROR(__xludf.DUMMYFUNCTION("GOOGLETRANSLATE(B19728, ""es"", ""en"")"),"Very good very good product, very quickly reached me and what I was asking")</f>
        <v>Very good very good product, very quickly reached me and what I was asking</v>
      </c>
    </row>
    <row r="19729">
      <c r="A19729" s="1">
        <v>5.0</v>
      </c>
      <c r="B19729" s="1" t="s">
        <v>19536</v>
      </c>
      <c r="C19729" t="str">
        <f>IFERROR(__xludf.DUMMYFUNCTION("GOOGLETRANSLATE(B19729, ""es"", ""en"")"),"Sports bra. normal tissue is good for sports.")</f>
        <v>Sports bra. normal tissue is good for sports.</v>
      </c>
    </row>
    <row r="19730">
      <c r="A19730" s="1">
        <v>5.0</v>
      </c>
      <c r="B19730" s="1" t="s">
        <v>19537</v>
      </c>
      <c r="C19730" t="str">
        <f>IFERROR(__xludf.DUMMYFUNCTION("GOOGLETRANSLATE(B19730, ""es"", ""en"")"),"Precious Love and I ordered a 37 is perfect (use 37)")</f>
        <v>Precious Love and I ordered a 37 is perfect (use 37)</v>
      </c>
    </row>
    <row r="19731">
      <c r="A19731" s="1">
        <v>5.0</v>
      </c>
      <c r="B19731" s="1" t="s">
        <v>19538</v>
      </c>
      <c r="C19731" t="str">
        <f>IFERROR(__xludf.DUMMYFUNCTION("GOOGLETRANSLATE(B19731, ""es"", ""en"")"),"Better than expected warm enough in winter now. I is set and is thicker than I expected.")</f>
        <v>Better than expected warm enough in winter now. I is set and is thicker than I expected.</v>
      </c>
    </row>
    <row r="19732">
      <c r="A19732" s="1">
        <v>2.0</v>
      </c>
      <c r="B19732" s="1" t="s">
        <v>19539</v>
      </c>
      <c r="C19732" t="str">
        <f>IFERROR(__xludf.DUMMYFUNCTION("GOOGLETRANSLATE(B19732, ""es"", ""en"")"),"Comfortable the first day of decent materials price, the boot is comfortable at the beginning, but with the days it seems that the inside will deform and, in my case makes me key side of the toe in the foot walking . I tested with several templates but no"&amp;"ne has been able to avoid the hassle mentioned.")</f>
        <v>Comfortable the first day of decent materials price, the boot is comfortable at the beginning, but with the days it seems that the inside will deform and, in my case makes me key side of the toe in the foot walking . I tested with several templates but none has been able to avoid the hassle mentioned.</v>
      </c>
    </row>
    <row r="19733">
      <c r="A19733" s="1">
        <v>3.0</v>
      </c>
      <c r="B19733" s="1" t="s">
        <v>19540</v>
      </c>
      <c r="C19733" t="str">
        <f>IFERROR(__xludf.DUMMYFUNCTION("GOOGLETRANSLATE(B19733, ""es"", ""en"")"),"Not bad, but ..... The first unit arrived, not broken, but worse. Even within the packaging it was heard that he had broken metal parts. Amazon, as always, excellent, return and new album in two days. Thanks Amazón .... keep it up .... The second unit was"&amp;" in perfect condition, how could it be otherwise. Remarks: - It has USB 3.0 connection. I know that time is not very popular, but there it is. - No power on / off. This in principle is neither good nor bad, but you should know. If you're going to have per"&amp;"manently connected, for the switch you do not need at all, for example to connect to a NAS. - Temperature: From my point of view, the temperature reached after several hours of use, is quite high. Of course, the only strong point of this model is the pric"&amp;"e. A more correct operation, coupled with the good price (at the time I bought it), make this unit a very interesting option for user who just wants to have lots of data storage for daily use but not intensive.")</f>
        <v>Not bad, but ..... The first unit arrived, not broken, but worse. Even within the packaging it was heard that he had broken metal parts. Amazon, as always, excellent, return and new album in two days. Thanks Amazón .... keep it up .... The second unit was in perfect condition, how could it be otherwise. Remarks: - It has USB 3.0 connection. I know that time is not very popular, but there it is. - No power on / off. This in principle is neither good nor bad, but you should know. If you're going to have permanently connected, for the switch you do not need at all, for example to connect to a NAS. - Temperature: From my point of view, the temperature reached after several hours of use, is quite high. Of course, the only strong point of this model is the price. A more correct operation, coupled with the good price (at the time I bought it), make this unit a very interesting option for user who just wants to have lots of data storage for daily use but not intensive.</v>
      </c>
    </row>
    <row r="19734">
      <c r="A19734" s="1">
        <v>3.0</v>
      </c>
      <c r="B19734" s="1" t="s">
        <v>19541</v>
      </c>
      <c r="C19734" t="str">
        <f>IFERROR(__xludf.DUMMYFUNCTION("GOOGLETRANSLATE(B19734, ""es"", ""en"")"),"Meets dry well but lacks weight to take the tape and cut it with one hand without the dispenser is lifted, if you know what I mean. a greeting")</f>
        <v>Meets dry well but lacks weight to take the tape and cut it with one hand without the dispenser is lifted, if you know what I mean. a greeting</v>
      </c>
    </row>
    <row r="19735">
      <c r="A19735" s="1">
        <v>1.0</v>
      </c>
      <c r="B19735" s="1" t="s">
        <v>19542</v>
      </c>
      <c r="C19735" t="str">
        <f>IFERROR(__xludf.DUMMYFUNCTION("GOOGLETRANSLATE(B19735, ""es"", ""en"")"),"Very weak and bad quality After using the blender literally 7 times, the piece of lace arm mixer is released and the look was ""merged"" with the piece motor. Result? New equipment and useless mixer in less than 10 uses. I can not use other accessories be"&amp;"cause now the engine to be spoiled the hook, and does not fit into them. In addition, power is very poor: my old blender was only 600W and was much more powerful. It has definitely been a terrible mistake buying.")</f>
        <v>Very weak and bad quality After using the blender literally 7 times, the piece of lace arm mixer is released and the look was "merged" with the piece motor. Result? New equipment and useless mixer in less than 10 uses. I can not use other accessories because now the engine to be spoiled the hook, and does not fit into them. In addition, power is very poor: my old blender was only 600W and was much more powerful. It has definitely been a terrible mistake buying.</v>
      </c>
    </row>
    <row r="19736">
      <c r="A19736" s="1">
        <v>1.0</v>
      </c>
      <c r="B19736" s="1" t="s">
        <v>19543</v>
      </c>
      <c r="C19736" t="str">
        <f>IFERROR(__xludf.DUMMYFUNCTION("GOOGLETRANSLATE(B19736, ""es"", ""en"")"),"0% Da heat quality for sports. Set too. No sweat perspire.")</f>
        <v>0% Da heat quality for sports. Set too. No sweat perspire.</v>
      </c>
    </row>
    <row r="19737">
      <c r="A19737" s="1">
        <v>4.0</v>
      </c>
      <c r="B19737" s="1" t="s">
        <v>19544</v>
      </c>
      <c r="C19737" t="str">
        <f>IFERROR(__xludf.DUMMYFUNCTION("GOOGLETRANSLATE(B19737, ""es"", ""en"")"),"Perfect is exactly what I wanted. The shipment arrived early. Perfect.")</f>
        <v>Perfect is exactly what I wanted. The shipment arrived early. Perfect.</v>
      </c>
    </row>
    <row r="19738">
      <c r="A19738" s="1">
        <v>4.0</v>
      </c>
      <c r="B19738" s="1" t="s">
        <v>19545</v>
      </c>
      <c r="C19738" t="str">
        <f>IFERROR(__xludf.DUMMYFUNCTION("GOOGLETRANSLATE(B19738, ""es"", ""en"")"),"It conforms to the above. It brings comfort in cold conditions. I recommend as undergarment. We will see over time if you continue with the same qualities.")</f>
        <v>It conforms to the above. It brings comfort in cold conditions. I recommend as undergarment. We will see over time if you continue with the same qualities.</v>
      </c>
    </row>
    <row r="19739">
      <c r="A19739" s="1">
        <v>4.0</v>
      </c>
      <c r="B19739" s="1" t="s">
        <v>19546</v>
      </c>
      <c r="C19739" t="str">
        <f>IFERROR(__xludf.DUMMYFUNCTION("GOOGLETRANSLATE(B19739, ""es"", ""en"")"),"Would much heated that the temperature mentioned factor at high speeds of work is very high. Installation should always be recommended dissipation system")</f>
        <v>Would much heated that the temperature mentioned factor at high speeds of work is very high. Installation should always be recommended dissipation system</v>
      </c>
    </row>
    <row r="19740">
      <c r="A19740" s="1">
        <v>4.0</v>
      </c>
      <c r="B19740" s="1" t="s">
        <v>19547</v>
      </c>
      <c r="C19740" t="str">
        <f>IFERROR(__xludf.DUMMYFUNCTION("GOOGLETRANSLATE(B19740, ""es"", ""en"")"),"Great brand I like the Puma brand and never disappoints. The size is right, I ordered a 42 and comes perfectly. Great quality and very comfortable.")</f>
        <v>Great brand I like the Puma brand and never disappoints. The size is right, I ordered a 42 and comes perfectly. Great quality and very comfortable.</v>
      </c>
    </row>
    <row r="19741">
      <c r="A19741" s="1">
        <v>4.0</v>
      </c>
      <c r="B19741" s="1" t="s">
        <v>19548</v>
      </c>
      <c r="C19741" t="str">
        <f>IFERROR(__xludf.DUMMYFUNCTION("GOOGLETRANSLATE(B19741, ""es"", ""en"")"),"Well half. Not very hot. It's a gift for my wife. I tried to the maximum and well half, heated somewhat if you have feet position on the floor (as pictured), but if you stretch on the couch and upload it, not so much, you need to contact weight with radia"&amp;"tors so you transmit heat. nice, wide color that fit almost 3 feet and desenfunfable. Not only you have the radiator on the ground, but in the entire apparatus.")</f>
        <v>Well half. Not very hot. It's a gift for my wife. I tried to the maximum and well half, heated somewhat if you have feet position on the floor (as pictured), but if you stretch on the couch and upload it, not so much, you need to contact weight with radiators so you transmit heat. nice, wide color that fit almost 3 feet and desenfunfable. Not only you have the radiator on the ground, but in the entire apparatus.</v>
      </c>
    </row>
    <row r="19742">
      <c r="A19742" s="1">
        <v>5.0</v>
      </c>
      <c r="B19742" s="1" t="s">
        <v>19549</v>
      </c>
      <c r="C19742" t="str">
        <f>IFERROR(__xludf.DUMMYFUNCTION("GOOGLETRANSLATE(B19742, ""es"", ""en"")"),"I would buy this phenomenal to organize a lot of documents. It is quite sturdy and folder colors are very cool. Surely we buy more.")</f>
        <v>I would buy this phenomenal to organize a lot of documents. It is quite sturdy and folder colors are very cool. Surely we buy more.</v>
      </c>
    </row>
    <row r="19743">
      <c r="A19743" s="1">
        <v>5.0</v>
      </c>
      <c r="B19743" s="1" t="s">
        <v>19550</v>
      </c>
      <c r="C19743" t="str">
        <f>IFERROR(__xludf.DUMMYFUNCTION("GOOGLETRANSLATE(B19743, ""es"", ""en"")"),"Super comfortable and warm in these boots I picked beige first and then I went back to buy the red, both with hair. Say they are super comfortable although inside have a little wedge. In winter give warmth and best of all is that they are super original")</f>
        <v>Super comfortable and warm in these boots I picked beige first and then I went back to buy the red, both with hair. Say they are super comfortable although inside have a little wedge. In winter give warmth and best of all is that they are super original</v>
      </c>
    </row>
    <row r="19744">
      <c r="A19744" s="1">
        <v>5.0</v>
      </c>
      <c r="B19744" s="1" t="s">
        <v>19551</v>
      </c>
      <c r="C19744" t="str">
        <f>IFERROR(__xludf.DUMMYFUNCTION("GOOGLETRANSLATE(B19744, ""es"", ""en"")"),"Perfect are very soft and comfortable, nothing intrusive in terms of tightening or give heat and for this reason I am very happy with them")</f>
        <v>Perfect are very soft and comfortable, nothing intrusive in terms of tightening or give heat and for this reason I am very happy with them</v>
      </c>
    </row>
    <row r="19745">
      <c r="A19745" s="1">
        <v>5.0</v>
      </c>
      <c r="B19745" s="1" t="s">
        <v>19552</v>
      </c>
      <c r="C19745" t="str">
        <f>IFERROR(__xludf.DUMMYFUNCTION("GOOGLETRANSLATE(B19745, ""es"", ""en"")"),"Cable 1.5 meters in length XLR Male to 6.35mm Jack. Cable 1.5 meters in length: - Connector A: male XLR - connector B: Basic 6.35mm Jack for connecting audio equipment Cable. Use the connector Jack 6.35mm to leave a Focusrite Scarlett 18i20 connected with"&amp;" two Yamaha HS80M studio monitor with XLR male connector. Before using these cables using a TS. And he had a signal coupling noise. Replace these balanced cable. The noise disappeared and the signal emitted by the monitors sounded much cleaner. The prefer"&amp;"red basic cable. Note: Individual cable. I ordered two cables.")</f>
        <v>Cable 1.5 meters in length XLR Male to 6.35mm Jack. Cable 1.5 meters in length: - Connector A: male XLR - connector B: Basic 6.35mm Jack for connecting audio equipment Cable. Use the connector Jack 6.35mm to leave a Focusrite Scarlett 18i20 connected with two Yamaha HS80M studio monitor with XLR male connector. Before using these cables using a TS. And he had a signal coupling noise. Replace these balanced cable. The noise disappeared and the signal emitted by the monitors sounded much cleaner. The preferred basic cable. Note: Individual cable. I ordered two cables.</v>
      </c>
    </row>
    <row r="19746">
      <c r="A19746" s="1">
        <v>5.0</v>
      </c>
      <c r="B19746" s="1" t="s">
        <v>19553</v>
      </c>
      <c r="C19746" t="str">
        <f>IFERROR(__xludf.DUMMYFUNCTION("GOOGLETRANSLATE(B19746, ""es"", ""en"")"),"Very Good Meets expectations")</f>
        <v>Very Good Meets expectations</v>
      </c>
    </row>
    <row r="19747">
      <c r="A19747" s="1">
        <v>5.0</v>
      </c>
      <c r="B19747" s="1" t="s">
        <v>19554</v>
      </c>
      <c r="C19747" t="str">
        <f>IFERROR(__xludf.DUMMYFUNCTION("GOOGLETRANSLATE(B19747, ""es"", ""en"")"),"Good, nice and a good price Would you buy it.")</f>
        <v>Good, nice and a good price Would you buy it.</v>
      </c>
    </row>
    <row r="19748">
      <c r="A19748" s="1">
        <v>5.0</v>
      </c>
      <c r="B19748" s="1" t="s">
        <v>19555</v>
      </c>
      <c r="C19748" t="str">
        <f>IFERROR(__xludf.DUMMYFUNCTION("GOOGLETRANSLATE(B19748, ""es"", ""en"")"),"Perfect as always great")</f>
        <v>Perfect as always great</v>
      </c>
    </row>
    <row r="19749">
      <c r="A19749" s="1">
        <v>5.0</v>
      </c>
      <c r="B19749" s="1" t="s">
        <v>19556</v>
      </c>
      <c r="C19749" t="str">
        <f>IFERROR(__xludf.DUMMYFUNCTION("GOOGLETRANSLATE(B19749, ""es"", ""en"")"),"A very good principle gives a little feeling and algunosnprogramas do some damage until you get used.")</f>
        <v>A very good principle gives a little feeling and algunosnprogramas do some damage until you get used.</v>
      </c>
    </row>
    <row r="19750">
      <c r="A19750" s="1">
        <v>5.0</v>
      </c>
      <c r="B19750" s="1" t="s">
        <v>19557</v>
      </c>
      <c r="C19750" t="str">
        <f>IFERROR(__xludf.DUMMYFUNCTION("GOOGLETRANSLATE(B19750, ""es"", ""en"")"),"Excellent product for children. Excellent product better for children. Much better than the rest of glue stick not stick anything.")</f>
        <v>Excellent product for children. Excellent product better for children. Much better than the rest of glue stick not stick anything.</v>
      </c>
    </row>
    <row r="19751">
      <c r="A19751" s="1">
        <v>5.0</v>
      </c>
      <c r="B19751" s="1" t="s">
        <v>19558</v>
      </c>
      <c r="C19751" t="str">
        <f>IFERROR(__xludf.DUMMYFUNCTION("GOOGLETRANSLATE(B19751, ""es"", ""en"")"),"Beautiful Very good quality and very beautiful!")</f>
        <v>Beautiful Very good quality and very beautiful!</v>
      </c>
    </row>
    <row r="19752">
      <c r="A19752" s="1">
        <v>5.0</v>
      </c>
      <c r="B19752" s="1" t="s">
        <v>19559</v>
      </c>
      <c r="C19752" t="str">
        <f>IFERROR(__xludf.DUMMYFUNCTION("GOOGLETRANSLATE(B19752, ""es"", ""en"")"),"Such good purchase and the product was described")</f>
        <v>Such good purchase and the product was described</v>
      </c>
    </row>
    <row r="19753">
      <c r="A19753" s="1">
        <v>5.0</v>
      </c>
      <c r="B19753" s="1" t="s">
        <v>19560</v>
      </c>
      <c r="C19753" t="str">
        <f>IFERROR(__xludf.DUMMYFUNCTION("GOOGLETRANSLATE(B19753, ""es"", ""en"")"),"Nike MD Runner 2 These sports have been for my wife. She always spends 39 to have successful buying a 40. Eye, because they are quite narrow.")</f>
        <v>Nike MD Runner 2 These sports have been for my wife. She always spends 39 to have successful buying a 40. Eye, because they are quite narrow.</v>
      </c>
    </row>
    <row r="19754">
      <c r="A19754" s="1">
        <v>5.0</v>
      </c>
      <c r="B19754" s="1" t="s">
        <v>19561</v>
      </c>
      <c r="C19754" t="str">
        <f>IFERROR(__xludf.DUMMYFUNCTION("GOOGLETRANSLATE(B19754, ""es"", ""en"")"),"Comfortable and good sound The sound is good, without reaching excellence, but for sports and fulfill their duties well. They fit nicely in the ear and do not move at all. The volume control on the microphone helps a lot and so do not have to walk back in"&amp;"to place by removing them and every time someone speaks to you. Seats are very comfortable. Highly recommended.")</f>
        <v>Comfortable and good sound The sound is good, without reaching excellence, but for sports and fulfill their duties well. They fit nicely in the ear and do not move at all. The volume control on the microphone helps a lot and so do not have to walk back into place by removing them and every time someone speaks to you. Seats are very comfortable. Highly recommended.</v>
      </c>
    </row>
    <row r="19755">
      <c r="A19755" s="1">
        <v>5.0</v>
      </c>
      <c r="B19755" s="1" t="s">
        <v>19562</v>
      </c>
      <c r="C19755" t="str">
        <f>IFERROR(__xludf.DUMMYFUNCTION("GOOGLETRANSLATE(B19755, ""es"", ""en"")"),"Not only pay for the brand Very comfortable and do not sound like walking")</f>
        <v>Not only pay for the brand Very comfortable and do not sound like walking</v>
      </c>
    </row>
    <row r="19756">
      <c r="A19756" s="1">
        <v>5.0</v>
      </c>
      <c r="B19756" s="1" t="s">
        <v>19563</v>
      </c>
      <c r="C19756" t="str">
        <f>IFERROR(__xludf.DUMMYFUNCTION("GOOGLETRANSLATE(B19756, ""es"", ""en"")"),"This brand is always great success safe, and top with pink design is much nicer yet. 10.")</f>
        <v>This brand is always great success safe, and top with pink design is much nicer yet. 10.</v>
      </c>
    </row>
    <row r="19757">
      <c r="A19757" s="1">
        <v>5.0</v>
      </c>
      <c r="B19757" s="1" t="s">
        <v>19564</v>
      </c>
      <c r="C19757" t="str">
        <f>IFERROR(__xludf.DUMMYFUNCTION("GOOGLETRANSLATE(B19757, ""es"", ""en"")"),"Good boots is the appropriate number and quality of the boots is excellent.")</f>
        <v>Good boots is the appropriate number and quality of the boots is excellent.</v>
      </c>
    </row>
    <row r="19758">
      <c r="A19758" s="1">
        <v>5.0</v>
      </c>
      <c r="B19758" s="1" t="s">
        <v>19565</v>
      </c>
      <c r="C19758" t="str">
        <f>IFERROR(__xludf.DUMMYFUNCTION("GOOGLETRANSLATE(B19758, ""es"", ""en"")"),"Great decision! The best choice for my baby !! highly recommended product when the breast is given and someone has to give you your food 😊")</f>
        <v>Great decision! The best choice for my baby !! highly recommended product when the breast is given and someone has to give you your food 😊</v>
      </c>
    </row>
    <row r="19759">
      <c r="A19759" s="1">
        <v>5.0</v>
      </c>
      <c r="B19759" s="1" t="s">
        <v>19566</v>
      </c>
      <c r="C19759" t="str">
        <f>IFERROR(__xludf.DUMMYFUNCTION("GOOGLETRANSLATE(B19759, ""es"", ""en"")"),"Very interesting, he never had a Converse sneakers and a high like this. I bought them with others equal to half price for comparison and no color, are much more comfortable, smoother canvas and design subtly pretty, especially the longest tongue so that "&amp;"it can take a little out, as I like . They serve to halftime and summer, both to wear with leggings, jeaggins and dresses. worth buying the real thing.")</f>
        <v>Very interesting, he never had a Converse sneakers and a high like this. I bought them with others equal to half price for comparison and no color, are much more comfortable, smoother canvas and design subtly pretty, especially the longest tongue so that it can take a little out, as I like . They serve to halftime and summer, both to wear with leggings, jeaggins and dresses. worth buying the real thing.</v>
      </c>
    </row>
    <row r="19760">
      <c r="A19760" s="1">
        <v>5.0</v>
      </c>
      <c r="B19760" s="1" t="s">
        <v>19567</v>
      </c>
      <c r="C19760" t="str">
        <f>IFERROR(__xludf.DUMMYFUNCTION("GOOGLETRANSLATE(B19760, ""es"", ""en"")"),"practical and good price &lt;div id = ""video-block-RPWKRN39Y2SR2"" class = ""a-section a-spacing-small a-spacing-top mini video-block""&gt; &lt;/ div&gt; &lt;input type = ""hidden"" name = """" value = ""https://images-eu.ssl-images-amazon.com/images/I/C14J-hvxEQS.mp4"&amp;""" class = ""video-url""&gt; &lt;input type = ""hidden"" name = "" ""value ="" https://images-eu.ssl-images-amazon.com/images/I/A1YAuR4Z7WS.png ""class ="" video-slate-img-url ""&gt; &amp; nbsp; is a kettle. Super fast she shipping as we have used Amazon. It is a kett"&amp;"le 600ml which is perfect for traveling because their size is actually reduced and the capacity is just not to waste water. Heat up quickly and bring a small filter at the tip. for the price you can not find anything like it in large surfaces and performa"&amp;"nce is like one of twice the price of most known firms. The plug comes with European plug. Happy with the purchase and 100% recommended. Cheers")</f>
        <v>practical and good price &lt;div id = "video-block-RPWKRN39Y2SR2" class = "a-section a-spacing-small a-spacing-top mini video-block"&gt; &lt;/ div&gt; &lt;input type = "hidden" name = "" value = "https://images-eu.ssl-images-amazon.com/images/I/C14J-hvxEQS.mp4" class = "video-url"&gt; &lt;input type = "hidden" name = " "value =" https://images-eu.ssl-images-amazon.com/images/I/A1YAuR4Z7WS.png "class =" video-slate-img-url "&gt; &amp; nbsp; is a kettle. Super fast she shipping as we have used Amazon. It is a kettle 600ml which is perfect for traveling because their size is actually reduced and the capacity is just not to waste water. Heat up quickly and bring a small filter at the tip. for the price you can not find anything like it in large surfaces and performance is like one of twice the price of most known firms. The plug comes with European plug. Happy with the purchase and 100% recommended. Cheers</v>
      </c>
    </row>
    <row r="19761">
      <c r="A19761" s="1">
        <v>2.0</v>
      </c>
      <c r="B19761" s="1" t="s">
        <v>19568</v>
      </c>
      <c r="C19761" t="str">
        <f>IFERROR(__xludf.DUMMYFUNCTION("GOOGLETRANSLATE(B19761, ""es"", ""en"")"),"The micro is very bad Connects well with bluetooth mobile and speaker via Bluetooth connection is heard very well. Anyway, the microphone is very bad. You have to approach a lot to touch his mouth to hear something. In addition echoes the echo and not vic"&amp;"e versa. It back.")</f>
        <v>The micro is very bad Connects well with bluetooth mobile and speaker via Bluetooth connection is heard very well. Anyway, the microphone is very bad. You have to approach a lot to touch his mouth to hear something. In addition echoes the echo and not vice versa. It back.</v>
      </c>
    </row>
    <row r="19762">
      <c r="A19762" s="1">
        <v>3.0</v>
      </c>
      <c r="B19762" s="1" t="s">
        <v>19569</v>
      </c>
      <c r="C19762" t="str">
        <f>IFERROR(__xludf.DUMMYFUNCTION("GOOGLETRANSLATE(B19762, ""es"", ""en"")"),"Needs to improve What is missing is untapon for extreme one is covered but the other remains discovered punts being able estripear. Very easily")</f>
        <v>Needs to improve What is missing is untapon for extreme one is covered but the other remains discovered punts being able estripear. Very easily</v>
      </c>
    </row>
    <row r="19763">
      <c r="A19763" s="1">
        <v>3.0</v>
      </c>
      <c r="B19763" s="1" t="s">
        <v>19570</v>
      </c>
      <c r="C19763" t="str">
        <f>IFERROR(__xludf.DUMMYFUNCTION("GOOGLETRANSLATE(B19763, ""es"", ""en"")"),"Not bad. But lets the device itself, it does the job, although the connecting cable is not properly designed for the entry of the HDD and costs to make contact. Which leads to full use, stop the contact and the computer is disconnected think canceling the"&amp;" process.")</f>
        <v>Not bad. But lets the device itself, it does the job, although the connecting cable is not properly designed for the entry of the HDD and costs to make contact. Which leads to full use, stop the contact and the computer is disconnected think canceling the process.</v>
      </c>
    </row>
    <row r="19764">
      <c r="A19764" s="1">
        <v>1.0</v>
      </c>
      <c r="B19764" s="1" t="s">
        <v>19571</v>
      </c>
      <c r="C19764" t="str">
        <f>IFERROR(__xludf.DUMMYFUNCTION("GOOGLETRANSLATE(B19764, ""es"", ""en"")"),"Product shoddy shoddy. If you are given and do not fit., Many poor fabric Pellets")</f>
        <v>Product shoddy shoddy. If you are given and do not fit., Many poor fabric Pellets</v>
      </c>
    </row>
    <row r="19765">
      <c r="A19765" s="1">
        <v>1.0</v>
      </c>
      <c r="B19765" s="1" t="s">
        <v>19572</v>
      </c>
      <c r="C19765" t="str">
        <f>IFERROR(__xludf.DUMMYFUNCTION("GOOGLETRANSLATE(B19765, ""es"", ""en"")"),"I connect not hear a sound tower and the volume butt and not hear almost nothing.")</f>
        <v>I connect not hear a sound tower and the volume butt and not hear almost nothing.</v>
      </c>
    </row>
    <row r="19766">
      <c r="A19766" s="1">
        <v>1.0</v>
      </c>
      <c r="B19766" s="1" t="s">
        <v>19573</v>
      </c>
      <c r="C19766" t="str">
        <f>IFERROR(__xludf.DUMMYFUNCTION("GOOGLETRANSLATE(B19766, ""es"", ""en"")"),"No reproduces sound quality until the end feel to tell you that I am about to return this converter. I made several attempts to convert to mp3 tape and recording quality is not good. At the start of recording sound quality is good and as the tape progress"&amp;"es the quality of the sound worsens almost beyond recognition voice.")</f>
        <v>No reproduces sound quality until the end feel to tell you that I am about to return this converter. I made several attempts to convert to mp3 tape and recording quality is not good. At the start of recording sound quality is good and as the tape progresses the quality of the sound worsens almost beyond recognition voice.</v>
      </c>
    </row>
    <row r="19767">
      <c r="A19767" s="1">
        <v>4.0</v>
      </c>
      <c r="B19767" s="1" t="s">
        <v>19574</v>
      </c>
      <c r="C19767" t="str">
        <f>IFERROR(__xludf.DUMMYFUNCTION("GOOGLETRANSLATE(B19767, ""es"", ""en"")"),"Lack some comfort OK for the price it is but a rubber strap more comfortable you great iria")</f>
        <v>Lack some comfort OK for the price it is but a rubber strap more comfortable you great iria</v>
      </c>
    </row>
    <row r="19768">
      <c r="A19768" s="1">
        <v>4.0</v>
      </c>
      <c r="B19768" s="1" t="s">
        <v>19575</v>
      </c>
      <c r="C19768" t="str">
        <f>IFERROR(__xludf.DUMMYFUNCTION("GOOGLETRANSLATE(B19768, ""es"", ""en"")"),"Robust acceptable, for the price, are robust and reliable. The soil used for sport and when you take time slips a bit damp, but that's usual for everyone. Recommended.")</f>
        <v>Robust acceptable, for the price, are robust and reliable. The soil used for sport and when you take time slips a bit damp, but that's usual for everyone. Recommended.</v>
      </c>
    </row>
    <row r="19769">
      <c r="A19769" s="1">
        <v>4.0</v>
      </c>
      <c r="B19769" s="1" t="s">
        <v>19576</v>
      </c>
      <c r="C19769" t="str">
        <f>IFERROR(__xludf.DUMMYFUNCTION("GOOGLETRANSLATE(B19769, ""es"", ""en"")"),"Electric broom corrected the two biggest problems of the first version: The hairs snagged on the roller and empty the tank. Although I do not understand why they have removed the mop. Anyway is a very good buy.")</f>
        <v>Electric broom corrected the two biggest problems of the first version: The hairs snagged on the roller and empty the tank. Although I do not understand why they have removed the mop. Anyway is a very good buy.</v>
      </c>
    </row>
    <row r="19770">
      <c r="A19770" s="1">
        <v>4.0</v>
      </c>
      <c r="B19770" s="1" t="s">
        <v>19577</v>
      </c>
      <c r="C19770" t="str">
        <f>IFERROR(__xludf.DUMMYFUNCTION("GOOGLETRANSLATE(B19770, ""es"", ""en"")"),"Capacity / tractor speed is a very good hard drive with a large cache which allows for high speeds in large files. The price per TB is very very good. The only downside it is for those who have to migrate from one hdd to another OS having a sdd because it"&amp;" is something complex and surely touch you again install the app from the Microsoft store you have in the previous hdd. A noise level is in the middle of all hdd highlighting the beginnings in which it has a little more noise to the like all mechanical di"&amp;"sks. In short is an album that people who are considering buying one of 2TB for 30 € more have this with more cache and more capacity if they have anything that budget recommend buying this")</f>
        <v>Capacity / tractor speed is a very good hard drive with a large cache which allows for high speeds in large files. The price per TB is very very good. The only downside it is for those who have to migrate from one hdd to another OS having a sdd because it is something complex and surely touch you again install the app from the Microsoft store you have in the previous hdd. A noise level is in the middle of all hdd highlighting the beginnings in which it has a little more noise to the like all mechanical disks. In short is an album that people who are considering buying one of 2TB for 30 € more have this with more cache and more capacity if they have anything that budget recommend buying this</v>
      </c>
    </row>
    <row r="19771">
      <c r="A19771" s="1">
        <v>4.0</v>
      </c>
      <c r="B19771" s="1" t="s">
        <v>19578</v>
      </c>
      <c r="C19771" t="str">
        <f>IFERROR(__xludf.DUMMYFUNCTION("GOOGLETRANSLATE(B19771, ""es"", ""en"")"),"Good quality although the size deceives. They are slightly thicker than the other meshes that have tried similar price. Mido 1.73 and 100kg weight. XL I normally go well but these are me something big. So carefully picking.")</f>
        <v>Good quality although the size deceives. They are slightly thicker than the other meshes that have tried similar price. Mido 1.73 and 100kg weight. XL I normally go well but these are me something big. So carefully picking.</v>
      </c>
    </row>
    <row r="19772">
      <c r="A19772" s="1">
        <v>5.0</v>
      </c>
      <c r="B19772" s="1" t="s">
        <v>19579</v>
      </c>
      <c r="C19772" t="str">
        <f>IFERROR(__xludf.DUMMYFUNCTION("GOOGLETRANSLATE(B19772, ""es"", ""en"")"),"High capacity and quality at a good price A hard drive with a huge capacity to store all types of content, the transfer speed is great, though (at least to me) where notice really its power is Linux, Windows also transfers files very fast but the transfer"&amp;" rate is multiplied with linux")</f>
        <v>High capacity and quality at a good price A hard drive with a huge capacity to store all types of content, the transfer speed is great, though (at least to me) where notice really its power is Linux, Windows also transfers files very fast but the transfer rate is multiplied with linux</v>
      </c>
    </row>
    <row r="19773">
      <c r="A19773" s="1">
        <v>5.0</v>
      </c>
      <c r="B19773" s="1" t="s">
        <v>19580</v>
      </c>
      <c r="C19773" t="str">
        <f>IFERROR(__xludf.DUMMYFUNCTION("GOOGLETRANSLATE(B19773, ""es"", ""en"")"),"Han typhoon arrived late but they have come, are very nice as in the picture, my wife liked it very much.")</f>
        <v>Han typhoon arrived late but they have come, are very nice as in the picture, my wife liked it very much.</v>
      </c>
    </row>
    <row r="19774">
      <c r="A19774" s="1">
        <v>5.0</v>
      </c>
      <c r="B19774" s="1" t="s">
        <v>19581</v>
      </c>
      <c r="C19774" t="str">
        <f>IFERROR(__xludf.DUMMYFUNCTION("GOOGLETRANSLATE(B19774, ""es"", ""en"")"),"Fits perfectly with the pin guitar and amplifier &lt;div id = ""video-block-RAZS0H7HF9958"" class = ""a-section a-spacing-small a-spacing-top mini video-block""&gt; &lt;div tabindex = "" 0 ""class ="" airy airy-svg vmin-unsupported airy-skin-beacon ""style ="" bac"&amp;"kground-color: rgb (0, 0, 0) position: relative; width: 100%; height: 100%; font- size: 0px; overflow: hidden; outline: none; ""&gt; &lt;div class ="" airy-renderer-container ""style ="" position: relative; height: 100%; width: 100%; ""&gt; &lt;video id ="" 7 ""prelo"&amp;"ad ="" auto ""src ="" https://images-eu.ssl-images-amazon.com/images/I/B1flYKXWmdS.mp4 ""style ="" position: absolute; left: 0px; top: 0px; overflow: hidden; height: 1px; width: 1px; ""&gt; &lt;/ video&gt; &lt;/ div&gt; &lt;div id ="" airy Inslate-preload ""style ="" backg"&amp;"round-color: rgb (0, 0, 0); background-image : url (&amp; quot; https: //images-eu.ssl-images-amazon.com/images/I/91VfwhYG8PS.png&amp;quot;); background-size: Contain; background-position: center center; background-repeat: non- repeat; position: absolute; top: 0p"&amp;"x; left: 0px; visibility: visible ; width: 100%; height: 100%; ""&gt; &lt;/ div&gt; &lt;iframe scrolling ="" no ""frameborder ="" 0 ""src ="" about: blank ""style ="" display: none; ""&gt; &lt;/ iframe&gt; &lt;div tabindex ="" - 1 ""class ="" airy-controls-container ""style ="" "&amp;"opacity: 0; visibility: hidden; ""&gt; &lt;div tabindex ="" - 1 ""class ="" airy-screen-size-toggle airy-fullscreen ""&gt; &lt;/ div&gt; &lt;div tabindex ="" - 1 ""class ="" airy-container-bottom "" &gt; &lt;div tabindex = ""- 1"" class = ""airy-track-bar-spacer-left"" style = "&amp;"""width: 11px;""&gt; &lt;/ div&gt; &lt;div tabindex = ""- 1"" class = ""airy-play- airy toggle-play ""style ="" width: 12px; margin-right: 12px; ""&gt; &lt;/ div&gt; &lt;div tabindex ="" - 1 ""class ="" airy-audio-elements ""style ="" float: right; width: 34px; ""&gt; &lt;div tabindex"&amp;" ="" - 1 ""class ="" airy-audio-toggle airy-on ""&gt; &lt;/ div&gt; &lt;div tabindex ="" - 1 ""class ="" airy-audio-container ""style = ""opacity: 0; visibility: hidden; ""&gt; &lt;div tabindex ="" - 1 ""class ="" airy-audio-track-bar ""style ="" height: 80%; ""&gt; &lt;div tabi"&amp;"ndex ="" - 1 ""class ="" airy-audio- Scrubber-bar ""style ="" height: 85%; ""&gt; &lt;/ div&gt; &lt;div tabindex ="" - 1 ""class ="" airy-audio-scrubber ""style ="" height: 12px; bottom: 85% ""&gt; &lt;/ div&gt; &lt;/ div&gt; &lt;/ div&gt; &lt;/ div&gt; &lt;div tabindex ="" - 1 ""class ="" airy-d"&amp;"uration-label ""style ="" float: right; width: 26px; margin-right: 4px; text-align: center; ""&gt; 0:00 &lt;/ div&gt; &lt;div tabindex ="" - 1 ""class ="" airy-track-bar-spacer-right ""style ="" float: right; width: 11px; ""&gt; &lt;/ div&gt; &lt;div tabindex ="" - 1 ""class ="""&amp;" airy-track-bar-container ""style ="" margin-left: 35px; margin-right: 75px; ""&gt; &lt;div tabindex ="" - 1 ""class ="" airy-airy-track-bar vertically-centering-table ""&gt; &lt;div tabindex ="" - 1 ""class ="" airy-Vertical-centering- table-cell ""&gt; &lt;div tabindex ="&amp;""" - 1 ""class ="" airy-track-bar-elements ""&gt; &lt;div tabindex ="" - 1 ""class ="" airy-progress-bar ""&gt; &lt;/ div&gt; &lt;div tabindex = ""- 1"" class = ""airy-scrubber-bar""&gt; &lt;/ div&gt; &lt;div tabindex = ""- 1"" class = ""airy-scrubber""&gt; &lt;div tabindex = ""- 1"" class "&amp;"= ""airy-scrubber- icon ""&gt; &lt;/ div&gt; &lt;div tabindex ="" - 1 ""class ="" airy-adjusted-AUI-tooltip ""style ="" opacity: 0; visibility: hidden; ""&gt; &lt;div tabindex ="" - 1 ""class ="" airy-adjusted-aui-tooltip-inner ""&gt; &lt;div tabindex ="" - 1 ""class ="" airy-cu"&amp;"rrent-time-label ""&gt; 0: 00 &lt;/ div&gt; &lt;/ div&gt; &lt;div tabindex = ""- 1"" class = ""airy-adjusted-AUI-arrow-border""&gt; &lt;div tabindex = ""- 1"" class = ""airy-adjusted-AUI-arrow"" &gt; &lt;/ div&gt; &lt;/ div&gt; &lt;/ div&gt; &lt;/ div&gt; &lt;/ div&gt; &lt;/ div&gt; &lt;/ div&gt; &lt;/ div&gt; &lt;/ div&gt; &lt;/ div&gt; &lt;d"&amp;"iv tabindex = ""- 1"" class = ""airy-age-gate airy-stage airy-Vertical-centering-table airy-dialog"" style = ""opacity: 0; visibility: hidden; ""&gt; &lt;div tabindex ="" - 1 ""class ="" airy-age-gate-Vertical-centering-table-cell airy-Vertical-centering-table-"&amp;"cell ""&gt; &lt;div tabindex ="" - 1 ""class = ""airy-Vertical-centering-wrapper airy-age-gate-elements-wrapper""&gt; &lt;div tabindex = ""- 1"" class = ""airy-age-gate-elements airy-dialog-elements""&gt; &lt;div tabindex = "" -1 ""class ="" airy-age-gate-prompt ""&gt; This v"&amp;"ideo is not Intended for all audiences What date were you born &lt;/ div&gt; &lt;div tabindex =.?"" - 1 ""class ="" airy-age-gate -inputs airy-dialog-inner-elements ""&gt; &lt;select tabindex ="" - 1 ""class ="" airy-age-gate-month ""&gt; &lt;option value ="" 1 ""&gt; January &lt;/"&amp;" option&gt; &lt;option value ="" 2 ""&gt; February &lt;/ option&gt; &lt;option value ="" 3 ""&gt; March &lt;/ option&gt; &lt;option value ="" 4 ""&gt; April &lt;/ option&gt; &lt;option value ="" 5 ""&gt; May &lt;/ option&gt; &lt;option value = ""6""&gt; June &lt;/ option&gt; &lt;option value = ""7""&gt; July &lt;/ option&gt; &lt;op"&amp;"tion value = ""8""&gt; August &lt;/ option&gt; &lt;option value = ""9""&gt; September &lt;/ option&gt; &lt;option value = ""10""&gt; October &lt;/ option&gt; &lt;option value = ""11""&gt; November &lt;/ option&gt; &lt;option value = ""12""&gt; December &lt;/ option&gt; &lt;/ select&gt; &lt;select tabindex = ""- 1"" clas"&amp;"s = ""airy-age-gate-day""&gt; &lt;opti on value = ""1""&gt; 1 &lt;/ option&gt; &lt;option value = ""2""&gt; 2 &lt;/ option&gt; &lt;option value = ""3""&gt; 3 &lt;/ option&gt; &lt;option value = ""4""&gt; 4 &lt;/ option &gt; &lt;option value = ""5""&gt; 5 &lt;/ option&gt; &lt;option value = ""6""&gt; 6 &lt;/ option&gt; &lt;option va"&amp;"lue = ""7""&gt; 7 &lt;/ option&gt; &lt;option value = ""8""&gt; 8 &lt; / option&gt; &lt;option value = ""9""&gt; 9 &lt;/ option&gt; &lt;option value = ""10""&gt; 10 &lt;/ option&gt; &lt;option value = ""11""&gt; 11 &lt;/ option&gt; &lt;option value = ""12""&gt; 12 &lt;/ option&gt; &lt;option value = ""13""&gt; 13 &lt;/ option&gt; &lt;opt"&amp;"ion value = ""14""&gt; 14 &lt;/ option&gt; &lt;option value = ""15""&gt; 15 &lt;/ option&gt; &lt;option value = ""16 ""&gt; 16 &lt;/ option&gt; &lt;option value ="" 17 ""&gt; 17 &lt;/ option&gt; &lt;option value ="" 18 ""&gt; 18 &lt;/ option&gt; &lt;option value ="" 19 ""&gt; 19 &lt;/ option&gt; &lt;option value = ""20""&gt; 20 "&amp;"&lt;/ option&gt; &lt;option value = ""21""&gt; 21 &lt;/ option&gt; &lt;option value = ""22""&gt; 22 &lt;/ option&gt; &lt;option value = ""23""&gt; 23 &lt;/ option&gt; &lt;option value = ""24""&gt; 24 &lt;/ option&gt; &lt;option value = ""25""&gt; 25 &lt;/ option&gt; &lt;option value = ""26""&gt; 26 &lt;/ option&gt; &lt;option value = "&amp;"""27""&gt; 27 &lt;/ option&gt; &lt;option value = ""28""&gt; 28 &lt;/ option&gt; &lt;option value = ""29""&gt; 29 &lt;/ option&gt; &lt;option value = ""30""&gt; 30 &lt;/ option&gt; &lt;option value = ""31""&gt; 31 &lt;/ option&gt; &lt;/ select&gt; &lt;select tabindex = ""- 1"" class = ""airy-age-gate-year""&gt; &lt;option val"&amp;"ue = ""2019""&gt; 2019 &lt;/ option&gt; &lt; option value = ""2018""&gt; 2018 &lt;/ option&gt; &lt;option value = ""2017""&gt; 2017 &lt;/ option&gt; &lt;option value = ""2016""&gt; ​​2016 &lt;/ option&gt; &lt;option value = ""2015""&gt; 2015 &lt;/ option &gt; &lt;option value = ""2014""&gt; 2014 &lt;/ option&gt; &lt;option va"&amp;"lue = ""2013""&gt; 2013 &lt;/ option&gt; &lt;option value = ""2012""&gt; 2012 &lt;/ option&gt; &lt;option value = ""2011""&gt; 2011 &lt; / option&gt; &lt;option value = ""2010""&gt; 2010 &lt;/ option&gt; &lt;option value = ""2009""&gt; 2009 &lt;/ option&gt; &lt;option value = ""2008""&gt; 2008 &lt;/ option&gt; &lt;option valu"&amp;"e = ""2007""&gt; 2007 &lt;/ option&gt; &lt;option value = ""2006""&gt; 2006 &lt;/ option&gt; &lt;option value = ""2005""&gt; 2005 &lt;/ option&gt; &lt;option value = ""2004""&gt; 2004 &lt;/ option&gt; &lt;option value = ""2003 ""&gt; 2003 &lt;/ option&gt; &lt;option value ="" 2002 ""&gt; 2002 &lt;/ option&gt; &lt;option value"&amp;" ="" 2001 ""&gt; 2001 &lt;/ option&gt; &lt;option value ="" 2000 ""&gt; 2000 &lt;/ option&gt; &lt;option value = ""1999""&gt; 1999 &lt;/ option&gt; &lt;option value = ""1998""&gt; 1998 &lt;/ option&gt; &lt;option value = ""1997""&gt; 1997 &lt;/ option&gt; &lt;option value = ""1996""&gt; 1996 &lt;/ option&gt; &lt;option value "&amp;"= ""1995""&gt; 1995 &lt;/ option&gt; &lt;option value = ""1994""&gt; 1994 &lt;/ option&gt; &lt;option value = ""1993""&gt; 1993 &lt;/ option&gt; &lt;option value = ""1992""&gt; 1992 &lt;/ option&gt; &lt;option value = ""1991""&gt; 1991 &lt;/ option&gt; &lt;option value = ""1990""&gt; 1990 &lt;/ option&gt; &lt;option value = "&amp;""" 1989 ""&gt; 1989 &lt;/ option&gt; &lt;option value ="" 1988 ""&gt; 1988 &lt;/ option&gt; &lt;option value ="" 1987 ""&gt; 1987 &lt;/ option&gt; &lt;option value ="" 1986 ""&gt; 1986 &lt;/ option&gt; &lt;value option = ""1985""&gt; 1985 &lt;/ option&gt; &lt;option value = ""1984""&gt; 1984 &lt;/ option&gt; &lt;option value "&amp;"= ""1983""&gt; 1983 &lt;/ option&gt; &lt;option value = ""1982""&gt; 1982 &lt;/ option&gt; &lt; option value = ""1981""&gt; 1981 &lt;/ option&gt; &lt;option value = ""1980""&gt; 1980 &lt;/ option&gt; &lt;option value = ""1979""&gt; 1979 &lt;/ option&gt; &lt;option value = ""1978""&gt; 1978 &lt;/ option &gt; &lt;option value ="&amp;" ""1977""&gt; 1977 &lt;/ option&gt; &lt;option value = ""1976""&gt; 1976 &lt;/ option&gt; &lt;option value = ""1975""&gt; 1975 &lt;/ option&gt; &lt;option value = ""1974""&gt; 1974 &lt; / option&gt; &lt;option value = ""1973""&gt; 1973 &lt;/ option&gt; &lt;option value = ""1972""&gt; 1972 &lt;/ option&gt; &lt;option value = "&amp;"""1971""&gt; 1971 &lt;/ option&gt; &lt;option value = ""1970""&gt; 1970 &lt;/ option&gt; &lt;option value = ""1969""&gt; 1969 &lt;/ option&gt; &lt;option value = ""1968""&gt; 1968 &lt;/ option&gt; &lt;option value = ""1967""&gt; 1967 &lt;/ option&gt; &lt;option value = ""1966 ""&gt; 1966 &lt;/ option&gt; &lt;option value ="" "&amp;"1965 ""&gt; 1965 &lt;/ option&gt; &lt;option value ="" 1964 ""&gt; 1964 &lt;/ option&gt; &lt;option value ="" 1963 ""&gt; 1963 &lt;/ option&gt; &lt;option value = ""1962""&gt; 1962 &lt;/ option&gt; &lt;option value = ""1961""&gt; 1961 &lt;/ option&gt; &lt;option value = ""1960""&gt; 1960 &lt;/ op tion&gt; &lt;option value = "&amp;"""1959""&gt; 1959 &lt;/ option&gt; &lt;option value = ""1958""&gt; 1958 &lt;/ option&gt; &lt;option value = ""1957""&gt; 1957 &lt;/ option&gt; &lt;option value = ""1956""&gt; 1956 &lt;/ option&gt; &lt;option value = ""1955""&gt; 1955 &lt;/ option&gt; &lt;option value = ""1954""&gt; 1954 &lt;/ option&gt; &lt;option value = ""1"&amp;"953""&gt; 1953 &lt;/ option&gt; &lt;option value = ""1952"" &gt; 1952 &lt;/ option&gt; &lt;option value = ""1951""&gt; 1951 &lt;/ option&gt; &lt;option value = ""1950""&gt; 1950 &lt;/ option&gt; &lt;option value = ""1949""&gt; 1949 &lt;/ option&gt; &lt;option value = "" 1948 ""&gt; 1948 &lt;/ option&gt; &lt;option value ="" 1"&amp;"947 ""&gt; 1947 &lt;/ option&gt; &lt;option value ="" 1946 ""&gt; 1946 &lt;/ option&gt; &lt;option value ="" 1945 ""&gt; 1945 &lt;/ option&gt; &lt;value option = ""1944""&gt; 1944 &lt;/ option&gt; &lt;option value = ""1943""&gt; 1943 &lt;/ option&gt; &lt;option value = ""1942""&gt; 1942 &lt;/ option&gt; &lt;option value = ""1"&amp;"941""&gt; 1941 &lt;/ option&gt; &lt; option value = ""1940""&gt; 1940 &lt;/ option&gt; &lt;option value = ""1939""&gt; 1939 &lt;/ option&gt; &lt;option value = ""1938""&gt; 1938 &lt;/ option&gt; &lt;option value = ""1937""&gt; 1937 &lt;/ option &gt; &lt;option value = ""1936""&gt; 1936 &lt;/ option&gt; &lt;option value = ""19"&amp;"35""&gt; 1935 &lt;/ option&gt; &lt;option value = ""1934""&gt; 1934 &lt;/ option&gt; &lt;option value = ""1933""&gt; 1933 &lt; / option&gt; &lt;option value = ""1932""&gt; 1932 &lt;/ option&gt; &lt;option value = ""1931""&gt; 1931 &lt;/ option&gt; &lt;option v alue = ""1930""&gt; 1930 &lt;/ option&gt; &lt;option value = ""192"&amp;"9""&gt; 1929 &lt;/ option&gt; &lt;option value = ""1928""&gt; 1928 &lt;/ option&gt; &lt;option value = ""1927""&gt; 1927 &lt;/ option&gt; &lt;option value = ""1926""&gt; 1926 &lt;/ option&gt; &lt;option value = ""1925""&gt; 1925 &lt;/ option&gt; &lt;option value = ""1924""&gt; 1924 &lt;/ option&gt; &lt;option value = ""1923"""&amp;"&gt; 1923 &lt;/ option&gt; &lt;option value = ""1922""&gt; 1922 &lt;/ option&gt; &lt;option value = ""1921""&gt; 1921 &lt;/ option&gt; &lt;option value = ""1920""&gt; 1920 &lt;/ option&gt; &lt;option value = ""1919""&gt; 1919 &lt;/ option&gt; &lt;option value = ""1918""&gt; 1918 &lt;/ option&gt; &lt;option value = ""1917""&gt; 1"&amp;"917 &lt;/ option&gt; &lt;option value = ""1916""&gt; 1916 &lt;/ option&gt; &lt;option value = ""1915"" &gt; 1915 &lt;/ option&gt; &lt;option value = ""1914""&gt; 1914 &lt;/ option&gt; &lt;option value = ""1913""&gt; 1913 &lt;/ option&gt; &lt;option value = ""1912""&gt; 1912 &lt;/ option&gt; &lt;option value = "" 1911 ""&gt; 1"&amp;"911 &lt;/ option&gt; &lt;option value ="" 1910 ""&gt; 1910 &lt;/ option&gt; &lt;option value ="" 1909 ""&gt; 1909 &lt;/ option&gt; &lt;option value ="" 1908 ""&gt; 1908 &lt;/ option&gt; &lt;value option = ""1907""&gt; 1907 &lt;/ option&gt; &lt;option value = ""1906""&gt; 1906 &lt;/ option&gt; &lt;option value = ""1905""&gt; 1"&amp;"905 &lt;/ option&gt; &lt;option value = ""1904""&gt; 1904 &lt;/ option&gt; &lt; option value = ""1903""&gt; 1903 &lt;/ option&gt; &lt;option value = ""1902""&gt; 1902 &lt;/ option&gt; &lt;option value = ""1901""&gt; 19 01 &lt;/ option&gt; &lt;option value = ""1900""&gt; 1900 &lt;/ option&gt; &lt;/ select&gt; &lt;div tabindex = "&amp;"""- 1"" class = ""airy-age-gate-submit airy-submit-button airy airy-submit- disabled ""&gt; Submit &lt;/ div&gt; &lt;/ div&gt; &lt;/ div&gt; &lt;/ div&gt; &lt;/ div&gt; &lt;/ div&gt; &lt;div tabindex ="" - 1 ""class ="" airy-install-flash-dialog airy-stage airy -vertical-centering-table-dialog ai"&amp;"ry airy-denied ""style ="" opacity: 0; visibility: hidden; ""&gt; &lt;div tabindex ="" - 1 ""class ="" airy-install-flash-Vertical-centering-table-cell airy-Vertical-centering-table-cell ""&gt; &lt;div tabindex ="" - 1 ""class = ""airy-Vertical-centering-wrapper airy"&amp;"-install-flash-elements-wrapper""&gt; &lt;div tabindex = ""- 1"" class = ""airy-install-flash-elements airy-dialog-elements""&gt; &lt;div tabindex = "" -1 ""class ="" airy-install-flash-prompt ""&gt; Adobe Flash Player is required to watch this video &lt;/ div&gt; &lt;div tabind"&amp;"ex =."" - 1 ""class ="" airy-install-flash-button-wrapper airy -dialog-inner-elements ""&gt; &lt;div tabindex ="" - 1 ""class ="" airy-install-flash-button airy-button ""&gt; install Flash Player &lt;/ div&gt; &lt;/ div&gt; &lt;/ div&gt; &lt;/ div&gt; &lt;/ div&gt; &lt;/ div&gt; &lt;div tabindex = ""- "&amp;"1"" class = ""airy-video-unsupported-dialog airy-stage airy-Vertical-centering-table airy-dialog airy-denied"" style = ""opacity: 0; visibility: hidden; ""&gt; &lt;div tabindex ="" - 1 ""class ="" airy-video-unsupported-Vertical-centering-table-cell airy-Vertic"&amp;"al-centering-table-cell ""&gt; &lt;div tabindex ="" - 1 ""class = ""airy-Vertical-centering-wrapper airy-video-unsupported-elements-wrapper""&gt; &lt;div tabindex = ""- 1"" class = ""airy-video-unsupported-elements airy-dialog-elements""&gt; &lt;div tabindex = "" -1 ""clas"&amp;"s ="" airy-video-unsupported-prompt ""&gt; &lt;/ div&gt; &lt;/ div&gt; &lt;/ div&gt; &lt;/ div&gt; &lt;/ div&gt; &lt;div tabindex ="" - 1 ""class ="" airy-loading- spinner-stage airy-stage ""&gt; &lt;div tabindex ="" - 1 ""class ="" airy-loading-spinner-Vertical-centering-table-cell airy-Vertical"&amp;"-centering-table-cell ""&gt; &lt;div tabindex ="" - 1 ""class ="" airy-loading-spinner-container airy-scalable-hint-container ""&gt; &lt;div tabindex ="" - 1 ""class ="" airy-loading-spinner-dummy airy-scalable-dummy ""&gt; &lt;/ div&gt; &lt; div tabindex = ""- 1"" class = ""air"&amp;"y-loading-spinner airy-hint"" style = ""visibility: hidden;""&gt; &lt;/ div&gt; &lt;/ div&gt; &lt;/ div&gt; &lt;/ div&gt; &lt;div tabindex = ""- 1 ""class ="" airy-ads-screen-size-toggle airy-screen-size-toggle-fullscreen airy ""style ="" visibility: hidden; ""&gt; &lt;/ div&gt; &lt;div tabindex "&amp;"= ""-1"" class = ""airy-ad-prompt-container"" style = ""visibility: hidden;""&gt; &lt;div tabindex = ""- 1"" class = ""airy-ad-prompt-Vertical-centering-table-vertically airy centering-table ""&gt; &lt;div tabindex ="" - 1 ""class ="" airy-ad-prompt-Vertical-centerin"&amp;"g-table-cell airy-Vertical-centering-table-cell ""&gt; &lt;div tabindex ="" - 1 ""class = ""airy-ad-prompt-label""&gt; &lt;/ div&gt; &lt;/ div&gt; &lt;/ div&gt; &lt;/ div&gt; &lt;div tabindex = ""- 1"" class = ""airy-ads-controls-container"" style = ""visibility: hidden; ""&gt; &lt;div tabindex ="&amp;""" - 1 ""class ="" airy-ads-audio-toggle airy-audio-toggle airy-on ""style ="" visibility: hidden; ""&gt; &lt;/ div&gt; &lt;div tabindex ="" - 1 ""class ="" airy-time-remaining-label-container ""&gt; &lt;div tabindex ="" - 1 ""class ="" airy-time-remaining-Vertical-centeri"&amp;"ng-table airy-Vertical-centering-table ""&gt; &lt;div tabindex = ""- 1"" class = ""airy-time-remaining-Vertical-centering-table-cell airy-Vertical-centering-table-cell""&gt; &lt;div tabindex = ""- 1"" class = ""airy-Vertical-centering-wrapper airy-time-remaining-labe"&amp;"l-wrapper ""&gt; &lt;div tabindex ="" - 1 ""class ="" airy-time-remaining-label ""style ="" visibility: hidden; ""&gt; &lt;/ div&gt; &lt;div tabi ndex = ""- 1"" class = ""airy-ad-skip"" style = ""visibility: hidden;""&gt; &lt;/ div&gt; &lt;div tabindex = ""- 1"" class = ""airy-ad-end"&amp;""" style = ""visibility: hidden ""&gt; &lt;/ div&gt; &lt;/ div&gt; &lt;/ div&gt; &lt;/ div&gt; &lt;/ div&gt; &lt;div tabindex ="" - 1 ""class ="" airy-learn-more ""style ="" visibility: hidden; ""&gt; &lt;/ div&gt; &lt;/ div&gt; &lt;div tabindex = ""- 1"" class = ""airy-play-toggle-hint-stage airy-stage airy"&amp;"-cursor""&gt; &lt;div tabindex = ""- 1"" class = ""airy-play -toggle-hint-Vertical-centering-table-cell airy-Vertical-centering-table-cell airy-cursor ""&gt; &lt;div tabindex ="" - 1 ""class ="" airy-play-toggle-hint-container airy-scalable- Hint-container ""&gt; &lt;div t"&amp;"abindex ="" - 1 ""class ="" airy-play-toggle-hint-dummy airy-scalable-dummy ""&gt; &lt;/ div&gt; &lt;div tabindex ="" - 1 ""class ="" airy-play -toggle-hint hint airy-airy-play-hint ""style ="" opacity: 1; visibility: visible; ""&gt; &lt;/ div&gt; &lt;/ div&gt; &lt;/ div&gt; &lt;/ div&gt; &lt;div"&amp;" tabindex ="" - 1 ""class ="" airy-replay-hint-stage airy-stage ""style ="" visibility: hidden ; ""&gt; &lt;div tabindex ="" - 1 ""class ="" airy-replay-hint-Vertical-centering-table-cell airy-Vertical-centering-table-cell airy-cursor ""&gt; &lt;div tabindex ="" - 1 "&amp;"""class = ""airy-replay-hint-container airy-scalable-hint-container""&gt; &lt;div tabindex = ""- 1"" class = ""airy-replay-hint-dummy airy-scalable-dummy""&gt; &lt;/ div&gt; &lt;div tabindex = ""- 1"" class = ""airy-replay-hint airy-hint""&gt; &lt;/ div&gt; &lt;/ div&gt; &lt;/ div&gt; &lt;/ div&gt; "&amp;"&lt;div tabindex = ""- 1"" class = ""airy-autoplay-hint -stage airy-stage ""style ="" visibility: hidden; ""&gt; &lt;div tabindex ="" - 1 ""class ="" airy-autoplay-hint-Vertical-centering-table-cell airy-Vertical-centering-table-cell airy- cursor ""&gt; &lt;div tabindex"&amp;" ="" - 1 ""class ="" autoplay airy-airy-hint-container-scalable-hint-container ""&gt; &lt;div tabindex ="" - 1 ""class ="" airy-autoplay-hint-dummy airy- scalable-dummy ""&gt; &lt;/ div&gt; &lt;/ div&gt; &lt;/ div&gt; &lt;/ div&gt; &lt;/ div&gt; &lt;/ div&gt; &lt;input type ="" hidden ""name ="" ""valu"&amp;"e ="" https: // images-eu .ssl-images-amazon.com / images / I / B1flYKXWmdS.mp4 ""Class ="" video-url ""&gt; &lt;input type ="" hidden ""name ="" ""value ="" https://images-eu.ssl-images-amazon.com/images/I/91VfwhYG8PS.png ""class ="" slate-video-img-url ""&gt; &amp; "&amp;"nbsp; is a cable with pin jack, which is constructed of quality materials. The pins fit perfectly to the amplifier and guitar and makes no noise when connected. Can bend very well is quite flexible and comes with a small strip of Velcro to wrap it. I've b"&amp;"ought so startled yellow and can distinguish between more cables used. Regarding money, fine.")</f>
        <v>Fits perfectly with the pin guitar and amplifier &lt;div id = "video-block-RAZS0H7HF9958" class = "a-section a-spacing-small a-spacing-top mini video-block"&gt; &lt;div tabindex = " 0 "class =" airy airy-svg vmin-unsupported airy-skin-beacon "style =" background-color: rgb (0, 0, 0) position: relative; width: 100%; height: 100%; font- size: 0px; overflow: hidden; outline: none; "&gt; &lt;div class =" airy-renderer-container "style =" position: relative; height: 100%; width: 100%; "&gt; &lt;video id =" 7 "preload =" auto "src =" https://images-eu.ssl-images-amazon.com/images/I/B1flYKXWmdS.mp4 "style =" position: absolute; left: 0px; top: 0px; overflow: hidden; height: 1px; width: 1px; "&gt; &lt;/ video&gt; &lt;/ div&gt; &lt;div id =" airy Inslate-preload "style =" background-color: rgb (0, 0, 0); background-image : url (&amp; quot; https: //images-eu.ssl-images-amazon.com/images/I/91VfwhYG8PS.png&amp;quot;); background-size: Contain; background-position: center center; background-repeat: non- repeat; position: absolute; top: 0px; left: 0px; visibility: visible ; width: 100%; height: 100%;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"airy-track-bar-spacer-left" style = "width: 11px;"&gt; &lt;/ div&gt; &lt;div tabindex = "- 1" class = "airy-play- airy toggle-play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airy-track-bar-spacer-right "style =" float: right; width: 11px; "&gt; &lt;/ div&gt; &lt;div tabindex =" - 1 "class =" airy-track-bar-container "style =" margin-left: 35px; margin-right: 75px; "&gt; &lt;div tabindex =" - 1 "class =" airy-airy-track-bar vertically-centering-table "&gt; &lt;div tabindex =" - 1 "class =" airy-Vertical-centering- table-cell "&gt; &lt;div tabindex =" - 1 "class =" airy-track-bar-elements "&gt; &lt;div tabindex =" - 1 "class =" airy-progress-bar "&gt; &lt;/ div&gt; &lt;div tabindex = "- 1" class = "airy-scrubber-bar"&gt;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"airy-age-gate airy-stage airy-Vertical-centering-table 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date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on value =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&lt;value option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&lt;value option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&lt;value option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airy-stage airy -vertical-centering-table-dialog airy 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tabindex =." - 1 "class =" airy-install-flash-button-wrapper airy -dialog-inner-elements "&gt; &lt;div tabindex =" - 1 "class =" airy-install-flash-button airy-button "&gt; install Flash Player &lt;/ div&gt; &lt;/ div&gt; &lt;/ div&gt; &lt;/ div&gt; &lt;/ div&gt; &lt;/ div&gt; &lt;div tabindex = "- 1" class = "airy-video-unsupported-dialog airy-stage airy-Vertical-centering-table 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airy-screen-size-toggle-fullscreen airy "style =" visibility: hidden; "&gt; &lt;/ div&gt; &lt;div tabindex = "-1" class = "airy-ad-prompt-container" style = "visibility: hidden;"&gt; &lt;div tabindex = "- 1" class = "airy-ad-prompt-Vertical-centering-table-vertically airy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airy-time-remaining-Vertical-centering-table 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airy-stage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-toggle-hint hint airy-airy-play-hint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images-eu .ssl-images-amazon.com / images / I / B1flYKXWmdS.mp4 "Class =" video-url "&gt; &lt;input type =" hidden "name =" "value =" https://images-eu.ssl-images-amazon.com/images/I/91VfwhYG8PS.png "class =" slate-video-img-url "&gt; &amp; nbsp; is a cable with pin jack, which is constructed of quality materials. The pins fit perfectly to the amplifier and guitar and makes no noise when connected. Can bend very well is quite flexible and comes with a small strip of Velcro to wrap it. I've bought so startled yellow and can distinguish between more cables used. Regarding money, fine.</v>
      </c>
    </row>
    <row r="19775">
      <c r="A19775" s="1">
        <v>5.0</v>
      </c>
      <c r="B19775" s="1" t="s">
        <v>19582</v>
      </c>
      <c r="C19775" t="str">
        <f>IFERROR(__xludf.DUMMYFUNCTION("GOOGLETRANSLATE(B19775, ""es"", ""en"")"),"Glamor So far it works very well. my brother was impressed by the gift .Recomiendo purchase")</f>
        <v>Glamor So far it works very well. my brother was impressed by the gift .Recomiendo purchase</v>
      </c>
    </row>
    <row r="19776">
      <c r="A19776" s="1">
        <v>5.0</v>
      </c>
      <c r="B19776" s="1" t="s">
        <v>19583</v>
      </c>
      <c r="C19776" t="str">
        <f>IFERROR(__xludf.DUMMYFUNCTION("GOOGLETRANSLATE(B19776, ""es"", ""en"")"),"Meets lightweight and comfortable than expected. light and very comfortable for daily uttilizarlo it is. All the belt a bit long if you have thin wrist.")</f>
        <v>Meets lightweight and comfortable than expected. light and very comfortable for daily uttilizarlo it is. All the belt a bit long if you have thin wrist.</v>
      </c>
    </row>
    <row r="19777">
      <c r="A19777" s="1">
        <v>5.0</v>
      </c>
      <c r="B19777" s="1" t="s">
        <v>19584</v>
      </c>
      <c r="C19777" t="str">
        <f>IFERROR(__xludf.DUMMYFUNCTION("GOOGLETRANSLATE(B19777, ""es"", ""en"")"),"Impressive speed file access. It works great on my mobile Huawei, it shows the speed of access to files heavier compared to other cards I had before. Worth paying a little more and gain speed quality. 100% recommended.")</f>
        <v>Impressive speed file access. It works great on my mobile Huawei, it shows the speed of access to files heavier compared to other cards I had before. Worth paying a little more and gain speed quality. 100% recommended.</v>
      </c>
    </row>
    <row r="19778">
      <c r="A19778" s="1">
        <v>5.0</v>
      </c>
      <c r="B19778" s="1" t="s">
        <v>19585</v>
      </c>
      <c r="C19778" t="str">
        <f>IFERROR(__xludf.DUMMYFUNCTION("GOOGLETRANSLATE(B19778, ""es"", ""en"")"),"Second that I buy are the perfect shoe for work do not ever you slip")</f>
        <v>Second that I buy are the perfect shoe for work do not ever you slip</v>
      </c>
    </row>
    <row r="19779">
      <c r="A19779" s="1">
        <v>5.0</v>
      </c>
      <c r="B19779" s="1" t="s">
        <v>19586</v>
      </c>
      <c r="C19779" t="str">
        <f>IFERROR(__xludf.DUMMYFUNCTION("GOOGLETRANSLATE(B19779, ""es"", ""en"")"),"Super recommended. Bring a gift box, and certificate of authenticity.")</f>
        <v>Super recommended. Bring a gift box, and certificate of authenticity.</v>
      </c>
    </row>
    <row r="19780">
      <c r="A19780" s="1">
        <v>5.0</v>
      </c>
      <c r="B19780" s="1" t="s">
        <v>19587</v>
      </c>
      <c r="C19780" t="str">
        <f>IFERROR(__xludf.DUMMYFUNCTION("GOOGLETRANSLATE(B19780, ""es"", ""en"")"),"Very nice This hard drive is fine, I bought it because I liked the blue brand I know it's good, I've had other Seagate drives and I have always gone well. It cost a little more expensive than the typical black, but because it is something that lasts a lon"&amp;"g time, wanted it to be nice. Moreover, he recognized the moment (Windows 10), and has not given me problems.")</f>
        <v>Very nice This hard drive is fine, I bought it because I liked the blue brand I know it's good, I've had other Seagate drives and I have always gone well. It cost a little more expensive than the typical black, but because it is something that lasts a long time, wanted it to be nice. Moreover, he recognized the moment (Windows 10), and has not given me problems.</v>
      </c>
    </row>
    <row r="19781">
      <c r="A19781" s="1">
        <v>5.0</v>
      </c>
      <c r="B19781" s="1" t="s">
        <v>19588</v>
      </c>
      <c r="C19781" t="str">
        <f>IFERROR(__xludf.DUMMYFUNCTION("GOOGLETRANSLATE(B19781, ""es"", ""en"")"),"Very good quality")</f>
        <v>Very good quality</v>
      </c>
    </row>
    <row r="19782">
      <c r="A19782" s="1">
        <v>5.0</v>
      </c>
      <c r="B19782" s="1" t="s">
        <v>19589</v>
      </c>
      <c r="C19782" t="str">
        <f>IFERROR(__xludf.DUMMYFUNCTION("GOOGLETRANSLATE(B19782, ""es"", ""en"")"),"Great all ok")</f>
        <v>Great all ok</v>
      </c>
    </row>
    <row r="19783">
      <c r="A19783" s="1">
        <v>5.0</v>
      </c>
      <c r="B19783" s="1" t="s">
        <v>19590</v>
      </c>
      <c r="C19783" t="str">
        <f>IFERROR(__xludf.DUMMYFUNCTION("GOOGLETRANSLATE(B19783, ""es"", ""en"")"),"Encantada Super happy with the purchase I repeat no doubt")</f>
        <v>Encantada Super happy with the purchase I repeat no doubt</v>
      </c>
    </row>
    <row r="19784">
      <c r="A19784" s="1">
        <v>5.0</v>
      </c>
      <c r="B19784" s="1" t="s">
        <v>19591</v>
      </c>
      <c r="C19784" t="str">
        <f>IFERROR(__xludf.DUMMYFUNCTION("GOOGLETRANSLATE(B19784, ""es"", ""en"")"),"Highly recommended! Much better than I expected. I am using it twice a day and is fast, great beats and very easy to clean.")</f>
        <v>Highly recommended! Much better than I expected. I am using it twice a day and is fast, great beats and very easy to clean.</v>
      </c>
    </row>
    <row r="19785">
      <c r="A19785" s="1">
        <v>5.0</v>
      </c>
      <c r="B19785" s="1" t="s">
        <v>19592</v>
      </c>
      <c r="C19785" t="str">
        <f>IFERROR(__xludf.DUMMYFUNCTION("GOOGLETRANSLATE(B19785, ""es"", ""en"")"),"Very good audio quality crane and crane This microphone is amazing, maybe it's because it's the first time I test a crane microphone and therefore I am dumbfounded every time I look the corner of my computer and see it there. Very good quality metal and i"&amp;"nstalls very easily. As for the microphone, he needed a family member, who will do streamings and there he needed his arm at all, so I've been myself, but I was trying for a few days the microphone with my friends and said that it sounded great. I tried t"&amp;"o record a pair of audio notes and is very clean, not yet having the soundproof and eco room. Very good product.")</f>
        <v>Very good audio quality crane and crane This microphone is amazing, maybe it's because it's the first time I test a crane microphone and therefore I am dumbfounded every time I look the corner of my computer and see it there. Very good quality metal and installs very easily. As for the microphone, he needed a family member, who will do streamings and there he needed his arm at all, so I've been myself, but I was trying for a few days the microphone with my friends and said that it sounded great. I tried to record a pair of audio notes and is very clean, not yet having the soundproof and eco room. Very good product.</v>
      </c>
    </row>
    <row r="19786">
      <c r="A19786" s="1">
        <v>5.0</v>
      </c>
      <c r="B19786" s="1" t="s">
        <v>19593</v>
      </c>
      <c r="C19786" t="str">
        <f>IFERROR(__xludf.DUMMYFUNCTION("GOOGLETRANSLATE(B19786, ""es"", ""en"")"),"Light and very nice worth. They came fast are as good gloves and very well I have a size 37 and I recommend are perfect love them.")</f>
        <v>Light and very nice worth. They came fast are as good gloves and very well I have a size 37 and I recommend are perfect love them.</v>
      </c>
    </row>
    <row r="19787">
      <c r="A19787" s="1">
        <v>5.0</v>
      </c>
      <c r="B19787" s="1" t="s">
        <v>19594</v>
      </c>
      <c r="C19787" t="str">
        <f>IFERROR(__xludf.DUMMYFUNCTION("GOOGLETRANSLATE(B19787, ""es"", ""en"")"),"I recommend money are perfect in battery with sufficient capacity've used more than 2 hours and even gives him a little longer to recommend them")</f>
        <v>I recommend money are perfect in battery with sufficient capacity've used more than 2 hours and even gives him a little longer to recommend them</v>
      </c>
    </row>
    <row r="19788">
      <c r="A19788" s="1">
        <v>5.0</v>
      </c>
      <c r="B19788" s="1" t="s">
        <v>19595</v>
      </c>
      <c r="C19788" t="str">
        <f>IFERROR(__xludf.DUMMYFUNCTION("GOOGLETRANSLATE(B19788, ""es"", ""en"")"),"The case comes with high quality Faber Castell as ever, but wanted to add that comes with a small bag to store everything that has been very useful.")</f>
        <v>The case comes with high quality Faber Castell as ever, but wanted to add that comes with a small bag to store everything that has been very useful.</v>
      </c>
    </row>
    <row r="19789">
      <c r="A19789" s="1">
        <v>5.0</v>
      </c>
      <c r="B19789" s="1" t="s">
        <v>19596</v>
      </c>
      <c r="C19789" t="str">
        <f>IFERROR(__xludf.DUMMYFUNCTION("GOOGLETRANSLATE(B19789, ""es"", ""en"")"),"Comfortable and do not collect lint are very comfortable and they do not collect lint. It is what I wanted.")</f>
        <v>Comfortable and do not collect lint are very comfortable and they do not collect lint. It is what I wanted.</v>
      </c>
    </row>
    <row r="19790">
      <c r="A19790" s="1">
        <v>2.0</v>
      </c>
      <c r="B19790" s="1" t="s">
        <v>19597</v>
      </c>
      <c r="C19790" t="str">
        <f>IFERROR(__xludf.DUMMYFUNCTION("GOOGLETRANSLATE(B19790, ""es"", ""en"")"),"Extra large Chock normally 38,5 and often left me small size. I bought these and I ordered a 39. My surprise? I have plenty 2 cm! Enormous. It is as if he had asked for a 41")</f>
        <v>Extra large Chock normally 38,5 and often left me small size. I bought these and I ordered a 39. My surprise? I have plenty 2 cm! Enormous. It is as if he had asked for a 41</v>
      </c>
    </row>
    <row r="19791">
      <c r="A19791" s="1">
        <v>3.0</v>
      </c>
      <c r="B19791" s="1" t="s">
        <v>19598</v>
      </c>
      <c r="C19791" t="str">
        <f>IFERROR(__xludf.DUMMYFUNCTION("GOOGLETRANSLATE(B19791, ""es"", ""en"")"),"No figure or are molded push up. They are nothing push up or molded. average quality and fine fabric. They have taken a month to arrive.")</f>
        <v>No figure or are molded push up. They are nothing push up or molded. average quality and fine fabric. They have taken a month to arrive.</v>
      </c>
    </row>
    <row r="19792">
      <c r="A19792" s="1">
        <v>3.0</v>
      </c>
      <c r="B19792" s="1" t="s">
        <v>19599</v>
      </c>
      <c r="C19792" t="str">
        <f>IFERROR(__xludf.DUMMYFUNCTION("GOOGLETRANSLATE(B19792, ""es"", ""en"")"),"A bibe Normal Normal bibe. Perhaps you too many pieces to be practical. If you have caregivers unsophisticated or zero time I not recommend it.")</f>
        <v>A bibe Normal Normal bibe. Perhaps you too many pieces to be practical. If you have caregivers unsophisticated or zero time I not recommend it.</v>
      </c>
    </row>
    <row r="19793">
      <c r="A19793" s="1">
        <v>1.0</v>
      </c>
      <c r="B19793" s="1" t="s">
        <v>19600</v>
      </c>
      <c r="C19793" t="str">
        <f>IFERROR(__xludf.DUMMYFUNCTION("GOOGLETRANSLATE(B19793, ""es"", ""en"")"),"After washing quality is bad Mala")</f>
        <v>After washing quality is bad Mala</v>
      </c>
    </row>
    <row r="19794">
      <c r="A19794" s="1">
        <v>1.0</v>
      </c>
      <c r="B19794" s="1" t="s">
        <v>19601</v>
      </c>
      <c r="C19794" t="str">
        <f>IFERROR(__xludf.DUMMYFUNCTION("GOOGLETRANSLATE(B19794, ""es"", ""en"")"),"Quality, but for the price they charge Mada Very poor quality materials")</f>
        <v>Quality, but for the price they charge Mada Very poor quality materials</v>
      </c>
    </row>
    <row r="19795">
      <c r="A19795" s="1">
        <v>4.0</v>
      </c>
      <c r="B19795" s="1" t="s">
        <v>19602</v>
      </c>
      <c r="C19795" t="str">
        <f>IFERROR(__xludf.DUMMYFUNCTION("GOOGLETRANSLATE(B19795, ""es"", ""en"")"),"Dan lot size is fine, I measure 1,78m and weight is 80kgs and M me a little big. On the other hand, the neck is quite wide, I do not like too much. But for the price that I purchased (10 €) it has been good buy. Quality fabric looks similar to other Adida"&amp;"s shirt that I bought at official store.")</f>
        <v>Dan lot size is fine, I measure 1,78m and weight is 80kgs and M me a little big. On the other hand, the neck is quite wide, I do not like too much. But for the price that I purchased (10 €) it has been good buy. Quality fabric looks similar to other Adidas shirt that I bought at official store.</v>
      </c>
    </row>
    <row r="19796">
      <c r="A19796" s="1">
        <v>4.0</v>
      </c>
      <c r="B19796" s="1" t="s">
        <v>19603</v>
      </c>
      <c r="C19796" t="str">
        <f>IFERROR(__xludf.DUMMYFUNCTION("GOOGLETRANSLATE(B19796, ""es"", ""en"")"),"Quality and unbeatable price. Very good sound quality. Nothing that has not been said or know of this legendary model. Still among the top 10 models in many reviews I've seen for this year 2018. Ideal for mixing and study. A particular level and as far as"&amp;" comfort is concerned, after several hours of use I personally feel tender ears no longer enough have slit to the ear, but of course, is an anatomical theme of each and one has ears her parents have given her. Surely others will not be affected by this is"&amp;"sue. I repeat, after several hours of use. For this alone I did not give 5 stars.")</f>
        <v>Quality and unbeatable price. Very good sound quality. Nothing that has not been said or know of this legendary model. Still among the top 10 models in many reviews I've seen for this year 2018. Ideal for mixing and study. A particular level and as far as comfort is concerned, after several hours of use I personally feel tender ears no longer enough have slit to the ear, but of course, is an anatomical theme of each and one has ears her parents have given her. Surely others will not be affected by this issue. I repeat, after several hours of use. For this alone I did not give 5 stars.</v>
      </c>
    </row>
    <row r="19797">
      <c r="A19797" s="1">
        <v>4.0</v>
      </c>
      <c r="B19797" s="1" t="s">
        <v>19604</v>
      </c>
      <c r="C19797" t="str">
        <f>IFERROR(__xludf.DUMMYFUNCTION("GOOGLETRANSLATE(B19797, ""es"", ""en"")"),"Something very small bag is fine, but it's something small")</f>
        <v>Something very small bag is fine, but it's something small</v>
      </c>
    </row>
    <row r="19798">
      <c r="A19798" s="1">
        <v>4.0</v>
      </c>
      <c r="B19798" s="1" t="s">
        <v>19605</v>
      </c>
      <c r="C19798" t="str">
        <f>IFERROR(__xludf.DUMMYFUNCTION("GOOGLETRANSLATE(B19798, ""es"", ""en"")"),"I like it, i like it so much. Very comfortable and the number that use. Very good price and color as pictures")</f>
        <v>I like it, i like it so much. Very comfortable and the number that use. Very good price and color as pictures</v>
      </c>
    </row>
    <row r="19799">
      <c r="A19799" s="1">
        <v>5.0</v>
      </c>
      <c r="B19799" s="1" t="s">
        <v>19606</v>
      </c>
      <c r="C19799" t="str">
        <f>IFERROR(__xludf.DUMMYFUNCTION("GOOGLETRANSLATE(B19799, ""es"", ""en"")"),"Contenta I liked this diffuser, brings a long white cable so that it can plug in, very easy operation, brings a box with 4 oils, which we like most is the lemon, the lights gives a very nice tone and relaxing")</f>
        <v>Contenta I liked this diffuser, brings a long white cable so that it can plug in, very easy operation, brings a box with 4 oils, which we like most is the lemon, the lights gives a very nice tone and relaxing</v>
      </c>
    </row>
    <row r="19800">
      <c r="A19800" s="1">
        <v>5.0</v>
      </c>
      <c r="B19800" s="1" t="s">
        <v>19607</v>
      </c>
      <c r="C19800" t="str">
        <f>IFERROR(__xludf.DUMMYFUNCTION("GOOGLETRANSLATE(B19800, ""es"", ""en"")"),"Cool I like a lot and are original. Shipping in one day.")</f>
        <v>Cool I like a lot and are original. Shipping in one day.</v>
      </c>
    </row>
    <row r="19801">
      <c r="A19801" s="1">
        <v>5.0</v>
      </c>
      <c r="B19801" s="1" t="s">
        <v>19608</v>
      </c>
      <c r="C19801" t="str">
        <f>IFERROR(__xludf.DUMMYFUNCTION("GOOGLETRANSLATE(B19801, ""es"", ""en"")"),"Perfect Perfect, just what I wanted. Boil water and super fast off when boiling. / Quality great price. Ideal for the office")</f>
        <v>Perfect Perfect, just what I wanted. Boil water and super fast off when boiling. / Quality great price. Ideal for the office</v>
      </c>
    </row>
    <row r="19802">
      <c r="A19802" s="1">
        <v>5.0</v>
      </c>
      <c r="B19802" s="1" t="s">
        <v>19609</v>
      </c>
      <c r="C19802" t="str">
        <f>IFERROR(__xludf.DUMMYFUNCTION("GOOGLETRANSLATE(B19802, ""es"", ""en"")"),"Excellent Stunning boots Panama Jack, far better than the timberland but the Spanish one have less fame, excellent skin very comfortable and light, the color very beautiful, what of the cleaning kit and laces to me blows, I have other and over for 94 euro"&amp;"s! highly recommended purchase.")</f>
        <v>Excellent Stunning boots Panama Jack, far better than the timberland but the Spanish one have less fame, excellent skin very comfortable and light, the color very beautiful, what of the cleaning kit and laces to me blows, I have other and over for 94 euros! highly recommended purchase.</v>
      </c>
    </row>
    <row r="19803">
      <c r="A19803" s="1">
        <v>5.0</v>
      </c>
      <c r="B19803" s="1" t="s">
        <v>19610</v>
      </c>
      <c r="C19803" t="str">
        <f>IFERROR(__xludf.DUMMYFUNCTION("GOOGLETRANSLATE(B19803, ""es"", ""en"")"),"Such very satisfied and as shown in the picture and comes with stones, I liked it. Thank you")</f>
        <v>Such very satisfied and as shown in the picture and comes with stones, I liked it. Thank you</v>
      </c>
    </row>
    <row r="19804">
      <c r="A19804" s="1">
        <v>5.0</v>
      </c>
      <c r="B19804" s="1" t="s">
        <v>19611</v>
      </c>
      <c r="C19804" t="str">
        <f>IFERROR(__xludf.DUMMYFUNCTION("GOOGLETRANSLATE(B19804, ""es"", ""en"")"),"Ideal for mixed breastfeeding Value perfect simulates the nipple Nipple")</f>
        <v>Ideal for mixed breastfeeding Value perfect simulates the nipple Nipple</v>
      </c>
    </row>
    <row r="19805">
      <c r="A19805" s="1">
        <v>5.0</v>
      </c>
      <c r="B19805" s="1" t="s">
        <v>19612</v>
      </c>
      <c r="C19805" t="str">
        <f>IFERROR(__xludf.DUMMYFUNCTION("GOOGLETRANSLATE(B19805, ""es"", ""en"")"),"Fantastic I think I expressed my opinion but I care not to repeat it. I loved the headphones, but already knew the brand because he had a prior. Then, it was not a surprise. He knew in advance how good are these headphones. And on top not too expensive, r"&amp;"ather cheap.")</f>
        <v>Fantastic I think I expressed my opinion but I care not to repeat it. I loved the headphones, but already knew the brand because he had a prior. Then, it was not a surprise. He knew in advance how good are these headphones. And on top not too expensive, rather cheap.</v>
      </c>
    </row>
    <row r="19806">
      <c r="A19806" s="1">
        <v>5.0</v>
      </c>
      <c r="B19806" s="1" t="s">
        <v>19613</v>
      </c>
      <c r="C19806" t="str">
        <f>IFERROR(__xludf.DUMMYFUNCTION("GOOGLETRANSLATE(B19806, ""es"", ""en"")"),"Good product My son cojio the first after weaning and that we have tried many bottles.")</f>
        <v>Good product My son cojio the first after weaning and that we have tried many bottles.</v>
      </c>
    </row>
    <row r="19807">
      <c r="A19807" s="1">
        <v>5.0</v>
      </c>
      <c r="B19807" s="1" t="s">
        <v>19614</v>
      </c>
      <c r="C19807" t="str">
        <f>IFERROR(__xludf.DUMMYFUNCTION("GOOGLETRANSLATE(B19807, ""es"", ""en"")"),"Good quality!!! These mesh type pants are comfortable and good quality. Best of all, no show through. 100% recommended.")</f>
        <v>Good quality!!! These mesh type pants are comfortable and good quality. Best of all, no show through. 100% recommended.</v>
      </c>
    </row>
    <row r="19808">
      <c r="A19808" s="1">
        <v>5.0</v>
      </c>
      <c r="B19808" s="1" t="s">
        <v>19615</v>
      </c>
      <c r="C19808" t="str">
        <f>IFERROR(__xludf.DUMMYFUNCTION("GOOGLETRANSLATE(B19808, ""es"", ""en"")"),"Very comfortable are very comfortable like all Skechers shoes.")</f>
        <v>Very comfortable are very comfortable like all Skechers shoes.</v>
      </c>
    </row>
    <row r="19809">
      <c r="A19809" s="1">
        <v>5.0</v>
      </c>
      <c r="B19809" s="1" t="s">
        <v>19616</v>
      </c>
      <c r="C19809" t="str">
        <f>IFERROR(__xludf.DUMMYFUNCTION("GOOGLETRANSLATE(B19809, ""es"", ""en"")"),"Buna quality / price very big bag. The fabric is good and photos are identical to the product reaching")</f>
        <v>Buna quality / price very big bag. The fabric is good and photos are identical to the product reaching</v>
      </c>
    </row>
    <row r="19810">
      <c r="A19810" s="1">
        <v>5.0</v>
      </c>
      <c r="B19810" s="1" t="s">
        <v>19617</v>
      </c>
      <c r="C19810" t="str">
        <f>IFERROR(__xludf.DUMMYFUNCTION("GOOGLETRANSLATE(B19810, ""es"", ""en"")"),"He arrived in time Very nice and sporty. I loved it. I recommend it")</f>
        <v>He arrived in time Very nice and sporty. I loved it. I recommend it</v>
      </c>
    </row>
    <row r="19811">
      <c r="A19811" s="1">
        <v>5.0</v>
      </c>
      <c r="B19811" s="1" t="s">
        <v>19618</v>
      </c>
      <c r="C19811" t="str">
        <f>IFERROR(__xludf.DUMMYFUNCTION("GOOGLETRANSLATE(B19811, ""es"", ""en"")"),"Good buy large Calzan, Pedi 38 and should be a 37'5 or 37. Very light, as if nothing llevases walking. As seen in the photo.")</f>
        <v>Good buy large Calzan, Pedi 38 and should be a 37'5 or 37. Very light, as if nothing llevases walking. As seen in the photo.</v>
      </c>
    </row>
    <row r="19812">
      <c r="A19812" s="1">
        <v>5.0</v>
      </c>
      <c r="B19812" s="1" t="s">
        <v>19619</v>
      </c>
      <c r="C19812" t="str">
        <f>IFERROR(__xludf.DUMMYFUNCTION("GOOGLETRANSLATE(B19812, ""es"", ""en"")"),"small sterilizer announcement comes equal to validate everything perfect price, I knew what I needed for me is good to what I need")</f>
        <v>small sterilizer announcement comes equal to validate everything perfect price, I knew what I needed for me is good to what I need</v>
      </c>
    </row>
    <row r="19813">
      <c r="A19813" s="1">
        <v>5.0</v>
      </c>
      <c r="B19813" s="1" t="s">
        <v>19620</v>
      </c>
      <c r="C19813" t="str">
        <f>IFERROR(__xludf.DUMMYFUNCTION("GOOGLETRANSLATE(B19813, ""es"", ""en"")"),"Curious case ordered two pants, each with different prints. First I got one and another the next morning, so I guess they were sent by different vendors. The fact is, they are both exactly the same size, the S (I usually wear M but I ordered a less intuit"&amp;"ing that were quite wide) but one gray with black Casmere comes huge (like the M or nearly L! ) and the other dark blue with small motifs triangular me is perfect ... the same brand (oodji ultra, and puts it), the same size (S puts the label in 2), printi"&amp;"ng different (but it is the same model pants!) .... another case, unsolved mysteries ....")</f>
        <v>Curious case ordered two pants, each with different prints. First I got one and another the next morning, so I guess they were sent by different vendors. The fact is, they are both exactly the same size, the S (I usually wear M but I ordered a less intuiting that were quite wide) but one gray with black Casmere comes huge (like the M or nearly L! ) and the other dark blue with small motifs triangular me is perfect ... the same brand (oodji ultra, and puts it), the same size (S puts the label in 2), printing different (but it is the same model pants!) .... another case, unsolved mysteries ....</v>
      </c>
    </row>
    <row r="19814">
      <c r="A19814" s="1">
        <v>5.0</v>
      </c>
      <c r="B19814" s="1" t="s">
        <v>19621</v>
      </c>
      <c r="C19814" t="str">
        <f>IFERROR(__xludf.DUMMYFUNCTION("GOOGLETRANSLATE(B19814, ""es"", ""en"")"),"Very nice and great good money")</f>
        <v>Very nice and great good money</v>
      </c>
    </row>
    <row r="19815">
      <c r="A19815" s="1">
        <v>5.0</v>
      </c>
      <c r="B19815" s="1" t="s">
        <v>19622</v>
      </c>
      <c r="C19815" t="str">
        <f>IFERROR(__xludf.DUMMYFUNCTION("GOOGLETRANSLATE(B19815, ""es"", ""en"")"),"Perfect I arrived very quickly and all good, the only downside I can make is that there are two colors and do not get to choose, they send you they want but otherwise great, is perfect, keeps the heat, protects from impact and It is going like a glove. Ve"&amp;"ry satisfied with the purchase.")</f>
        <v>Perfect I arrived very quickly and all good, the only downside I can make is that there are two colors and do not get to choose, they send you they want but otherwise great, is perfect, keeps the heat, protects from impact and It is going like a glove. Very satisfied with the purchase.</v>
      </c>
    </row>
    <row r="19816">
      <c r="A19816" s="1">
        <v>5.0</v>
      </c>
      <c r="B19816" s="1" t="s">
        <v>19623</v>
      </c>
      <c r="C19816" t="str">
        <f>IFERROR(__xludf.DUMMYFUNCTION("GOOGLETRANSLATE(B19816, ""es"", ""en"")"),"Value recommended good very good, I was surprised the power is enough to make purees, it helps me what I wanted perfectly good for money.")</f>
        <v>Value recommended good very good, I was surprised the power is enough to make purees, it helps me what I wanted perfectly good for money.</v>
      </c>
    </row>
    <row r="19817">
      <c r="A19817" s="1">
        <v>5.0</v>
      </c>
      <c r="B19817" s="1" t="s">
        <v>19624</v>
      </c>
      <c r="C19817" t="str">
        <f>IFERROR(__xludf.DUMMYFUNCTION("GOOGLETRANSLATE(B19817, ""es"", ""en"")"),"Quickly I thought it was an empty box because it weighs nothing! It works great installed on a ASUS F555L and goes like a shot fast. It took me longer to change the disk to perform the installation of the S.O. Quality spectacular price")</f>
        <v>Quickly I thought it was an empty box because it weighs nothing! It works great installed on a ASUS F555L and goes like a shot fast. It took me longer to change the disk to perform the installation of the S.O. Quality spectacular price</v>
      </c>
    </row>
    <row r="19818">
      <c r="A19818" s="1">
        <v>2.0</v>
      </c>
      <c r="B19818" s="1" t="s">
        <v>19625</v>
      </c>
      <c r="C19818" t="str">
        <f>IFERROR(__xludf.DUMMYFUNCTION("GOOGLETRANSLATE(B19818, ""es"", ""en"")"),"CAPACITY / GREAT PRICE, SO HOT THAT HORRIBLE, SLOW 64GB for 11 € is fine. Size is also good for those who do not want to have a large device as usual. However, failure most importantly writing. It is quite slow, and for me that filled him constantly video"&amp;"s for TV and then put my new blotteth and is a nuisance. Yes, I can wait, but if it were only that the problem would have given 4 stars. The real problem is that HEATED a lot. When they finish things go catch it gives the feeling that at any moment there "&amp;"might be burned. I would return, but I have read many opinions that it is something that happens a lot so I'll use it until I die (always watching him, of course) and buy another model.")</f>
        <v>CAPACITY / GREAT PRICE, SO HOT THAT HORRIBLE, SLOW 64GB for 11 € is fine. Size is also good for those who do not want to have a large device as usual. However, failure most importantly writing. It is quite slow, and for me that filled him constantly videos for TV and then put my new blotteth and is a nuisance. Yes, I can wait, but if it were only that the problem would have given 4 stars. The real problem is that HEATED a lot. When they finish things go catch it gives the feeling that at any moment there might be burned. I would return, but I have read many opinions that it is something that happens a lot so I'll use it until I die (always watching him, of course) and buy another model.</v>
      </c>
    </row>
    <row r="19819">
      <c r="A19819" s="1">
        <v>3.0</v>
      </c>
      <c r="B19819" s="1" t="s">
        <v>19626</v>
      </c>
      <c r="C19819" t="str">
        <f>IFERROR(__xludf.DUMMYFUNCTION("GOOGLETRANSLATE(B19819, ""es"", ""en"")"),"Blender just will not get much. Flimsy materials. Fulfills its function to shred but without much fanfare as comminuted solid food not good")</f>
        <v>Blender just will not get much. Flimsy materials. Fulfills its function to shred but without much fanfare as comminuted solid food not good</v>
      </c>
    </row>
    <row r="19820">
      <c r="A19820" s="1">
        <v>3.0</v>
      </c>
      <c r="B19820" s="1" t="s">
        <v>19627</v>
      </c>
      <c r="C19820" t="str">
        <f>IFERROR(__xludf.DUMMYFUNCTION("GOOGLETRANSLATE(B19820, ""es"", ""en"")"),"Shoes right house, but there are better looked for slippers for the start of the winter were beautiful, isolate themselves from the cold ground, hot but not excessively and may perspire a bit, so you are cotton with rubber soles are good choice . Live the"&amp;"y are like in the photo, are beautiful and if you doubt between two sizes recommend most. As a point against, that touch is pleasing to introduce the foot, like a tissue thin towel, not as others that are more pleasant and seem even more touch to cotton n"&amp;"atural. It is advisable not give it back, but if I have to buy try another brand or model that many. I will update information when you take more months with them and see durability. If you served analysis, useful pressed.")</f>
        <v>Shoes right house, but there are better looked for slippers for the start of the winter were beautiful, isolate themselves from the cold ground, hot but not excessively and may perspire a bit, so you are cotton with rubber soles are good choice . Live they are like in the photo, are beautiful and if you doubt between two sizes recommend most. As a point against, that touch is pleasing to introduce the foot, like a tissue thin towel, not as others that are more pleasant and seem even more touch to cotton natural. It is advisable not give it back, but if I have to buy try another brand or model that many. I will update information when you take more months with them and see durability. If you served analysis, useful pressed.</v>
      </c>
    </row>
    <row r="19821">
      <c r="A19821" s="1">
        <v>1.0</v>
      </c>
      <c r="B19821" s="1" t="s">
        <v>19628</v>
      </c>
      <c r="C19821" t="str">
        <f>IFERROR(__xludf.DUMMYFUNCTION("GOOGLETRANSLATE(B19821, ""es"", ""en"")"),"Bad bad bad ... 2 months has lasted installed on my Nas, first and last time Seagate amount. I never would have thought that it would last so little ...")</f>
        <v>Bad bad bad ... 2 months has lasted installed on my Nas, first and last time Seagate amount. I never would have thought that it would last so little ...</v>
      </c>
    </row>
    <row r="19822">
      <c r="A19822" s="1">
        <v>1.0</v>
      </c>
      <c r="B19822" s="1" t="s">
        <v>19629</v>
      </c>
      <c r="C19822" t="str">
        <f>IFERROR(__xludf.DUMMYFUNCTION("GOOGLETRANSLATE(B19822, ""es"", ""en"")"),"I will not repeat ... (personal opinion) honestly not what I expected, maybe I touched a flawed model or something but the frequency of short bass very high, hear the punch of the bass but not his body, outer space theme of the sound if we could define as"&amp;" decent go ..... But I'm no professional ... for singers or metal wind might work. I sincerely hoped it were better than those in ear LG brings the G7 or the G6 if I hurry. Definitely before I would choose some kz or JBL T112 ..... But for my personal tas"&amp;"te .... not worth it. I'm sorry if I offend anyone but it is my opinion and it is totally objective")</f>
        <v>I will not repeat ... (personal opinion) honestly not what I expected, maybe I touched a flawed model or something but the frequency of short bass very high, hear the punch of the bass but not his body, outer space theme of the sound if we could define as decent go ..... But I'm no professional ... for singers or metal wind might work. I sincerely hoped it were better than those in ear LG brings the G7 or the G6 if I hurry. Definitely before I would choose some kz or JBL T112 ..... But for my personal taste .... not worth it. I'm sorry if I offend anyone but it is my opinion and it is totally objective</v>
      </c>
    </row>
    <row r="19823">
      <c r="A19823" s="1">
        <v>4.0</v>
      </c>
      <c r="B19823" s="1" t="s">
        <v>19630</v>
      </c>
      <c r="C19823" t="str">
        <f>IFERROR(__xludf.DUMMYFUNCTION("GOOGLETRANSLATE(B19823, ""es"", ""en"")"),"Good price and proper operation So far the drive is working properly, I do not use for the operating system, but its performance is good. Let's hope it stays that way.")</f>
        <v>Good price and proper operation So far the drive is working properly, I do not use for the operating system, but its performance is good. Let's hope it stays that way.</v>
      </c>
    </row>
    <row r="19824">
      <c r="A19824" s="1">
        <v>4.0</v>
      </c>
      <c r="B19824" s="1" t="s">
        <v>19631</v>
      </c>
      <c r="C19824" t="str">
        <f>IFERROR(__xludf.DUMMYFUNCTION("GOOGLETRANSLATE(B19824, ""es"", ""en"")"),"Kinswoman not remove them for nothing feels float ..")</f>
        <v>Kinswoman not remove them for nothing feels float ..</v>
      </c>
    </row>
    <row r="19825">
      <c r="A19825" s="1">
        <v>4.0</v>
      </c>
      <c r="B19825" s="1" t="s">
        <v>19632</v>
      </c>
      <c r="C19825" t="str">
        <f>IFERROR(__xludf.DUMMYFUNCTION("GOOGLETRANSLATE(B19825, ""es"", ""en"")"),"Very warm and very good touch The jacket is fine but slightly larger size than expected. If you intend to make it better Fitted order one size smaller than usual")</f>
        <v>Very warm and very good touch The jacket is fine but slightly larger size than expected. If you intend to make it better Fitted order one size smaller than usual</v>
      </c>
    </row>
    <row r="19826">
      <c r="A19826" s="1">
        <v>4.0</v>
      </c>
      <c r="B19826" s="1" t="s">
        <v>19633</v>
      </c>
      <c r="C19826" t="str">
        <f>IFERROR(__xludf.DUMMYFUNCTION("GOOGLETRANSLATE(B19826, ""es"", ""en"")"),"almost perfect heats very fast and looks good quality. Cable does not have much but that's no big deal. It is, though not very big, having to clean your background when used, because its narrowness makes it difficult to access an inconvenience.")</f>
        <v>almost perfect heats very fast and looks good quality. Cable does not have much but that's no big deal. It is, though not very big, having to clean your background when used, because its narrowness makes it difficult to access an inconvenience.</v>
      </c>
    </row>
    <row r="19827">
      <c r="A19827" s="1">
        <v>4.0</v>
      </c>
      <c r="B19827" s="1" t="s">
        <v>19634</v>
      </c>
      <c r="C19827" t="str">
        <f>IFERROR(__xludf.DUMMYFUNCTION("GOOGLETRANSLATE(B19827, ""es"", ""en"")"),"Mouse large and good quality I'm liking the mat. It has a good size without being excessive, so you can use the mouse comfortably. The texture is nice and works well in games, without creating sudden movements of the course. In the black dirt to be notice"&amp;"able, but cleaned well.")</f>
        <v>Mouse large and good quality I'm liking the mat. It has a good size without being excessive, so you can use the mouse comfortably. The texture is nice and works well in games, without creating sudden movements of the course. In the black dirt to be noticeable, but cleaned well.</v>
      </c>
    </row>
    <row r="19828">
      <c r="A19828" s="1">
        <v>5.0</v>
      </c>
      <c r="B19828" s="1" t="s">
        <v>19635</v>
      </c>
      <c r="C19828" t="str">
        <f>IFERROR(__xludf.DUMMYFUNCTION("GOOGLETRANSLATE(B19828, ""es"", ""en"")"),"100% recommended product is very important to take care and exercise the pelvic floor of women, especially from thirty-five years or when you have had pregnancies. I had not tried nigún system for this. And proving these Chinese balls, I'm really delighte"&amp;"d. Especially since each is tailored to the level you need with different weights and sizes. Its silicone material is very soft and easy to wash and dry. Highlight your remote to control activation on one, and the USB cable included to charge it, it's gre"&amp;"at. Highly recommended.")</f>
        <v>100% recommended product is very important to take care and exercise the pelvic floor of women, especially from thirty-five years or when you have had pregnancies. I had not tried nigún system for this. And proving these Chinese balls, I'm really delighted. Especially since each is tailored to the level you need with different weights and sizes. Its silicone material is very soft and easy to wash and dry. Highlight your remote to control activation on one, and the USB cable included to charge it, it's great. Highly recommended.</v>
      </c>
    </row>
    <row r="19829">
      <c r="A19829" s="1">
        <v>5.0</v>
      </c>
      <c r="B19829" s="1" t="s">
        <v>19636</v>
      </c>
      <c r="C19829" t="str">
        <f>IFERROR(__xludf.DUMMYFUNCTION("GOOGLETRANSLATE(B19829, ""es"", ""en"")"),"Small and lightweight product very practical! It measures just under two feet, weighs little and has great ability. We use it every day at home to clean tablecloth crumbs and collect papers and other remnants of dust left by children. a sturdy product is,"&amp;" for now we are very happy with it.")</f>
        <v>Small and lightweight product very practical! It measures just under two feet, weighs little and has great ability. We use it every day at home to clean tablecloth crumbs and collect papers and other remnants of dust left by children. a sturdy product is, for now we are very happy with it.</v>
      </c>
    </row>
    <row r="19830">
      <c r="A19830" s="1">
        <v>5.0</v>
      </c>
      <c r="B19830" s="1" t="s">
        <v>19637</v>
      </c>
      <c r="C19830" t="str">
        <f>IFERROR(__xludf.DUMMYFUNCTION("GOOGLETRANSLATE(B19830, ""es"", ""en"")"),"Very fast shipping and in good condition All very well, but I recommend ordering one number plus at least since the sizing is too tight for my taste.")</f>
        <v>Very fast shipping and in good condition All very well, but I recommend ordering one number plus at least since the sizing is too tight for my taste.</v>
      </c>
    </row>
    <row r="19831">
      <c r="A19831" s="1">
        <v>5.0</v>
      </c>
      <c r="B19831" s="1" t="s">
        <v>19638</v>
      </c>
      <c r="C19831" t="str">
        <f>IFERROR(__xludf.DUMMYFUNCTION("GOOGLETRANSLATE(B19831, ""es"", ""en"")"),"large, but an incredible power &lt;div id = ""video-block-R2YA669JUCAU7O"" class = ""a-section a-spacing-small a-spacing-top mini video-block""&gt; &lt;/ div&gt; &lt;input type = "" hidden ""name ="" ""value ="" https://images-eu.ssl-images-amazon.com/images/I/A1xZO+VPr"&amp;"9S.mp4 ""class ="" video-url ""&gt; &lt;input type ="" hidden "" name = """" value = ""https://images-eu.ssl-images-amazon.com/images/I/71aKnjLxxpS.png"" class = ""video-slate-img-url""&gt; &amp; nbsp; its design is simple but ingenious, given the power generated had "&amp;"a little fear of the base where the baso is placed, in other mixer similar system, with much lower power, by the vibrations resulting from the action of the engine are broken anchors and cracks have appeared in the upper structure, this model can be seen "&amp;"having a rubber surface, thus vibration is absorbed. Noise it is acceptable given the incredible power is treasured, I've tried to level 2 and turns into tiny flakes of ice cubes. attach a manual that includes among its Spanish languages, also it has a bo"&amp;"ok of healthy recipes, and posed a challenge ceñierme me this book a few months and see the result. can crush, beat .... you can be prepared from a puree to a simple shake. Now coming heat is a great appliance for use")</f>
        <v>large, but an incredible power &lt;div id = "video-block-R2YA669JUCAU7O" class = "a-section a-spacing-small a-spacing-top mini video-block"&gt; &lt;/ div&gt; &lt;input type = " hidden "name =" "value =" https://images-eu.ssl-images-amazon.com/images/I/A1xZO+VPr9S.mp4 "class =" video-url "&gt; &lt;input type =" hidden " name = "" value = "https://images-eu.ssl-images-amazon.com/images/I/71aKnjLxxpS.png" class = "video-slate-img-url"&gt; &amp; nbsp; its design is simple but ingenious, given the power generated had a little fear of the base where the baso is placed, in other mixer similar system, with much lower power, by the vibrations resulting from the action of the engine are broken anchors and cracks have appeared in the upper structure, this model can be seen having a rubber surface, thus vibration is absorbed. Noise it is acceptable given the incredible power is treasured, I've tried to level 2 and turns into tiny flakes of ice cubes. attach a manual that includes among its Spanish languages, also it has a book of healthy recipes, and posed a challenge ceñierme me this book a few months and see the result. can crush, beat .... you can be prepared from a puree to a simple shake. Now coming heat is a great appliance for use</v>
      </c>
    </row>
    <row r="19832">
      <c r="A19832" s="1">
        <v>5.0</v>
      </c>
      <c r="B19832" s="1" t="s">
        <v>19639</v>
      </c>
      <c r="C19832" t="str">
        <f>IFERROR(__xludf.DUMMYFUNCTION("GOOGLETRANSLATE(B19832, ""es"", ""en"")"),"Very fine and elegant The first thing highlights of this product is its elegance. It comes in a box of high quality, and within, the pendant is protected with a plastic. In that box, as well as the certification of the product, we find a chamois to clean,"&amp;" and this is a very nice touch. But let's talk about the necklace itself: A sterling silver pendant with a zirconia stones and several large part of 17,95mm. Is a very stylish, but not flashy, so it is great for both a party and for the day. In addition, "&amp;"it comes with a fine necklace 45 cm, neither too long nor too short, too sterling silver. All this for less than 10 euros is a bargain! I'm really pleased with this product. As a gift I think anyone make your day.")</f>
        <v>Very fine and elegant The first thing highlights of this product is its elegance. It comes in a box of high quality, and within, the pendant is protected with a plastic. In that box, as well as the certification of the product, we find a chamois to clean, and this is a very nice touch. But let's talk about the necklace itself: A sterling silver pendant with a zirconia stones and several large part of 17,95mm. Is a very stylish, but not flashy, so it is great for both a party and for the day. In addition, it comes with a fine necklace 45 cm, neither too long nor too short, too sterling silver. All this for less than 10 euros is a bargain! I'm really pleased with this product. As a gift I think anyone make your day.</v>
      </c>
    </row>
    <row r="19833">
      <c r="A19833" s="1">
        <v>5.0</v>
      </c>
      <c r="B19833" s="1" t="s">
        <v>19640</v>
      </c>
      <c r="C19833" t="str">
        <f>IFERROR(__xludf.DUMMYFUNCTION("GOOGLETRANSLATE(B19833, ""es"", ""en"")"),"Very nice for the price is a nice fabric for polyester, low shot (rather higher in tracksuit) and emphasizes too much of Joma so great on the side")</f>
        <v>Very nice for the price is a nice fabric for polyester, low shot (rather higher in tracksuit) and emphasizes too much of Joma so great on the side</v>
      </c>
    </row>
    <row r="19834">
      <c r="A19834" s="1">
        <v>5.0</v>
      </c>
      <c r="B19834" s="1" t="s">
        <v>19641</v>
      </c>
      <c r="C19834" t="str">
        <f>IFERROR(__xludf.DUMMYFUNCTION("GOOGLETRANSLATE(B19834, ""es"", ""en"")"),"Very surprised with quality after months of use after more than 3 months using headphones quite intensively, I have to say that at first I found them too plasticosos, but surprisingly this has become an advantage, they are very light, which does not get t"&amp;"ired after take a long time, plus they are like the first day at the end are of very good quality")</f>
        <v>Very surprised with quality after months of use after more than 3 months using headphones quite intensively, I have to say that at first I found them too plasticosos, but surprisingly this has become an advantage, they are very light, which does not get tired after take a long time, plus they are like the first day at the end are of very good quality</v>
      </c>
    </row>
    <row r="19835">
      <c r="A19835" s="1">
        <v>5.0</v>
      </c>
      <c r="B19835" s="1" t="s">
        <v>19642</v>
      </c>
      <c r="C19835" t="str">
        <f>IFERROR(__xludf.DUMMYFUNCTION("GOOGLETRANSLATE(B19835, ""es"", ""en"")"),"works great, I recommend it, it's amazing for the price you have, you take a quality watch at a very attractive price, purchase totally recommended, do not miss it")</f>
        <v>works great, I recommend it, it's amazing for the price you have, you take a quality watch at a very attractive price, purchase totally recommended, do not miss it</v>
      </c>
    </row>
    <row r="19836">
      <c r="A19836" s="1">
        <v>5.0</v>
      </c>
      <c r="B19836" s="1" t="s">
        <v>19643</v>
      </c>
      <c r="C19836" t="str">
        <f>IFERROR(__xludf.DUMMYFUNCTION("GOOGLETRANSLATE(B19836, ""es"", ""en"")"),"Magic! A great product!")</f>
        <v>Magic! A great product!</v>
      </c>
    </row>
    <row r="19837">
      <c r="A19837" s="1">
        <v>5.0</v>
      </c>
      <c r="B19837" s="1" t="s">
        <v>19644</v>
      </c>
      <c r="C19837" t="str">
        <f>IFERROR(__xludf.DUMMYFUNCTION("GOOGLETRANSLATE(B19837, ""es"", ""en"")"),"Comfortable, value for money. Value for money insurmountable, though prove others, these usually lasts me a lot and are very comfortable.")</f>
        <v>Comfortable, value for money. Value for money insurmountable, though prove others, these usually lasts me a lot and are very comfortable.</v>
      </c>
    </row>
    <row r="19838">
      <c r="A19838" s="1">
        <v>5.0</v>
      </c>
      <c r="B19838" s="1" t="s">
        <v>19645</v>
      </c>
      <c r="C19838" t="str">
        <f>IFERROR(__xludf.DUMMYFUNCTION("GOOGLETRANSLATE(B19838, ""es"", ""en"")"),"It's perfect for my kitchen. I like the retro style. Perfect for my kitchen")</f>
        <v>It's perfect for my kitchen. I like the retro style. Perfect for my kitchen</v>
      </c>
    </row>
    <row r="19839">
      <c r="A19839" s="1">
        <v>5.0</v>
      </c>
      <c r="B19839" s="1" t="s">
        <v>19646</v>
      </c>
      <c r="C19839" t="str">
        <f>IFERROR(__xludf.DUMMYFUNCTION("GOOGLETRANSLATE(B19839, ""es"", ""en"")"),"Good Bonito y Barato The truth is I'm happy with, I think a good buy that meets all three requirements bsuca any buyer, good nice and affordable precio.No has nothing to envy to others who tripling in precio.Lo I'm using both daily sport, casual as well t"&amp;"raje.VA. good buy")</f>
        <v>Good Bonito y Barato The truth is I'm happy with, I think a good buy that meets all three requirements bsuca any buyer, good nice and affordable precio.No has nothing to envy to others who tripling in precio.Lo I'm using both daily sport, casual as well traje.VA. good buy</v>
      </c>
    </row>
    <row r="19840">
      <c r="A19840" s="1">
        <v>5.0</v>
      </c>
      <c r="B19840" s="1" t="s">
        <v>19647</v>
      </c>
      <c r="C19840" t="str">
        <f>IFERROR(__xludf.DUMMYFUNCTION("GOOGLETRANSLATE(B19840, ""es"", ""en"")"),"Top notch long ago are my first option above the Samsung that if I got problems. Van perfect, are fast and reliable")</f>
        <v>Top notch long ago are my first option above the Samsung that if I got problems. Van perfect, are fast and reliable</v>
      </c>
    </row>
    <row r="19841">
      <c r="A19841" s="1">
        <v>5.0</v>
      </c>
      <c r="B19841" s="1" t="s">
        <v>19648</v>
      </c>
      <c r="C19841" t="str">
        <f>IFERROR(__xludf.DUMMYFUNCTION("GOOGLETRANSLATE(B19841, ""es"", ""en"")"),"Total comfort Very, very comfortable and got a very good price")</f>
        <v>Total comfort Very, very comfortable and got a very good price</v>
      </c>
    </row>
    <row r="19842">
      <c r="A19842" s="1">
        <v>5.0</v>
      </c>
      <c r="B19842" s="1" t="s">
        <v>19649</v>
      </c>
      <c r="C19842" t="str">
        <f>IFERROR(__xludf.DUMMYFUNCTION("GOOGLETRANSLATE(B19842, ""es"", ""en"")"),"Shoes classic shoes life, nice, comfortable and good materials. size corresponds to perfection.")</f>
        <v>Shoes classic shoes life, nice, comfortable and good materials. size corresponds to perfection.</v>
      </c>
    </row>
    <row r="19843">
      <c r="A19843" s="1">
        <v>5.0</v>
      </c>
      <c r="B19843" s="1" t="s">
        <v>19650</v>
      </c>
      <c r="C19843" t="str">
        <f>IFERROR(__xludf.DUMMYFUNCTION("GOOGLETRANSLATE(B19843, ""es"", ""en"")"),"They're very cool. Order 1 size bigger! Very nice Nike model. I do not understand much, but look nothing false as I read somewhere. I always spending 42 and I like the shoe fits snugly me because I ignored the comments and ordered a 43 and I really fit li"&amp;"ke a glove. Very happy with my purchase. (Although a light black look closely at the photo, are very black)")</f>
        <v>They're very cool. Order 1 size bigger! Very nice Nike model. I do not understand much, but look nothing false as I read somewhere. I always spending 42 and I like the shoe fits snugly me because I ignored the comments and ordered a 43 and I really fit like a glove. Very happy with my purchase. (Although a light black look closely at the photo, are very black)</v>
      </c>
    </row>
    <row r="19844">
      <c r="A19844" s="1">
        <v>5.0</v>
      </c>
      <c r="B19844" s="1" t="s">
        <v>19651</v>
      </c>
      <c r="C19844" t="str">
        <f>IFERROR(__xludf.DUMMYFUNCTION("GOOGLETRANSLATE(B19844, ""es"", ""en"")"),"Adequate Good Driller. It stuck to the thick Eva take a gift of folios normal drilling ...")</f>
        <v>Adequate Good Driller. It stuck to the thick Eva take a gift of folios normal drilling ...</v>
      </c>
    </row>
    <row r="19845">
      <c r="A19845" s="1">
        <v>5.0</v>
      </c>
      <c r="B19845" s="1" t="s">
        <v>19652</v>
      </c>
      <c r="C19845" t="str">
        <f>IFERROR(__xludf.DUMMYFUNCTION("GOOGLETRANSLATE(B19845, ""es"", ""en"")"),"Casio dw 5600 is a stunning watch if you like digital, yes. For me, I'm the parent, gym and this is perfect while not off to the finish. Is very pretty. Speaking of which goes negative. Hard to find, but sometimes they put in Amazon.es The best, that is r"&amp;"adio-controlled atomic and solar. Forgetting stack ...")</f>
        <v>Casio dw 5600 is a stunning watch if you like digital, yes. For me, I'm the parent, gym and this is perfect while not off to the finish. Is very pretty. Speaking of which goes negative. Hard to find, but sometimes they put in Amazon.es The best, that is radio-controlled atomic and solar. Forgetting stack ...</v>
      </c>
    </row>
    <row r="19846">
      <c r="A19846" s="1">
        <v>5.0</v>
      </c>
      <c r="B19846" s="1" t="s">
        <v>19653</v>
      </c>
      <c r="C19846" t="str">
        <f>IFERROR(__xludf.DUMMYFUNCTION("GOOGLETRANSLATE(B19846, ""es"", ""en"")"),"Perfect. Is incredible. Aspira and frega perfectly. I've linked to the wizard and voice or how active the app before you get home.")</f>
        <v>Perfect. Is incredible. Aspira and frega perfectly. I've linked to the wizard and voice or how active the app before you get home.</v>
      </c>
    </row>
    <row r="19847">
      <c r="A19847" s="1">
        <v>2.0</v>
      </c>
      <c r="B19847" s="1" t="s">
        <v>19654</v>
      </c>
      <c r="C19847" t="str">
        <f>IFERROR(__xludf.DUMMYFUNCTION("GOOGLETRANSLATE(B19847, ""es"", ""en"")"),"Nice pro are put Ever since I have, I have not been able to wear them. It is super uncomfortable and difficult and I hurt them. They are very nice pro in my case I do not work")</f>
        <v>Nice pro are put Ever since I have, I have not been able to wear them. It is super uncomfortable and difficult and I hurt them. They are very nice pro in my case I do not work</v>
      </c>
    </row>
    <row r="19848">
      <c r="A19848" s="1">
        <v>3.0</v>
      </c>
      <c r="B19848" s="1" t="s">
        <v>19655</v>
      </c>
      <c r="C19848" t="str">
        <f>IFERROR(__xludf.DUMMYFUNCTION("GOOGLETRANSLATE(B19848, ""es"", ""en"")"),"OK but little smaller than I expected not fit ipad air")</f>
        <v>OK but little smaller than I expected not fit ipad air</v>
      </c>
    </row>
    <row r="19849">
      <c r="A19849" s="1">
        <v>1.0</v>
      </c>
      <c r="B19849" s="1" t="s">
        <v>19656</v>
      </c>
      <c r="C19849" t="str">
        <f>IFERROR(__xludf.DUMMYFUNCTION("GOOGLETRANSLATE(B19849, ""es"", ""en"")"),"Cable quality is rubbish. Good presentation. Good Audio and aesthetically good. zero quality, a month of use and the longer fails cable when the cable moves functions as buttons, and is a pain you can not do anything pq every time you move the cable you t"&amp;"urn up the volume or you'll fall or you for the song. I would not buy nor recommend it to anyone unless they change the quality of the cable.")</f>
        <v>Cable quality is rubbish. Good presentation. Good Audio and aesthetically good. zero quality, a month of use and the longer fails cable when the cable moves functions as buttons, and is a pain you can not do anything pq every time you move the cable you turn up the volume or you'll fall or you for the song. I would not buy nor recommend it to anyone unless they change the quality of the cable.</v>
      </c>
    </row>
    <row r="19850">
      <c r="A19850" s="1">
        <v>1.0</v>
      </c>
      <c r="B19850" s="1" t="s">
        <v>19657</v>
      </c>
      <c r="C19850" t="str">
        <f>IFERROR(__xludf.DUMMYFUNCTION("GOOGLETRANSLATE(B19850, ""es"", ""en"")"),"I bought 3 packs and the three defective Initially the first seemed to work well (listen only music and movies) easy to match each other and with the transmitting device (tablet or mobile) to the next day buy another pack for my wife ,, the had to return "&amp;"(which incidentally we are still waiting to pick them up) because the left did not work and just decided to return loaded ,,, and buy another pack ,, ,, good because now I find that both the first and the second ,, somehow interferes with the wireless sig"&amp;"nal and videos is impossible to see them (netflix, youtube hbo and) the second pack every now emits beeps pairing haphazardly in conclusion ,, ,,, I will return these two packs also lost time in this buy, I do not recommend them at all.")</f>
        <v>I bought 3 packs and the three defective Initially the first seemed to work well (listen only music and movies) easy to match each other and with the transmitting device (tablet or mobile) to the next day buy another pack for my wife ,, the had to return (which incidentally we are still waiting to pick them up) because the left did not work and just decided to return loaded ,,, and buy another pack ,, ,, good because now I find that both the first and the second ,, somehow interferes with the wireless signal and videos is impossible to see them (netflix, youtube hbo and) the second pack every now emits beeps pairing haphazardly in conclusion ,, ,,, I will return these two packs also lost time in this buy, I do not recommend them at all.</v>
      </c>
    </row>
    <row r="19851">
      <c r="A19851" s="1">
        <v>4.0</v>
      </c>
      <c r="B19851" s="1" t="s">
        <v>19658</v>
      </c>
      <c r="C19851" t="str">
        <f>IFERROR(__xludf.DUMMYFUNCTION("GOOGLETRANSLATE(B19851, ""es"", ""en"")"),"The very wearable shoes bought for my 16 year old daughter. Shes charmed. Wipe with a damp cloth with a little soap crockery. And an old toothbrush ... kedan almost new.")</f>
        <v>The very wearable shoes bought for my 16 year old daughter. Shes charmed. Wipe with a damp cloth with a little soap crockery. And an old toothbrush ... kedan almost new.</v>
      </c>
    </row>
    <row r="19852">
      <c r="A19852" s="1">
        <v>4.0</v>
      </c>
      <c r="B19852" s="1" t="s">
        <v>19659</v>
      </c>
      <c r="C19852" t="str">
        <f>IFERROR(__xludf.DUMMYFUNCTION("GOOGLETRANSLATE(B19852, ""es"", ""en"")"),"It works wonderfully great. You hear them fantastic. Very comfortable to wear. The only thing is that I thought servian also for the PS4 and it is not")</f>
        <v>It works wonderfully great. You hear them fantastic. Very comfortable to wear. The only thing is that I thought servian also for the PS4 and it is not</v>
      </c>
    </row>
    <row r="19853">
      <c r="A19853" s="1">
        <v>4.0</v>
      </c>
      <c r="B19853" s="1" t="s">
        <v>19660</v>
      </c>
      <c r="C19853" t="str">
        <f>IFERROR(__xludf.DUMMYFUNCTION("GOOGLETRANSLATE(B19853, ""es"", ""en"")"),"Better than expected already taken a few weeks with the Braava Jet and I'm very happy. It used to clean small areas, but it does quickly and well. I use it for cooking every night and the battery lasts two days (is a kitchen of 10m2). With single-use wipe"&amp;"s is a ruin, while blue leaves the ground very well. I bought one of the reusable and the problem is that no lead soap. What I do is put a few drops of detergent it makes little foam on these cloths and soil looks good. Virtual function works great barrie"&amp;"r to limit the area to be cleaned")</f>
        <v>Better than expected already taken a few weeks with the Braava Jet and I'm very happy. It used to clean small areas, but it does quickly and well. I use it for cooking every night and the battery lasts two days (is a kitchen of 10m2). With single-use wipes is a ruin, while blue leaves the ground very well. I bought one of the reusable and the problem is that no lead soap. What I do is put a few drops of detergent it makes little foam on these cloths and soil looks good. Virtual function works great barrier to limit the area to be cleaned</v>
      </c>
    </row>
    <row r="19854">
      <c r="A19854" s="1">
        <v>4.0</v>
      </c>
      <c r="B19854" s="1" t="s">
        <v>19661</v>
      </c>
      <c r="C19854" t="str">
        <f>IFERROR(__xludf.DUMMYFUNCTION("GOOGLETRANSLATE(B19854, ""es"", ""en"")"),"Sella good and cheap Since I've used have had no punctures ...")</f>
        <v>Sella good and cheap Since I've used have had no punctures ...</v>
      </c>
    </row>
    <row r="19855">
      <c r="A19855" s="1">
        <v>4.0</v>
      </c>
      <c r="B19855" s="1" t="s">
        <v>19662</v>
      </c>
      <c r="C19855" t="str">
        <f>IFERROR(__xludf.DUMMYFUNCTION("GOOGLETRANSLATE(B19855, ""es"", ""en"")"),"Idem good quality picture. A modern watch, comfortable to wear and good performance. He arrived on the date indicated without any problems")</f>
        <v>Idem good quality picture. A modern watch, comfortable to wear and good performance. He arrived on the date indicated without any problems</v>
      </c>
    </row>
    <row r="19856">
      <c r="A19856" s="1">
        <v>5.0</v>
      </c>
      <c r="B19856" s="1" t="s">
        <v>19663</v>
      </c>
      <c r="C19856" t="str">
        <f>IFERROR(__xludf.DUMMYFUNCTION("GOOGLETRANSLATE(B19856, ""es"", ""en"")"),"Value I liked it because it was what I wanted")</f>
        <v>Value I liked it because it was what I wanted</v>
      </c>
    </row>
    <row r="19857">
      <c r="A19857" s="1">
        <v>5.0</v>
      </c>
      <c r="B19857" s="1" t="s">
        <v>19664</v>
      </c>
      <c r="C19857" t="str">
        <f>IFERROR(__xludf.DUMMYFUNCTION("GOOGLETRANSLATE(B19857, ""es"", ""en"")"),"Value for money good pretty good")</f>
        <v>Value for money good pretty good</v>
      </c>
    </row>
    <row r="19858">
      <c r="A19858" s="1">
        <v>5.0</v>
      </c>
      <c r="B19858" s="1" t="s">
        <v>19665</v>
      </c>
      <c r="C19858" t="str">
        <f>IFERROR(__xludf.DUMMYFUNCTION("GOOGLETRANSLATE(B19858, ""es"", ""en"")"),"Perfect for a gift for the little ones ... perfect")</f>
        <v>Perfect for a gift for the little ones ... perfect</v>
      </c>
    </row>
    <row r="19859">
      <c r="A19859" s="1">
        <v>5.0</v>
      </c>
      <c r="B19859" s="1" t="s">
        <v>19666</v>
      </c>
      <c r="C19859" t="str">
        <f>IFERROR(__xludf.DUMMYFUNCTION("GOOGLETRANSLATE(B19859, ""es"", ""en"")"),"Very good is quite spacious much larger than I expected but this very well. Fold that makes it more comfortable to hold, at the moment is quite sturdy, the only bad thing is the space you have to empty the water takes a while, but is solved by filtering t"&amp;"he bath ...")</f>
        <v>Very good is quite spacious much larger than I expected but this very well. Fold that makes it more comfortable to hold, at the moment is quite sturdy, the only bad thing is the space you have to empty the water takes a while, but is solved by filtering the bath ...</v>
      </c>
    </row>
    <row r="19860">
      <c r="A19860" s="1">
        <v>5.0</v>
      </c>
      <c r="B19860" s="1" t="s">
        <v>19667</v>
      </c>
      <c r="C19860" t="str">
        <f>IFERROR(__xludf.DUMMYFUNCTION("GOOGLETRANSLATE(B19860, ""es"", ""en"")"),"Very good micro cash to podcast")</f>
        <v>Very good micro cash to podcast</v>
      </c>
    </row>
    <row r="19861">
      <c r="A19861" s="1">
        <v>5.0</v>
      </c>
      <c r="B19861" s="1" t="s">
        <v>19668</v>
      </c>
      <c r="C19861" t="str">
        <f>IFERROR(__xludf.DUMMYFUNCTION("GOOGLETRANSLATE(B19861, ""es"", ""en"")"),"Very fast heating the water. Very good. Too bad you need an adapter plug to Spanish. (Included)")</f>
        <v>Very fast heating the water. Very good. Too bad you need an adapter plug to Spanish. (Included)</v>
      </c>
    </row>
    <row r="19862">
      <c r="A19862" s="1">
        <v>5.0</v>
      </c>
      <c r="B19862" s="1" t="s">
        <v>19669</v>
      </c>
      <c r="C19862" t="str">
        <f>IFERROR(__xludf.DUMMYFUNCTION("GOOGLETRANSLATE(B19862, ""es"", ""en"")"),"Quality covers these cases I opted for leading me by comments from other customers. The main thing is that they were asking for quality because there are other vendors offering Amazón cases that are very bad. These are very resistant. Good product.")</f>
        <v>Quality covers these cases I opted for leading me by comments from other customers. The main thing is that they were asking for quality because there are other vendors offering Amazón cases that are very bad. These are very resistant. Good product.</v>
      </c>
    </row>
    <row r="19863">
      <c r="A19863" s="1">
        <v>5.0</v>
      </c>
      <c r="B19863" s="1" t="s">
        <v>19670</v>
      </c>
      <c r="C19863" t="str">
        <f>IFERROR(__xludf.DUMMYFUNCTION("GOOGLETRANSLATE(B19863, ""es"", ""en"")"),"High capacity and money for me is the best pendrive I have today. 64gb flash drive in an all-metal, and above has a reading speed of 30 Mb per second, just enough to take movies and TV in a single device and not have to go with several simultaneously. I e"&amp;"ven spare room to take my documents and lots of music, I put everything that has happened to me and I still ample space for Podre order to retire any of the flash drives that are that are falling chunks, all plastic. I hope this does not happen as with an"&amp;"y, they take a hit inadvertently and is now to pull this being metallic in case of an accidental blow, certainly still have pendrive.")</f>
        <v>High capacity and money for me is the best pendrive I have today. 64gb flash drive in an all-metal, and above has a reading speed of 30 Mb per second, just enough to take movies and TV in a single device and not have to go with several simultaneously. I even spare room to take my documents and lots of music, I put everything that has happened to me and I still ample space for Podre order to retire any of the flash drives that are that are falling chunks, all plastic. I hope this does not happen as with any, they take a hit inadvertently and is now to pull this being metallic in case of an accidental blow, certainly still have pendrive.</v>
      </c>
    </row>
    <row r="19864">
      <c r="A19864" s="1">
        <v>5.0</v>
      </c>
      <c r="B19864" s="1" t="s">
        <v>19671</v>
      </c>
      <c r="C19864" t="str">
        <f>IFERROR(__xludf.DUMMYFUNCTION("GOOGLETRANSLATE(B19864, ""es"", ""en"")"),"Stylish and practical. It was the size I was looking for. Of good quality.")</f>
        <v>Stylish and practical. It was the size I was looking for. Of good quality.</v>
      </c>
    </row>
    <row r="19865">
      <c r="A19865" s="1">
        <v>5.0</v>
      </c>
      <c r="B19865" s="1" t="s">
        <v>19672</v>
      </c>
      <c r="C19865" t="str">
        <f>IFERROR(__xludf.DUMMYFUNCTION("GOOGLETRANSLATE(B19865, ""es"", ""en"")"),"Without complications. Without complications. Perfect for LiveOS. A being narrow can use a USB jack that is on the side, which with other wide pen drives come by other manufacturers is imosible.")</f>
        <v>Without complications. Without complications. Perfect for LiveOS. A being narrow can use a USB jack that is on the side, which with other wide pen drives come by other manufacturers is imosible.</v>
      </c>
    </row>
    <row r="19866">
      <c r="A19866" s="1">
        <v>5.0</v>
      </c>
      <c r="B19866" s="1" t="s">
        <v>19673</v>
      </c>
      <c r="C19866" t="str">
        <f>IFERROR(__xludf.DUMMYFUNCTION("GOOGLETRANSLATE(B19866, ""es"", ""en"")"),"Easy Soft to the touch. Like a lot to me is 6 intensities of heat, making it very easy to get the desired temperature.")</f>
        <v>Easy Soft to the touch. Like a lot to me is 6 intensities of heat, making it very easy to get the desired temperature.</v>
      </c>
    </row>
    <row r="19867">
      <c r="A19867" s="1">
        <v>5.0</v>
      </c>
      <c r="B19867" s="1" t="s">
        <v>19674</v>
      </c>
      <c r="C19867" t="str">
        <f>IFERROR(__xludf.DUMMYFUNCTION("GOOGLETRANSLATE(B19867, ""es"", ""en"")"),"Good quality and price quality material. Good texture and good material. Moment is giving me very good result because I remember using it frequently, I'm happy because I notice the difference. I recommend it.")</f>
        <v>Good quality and price quality material. Good texture and good material. Moment is giving me very good result because I remember using it frequently, I'm happy because I notice the difference. I recommend it.</v>
      </c>
    </row>
    <row r="19868">
      <c r="A19868" s="1">
        <v>5.0</v>
      </c>
      <c r="B19868" s="1" t="s">
        <v>19675</v>
      </c>
      <c r="C19868" t="str">
        <f>IFERROR(__xludf.DUMMYFUNCTION("GOOGLETRANSLATE(B19868, ""es"", ""en"")"),"Great value for the price. Great value for the price. The materials are first, finishes are excellent Adjusts to the specifications of the product. A good buy.")</f>
        <v>Great value for the price. Great value for the price. The materials are first, finishes are excellent Adjusts to the specifications of the product. A good buy.</v>
      </c>
    </row>
    <row r="19869">
      <c r="A19869" s="1">
        <v>5.0</v>
      </c>
      <c r="B19869" s="1" t="s">
        <v>19676</v>
      </c>
      <c r="C19869" t="str">
        <f>IFERROR(__xludf.DUMMYFUNCTION("GOOGLETRANSLATE(B19869, ""es"", ""en"")"),"Perfect I love the watch it is great but it is perfect for the wrist, the numbers are large and they look great and light can see the time without problems in the dark, I recommend very good buy.")</f>
        <v>Perfect I love the watch it is great but it is perfect for the wrist, the numbers are large and they look great and light can see the time without problems in the dark, I recommend very good buy.</v>
      </c>
    </row>
    <row r="19870">
      <c r="A19870" s="1">
        <v>5.0</v>
      </c>
      <c r="B19870" s="1" t="s">
        <v>19677</v>
      </c>
      <c r="C19870" t="str">
        <f>IFERROR(__xludf.DUMMYFUNCTION("GOOGLETRANSLATE(B19870, ""es"", ""en"")"),"I already knew the Havaianas great, so perfect !!! The only thing to note is that we must look at the number of Brazilian foot. If you look at the European numbering, you have to ask for more a number.")</f>
        <v>I already knew the Havaianas great, so perfect !!! The only thing to note is that we must look at the number of Brazilian foot. If you look at the European numbering, you have to ask for more a number.</v>
      </c>
    </row>
    <row r="19871">
      <c r="A19871" s="1">
        <v>5.0</v>
      </c>
      <c r="B19871" s="1" t="s">
        <v>19678</v>
      </c>
      <c r="C19871" t="str">
        <f>IFERROR(__xludf.DUMMYFUNCTION("GOOGLETRANSLATE(B19871, ""es"", ""en"")"),"Good quality and sporty design at a great price. Good quality and sporty design at a great price. Water resistant, large digit display and lighting in all its functions (time, alarm, stopwatch ....) That make it look good. It connects via Bluetooth. To us"&amp;"e all the functions you lower the Sports app on your phone and sync. It is a comprehensive app The manual comes in Castilian. It has alarm, stopwatch, pedometer (to control kilometos you travel), calories expended, you sleep monitors and warning entrntes "&amp;"calls and messages from different social networks (including whatsapp, facebook and twitter, etc ..) To switch on or must turn it off together and start pressing the mode keys. You includes a spare battery button, which is appreciated. Buy recommended 100"&amp;"%, I am very happy")</f>
        <v>Good quality and sporty design at a great price. Good quality and sporty design at a great price. Water resistant, large digit display and lighting in all its functions (time, alarm, stopwatch ....) That make it look good. It connects via Bluetooth. To use all the functions you lower the Sports app on your phone and sync. It is a comprehensive app The manual comes in Castilian. It has alarm, stopwatch, pedometer (to control kilometos you travel), calories expended, you sleep monitors and warning entrntes calls and messages from different social networks (including whatsapp, facebook and twitter, etc ..) To switch on or must turn it off together and start pressing the mode keys. You includes a spare battery button, which is appreciated. Buy recommended 100%, I am very happy</v>
      </c>
    </row>
    <row r="19872">
      <c r="A19872" s="1">
        <v>5.0</v>
      </c>
      <c r="B19872" s="1" t="s">
        <v>19679</v>
      </c>
      <c r="C19872" t="str">
        <f>IFERROR(__xludf.DUMMYFUNCTION("GOOGLETRANSLATE(B19872, ""es"", ""en"")"),"SuenaMuy well well")</f>
        <v>SuenaMuy well well</v>
      </c>
    </row>
    <row r="19873">
      <c r="A19873" s="1">
        <v>5.0</v>
      </c>
      <c r="B19873" s="1" t="s">
        <v>19680</v>
      </c>
      <c r="C19873" t="str">
        <f>IFERROR(__xludf.DUMMYFUNCTION("GOOGLETRANSLATE(B19873, ""es"", ""en"")"),"Super comfortable comfort.")</f>
        <v>Super comfortable comfort.</v>
      </c>
    </row>
    <row r="19874">
      <c r="A19874" s="1">
        <v>2.0</v>
      </c>
      <c r="B19874" s="1" t="s">
        <v>19681</v>
      </c>
      <c r="C19874" t="str">
        <f>IFERROR(__xludf.DUMMYFUNCTION("GOOGLETRANSLATE(B19874, ""es"", ""en"")"),"For the pajama-like fabric I have returned. The fabric is very thin and looked more than a tracksuit pajamas. Otherwise (delivery service and back) fine; no complaints.")</f>
        <v>For the pajama-like fabric I have returned. The fabric is very thin and looked more than a tracksuit pajamas. Otherwise (delivery service and back) fine; no complaints.</v>
      </c>
    </row>
    <row r="19875">
      <c r="A19875" s="1">
        <v>3.0</v>
      </c>
      <c r="B19875" s="1" t="s">
        <v>19682</v>
      </c>
      <c r="C19875" t="str">
        <f>IFERROR(__xludf.DUMMYFUNCTION("GOOGLETRANSLATE(B19875, ""es"", ""en"")"),"Is curious ... but not to give it's funny because it's like the movie UP and if pilláis a good price is not a bad photo album, but I feel bad to give away. Looks shabby and it looks like you bought a Chinese.")</f>
        <v>Is curious ... but not to give it's funny because it's like the movie UP and if pilláis a good price is not a bad photo album, but I feel bad to give away. Looks shabby and it looks like you bought a Chinese.</v>
      </c>
    </row>
    <row r="19876">
      <c r="A19876" s="1">
        <v>3.0</v>
      </c>
      <c r="B19876" s="1" t="s">
        <v>19683</v>
      </c>
      <c r="C19876" t="str">
        <f>IFERROR(__xludf.DUMMYFUNCTION("GOOGLETRANSLATE(B19876, ""es"", ""en"")"),"I see there will be long term I want to chase away the bugs in my house but now it seems he does not have much effect")</f>
        <v>I see there will be long term I want to chase away the bugs in my house but now it seems he does not have much effect</v>
      </c>
    </row>
    <row r="19877">
      <c r="A19877" s="1">
        <v>1.0</v>
      </c>
      <c r="B19877" s="1" t="s">
        <v>19684</v>
      </c>
      <c r="C19877" t="str">
        <f>IFERROR(__xludf.DUMMYFUNCTION("GOOGLETRANSLATE(B19877, ""es"", ""en"")"),"Africa are not original. Even remotely. Disappointed. I have converse original and has nothing to do with the fabric or smell. Now that you return them.")</f>
        <v>Africa are not original. Even remotely. Disappointed. I have converse original and has nothing to do with the fabric or smell. Now that you return them.</v>
      </c>
    </row>
    <row r="19878">
      <c r="A19878" s="1">
        <v>1.0</v>
      </c>
      <c r="B19878" s="1" t="s">
        <v>19685</v>
      </c>
      <c r="C19878" t="str">
        <f>IFERROR(__xludf.DUMMYFUNCTION("GOOGLETRANSLATE(B19878, ""es"", ""en"")"),"The frazco is open has come fast but the frazco was open.")</f>
        <v>The frazco is open has come fast but the frazco was open.</v>
      </c>
    </row>
    <row r="19879">
      <c r="A19879" s="1">
        <v>4.0</v>
      </c>
      <c r="B19879" s="1" t="s">
        <v>19686</v>
      </c>
      <c r="C19879" t="str">
        <f>IFERROR(__xludf.DUMMYFUNCTION("GOOGLETRANSLATE(B19879, ""es"", ""en"")"),"Good bottle buy this brand because it was the one used during the baby's stay in the hospital. Bottles are fairly narrow but cleaned without problems and good quality. For us the most remarkable are the teats. They simulate well the nipple of the mother a"&amp;"nd breastfeeding combined we are going great. Silicone nipple can mount or latex. Come with silicone is harder and baby with good suction are ideal. If the baby does not suck strong then the better the latex (eye with possible allergies). Like almost all "&amp;"brands also have an anti-colic system but there are no miracles, it depends partly on the baby and these things do not always work. We tested with Avent, Medela and Nuk, and we are left with the latter.")</f>
        <v>Good bottle buy this brand because it was the one used during the baby's stay in the hospital. Bottles are fairly narrow but cleaned without problems and good quality. For us the most remarkable are the teats. They simulate well the nipple of the mother and breastfeeding combined we are going great. Silicone nipple can mount or latex. Come with silicone is harder and baby with good suction are ideal. If the baby does not suck strong then the better the latex (eye with possible allergies). Like almost all brands also have an anti-colic system but there are no miracles, it depends partly on the baby and these things do not always work. We tested with Avent, Medela and Nuk, and we are left with the latter.</v>
      </c>
    </row>
    <row r="19880">
      <c r="A19880" s="1">
        <v>4.0</v>
      </c>
      <c r="B19880" s="1" t="s">
        <v>19687</v>
      </c>
      <c r="C19880" t="str">
        <f>IFERROR(__xludf.DUMMYFUNCTION("GOOGLETRANSLATE(B19880, ""es"", ""en"")"),"Good buy I bought this sweatshirt for my child and is happy with it, is modern and warm, right size and arrived quickly. It is priced very tight and quality looks good, just need to wait a while to see how it responds to the use and washings why not give "&amp;"it 5 stars")</f>
        <v>Good buy I bought this sweatshirt for my child and is happy with it, is modern and warm, right size and arrived quickly. It is priced very tight and quality looks good, just need to wait a while to see how it responds to the use and washings why not give it 5 stars</v>
      </c>
    </row>
    <row r="19881">
      <c r="A19881" s="1">
        <v>4.0</v>
      </c>
      <c r="B19881" s="1" t="s">
        <v>19688</v>
      </c>
      <c r="C19881" t="str">
        <f>IFERROR(__xludf.DUMMYFUNCTION("GOOGLETRANSLATE(B19881, ""es"", ""en"")"),"I am delighted with it comes very well packaged and all the accessories are very practical")</f>
        <v>I am delighted with it comes very well packaged and all the accessories are very practical</v>
      </c>
    </row>
    <row r="19882">
      <c r="A19882" s="1">
        <v>4.0</v>
      </c>
      <c r="B19882" s="1" t="s">
        <v>19689</v>
      </c>
      <c r="C19882" t="str">
        <f>IFERROR(__xludf.DUMMYFUNCTION("GOOGLETRANSLATE(B19882, ""es"", ""en"")"),"Good hard good hard disk drive, needed to revive an in all ancient one that already had a few years and perfect. It makes no noise and is fast, start the PC in a few srgundo. The storage capacity is more than enough to keep some things if operating the to"&amp;"pic and browse online and see things. The best change you can make any old PC.")</f>
        <v>Good hard good hard disk drive, needed to revive an in all ancient one that already had a few years and perfect. It makes no noise and is fast, start the PC in a few srgundo. The storage capacity is more than enough to keep some things if operating the topic and browse online and see things. The best change you can make any old PC.</v>
      </c>
    </row>
    <row r="19883">
      <c r="A19883" s="1">
        <v>5.0</v>
      </c>
      <c r="B19883" s="1" t="s">
        <v>19690</v>
      </c>
      <c r="C19883" t="str">
        <f>IFERROR(__xludf.DUMMYFUNCTION("GOOGLETRANSLATE(B19883, ""es"", ""en"")"),"Great! Very practical, very good buy")</f>
        <v>Great! Very practical, very good buy</v>
      </c>
    </row>
    <row r="19884">
      <c r="A19884" s="1">
        <v>5.0</v>
      </c>
      <c r="B19884" s="1" t="s">
        <v>19691</v>
      </c>
      <c r="C19884" t="str">
        <f>IFERROR(__xludf.DUMMYFUNCTION("GOOGLETRANSLATE(B19884, ""es"", ""en"")"),"Good pendrive. We are facing a pendrive of brand Arcanite I've had the chance to test is the 128GB, is a pendrive of a medium size with hood. As for the USB design in black with glitter. As for the speed of data transfer of 400 MB / second in reading and "&amp;"100 MB / sec in writing, I tried it at home and I really have no complaints for me the speed is more than enough, has technology USB 3.1, the market there are other models with higher writing speed for an average user but as I am I think it's okay is not "&amp;"fast but it works well. I have seen in testing that can reach write speeds over 100 MB / s around 110MB / s.c. 3.1 technology is very good choice. I think a good pendrive with a good speed writing and reading, with a good construction.")</f>
        <v>Good pendrive. We are facing a pendrive of brand Arcanite I've had the chance to test is the 128GB, is a pendrive of a medium size with hood. As for the USB design in black with glitter. As for the speed of data transfer of 400 MB / second in reading and 100 MB / sec in writing, I tried it at home and I really have no complaints for me the speed is more than enough, has technology USB 3.1, the market there are other models with higher writing speed for an average user but as I am I think it's okay is not fast but it works well. I have seen in testing that can reach write speeds over 100 MB / s around 110MB / s.c. 3.1 technology is very good choice. I think a good pendrive with a good speed writing and reading, with a good construction.</v>
      </c>
    </row>
    <row r="19885">
      <c r="A19885" s="1">
        <v>5.0</v>
      </c>
      <c r="B19885" s="1" t="s">
        <v>19692</v>
      </c>
      <c r="C19885" t="str">
        <f>IFERROR(__xludf.DUMMYFUNCTION("GOOGLETRANSLATE(B19885, ""es"", ""en"")"),"Good buy pretty good. Just what I needed to keep the tablet 10 ', mobile keys and other junk in my bag.")</f>
        <v>Good buy pretty good. Just what I needed to keep the tablet 10 ', mobile keys and other junk in my bag.</v>
      </c>
    </row>
    <row r="19886">
      <c r="A19886" s="1">
        <v>5.0</v>
      </c>
      <c r="B19886" s="1" t="s">
        <v>19693</v>
      </c>
      <c r="C19886" t="str">
        <f>IFERROR(__xludf.DUMMYFUNCTION("GOOGLETRANSLATE(B19886, ""es"", ""en"")"),"Very good quality brand. Very good product and fast delivery.")</f>
        <v>Very good quality brand. Very good product and fast delivery.</v>
      </c>
    </row>
    <row r="19887">
      <c r="A19887" s="1">
        <v>5.0</v>
      </c>
      <c r="B19887" s="1" t="s">
        <v>19694</v>
      </c>
      <c r="C19887" t="str">
        <f>IFERROR(__xludf.DUMMYFUNCTION("GOOGLETRANSLATE(B19887, ""es"", ""en"")"),"I love Perfect! I took a size more than mine and is perfect! It is extremely comfortable. Soft. I love. I will buy more in other colors why it's great.")</f>
        <v>I love Perfect! I took a size more than mine and is perfect! It is extremely comfortable. Soft. I love. I will buy more in other colors why it's great.</v>
      </c>
    </row>
    <row r="19888">
      <c r="A19888" s="1">
        <v>5.0</v>
      </c>
      <c r="B19888" s="1" t="s">
        <v>19695</v>
      </c>
      <c r="C19888" t="str">
        <f>IFERROR(__xludf.DUMMYFUNCTION("GOOGLETRANSLATE(B19888, ""es"", ""en"")"),"Stone in the gallbladder was diagnosed with gall stone long ago by accident in a routine check. I had no discomfort. About 10 years later the pains began that led me to emergency several times where I drew only morphine pain. Doctors recommended surgery m"&amp;"e. My brother in a business trip brought me a wonderful package with this tea and started taking. Blessed natural herb. With each attack took double or triple and pulled me pain. At the same hize see me and help wash to remove tea with epsom salt and oliv"&amp;"e oil and the amount of stone and grit take was impressive. Even threw sand in the urine and all without pain, no pain thanks to herbensurina. And I not lose my body !!!")</f>
        <v>Stone in the gallbladder was diagnosed with gall stone long ago by accident in a routine check. I had no discomfort. About 10 years later the pains began that led me to emergency several times where I drew only morphine pain. Doctors recommended surgery me. My brother in a business trip brought me a wonderful package with this tea and started taking. Blessed natural herb. With each attack took double or triple and pulled me pain. At the same hize see me and help wash to remove tea with epsom salt and olive oil and the amount of stone and grit take was impressive. Even threw sand in the urine and all without pain, no pain thanks to herbensurina. And I not lose my body !!!</v>
      </c>
    </row>
    <row r="19889">
      <c r="A19889" s="1">
        <v>5.0</v>
      </c>
      <c r="B19889" s="1" t="s">
        <v>19696</v>
      </c>
      <c r="C19889" t="str">
        <f>IFERROR(__xludf.DUMMYFUNCTION("GOOGLETRANSLATE(B19889, ""es"", ""en"")"),"Perfect Small, modern, subtle. Light relaxes a lot and the sound of the water as well. It's great. From time to time you have to spend a wet paper inside to clean and thus take no musty smell.")</f>
        <v>Perfect Small, modern, subtle. Light relaxes a lot and the sound of the water as well. It's great. From time to time you have to spend a wet paper inside to clean and thus take no musty smell.</v>
      </c>
    </row>
    <row r="19890">
      <c r="A19890" s="1">
        <v>5.0</v>
      </c>
      <c r="B19890" s="1" t="s">
        <v>19697</v>
      </c>
      <c r="C19890" t="str">
        <f>IFERROR(__xludf.DUMMYFUNCTION("GOOGLETRANSLATE(B19890, ""es"", ""en"")"),"Goodbye goodbye Di powder dust with this duster ostrich.")</f>
        <v>Goodbye goodbye Di powder dust with this duster ostrich.</v>
      </c>
    </row>
    <row r="19891">
      <c r="A19891" s="1">
        <v>5.0</v>
      </c>
      <c r="B19891" s="1" t="s">
        <v>19698</v>
      </c>
      <c r="C19891" t="str">
        <f>IFERROR(__xludf.DUMMYFUNCTION("GOOGLETRANSLATE(B19891, ""es"", ""en"")"),"Boolavard pack 4 bra are perfect, they are very comfortable to wear, I recommend it.")</f>
        <v>Boolavard pack 4 bra are perfect, they are very comfortable to wear, I recommend it.</v>
      </c>
    </row>
    <row r="19892">
      <c r="A19892" s="1">
        <v>5.0</v>
      </c>
      <c r="B19892" s="1" t="s">
        <v>19699</v>
      </c>
      <c r="C19892" t="str">
        <f>IFERROR(__xludf.DUMMYFUNCTION("GOOGLETRANSLATE(B19892, ""es"", ""en"")"),"Perfect! Good value for money. Comfortable and light. Useful pockets if paddle play. The size M caught by the comments and I was right. In my case 1,70m and 65 / 67kg.")</f>
        <v>Perfect! Good value for money. Comfortable and light. Useful pockets if paddle play. The size M caught by the comments and I was right. In my case 1,70m and 65 / 67kg.</v>
      </c>
    </row>
    <row r="19893">
      <c r="A19893" s="1">
        <v>5.0</v>
      </c>
      <c r="B19893" s="1" t="s">
        <v>19700</v>
      </c>
      <c r="C19893" t="str">
        <f>IFERROR(__xludf.DUMMYFUNCTION("GOOGLETRANSLATE(B19893, ""es"", ""en"")"),"Buenisima. Buenisima blender works perfectly and is easy to clean after use. And the price is lower than in department stores.")</f>
        <v>Buenisima. Buenisima blender works perfectly and is easy to clean after use. And the price is lower than in department stores.</v>
      </c>
    </row>
    <row r="19894">
      <c r="A19894" s="1">
        <v>5.0</v>
      </c>
      <c r="B19894" s="1" t="s">
        <v>238</v>
      </c>
      <c r="C19894" t="str">
        <f>IFERROR(__xludf.DUMMYFUNCTION("GOOGLETRANSLATE(B19894, ""es"", ""en"")"),"perfect perfect")</f>
        <v>perfect perfect</v>
      </c>
    </row>
    <row r="19895">
      <c r="A19895" s="1">
        <v>5.0</v>
      </c>
      <c r="B19895" s="1" t="s">
        <v>19701</v>
      </c>
      <c r="C19895" t="str">
        <f>IFERROR(__xludf.DUMMYFUNCTION("GOOGLETRANSLATE(B19895, ""es"", ""en"")"),"Perfect product quality")</f>
        <v>Perfect product quality</v>
      </c>
    </row>
    <row r="19896">
      <c r="A19896" s="1">
        <v>5.0</v>
      </c>
      <c r="B19896" s="1" t="s">
        <v>19702</v>
      </c>
      <c r="C19896" t="str">
        <f>IFERROR(__xludf.DUMMYFUNCTION("GOOGLETRANSLATE(B19896, ""es"", ""en"")"),"Great article I use it to make anything of my children and their adherence is fantastic. Very burn product at a great price")</f>
        <v>Great article I use it to make anything of my children and their adherence is fantastic. Very burn product at a great price</v>
      </c>
    </row>
    <row r="19897">
      <c r="A19897" s="1">
        <v>5.0</v>
      </c>
      <c r="B19897" s="1" t="s">
        <v>19703</v>
      </c>
      <c r="C19897" t="str">
        <f>IFERROR(__xludf.DUMMYFUNCTION("GOOGLETRANSLATE(B19897, ""es"", ""en"")"),"Very nice gift bracelet and gusto mucho")</f>
        <v>Very nice gift bracelet and gusto mucho</v>
      </c>
    </row>
    <row r="19898">
      <c r="A19898" s="1">
        <v>5.0</v>
      </c>
      <c r="B19898" s="1" t="s">
        <v>19704</v>
      </c>
      <c r="C19898" t="str">
        <f>IFERROR(__xludf.DUMMYFUNCTION("GOOGLETRANSLATE(B19898, ""es"", ""en"")"),"I love is small but perfect for me, just what I wanted. Very good quality and very nice design.")</f>
        <v>I love is small but perfect for me, just what I wanted. Very good quality and very nice design.</v>
      </c>
    </row>
    <row r="19899">
      <c r="A19899" s="1">
        <v>5.0</v>
      </c>
      <c r="B19899" s="1" t="s">
        <v>19705</v>
      </c>
      <c r="C19899" t="str">
        <f>IFERROR(__xludf.DUMMYFUNCTION("GOOGLETRANSLATE(B19899, ""es"", ""en"")"),"Useful and cheap Me enduring them last long belt in general. It would be nice to know the year of manufacture, because like everything that takes batteries in operation can bring surprises and little fail you buy it.")</f>
        <v>Useful and cheap Me enduring them last long belt in general. It would be nice to know the year of manufacture, because like everything that takes batteries in operation can bring surprises and little fail you buy it.</v>
      </c>
    </row>
    <row r="19900">
      <c r="A19900" s="1">
        <v>5.0</v>
      </c>
      <c r="B19900" s="1" t="s">
        <v>19706</v>
      </c>
      <c r="C19900" t="str">
        <f>IFERROR(__xludf.DUMMYFUNCTION("GOOGLETRANSLATE(B19900, ""es"", ""en"")"),"excellent Perfect")</f>
        <v>excellent Perfect</v>
      </c>
    </row>
    <row r="19901">
      <c r="A19901" s="1">
        <v>5.0</v>
      </c>
      <c r="B19901" s="1" t="s">
        <v>19707</v>
      </c>
      <c r="C19901" t="str">
        <f>IFERROR(__xludf.DUMMYFUNCTION("GOOGLETRANSLATE(B19901, ""es"", ""en"")"),"Mini mixer The product is right, it comes with two glasses and works very well. The size is ideal!")</f>
        <v>Mini mixer The product is right, it comes with two glasses and works very well. The size is ideal!</v>
      </c>
    </row>
    <row r="19902">
      <c r="A19902" s="1">
        <v>2.0</v>
      </c>
      <c r="B19902" s="1" t="s">
        <v>19708</v>
      </c>
      <c r="C19902" t="str">
        <f>IFERROR(__xludf.DUMMYFUNCTION("GOOGLETRANSLATE(B19902, ""es"", ""en"")"),"I do not recommend, expect a minimum distance connectivity, and not have it ... I like the design money, normal quality, but let me down, by distance, if I walked a little mobile and fails .. . is that neither 10m sincerely maybe linear with nothing in be"&amp;"tween, but still do not think you get that far, do not adapt well to the ear ... look positive comments and I dared to buy it, now that I regret I tried not understand the comments that have good distance, good ?, I have several Bluetooth devices and this"&amp;" is by far the most problems da ...")</f>
        <v>I do not recommend, expect a minimum distance connectivity, and not have it ... I like the design money, normal quality, but let me down, by distance, if I walked a little mobile and fails .. . is that neither 10m sincerely maybe linear with nothing in between, but still do not think you get that far, do not adapt well to the ear ... look positive comments and I dared to buy it, now that I regret I tried not understand the comments that have good distance, good ?, I have several Bluetooth devices and this is by far the most problems da ...</v>
      </c>
    </row>
    <row r="19903">
      <c r="A19903" s="1">
        <v>3.0</v>
      </c>
      <c r="B19903" s="1" t="s">
        <v>19709</v>
      </c>
      <c r="C19903" t="str">
        <f>IFERROR(__xludf.DUMMYFUNCTION("GOOGLETRANSLATE(B19903, ""es"", ""en"")"),"Expected grip of the micro and clamping are very improvable, but it costs x can not ask for more.")</f>
        <v>Expected grip of the micro and clamping are very improvable, but it costs x can not ask for more.</v>
      </c>
    </row>
    <row r="19904">
      <c r="A19904" s="1">
        <v>1.0</v>
      </c>
      <c r="B19904" s="1" t="s">
        <v>19710</v>
      </c>
      <c r="C19904" t="str">
        <f>IFERROR(__xludf.DUMMYFUNCTION("GOOGLETRANSLATE(B19904, ""es"", ""en"")"),"At 4 months he has stopped working the product itself perfectly fulfills its mission. Pica well everything we need on a daily basis. After using it for 4 months (once a day) has stopped working.")</f>
        <v>At 4 months he has stopped working the product itself perfectly fulfills its mission. Pica well everything we need on a daily basis. After using it for 4 months (once a day) has stopped working.</v>
      </c>
    </row>
    <row r="19905">
      <c r="A19905" s="1">
        <v>1.0</v>
      </c>
      <c r="B19905" s="1" t="s">
        <v>19711</v>
      </c>
      <c r="C19905" t="str">
        <f>IFERROR(__xludf.DUMMYFUNCTION("GOOGLETRANSLATE(B19905, ""es"", ""en"")"),"I do not recommend them as footwear for work they have not fulfilled the expected q q quality leaves much to desire the price for durability 15 days very expensive")</f>
        <v>I do not recommend them as footwear for work they have not fulfilled the expected q q quality leaves much to desire the price for durability 15 days very expensive</v>
      </c>
    </row>
    <row r="19906">
      <c r="A19906" s="1">
        <v>4.0</v>
      </c>
      <c r="B19906" s="1" t="s">
        <v>19712</v>
      </c>
      <c r="C19906" t="str">
        <f>IFERROR(__xludf.DUMMYFUNCTION("GOOGLETRANSLATE(B19906, ""es"", ""en"")"),"Recommended for the price I thought I would find a low quality product. I was wrong. Plastic good, a magnet that does its job and a good ability in very little space.")</f>
        <v>Recommended for the price I thought I would find a low quality product. I was wrong. Plastic good, a magnet that does its job and a good ability in very little space.</v>
      </c>
    </row>
    <row r="19907">
      <c r="A19907" s="1">
        <v>4.0</v>
      </c>
      <c r="B19907" s="1" t="s">
        <v>19713</v>
      </c>
      <c r="C19907" t="str">
        <f>IFERROR(__xludf.DUMMYFUNCTION("GOOGLETRANSLATE(B19907, ""es"", ""en"")"),"I received fantastic soon I like it for its size is small, and recorded anything yet, but I like it.")</f>
        <v>I received fantastic soon I like it for its size is small, and recorded anything yet, but I like it.</v>
      </c>
    </row>
    <row r="19908">
      <c r="A19908" s="1">
        <v>4.0</v>
      </c>
      <c r="B19908" s="1" t="s">
        <v>19714</v>
      </c>
      <c r="C19908" t="str">
        <f>IFERROR(__xludf.DUMMYFUNCTION("GOOGLETRANSLATE(B19908, ""es"", ""en"")"),"It's super practical good product. Acoustically warns you when battery is low. It also charges very quickly. It is so small ... it was very methodical when you spend (as a rule you take it off and go to any pocket). I lost two weeks. To kill me :(")</f>
        <v>It's super practical good product. Acoustically warns you when battery is low. It also charges very quickly. It is so small ... it was very methodical when you spend (as a rule you take it off and go to any pocket). I lost two weeks. To kill me :(</v>
      </c>
    </row>
    <row r="19909">
      <c r="A19909" s="1">
        <v>4.0</v>
      </c>
      <c r="B19909" s="1" t="s">
        <v>19715</v>
      </c>
      <c r="C19909" t="str">
        <f>IFERROR(__xludf.DUMMYFUNCTION("GOOGLETRANSLATE(B19909, ""es"", ""en"")"),"I like the shoe is what aesthetically expected, the only flaw to say no is that size is a bit bigger but I worth, there is no need to change it.")</f>
        <v>I like the shoe is what aesthetically expected, the only flaw to say no is that size is a bit bigger but I worth, there is no need to change it.</v>
      </c>
    </row>
    <row r="19910">
      <c r="A19910" s="1">
        <v>4.0</v>
      </c>
      <c r="B19910" s="1" t="s">
        <v>19716</v>
      </c>
      <c r="C19910" t="str">
        <f>IFERROR(__xludf.DUMMYFUNCTION("GOOGLETRANSLATE(B19910, ""es"", ""en"")"),"It goes well is very well especially for home but in larger rooms the volume is small, not if the charge has something to do,")</f>
        <v>It goes well is very well especially for home but in larger rooms the volume is small, not if the charge has something to do,</v>
      </c>
    </row>
    <row r="19911">
      <c r="A19911" s="1">
        <v>5.0</v>
      </c>
      <c r="B19911" s="1" t="s">
        <v>19717</v>
      </c>
      <c r="C19911" t="str">
        <f>IFERROR(__xludf.DUMMYFUNCTION("GOOGLETRANSLATE(B19911, ""es"", ""en"")"),"I pretty enough the truth to say that I was surprised with how beautiful it is to see physically. It does not have a single flaw sewing or anything like that and size is enough to enter such an A4 size folder and you have left a tad. Inside, in all compar"&amp;"tments has a pattern of very soft brand of fabric and zippers are metal. In short, we must wait to see how long, but I'm not going to use a very aggressive, but I have to say that the first impression is very good. I recommend it.")</f>
        <v>I pretty enough the truth to say that I was surprised with how beautiful it is to see physically. It does not have a single flaw sewing or anything like that and size is enough to enter such an A4 size folder and you have left a tad. Inside, in all compartments has a pattern of very soft brand of fabric and zippers are metal. In short, we must wait to see how long, but I'm not going to use a very aggressive, but I have to say that the first impression is very good. I recommend it.</v>
      </c>
    </row>
    <row r="19912">
      <c r="A19912" s="1">
        <v>5.0</v>
      </c>
      <c r="B19912" s="1" t="s">
        <v>19718</v>
      </c>
      <c r="C19912" t="str">
        <f>IFERROR(__xludf.DUMMYFUNCTION("GOOGLETRANSLATE(B19912, ""es"", ""en"")"),"Aro easy to put on, wore simple and nice time looking for a nose piercing that is easy to put on, no balls, small (some hoops sold in stores I were very large) and no visible fasteners. The size of 6 mm hurts me and left me 8 large (which are the measures"&amp;" that often sell elsewhere). Well, this I bought 7 mm is perfect. The closure is very easy to put on and remove, makes a click and is discreet without showing a hinge or where the closure is. Ultimately, I think I'll buy one for the lip and also look good"&amp;" for earrings ears. Put it took like 3 weeks and has come in a single week. Very happy.")</f>
        <v>Aro easy to put on, wore simple and nice time looking for a nose piercing that is easy to put on, no balls, small (some hoops sold in stores I were very large) and no visible fasteners. The size of 6 mm hurts me and left me 8 large (which are the measures that often sell elsewhere). Well, this I bought 7 mm is perfect. The closure is very easy to put on and remove, makes a click and is discreet without showing a hinge or where the closure is. Ultimately, I think I'll buy one for the lip and also look good for earrings ears. Put it took like 3 weeks and has come in a single week. Very happy.</v>
      </c>
    </row>
    <row r="19913">
      <c r="A19913" s="1">
        <v>5.0</v>
      </c>
      <c r="B19913" s="1" t="s">
        <v>19719</v>
      </c>
      <c r="C19913" t="str">
        <f>IFERROR(__xludf.DUMMYFUNCTION("GOOGLETRANSLATE(B19913, ""es"", ""en"")"),"Great! Great, very nice and above all, super warm.")</f>
        <v>Great! Great, very nice and above all, super warm.</v>
      </c>
    </row>
    <row r="19914">
      <c r="A19914" s="1">
        <v>5.0</v>
      </c>
      <c r="B19914" s="1" t="s">
        <v>19720</v>
      </c>
      <c r="C19914" t="str">
        <f>IFERROR(__xludf.DUMMYFUNCTION("GOOGLETRANSLATE(B19914, ""es"", ""en"")"),"good support Uns wonder. It is black and in perfect condition. Although a little pricey k pa how little has. Ideal for when you're playing sitting.")</f>
        <v>good support Uns wonder. It is black and in perfect condition. Although a little pricey k pa how little has. Ideal for when you're playing sitting.</v>
      </c>
    </row>
    <row r="19915">
      <c r="A19915" s="1">
        <v>5.0</v>
      </c>
      <c r="B19915" s="1" t="s">
        <v>19721</v>
      </c>
      <c r="C19915" t="str">
        <f>IFERROR(__xludf.DUMMYFUNCTION("GOOGLETRANSLATE(B19915, ""es"", ""en"")"),"Good quality electric blanket electric blanket. Separate controls for each individual to regulate the temperature separately. It takes to heat (the recommended 30 minutes before turning it on manually) but then gives a pleasant heat. In position 1 is very"&amp;" smooth, and 3 is somewhat warmer, but does not become as hot as the electrical pads that are typically used for contractures and muscle injuries. I understand that the function of an electric blanket is not that and in my opinion the temperature is more "&amp;"than correct. No automatic shutdown. According to the manual, it is washable at 30 ° C, but each wash indicates that loses properties so recommend washing not more than 5 times along its obvious útil.es life not to frequently wash but if necessary, if it "&amp;"can be washed. I think it's a good buy")</f>
        <v>Good quality electric blanket electric blanket. Separate controls for each individual to regulate the temperature separately. It takes to heat (the recommended 30 minutes before turning it on manually) but then gives a pleasant heat. In position 1 is very smooth, and 3 is somewhat warmer, but does not become as hot as the electrical pads that are typically used for contractures and muscle injuries. I understand that the function of an electric blanket is not that and in my opinion the temperature is more than correct. No automatic shutdown. According to the manual, it is washable at 30 ° C, but each wash indicates that loses properties so recommend washing not more than 5 times along its obvious útil.es life not to frequently wash but if necessary, if it can be washed. I think it's a good buy</v>
      </c>
    </row>
    <row r="19916">
      <c r="A19916" s="1">
        <v>5.0</v>
      </c>
      <c r="B19916" s="1" t="s">
        <v>19722</v>
      </c>
      <c r="C19916" t="str">
        <f>IFERROR(__xludf.DUMMYFUNCTION("GOOGLETRANSLATE(B19916, ""es"", ""en"")"),"I expected is typical of casio watch very durable and amazing durability highlights its green color makes it so different from the typical black watch.")</f>
        <v>I expected is typical of casio watch very durable and amazing durability highlights its green color makes it so different from the typical black watch.</v>
      </c>
    </row>
    <row r="19917">
      <c r="A19917" s="1">
        <v>5.0</v>
      </c>
      <c r="B19917" s="1" t="s">
        <v>19723</v>
      </c>
      <c r="C19917" t="str">
        <f>IFERROR(__xludf.DUMMYFUNCTION("GOOGLETRANSLATE(B19917, ""es"", ""en"")"),"Quality and durability Good quality, use them primarily to impress upon them my personal musical projects that recorded, sequenced and mixed into the PC. Renderizo and then pass these proven quality CD and so we can hear what they sound like my songs on d"&amp;"ifferent computers and listening rooms. Outstanding quality, it takes a little WIN 10 format them once you want to reuse them, but it does so to the satisfaction again and again.")</f>
        <v>Quality and durability Good quality, use them primarily to impress upon them my personal musical projects that recorded, sequenced and mixed into the PC. Renderizo and then pass these proven quality CD and so we can hear what they sound like my songs on different computers and listening rooms. Outstanding quality, it takes a little WIN 10 format them once you want to reuse them, but it does so to the satisfaction again and again.</v>
      </c>
    </row>
    <row r="19918">
      <c r="A19918" s="1">
        <v>5.0</v>
      </c>
      <c r="B19918" s="1" t="s">
        <v>19724</v>
      </c>
      <c r="C19918" t="str">
        <f>IFERROR(__xludf.DUMMYFUNCTION("GOOGLETRANSLATE(B19918, ""es"", ""en"")"),"I was delighted to this product arrived very quickly, quality is also excellent. It serves for a laugh with friends and family. The sound quality is good and it can be connected to a speaker, put a memory card, etc ... I highly recommend it if you want to"&amp;" have fun,")</f>
        <v>I was delighted to this product arrived very quickly, quality is also excellent. It serves for a laugh with friends and family. The sound quality is good and it can be connected to a speaker, put a memory card, etc ... I highly recommend it if you want to have fun,</v>
      </c>
    </row>
    <row r="19919">
      <c r="A19919" s="1">
        <v>5.0</v>
      </c>
      <c r="B19919" s="1" t="s">
        <v>19725</v>
      </c>
      <c r="C19919" t="str">
        <f>IFERROR(__xludf.DUMMYFUNCTION("GOOGLETRANSLATE(B19919, ""es"", ""en"")"),"Value for money My 3 year old daughter is delighted with headphones!")</f>
        <v>Value for money My 3 year old daughter is delighted with headphones!</v>
      </c>
    </row>
    <row r="19920">
      <c r="A19920" s="1">
        <v>5.0</v>
      </c>
      <c r="B19920" s="1" t="s">
        <v>19726</v>
      </c>
      <c r="C19920" t="str">
        <f>IFERROR(__xludf.DUMMYFUNCTION("GOOGLETRANSLATE(B19920, ""es"", ""en"")"),"Wireless headphones headphones running really stylish and well finished. As always the product arrived within two business days without problems. They come in a very comfortable case where we carry and charge the headset. Previously we have loaded the bas"&amp;"e through a micro USB port. I bought these headphones to go to the gym or go jogging. I have used them for now a few times and I will say great. Perfectly they fit the ear and the sound is clear, crisp and quality. I struggled initially pair both headphon"&amp;"es but following the directions on the box matching the finished smoothly. We can also use them individually so we can connect a headset with a mobile and the other with another mobile different. Very useful if you want to share with a friend or your part"&amp;"ner and that each can answer and manage your calls.")</f>
        <v>Wireless headphones headphones running really stylish and well finished. As always the product arrived within two business days without problems. They come in a very comfortable case where we carry and charge the headset. Previously we have loaded the base through a micro USB port. I bought these headphones to go to the gym or go jogging. I have used them for now a few times and I will say great. Perfectly they fit the ear and the sound is clear, crisp and quality. I struggled initially pair both headphones but following the directions on the box matching the finished smoothly. We can also use them individually so we can connect a headset with a mobile and the other with another mobile different. Very useful if you want to share with a friend or your partner and that each can answer and manage your calls.</v>
      </c>
    </row>
    <row r="19921">
      <c r="A19921" s="1">
        <v>5.0</v>
      </c>
      <c r="B19921" s="1" t="s">
        <v>19727</v>
      </c>
      <c r="C19921" t="str">
        <f>IFERROR(__xludf.DUMMYFUNCTION("GOOGLETRANSLATE(B19921, ""es"", ""en"")"),"Perfect quality and price for milkshakes everywhere")</f>
        <v>Perfect quality and price for milkshakes everywhere</v>
      </c>
    </row>
    <row r="19922">
      <c r="A19922" s="1">
        <v>5.0</v>
      </c>
      <c r="B19922" s="1" t="s">
        <v>19728</v>
      </c>
      <c r="C19922" t="str">
        <f>IFERROR(__xludf.DUMMYFUNCTION("GOOGLETRANSLATE(B19922, ""es"", ""en"")"),"Psoriasis cream hope good sense")</f>
        <v>Psoriasis cream hope good sense</v>
      </c>
    </row>
    <row r="19923">
      <c r="A19923" s="1">
        <v>5.0</v>
      </c>
      <c r="B19923" s="1" t="s">
        <v>19729</v>
      </c>
      <c r="C19923" t="str">
        <f>IFERROR(__xludf.DUMMYFUNCTION("GOOGLETRANSLATE(B19923, ""es"", ""en"")"),"Beyerdynamic DT 770 Pro 80 Ohm First place I tell you these are my first high end headphones. Stunning headphones professional recording studio for sound monitoring, circumaural with, not put out closed design to those around you, or pestered external noi"&amp;"se listening to your views, having a very clean sound at all frequencies, both bass are deep, but content that fail to spoil the range of other frequencies, crystalline media, the same as the treble not squeal in TOO as other headphones and do not clash a"&amp;"t all with the low and media, headphones with excellent ""Bass Reflex ""technology to enhance bass response and an excellent finish, it incorporates almoadillas velor, very soft and atercipeladas, not to give that feeling to give other almoadillas plastic"&amp;", with heat use get stuck after hours of use . Its closed design and circumaural with dynamic sound, make these helmets a highly recommended option for those users who are in noisy spaces and want to continue enjoying their music without external disturba"&amp;"nces. Comfort, make for hours after use, do not let that feeling of discomfort that other headsets leave after hours of use. A produccto 9/10, highly recommended, as their quality construction provide us years of enjoyment with these headphones and to say"&amp;" its design at a price very content that competes directly with headphones higher price, given the quality of these DT 770 Pro usuaros for me and many of these, in our view are worth less than they should, providing incredible sound quality, an authentic "&amp;"beauty at a very affordable price, Beyerdynamic has done a very good work with these headphones. Their direct compitidores are: - Sennheiser HD 280 Pro - Denon AH-D2000 - Audio-Technica ATH-M50 - Sony MDR-V6 very similar to the MDR-7506 its specifications"&amp;": Transmission type: Wired Headphone design (operating principle): Closed Headphone impedance: 80 Ohms Headphone frequency response: 5-35000 Hz Nominal sound pressure level: 96 dB Construction: Circumaural (around the ear) Cable &amp; amp; plug: Coiled connec"&amp;"ting cable With mini-jack plug (3.5 mm) &amp; amp; adapter (6.35 mm) Net weight without packaging: 270 g")</f>
        <v>Beyerdynamic DT 770 Pro 80 Ohm First place I tell you these are my first high end headphones. Stunning headphones professional recording studio for sound monitoring, circumaural with, not put out closed design to those around you, or pestered external noise listening to your views, having a very clean sound at all frequencies, both bass are deep, but content that fail to spoil the range of other frequencies, crystalline media, the same as the treble not squeal in TOO as other headphones and do not clash at all with the low and media, headphones with excellent "Bass Reflex "technology to enhance bass response and an excellent finish, it incorporates almoadillas velor, very soft and atercipeladas, not to give that feeling to give other almoadillas plastic, with heat use get stuck after hours of use . Its closed design and circumaural with dynamic sound, make these helmets a highly recommended option for those users who are in noisy spaces and want to continue enjoying their music without external disturbances. Comfort, make for hours after use, do not let that feeling of discomfort that other headsets leave after hours of use. A produccto 9/10, highly recommended, as their quality construction provide us years of enjoyment with these headphones and to say its design at a price very content that competes directly with headphones higher price, given the quality of these DT 770 Pro usuaros for me and many of these, in our view are worth less than they should, providing incredible sound quality, an authentic beauty at a very affordable price, Beyerdynamic has done a very good work with these headphones. Their direct compitidores are: - Sennheiser HD 280 Pro - Denon AH-D2000 - Audio-Technica ATH-M50 - Sony MDR-V6 very similar to the MDR-7506 its specifications: Transmission type: Wired Headphone design (operating principle): Closed Headphone impedance: 80 Ohms Headphone frequency response: 5-35000 Hz Nominal sound pressure level: 96 dB Construction: Circumaural (around the ear) Cable &amp; amp; plug: Coiled connecting cable With mini-jack plug (3.5 mm) &amp; amp; adapter (6.35 mm) Net weight without packaging: 270 g</v>
      </c>
    </row>
    <row r="19924">
      <c r="A19924" s="1">
        <v>5.0</v>
      </c>
      <c r="B19924" s="1" t="s">
        <v>19730</v>
      </c>
      <c r="C19924" t="str">
        <f>IFERROR(__xludf.DUMMYFUNCTION("GOOGLETRANSLATE(B19924, ""es"", ""en"")"),"Very fast it is great. the rate at which heat is amazing. CLN fulfills perdeccion which explains the description. ideal for fast boiling and such transfer to a pot. That way I think you should save energy costs.")</f>
        <v>Very fast it is great. the rate at which heat is amazing. CLN fulfills perdeccion which explains the description. ideal for fast boiling and such transfer to a pot. That way I think you should save energy costs.</v>
      </c>
    </row>
    <row r="19925">
      <c r="A19925" s="1">
        <v>5.0</v>
      </c>
      <c r="B19925" s="1" t="s">
        <v>19731</v>
      </c>
      <c r="C19925" t="str">
        <f>IFERROR(__xludf.DUMMYFUNCTION("GOOGLETRANSLATE(B19925, ""es"", ""en"")"),"Matona small but fits in any corner. Fast and well heated water boils. For 1-2 people is ideal. I take 3 months using daily and very well.")</f>
        <v>Matona small but fits in any corner. Fast and well heated water boils. For 1-2 people is ideal. I take 3 months using daily and very well.</v>
      </c>
    </row>
    <row r="19926">
      <c r="A19926" s="1">
        <v>5.0</v>
      </c>
      <c r="B19926" s="1" t="s">
        <v>19732</v>
      </c>
      <c r="C19926" t="str">
        <f>IFERROR(__xludf.DUMMYFUNCTION("GOOGLETRANSLATE(B19926, ""es"", ""en"")"),"Perfect quality very comfortable price 10")</f>
        <v>Perfect quality very comfortable price 10</v>
      </c>
    </row>
    <row r="19927">
      <c r="A19927" s="1">
        <v>5.0</v>
      </c>
      <c r="B19927" s="1" t="s">
        <v>19733</v>
      </c>
      <c r="C19927" t="str">
        <f>IFERROR(__xludf.DUMMYFUNCTION("GOOGLETRANSLATE(B19927, ""es"", ""en"")"),"So comfortable Very comfortable")</f>
        <v>So comfortable Very comfortable</v>
      </c>
    </row>
    <row r="19928">
      <c r="A19928" s="1">
        <v>5.0</v>
      </c>
      <c r="B19928" s="1" t="s">
        <v>19734</v>
      </c>
      <c r="C19928" t="str">
        <f>IFERROR(__xludf.DUMMYFUNCTION("GOOGLETRANSLATE(B19928, ""es"", ""en"")"),"Unmatched sound I liked very much. divine presentation !!!!! not missing any details .... The bag to keep the plastic .... .... detail after detail !!!! Exquisite!!!! Besides listening very well !!!! Good sound!!!! The'll buy !!!!!")</f>
        <v>Unmatched sound I liked very much. divine presentation !!!!! not missing any details .... The bag to keep the plastic .... .... detail after detail !!!! Exquisite!!!! Besides listening very well !!!! Good sound!!!! The'll buy !!!!!</v>
      </c>
    </row>
    <row r="19929">
      <c r="A19929" s="1">
        <v>5.0</v>
      </c>
      <c r="B19929" s="1" t="s">
        <v>19735</v>
      </c>
      <c r="C19929" t="str">
        <f>IFERROR(__xludf.DUMMYFUNCTION("GOOGLETRANSLATE(B19929, ""es"", ""en"")"),"Leave good product great skin")</f>
        <v>Leave good product great skin</v>
      </c>
    </row>
    <row r="19930">
      <c r="A19930" s="1">
        <v>2.0</v>
      </c>
      <c r="B19930" s="1" t="s">
        <v>19736</v>
      </c>
      <c r="C19930" t="str">
        <f>IFERROR(__xludf.DUMMYFUNCTION("GOOGLETRANSLATE(B19930, ""es"", ""en"")"),"They should specify disappointed q hay q q download a program and it is very difficult to handle. After many attempts we managed to make noise q. But we do not get q lights will turn on to the touch.")</f>
        <v>They should specify disappointed q hay q q download a program and it is very difficult to handle. After many attempts we managed to make noise q. But we do not get q lights will turn on to the touch.</v>
      </c>
    </row>
    <row r="19931">
      <c r="A19931" s="1">
        <v>3.0</v>
      </c>
      <c r="B19931" s="1" t="s">
        <v>19737</v>
      </c>
      <c r="C19931" t="str">
        <f>IFERROR(__xludf.DUMMYFUNCTION("GOOGLETRANSLATE(B19931, ""es"", ""en"")"),"Okay comfortable spacious Adidas.")</f>
        <v>Okay comfortable spacious Adidas.</v>
      </c>
    </row>
    <row r="19932">
      <c r="A19932" s="1">
        <v>3.0</v>
      </c>
      <c r="B19932" s="1" t="s">
        <v>19738</v>
      </c>
      <c r="C19932" t="str">
        <f>IFERROR(__xludf.DUMMYFUNCTION("GOOGLETRANSLATE(B19932, ""es"", ""en"")"),"Tone yellow sweatshirt is not exactly that tone remains bellaca but yellow is not that tone is a bright yellow and if it is true sweatshirt is Tim carter SAVAGE")</f>
        <v>Tone yellow sweatshirt is not exactly that tone remains bellaca but yellow is not that tone is a bright yellow and if it is true sweatshirt is Tim carter SAVAGE</v>
      </c>
    </row>
    <row r="19933">
      <c r="A19933" s="1">
        <v>1.0</v>
      </c>
      <c r="B19933" s="1" t="s">
        <v>19739</v>
      </c>
      <c r="C19933" t="str">
        <f>IFERROR(__xludf.DUMMYFUNCTION("GOOGLETRANSLATE(B19933, ""es"", ""en"")"),"Does not correspond with the purchase does not have anything to do with the photo, (misleading)")</f>
        <v>Does not correspond with the purchase does not have anything to do with the photo, (misleading)</v>
      </c>
    </row>
    <row r="19934">
      <c r="A19934" s="1">
        <v>1.0</v>
      </c>
      <c r="B19934" s="1" t="s">
        <v>19740</v>
      </c>
      <c r="C19934" t="str">
        <f>IFERROR(__xludf.DUMMYFUNCTION("GOOGLETRANSLATE(B19934, ""es"", ""en"")"),"Low quality hitch Hitch opens very low quality and out, very unhappy")</f>
        <v>Low quality hitch Hitch opens very low quality and out, very unhappy</v>
      </c>
    </row>
    <row r="19935">
      <c r="A19935" s="1">
        <v>1.0</v>
      </c>
      <c r="B19935" s="1" t="s">
        <v>19741</v>
      </c>
      <c r="C19935" t="str">
        <f>IFERROR(__xludf.DUMMYFUNCTION("GOOGLETRANSLATE(B19935, ""es"", ""en"")"),"Heat does not heat very little. I ordered one and returned that very little warming, but the second also heated very little.")</f>
        <v>Heat does not heat very little. I ordered one and returned that very little warming, but the second also heated very little.</v>
      </c>
    </row>
    <row r="19936">
      <c r="A19936" s="1">
        <v>4.0</v>
      </c>
      <c r="B19936" s="1" t="s">
        <v>19742</v>
      </c>
      <c r="C19936" t="str">
        <f>IFERROR(__xludf.DUMMYFUNCTION("GOOGLETRANSLATE(B19936, ""es"", ""en"")"),"Super comfort comfortable and color as the wanted")</f>
        <v>Super comfort comfortable and color as the wanted</v>
      </c>
    </row>
    <row r="19937">
      <c r="A19937" s="1">
        <v>4.0</v>
      </c>
      <c r="B19937" s="1" t="s">
        <v>19743</v>
      </c>
      <c r="C19937" t="str">
        <f>IFERROR(__xludf.DUMMYFUNCTION("GOOGLETRANSLATE(B19937, ""es"", ""en"")"),"solar charging. Does it affect the clock? Someone who can make me doubt. The only thing that keep me away when buy this watch is solar charging, since surely do not use it every day and take a few months in the drawer. My question is if the clock would af"&amp;"fect that and end up spoiling. Somebody get me doubts. Thank you.")</f>
        <v>solar charging. Does it affect the clock? Someone who can make me doubt. The only thing that keep me away when buy this watch is solar charging, since surely do not use it every day and take a few months in the drawer. My question is if the clock would affect that and end up spoiling. Somebody get me doubts. Thank you.</v>
      </c>
    </row>
    <row r="19938">
      <c r="A19938" s="1">
        <v>4.0</v>
      </c>
      <c r="B19938" s="1" t="s">
        <v>19744</v>
      </c>
      <c r="C19938" t="str">
        <f>IFERROR(__xludf.DUMMYFUNCTION("GOOGLETRANSLATE(B19938, ""es"", ""en"")"),"Well they are not bad, but the foot slides into the sock on lateral displacements.")</f>
        <v>Well they are not bad, but the foot slides into the sock on lateral displacements.</v>
      </c>
    </row>
    <row r="19939">
      <c r="A19939" s="1">
        <v>4.0</v>
      </c>
      <c r="B19939" s="1" t="s">
        <v>19745</v>
      </c>
      <c r="C19939" t="str">
        <f>IFERROR(__xludf.DUMMYFUNCTION("GOOGLETRANSLATE(B19939, ""es"", ""en"")"),"Pretty good for its price works pretty well for the price of the relationship between price and quality go hand in hand.")</f>
        <v>Pretty good for its price works pretty well for the price of the relationship between price and quality go hand in hand.</v>
      </c>
    </row>
    <row r="19940">
      <c r="A19940" s="1">
        <v>4.0</v>
      </c>
      <c r="B19940" s="1" t="s">
        <v>19746</v>
      </c>
      <c r="C19940" t="str">
        <f>IFERROR(__xludf.DUMMYFUNCTION("GOOGLETRANSLATE(B19940, ""es"", ""en"")"),"Resistant really is tough, the carabiner is really hard and is very strong in general, it does not collapse or deform, the only downside is that its transfer speed is not much, if USB 3.0 connection would really be the best Pen you can buy")</f>
        <v>Resistant really is tough, the carabiner is really hard and is very strong in general, it does not collapse or deform, the only downside is that its transfer speed is not much, if USB 3.0 connection would really be the best Pen you can buy</v>
      </c>
    </row>
    <row r="19941">
      <c r="A19941" s="1">
        <v>5.0</v>
      </c>
      <c r="B19941" s="1" t="s">
        <v>19747</v>
      </c>
      <c r="C19941" t="str">
        <f>IFERROR(__xludf.DUMMYFUNCTION("GOOGLETRANSLATE(B19941, ""es"", ""en"")"),"A hard drive worthwhile, especially for PS4 =) I bought to replace the 500GB hard drive from my PS4, after long search for various physical and online stores. I only found this hard to fulfill the requirements for it and had 2TB capacity (as it had to be "&amp;"a 2.5 and SATA3), others I found were 1TB capacity and short stayed for what I had in mind. .. and after use, reinstall the system PS4 on it and restore all games and other applications, I've been with him half a month and goes LUXURY, I recommend it with"&amp;"out hesitation!")</f>
        <v>A hard drive worthwhile, especially for PS4 =) I bought to replace the 500GB hard drive from my PS4, after long search for various physical and online stores. I only found this hard to fulfill the requirements for it and had 2TB capacity (as it had to be a 2.5 and SATA3), others I found were 1TB capacity and short stayed for what I had in mind. .. and after use, reinstall the system PS4 on it and restore all games and other applications, I've been with him half a month and goes LUXURY, I recommend it without hesitation!</v>
      </c>
    </row>
    <row r="19942">
      <c r="A19942" s="1">
        <v>5.0</v>
      </c>
      <c r="B19942" s="1" t="s">
        <v>19748</v>
      </c>
      <c r="C19942" t="str">
        <f>IFERROR(__xludf.DUMMYFUNCTION("GOOGLETRANSLATE(B19942, ""es"", ""en"")"),"to go to work it fits all has several areas to put lapizes or whatever the Peja unique is that the door is a space to put mobile and depends on which that mobile can not be but okay recommend it as years that led to go to work")</f>
        <v>to go to work it fits all has several areas to put lapizes or whatever the Peja unique is that the door is a space to put mobile and depends on which that mobile can not be but okay recommend it as years that led to go to work</v>
      </c>
    </row>
    <row r="19943">
      <c r="A19943" s="1">
        <v>5.0</v>
      </c>
      <c r="B19943" s="1" t="s">
        <v>19749</v>
      </c>
      <c r="C19943" t="str">
        <f>IFERROR(__xludf.DUMMYFUNCTION("GOOGLETRANSLATE(B19943, ""es"", ""en"")"),"Soft and comfortable tracksuit is a very nice, light and comfortable can also use quietly as warm pajamas for the coming winter. The quality of materials and finishes is excellent. The color is gorgeous and well with many other garments. Very soft to the "&amp;"touch thanks to its velvet finish. I recommend it for price and quality and variety of uses.")</f>
        <v>Soft and comfortable tracksuit is a very nice, light and comfortable can also use quietly as warm pajamas for the coming winter. The quality of materials and finishes is excellent. The color is gorgeous and well with many other garments. Very soft to the touch thanks to its velvet finish. I recommend it for price and quality and variety of uses.</v>
      </c>
    </row>
    <row r="19944">
      <c r="A19944" s="1">
        <v>5.0</v>
      </c>
      <c r="B19944" s="1" t="s">
        <v>19750</v>
      </c>
      <c r="C19944" t="str">
        <f>IFERROR(__xludf.DUMMYFUNCTION("GOOGLETRANSLATE(B19944, ""es"", ""en"")"),"greetings everything went perfect")</f>
        <v>greetings everything went perfect</v>
      </c>
    </row>
    <row r="19945">
      <c r="A19945" s="1">
        <v>5.0</v>
      </c>
      <c r="B19945" s="1" t="s">
        <v>19751</v>
      </c>
      <c r="C19945" t="str">
        <f>IFERROR(__xludf.DUMMYFUNCTION("GOOGLETRANSLATE(B19945, ""es"", ""en"")"),"For great gift to give to my niece 10 years, I have loved, has blast with him, the microphone has to sincronozar with mobile, to put Le memory cards or USB, you plug you put on your favorite music and sing finishes are quite good and the sound quality is "&amp;"related to the size of the speaker acceptable")</f>
        <v>For great gift to give to my niece 10 years, I have loved, has blast with him, the microphone has to sincronozar with mobile, to put Le memory cards or USB, you plug you put on your favorite music and sing finishes are quite good and the sound quality is related to the size of the speaker acceptable</v>
      </c>
    </row>
    <row r="19946">
      <c r="A19946" s="1">
        <v>5.0</v>
      </c>
      <c r="B19946" s="1" t="s">
        <v>19752</v>
      </c>
      <c r="C19946" t="str">
        <f>IFERROR(__xludf.DUMMYFUNCTION("GOOGLETRANSLATE(B19946, ""es"", ""en"")"),"Very good shoe good shoe definitely good buy")</f>
        <v>Very good shoe good shoe definitely good buy</v>
      </c>
    </row>
    <row r="19947">
      <c r="A19947" s="1">
        <v>5.0</v>
      </c>
      <c r="B19947" s="1" t="s">
        <v>19753</v>
      </c>
      <c r="C19947" t="str">
        <f>IFERROR(__xludf.DUMMYFUNCTION("GOOGLETRANSLATE(B19947, ""es"", ""en"")"),"For home use, or semi-professional. Appearance quality medium or medium-low Lacks undoubtedly weight. Synchronized and listen well. For the price it is a good buy")</f>
        <v>For home use, or semi-professional. Appearance quality medium or medium-low Lacks undoubtedly weight. Synchronized and listen well. For the price it is a good buy</v>
      </c>
    </row>
    <row r="19948">
      <c r="A19948" s="1">
        <v>5.0</v>
      </c>
      <c r="B19948" s="1" t="s">
        <v>19754</v>
      </c>
      <c r="C19948" t="str">
        <f>IFERROR(__xludf.DUMMYFUNCTION("GOOGLETRANSLATE(B19948, ""es"", ""en"")"),"So comfortable Very comfortable, meet the expectations. While it is true that with the wet floor slippery lot, do not use when it rains")</f>
        <v>So comfortable Very comfortable, meet the expectations. While it is true that with the wet floor slippery lot, do not use when it rains</v>
      </c>
    </row>
    <row r="19949">
      <c r="A19949" s="1">
        <v>5.0</v>
      </c>
      <c r="B19949" s="1" t="s">
        <v>19755</v>
      </c>
      <c r="C19949" t="str">
        <f>IFERROR(__xludf.DUMMYFUNCTION("GOOGLETRANSLATE(B19949, ""es"", ""en"")"),"Good quality item quality, they weigh very little and very nice")</f>
        <v>Good quality item quality, they weigh very little and very nice</v>
      </c>
    </row>
    <row r="19950">
      <c r="A19950" s="1">
        <v>5.0</v>
      </c>
      <c r="B19950" s="1" t="s">
        <v>19756</v>
      </c>
      <c r="C19950" t="str">
        <f>IFERROR(__xludf.DUMMYFUNCTION("GOOGLETRANSLATE(B19950, ""es"", ""en"")"),"I liked it as it comes in the picture, great gift idea and strong and broad leaves fit several photos")</f>
        <v>I liked it as it comes in the picture, great gift idea and strong and broad leaves fit several photos</v>
      </c>
    </row>
    <row r="19951">
      <c r="A19951" s="1">
        <v>5.0</v>
      </c>
      <c r="B19951" s="1" t="s">
        <v>19757</v>
      </c>
      <c r="C19951" t="str">
        <f>IFERROR(__xludf.DUMMYFUNCTION("GOOGLETRANSLATE(B19951, ""es"", ""en"")"),"Good Duster good for heating, fits well and does not scratch the radiators to the no lead wire. Good product")</f>
        <v>Good Duster good for heating, fits well and does not scratch the radiators to the no lead wire. Good product</v>
      </c>
    </row>
    <row r="19952">
      <c r="A19952" s="1">
        <v>5.0</v>
      </c>
      <c r="B19952" s="1" t="s">
        <v>2346</v>
      </c>
      <c r="C19952" t="str">
        <f>IFERROR(__xludf.DUMMYFUNCTION("GOOGLETRANSLATE(B19952, ""es"", ""en"")"),"Perfect All good")</f>
        <v>Perfect All good</v>
      </c>
    </row>
    <row r="19953">
      <c r="A19953" s="1">
        <v>5.0</v>
      </c>
      <c r="B19953" s="1" t="s">
        <v>19758</v>
      </c>
      <c r="C19953" t="str">
        <f>IFERROR(__xludf.DUMMYFUNCTION("GOOGLETRANSLATE(B19953, ""es"", ""en"")"),"Comodo Very good fabric, perfect for the k keda it has much chest and likes to be picked up and above has shoulder pad")</f>
        <v>Comodo Very good fabric, perfect for the k keda it has much chest and likes to be picked up and above has shoulder pad</v>
      </c>
    </row>
    <row r="19954">
      <c r="A19954" s="1">
        <v>5.0</v>
      </c>
      <c r="B19954" s="1" t="s">
        <v>19759</v>
      </c>
      <c r="C19954" t="str">
        <f>IFERROR(__xludf.DUMMYFUNCTION("GOOGLETRANSLATE(B19954, ""es"", ""en"")"),"Value very good very light ASICs to the end and Alcabes")</f>
        <v>Value very good very light ASICs to the end and Alcabes</v>
      </c>
    </row>
    <row r="19955">
      <c r="A19955" s="1">
        <v>5.0</v>
      </c>
      <c r="B19955" s="1" t="s">
        <v>19760</v>
      </c>
      <c r="C19955" t="str">
        <f>IFERROR(__xludf.DUMMYFUNCTION("GOOGLETRANSLATE(B19955, ""es"", ""en"")"),"Service expected. They are those used with my first child and I bought midmos lis for the second. Van fine when cereal use in milk")</f>
        <v>Service expected. They are those used with my first child and I bought midmos lis for the second. Van fine when cereal use in milk</v>
      </c>
    </row>
    <row r="19956">
      <c r="A19956" s="1">
        <v>5.0</v>
      </c>
      <c r="B19956" s="1" t="s">
        <v>19761</v>
      </c>
      <c r="C19956" t="str">
        <f>IFERROR(__xludf.DUMMYFUNCTION("GOOGLETRANSLATE(B19956, ""es"", ""en"")"),"A common problem usually Our baby took the breast; when I was not his mother tried to give the bottle and tried to say because I did not want, crying ... We were recommended this bottle because it mimics the mother's breast and ... BINGO! again he says no"&amp;" to a bottle. A success and one less problem. He continues with a bottle, and not breastfeeding, but in large format and just bought this brand.")</f>
        <v>A common problem usually Our baby took the breast; when I was not his mother tried to give the bottle and tried to say because I did not want, crying ... We were recommended this bottle because it mimics the mother's breast and ... BINGO! again he says no to a bottle. A success and one less problem. He continues with a bottle, and not breastfeeding, but in large format and just bought this brand.</v>
      </c>
    </row>
    <row r="19957">
      <c r="A19957" s="1">
        <v>5.0</v>
      </c>
      <c r="B19957" s="1" t="s">
        <v>19762</v>
      </c>
      <c r="C19957" t="str">
        <f>IFERROR(__xludf.DUMMYFUNCTION("GOOGLETRANSLATE(B19957, ""es"", ""en"")"),"Product quality and speed is as shown in the picture so there is not much mention of it, a good brand like Verbatim at a dirt cheap price. As for incredible service quickly just 1 day sending it to me. More you can not ask.")</f>
        <v>Product quality and speed is as shown in the picture so there is not much mention of it, a good brand like Verbatim at a dirt cheap price. As for incredible service quickly just 1 day sending it to me. More you can not ask.</v>
      </c>
    </row>
    <row r="19958">
      <c r="A19958" s="1">
        <v>5.0</v>
      </c>
      <c r="B19958" s="1" t="s">
        <v>19763</v>
      </c>
      <c r="C19958" t="str">
        <f>IFERROR(__xludf.DUMMYFUNCTION("GOOGLETRANSLATE(B19958, ""es"", ""en"")"),"Ideal as expected, perfect size good quality of materials, in short a ring at a good price with good finishes, very happy")</f>
        <v>Ideal as expected, perfect size good quality of materials, in short a ring at a good price with good finishes, very happy</v>
      </c>
    </row>
    <row r="19959">
      <c r="A19959" s="1">
        <v>2.0</v>
      </c>
      <c r="B19959" s="1" t="s">
        <v>19764</v>
      </c>
      <c r="C19959" t="str">
        <f>IFERROR(__xludf.DUMMYFUNCTION("GOOGLETRANSLATE(B19959, ""es"", ""en"")"),"Regular is prettier in pictures")</f>
        <v>Regular is prettier in pictures</v>
      </c>
    </row>
    <row r="19960">
      <c r="A19960" s="1">
        <v>3.0</v>
      </c>
      <c r="B19960" s="1" t="s">
        <v>19765</v>
      </c>
      <c r="C19960" t="str">
        <f>IFERROR(__xludf.DUMMYFUNCTION("GOOGLETRANSLATE(B19960, ""es"", ""en"")"),"something to be desired The product itself is not bad lies problem who manages because in the description said bringing accessories not really had, and being a product administered and sold by Amazon leaves much already wish you choose the product accesso"&amp;"ries.")</f>
        <v>something to be desired The product itself is not bad lies problem who manages because in the description said bringing accessories not really had, and being a product administered and sold by Amazon leaves much already wish you choose the product accessories.</v>
      </c>
    </row>
    <row r="19961">
      <c r="A19961" s="1">
        <v>3.0</v>
      </c>
      <c r="B19961" s="1" t="s">
        <v>19766</v>
      </c>
      <c r="C19961" t="str">
        <f>IFERROR(__xludf.DUMMYFUNCTION("GOOGLETRANSLATE(B19961, ""es"", ""en"")"),"Normal blender works very well, a little too uncomfortable parts picador is a bit cumbersome, the other brands is faster to use and clean. The coupling system of blender need both hands is more uncomfortable than if Pin. Splatters.")</f>
        <v>Normal blender works very well, a little too uncomfortable parts picador is a bit cumbersome, the other brands is faster to use and clean. The coupling system of blender need both hands is more uncomfortable than if Pin. Splatters.</v>
      </c>
    </row>
    <row r="19962">
      <c r="A19962" s="1">
        <v>3.0</v>
      </c>
      <c r="B19962" s="1" t="s">
        <v>19767</v>
      </c>
      <c r="C19962" t="str">
        <f>IFERROR(__xludf.DUMMYFUNCTION("GOOGLETRANSLATE(B19962, ""es"", ""en"")"),"Super Value Product is good, size is small only 37 is not half size smaller, otherwise they are comfortable fabric a little thick for the time .... then use them to work")</f>
        <v>Super Value Product is good, size is small only 37 is not half size smaller, otherwise they are comfortable fabric a little thick for the time .... then use them to work</v>
      </c>
    </row>
    <row r="19963">
      <c r="A19963" s="1">
        <v>1.0</v>
      </c>
      <c r="B19963" s="1" t="s">
        <v>19768</v>
      </c>
      <c r="C19963" t="str">
        <f>IFERROR(__xludf.DUMMYFUNCTION("GOOGLETRANSLATE(B19963, ""es"", ""en"")"),"Decent hardware, software disastrous I liked the price: an external hard drive small size and capacity of € 109 4T is fine. I did not like anything the software: I managed to install the backup program and is the most basic I have ever seen. A copy paste "&amp;"lifetime is more useful for backing up that rubbish. -The security software have been unable to install it, I'm so worried about not work nothing but their hard drives rather than failure to recognize the unit as it does not run itself. I'm worst it is no"&amp;"t that what works is poor and the rest does not work, is that installing the software a multitude of programs ""update and control software"" that slow startup computer unsustainably installed. I will not be a bad idea, but I wonder why install programs t"&amp;"hat I am not aware of use. My experience: nefarious My advice: as the hardware is good and cheap Use it, should uninstall the software.")</f>
        <v>Decent hardware, software disastrous I liked the price: an external hard drive small size and capacity of € 109 4T is fine. I did not like anything the software: I managed to install the backup program and is the most basic I have ever seen. A copy paste lifetime is more useful for backing up that rubbish. -The security software have been unable to install it, I'm so worried about not work nothing but their hard drives rather than failure to recognize the unit as it does not run itself. I'm worst it is not that what works is poor and the rest does not work, is that installing the software a multitude of programs "update and control software" that slow startup computer unsustainably installed. I will not be a bad idea, but I wonder why install programs that I am not aware of use. My experience: nefarious My advice: as the hardware is good and cheap Use it, should uninstall the software.</v>
      </c>
    </row>
    <row r="19964">
      <c r="A19964" s="1">
        <v>1.0</v>
      </c>
      <c r="B19964" s="1" t="s">
        <v>19769</v>
      </c>
      <c r="C19964" t="str">
        <f>IFERROR(__xludf.DUMMYFUNCTION("GOOGLETRANSLATE(B19964, ""es"", ""en"")"),"bad bad malisima Quemada to the third use, poor quality, steel anything is silver and bad pasta. Very very disappointed")</f>
        <v>bad bad malisima Quemada to the third use, poor quality, steel anything is silver and bad pasta. Very very disappointed</v>
      </c>
    </row>
    <row r="19965">
      <c r="A19965" s="1">
        <v>4.0</v>
      </c>
      <c r="B19965" s="1" t="s">
        <v>19770</v>
      </c>
      <c r="C19965" t="str">
        <f>IFERROR(__xludf.DUMMYFUNCTION("GOOGLETRANSLATE(B19965, ""es"", ""en"")"),"Easy to set up and operate. Easy to follow even with eyes closed. It is easy to follow the pace set even with eyes closed. As a tip to recommend further lower the intensity of light, totally dark the minimum is something strong. Realistically, it is not a"&amp;" miracle, but it can help you catch a calm breathing rhythm influences the onset of sleep.")</f>
        <v>Easy to set up and operate. Easy to follow even with eyes closed. It is easy to follow the pace set even with eyes closed. As a tip to recommend further lower the intensity of light, totally dark the minimum is something strong. Realistically, it is not a miracle, but it can help you catch a calm breathing rhythm influences the onset of sleep.</v>
      </c>
    </row>
    <row r="19966">
      <c r="A19966" s="1">
        <v>4.0</v>
      </c>
      <c r="B19966" s="1" t="s">
        <v>19771</v>
      </c>
      <c r="C19966" t="str">
        <f>IFERROR(__xludf.DUMMYFUNCTION("GOOGLETRANSLATE(B19966, ""es"", ""en"")"),"Original and colorful These shoes were a gift. After reading the reviews, I decided to order a number more than the corresponding. You were very good. The shoes came wrapped and fastened together with a rubber band, without box. However they got well with"&amp;"out crushing or wrinkles. It showed a little of the adhesive around the sole.")</f>
        <v>Original and colorful These shoes were a gift. After reading the reviews, I decided to order a number more than the corresponding. You were very good. The shoes came wrapped and fastened together with a rubber band, without box. However they got well without crushing or wrinkles. It showed a little of the adhesive around the sole.</v>
      </c>
    </row>
    <row r="19967">
      <c r="A19967" s="1">
        <v>4.0</v>
      </c>
      <c r="B19967" s="1" t="s">
        <v>19772</v>
      </c>
      <c r="C19967" t="str">
        <f>IFERROR(__xludf.DUMMYFUNCTION("GOOGLETRANSLATE(B19967, ""es"", ""en"")"),"HIGH CAPACITY AT LOW PRICE Not much to say about this card because users comments speak for themselves. In my opinion it is one of the best brands for such products and totally reliable. Using this type of card for both mobile phone cameras to action. I h"&amp;"ave no problem to recognize on any device, either by card adapter or by USB. I had problems with data loss or been marred by a wrong formatting. The card is not locked and the data transfer rate seems pretty good. ADVANTAGES - Recognized brand - Good tran"&amp;"sfer speed DISADVANTAGES - None at the time of the package Contents: - Card 32 Gb - Adapter")</f>
        <v>HIGH CAPACITY AT LOW PRICE Not much to say about this card because users comments speak for themselves. In my opinion it is one of the best brands for such products and totally reliable. Using this type of card for both mobile phone cameras to action. I have no problem to recognize on any device, either by card adapter or by USB. I had problems with data loss or been marred by a wrong formatting. The card is not locked and the data transfer rate seems pretty good. ADVANTAGES - Recognized brand - Good transfer speed DISADVANTAGES - None at the time of the package Contents: - Card 32 Gb - Adapter</v>
      </c>
    </row>
    <row r="19968">
      <c r="A19968" s="1">
        <v>4.0</v>
      </c>
      <c r="B19968" s="1" t="s">
        <v>19773</v>
      </c>
      <c r="C19968" t="str">
        <f>IFERROR(__xludf.DUMMYFUNCTION("GOOGLETRANSLATE(B19968, ""es"", ""en"")"),"VERY EFFECTIVE USE THE PRODUCT EVERY DAY AND PRODUCT KEEPS HIS EXPECTATIONS. QUALITY AND PRICE HIGHLY RECOMMENDED. THE AMOUNT OF PRODUCT IS VERY GOOD AND THE PRICE IS RIGHT.")</f>
        <v>VERY EFFECTIVE USE THE PRODUCT EVERY DAY AND PRODUCT KEEPS HIS EXPECTATIONS. QUALITY AND PRICE HIGHLY RECOMMENDED. THE AMOUNT OF PRODUCT IS VERY GOOD AND THE PRICE IS RIGHT.</v>
      </c>
    </row>
    <row r="19969">
      <c r="A19969" s="1">
        <v>4.0</v>
      </c>
      <c r="B19969" s="1" t="s">
        <v>19774</v>
      </c>
      <c r="C19969" t="str">
        <f>IFERROR(__xludf.DUMMYFUNCTION("GOOGLETRANSLATE(B19969, ""es"", ""en"")"),"I liked Good")</f>
        <v>I liked Good</v>
      </c>
    </row>
    <row r="19970">
      <c r="A19970" s="1">
        <v>5.0</v>
      </c>
      <c r="B19970" s="1" t="s">
        <v>19775</v>
      </c>
      <c r="C19970" t="str">
        <f>IFERROR(__xludf.DUMMYFUNCTION("GOOGLETRANSLATE(B19970, ""es"", ""en"")"),"I love. They are very pretty.")</f>
        <v>I love. They are very pretty.</v>
      </c>
    </row>
    <row r="19971">
      <c r="A19971" s="1">
        <v>5.0</v>
      </c>
      <c r="B19971" s="1" t="s">
        <v>19776</v>
      </c>
      <c r="C19971" t="str">
        <f>IFERROR(__xludf.DUMMYFUNCTION("GOOGLETRANSLATE(B19971, ""es"", ""en"")"),"The girl would charm Very cute white color is the perfect size and")</f>
        <v>The girl would charm Very cute white color is the perfect size and</v>
      </c>
    </row>
    <row r="19972">
      <c r="A19972" s="1">
        <v>5.0</v>
      </c>
      <c r="B19972" s="1" t="s">
        <v>19777</v>
      </c>
      <c r="C19972" t="str">
        <f>IFERROR(__xludf.DUMMYFUNCTION("GOOGLETRANSLATE(B19972, ""es"", ""en"")"),"Nice and efficient works perfectly for what is thought, neither more nor less. Noise it is typical of these appliances and the time the ideal, faster than a saucepan or microwave average. I love the design on top!")</f>
        <v>Nice and efficient works perfectly for what is thought, neither more nor less. Noise it is typical of these appliances and the time the ideal, faster than a saucepan or microwave average. I love the design on top!</v>
      </c>
    </row>
    <row r="19973">
      <c r="A19973" s="1">
        <v>5.0</v>
      </c>
      <c r="B19973" s="1" t="s">
        <v>19778</v>
      </c>
      <c r="C19973" t="str">
        <f>IFERROR(__xludf.DUMMYFUNCTION("GOOGLETRANSLATE(B19973, ""es"", ""en"")"),"+ Perfect")</f>
        <v>+ Perfect</v>
      </c>
    </row>
    <row r="19974">
      <c r="A19974" s="1">
        <v>5.0</v>
      </c>
      <c r="B19974" s="1" t="s">
        <v>19779</v>
      </c>
      <c r="C19974" t="str">
        <f>IFERROR(__xludf.DUMMYFUNCTION("GOOGLETRANSLATE(B19974, ""es"", ""en"")"),"Fantastica shirt Very good fabric, ideal for sports and at an unbeatable price. 100 recommended for all this perfect and ttanspira")</f>
        <v>Fantastica shirt Very good fabric, ideal for sports and at an unbeatable price. 100 recommended for all this perfect and ttanspira</v>
      </c>
    </row>
    <row r="19975">
      <c r="A19975" s="1">
        <v>5.0</v>
      </c>
      <c r="B19975" s="1" t="s">
        <v>19780</v>
      </c>
      <c r="C19975" t="str">
        <f>IFERROR(__xludf.DUMMYFUNCTION("GOOGLETRANSLATE(B19975, ""es"", ""en"")"),"I like all great")</f>
        <v>I like all great</v>
      </c>
    </row>
    <row r="19976">
      <c r="A19976" s="1">
        <v>5.0</v>
      </c>
      <c r="B19976" s="1" t="s">
        <v>19781</v>
      </c>
      <c r="C19976" t="str">
        <f>IFERROR(__xludf.DUMMYFUNCTION("GOOGLETRANSLATE(B19976, ""es"", ""en"")"),"optimum product versatility to order cables fits all thicknesses you need that yourself go threading the cables.")</f>
        <v>optimum product versatility to order cables fits all thicknesses you need that yourself go threading the cables.</v>
      </c>
    </row>
    <row r="19977">
      <c r="A19977" s="1">
        <v>5.0</v>
      </c>
      <c r="B19977" s="1" t="s">
        <v>19782</v>
      </c>
      <c r="C19977" t="str">
        <f>IFERROR(__xludf.DUMMYFUNCTION("GOOGLETRANSLATE(B19977, ""es"", ""en"")"),"Perfect Perfect, exactly what you were looking")</f>
        <v>Perfect Perfect, exactly what you were looking</v>
      </c>
    </row>
    <row r="19978">
      <c r="A19978" s="1">
        <v>5.0</v>
      </c>
      <c r="B19978" s="1" t="s">
        <v>19783</v>
      </c>
      <c r="C19978" t="str">
        <f>IFERROR(__xludf.DUMMYFUNCTION("GOOGLETRANSLATE(B19978, ""es"", ""en"")"),"Punctuality All good")</f>
        <v>Punctuality All good</v>
      </c>
    </row>
    <row r="19979">
      <c r="A19979" s="1">
        <v>5.0</v>
      </c>
      <c r="B19979" s="1" t="s">
        <v>19784</v>
      </c>
      <c r="C19979" t="str">
        <f>IFERROR(__xludf.DUMMYFUNCTION("GOOGLETRANSLATE(B19979, ""es"", ""en"")"),"Very comfortable good quality and perfect fit")</f>
        <v>Very comfortable good quality and perfect fit</v>
      </c>
    </row>
    <row r="19980">
      <c r="A19980" s="1">
        <v>5.0</v>
      </c>
      <c r="B19980" s="1" t="s">
        <v>19785</v>
      </c>
      <c r="C19980" t="str">
        <f>IFERROR(__xludf.DUMMYFUNCTION("GOOGLETRANSLATE(B19980, ""es"", ""en"")"),". Coincides perfectly directed. Comfortable and durable")</f>
        <v>. Coincides perfectly directed. Comfortable and durable</v>
      </c>
    </row>
    <row r="19981">
      <c r="A19981" s="1">
        <v>5.0</v>
      </c>
      <c r="B19981" s="1" t="s">
        <v>19786</v>
      </c>
      <c r="C19981" t="str">
        <f>IFERROR(__xludf.DUMMYFUNCTION("GOOGLETRANSLATE(B19981, ""es"", ""en"")"),"Everything fits well as put on notice, going well")</f>
        <v>Everything fits well as put on notice, going well</v>
      </c>
    </row>
    <row r="19982">
      <c r="A19982" s="1">
        <v>5.0</v>
      </c>
      <c r="B19982" s="1" t="s">
        <v>19787</v>
      </c>
      <c r="C19982" t="str">
        <f>IFERROR(__xludf.DUMMYFUNCTION("GOOGLETRANSLATE(B19982, ""es"", ""en"")"),"School scissors cutting paper and children's great cardboard scissors for school use. Cut very well, they are easy to handle and safe for children. They are suitable for children older than 4 years but have no sharp part. We also noticed that has holes la"&amp;"rge enough to use an adult.")</f>
        <v>School scissors cutting paper and children's great cardboard scissors for school use. Cut very well, they are easy to handle and safe for children. They are suitable for children older than 4 years but have no sharp part. We also noticed that has holes large enough to use an adult.</v>
      </c>
    </row>
    <row r="19983">
      <c r="A19983" s="1">
        <v>5.0</v>
      </c>
      <c r="B19983" s="1" t="s">
        <v>19788</v>
      </c>
      <c r="C19983" t="str">
        <f>IFERROR(__xludf.DUMMYFUNCTION("GOOGLETRANSLATE(B19983, ""es"", ""en"")"),"Very good quality. I'll speak properly. Nothing sounded more open and wear them fatal but .... I got into google to see that he found and read a review of how important it was to use the correct pad (pads are included). because it was ... I put the perfec"&amp;"t pillow for my ears and miracle .... The sound is spectacular. I recommend them to 100%. On the beach I walk away more than 40 meters and I still hear the music. Very good quality. Every day I go to the gym a couple of hours and charge once a week. Reall"&amp;"y very happy ...")</f>
        <v>Very good quality. I'll speak properly. Nothing sounded more open and wear them fatal but .... I got into google to see that he found and read a review of how important it was to use the correct pad (pads are included). because it was ... I put the perfect pillow for my ears and miracle .... The sound is spectacular. I recommend them to 100%. On the beach I walk away more than 40 meters and I still hear the music. Very good quality. Every day I go to the gym a couple of hours and charge once a week. Really very happy ...</v>
      </c>
    </row>
    <row r="19984">
      <c r="A19984" s="1">
        <v>5.0</v>
      </c>
      <c r="B19984" s="1" t="s">
        <v>19789</v>
      </c>
      <c r="C19984" t="str">
        <f>IFERROR(__xludf.DUMMYFUNCTION("GOOGLETRANSLATE(B19984, ""es"", ""en"")"),"encántame weighs nothing. Is very pretty. Came with the original box where they put clocks in jewelry. One child or if you like a little big watches, this is a little small.")</f>
        <v>encántame weighs nothing. Is very pretty. Came with the original box where they put clocks in jewelry. One child or if you like a little big watches, this is a little small.</v>
      </c>
    </row>
    <row r="19985">
      <c r="A19985" s="1">
        <v>5.0</v>
      </c>
      <c r="B19985" s="1" t="s">
        <v>19790</v>
      </c>
      <c r="C19985" t="str">
        <f>IFERROR(__xludf.DUMMYFUNCTION("GOOGLETRANSLATE(B19985, ""es"", ""en"")"),"Good quality. I ordered size M and I came 2XL fabric is very good quality.")</f>
        <v>Good quality. I ordered size M and I came 2XL fabric is very good quality.</v>
      </c>
    </row>
    <row r="19986">
      <c r="A19986" s="1">
        <v>5.0</v>
      </c>
      <c r="B19986" s="1" t="s">
        <v>19791</v>
      </c>
      <c r="C19986" t="str">
        <f>IFERROR(__xludf.DUMMYFUNCTION("GOOGLETRANSLATE(B19986, ""es"", ""en"")"),"ELEGANT AND VERY NICE PANTS SPORTS ""CHANDAL"" very nice and elegant. THE COURT IS ADJUSTED but not excessively. SERVES TO DRESS AND MAKE DEMPORTE IN COLD WEATHER.")</f>
        <v>ELEGANT AND VERY NICE PANTS SPORTS "CHANDAL" very nice and elegant. THE COURT IS ADJUSTED but not excessively. SERVES TO DRESS AND MAKE DEMPORTE IN COLD WEATHER.</v>
      </c>
    </row>
    <row r="19987">
      <c r="A19987" s="1">
        <v>5.0</v>
      </c>
      <c r="B19987" s="1" t="s">
        <v>19792</v>
      </c>
      <c r="C19987" t="str">
        <f>IFERROR(__xludf.DUMMYFUNCTION("GOOGLETRANSLATE(B19987, ""es"", ""en"")"),"Lindos are lovely and very good quality")</f>
        <v>Lindos are lovely and very good quality</v>
      </c>
    </row>
    <row r="19988">
      <c r="A19988" s="1">
        <v>5.0</v>
      </c>
      <c r="B19988" s="1" t="s">
        <v>19793</v>
      </c>
      <c r="C19988" t="str">
        <f>IFERROR(__xludf.DUMMYFUNCTION("GOOGLETRANSLATE(B19988, ""es"", ""en"")"),"QUALITY AND PRICE good set of 6 essential oils aromatherapy 10ml each ideal for use with humidifiers, most important of this set of oils is that they are 100% natural, without chemicals, so you have no problems as other produce allergies. The oil dissolve"&amp;"s in water easily, leaves a good scent in the room environment, we must heed the signs that you leave it very clear not to contact the skin directly before diluting in water. The set is very cheap, considering that in some aromatherapy centers charge betw"&amp;"een 7 and 20 € for a jar of different mixtures. So it has been a very good investment of 15 €. Given that there are only a few drops to use, it is a good investment for quality and price.")</f>
        <v>QUALITY AND PRICE good set of 6 essential oils aromatherapy 10ml each ideal for use with humidifiers, most important of this set of oils is that they are 100% natural, without chemicals, so you have no problems as other produce allergies. The oil dissolves in water easily, leaves a good scent in the room environment, we must heed the signs that you leave it very clear not to contact the skin directly before diluting in water. The set is very cheap, considering that in some aromatherapy centers charge between 7 and 20 € for a jar of different mixtures. So it has been a very good investment of 15 €. Given that there are only a few drops to use, it is a good investment for quality and price.</v>
      </c>
    </row>
    <row r="19989">
      <c r="A19989" s="1">
        <v>2.0</v>
      </c>
      <c r="B19989" s="1" t="s">
        <v>19794</v>
      </c>
      <c r="C19989" t="str">
        <f>IFERROR(__xludf.DUMMYFUNCTION("GOOGLETRANSLATE(B19989, ""es"", ""en"")"),"Quickly deteriorates only good thing about this product is that it came quickly. Finished connectors, lined with tape termoretractil not make the product has good calidad.Después several months of use connectors do nothing but interference and not hear we"&amp;"ll. I'll have to buy another.")</f>
        <v>Quickly deteriorates only good thing about this product is that it came quickly. Finished connectors, lined with tape termoretractil not make the product has good calidad.Después several months of use connectors do nothing but interference and not hear well. I'll have to buy another.</v>
      </c>
    </row>
    <row r="19990">
      <c r="A19990" s="1">
        <v>3.0</v>
      </c>
      <c r="B19990" s="1" t="s">
        <v>19795</v>
      </c>
      <c r="C19990" t="str">
        <f>IFERROR(__xludf.DUMMYFUNCTION("GOOGLETRANSLATE(B19990, ""es"", ""en"")"),"The usefulness of the product right product, although clips for cables came very sticky and very difficult to remove plastic protector 3M.")</f>
        <v>The usefulness of the product right product, although clips for cables came very sticky and very difficult to remove plastic protector 3M.</v>
      </c>
    </row>
    <row r="19991">
      <c r="A19991" s="1">
        <v>1.0</v>
      </c>
      <c r="B19991" s="1" t="s">
        <v>19796</v>
      </c>
      <c r="C19991" t="str">
        <f>IFERROR(__xludf.DUMMYFUNCTION("GOOGLETRANSLATE(B19991, ""es"", ""en"")"),"Silver chain breaks by looking at had a very good iPinion of .ya chain is very nice but shame. It has just broken. I showered and was broken.")</f>
        <v>Silver chain breaks by looking at had a very good iPinion of .ya chain is very nice but shame. It has just broken. I showered and was broken.</v>
      </c>
    </row>
    <row r="19992">
      <c r="A19992" s="1">
        <v>1.0</v>
      </c>
      <c r="B19992" s="1" t="s">
        <v>19797</v>
      </c>
      <c r="C19992" t="str">
        <f>IFERROR(__xludf.DUMMYFUNCTION("GOOGLETRANSLATE(B19992, ""es"", ""en"")"),"T thought the fabric was different, it is very finite is not the sweatshirt fabric, is a shirt a little disappointed the truth.")</f>
        <v>T thought the fabric was different, it is very finite is not the sweatshirt fabric, is a shirt a little disappointed the truth.</v>
      </c>
    </row>
    <row r="19993">
      <c r="A19993" s="1">
        <v>4.0</v>
      </c>
      <c r="B19993" s="1" t="s">
        <v>19798</v>
      </c>
      <c r="C19993" t="str">
        <f>IFERROR(__xludf.DUMMYFUNCTION("GOOGLETRANSLATE(B19993, ""es"", ""en"")"),"Good drawer. Perfectly packaged and presented. Good quality of materials, the only caveat is that the drawer out too fast for my taste, and I knew configure either through the program since it opened well, that is, sent commands, but I knew not to do it a"&amp;"gain to close, so the serial cable disconnected and left in manual mode via the key. Good buy.")</f>
        <v>Good drawer. Perfectly packaged and presented. Good quality of materials, the only caveat is that the drawer out too fast for my taste, and I knew configure either through the program since it opened well, that is, sent commands, but I knew not to do it again to close, so the serial cable disconnected and left in manual mode via the key. Good buy.</v>
      </c>
    </row>
    <row r="19994">
      <c r="A19994" s="1">
        <v>4.0</v>
      </c>
      <c r="B19994" s="1" t="s">
        <v>19799</v>
      </c>
      <c r="C19994" t="str">
        <f>IFERROR(__xludf.DUMMYFUNCTION("GOOGLETRANSLATE(B19994, ""es"", ""en"")"),"Beautiful helmets Helmets work very well, quickly bind with the transmitter and heard great ... and very practical about the FM radio and micro memory so you can listen to music without having to rely on other devices. I use them almost exclusively for tv"&amp;" and are quite comfortable to wear, fast and easy to load last five to seven hours, to give a catch is that I see a little fragile ... hopefully last me ..")</f>
        <v>Beautiful helmets Helmets work very well, quickly bind with the transmitter and heard great ... and very practical about the FM radio and micro memory so you can listen to music without having to rely on other devices. I use them almost exclusively for tv and are quite comfortable to wear, fast and easy to load last five to seven hours, to give a catch is that I see a little fragile ... hopefully last me ..</v>
      </c>
    </row>
    <row r="19995">
      <c r="A19995" s="1">
        <v>4.0</v>
      </c>
      <c r="B19995" s="1" t="s">
        <v>19800</v>
      </c>
      <c r="C19995" t="str">
        <f>IFERROR(__xludf.DUMMYFUNCTION("GOOGLETRANSLATE(B19995, ""es"", ""en"")"),"Do not use this product works me to come")</f>
        <v>Do not use this product works me to come</v>
      </c>
    </row>
    <row r="19996">
      <c r="A19996" s="1">
        <v>4.0</v>
      </c>
      <c r="B19996" s="1" t="s">
        <v>19801</v>
      </c>
      <c r="C19996" t="str">
        <f>IFERROR(__xludf.DUMMYFUNCTION("GOOGLETRANSLATE(B19996, ""es"", ""en"")"),"Nothing to envy other twice as expensive bien.cómodas moment and very nice.")</f>
        <v>Nothing to envy other twice as expensive bien.cómodas moment and very nice.</v>
      </c>
    </row>
    <row r="19997">
      <c r="A19997" s="1">
        <v>5.0</v>
      </c>
      <c r="B19997" s="1" t="s">
        <v>19802</v>
      </c>
      <c r="C19997" t="str">
        <f>IFERROR(__xludf.DUMMYFUNCTION("GOOGLETRANSLATE(B19997, ""es"", ""en"")"),"Fantastico buy it for a bachelorette party and the truth that we loved, gave us a lot of game. The speaker is not very high listening ...")</f>
        <v>Fantastico buy it for a bachelorette party and the truth that we loved, gave us a lot of game. The speaker is not very high listening ...</v>
      </c>
    </row>
    <row r="19998">
      <c r="A19998" s="1">
        <v>5.0</v>
      </c>
      <c r="B19998" s="1" t="s">
        <v>19803</v>
      </c>
      <c r="C19998" t="str">
        <f>IFERROR(__xludf.DUMMYFUNCTION("GOOGLETRANSLATE(B19998, ""es"", ""en"")"),"Diver excellent price / quality ratio Diver possibly cheaper than you can find in the market, but I desmerecerlo at all. Rotating bezel, crown threaded stop seconds, water resistant 200m ... The armis some flojillo as already discussed in other reviews. B"&amp;"ut for 50 euros you can not ask for more, you have an SUV clock with the same features offered by other brands at a higher price.")</f>
        <v>Diver excellent price / quality ratio Diver possibly cheaper than you can find in the market, but I desmerecerlo at all. Rotating bezel, crown threaded stop seconds, water resistant 200m ... The armis some flojillo as already discussed in other reviews. But for 50 euros you can not ask for more, you have an SUV clock with the same features offered by other brands at a higher price.</v>
      </c>
    </row>
    <row r="19999">
      <c r="A19999" s="1">
        <v>5.0</v>
      </c>
      <c r="B19999" s="1" t="s">
        <v>19804</v>
      </c>
      <c r="C19999" t="str">
        <f>IFERROR(__xludf.DUMMYFUNCTION("GOOGLETRANSLATE(B19999, ""es"", ""en"")"),"comfortable shoes")</f>
        <v>comfortable shoes</v>
      </c>
    </row>
    <row r="20000">
      <c r="A20000" s="1">
        <v>5.0</v>
      </c>
      <c r="B20000" s="1" t="s">
        <v>19805</v>
      </c>
      <c r="C20000" t="str">
        <f>IFERROR(__xludf.DUMMYFUNCTION("GOOGLETRANSLATE(B20000, ""es"", ""en"")"),"Dr. Martens boots Good Quality, the expected quality of the brand. Always buts, stiffness until adapt, once they are tamed can spend hours walking with them without problems. Strong Buy and almost mandatory if you like and are your style.")</f>
        <v>Dr. Martens boots Good Quality, the expected quality of the brand. Always buts, stiffness until adapt, once they are tamed can spend hours walking with them without problems. Strong Buy and almost mandatory if you like and are your style.</v>
      </c>
    </row>
    <row r="20001">
      <c r="A20001" s="1">
        <v>5.0</v>
      </c>
      <c r="B20001" s="1" t="s">
        <v>19806</v>
      </c>
      <c r="C20001" t="str">
        <f>IFERROR(__xludf.DUMMYFUNCTION("GOOGLETRANSLATE(B20001, ""es"", ""en"")"),"acceptable quality. I was surprised by the quality of finishes. For the price I was not expected the case. Supplements except for the beaters, q does not seem much, otherwise all good quality. Attached photo of all its contents. The mixer has a power regu"&amp;"lator on its back q helps you see q you put speed.")</f>
        <v>acceptable quality. I was surprised by the quality of finishes. For the price I was not expected the case. Supplements except for the beaters, q does not seem much, otherwise all good quality. Attached photo of all its contents. The mixer has a power regulator on its back q helps you see q you put speed.</v>
      </c>
    </row>
  </sheetData>
  <drawing r:id="rId1"/>
</worksheet>
</file>